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/>
  <mc:AlternateContent xmlns:mc="http://schemas.openxmlformats.org/markup-compatibility/2006">
    <mc:Choice Requires="x15">
      <x15ac:absPath xmlns:x15ac="http://schemas.microsoft.com/office/spreadsheetml/2010/11/ac" url="/Users/natejensen/Desktop/ASAM/Low Beta/Code/Actual Performance/"/>
    </mc:Choice>
  </mc:AlternateContent>
  <xr:revisionPtr revIDLastSave="0" documentId="13_ncr:1_{040A27AC-6538-D540-B3C7-25AA3FF832E9}" xr6:coauthVersionLast="47" xr6:coauthVersionMax="47" xr10:uidLastSave="{00000000-0000-0000-0000-000000000000}"/>
  <bookViews>
    <workbookView xWindow="0" yWindow="500" windowWidth="38400" windowHeight="19500" activeTab="10" xr2:uid="{00000000-000D-0000-FFFF-FFFF00000000}"/>
  </bookViews>
  <sheets>
    <sheet name="Dashboard" sheetId="1" r:id="rId1"/>
    <sheet name="Graphs" sheetId="2" r:id="rId2"/>
    <sheet name="Sheet11" sheetId="3" state="hidden" r:id="rId3"/>
    <sheet name="History" sheetId="4" r:id="rId4"/>
    <sheet name="Dividends" sheetId="5" r:id="rId5"/>
    <sheet name="Current Value" sheetId="6" state="hidden" r:id="rId6"/>
    <sheet name="Total Value" sheetId="7" r:id="rId7"/>
    <sheet name="Total Returns" sheetId="8" r:id="rId8"/>
    <sheet name="Daily Returns" sheetId="9" r:id="rId9"/>
    <sheet name="Daily Portfolio Returns" sheetId="12" r:id="rId10"/>
    <sheet name="Daily Portfolio Returns Export" sheetId="13" r:id="rId11"/>
    <sheet name="Positions" sheetId="10" r:id="rId12"/>
    <sheet name="Transactions" sheetId="11" r:id="rId13"/>
  </sheets>
  <definedNames>
    <definedName name="HistoryAction">Transactions!$D:$D</definedName>
    <definedName name="HistoryDate">Transactions!$B:$B</definedName>
    <definedName name="HistoryPrice">Transactions!$F:$F</definedName>
    <definedName name="HistoryQuantity">Transactions!$E:$E</definedName>
    <definedName name="HistorySecurity">Transactions!$C:$C</definedName>
    <definedName name="HistoryTotal">Transactions!$G:$G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168" i="11" l="1"/>
  <c r="G167" i="11"/>
  <c r="G166" i="11"/>
  <c r="G165" i="11"/>
  <c r="G164" i="11"/>
  <c r="G163" i="11"/>
  <c r="G162" i="11"/>
  <c r="G161" i="11"/>
  <c r="G160" i="11"/>
  <c r="G159" i="11"/>
  <c r="G158" i="11"/>
  <c r="G157" i="11"/>
  <c r="G156" i="11"/>
  <c r="G155" i="11"/>
  <c r="G154" i="11"/>
  <c r="G153" i="11"/>
  <c r="G152" i="11"/>
  <c r="G151" i="11"/>
  <c r="G150" i="11"/>
  <c r="G149" i="11"/>
  <c r="G148" i="11"/>
  <c r="G147" i="11"/>
  <c r="G146" i="11"/>
  <c r="G145" i="11"/>
  <c r="G144" i="11"/>
  <c r="G143" i="11"/>
  <c r="G142" i="11"/>
  <c r="G141" i="11"/>
  <c r="G140" i="11"/>
  <c r="G139" i="11"/>
  <c r="G138" i="11"/>
  <c r="G137" i="11"/>
  <c r="G136" i="11"/>
  <c r="G135" i="11"/>
  <c r="G134" i="11"/>
  <c r="G133" i="11"/>
  <c r="G132" i="11"/>
  <c r="G131" i="11"/>
  <c r="G130" i="11"/>
  <c r="G129" i="11"/>
  <c r="G128" i="11"/>
  <c r="G127" i="11"/>
  <c r="G126" i="11"/>
  <c r="G125" i="11"/>
  <c r="G124" i="11"/>
  <c r="G123" i="11"/>
  <c r="G122" i="11"/>
  <c r="G121" i="11"/>
  <c r="F120" i="11"/>
  <c r="G120" i="11" s="1"/>
  <c r="G119" i="11"/>
  <c r="G118" i="11"/>
  <c r="G117" i="11"/>
  <c r="G116" i="11"/>
  <c r="G115" i="11"/>
  <c r="G114" i="11"/>
  <c r="G113" i="11"/>
  <c r="G112" i="11"/>
  <c r="G111" i="11"/>
  <c r="G110" i="11"/>
  <c r="G109" i="11"/>
  <c r="G108" i="11"/>
  <c r="G107" i="11"/>
  <c r="G106" i="11"/>
  <c r="G105" i="11"/>
  <c r="G104" i="11"/>
  <c r="G103" i="11"/>
  <c r="G102" i="11"/>
  <c r="G101" i="11"/>
  <c r="G100" i="11"/>
  <c r="G99" i="11"/>
  <c r="G98" i="11"/>
  <c r="G97" i="11"/>
  <c r="G96" i="11"/>
  <c r="G95" i="11"/>
  <c r="G94" i="11"/>
  <c r="G93" i="11"/>
  <c r="G92" i="11"/>
  <c r="G91" i="11"/>
  <c r="G90" i="11"/>
  <c r="G89" i="11"/>
  <c r="G88" i="11"/>
  <c r="G87" i="11"/>
  <c r="G86" i="11"/>
  <c r="G85" i="11"/>
  <c r="G84" i="11"/>
  <c r="G83" i="11"/>
  <c r="G82" i="11"/>
  <c r="G81" i="11"/>
  <c r="G80" i="11"/>
  <c r="G79" i="11"/>
  <c r="G78" i="11"/>
  <c r="G77" i="11"/>
  <c r="G76" i="11"/>
  <c r="G75" i="11"/>
  <c r="G74" i="11"/>
  <c r="G73" i="11"/>
  <c r="G72" i="11"/>
  <c r="G71" i="11"/>
  <c r="G70" i="11"/>
  <c r="G69" i="11"/>
  <c r="G68" i="11"/>
  <c r="G67" i="11"/>
  <c r="G66" i="11"/>
  <c r="G65" i="11"/>
  <c r="G64" i="11"/>
  <c r="G63" i="11"/>
  <c r="G62" i="11"/>
  <c r="G61" i="11"/>
  <c r="G60" i="11"/>
  <c r="G59" i="11"/>
  <c r="G58" i="11"/>
  <c r="G57" i="11"/>
  <c r="G56" i="11"/>
  <c r="G55" i="11"/>
  <c r="G54" i="11"/>
  <c r="G53" i="11"/>
  <c r="G52" i="11"/>
  <c r="G51" i="11"/>
  <c r="G50" i="11"/>
  <c r="G49" i="11"/>
  <c r="G48" i="11"/>
  <c r="G47" i="11"/>
  <c r="G46" i="11"/>
  <c r="G45" i="11"/>
  <c r="G44" i="11"/>
  <c r="G43" i="11"/>
  <c r="G42" i="11"/>
  <c r="G41" i="11"/>
  <c r="G40" i="11"/>
  <c r="G39" i="11"/>
  <c r="G38" i="11"/>
  <c r="G37" i="11"/>
  <c r="G36" i="11"/>
  <c r="G35" i="11"/>
  <c r="G34" i="11"/>
  <c r="G33" i="11"/>
  <c r="G32" i="11"/>
  <c r="G31" i="11"/>
  <c r="G30" i="11"/>
  <c r="G29" i="11"/>
  <c r="G28" i="11"/>
  <c r="G27" i="11"/>
  <c r="G26" i="11"/>
  <c r="G25" i="11"/>
  <c r="G24" i="11"/>
  <c r="G23" i="11"/>
  <c r="G22" i="11"/>
  <c r="G21" i="11"/>
  <c r="G20" i="11"/>
  <c r="G19" i="11"/>
  <c r="G18" i="11"/>
  <c r="G17" i="11"/>
  <c r="G16" i="11"/>
  <c r="G15" i="11"/>
  <c r="G14" i="11"/>
  <c r="G13" i="11"/>
  <c r="G12" i="11"/>
  <c r="G11" i="11"/>
  <c r="G10" i="11"/>
  <c r="G9" i="11"/>
  <c r="G8" i="11"/>
  <c r="G7" i="11"/>
  <c r="G6" i="11"/>
  <c r="G5" i="11"/>
  <c r="G4" i="11"/>
  <c r="G3" i="11"/>
  <c r="E50" i="10"/>
  <c r="E49" i="10"/>
  <c r="E48" i="10"/>
  <c r="E47" i="10"/>
  <c r="E46" i="10"/>
  <c r="E45" i="10"/>
  <c r="E44" i="10"/>
  <c r="E43" i="10"/>
  <c r="E42" i="10"/>
  <c r="E41" i="10"/>
  <c r="E40" i="10"/>
  <c r="E39" i="10"/>
  <c r="E38" i="10"/>
  <c r="E37" i="10"/>
  <c r="E36" i="10"/>
  <c r="E35" i="10"/>
  <c r="E34" i="10"/>
  <c r="E33" i="10"/>
  <c r="E32" i="10"/>
  <c r="E31" i="10"/>
  <c r="E30" i="10"/>
  <c r="E29" i="10"/>
  <c r="E28" i="10"/>
  <c r="E27" i="10"/>
  <c r="E26" i="10"/>
  <c r="E25" i="10"/>
  <c r="E24" i="10"/>
  <c r="E23" i="10"/>
  <c r="E22" i="10"/>
  <c r="E21" i="10"/>
  <c r="E20" i="10"/>
  <c r="E19" i="10"/>
  <c r="E18" i="10"/>
  <c r="E17" i="10"/>
  <c r="E16" i="10"/>
  <c r="E15" i="10"/>
  <c r="E14" i="10"/>
  <c r="E13" i="10"/>
  <c r="E12" i="10"/>
  <c r="E11" i="10"/>
  <c r="E10" i="10"/>
  <c r="E9" i="10"/>
  <c r="E8" i="10"/>
  <c r="E7" i="10"/>
  <c r="E6" i="10"/>
  <c r="E5" i="10"/>
  <c r="E4" i="10"/>
  <c r="E3" i="10"/>
  <c r="E32" i="6"/>
  <c r="D32" i="6"/>
  <c r="E31" i="6"/>
  <c r="D31" i="6"/>
  <c r="E30" i="6"/>
  <c r="D30" i="6"/>
  <c r="E29" i="6"/>
  <c r="D29" i="6"/>
  <c r="E28" i="6"/>
  <c r="D28" i="6"/>
  <c r="E27" i="6"/>
  <c r="D27" i="6"/>
  <c r="E26" i="6"/>
  <c r="D26" i="6"/>
  <c r="E25" i="6"/>
  <c r="D25" i="6"/>
  <c r="E24" i="6"/>
  <c r="D24" i="6"/>
  <c r="E23" i="6"/>
  <c r="D23" i="6"/>
  <c r="E22" i="6"/>
  <c r="D22" i="6"/>
  <c r="E21" i="6"/>
  <c r="D21" i="6"/>
  <c r="E20" i="6"/>
  <c r="D20" i="6"/>
  <c r="E19" i="6"/>
  <c r="D19" i="6"/>
  <c r="E18" i="6"/>
  <c r="D18" i="6"/>
  <c r="E17" i="6"/>
  <c r="D17" i="6"/>
  <c r="E16" i="6"/>
  <c r="D16" i="6"/>
  <c r="E15" i="6"/>
  <c r="D15" i="6"/>
  <c r="E14" i="6"/>
  <c r="D14" i="6"/>
  <c r="E13" i="6"/>
  <c r="D13" i="6"/>
  <c r="E12" i="6"/>
  <c r="D12" i="6"/>
  <c r="E11" i="6"/>
  <c r="D11" i="6"/>
  <c r="E10" i="6"/>
  <c r="D10" i="6"/>
  <c r="E9" i="6"/>
  <c r="D9" i="6"/>
  <c r="E8" i="6"/>
  <c r="D8" i="6"/>
  <c r="E7" i="6"/>
  <c r="D7" i="6"/>
  <c r="E6" i="6"/>
  <c r="D6" i="6"/>
  <c r="E5" i="6"/>
  <c r="D5" i="6"/>
  <c r="E4" i="6"/>
  <c r="D4" i="6"/>
  <c r="E3" i="6"/>
  <c r="D3" i="6"/>
  <c r="A1" i="6"/>
  <c r="H16" i="5"/>
  <c r="H52" i="5" s="1"/>
  <c r="H2" i="5"/>
  <c r="LG52" i="4"/>
  <c r="LF52" i="4"/>
  <c r="LE52" i="4"/>
  <c r="LD52" i="4"/>
  <c r="LC52" i="4"/>
  <c r="LB52" i="4"/>
  <c r="LA52" i="4"/>
  <c r="KZ52" i="4"/>
  <c r="KY52" i="4"/>
  <c r="KX52" i="4"/>
  <c r="KW52" i="4"/>
  <c r="KV52" i="4"/>
  <c r="KU52" i="4"/>
  <c r="KT52" i="4"/>
  <c r="KS52" i="4"/>
  <c r="KR52" i="4"/>
  <c r="KQ52" i="4"/>
  <c r="KP52" i="4"/>
  <c r="KO52" i="4"/>
  <c r="KN52" i="4"/>
  <c r="KM52" i="4"/>
  <c r="KL52" i="4"/>
  <c r="KK52" i="4"/>
  <c r="KJ52" i="4"/>
  <c r="KI52" i="4"/>
  <c r="KH52" i="4"/>
  <c r="KG52" i="4"/>
  <c r="KF52" i="4"/>
  <c r="KE52" i="4"/>
  <c r="KD52" i="4"/>
  <c r="KC52" i="4"/>
  <c r="KB52" i="4"/>
  <c r="KA52" i="4"/>
  <c r="JZ52" i="4"/>
  <c r="JY52" i="4"/>
  <c r="JX52" i="4"/>
  <c r="JW52" i="4"/>
  <c r="JV52" i="4"/>
  <c r="JU52" i="4"/>
  <c r="JT52" i="4"/>
  <c r="JS52" i="4"/>
  <c r="JR52" i="4"/>
  <c r="JQ52" i="4"/>
  <c r="JP52" i="4"/>
  <c r="JO52" i="4"/>
  <c r="JN52" i="4"/>
  <c r="JM52" i="4"/>
  <c r="JL52" i="4"/>
  <c r="JK52" i="4"/>
  <c r="JJ52" i="4"/>
  <c r="JI52" i="4"/>
  <c r="JH52" i="4"/>
  <c r="JG52" i="4"/>
  <c r="JF52" i="4"/>
  <c r="JE52" i="4"/>
  <c r="JD52" i="4"/>
  <c r="JC52" i="4"/>
  <c r="JB52" i="4"/>
  <c r="JA52" i="4"/>
  <c r="IZ52" i="4"/>
  <c r="IY52" i="4"/>
  <c r="IX52" i="4"/>
  <c r="IW52" i="4"/>
  <c r="IV52" i="4"/>
  <c r="IU52" i="4"/>
  <c r="IT52" i="4"/>
  <c r="IS52" i="4"/>
  <c r="IR52" i="4"/>
  <c r="IQ52" i="4"/>
  <c r="IP52" i="4"/>
  <c r="IO52" i="4"/>
  <c r="IN52" i="4"/>
  <c r="IM52" i="4"/>
  <c r="IL52" i="4"/>
  <c r="IK52" i="4"/>
  <c r="IJ52" i="4"/>
  <c r="II52" i="4"/>
  <c r="IH52" i="4"/>
  <c r="IG52" i="4"/>
  <c r="IF52" i="4"/>
  <c r="IE52" i="4"/>
  <c r="ID52" i="4"/>
  <c r="IC52" i="4"/>
  <c r="IB52" i="4"/>
  <c r="IA52" i="4"/>
  <c r="HZ52" i="4"/>
  <c r="HY52" i="4"/>
  <c r="HX52" i="4"/>
  <c r="HW52" i="4"/>
  <c r="HV52" i="4"/>
  <c r="HU52" i="4"/>
  <c r="HT52" i="4"/>
  <c r="HS52" i="4"/>
  <c r="HR52" i="4"/>
  <c r="HQ52" i="4"/>
  <c r="HP52" i="4"/>
  <c r="HO52" i="4"/>
  <c r="HN52" i="4"/>
  <c r="HM52" i="4"/>
  <c r="HL52" i="4"/>
  <c r="HK52" i="4"/>
  <c r="HJ52" i="4"/>
  <c r="HI52" i="4"/>
  <c r="HH52" i="4"/>
  <c r="HG52" i="4"/>
  <c r="HF52" i="4"/>
  <c r="HE52" i="4"/>
  <c r="HD52" i="4"/>
  <c r="HC52" i="4"/>
  <c r="HB52" i="4"/>
  <c r="HA52" i="4"/>
  <c r="GZ52" i="4"/>
  <c r="GY52" i="4"/>
  <c r="GX52" i="4"/>
  <c r="GW52" i="4"/>
  <c r="GV52" i="4"/>
  <c r="GU52" i="4"/>
  <c r="GT52" i="4"/>
  <c r="GS52" i="4"/>
  <c r="GR52" i="4"/>
  <c r="GQ52" i="4"/>
  <c r="GP52" i="4"/>
  <c r="GO52" i="4"/>
  <c r="GN52" i="4"/>
  <c r="GM52" i="4"/>
  <c r="GL52" i="4"/>
  <c r="GK52" i="4"/>
  <c r="GJ52" i="4"/>
  <c r="GI52" i="4"/>
  <c r="GH52" i="4"/>
  <c r="GG52" i="4"/>
  <c r="GF52" i="4"/>
  <c r="GE52" i="4"/>
  <c r="GD52" i="4"/>
  <c r="GC52" i="4"/>
  <c r="GB52" i="4"/>
  <c r="GA52" i="4"/>
  <c r="FZ52" i="4"/>
  <c r="FY52" i="4"/>
  <c r="FX52" i="4"/>
  <c r="FW52" i="4"/>
  <c r="FV52" i="4"/>
  <c r="FU52" i="4"/>
  <c r="FT52" i="4"/>
  <c r="FS52" i="4"/>
  <c r="FR52" i="4"/>
  <c r="FQ52" i="4"/>
  <c r="FP52" i="4"/>
  <c r="FO52" i="4"/>
  <c r="FN52" i="4"/>
  <c r="FM52" i="4"/>
  <c r="FL52" i="4"/>
  <c r="FK52" i="4"/>
  <c r="FJ52" i="4"/>
  <c r="FI52" i="4"/>
  <c r="FH52" i="4"/>
  <c r="FG52" i="4"/>
  <c r="FF52" i="4"/>
  <c r="FE52" i="4"/>
  <c r="FD52" i="4"/>
  <c r="FC52" i="4"/>
  <c r="FB52" i="4"/>
  <c r="FA52" i="4"/>
  <c r="EZ52" i="4"/>
  <c r="EY52" i="4"/>
  <c r="EX52" i="4"/>
  <c r="EW52" i="4"/>
  <c r="EV52" i="4"/>
  <c r="EU52" i="4"/>
  <c r="ET52" i="4"/>
  <c r="ES52" i="4"/>
  <c r="ER52" i="4"/>
  <c r="EQ52" i="4"/>
  <c r="EP52" i="4"/>
  <c r="EO52" i="4"/>
  <c r="EN52" i="4"/>
  <c r="EM52" i="4"/>
  <c r="EL52" i="4"/>
  <c r="EK52" i="4"/>
  <c r="EJ52" i="4"/>
  <c r="EI52" i="4"/>
  <c r="EH52" i="4"/>
  <c r="EG52" i="4"/>
  <c r="EF52" i="4"/>
  <c r="EE52" i="4"/>
  <c r="ED52" i="4"/>
  <c r="EC52" i="4"/>
  <c r="EB52" i="4"/>
  <c r="EA52" i="4"/>
  <c r="DZ52" i="4"/>
  <c r="DY52" i="4"/>
  <c r="DX52" i="4"/>
  <c r="DW52" i="4"/>
  <c r="DV52" i="4"/>
  <c r="DU52" i="4"/>
  <c r="DT52" i="4"/>
  <c r="DS52" i="4"/>
  <c r="DR52" i="4"/>
  <c r="DQ52" i="4"/>
  <c r="DP52" i="4"/>
  <c r="DO52" i="4"/>
  <c r="DN52" i="4"/>
  <c r="DM52" i="4"/>
  <c r="DL52" i="4"/>
  <c r="DK52" i="4"/>
  <c r="DJ52" i="4"/>
  <c r="DI52" i="4"/>
  <c r="DH52" i="4"/>
  <c r="DG52" i="4"/>
  <c r="DF52" i="4"/>
  <c r="DE52" i="4"/>
  <c r="DD52" i="4"/>
  <c r="DC52" i="4"/>
  <c r="DB52" i="4"/>
  <c r="DA52" i="4"/>
  <c r="CZ52" i="4"/>
  <c r="CY52" i="4"/>
  <c r="CX52" i="4"/>
  <c r="CW52" i="4"/>
  <c r="CV52" i="4"/>
  <c r="CU52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C52" i="4"/>
  <c r="CB52" i="4"/>
  <c r="CA52" i="4"/>
  <c r="BZ52" i="4"/>
  <c r="BY52" i="4"/>
  <c r="BX52" i="4"/>
  <c r="BW52" i="4"/>
  <c r="BV52" i="4"/>
  <c r="BU52" i="4"/>
  <c r="BT52" i="4"/>
  <c r="BS52" i="4"/>
  <c r="BR52" i="4"/>
  <c r="BQ52" i="4"/>
  <c r="BP52" i="4"/>
  <c r="BO52" i="4"/>
  <c r="BN52" i="4"/>
  <c r="BM52" i="4"/>
  <c r="BL52" i="4"/>
  <c r="BK52" i="4"/>
  <c r="BJ52" i="4"/>
  <c r="BI52" i="4"/>
  <c r="BH52" i="4"/>
  <c r="BG52" i="4"/>
  <c r="BF52" i="4"/>
  <c r="BE52" i="4"/>
  <c r="BD52" i="4"/>
  <c r="BC52" i="4"/>
  <c r="BB52" i="4"/>
  <c r="BA52" i="4"/>
  <c r="AZ52" i="4"/>
  <c r="AY52" i="4"/>
  <c r="AX52" i="4"/>
  <c r="AW52" i="4"/>
  <c r="AV52" i="4"/>
  <c r="AU52" i="4"/>
  <c r="AT52" i="4"/>
  <c r="AS52" i="4"/>
  <c r="AR52" i="4"/>
  <c r="AQ52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KG51" i="4"/>
  <c r="KF51" i="4"/>
  <c r="KE51" i="4"/>
  <c r="KD51" i="4"/>
  <c r="KC51" i="4"/>
  <c r="KB51" i="4"/>
  <c r="KA51" i="4"/>
  <c r="JZ51" i="4"/>
  <c r="JY51" i="4"/>
  <c r="JX51" i="4"/>
  <c r="JW51" i="4"/>
  <c r="JV51" i="4"/>
  <c r="JU51" i="4"/>
  <c r="JT51" i="4"/>
  <c r="JS51" i="4"/>
  <c r="JR51" i="4"/>
  <c r="JQ51" i="4"/>
  <c r="JP51" i="4"/>
  <c r="JO51" i="4"/>
  <c r="JN51" i="4"/>
  <c r="JM51" i="4"/>
  <c r="JL51" i="4"/>
  <c r="JK51" i="4"/>
  <c r="JJ51" i="4"/>
  <c r="JI51" i="4"/>
  <c r="JH51" i="4"/>
  <c r="JG51" i="4"/>
  <c r="JF51" i="4"/>
  <c r="JE51" i="4"/>
  <c r="JD51" i="4"/>
  <c r="JC51" i="4"/>
  <c r="JB51" i="4"/>
  <c r="JA51" i="4"/>
  <c r="IZ51" i="4"/>
  <c r="IY51" i="4"/>
  <c r="IX51" i="4"/>
  <c r="IW51" i="4"/>
  <c r="IV51" i="4"/>
  <c r="IU51" i="4"/>
  <c r="IT51" i="4"/>
  <c r="IS51" i="4"/>
  <c r="IR51" i="4"/>
  <c r="IQ51" i="4"/>
  <c r="IP51" i="4"/>
  <c r="IO51" i="4"/>
  <c r="IN51" i="4"/>
  <c r="IM51" i="4"/>
  <c r="IL51" i="4"/>
  <c r="IK51" i="4"/>
  <c r="IJ51" i="4"/>
  <c r="II51" i="4"/>
  <c r="IH51" i="4"/>
  <c r="IG51" i="4"/>
  <c r="IF51" i="4"/>
  <c r="IE51" i="4"/>
  <c r="ID51" i="4"/>
  <c r="IC51" i="4"/>
  <c r="IB51" i="4"/>
  <c r="IA51" i="4"/>
  <c r="HZ51" i="4"/>
  <c r="HY51" i="4"/>
  <c r="HX51" i="4"/>
  <c r="HW51" i="4"/>
  <c r="HV51" i="4"/>
  <c r="HU51" i="4"/>
  <c r="HT51" i="4"/>
  <c r="HS51" i="4"/>
  <c r="HR51" i="4"/>
  <c r="HQ51" i="4"/>
  <c r="HP51" i="4"/>
  <c r="HO51" i="4"/>
  <c r="HN51" i="4"/>
  <c r="HM51" i="4"/>
  <c r="HL51" i="4"/>
  <c r="HK51" i="4"/>
  <c r="HJ51" i="4"/>
  <c r="HI51" i="4"/>
  <c r="HH51" i="4"/>
  <c r="HG51" i="4"/>
  <c r="HF51" i="4"/>
  <c r="HE51" i="4"/>
  <c r="HD51" i="4"/>
  <c r="HC51" i="4"/>
  <c r="HB51" i="4"/>
  <c r="HA51" i="4"/>
  <c r="GZ51" i="4"/>
  <c r="GY51" i="4"/>
  <c r="GX51" i="4"/>
  <c r="GW51" i="4"/>
  <c r="GV51" i="4"/>
  <c r="GU51" i="4"/>
  <c r="GT51" i="4"/>
  <c r="GS51" i="4"/>
  <c r="GR51" i="4"/>
  <c r="GQ51" i="4"/>
  <c r="GP51" i="4"/>
  <c r="GO51" i="4"/>
  <c r="GN51" i="4"/>
  <c r="GM51" i="4"/>
  <c r="GL51" i="4"/>
  <c r="GK51" i="4"/>
  <c r="GJ51" i="4"/>
  <c r="GI51" i="4"/>
  <c r="GH51" i="4"/>
  <c r="GG51" i="4"/>
  <c r="GF51" i="4"/>
  <c r="GE51" i="4"/>
  <c r="GD51" i="4"/>
  <c r="GC51" i="4"/>
  <c r="GB51" i="4"/>
  <c r="GA51" i="4"/>
  <c r="FZ51" i="4"/>
  <c r="FY51" i="4"/>
  <c r="FX51" i="4"/>
  <c r="FW51" i="4"/>
  <c r="FV51" i="4"/>
  <c r="FU51" i="4"/>
  <c r="FT51" i="4"/>
  <c r="FS51" i="4"/>
  <c r="FR51" i="4"/>
  <c r="FQ51" i="4"/>
  <c r="FP51" i="4"/>
  <c r="FO51" i="4"/>
  <c r="FN51" i="4"/>
  <c r="FM51" i="4"/>
  <c r="FL51" i="4"/>
  <c r="FK51" i="4"/>
  <c r="FJ51" i="4"/>
  <c r="FI51" i="4"/>
  <c r="FH51" i="4"/>
  <c r="FG51" i="4"/>
  <c r="FF51" i="4"/>
  <c r="FE51" i="4"/>
  <c r="FD51" i="4"/>
  <c r="FC51" i="4"/>
  <c r="FB51" i="4"/>
  <c r="FA51" i="4"/>
  <c r="EZ51" i="4"/>
  <c r="EY51" i="4"/>
  <c r="EX51" i="4"/>
  <c r="EW51" i="4"/>
  <c r="EV51" i="4"/>
  <c r="EU51" i="4"/>
  <c r="ET51" i="4"/>
  <c r="ES51" i="4"/>
  <c r="ER51" i="4"/>
  <c r="EQ51" i="4"/>
  <c r="EP51" i="4"/>
  <c r="EO51" i="4"/>
  <c r="EN51" i="4"/>
  <c r="EM51" i="4"/>
  <c r="EL51" i="4"/>
  <c r="EK51" i="4"/>
  <c r="EJ51" i="4"/>
  <c r="EI51" i="4"/>
  <c r="EH51" i="4"/>
  <c r="EG51" i="4"/>
  <c r="EF51" i="4"/>
  <c r="EE51" i="4"/>
  <c r="ED51" i="4"/>
  <c r="EC51" i="4"/>
  <c r="EB51" i="4"/>
  <c r="EA51" i="4"/>
  <c r="DZ51" i="4"/>
  <c r="DY51" i="4"/>
  <c r="DX51" i="4"/>
  <c r="DW51" i="4"/>
  <c r="DV51" i="4"/>
  <c r="DU51" i="4"/>
  <c r="DT51" i="4"/>
  <c r="DS51" i="4"/>
  <c r="DR51" i="4"/>
  <c r="DQ51" i="4"/>
  <c r="DP51" i="4"/>
  <c r="DO51" i="4"/>
  <c r="DN51" i="4"/>
  <c r="DM51" i="4"/>
  <c r="DL51" i="4"/>
  <c r="DK51" i="4"/>
  <c r="DJ51" i="4"/>
  <c r="DI51" i="4"/>
  <c r="DH51" i="4"/>
  <c r="DG51" i="4"/>
  <c r="DF51" i="4"/>
  <c r="DE51" i="4"/>
  <c r="DD51" i="4"/>
  <c r="DC51" i="4"/>
  <c r="DB51" i="4"/>
  <c r="DA51" i="4"/>
  <c r="CZ51" i="4"/>
  <c r="CY51" i="4"/>
  <c r="CX51" i="4"/>
  <c r="CW51" i="4"/>
  <c r="CV51" i="4"/>
  <c r="CU51" i="4"/>
  <c r="CT51" i="4"/>
  <c r="CS51" i="4"/>
  <c r="CR51" i="4"/>
  <c r="CQ51" i="4"/>
  <c r="CP51" i="4"/>
  <c r="CO51" i="4"/>
  <c r="CN51" i="4"/>
  <c r="CM51" i="4"/>
  <c r="CL51" i="4"/>
  <c r="CK51" i="4"/>
  <c r="CJ51" i="4"/>
  <c r="CI51" i="4"/>
  <c r="CH51" i="4"/>
  <c r="CG51" i="4"/>
  <c r="CF51" i="4"/>
  <c r="CE51" i="4"/>
  <c r="CD51" i="4"/>
  <c r="CC51" i="4"/>
  <c r="CB51" i="4"/>
  <c r="CA51" i="4"/>
  <c r="BZ51" i="4"/>
  <c r="BY51" i="4"/>
  <c r="BX51" i="4"/>
  <c r="BW51" i="4"/>
  <c r="BV51" i="4"/>
  <c r="BU51" i="4"/>
  <c r="BT51" i="4"/>
  <c r="BS51" i="4"/>
  <c r="BR51" i="4"/>
  <c r="BQ51" i="4"/>
  <c r="BP51" i="4"/>
  <c r="BO51" i="4"/>
  <c r="BN51" i="4"/>
  <c r="BM51" i="4"/>
  <c r="BL51" i="4"/>
  <c r="BK51" i="4"/>
  <c r="BJ51" i="4"/>
  <c r="BI51" i="4"/>
  <c r="BH51" i="4"/>
  <c r="BG51" i="4"/>
  <c r="BF51" i="4"/>
  <c r="BE51" i="4"/>
  <c r="BD51" i="4"/>
  <c r="BC51" i="4"/>
  <c r="BB51" i="4"/>
  <c r="BA51" i="4"/>
  <c r="AZ51" i="4"/>
  <c r="AY51" i="4"/>
  <c r="AX51" i="4"/>
  <c r="AW51" i="4"/>
  <c r="AV51" i="4"/>
  <c r="AU51" i="4"/>
  <c r="AT51" i="4"/>
  <c r="AS51" i="4"/>
  <c r="AR51" i="4"/>
  <c r="AQ51" i="4"/>
  <c r="AP51" i="4"/>
  <c r="AO51" i="4"/>
  <c r="AN51" i="4"/>
  <c r="AM51" i="4"/>
  <c r="AL51" i="4"/>
  <c r="AK51" i="4"/>
  <c r="AJ51" i="4"/>
  <c r="AI51" i="4"/>
  <c r="AH51" i="4"/>
  <c r="AG51" i="4"/>
  <c r="AF51" i="4"/>
  <c r="AE51" i="4"/>
  <c r="AD51" i="4"/>
  <c r="AC51" i="4"/>
  <c r="AB51" i="4"/>
  <c r="AA51" i="4"/>
  <c r="Z51" i="4"/>
  <c r="Y51" i="4"/>
  <c r="X51" i="4"/>
  <c r="W51" i="4"/>
  <c r="V51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KG50" i="4"/>
  <c r="KF50" i="4"/>
  <c r="KE50" i="4"/>
  <c r="KD50" i="4"/>
  <c r="KC50" i="4"/>
  <c r="KB50" i="4"/>
  <c r="KA50" i="4"/>
  <c r="JZ50" i="4"/>
  <c r="JY50" i="4"/>
  <c r="JX50" i="4"/>
  <c r="JW50" i="4"/>
  <c r="JV50" i="4"/>
  <c r="JU50" i="4"/>
  <c r="JT50" i="4"/>
  <c r="JS50" i="4"/>
  <c r="JR50" i="4"/>
  <c r="JQ50" i="4"/>
  <c r="JP50" i="4"/>
  <c r="JO50" i="4"/>
  <c r="JN50" i="4"/>
  <c r="JM50" i="4"/>
  <c r="JL50" i="4"/>
  <c r="JK50" i="4"/>
  <c r="JJ50" i="4"/>
  <c r="JI50" i="4"/>
  <c r="JH50" i="4"/>
  <c r="JG50" i="4"/>
  <c r="JF50" i="4"/>
  <c r="JE50" i="4"/>
  <c r="JD50" i="4"/>
  <c r="JC50" i="4"/>
  <c r="JB50" i="4"/>
  <c r="JA50" i="4"/>
  <c r="IZ50" i="4"/>
  <c r="IY50" i="4"/>
  <c r="IX50" i="4"/>
  <c r="IW50" i="4"/>
  <c r="IV50" i="4"/>
  <c r="IU50" i="4"/>
  <c r="IT50" i="4"/>
  <c r="IS50" i="4"/>
  <c r="IR50" i="4"/>
  <c r="IQ50" i="4"/>
  <c r="IP50" i="4"/>
  <c r="IO50" i="4"/>
  <c r="IN50" i="4"/>
  <c r="IM50" i="4"/>
  <c r="IL50" i="4"/>
  <c r="IK50" i="4"/>
  <c r="IJ50" i="4"/>
  <c r="II50" i="4"/>
  <c r="IH50" i="4"/>
  <c r="IG50" i="4"/>
  <c r="IF50" i="4"/>
  <c r="IE50" i="4"/>
  <c r="ID50" i="4"/>
  <c r="IC50" i="4"/>
  <c r="IB50" i="4"/>
  <c r="IA50" i="4"/>
  <c r="HZ50" i="4"/>
  <c r="HY50" i="4"/>
  <c r="HX50" i="4"/>
  <c r="HW50" i="4"/>
  <c r="HV50" i="4"/>
  <c r="HU50" i="4"/>
  <c r="HT50" i="4"/>
  <c r="HS50" i="4"/>
  <c r="HR50" i="4"/>
  <c r="HQ50" i="4"/>
  <c r="HP50" i="4"/>
  <c r="HO50" i="4"/>
  <c r="HN50" i="4"/>
  <c r="HM50" i="4"/>
  <c r="HL50" i="4"/>
  <c r="HK50" i="4"/>
  <c r="HJ50" i="4"/>
  <c r="HI50" i="4"/>
  <c r="HH50" i="4"/>
  <c r="HG50" i="4"/>
  <c r="HF50" i="4"/>
  <c r="HE50" i="4"/>
  <c r="HD50" i="4"/>
  <c r="HC50" i="4"/>
  <c r="HB50" i="4"/>
  <c r="HA50" i="4"/>
  <c r="GZ50" i="4"/>
  <c r="GY50" i="4"/>
  <c r="GX50" i="4"/>
  <c r="GW50" i="4"/>
  <c r="GV50" i="4"/>
  <c r="GU50" i="4"/>
  <c r="GT50" i="4"/>
  <c r="GS50" i="4"/>
  <c r="GR50" i="4"/>
  <c r="GQ50" i="4"/>
  <c r="GP50" i="4"/>
  <c r="GO50" i="4"/>
  <c r="GN50" i="4"/>
  <c r="GM50" i="4"/>
  <c r="GL50" i="4"/>
  <c r="GK50" i="4"/>
  <c r="GJ50" i="4"/>
  <c r="GI50" i="4"/>
  <c r="GH50" i="4"/>
  <c r="GG50" i="4"/>
  <c r="GF50" i="4"/>
  <c r="GE50" i="4"/>
  <c r="GD50" i="4"/>
  <c r="GC50" i="4"/>
  <c r="GB50" i="4"/>
  <c r="GA50" i="4"/>
  <c r="FZ50" i="4"/>
  <c r="FY50" i="4"/>
  <c r="FX50" i="4"/>
  <c r="FW50" i="4"/>
  <c r="FV50" i="4"/>
  <c r="FU50" i="4"/>
  <c r="FT50" i="4"/>
  <c r="FS50" i="4"/>
  <c r="FR50" i="4"/>
  <c r="FQ50" i="4"/>
  <c r="FP50" i="4"/>
  <c r="FO50" i="4"/>
  <c r="FN50" i="4"/>
  <c r="FM50" i="4"/>
  <c r="FL50" i="4"/>
  <c r="FK50" i="4"/>
  <c r="FJ50" i="4"/>
  <c r="FI50" i="4"/>
  <c r="FH50" i="4"/>
  <c r="FG50" i="4"/>
  <c r="FF50" i="4"/>
  <c r="FE50" i="4"/>
  <c r="FD50" i="4"/>
  <c r="FC50" i="4"/>
  <c r="FB50" i="4"/>
  <c r="FA50" i="4"/>
  <c r="EZ50" i="4"/>
  <c r="EY50" i="4"/>
  <c r="EX50" i="4"/>
  <c r="EW50" i="4"/>
  <c r="EV50" i="4"/>
  <c r="EU50" i="4"/>
  <c r="ET50" i="4"/>
  <c r="ES50" i="4"/>
  <c r="ER50" i="4"/>
  <c r="EQ50" i="4"/>
  <c r="EP50" i="4"/>
  <c r="EO50" i="4"/>
  <c r="EN50" i="4"/>
  <c r="EM50" i="4"/>
  <c r="EL50" i="4"/>
  <c r="EK50" i="4"/>
  <c r="EJ50" i="4"/>
  <c r="EI50" i="4"/>
  <c r="EH50" i="4"/>
  <c r="EG50" i="4"/>
  <c r="EF50" i="4"/>
  <c r="EE50" i="4"/>
  <c r="ED50" i="4"/>
  <c r="EC50" i="4"/>
  <c r="EB50" i="4"/>
  <c r="EA50" i="4"/>
  <c r="DZ50" i="4"/>
  <c r="DY50" i="4"/>
  <c r="DX50" i="4"/>
  <c r="DW50" i="4"/>
  <c r="DV50" i="4"/>
  <c r="DU50" i="4"/>
  <c r="DT50" i="4"/>
  <c r="DS50" i="4"/>
  <c r="DR50" i="4"/>
  <c r="DQ50" i="4"/>
  <c r="DP50" i="4"/>
  <c r="DO50" i="4"/>
  <c r="DN50" i="4"/>
  <c r="DM50" i="4"/>
  <c r="DL50" i="4"/>
  <c r="DK50" i="4"/>
  <c r="DJ50" i="4"/>
  <c r="DI50" i="4"/>
  <c r="DH50" i="4"/>
  <c r="DG50" i="4"/>
  <c r="DF50" i="4"/>
  <c r="DE50" i="4"/>
  <c r="DD50" i="4"/>
  <c r="DC50" i="4"/>
  <c r="DB50" i="4"/>
  <c r="DA50" i="4"/>
  <c r="CZ50" i="4"/>
  <c r="CY50" i="4"/>
  <c r="CX50" i="4"/>
  <c r="CW50" i="4"/>
  <c r="CV50" i="4"/>
  <c r="CU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C50" i="4"/>
  <c r="CB50" i="4"/>
  <c r="CA50" i="4"/>
  <c r="BZ50" i="4"/>
  <c r="BY50" i="4"/>
  <c r="BX50" i="4"/>
  <c r="BW50" i="4"/>
  <c r="BV50" i="4"/>
  <c r="BU50" i="4"/>
  <c r="BT50" i="4"/>
  <c r="BS50" i="4"/>
  <c r="BR50" i="4"/>
  <c r="BQ50" i="4"/>
  <c r="BP50" i="4"/>
  <c r="BO50" i="4"/>
  <c r="BN50" i="4"/>
  <c r="BM50" i="4"/>
  <c r="BL50" i="4"/>
  <c r="BK50" i="4"/>
  <c r="BJ50" i="4"/>
  <c r="BI50" i="4"/>
  <c r="BH50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KG49" i="4"/>
  <c r="KF49" i="4"/>
  <c r="KE49" i="4"/>
  <c r="KD49" i="4"/>
  <c r="KC49" i="4"/>
  <c r="KB49" i="4"/>
  <c r="KA49" i="4"/>
  <c r="JZ49" i="4"/>
  <c r="JY49" i="4"/>
  <c r="JX49" i="4"/>
  <c r="JW49" i="4"/>
  <c r="JV49" i="4"/>
  <c r="JU49" i="4"/>
  <c r="JT49" i="4"/>
  <c r="JS49" i="4"/>
  <c r="JR49" i="4"/>
  <c r="JQ49" i="4"/>
  <c r="JP49" i="4"/>
  <c r="JO49" i="4"/>
  <c r="JN49" i="4"/>
  <c r="JM49" i="4"/>
  <c r="JL49" i="4"/>
  <c r="JK49" i="4"/>
  <c r="JJ49" i="4"/>
  <c r="JI49" i="4"/>
  <c r="JH49" i="4"/>
  <c r="JG49" i="4"/>
  <c r="JF49" i="4"/>
  <c r="JE49" i="4"/>
  <c r="JD49" i="4"/>
  <c r="JC49" i="4"/>
  <c r="JB49" i="4"/>
  <c r="JA49" i="4"/>
  <c r="IZ49" i="4"/>
  <c r="IY49" i="4"/>
  <c r="IX49" i="4"/>
  <c r="IW49" i="4"/>
  <c r="IV49" i="4"/>
  <c r="IU49" i="4"/>
  <c r="IT49" i="4"/>
  <c r="IS49" i="4"/>
  <c r="IR49" i="4"/>
  <c r="IQ49" i="4"/>
  <c r="IP49" i="4"/>
  <c r="IO49" i="4"/>
  <c r="IN49" i="4"/>
  <c r="IM49" i="4"/>
  <c r="IL49" i="4"/>
  <c r="IK49" i="4"/>
  <c r="IJ49" i="4"/>
  <c r="II49" i="4"/>
  <c r="IH49" i="4"/>
  <c r="IG49" i="4"/>
  <c r="IF49" i="4"/>
  <c r="IE49" i="4"/>
  <c r="ID49" i="4"/>
  <c r="IC49" i="4"/>
  <c r="IB49" i="4"/>
  <c r="IA49" i="4"/>
  <c r="HZ49" i="4"/>
  <c r="HY49" i="4"/>
  <c r="HX49" i="4"/>
  <c r="HW49" i="4"/>
  <c r="HV49" i="4"/>
  <c r="HU49" i="4"/>
  <c r="HT49" i="4"/>
  <c r="HS49" i="4"/>
  <c r="HR49" i="4"/>
  <c r="HQ49" i="4"/>
  <c r="HP49" i="4"/>
  <c r="HO49" i="4"/>
  <c r="HN49" i="4"/>
  <c r="HM49" i="4"/>
  <c r="HL49" i="4"/>
  <c r="HK49" i="4"/>
  <c r="HJ49" i="4"/>
  <c r="HI49" i="4"/>
  <c r="HH49" i="4"/>
  <c r="HG49" i="4"/>
  <c r="HF49" i="4"/>
  <c r="HE49" i="4"/>
  <c r="HD49" i="4"/>
  <c r="HC49" i="4"/>
  <c r="HB49" i="4"/>
  <c r="HA49" i="4"/>
  <c r="GZ49" i="4"/>
  <c r="GY49" i="4"/>
  <c r="GX49" i="4"/>
  <c r="GW49" i="4"/>
  <c r="GV49" i="4"/>
  <c r="GU49" i="4"/>
  <c r="GT49" i="4"/>
  <c r="GS49" i="4"/>
  <c r="GR49" i="4"/>
  <c r="GQ49" i="4"/>
  <c r="GP49" i="4"/>
  <c r="GO49" i="4"/>
  <c r="GN49" i="4"/>
  <c r="GM49" i="4"/>
  <c r="GL49" i="4"/>
  <c r="GK49" i="4"/>
  <c r="GJ49" i="4"/>
  <c r="GI49" i="4"/>
  <c r="GH49" i="4"/>
  <c r="GG49" i="4"/>
  <c r="GF49" i="4"/>
  <c r="GE49" i="4"/>
  <c r="GD49" i="4"/>
  <c r="GC49" i="4"/>
  <c r="GB49" i="4"/>
  <c r="GA49" i="4"/>
  <c r="FZ49" i="4"/>
  <c r="FY49" i="4"/>
  <c r="FX49" i="4"/>
  <c r="FW49" i="4"/>
  <c r="FV49" i="4"/>
  <c r="FU49" i="4"/>
  <c r="FT49" i="4"/>
  <c r="FS49" i="4"/>
  <c r="FR49" i="4"/>
  <c r="FQ49" i="4"/>
  <c r="FP49" i="4"/>
  <c r="FO49" i="4"/>
  <c r="FN49" i="4"/>
  <c r="FM49" i="4"/>
  <c r="FL49" i="4"/>
  <c r="FK49" i="4"/>
  <c r="FJ49" i="4"/>
  <c r="FI49" i="4"/>
  <c r="FH49" i="4"/>
  <c r="FG49" i="4"/>
  <c r="FF49" i="4"/>
  <c r="FE49" i="4"/>
  <c r="FD49" i="4"/>
  <c r="FC49" i="4"/>
  <c r="FB49" i="4"/>
  <c r="FA49" i="4"/>
  <c r="EZ49" i="4"/>
  <c r="EY49" i="4"/>
  <c r="EX49" i="4"/>
  <c r="EW49" i="4"/>
  <c r="EV49" i="4"/>
  <c r="EU49" i="4"/>
  <c r="ET49" i="4"/>
  <c r="ES49" i="4"/>
  <c r="ER49" i="4"/>
  <c r="EQ49" i="4"/>
  <c r="EP49" i="4"/>
  <c r="EO49" i="4"/>
  <c r="EN49" i="4"/>
  <c r="EM49" i="4"/>
  <c r="EL49" i="4"/>
  <c r="EK49" i="4"/>
  <c r="EJ49" i="4"/>
  <c r="EI49" i="4"/>
  <c r="EH49" i="4"/>
  <c r="EG49" i="4"/>
  <c r="EF49" i="4"/>
  <c r="EE49" i="4"/>
  <c r="ED49" i="4"/>
  <c r="EC49" i="4"/>
  <c r="EB49" i="4"/>
  <c r="EA49" i="4"/>
  <c r="DZ49" i="4"/>
  <c r="DY49" i="4"/>
  <c r="DX49" i="4"/>
  <c r="DW49" i="4"/>
  <c r="DV49" i="4"/>
  <c r="DU49" i="4"/>
  <c r="DT49" i="4"/>
  <c r="DS49" i="4"/>
  <c r="DR49" i="4"/>
  <c r="DQ49" i="4"/>
  <c r="DP49" i="4"/>
  <c r="DO49" i="4"/>
  <c r="DN49" i="4"/>
  <c r="DM49" i="4"/>
  <c r="DL49" i="4"/>
  <c r="DK49" i="4"/>
  <c r="DJ49" i="4"/>
  <c r="DI49" i="4"/>
  <c r="DH49" i="4"/>
  <c r="DG49" i="4"/>
  <c r="DF49" i="4"/>
  <c r="DE49" i="4"/>
  <c r="DD49" i="4"/>
  <c r="DC49" i="4"/>
  <c r="DB49" i="4"/>
  <c r="DA49" i="4"/>
  <c r="CZ49" i="4"/>
  <c r="CY49" i="4"/>
  <c r="CX49" i="4"/>
  <c r="CW49" i="4"/>
  <c r="CV49" i="4"/>
  <c r="CU49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C49" i="4"/>
  <c r="CB49" i="4"/>
  <c r="CA49" i="4"/>
  <c r="BZ49" i="4"/>
  <c r="BY49" i="4"/>
  <c r="BX49" i="4"/>
  <c r="BW49" i="4"/>
  <c r="BV49" i="4"/>
  <c r="BU49" i="4"/>
  <c r="BT49" i="4"/>
  <c r="BS49" i="4"/>
  <c r="BR49" i="4"/>
  <c r="BQ49" i="4"/>
  <c r="BP49" i="4"/>
  <c r="BO49" i="4"/>
  <c r="BN49" i="4"/>
  <c r="BM49" i="4"/>
  <c r="BL49" i="4"/>
  <c r="BK49" i="4"/>
  <c r="BJ49" i="4"/>
  <c r="BI49" i="4"/>
  <c r="BH49" i="4"/>
  <c r="BG49" i="4"/>
  <c r="BF49" i="4"/>
  <c r="BE49" i="4"/>
  <c r="BD49" i="4"/>
  <c r="BC49" i="4"/>
  <c r="BB49" i="4"/>
  <c r="BA49" i="4"/>
  <c r="AZ49" i="4"/>
  <c r="AY49" i="4"/>
  <c r="AX49" i="4"/>
  <c r="AW49" i="4"/>
  <c r="AV49" i="4"/>
  <c r="AU49" i="4"/>
  <c r="AT49" i="4"/>
  <c r="AS49" i="4"/>
  <c r="AR49" i="4"/>
  <c r="AQ49" i="4"/>
  <c r="AP49" i="4"/>
  <c r="AO49" i="4"/>
  <c r="AN49" i="4"/>
  <c r="AM49" i="4"/>
  <c r="AL49" i="4"/>
  <c r="AK49" i="4"/>
  <c r="AJ49" i="4"/>
  <c r="AI49" i="4"/>
  <c r="AH49" i="4"/>
  <c r="AG49" i="4"/>
  <c r="AF49" i="4"/>
  <c r="AE49" i="4"/>
  <c r="AD49" i="4"/>
  <c r="AC49" i="4"/>
  <c r="AB49" i="4"/>
  <c r="AA49" i="4"/>
  <c r="Z49" i="4"/>
  <c r="Y49" i="4"/>
  <c r="X49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KG48" i="4"/>
  <c r="KF48" i="4"/>
  <c r="KE48" i="4"/>
  <c r="KD48" i="4"/>
  <c r="KC48" i="4"/>
  <c r="KB48" i="4"/>
  <c r="KA48" i="4"/>
  <c r="JZ48" i="4"/>
  <c r="JY48" i="4"/>
  <c r="JX48" i="4"/>
  <c r="JW48" i="4"/>
  <c r="JV48" i="4"/>
  <c r="JU48" i="4"/>
  <c r="JT48" i="4"/>
  <c r="JS48" i="4"/>
  <c r="JR48" i="4"/>
  <c r="JQ48" i="4"/>
  <c r="JP48" i="4"/>
  <c r="JO48" i="4"/>
  <c r="JN48" i="4"/>
  <c r="JM48" i="4"/>
  <c r="JL48" i="4"/>
  <c r="JK48" i="4"/>
  <c r="JJ48" i="4"/>
  <c r="JI48" i="4"/>
  <c r="JH48" i="4"/>
  <c r="JG48" i="4"/>
  <c r="JF48" i="4"/>
  <c r="JE48" i="4"/>
  <c r="JD48" i="4"/>
  <c r="JC48" i="4"/>
  <c r="JB48" i="4"/>
  <c r="JA48" i="4"/>
  <c r="IZ48" i="4"/>
  <c r="IY48" i="4"/>
  <c r="IX48" i="4"/>
  <c r="IW48" i="4"/>
  <c r="IV48" i="4"/>
  <c r="IU48" i="4"/>
  <c r="IT48" i="4"/>
  <c r="IS48" i="4"/>
  <c r="IR48" i="4"/>
  <c r="IQ48" i="4"/>
  <c r="IP48" i="4"/>
  <c r="IO48" i="4"/>
  <c r="IN48" i="4"/>
  <c r="IM48" i="4"/>
  <c r="IL48" i="4"/>
  <c r="IK48" i="4"/>
  <c r="IJ48" i="4"/>
  <c r="II48" i="4"/>
  <c r="IH48" i="4"/>
  <c r="IG48" i="4"/>
  <c r="IF48" i="4"/>
  <c r="IE48" i="4"/>
  <c r="ID48" i="4"/>
  <c r="IC48" i="4"/>
  <c r="IB48" i="4"/>
  <c r="IA48" i="4"/>
  <c r="HZ48" i="4"/>
  <c r="HY48" i="4"/>
  <c r="HX48" i="4"/>
  <c r="HW48" i="4"/>
  <c r="HV48" i="4"/>
  <c r="HU48" i="4"/>
  <c r="HT48" i="4"/>
  <c r="HS48" i="4"/>
  <c r="HR48" i="4"/>
  <c r="HQ48" i="4"/>
  <c r="HP48" i="4"/>
  <c r="HO48" i="4"/>
  <c r="HN48" i="4"/>
  <c r="HM48" i="4"/>
  <c r="HL48" i="4"/>
  <c r="HK48" i="4"/>
  <c r="HJ48" i="4"/>
  <c r="HI48" i="4"/>
  <c r="HH48" i="4"/>
  <c r="HG48" i="4"/>
  <c r="HF48" i="4"/>
  <c r="HE48" i="4"/>
  <c r="HD48" i="4"/>
  <c r="HC48" i="4"/>
  <c r="HB48" i="4"/>
  <c r="HA48" i="4"/>
  <c r="GZ48" i="4"/>
  <c r="GY48" i="4"/>
  <c r="GX48" i="4"/>
  <c r="GW48" i="4"/>
  <c r="GV48" i="4"/>
  <c r="GU48" i="4"/>
  <c r="GT48" i="4"/>
  <c r="GS48" i="4"/>
  <c r="GR48" i="4"/>
  <c r="GQ48" i="4"/>
  <c r="GP48" i="4"/>
  <c r="GO48" i="4"/>
  <c r="GN48" i="4"/>
  <c r="GM48" i="4"/>
  <c r="GL48" i="4"/>
  <c r="GK48" i="4"/>
  <c r="GJ48" i="4"/>
  <c r="GI48" i="4"/>
  <c r="GH48" i="4"/>
  <c r="GG48" i="4"/>
  <c r="GF48" i="4"/>
  <c r="GE48" i="4"/>
  <c r="GD48" i="4"/>
  <c r="GC48" i="4"/>
  <c r="GB48" i="4"/>
  <c r="GA48" i="4"/>
  <c r="FZ48" i="4"/>
  <c r="FY48" i="4"/>
  <c r="FX48" i="4"/>
  <c r="FW48" i="4"/>
  <c r="FV48" i="4"/>
  <c r="FU48" i="4"/>
  <c r="FT48" i="4"/>
  <c r="FS48" i="4"/>
  <c r="FR48" i="4"/>
  <c r="FQ48" i="4"/>
  <c r="FP48" i="4"/>
  <c r="FO48" i="4"/>
  <c r="FN48" i="4"/>
  <c r="FM48" i="4"/>
  <c r="FL48" i="4"/>
  <c r="FK48" i="4"/>
  <c r="FJ48" i="4"/>
  <c r="FI48" i="4"/>
  <c r="FH48" i="4"/>
  <c r="FG48" i="4"/>
  <c r="FF48" i="4"/>
  <c r="FE48" i="4"/>
  <c r="FD48" i="4"/>
  <c r="FC48" i="4"/>
  <c r="FB48" i="4"/>
  <c r="FA48" i="4"/>
  <c r="EZ48" i="4"/>
  <c r="EY48" i="4"/>
  <c r="EX48" i="4"/>
  <c r="EW48" i="4"/>
  <c r="EV48" i="4"/>
  <c r="EU48" i="4"/>
  <c r="ET48" i="4"/>
  <c r="ES48" i="4"/>
  <c r="ER48" i="4"/>
  <c r="EQ48" i="4"/>
  <c r="EP48" i="4"/>
  <c r="EO48" i="4"/>
  <c r="EN48" i="4"/>
  <c r="EM48" i="4"/>
  <c r="EL48" i="4"/>
  <c r="EK48" i="4"/>
  <c r="EJ48" i="4"/>
  <c r="EI48" i="4"/>
  <c r="EH48" i="4"/>
  <c r="EG48" i="4"/>
  <c r="EF48" i="4"/>
  <c r="EE48" i="4"/>
  <c r="ED48" i="4"/>
  <c r="EC48" i="4"/>
  <c r="EB48" i="4"/>
  <c r="EA48" i="4"/>
  <c r="DZ48" i="4"/>
  <c r="DY48" i="4"/>
  <c r="DX48" i="4"/>
  <c r="DW48" i="4"/>
  <c r="DV48" i="4"/>
  <c r="DU48" i="4"/>
  <c r="DT48" i="4"/>
  <c r="DS48" i="4"/>
  <c r="DR48" i="4"/>
  <c r="DQ48" i="4"/>
  <c r="DP48" i="4"/>
  <c r="DO48" i="4"/>
  <c r="DN48" i="4"/>
  <c r="DM48" i="4"/>
  <c r="DL48" i="4"/>
  <c r="DK48" i="4"/>
  <c r="DJ48" i="4"/>
  <c r="DI48" i="4"/>
  <c r="DH48" i="4"/>
  <c r="DG48" i="4"/>
  <c r="DF48" i="4"/>
  <c r="DE48" i="4"/>
  <c r="DD48" i="4"/>
  <c r="DC48" i="4"/>
  <c r="DB48" i="4"/>
  <c r="DA48" i="4"/>
  <c r="CZ48" i="4"/>
  <c r="CY48" i="4"/>
  <c r="CX48" i="4"/>
  <c r="CW48" i="4"/>
  <c r="CV48" i="4"/>
  <c r="CU48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C48" i="4"/>
  <c r="CB48" i="4"/>
  <c r="CA48" i="4"/>
  <c r="BZ48" i="4"/>
  <c r="BY48" i="4"/>
  <c r="BX48" i="4"/>
  <c r="BW48" i="4"/>
  <c r="BV48" i="4"/>
  <c r="BU48" i="4"/>
  <c r="BT48" i="4"/>
  <c r="BS48" i="4"/>
  <c r="BR48" i="4"/>
  <c r="BQ48" i="4"/>
  <c r="BP48" i="4"/>
  <c r="BO48" i="4"/>
  <c r="BN48" i="4"/>
  <c r="BM48" i="4"/>
  <c r="BL48" i="4"/>
  <c r="BK48" i="4"/>
  <c r="BJ48" i="4"/>
  <c r="BI48" i="4"/>
  <c r="BH48" i="4"/>
  <c r="BG48" i="4"/>
  <c r="BF48" i="4"/>
  <c r="BE48" i="4"/>
  <c r="BD48" i="4"/>
  <c r="BC48" i="4"/>
  <c r="BB48" i="4"/>
  <c r="BA48" i="4"/>
  <c r="AZ48" i="4"/>
  <c r="AY48" i="4"/>
  <c r="AX48" i="4"/>
  <c r="AW48" i="4"/>
  <c r="AV48" i="4"/>
  <c r="AU48" i="4"/>
  <c r="AT48" i="4"/>
  <c r="AS48" i="4"/>
  <c r="AR48" i="4"/>
  <c r="AQ48" i="4"/>
  <c r="AP48" i="4"/>
  <c r="AO48" i="4"/>
  <c r="AN48" i="4"/>
  <c r="AM48" i="4"/>
  <c r="AL48" i="4"/>
  <c r="AK48" i="4"/>
  <c r="AJ48" i="4"/>
  <c r="AI48" i="4"/>
  <c r="AH48" i="4"/>
  <c r="AG48" i="4"/>
  <c r="AF48" i="4"/>
  <c r="AE48" i="4"/>
  <c r="AD48" i="4"/>
  <c r="AC48" i="4"/>
  <c r="AB48" i="4"/>
  <c r="AA48" i="4"/>
  <c r="Z48" i="4"/>
  <c r="Y48" i="4"/>
  <c r="X48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KG47" i="4"/>
  <c r="KF47" i="4"/>
  <c r="KE47" i="4"/>
  <c r="KD47" i="4"/>
  <c r="KC47" i="4"/>
  <c r="KB47" i="4"/>
  <c r="KA47" i="4"/>
  <c r="JZ47" i="4"/>
  <c r="JY47" i="4"/>
  <c r="JX47" i="4"/>
  <c r="JW47" i="4"/>
  <c r="JV47" i="4"/>
  <c r="JU47" i="4"/>
  <c r="JT47" i="4"/>
  <c r="JS47" i="4"/>
  <c r="JR47" i="4"/>
  <c r="JQ47" i="4"/>
  <c r="JP47" i="4"/>
  <c r="JO47" i="4"/>
  <c r="JN47" i="4"/>
  <c r="JM47" i="4"/>
  <c r="JL47" i="4"/>
  <c r="JK47" i="4"/>
  <c r="JJ47" i="4"/>
  <c r="JI47" i="4"/>
  <c r="JH47" i="4"/>
  <c r="JG47" i="4"/>
  <c r="JF47" i="4"/>
  <c r="JE47" i="4"/>
  <c r="JD47" i="4"/>
  <c r="JC47" i="4"/>
  <c r="JB47" i="4"/>
  <c r="JA47" i="4"/>
  <c r="IZ47" i="4"/>
  <c r="IY47" i="4"/>
  <c r="IX47" i="4"/>
  <c r="IW47" i="4"/>
  <c r="IV47" i="4"/>
  <c r="IU47" i="4"/>
  <c r="IT47" i="4"/>
  <c r="IS47" i="4"/>
  <c r="IR47" i="4"/>
  <c r="IQ47" i="4"/>
  <c r="IP47" i="4"/>
  <c r="IO47" i="4"/>
  <c r="IN47" i="4"/>
  <c r="IM47" i="4"/>
  <c r="IL47" i="4"/>
  <c r="IK47" i="4"/>
  <c r="IJ47" i="4"/>
  <c r="II47" i="4"/>
  <c r="IH47" i="4"/>
  <c r="IG47" i="4"/>
  <c r="IF47" i="4"/>
  <c r="IE47" i="4"/>
  <c r="ID47" i="4"/>
  <c r="IC47" i="4"/>
  <c r="IB47" i="4"/>
  <c r="IA47" i="4"/>
  <c r="HZ47" i="4"/>
  <c r="HY47" i="4"/>
  <c r="HX47" i="4"/>
  <c r="HW47" i="4"/>
  <c r="HV47" i="4"/>
  <c r="HU47" i="4"/>
  <c r="HT47" i="4"/>
  <c r="HS47" i="4"/>
  <c r="HR47" i="4"/>
  <c r="HQ47" i="4"/>
  <c r="HP47" i="4"/>
  <c r="HO47" i="4"/>
  <c r="HN47" i="4"/>
  <c r="HM47" i="4"/>
  <c r="HL47" i="4"/>
  <c r="HK47" i="4"/>
  <c r="HJ47" i="4"/>
  <c r="HI47" i="4"/>
  <c r="HH47" i="4"/>
  <c r="HG47" i="4"/>
  <c r="HF47" i="4"/>
  <c r="HE47" i="4"/>
  <c r="HD47" i="4"/>
  <c r="HC47" i="4"/>
  <c r="HB47" i="4"/>
  <c r="HA47" i="4"/>
  <c r="GZ47" i="4"/>
  <c r="GY47" i="4"/>
  <c r="GX47" i="4"/>
  <c r="GW47" i="4"/>
  <c r="GV47" i="4"/>
  <c r="GU47" i="4"/>
  <c r="GT47" i="4"/>
  <c r="GS47" i="4"/>
  <c r="GR47" i="4"/>
  <c r="GQ47" i="4"/>
  <c r="GP47" i="4"/>
  <c r="GO47" i="4"/>
  <c r="GN47" i="4"/>
  <c r="GM47" i="4"/>
  <c r="GL47" i="4"/>
  <c r="GK47" i="4"/>
  <c r="GJ47" i="4"/>
  <c r="GI47" i="4"/>
  <c r="GH47" i="4"/>
  <c r="GG47" i="4"/>
  <c r="GF47" i="4"/>
  <c r="GE47" i="4"/>
  <c r="GD47" i="4"/>
  <c r="GC47" i="4"/>
  <c r="GB47" i="4"/>
  <c r="GA47" i="4"/>
  <c r="FZ47" i="4"/>
  <c r="FY47" i="4"/>
  <c r="FX47" i="4"/>
  <c r="FW47" i="4"/>
  <c r="FV47" i="4"/>
  <c r="FU47" i="4"/>
  <c r="FT47" i="4"/>
  <c r="FS47" i="4"/>
  <c r="FR47" i="4"/>
  <c r="FQ47" i="4"/>
  <c r="FP47" i="4"/>
  <c r="FO47" i="4"/>
  <c r="FN47" i="4"/>
  <c r="FM47" i="4"/>
  <c r="FL47" i="4"/>
  <c r="FK47" i="4"/>
  <c r="FJ47" i="4"/>
  <c r="FI47" i="4"/>
  <c r="FH47" i="4"/>
  <c r="FG47" i="4"/>
  <c r="FF47" i="4"/>
  <c r="FE47" i="4"/>
  <c r="FD47" i="4"/>
  <c r="FC47" i="4"/>
  <c r="FB47" i="4"/>
  <c r="FA47" i="4"/>
  <c r="EZ47" i="4"/>
  <c r="EY47" i="4"/>
  <c r="EX47" i="4"/>
  <c r="EW47" i="4"/>
  <c r="EV47" i="4"/>
  <c r="EU47" i="4"/>
  <c r="ET47" i="4"/>
  <c r="ES47" i="4"/>
  <c r="ER47" i="4"/>
  <c r="EQ47" i="4"/>
  <c r="EP47" i="4"/>
  <c r="EO47" i="4"/>
  <c r="EN47" i="4"/>
  <c r="EM47" i="4"/>
  <c r="EL47" i="4"/>
  <c r="EK47" i="4"/>
  <c r="EJ47" i="4"/>
  <c r="EI47" i="4"/>
  <c r="EH47" i="4"/>
  <c r="EG47" i="4"/>
  <c r="EF47" i="4"/>
  <c r="EE47" i="4"/>
  <c r="ED47" i="4"/>
  <c r="EC47" i="4"/>
  <c r="EB47" i="4"/>
  <c r="EA47" i="4"/>
  <c r="DZ47" i="4"/>
  <c r="DY47" i="4"/>
  <c r="DX47" i="4"/>
  <c r="DW47" i="4"/>
  <c r="DV47" i="4"/>
  <c r="DU47" i="4"/>
  <c r="DT47" i="4"/>
  <c r="DS47" i="4"/>
  <c r="DR47" i="4"/>
  <c r="DQ47" i="4"/>
  <c r="DP47" i="4"/>
  <c r="DO47" i="4"/>
  <c r="DN47" i="4"/>
  <c r="DM47" i="4"/>
  <c r="DL47" i="4"/>
  <c r="DK47" i="4"/>
  <c r="DJ47" i="4"/>
  <c r="DI47" i="4"/>
  <c r="DH47" i="4"/>
  <c r="DG47" i="4"/>
  <c r="DF47" i="4"/>
  <c r="DE47" i="4"/>
  <c r="DD47" i="4"/>
  <c r="DC47" i="4"/>
  <c r="DB47" i="4"/>
  <c r="DA47" i="4"/>
  <c r="CZ47" i="4"/>
  <c r="CY47" i="4"/>
  <c r="CX47" i="4"/>
  <c r="CW47" i="4"/>
  <c r="CV47" i="4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C47" i="4"/>
  <c r="CB47" i="4"/>
  <c r="CA47" i="4"/>
  <c r="BZ47" i="4"/>
  <c r="BY47" i="4"/>
  <c r="BX47" i="4"/>
  <c r="BW47" i="4"/>
  <c r="BV47" i="4"/>
  <c r="BU47" i="4"/>
  <c r="BT47" i="4"/>
  <c r="BS47" i="4"/>
  <c r="BR47" i="4"/>
  <c r="BQ47" i="4"/>
  <c r="BP47" i="4"/>
  <c r="BO47" i="4"/>
  <c r="BN47" i="4"/>
  <c r="BM47" i="4"/>
  <c r="BL47" i="4"/>
  <c r="BK47" i="4"/>
  <c r="BJ47" i="4"/>
  <c r="BI47" i="4"/>
  <c r="BH47" i="4"/>
  <c r="BG47" i="4"/>
  <c r="BF47" i="4"/>
  <c r="BE47" i="4"/>
  <c r="BD47" i="4"/>
  <c r="BC47" i="4"/>
  <c r="BB47" i="4"/>
  <c r="BA47" i="4"/>
  <c r="AZ47" i="4"/>
  <c r="AY47" i="4"/>
  <c r="AX47" i="4"/>
  <c r="AW47" i="4"/>
  <c r="AV47" i="4"/>
  <c r="AU47" i="4"/>
  <c r="AT47" i="4"/>
  <c r="AS47" i="4"/>
  <c r="AR47" i="4"/>
  <c r="AQ47" i="4"/>
  <c r="AP47" i="4"/>
  <c r="AO47" i="4"/>
  <c r="AN47" i="4"/>
  <c r="AM47" i="4"/>
  <c r="AL47" i="4"/>
  <c r="AK47" i="4"/>
  <c r="AJ47" i="4"/>
  <c r="AI47" i="4"/>
  <c r="AH47" i="4"/>
  <c r="AG47" i="4"/>
  <c r="AF47" i="4"/>
  <c r="AE47" i="4"/>
  <c r="AD47" i="4"/>
  <c r="AC47" i="4"/>
  <c r="AB47" i="4"/>
  <c r="AA47" i="4"/>
  <c r="Z47" i="4"/>
  <c r="Y47" i="4"/>
  <c r="X47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KG46" i="4"/>
  <c r="KF46" i="4"/>
  <c r="KE46" i="4"/>
  <c r="KD46" i="4"/>
  <c r="KC46" i="4"/>
  <c r="KB46" i="4"/>
  <c r="KA46" i="4"/>
  <c r="JZ46" i="4"/>
  <c r="JY46" i="4"/>
  <c r="JX46" i="4"/>
  <c r="JW46" i="4"/>
  <c r="JV46" i="4"/>
  <c r="JU46" i="4"/>
  <c r="JT46" i="4"/>
  <c r="JS46" i="4"/>
  <c r="JR46" i="4"/>
  <c r="JQ46" i="4"/>
  <c r="JP46" i="4"/>
  <c r="JO46" i="4"/>
  <c r="JN46" i="4"/>
  <c r="JM46" i="4"/>
  <c r="JL46" i="4"/>
  <c r="JK46" i="4"/>
  <c r="JJ46" i="4"/>
  <c r="JI46" i="4"/>
  <c r="JH46" i="4"/>
  <c r="JG46" i="4"/>
  <c r="JF46" i="4"/>
  <c r="JE46" i="4"/>
  <c r="JD46" i="4"/>
  <c r="JC46" i="4"/>
  <c r="JB46" i="4"/>
  <c r="JA46" i="4"/>
  <c r="IZ46" i="4"/>
  <c r="IY46" i="4"/>
  <c r="IX46" i="4"/>
  <c r="IW46" i="4"/>
  <c r="IV46" i="4"/>
  <c r="IU46" i="4"/>
  <c r="IT46" i="4"/>
  <c r="IS46" i="4"/>
  <c r="IR46" i="4"/>
  <c r="IQ46" i="4"/>
  <c r="IP46" i="4"/>
  <c r="IO46" i="4"/>
  <c r="IN46" i="4"/>
  <c r="IM46" i="4"/>
  <c r="IL46" i="4"/>
  <c r="IK46" i="4"/>
  <c r="IJ46" i="4"/>
  <c r="II46" i="4"/>
  <c r="IH46" i="4"/>
  <c r="IG46" i="4"/>
  <c r="IF46" i="4"/>
  <c r="IE46" i="4"/>
  <c r="ID46" i="4"/>
  <c r="IC46" i="4"/>
  <c r="IB46" i="4"/>
  <c r="IA46" i="4"/>
  <c r="HZ46" i="4"/>
  <c r="HY46" i="4"/>
  <c r="HX46" i="4"/>
  <c r="HW46" i="4"/>
  <c r="HV46" i="4"/>
  <c r="HU46" i="4"/>
  <c r="HT46" i="4"/>
  <c r="HS46" i="4"/>
  <c r="HR46" i="4"/>
  <c r="HQ46" i="4"/>
  <c r="HP46" i="4"/>
  <c r="HO46" i="4"/>
  <c r="HN46" i="4"/>
  <c r="HM46" i="4"/>
  <c r="HL46" i="4"/>
  <c r="HK46" i="4"/>
  <c r="HJ46" i="4"/>
  <c r="HI46" i="4"/>
  <c r="HH46" i="4"/>
  <c r="HG46" i="4"/>
  <c r="HF46" i="4"/>
  <c r="HE46" i="4"/>
  <c r="HD46" i="4"/>
  <c r="HC46" i="4"/>
  <c r="HB46" i="4"/>
  <c r="HA46" i="4"/>
  <c r="GZ46" i="4"/>
  <c r="GY46" i="4"/>
  <c r="GX46" i="4"/>
  <c r="GW46" i="4"/>
  <c r="GV46" i="4"/>
  <c r="GU46" i="4"/>
  <c r="GT46" i="4"/>
  <c r="GS46" i="4"/>
  <c r="GR46" i="4"/>
  <c r="GQ46" i="4"/>
  <c r="GP46" i="4"/>
  <c r="GO46" i="4"/>
  <c r="GN46" i="4"/>
  <c r="GM46" i="4"/>
  <c r="GL46" i="4"/>
  <c r="GK46" i="4"/>
  <c r="GJ46" i="4"/>
  <c r="GI46" i="4"/>
  <c r="GH46" i="4"/>
  <c r="GG46" i="4"/>
  <c r="GF46" i="4"/>
  <c r="GE46" i="4"/>
  <c r="GD46" i="4"/>
  <c r="GC46" i="4"/>
  <c r="GB46" i="4"/>
  <c r="GA46" i="4"/>
  <c r="FZ46" i="4"/>
  <c r="FY46" i="4"/>
  <c r="FX46" i="4"/>
  <c r="FW46" i="4"/>
  <c r="FV46" i="4"/>
  <c r="FU46" i="4"/>
  <c r="FT46" i="4"/>
  <c r="FS46" i="4"/>
  <c r="FR46" i="4"/>
  <c r="FQ46" i="4"/>
  <c r="FP46" i="4"/>
  <c r="FO46" i="4"/>
  <c r="FN46" i="4"/>
  <c r="FM46" i="4"/>
  <c r="FL46" i="4"/>
  <c r="FK46" i="4"/>
  <c r="FJ46" i="4"/>
  <c r="FI46" i="4"/>
  <c r="FH46" i="4"/>
  <c r="FG46" i="4"/>
  <c r="FF46" i="4"/>
  <c r="FE46" i="4"/>
  <c r="FD46" i="4"/>
  <c r="FC46" i="4"/>
  <c r="FB46" i="4"/>
  <c r="FA46" i="4"/>
  <c r="EZ46" i="4"/>
  <c r="EY46" i="4"/>
  <c r="EX46" i="4"/>
  <c r="EW46" i="4"/>
  <c r="EV46" i="4"/>
  <c r="EU46" i="4"/>
  <c r="ET46" i="4"/>
  <c r="ES46" i="4"/>
  <c r="ER46" i="4"/>
  <c r="EQ46" i="4"/>
  <c r="EP46" i="4"/>
  <c r="EO46" i="4"/>
  <c r="EN46" i="4"/>
  <c r="EM46" i="4"/>
  <c r="EL46" i="4"/>
  <c r="EK46" i="4"/>
  <c r="EJ46" i="4"/>
  <c r="EI46" i="4"/>
  <c r="EH46" i="4"/>
  <c r="EG46" i="4"/>
  <c r="EF46" i="4"/>
  <c r="EE46" i="4"/>
  <c r="ED46" i="4"/>
  <c r="EC46" i="4"/>
  <c r="EB46" i="4"/>
  <c r="EA46" i="4"/>
  <c r="DZ46" i="4"/>
  <c r="DY46" i="4"/>
  <c r="DX46" i="4"/>
  <c r="DW46" i="4"/>
  <c r="DV46" i="4"/>
  <c r="DU46" i="4"/>
  <c r="DT46" i="4"/>
  <c r="DS46" i="4"/>
  <c r="DR46" i="4"/>
  <c r="DQ46" i="4"/>
  <c r="DP46" i="4"/>
  <c r="DO46" i="4"/>
  <c r="DN46" i="4"/>
  <c r="DM46" i="4"/>
  <c r="DL46" i="4"/>
  <c r="DK46" i="4"/>
  <c r="DJ46" i="4"/>
  <c r="DI46" i="4"/>
  <c r="DH46" i="4"/>
  <c r="DG46" i="4"/>
  <c r="DF46" i="4"/>
  <c r="DE46" i="4"/>
  <c r="DD46" i="4"/>
  <c r="DC46" i="4"/>
  <c r="DB46" i="4"/>
  <c r="DA46" i="4"/>
  <c r="CZ46" i="4"/>
  <c r="CY46" i="4"/>
  <c r="CX46" i="4"/>
  <c r="CW46" i="4"/>
  <c r="CV46" i="4"/>
  <c r="CU46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C46" i="4"/>
  <c r="CB46" i="4"/>
  <c r="CA46" i="4"/>
  <c r="BZ46" i="4"/>
  <c r="BY46" i="4"/>
  <c r="BX46" i="4"/>
  <c r="BW46" i="4"/>
  <c r="BV46" i="4"/>
  <c r="BU46" i="4"/>
  <c r="BT46" i="4"/>
  <c r="BS46" i="4"/>
  <c r="BR46" i="4"/>
  <c r="BQ46" i="4"/>
  <c r="BP46" i="4"/>
  <c r="BO46" i="4"/>
  <c r="BN46" i="4"/>
  <c r="BM46" i="4"/>
  <c r="BL46" i="4"/>
  <c r="BK46" i="4"/>
  <c r="BJ46" i="4"/>
  <c r="BI46" i="4"/>
  <c r="BH46" i="4"/>
  <c r="BG46" i="4"/>
  <c r="BF46" i="4"/>
  <c r="BE46" i="4"/>
  <c r="BD46" i="4"/>
  <c r="BC46" i="4"/>
  <c r="BB46" i="4"/>
  <c r="BA46" i="4"/>
  <c r="AZ46" i="4"/>
  <c r="AY46" i="4"/>
  <c r="AX46" i="4"/>
  <c r="AW46" i="4"/>
  <c r="AV46" i="4"/>
  <c r="AU46" i="4"/>
  <c r="AT46" i="4"/>
  <c r="AS46" i="4"/>
  <c r="AR46" i="4"/>
  <c r="AQ46" i="4"/>
  <c r="AP46" i="4"/>
  <c r="AO46" i="4"/>
  <c r="AN46" i="4"/>
  <c r="AM46" i="4"/>
  <c r="AL46" i="4"/>
  <c r="AK46" i="4"/>
  <c r="AJ46" i="4"/>
  <c r="AI46" i="4"/>
  <c r="AH46" i="4"/>
  <c r="AG46" i="4"/>
  <c r="AF46" i="4"/>
  <c r="AE46" i="4"/>
  <c r="AD46" i="4"/>
  <c r="AC46" i="4"/>
  <c r="AB46" i="4"/>
  <c r="AA46" i="4"/>
  <c r="Z46" i="4"/>
  <c r="Y46" i="4"/>
  <c r="X46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KG45" i="4"/>
  <c r="KF45" i="4"/>
  <c r="KE45" i="4"/>
  <c r="KD45" i="4"/>
  <c r="KC45" i="4"/>
  <c r="KB45" i="4"/>
  <c r="KA45" i="4"/>
  <c r="JZ45" i="4"/>
  <c r="JY45" i="4"/>
  <c r="JX45" i="4"/>
  <c r="JW45" i="4"/>
  <c r="JV45" i="4"/>
  <c r="JU45" i="4"/>
  <c r="JT45" i="4"/>
  <c r="JS45" i="4"/>
  <c r="JR45" i="4"/>
  <c r="JQ45" i="4"/>
  <c r="JP45" i="4"/>
  <c r="JO45" i="4"/>
  <c r="JN45" i="4"/>
  <c r="JM45" i="4"/>
  <c r="JL45" i="4"/>
  <c r="JK45" i="4"/>
  <c r="JJ45" i="4"/>
  <c r="JI45" i="4"/>
  <c r="JH45" i="4"/>
  <c r="JG45" i="4"/>
  <c r="JF45" i="4"/>
  <c r="JE45" i="4"/>
  <c r="JD45" i="4"/>
  <c r="JC45" i="4"/>
  <c r="JB45" i="4"/>
  <c r="JA45" i="4"/>
  <c r="IZ45" i="4"/>
  <c r="IY45" i="4"/>
  <c r="IX45" i="4"/>
  <c r="IW45" i="4"/>
  <c r="IV45" i="4"/>
  <c r="IU45" i="4"/>
  <c r="IT45" i="4"/>
  <c r="IS45" i="4"/>
  <c r="IR45" i="4"/>
  <c r="IQ45" i="4"/>
  <c r="IP45" i="4"/>
  <c r="IO45" i="4"/>
  <c r="IN45" i="4"/>
  <c r="IM45" i="4"/>
  <c r="IL45" i="4"/>
  <c r="IK45" i="4"/>
  <c r="IJ45" i="4"/>
  <c r="II45" i="4"/>
  <c r="IH45" i="4"/>
  <c r="IG45" i="4"/>
  <c r="IF45" i="4"/>
  <c r="IE45" i="4"/>
  <c r="ID45" i="4"/>
  <c r="IC45" i="4"/>
  <c r="IB45" i="4"/>
  <c r="IA45" i="4"/>
  <c r="HZ45" i="4"/>
  <c r="HY45" i="4"/>
  <c r="HX45" i="4"/>
  <c r="HW45" i="4"/>
  <c r="HV45" i="4"/>
  <c r="HU45" i="4"/>
  <c r="HT45" i="4"/>
  <c r="HS45" i="4"/>
  <c r="HR45" i="4"/>
  <c r="HQ45" i="4"/>
  <c r="HP45" i="4"/>
  <c r="HO45" i="4"/>
  <c r="HN45" i="4"/>
  <c r="HM45" i="4"/>
  <c r="HL45" i="4"/>
  <c r="HK45" i="4"/>
  <c r="HJ45" i="4"/>
  <c r="HI45" i="4"/>
  <c r="HH45" i="4"/>
  <c r="HG45" i="4"/>
  <c r="HF45" i="4"/>
  <c r="HE45" i="4"/>
  <c r="HD45" i="4"/>
  <c r="HC45" i="4"/>
  <c r="HB45" i="4"/>
  <c r="HA45" i="4"/>
  <c r="GZ45" i="4"/>
  <c r="GY45" i="4"/>
  <c r="GX45" i="4"/>
  <c r="GW45" i="4"/>
  <c r="GV45" i="4"/>
  <c r="GU45" i="4"/>
  <c r="GT45" i="4"/>
  <c r="GS45" i="4"/>
  <c r="GR45" i="4"/>
  <c r="GQ45" i="4"/>
  <c r="GP45" i="4"/>
  <c r="GO45" i="4"/>
  <c r="GN45" i="4"/>
  <c r="GM45" i="4"/>
  <c r="GL45" i="4"/>
  <c r="GK45" i="4"/>
  <c r="GJ45" i="4"/>
  <c r="GI45" i="4"/>
  <c r="GH45" i="4"/>
  <c r="GG45" i="4"/>
  <c r="GF45" i="4"/>
  <c r="GE45" i="4"/>
  <c r="GD45" i="4"/>
  <c r="GC45" i="4"/>
  <c r="GB45" i="4"/>
  <c r="GA45" i="4"/>
  <c r="FZ45" i="4"/>
  <c r="FY45" i="4"/>
  <c r="FX45" i="4"/>
  <c r="FW45" i="4"/>
  <c r="FV45" i="4"/>
  <c r="FU45" i="4"/>
  <c r="FT45" i="4"/>
  <c r="FS45" i="4"/>
  <c r="FR45" i="4"/>
  <c r="FQ45" i="4"/>
  <c r="FP45" i="4"/>
  <c r="FO45" i="4"/>
  <c r="FN45" i="4"/>
  <c r="FM45" i="4"/>
  <c r="FL45" i="4"/>
  <c r="FK45" i="4"/>
  <c r="FJ45" i="4"/>
  <c r="FI45" i="4"/>
  <c r="FH45" i="4"/>
  <c r="FG45" i="4"/>
  <c r="FF45" i="4"/>
  <c r="FE45" i="4"/>
  <c r="FD45" i="4"/>
  <c r="FC45" i="4"/>
  <c r="FB45" i="4"/>
  <c r="FA45" i="4"/>
  <c r="EZ45" i="4"/>
  <c r="EY45" i="4"/>
  <c r="EX45" i="4"/>
  <c r="EW45" i="4"/>
  <c r="EV45" i="4"/>
  <c r="EU45" i="4"/>
  <c r="ET45" i="4"/>
  <c r="ES45" i="4"/>
  <c r="ER45" i="4"/>
  <c r="EQ45" i="4"/>
  <c r="EP45" i="4"/>
  <c r="EO45" i="4"/>
  <c r="EN45" i="4"/>
  <c r="EM45" i="4"/>
  <c r="EL45" i="4"/>
  <c r="EK45" i="4"/>
  <c r="EJ45" i="4"/>
  <c r="EI45" i="4"/>
  <c r="EH45" i="4"/>
  <c r="EG45" i="4"/>
  <c r="EF45" i="4"/>
  <c r="EE45" i="4"/>
  <c r="ED45" i="4"/>
  <c r="EC45" i="4"/>
  <c r="EB45" i="4"/>
  <c r="EA45" i="4"/>
  <c r="DZ45" i="4"/>
  <c r="DY45" i="4"/>
  <c r="DX45" i="4"/>
  <c r="DW45" i="4"/>
  <c r="DV45" i="4"/>
  <c r="DU45" i="4"/>
  <c r="DT45" i="4"/>
  <c r="DS45" i="4"/>
  <c r="DR45" i="4"/>
  <c r="DQ45" i="4"/>
  <c r="DP45" i="4"/>
  <c r="DO45" i="4"/>
  <c r="DN45" i="4"/>
  <c r="DM45" i="4"/>
  <c r="DL45" i="4"/>
  <c r="DK45" i="4"/>
  <c r="DJ45" i="4"/>
  <c r="DI45" i="4"/>
  <c r="DH45" i="4"/>
  <c r="DG45" i="4"/>
  <c r="DF45" i="4"/>
  <c r="DE45" i="4"/>
  <c r="DD45" i="4"/>
  <c r="DC45" i="4"/>
  <c r="DB45" i="4"/>
  <c r="DA45" i="4"/>
  <c r="CZ45" i="4"/>
  <c r="CY45" i="4"/>
  <c r="CX45" i="4"/>
  <c r="CW45" i="4"/>
  <c r="CV45" i="4"/>
  <c r="CU45" i="4"/>
  <c r="CT45" i="4"/>
  <c r="CS45" i="4"/>
  <c r="CR45" i="4"/>
  <c r="CQ45" i="4"/>
  <c r="CP45" i="4"/>
  <c r="CO45" i="4"/>
  <c r="CN45" i="4"/>
  <c r="CM45" i="4"/>
  <c r="CL45" i="4"/>
  <c r="CK45" i="4"/>
  <c r="CJ45" i="4"/>
  <c r="CI45" i="4"/>
  <c r="CH45" i="4"/>
  <c r="CG45" i="4"/>
  <c r="CF45" i="4"/>
  <c r="CE45" i="4"/>
  <c r="CD45" i="4"/>
  <c r="CC45" i="4"/>
  <c r="CB45" i="4"/>
  <c r="CA45" i="4"/>
  <c r="BZ45" i="4"/>
  <c r="BY45" i="4"/>
  <c r="BX45" i="4"/>
  <c r="BW45" i="4"/>
  <c r="BV45" i="4"/>
  <c r="BU45" i="4"/>
  <c r="BT45" i="4"/>
  <c r="BS45" i="4"/>
  <c r="BR45" i="4"/>
  <c r="BQ45" i="4"/>
  <c r="BP45" i="4"/>
  <c r="BO45" i="4"/>
  <c r="BN45" i="4"/>
  <c r="BM45" i="4"/>
  <c r="BL45" i="4"/>
  <c r="BK45" i="4"/>
  <c r="BJ45" i="4"/>
  <c r="BI45" i="4"/>
  <c r="BH45" i="4"/>
  <c r="BG45" i="4"/>
  <c r="BF45" i="4"/>
  <c r="BE45" i="4"/>
  <c r="BD45" i="4"/>
  <c r="BC45" i="4"/>
  <c r="BB45" i="4"/>
  <c r="BA45" i="4"/>
  <c r="AZ45" i="4"/>
  <c r="AY45" i="4"/>
  <c r="AX45" i="4"/>
  <c r="AW45" i="4"/>
  <c r="AV45" i="4"/>
  <c r="AU45" i="4"/>
  <c r="AT45" i="4"/>
  <c r="AS45" i="4"/>
  <c r="AR45" i="4"/>
  <c r="AQ45" i="4"/>
  <c r="AP45" i="4"/>
  <c r="AO45" i="4"/>
  <c r="AN45" i="4"/>
  <c r="AM45" i="4"/>
  <c r="AL45" i="4"/>
  <c r="AK45" i="4"/>
  <c r="AJ45" i="4"/>
  <c r="AI45" i="4"/>
  <c r="AH45" i="4"/>
  <c r="AG45" i="4"/>
  <c r="AF45" i="4"/>
  <c r="AE45" i="4"/>
  <c r="AD45" i="4"/>
  <c r="AC45" i="4"/>
  <c r="AB45" i="4"/>
  <c r="AA45" i="4"/>
  <c r="Z45" i="4"/>
  <c r="Y45" i="4"/>
  <c r="X45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KG44" i="4"/>
  <c r="KF44" i="4"/>
  <c r="KE44" i="4"/>
  <c r="KD44" i="4"/>
  <c r="KC44" i="4"/>
  <c r="KB44" i="4"/>
  <c r="KA44" i="4"/>
  <c r="JZ44" i="4"/>
  <c r="JY44" i="4"/>
  <c r="JX44" i="4"/>
  <c r="JW44" i="4"/>
  <c r="JV44" i="4"/>
  <c r="JU44" i="4"/>
  <c r="JT44" i="4"/>
  <c r="JS44" i="4"/>
  <c r="JR44" i="4"/>
  <c r="JQ44" i="4"/>
  <c r="JP44" i="4"/>
  <c r="JO44" i="4"/>
  <c r="JN44" i="4"/>
  <c r="JM44" i="4"/>
  <c r="JL44" i="4"/>
  <c r="JK44" i="4"/>
  <c r="JJ44" i="4"/>
  <c r="JI44" i="4"/>
  <c r="JH44" i="4"/>
  <c r="JG44" i="4"/>
  <c r="JF44" i="4"/>
  <c r="JE44" i="4"/>
  <c r="JD44" i="4"/>
  <c r="JC44" i="4"/>
  <c r="JB44" i="4"/>
  <c r="JA44" i="4"/>
  <c r="IZ44" i="4"/>
  <c r="IY44" i="4"/>
  <c r="IX44" i="4"/>
  <c r="IW44" i="4"/>
  <c r="IV44" i="4"/>
  <c r="IU44" i="4"/>
  <c r="IT44" i="4"/>
  <c r="IS44" i="4"/>
  <c r="IR44" i="4"/>
  <c r="IQ44" i="4"/>
  <c r="IP44" i="4"/>
  <c r="IO44" i="4"/>
  <c r="IN44" i="4"/>
  <c r="IM44" i="4"/>
  <c r="IL44" i="4"/>
  <c r="IK44" i="4"/>
  <c r="IJ44" i="4"/>
  <c r="II44" i="4"/>
  <c r="IH44" i="4"/>
  <c r="IG44" i="4"/>
  <c r="IF44" i="4"/>
  <c r="IE44" i="4"/>
  <c r="ID44" i="4"/>
  <c r="IC44" i="4"/>
  <c r="IB44" i="4"/>
  <c r="IA44" i="4"/>
  <c r="HZ44" i="4"/>
  <c r="HY44" i="4"/>
  <c r="HX44" i="4"/>
  <c r="HW44" i="4"/>
  <c r="HV44" i="4"/>
  <c r="HU44" i="4"/>
  <c r="HT44" i="4"/>
  <c r="HS44" i="4"/>
  <c r="HR44" i="4"/>
  <c r="HQ44" i="4"/>
  <c r="HP44" i="4"/>
  <c r="HO44" i="4"/>
  <c r="HN44" i="4"/>
  <c r="HM44" i="4"/>
  <c r="HL44" i="4"/>
  <c r="HK44" i="4"/>
  <c r="HJ44" i="4"/>
  <c r="HI44" i="4"/>
  <c r="HH44" i="4"/>
  <c r="HG44" i="4"/>
  <c r="HF44" i="4"/>
  <c r="HE44" i="4"/>
  <c r="HD44" i="4"/>
  <c r="HC44" i="4"/>
  <c r="HB44" i="4"/>
  <c r="HA44" i="4"/>
  <c r="GZ44" i="4"/>
  <c r="GY44" i="4"/>
  <c r="GX44" i="4"/>
  <c r="GW44" i="4"/>
  <c r="GV44" i="4"/>
  <c r="GU44" i="4"/>
  <c r="GT44" i="4"/>
  <c r="GS44" i="4"/>
  <c r="GR44" i="4"/>
  <c r="GQ44" i="4"/>
  <c r="GP44" i="4"/>
  <c r="GO44" i="4"/>
  <c r="GN44" i="4"/>
  <c r="GM44" i="4"/>
  <c r="GL44" i="4"/>
  <c r="GK44" i="4"/>
  <c r="GJ44" i="4"/>
  <c r="GI44" i="4"/>
  <c r="GH44" i="4"/>
  <c r="GG44" i="4"/>
  <c r="GF44" i="4"/>
  <c r="GE44" i="4"/>
  <c r="GD44" i="4"/>
  <c r="GC44" i="4"/>
  <c r="GB44" i="4"/>
  <c r="GA44" i="4"/>
  <c r="FZ44" i="4"/>
  <c r="FY44" i="4"/>
  <c r="FX44" i="4"/>
  <c r="FW44" i="4"/>
  <c r="FV44" i="4"/>
  <c r="FU44" i="4"/>
  <c r="FT44" i="4"/>
  <c r="FS44" i="4"/>
  <c r="FR44" i="4"/>
  <c r="FQ44" i="4"/>
  <c r="FP44" i="4"/>
  <c r="FO44" i="4"/>
  <c r="FN44" i="4"/>
  <c r="FM44" i="4"/>
  <c r="FL44" i="4"/>
  <c r="FK44" i="4"/>
  <c r="FJ44" i="4"/>
  <c r="FI44" i="4"/>
  <c r="FH44" i="4"/>
  <c r="FG44" i="4"/>
  <c r="FF44" i="4"/>
  <c r="FE44" i="4"/>
  <c r="FD44" i="4"/>
  <c r="FC44" i="4"/>
  <c r="FB44" i="4"/>
  <c r="FA44" i="4"/>
  <c r="EZ44" i="4"/>
  <c r="EY44" i="4"/>
  <c r="EX44" i="4"/>
  <c r="EW44" i="4"/>
  <c r="EV44" i="4"/>
  <c r="EU44" i="4"/>
  <c r="ET44" i="4"/>
  <c r="ES44" i="4"/>
  <c r="ER44" i="4"/>
  <c r="EQ44" i="4"/>
  <c r="EP44" i="4"/>
  <c r="EO44" i="4"/>
  <c r="EN44" i="4"/>
  <c r="EM44" i="4"/>
  <c r="EL44" i="4"/>
  <c r="EK44" i="4"/>
  <c r="EJ44" i="4"/>
  <c r="EI44" i="4"/>
  <c r="EH44" i="4"/>
  <c r="EG44" i="4"/>
  <c r="EF44" i="4"/>
  <c r="EE44" i="4"/>
  <c r="ED44" i="4"/>
  <c r="EC44" i="4"/>
  <c r="EB44" i="4"/>
  <c r="EA44" i="4"/>
  <c r="DZ44" i="4"/>
  <c r="DY44" i="4"/>
  <c r="DX44" i="4"/>
  <c r="DW44" i="4"/>
  <c r="DV44" i="4"/>
  <c r="DU44" i="4"/>
  <c r="DT44" i="4"/>
  <c r="DS44" i="4"/>
  <c r="DR44" i="4"/>
  <c r="DQ44" i="4"/>
  <c r="DP44" i="4"/>
  <c r="DO44" i="4"/>
  <c r="DN44" i="4"/>
  <c r="DM44" i="4"/>
  <c r="DL44" i="4"/>
  <c r="DK44" i="4"/>
  <c r="DJ44" i="4"/>
  <c r="DI44" i="4"/>
  <c r="DH44" i="4"/>
  <c r="DG44" i="4"/>
  <c r="DF44" i="4"/>
  <c r="DE44" i="4"/>
  <c r="DD44" i="4"/>
  <c r="DC44" i="4"/>
  <c r="DB44" i="4"/>
  <c r="DA44" i="4"/>
  <c r="CZ44" i="4"/>
  <c r="CY44" i="4"/>
  <c r="CX44" i="4"/>
  <c r="CW44" i="4"/>
  <c r="CV44" i="4"/>
  <c r="CU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C44" i="4"/>
  <c r="CB44" i="4"/>
  <c r="CA44" i="4"/>
  <c r="BZ44" i="4"/>
  <c r="BY44" i="4"/>
  <c r="BX44" i="4"/>
  <c r="BW44" i="4"/>
  <c r="BV44" i="4"/>
  <c r="BU44" i="4"/>
  <c r="BT44" i="4"/>
  <c r="BS44" i="4"/>
  <c r="BR44" i="4"/>
  <c r="BQ44" i="4"/>
  <c r="BP44" i="4"/>
  <c r="BO44" i="4"/>
  <c r="BN44" i="4"/>
  <c r="BM44" i="4"/>
  <c r="BL44" i="4"/>
  <c r="BK44" i="4"/>
  <c r="BJ44" i="4"/>
  <c r="BI44" i="4"/>
  <c r="BH44" i="4"/>
  <c r="BG44" i="4"/>
  <c r="BF44" i="4"/>
  <c r="BE44" i="4"/>
  <c r="BD44" i="4"/>
  <c r="BC44" i="4"/>
  <c r="BB44" i="4"/>
  <c r="BA44" i="4"/>
  <c r="AZ44" i="4"/>
  <c r="AY44" i="4"/>
  <c r="AX44" i="4"/>
  <c r="AW44" i="4"/>
  <c r="AV44" i="4"/>
  <c r="AU44" i="4"/>
  <c r="AT44" i="4"/>
  <c r="AS44" i="4"/>
  <c r="AR44" i="4"/>
  <c r="AQ44" i="4"/>
  <c r="AP44" i="4"/>
  <c r="AO44" i="4"/>
  <c r="AN44" i="4"/>
  <c r="AM44" i="4"/>
  <c r="AL44" i="4"/>
  <c r="AK44" i="4"/>
  <c r="AJ44" i="4"/>
  <c r="AI44" i="4"/>
  <c r="AH44" i="4"/>
  <c r="AG44" i="4"/>
  <c r="AF44" i="4"/>
  <c r="AE44" i="4"/>
  <c r="AD44" i="4"/>
  <c r="AC44" i="4"/>
  <c r="AB44" i="4"/>
  <c r="AA44" i="4"/>
  <c r="Z44" i="4"/>
  <c r="Y44" i="4"/>
  <c r="X44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KG43" i="4"/>
  <c r="KF43" i="4"/>
  <c r="KE43" i="4"/>
  <c r="KD43" i="4"/>
  <c r="KC43" i="4"/>
  <c r="KB43" i="4"/>
  <c r="KA43" i="4"/>
  <c r="JZ43" i="4"/>
  <c r="JY43" i="4"/>
  <c r="JX43" i="4"/>
  <c r="JW43" i="4"/>
  <c r="JV43" i="4"/>
  <c r="JU43" i="4"/>
  <c r="JT43" i="4"/>
  <c r="JS43" i="4"/>
  <c r="JR43" i="4"/>
  <c r="JQ43" i="4"/>
  <c r="JP43" i="4"/>
  <c r="JO43" i="4"/>
  <c r="JN43" i="4"/>
  <c r="JM43" i="4"/>
  <c r="JL43" i="4"/>
  <c r="JK43" i="4"/>
  <c r="JJ43" i="4"/>
  <c r="JI43" i="4"/>
  <c r="JH43" i="4"/>
  <c r="JG43" i="4"/>
  <c r="JF43" i="4"/>
  <c r="JE43" i="4"/>
  <c r="JD43" i="4"/>
  <c r="JC43" i="4"/>
  <c r="JB43" i="4"/>
  <c r="JA43" i="4"/>
  <c r="IZ43" i="4"/>
  <c r="IY43" i="4"/>
  <c r="IX43" i="4"/>
  <c r="IW43" i="4"/>
  <c r="IV43" i="4"/>
  <c r="IU43" i="4"/>
  <c r="IT43" i="4"/>
  <c r="IS43" i="4"/>
  <c r="IR43" i="4"/>
  <c r="IQ43" i="4"/>
  <c r="IP43" i="4"/>
  <c r="IO43" i="4"/>
  <c r="IN43" i="4"/>
  <c r="IM43" i="4"/>
  <c r="IL43" i="4"/>
  <c r="IK43" i="4"/>
  <c r="IJ43" i="4"/>
  <c r="II43" i="4"/>
  <c r="IH43" i="4"/>
  <c r="IG43" i="4"/>
  <c r="IF43" i="4"/>
  <c r="IE43" i="4"/>
  <c r="ID43" i="4"/>
  <c r="IC43" i="4"/>
  <c r="IB43" i="4"/>
  <c r="IA43" i="4"/>
  <c r="HZ43" i="4"/>
  <c r="HY43" i="4"/>
  <c r="HX43" i="4"/>
  <c r="HW43" i="4"/>
  <c r="HV43" i="4"/>
  <c r="HU43" i="4"/>
  <c r="HT43" i="4"/>
  <c r="HS43" i="4"/>
  <c r="HR43" i="4"/>
  <c r="HQ43" i="4"/>
  <c r="HP43" i="4"/>
  <c r="HO43" i="4"/>
  <c r="HN43" i="4"/>
  <c r="HM43" i="4"/>
  <c r="HL43" i="4"/>
  <c r="HK43" i="4"/>
  <c r="HJ43" i="4"/>
  <c r="HI43" i="4"/>
  <c r="HH43" i="4"/>
  <c r="HG43" i="4"/>
  <c r="HF43" i="4"/>
  <c r="HE43" i="4"/>
  <c r="HD43" i="4"/>
  <c r="HC43" i="4"/>
  <c r="HB43" i="4"/>
  <c r="HA43" i="4"/>
  <c r="GZ43" i="4"/>
  <c r="GY43" i="4"/>
  <c r="GX43" i="4"/>
  <c r="GW43" i="4"/>
  <c r="GV43" i="4"/>
  <c r="GU43" i="4"/>
  <c r="GT43" i="4"/>
  <c r="GS43" i="4"/>
  <c r="GR43" i="4"/>
  <c r="GQ43" i="4"/>
  <c r="GP43" i="4"/>
  <c r="GO43" i="4"/>
  <c r="GN43" i="4"/>
  <c r="GM43" i="4"/>
  <c r="GL43" i="4"/>
  <c r="GK43" i="4"/>
  <c r="GJ43" i="4"/>
  <c r="GI43" i="4"/>
  <c r="GH43" i="4"/>
  <c r="GG43" i="4"/>
  <c r="GF43" i="4"/>
  <c r="GE43" i="4"/>
  <c r="GD43" i="4"/>
  <c r="GC43" i="4"/>
  <c r="GB43" i="4"/>
  <c r="GA43" i="4"/>
  <c r="FZ43" i="4"/>
  <c r="FY43" i="4"/>
  <c r="FX43" i="4"/>
  <c r="FW43" i="4"/>
  <c r="FV43" i="4"/>
  <c r="FU43" i="4"/>
  <c r="FT43" i="4"/>
  <c r="FS43" i="4"/>
  <c r="FR43" i="4"/>
  <c r="FQ43" i="4"/>
  <c r="FP43" i="4"/>
  <c r="FO43" i="4"/>
  <c r="FN43" i="4"/>
  <c r="FM43" i="4"/>
  <c r="FL43" i="4"/>
  <c r="FK43" i="4"/>
  <c r="FJ43" i="4"/>
  <c r="FI43" i="4"/>
  <c r="FH43" i="4"/>
  <c r="FG43" i="4"/>
  <c r="FF43" i="4"/>
  <c r="FE43" i="4"/>
  <c r="FD43" i="4"/>
  <c r="FC43" i="4"/>
  <c r="FB43" i="4"/>
  <c r="FA43" i="4"/>
  <c r="EZ43" i="4"/>
  <c r="EY43" i="4"/>
  <c r="EX43" i="4"/>
  <c r="EW43" i="4"/>
  <c r="EV43" i="4"/>
  <c r="EU43" i="4"/>
  <c r="ET43" i="4"/>
  <c r="ES43" i="4"/>
  <c r="ER43" i="4"/>
  <c r="EQ43" i="4"/>
  <c r="EP43" i="4"/>
  <c r="EO43" i="4"/>
  <c r="EN43" i="4"/>
  <c r="EM43" i="4"/>
  <c r="EL43" i="4"/>
  <c r="EK43" i="4"/>
  <c r="EJ43" i="4"/>
  <c r="EI43" i="4"/>
  <c r="EH43" i="4"/>
  <c r="EG43" i="4"/>
  <c r="EF43" i="4"/>
  <c r="EE43" i="4"/>
  <c r="ED43" i="4"/>
  <c r="EC43" i="4"/>
  <c r="EB43" i="4"/>
  <c r="EA43" i="4"/>
  <c r="DZ43" i="4"/>
  <c r="DY43" i="4"/>
  <c r="DX43" i="4"/>
  <c r="DW43" i="4"/>
  <c r="DV43" i="4"/>
  <c r="DU43" i="4"/>
  <c r="DT43" i="4"/>
  <c r="DS43" i="4"/>
  <c r="DR43" i="4"/>
  <c r="DQ43" i="4"/>
  <c r="DP43" i="4"/>
  <c r="DO43" i="4"/>
  <c r="DN43" i="4"/>
  <c r="DM43" i="4"/>
  <c r="DL43" i="4"/>
  <c r="DK43" i="4"/>
  <c r="DJ43" i="4"/>
  <c r="DI43" i="4"/>
  <c r="DH43" i="4"/>
  <c r="DG43" i="4"/>
  <c r="DF43" i="4"/>
  <c r="DE43" i="4"/>
  <c r="DD43" i="4"/>
  <c r="DC43" i="4"/>
  <c r="DB43" i="4"/>
  <c r="DA43" i="4"/>
  <c r="CZ43" i="4"/>
  <c r="CY43" i="4"/>
  <c r="CX43" i="4"/>
  <c r="CW43" i="4"/>
  <c r="CV43" i="4"/>
  <c r="CU43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C43" i="4"/>
  <c r="CB43" i="4"/>
  <c r="CA43" i="4"/>
  <c r="BZ43" i="4"/>
  <c r="BY43" i="4"/>
  <c r="BX43" i="4"/>
  <c r="BW43" i="4"/>
  <c r="BV43" i="4"/>
  <c r="BU43" i="4"/>
  <c r="BT43" i="4"/>
  <c r="BS43" i="4"/>
  <c r="BR43" i="4"/>
  <c r="BQ43" i="4"/>
  <c r="BP43" i="4"/>
  <c r="BO43" i="4"/>
  <c r="BN43" i="4"/>
  <c r="BM43" i="4"/>
  <c r="BL43" i="4"/>
  <c r="BK43" i="4"/>
  <c r="BJ43" i="4"/>
  <c r="BI43" i="4"/>
  <c r="BH43" i="4"/>
  <c r="BG43" i="4"/>
  <c r="BF43" i="4"/>
  <c r="BE43" i="4"/>
  <c r="BD43" i="4"/>
  <c r="BC43" i="4"/>
  <c r="BB43" i="4"/>
  <c r="BA43" i="4"/>
  <c r="AZ43" i="4"/>
  <c r="AY43" i="4"/>
  <c r="AX43" i="4"/>
  <c r="AW43" i="4"/>
  <c r="AV43" i="4"/>
  <c r="AU43" i="4"/>
  <c r="AT43" i="4"/>
  <c r="AS43" i="4"/>
  <c r="AR43" i="4"/>
  <c r="AQ43" i="4"/>
  <c r="AP43" i="4"/>
  <c r="AO43" i="4"/>
  <c r="AN43" i="4"/>
  <c r="AM43" i="4"/>
  <c r="AL43" i="4"/>
  <c r="AK43" i="4"/>
  <c r="AJ43" i="4"/>
  <c r="AI43" i="4"/>
  <c r="AH43" i="4"/>
  <c r="AG43" i="4"/>
  <c r="AF43" i="4"/>
  <c r="AE43" i="4"/>
  <c r="AD43" i="4"/>
  <c r="AC43" i="4"/>
  <c r="AB43" i="4"/>
  <c r="AA43" i="4"/>
  <c r="Z43" i="4"/>
  <c r="Y43" i="4"/>
  <c r="X43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KG42" i="4"/>
  <c r="KF42" i="4"/>
  <c r="KE42" i="4"/>
  <c r="KD42" i="4"/>
  <c r="KC42" i="4"/>
  <c r="KB42" i="4"/>
  <c r="KA42" i="4"/>
  <c r="JZ42" i="4"/>
  <c r="JY42" i="4"/>
  <c r="JX42" i="4"/>
  <c r="JW42" i="4"/>
  <c r="JV42" i="4"/>
  <c r="JU42" i="4"/>
  <c r="JT42" i="4"/>
  <c r="JS42" i="4"/>
  <c r="JR42" i="4"/>
  <c r="JQ42" i="4"/>
  <c r="JP42" i="4"/>
  <c r="JO42" i="4"/>
  <c r="JN42" i="4"/>
  <c r="JM42" i="4"/>
  <c r="JL42" i="4"/>
  <c r="JK42" i="4"/>
  <c r="JJ42" i="4"/>
  <c r="JI42" i="4"/>
  <c r="JH42" i="4"/>
  <c r="JG42" i="4"/>
  <c r="JF42" i="4"/>
  <c r="JE42" i="4"/>
  <c r="JD42" i="4"/>
  <c r="JC42" i="4"/>
  <c r="JB42" i="4"/>
  <c r="JA42" i="4"/>
  <c r="IZ42" i="4"/>
  <c r="IY42" i="4"/>
  <c r="IX42" i="4"/>
  <c r="IW42" i="4"/>
  <c r="IV42" i="4"/>
  <c r="IU42" i="4"/>
  <c r="IT42" i="4"/>
  <c r="IS42" i="4"/>
  <c r="IR42" i="4"/>
  <c r="IQ42" i="4"/>
  <c r="IP42" i="4"/>
  <c r="IO42" i="4"/>
  <c r="IN42" i="4"/>
  <c r="IM42" i="4"/>
  <c r="IL42" i="4"/>
  <c r="IK42" i="4"/>
  <c r="IJ42" i="4"/>
  <c r="II42" i="4"/>
  <c r="IH42" i="4"/>
  <c r="IG42" i="4"/>
  <c r="IF42" i="4"/>
  <c r="IE42" i="4"/>
  <c r="ID42" i="4"/>
  <c r="IC42" i="4"/>
  <c r="IB42" i="4"/>
  <c r="IA42" i="4"/>
  <c r="HZ42" i="4"/>
  <c r="HY42" i="4"/>
  <c r="HX42" i="4"/>
  <c r="HW42" i="4"/>
  <c r="HV42" i="4"/>
  <c r="HU42" i="4"/>
  <c r="HT42" i="4"/>
  <c r="HS42" i="4"/>
  <c r="HR42" i="4"/>
  <c r="HQ42" i="4"/>
  <c r="HP42" i="4"/>
  <c r="HO42" i="4"/>
  <c r="HN42" i="4"/>
  <c r="HM42" i="4"/>
  <c r="HL42" i="4"/>
  <c r="HK42" i="4"/>
  <c r="HJ42" i="4"/>
  <c r="HI42" i="4"/>
  <c r="HH42" i="4"/>
  <c r="HG42" i="4"/>
  <c r="HF42" i="4"/>
  <c r="HE42" i="4"/>
  <c r="HD42" i="4"/>
  <c r="HC42" i="4"/>
  <c r="HB42" i="4"/>
  <c r="HA42" i="4"/>
  <c r="GZ42" i="4"/>
  <c r="GY42" i="4"/>
  <c r="GX42" i="4"/>
  <c r="GW42" i="4"/>
  <c r="GV42" i="4"/>
  <c r="GU42" i="4"/>
  <c r="GT42" i="4"/>
  <c r="GS42" i="4"/>
  <c r="GR42" i="4"/>
  <c r="GQ42" i="4"/>
  <c r="GP42" i="4"/>
  <c r="GO42" i="4"/>
  <c r="GN42" i="4"/>
  <c r="GM42" i="4"/>
  <c r="GL42" i="4"/>
  <c r="GK42" i="4"/>
  <c r="GJ42" i="4"/>
  <c r="GI42" i="4"/>
  <c r="GH42" i="4"/>
  <c r="GG42" i="4"/>
  <c r="GF42" i="4"/>
  <c r="GE42" i="4"/>
  <c r="GD42" i="4"/>
  <c r="GC42" i="4"/>
  <c r="GB42" i="4"/>
  <c r="GA42" i="4"/>
  <c r="FZ42" i="4"/>
  <c r="FY42" i="4"/>
  <c r="FX42" i="4"/>
  <c r="FW42" i="4"/>
  <c r="FV42" i="4"/>
  <c r="FU42" i="4"/>
  <c r="FT42" i="4"/>
  <c r="FS42" i="4"/>
  <c r="FR42" i="4"/>
  <c r="FQ42" i="4"/>
  <c r="FP42" i="4"/>
  <c r="FO42" i="4"/>
  <c r="FN42" i="4"/>
  <c r="FM42" i="4"/>
  <c r="FL42" i="4"/>
  <c r="FK42" i="4"/>
  <c r="FJ42" i="4"/>
  <c r="FI42" i="4"/>
  <c r="FH42" i="4"/>
  <c r="FG42" i="4"/>
  <c r="FF42" i="4"/>
  <c r="FE42" i="4"/>
  <c r="FD42" i="4"/>
  <c r="FC42" i="4"/>
  <c r="FB42" i="4"/>
  <c r="FA42" i="4"/>
  <c r="EZ42" i="4"/>
  <c r="EY42" i="4"/>
  <c r="EX42" i="4"/>
  <c r="EW42" i="4"/>
  <c r="EV42" i="4"/>
  <c r="EU42" i="4"/>
  <c r="ET42" i="4"/>
  <c r="ES42" i="4"/>
  <c r="ER42" i="4"/>
  <c r="EQ42" i="4"/>
  <c r="EP42" i="4"/>
  <c r="EO42" i="4"/>
  <c r="EN42" i="4"/>
  <c r="EM42" i="4"/>
  <c r="EL42" i="4"/>
  <c r="EK42" i="4"/>
  <c r="EJ42" i="4"/>
  <c r="EI42" i="4"/>
  <c r="EH42" i="4"/>
  <c r="EG42" i="4"/>
  <c r="EF42" i="4"/>
  <c r="EE42" i="4"/>
  <c r="ED42" i="4"/>
  <c r="EC42" i="4"/>
  <c r="EB42" i="4"/>
  <c r="EA42" i="4"/>
  <c r="DZ42" i="4"/>
  <c r="DY42" i="4"/>
  <c r="DX42" i="4"/>
  <c r="DW42" i="4"/>
  <c r="DV42" i="4"/>
  <c r="DU42" i="4"/>
  <c r="DT42" i="4"/>
  <c r="DS42" i="4"/>
  <c r="DR42" i="4"/>
  <c r="DQ42" i="4"/>
  <c r="DP42" i="4"/>
  <c r="DO42" i="4"/>
  <c r="DN42" i="4"/>
  <c r="DM42" i="4"/>
  <c r="DL42" i="4"/>
  <c r="DK42" i="4"/>
  <c r="DJ42" i="4"/>
  <c r="DI42" i="4"/>
  <c r="DH42" i="4"/>
  <c r="DG42" i="4"/>
  <c r="DF42" i="4"/>
  <c r="DE42" i="4"/>
  <c r="DD42" i="4"/>
  <c r="DC42" i="4"/>
  <c r="DB42" i="4"/>
  <c r="DA42" i="4"/>
  <c r="CZ42" i="4"/>
  <c r="CY42" i="4"/>
  <c r="CX42" i="4"/>
  <c r="CW42" i="4"/>
  <c r="CV42" i="4"/>
  <c r="CU42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C42" i="4"/>
  <c r="CB42" i="4"/>
  <c r="CA42" i="4"/>
  <c r="BZ42" i="4"/>
  <c r="BY42" i="4"/>
  <c r="BX42" i="4"/>
  <c r="BW42" i="4"/>
  <c r="BV42" i="4"/>
  <c r="BU42" i="4"/>
  <c r="BT42" i="4"/>
  <c r="BS42" i="4"/>
  <c r="BR42" i="4"/>
  <c r="BQ42" i="4"/>
  <c r="BP42" i="4"/>
  <c r="BO42" i="4"/>
  <c r="BN42" i="4"/>
  <c r="BM42" i="4"/>
  <c r="BL42" i="4"/>
  <c r="BK42" i="4"/>
  <c r="BJ42" i="4"/>
  <c r="BI42" i="4"/>
  <c r="BH42" i="4"/>
  <c r="BG42" i="4"/>
  <c r="BF42" i="4"/>
  <c r="BE42" i="4"/>
  <c r="BD42" i="4"/>
  <c r="BC42" i="4"/>
  <c r="BB42" i="4"/>
  <c r="BA42" i="4"/>
  <c r="AZ42" i="4"/>
  <c r="AY42" i="4"/>
  <c r="AX42" i="4"/>
  <c r="AW42" i="4"/>
  <c r="AV42" i="4"/>
  <c r="AU42" i="4"/>
  <c r="AT42" i="4"/>
  <c r="AS42" i="4"/>
  <c r="AR42" i="4"/>
  <c r="AQ42" i="4"/>
  <c r="AP42" i="4"/>
  <c r="AO42" i="4"/>
  <c r="AN42" i="4"/>
  <c r="AM42" i="4"/>
  <c r="AL42" i="4"/>
  <c r="AK42" i="4"/>
  <c r="AJ42" i="4"/>
  <c r="AI42" i="4"/>
  <c r="AH42" i="4"/>
  <c r="AG42" i="4"/>
  <c r="AF42" i="4"/>
  <c r="AE42" i="4"/>
  <c r="AD42" i="4"/>
  <c r="AC42" i="4"/>
  <c r="AB42" i="4"/>
  <c r="AA42" i="4"/>
  <c r="Z42" i="4"/>
  <c r="Y42" i="4"/>
  <c r="X42" i="4"/>
  <c r="W42" i="4"/>
  <c r="V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KG41" i="4"/>
  <c r="KF41" i="4"/>
  <c r="KE41" i="4"/>
  <c r="KD41" i="4"/>
  <c r="KC41" i="4"/>
  <c r="KB41" i="4"/>
  <c r="KA41" i="4"/>
  <c r="JZ41" i="4"/>
  <c r="JY41" i="4"/>
  <c r="JX41" i="4"/>
  <c r="JW41" i="4"/>
  <c r="JV41" i="4"/>
  <c r="JU41" i="4"/>
  <c r="JT41" i="4"/>
  <c r="JS41" i="4"/>
  <c r="JR41" i="4"/>
  <c r="JQ41" i="4"/>
  <c r="JP41" i="4"/>
  <c r="JO41" i="4"/>
  <c r="JN41" i="4"/>
  <c r="JM41" i="4"/>
  <c r="JL41" i="4"/>
  <c r="JK41" i="4"/>
  <c r="JJ41" i="4"/>
  <c r="JI41" i="4"/>
  <c r="JH41" i="4"/>
  <c r="JG41" i="4"/>
  <c r="JF41" i="4"/>
  <c r="JE41" i="4"/>
  <c r="JD41" i="4"/>
  <c r="JC41" i="4"/>
  <c r="JB41" i="4"/>
  <c r="JA41" i="4"/>
  <c r="IZ41" i="4"/>
  <c r="IY41" i="4"/>
  <c r="IX41" i="4"/>
  <c r="IW41" i="4"/>
  <c r="IV41" i="4"/>
  <c r="IU41" i="4"/>
  <c r="IT41" i="4"/>
  <c r="IS41" i="4"/>
  <c r="IR41" i="4"/>
  <c r="IQ41" i="4"/>
  <c r="IP41" i="4"/>
  <c r="IO41" i="4"/>
  <c r="IN41" i="4"/>
  <c r="IM41" i="4"/>
  <c r="IL41" i="4"/>
  <c r="IK41" i="4"/>
  <c r="IJ41" i="4"/>
  <c r="II41" i="4"/>
  <c r="IH41" i="4"/>
  <c r="IG41" i="4"/>
  <c r="IF41" i="4"/>
  <c r="IE41" i="4"/>
  <c r="ID41" i="4"/>
  <c r="IC41" i="4"/>
  <c r="IB41" i="4"/>
  <c r="IA41" i="4"/>
  <c r="HZ41" i="4"/>
  <c r="HY41" i="4"/>
  <c r="HX41" i="4"/>
  <c r="HW41" i="4"/>
  <c r="HV41" i="4"/>
  <c r="HU41" i="4"/>
  <c r="HT41" i="4"/>
  <c r="HS41" i="4"/>
  <c r="HR41" i="4"/>
  <c r="HQ41" i="4"/>
  <c r="HP41" i="4"/>
  <c r="HO41" i="4"/>
  <c r="HN41" i="4"/>
  <c r="HM41" i="4"/>
  <c r="HL41" i="4"/>
  <c r="HK41" i="4"/>
  <c r="HJ41" i="4"/>
  <c r="HI41" i="4"/>
  <c r="HH41" i="4"/>
  <c r="HG41" i="4"/>
  <c r="HF41" i="4"/>
  <c r="HE41" i="4"/>
  <c r="HD41" i="4"/>
  <c r="HC41" i="4"/>
  <c r="HB41" i="4"/>
  <c r="HA41" i="4"/>
  <c r="GZ41" i="4"/>
  <c r="GY41" i="4"/>
  <c r="GX41" i="4"/>
  <c r="GW41" i="4"/>
  <c r="GV41" i="4"/>
  <c r="GU41" i="4"/>
  <c r="GT41" i="4"/>
  <c r="GS41" i="4"/>
  <c r="GR41" i="4"/>
  <c r="GQ41" i="4"/>
  <c r="GP41" i="4"/>
  <c r="GO41" i="4"/>
  <c r="GN41" i="4"/>
  <c r="GM41" i="4"/>
  <c r="GL41" i="4"/>
  <c r="GK41" i="4"/>
  <c r="GJ41" i="4"/>
  <c r="GI41" i="4"/>
  <c r="GH41" i="4"/>
  <c r="GG41" i="4"/>
  <c r="GF41" i="4"/>
  <c r="GE41" i="4"/>
  <c r="GD41" i="4"/>
  <c r="GC41" i="4"/>
  <c r="GB41" i="4"/>
  <c r="GA41" i="4"/>
  <c r="FZ41" i="4"/>
  <c r="FY41" i="4"/>
  <c r="FX41" i="4"/>
  <c r="FW41" i="4"/>
  <c r="FV41" i="4"/>
  <c r="FU41" i="4"/>
  <c r="FT41" i="4"/>
  <c r="FS41" i="4"/>
  <c r="FR41" i="4"/>
  <c r="FQ41" i="4"/>
  <c r="FP41" i="4"/>
  <c r="FO41" i="4"/>
  <c r="FN41" i="4"/>
  <c r="FM41" i="4"/>
  <c r="FL41" i="4"/>
  <c r="FK41" i="4"/>
  <c r="FJ41" i="4"/>
  <c r="FI41" i="4"/>
  <c r="FH41" i="4"/>
  <c r="FG41" i="4"/>
  <c r="FF41" i="4"/>
  <c r="FE41" i="4"/>
  <c r="FD41" i="4"/>
  <c r="FC41" i="4"/>
  <c r="FB41" i="4"/>
  <c r="FA41" i="4"/>
  <c r="EZ41" i="4"/>
  <c r="EY41" i="4"/>
  <c r="EX41" i="4"/>
  <c r="EW41" i="4"/>
  <c r="EV41" i="4"/>
  <c r="EU41" i="4"/>
  <c r="ET41" i="4"/>
  <c r="ES41" i="4"/>
  <c r="ER41" i="4"/>
  <c r="EQ41" i="4"/>
  <c r="EP41" i="4"/>
  <c r="EO41" i="4"/>
  <c r="EN41" i="4"/>
  <c r="EM41" i="4"/>
  <c r="EL41" i="4"/>
  <c r="EK41" i="4"/>
  <c r="EJ41" i="4"/>
  <c r="EI41" i="4"/>
  <c r="EH41" i="4"/>
  <c r="EG41" i="4"/>
  <c r="EF41" i="4"/>
  <c r="EE41" i="4"/>
  <c r="ED41" i="4"/>
  <c r="EC41" i="4"/>
  <c r="EB41" i="4"/>
  <c r="EA41" i="4"/>
  <c r="DZ41" i="4"/>
  <c r="DY41" i="4"/>
  <c r="DX41" i="4"/>
  <c r="DW41" i="4"/>
  <c r="DV41" i="4"/>
  <c r="DU41" i="4"/>
  <c r="DT41" i="4"/>
  <c r="DS41" i="4"/>
  <c r="DR41" i="4"/>
  <c r="DQ41" i="4"/>
  <c r="DP41" i="4"/>
  <c r="DO41" i="4"/>
  <c r="DN41" i="4"/>
  <c r="DM41" i="4"/>
  <c r="DL41" i="4"/>
  <c r="DK41" i="4"/>
  <c r="DJ41" i="4"/>
  <c r="DI41" i="4"/>
  <c r="DH41" i="4"/>
  <c r="DG41" i="4"/>
  <c r="DF41" i="4"/>
  <c r="DE41" i="4"/>
  <c r="DD41" i="4"/>
  <c r="DC41" i="4"/>
  <c r="DB41" i="4"/>
  <c r="DA41" i="4"/>
  <c r="CZ41" i="4"/>
  <c r="CY41" i="4"/>
  <c r="CX41" i="4"/>
  <c r="CW41" i="4"/>
  <c r="CV41" i="4"/>
  <c r="CU41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C41" i="4"/>
  <c r="CB41" i="4"/>
  <c r="CA41" i="4"/>
  <c r="BZ41" i="4"/>
  <c r="BY41" i="4"/>
  <c r="BX41" i="4"/>
  <c r="BW41" i="4"/>
  <c r="BV41" i="4"/>
  <c r="BU41" i="4"/>
  <c r="BT41" i="4"/>
  <c r="BS41" i="4"/>
  <c r="BR41" i="4"/>
  <c r="BQ41" i="4"/>
  <c r="BP41" i="4"/>
  <c r="BO41" i="4"/>
  <c r="BN41" i="4"/>
  <c r="BM41" i="4"/>
  <c r="BL41" i="4"/>
  <c r="BK41" i="4"/>
  <c r="BJ41" i="4"/>
  <c r="BI41" i="4"/>
  <c r="BH41" i="4"/>
  <c r="BG41" i="4"/>
  <c r="BF41" i="4"/>
  <c r="BE41" i="4"/>
  <c r="BD41" i="4"/>
  <c r="BC41" i="4"/>
  <c r="BB41" i="4"/>
  <c r="BA41" i="4"/>
  <c r="AZ41" i="4"/>
  <c r="AY41" i="4"/>
  <c r="AX41" i="4"/>
  <c r="AW41" i="4"/>
  <c r="AV41" i="4"/>
  <c r="AU41" i="4"/>
  <c r="AT41" i="4"/>
  <c r="AS41" i="4"/>
  <c r="AR41" i="4"/>
  <c r="AQ41" i="4"/>
  <c r="AP41" i="4"/>
  <c r="AO41" i="4"/>
  <c r="AN41" i="4"/>
  <c r="AM41" i="4"/>
  <c r="AL41" i="4"/>
  <c r="AK41" i="4"/>
  <c r="AJ41" i="4"/>
  <c r="AI41" i="4"/>
  <c r="AH41" i="4"/>
  <c r="AG41" i="4"/>
  <c r="AF41" i="4"/>
  <c r="AE41" i="4"/>
  <c r="AD41" i="4"/>
  <c r="AC41" i="4"/>
  <c r="AB41" i="4"/>
  <c r="AA41" i="4"/>
  <c r="Z41" i="4"/>
  <c r="Y41" i="4"/>
  <c r="X41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KG40" i="4"/>
  <c r="KF40" i="4"/>
  <c r="KE40" i="4"/>
  <c r="KD40" i="4"/>
  <c r="KC40" i="4"/>
  <c r="KB40" i="4"/>
  <c r="KA40" i="4"/>
  <c r="JZ40" i="4"/>
  <c r="JY40" i="4"/>
  <c r="JX40" i="4"/>
  <c r="JW40" i="4"/>
  <c r="JV40" i="4"/>
  <c r="JU40" i="4"/>
  <c r="JT40" i="4"/>
  <c r="JS40" i="4"/>
  <c r="JR40" i="4"/>
  <c r="JQ40" i="4"/>
  <c r="JP40" i="4"/>
  <c r="JO40" i="4"/>
  <c r="JN40" i="4"/>
  <c r="JM40" i="4"/>
  <c r="JL40" i="4"/>
  <c r="JK40" i="4"/>
  <c r="JJ40" i="4"/>
  <c r="JI40" i="4"/>
  <c r="JH40" i="4"/>
  <c r="JG40" i="4"/>
  <c r="JF40" i="4"/>
  <c r="JE40" i="4"/>
  <c r="JD40" i="4"/>
  <c r="JC40" i="4"/>
  <c r="JB40" i="4"/>
  <c r="JA40" i="4"/>
  <c r="IZ40" i="4"/>
  <c r="IY40" i="4"/>
  <c r="IX40" i="4"/>
  <c r="IW40" i="4"/>
  <c r="IV40" i="4"/>
  <c r="IU40" i="4"/>
  <c r="IT40" i="4"/>
  <c r="IS40" i="4"/>
  <c r="IR40" i="4"/>
  <c r="IQ40" i="4"/>
  <c r="IP40" i="4"/>
  <c r="IO40" i="4"/>
  <c r="IN40" i="4"/>
  <c r="IM40" i="4"/>
  <c r="IL40" i="4"/>
  <c r="IK40" i="4"/>
  <c r="IJ40" i="4"/>
  <c r="II40" i="4"/>
  <c r="IH40" i="4"/>
  <c r="IG40" i="4"/>
  <c r="IF40" i="4"/>
  <c r="IE40" i="4"/>
  <c r="ID40" i="4"/>
  <c r="IC40" i="4"/>
  <c r="IB40" i="4"/>
  <c r="IA40" i="4"/>
  <c r="HZ40" i="4"/>
  <c r="HY40" i="4"/>
  <c r="HX40" i="4"/>
  <c r="HW40" i="4"/>
  <c r="HV40" i="4"/>
  <c r="HU40" i="4"/>
  <c r="HT40" i="4"/>
  <c r="HS40" i="4"/>
  <c r="HR40" i="4"/>
  <c r="HQ40" i="4"/>
  <c r="HP40" i="4"/>
  <c r="HO40" i="4"/>
  <c r="HN40" i="4"/>
  <c r="HM40" i="4"/>
  <c r="HL40" i="4"/>
  <c r="HK40" i="4"/>
  <c r="HJ40" i="4"/>
  <c r="HI40" i="4"/>
  <c r="HH40" i="4"/>
  <c r="HG40" i="4"/>
  <c r="HF40" i="4"/>
  <c r="HE40" i="4"/>
  <c r="HD40" i="4"/>
  <c r="HC40" i="4"/>
  <c r="HB40" i="4"/>
  <c r="HA40" i="4"/>
  <c r="GZ40" i="4"/>
  <c r="GY40" i="4"/>
  <c r="GX40" i="4"/>
  <c r="GW40" i="4"/>
  <c r="GV40" i="4"/>
  <c r="GU40" i="4"/>
  <c r="GT40" i="4"/>
  <c r="GS40" i="4"/>
  <c r="GR40" i="4"/>
  <c r="GQ40" i="4"/>
  <c r="GP40" i="4"/>
  <c r="GO40" i="4"/>
  <c r="GN40" i="4"/>
  <c r="GM40" i="4"/>
  <c r="GL40" i="4"/>
  <c r="GK40" i="4"/>
  <c r="GJ40" i="4"/>
  <c r="GI40" i="4"/>
  <c r="GH40" i="4"/>
  <c r="GG40" i="4"/>
  <c r="GF40" i="4"/>
  <c r="GE40" i="4"/>
  <c r="GD40" i="4"/>
  <c r="GC40" i="4"/>
  <c r="GB40" i="4"/>
  <c r="GA40" i="4"/>
  <c r="FZ40" i="4"/>
  <c r="FY40" i="4"/>
  <c r="FX40" i="4"/>
  <c r="FW40" i="4"/>
  <c r="FV40" i="4"/>
  <c r="FU40" i="4"/>
  <c r="FT40" i="4"/>
  <c r="FS40" i="4"/>
  <c r="FR40" i="4"/>
  <c r="FQ40" i="4"/>
  <c r="FP40" i="4"/>
  <c r="FO40" i="4"/>
  <c r="FN40" i="4"/>
  <c r="FM40" i="4"/>
  <c r="FL40" i="4"/>
  <c r="FK40" i="4"/>
  <c r="FJ40" i="4"/>
  <c r="FI40" i="4"/>
  <c r="FH40" i="4"/>
  <c r="FG40" i="4"/>
  <c r="FF40" i="4"/>
  <c r="FE40" i="4"/>
  <c r="FD40" i="4"/>
  <c r="FC40" i="4"/>
  <c r="FB40" i="4"/>
  <c r="FA40" i="4"/>
  <c r="EZ40" i="4"/>
  <c r="EY40" i="4"/>
  <c r="EX40" i="4"/>
  <c r="EW40" i="4"/>
  <c r="EV40" i="4"/>
  <c r="EU40" i="4"/>
  <c r="ET40" i="4"/>
  <c r="ES40" i="4"/>
  <c r="ER40" i="4"/>
  <c r="EQ40" i="4"/>
  <c r="EP40" i="4"/>
  <c r="EO40" i="4"/>
  <c r="EN40" i="4"/>
  <c r="EM40" i="4"/>
  <c r="EL40" i="4"/>
  <c r="EK40" i="4"/>
  <c r="EJ40" i="4"/>
  <c r="EI40" i="4"/>
  <c r="EH40" i="4"/>
  <c r="EG40" i="4"/>
  <c r="EF40" i="4"/>
  <c r="EE40" i="4"/>
  <c r="ED40" i="4"/>
  <c r="EC40" i="4"/>
  <c r="EB40" i="4"/>
  <c r="EA40" i="4"/>
  <c r="DZ40" i="4"/>
  <c r="DY40" i="4"/>
  <c r="DX40" i="4"/>
  <c r="DW40" i="4"/>
  <c r="DV40" i="4"/>
  <c r="DU40" i="4"/>
  <c r="DT40" i="4"/>
  <c r="DS40" i="4"/>
  <c r="DR40" i="4"/>
  <c r="DQ40" i="4"/>
  <c r="DP40" i="4"/>
  <c r="DO40" i="4"/>
  <c r="DN40" i="4"/>
  <c r="DM40" i="4"/>
  <c r="DL40" i="4"/>
  <c r="DK40" i="4"/>
  <c r="DJ40" i="4"/>
  <c r="DI40" i="4"/>
  <c r="DH40" i="4"/>
  <c r="DG40" i="4"/>
  <c r="DF40" i="4"/>
  <c r="DE40" i="4"/>
  <c r="DD40" i="4"/>
  <c r="DC40" i="4"/>
  <c r="DB40" i="4"/>
  <c r="DA40" i="4"/>
  <c r="CZ40" i="4"/>
  <c r="CY40" i="4"/>
  <c r="CX40" i="4"/>
  <c r="CW40" i="4"/>
  <c r="CV40" i="4"/>
  <c r="CU40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C40" i="4"/>
  <c r="CB40" i="4"/>
  <c r="CA40" i="4"/>
  <c r="BZ40" i="4"/>
  <c r="BY40" i="4"/>
  <c r="BX40" i="4"/>
  <c r="BW40" i="4"/>
  <c r="BV40" i="4"/>
  <c r="BU40" i="4"/>
  <c r="BT40" i="4"/>
  <c r="BS40" i="4"/>
  <c r="BR40" i="4"/>
  <c r="BQ40" i="4"/>
  <c r="BP40" i="4"/>
  <c r="BO40" i="4"/>
  <c r="BN40" i="4"/>
  <c r="BM40" i="4"/>
  <c r="BL40" i="4"/>
  <c r="BK40" i="4"/>
  <c r="BJ40" i="4"/>
  <c r="BI40" i="4"/>
  <c r="BH40" i="4"/>
  <c r="BG40" i="4"/>
  <c r="BF40" i="4"/>
  <c r="BE40" i="4"/>
  <c r="BD40" i="4"/>
  <c r="BC40" i="4"/>
  <c r="BB40" i="4"/>
  <c r="BA40" i="4"/>
  <c r="AZ40" i="4"/>
  <c r="AY40" i="4"/>
  <c r="AX40" i="4"/>
  <c r="AW40" i="4"/>
  <c r="AV40" i="4"/>
  <c r="AU40" i="4"/>
  <c r="AT40" i="4"/>
  <c r="AS40" i="4"/>
  <c r="AR40" i="4"/>
  <c r="AQ40" i="4"/>
  <c r="AP40" i="4"/>
  <c r="AO40" i="4"/>
  <c r="AN40" i="4"/>
  <c r="AM40" i="4"/>
  <c r="AL40" i="4"/>
  <c r="AK40" i="4"/>
  <c r="AJ40" i="4"/>
  <c r="AI40" i="4"/>
  <c r="AH40" i="4"/>
  <c r="AG40" i="4"/>
  <c r="AF40" i="4"/>
  <c r="AE40" i="4"/>
  <c r="AD40" i="4"/>
  <c r="AC40" i="4"/>
  <c r="AB40" i="4"/>
  <c r="AA40" i="4"/>
  <c r="Z40" i="4"/>
  <c r="Y40" i="4"/>
  <c r="X40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KG39" i="4"/>
  <c r="KF39" i="4"/>
  <c r="KE39" i="4"/>
  <c r="KD39" i="4"/>
  <c r="KC39" i="4"/>
  <c r="KB39" i="4"/>
  <c r="KA39" i="4"/>
  <c r="JZ39" i="4"/>
  <c r="JY39" i="4"/>
  <c r="JX39" i="4"/>
  <c r="JW39" i="4"/>
  <c r="JV39" i="4"/>
  <c r="JU39" i="4"/>
  <c r="JT39" i="4"/>
  <c r="JS39" i="4"/>
  <c r="JR39" i="4"/>
  <c r="JQ39" i="4"/>
  <c r="JP39" i="4"/>
  <c r="JO39" i="4"/>
  <c r="JN39" i="4"/>
  <c r="JM39" i="4"/>
  <c r="JL39" i="4"/>
  <c r="JK39" i="4"/>
  <c r="JJ39" i="4"/>
  <c r="JI39" i="4"/>
  <c r="JH39" i="4"/>
  <c r="JG39" i="4"/>
  <c r="JF39" i="4"/>
  <c r="JE39" i="4"/>
  <c r="JD39" i="4"/>
  <c r="JC39" i="4"/>
  <c r="JB39" i="4"/>
  <c r="JA39" i="4"/>
  <c r="IZ39" i="4"/>
  <c r="IY39" i="4"/>
  <c r="IX39" i="4"/>
  <c r="IW39" i="4"/>
  <c r="IV39" i="4"/>
  <c r="IU39" i="4"/>
  <c r="IT39" i="4"/>
  <c r="IS39" i="4"/>
  <c r="IR39" i="4"/>
  <c r="IQ39" i="4"/>
  <c r="IP39" i="4"/>
  <c r="IO39" i="4"/>
  <c r="IN39" i="4"/>
  <c r="IM39" i="4"/>
  <c r="IL39" i="4"/>
  <c r="IK39" i="4"/>
  <c r="IJ39" i="4"/>
  <c r="II39" i="4"/>
  <c r="IH39" i="4"/>
  <c r="IG39" i="4"/>
  <c r="IF39" i="4"/>
  <c r="IE39" i="4"/>
  <c r="ID39" i="4"/>
  <c r="IC39" i="4"/>
  <c r="IB39" i="4"/>
  <c r="IA39" i="4"/>
  <c r="HZ39" i="4"/>
  <c r="HY39" i="4"/>
  <c r="HX39" i="4"/>
  <c r="HW39" i="4"/>
  <c r="HV39" i="4"/>
  <c r="HU39" i="4"/>
  <c r="HT39" i="4"/>
  <c r="HS39" i="4"/>
  <c r="HR39" i="4"/>
  <c r="HQ39" i="4"/>
  <c r="HP39" i="4"/>
  <c r="HO39" i="4"/>
  <c r="HN39" i="4"/>
  <c r="HM39" i="4"/>
  <c r="HL39" i="4"/>
  <c r="HK39" i="4"/>
  <c r="HJ39" i="4"/>
  <c r="HI39" i="4"/>
  <c r="HH39" i="4"/>
  <c r="HG39" i="4"/>
  <c r="HF39" i="4"/>
  <c r="HE39" i="4"/>
  <c r="HD39" i="4"/>
  <c r="HC39" i="4"/>
  <c r="HB39" i="4"/>
  <c r="HA39" i="4"/>
  <c r="GZ39" i="4"/>
  <c r="GY39" i="4"/>
  <c r="GX39" i="4"/>
  <c r="GW39" i="4"/>
  <c r="GV39" i="4"/>
  <c r="GU39" i="4"/>
  <c r="GT39" i="4"/>
  <c r="GS39" i="4"/>
  <c r="GR39" i="4"/>
  <c r="GQ39" i="4"/>
  <c r="GP39" i="4"/>
  <c r="GO39" i="4"/>
  <c r="GN39" i="4"/>
  <c r="GM39" i="4"/>
  <c r="GL39" i="4"/>
  <c r="GK39" i="4"/>
  <c r="GJ39" i="4"/>
  <c r="GI39" i="4"/>
  <c r="GH39" i="4"/>
  <c r="GG39" i="4"/>
  <c r="GF39" i="4"/>
  <c r="GE39" i="4"/>
  <c r="GD39" i="4"/>
  <c r="GC39" i="4"/>
  <c r="GB39" i="4"/>
  <c r="GA39" i="4"/>
  <c r="FZ39" i="4"/>
  <c r="FY39" i="4"/>
  <c r="FX39" i="4"/>
  <c r="FW39" i="4"/>
  <c r="FV39" i="4"/>
  <c r="FU39" i="4"/>
  <c r="FT39" i="4"/>
  <c r="FS39" i="4"/>
  <c r="FR39" i="4"/>
  <c r="FQ39" i="4"/>
  <c r="FP39" i="4"/>
  <c r="FO39" i="4"/>
  <c r="FN39" i="4"/>
  <c r="FM39" i="4"/>
  <c r="FL39" i="4"/>
  <c r="FK39" i="4"/>
  <c r="FJ39" i="4"/>
  <c r="FI39" i="4"/>
  <c r="FH39" i="4"/>
  <c r="FG39" i="4"/>
  <c r="FF39" i="4"/>
  <c r="FE39" i="4"/>
  <c r="FD39" i="4"/>
  <c r="FC39" i="4"/>
  <c r="FB39" i="4"/>
  <c r="FA39" i="4"/>
  <c r="EZ39" i="4"/>
  <c r="EY39" i="4"/>
  <c r="EX39" i="4"/>
  <c r="EW39" i="4"/>
  <c r="EV39" i="4"/>
  <c r="EU39" i="4"/>
  <c r="ET39" i="4"/>
  <c r="ES39" i="4"/>
  <c r="ER39" i="4"/>
  <c r="EQ39" i="4"/>
  <c r="EP39" i="4"/>
  <c r="EO39" i="4"/>
  <c r="EN39" i="4"/>
  <c r="EM39" i="4"/>
  <c r="EL39" i="4"/>
  <c r="EK39" i="4"/>
  <c r="EJ39" i="4"/>
  <c r="EI39" i="4"/>
  <c r="EH39" i="4"/>
  <c r="EG39" i="4"/>
  <c r="EF39" i="4"/>
  <c r="EE39" i="4"/>
  <c r="ED39" i="4"/>
  <c r="EC39" i="4"/>
  <c r="EB39" i="4"/>
  <c r="EA39" i="4"/>
  <c r="DZ39" i="4"/>
  <c r="DY39" i="4"/>
  <c r="DX39" i="4"/>
  <c r="DW39" i="4"/>
  <c r="DV39" i="4"/>
  <c r="DU39" i="4"/>
  <c r="DT39" i="4"/>
  <c r="DS39" i="4"/>
  <c r="DR39" i="4"/>
  <c r="DQ39" i="4"/>
  <c r="DP39" i="4"/>
  <c r="DO39" i="4"/>
  <c r="DN39" i="4"/>
  <c r="DM39" i="4"/>
  <c r="DL39" i="4"/>
  <c r="DK39" i="4"/>
  <c r="DJ39" i="4"/>
  <c r="DI39" i="4"/>
  <c r="DH39" i="4"/>
  <c r="DG39" i="4"/>
  <c r="DF39" i="4"/>
  <c r="DE39" i="4"/>
  <c r="DD39" i="4"/>
  <c r="DC39" i="4"/>
  <c r="DB39" i="4"/>
  <c r="DA39" i="4"/>
  <c r="CZ39" i="4"/>
  <c r="CY39" i="4"/>
  <c r="CX39" i="4"/>
  <c r="CW39" i="4"/>
  <c r="CV39" i="4"/>
  <c r="CU39" i="4"/>
  <c r="CT39" i="4"/>
  <c r="CS39" i="4"/>
  <c r="CR39" i="4"/>
  <c r="CQ39" i="4"/>
  <c r="CP39" i="4"/>
  <c r="CO39" i="4"/>
  <c r="CN39" i="4"/>
  <c r="CM39" i="4"/>
  <c r="CL39" i="4"/>
  <c r="CK39" i="4"/>
  <c r="CJ39" i="4"/>
  <c r="CI39" i="4"/>
  <c r="CH39" i="4"/>
  <c r="CG39" i="4"/>
  <c r="CF39" i="4"/>
  <c r="CE39" i="4"/>
  <c r="CD39" i="4"/>
  <c r="CC39" i="4"/>
  <c r="CB39" i="4"/>
  <c r="CA39" i="4"/>
  <c r="BZ39" i="4"/>
  <c r="BY39" i="4"/>
  <c r="BX39" i="4"/>
  <c r="BW39" i="4"/>
  <c r="BV39" i="4"/>
  <c r="BU39" i="4"/>
  <c r="BT39" i="4"/>
  <c r="BS39" i="4"/>
  <c r="BR39" i="4"/>
  <c r="BQ39" i="4"/>
  <c r="BP39" i="4"/>
  <c r="BO39" i="4"/>
  <c r="BN39" i="4"/>
  <c r="BM39" i="4"/>
  <c r="BL39" i="4"/>
  <c r="BK39" i="4"/>
  <c r="BJ39" i="4"/>
  <c r="BI39" i="4"/>
  <c r="BH39" i="4"/>
  <c r="BG39" i="4"/>
  <c r="BF39" i="4"/>
  <c r="BE39" i="4"/>
  <c r="BD39" i="4"/>
  <c r="BC39" i="4"/>
  <c r="BB39" i="4"/>
  <c r="BA39" i="4"/>
  <c r="AZ39" i="4"/>
  <c r="AY39" i="4"/>
  <c r="AX39" i="4"/>
  <c r="AW39" i="4"/>
  <c r="AV39" i="4"/>
  <c r="AU39" i="4"/>
  <c r="AT39" i="4"/>
  <c r="AS39" i="4"/>
  <c r="AR39" i="4"/>
  <c r="AQ39" i="4"/>
  <c r="AP39" i="4"/>
  <c r="AO39" i="4"/>
  <c r="AN39" i="4"/>
  <c r="AM39" i="4"/>
  <c r="AL39" i="4"/>
  <c r="AK39" i="4"/>
  <c r="AJ39" i="4"/>
  <c r="AI39" i="4"/>
  <c r="AH39" i="4"/>
  <c r="AG39" i="4"/>
  <c r="AF39" i="4"/>
  <c r="AE39" i="4"/>
  <c r="AD39" i="4"/>
  <c r="AC39" i="4"/>
  <c r="AB39" i="4"/>
  <c r="AA39" i="4"/>
  <c r="Z39" i="4"/>
  <c r="Y39" i="4"/>
  <c r="X39" i="4"/>
  <c r="W39" i="4"/>
  <c r="V39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C39" i="4"/>
  <c r="KG38" i="4"/>
  <c r="KF38" i="4"/>
  <c r="KE38" i="4"/>
  <c r="KD38" i="4"/>
  <c r="KC38" i="4"/>
  <c r="KB38" i="4"/>
  <c r="KA38" i="4"/>
  <c r="JZ38" i="4"/>
  <c r="JY38" i="4"/>
  <c r="JX38" i="4"/>
  <c r="JW38" i="4"/>
  <c r="JV38" i="4"/>
  <c r="JU38" i="4"/>
  <c r="JT38" i="4"/>
  <c r="JS38" i="4"/>
  <c r="JR38" i="4"/>
  <c r="JQ38" i="4"/>
  <c r="JP38" i="4"/>
  <c r="JO38" i="4"/>
  <c r="JN38" i="4"/>
  <c r="JM38" i="4"/>
  <c r="JL38" i="4"/>
  <c r="JK38" i="4"/>
  <c r="JJ38" i="4"/>
  <c r="JI38" i="4"/>
  <c r="JH38" i="4"/>
  <c r="JG38" i="4"/>
  <c r="JF38" i="4"/>
  <c r="JE38" i="4"/>
  <c r="JD38" i="4"/>
  <c r="JC38" i="4"/>
  <c r="JB38" i="4"/>
  <c r="JA38" i="4"/>
  <c r="IZ38" i="4"/>
  <c r="IY38" i="4"/>
  <c r="IX38" i="4"/>
  <c r="IW38" i="4"/>
  <c r="IV38" i="4"/>
  <c r="IU38" i="4"/>
  <c r="IT38" i="4"/>
  <c r="IS38" i="4"/>
  <c r="IR38" i="4"/>
  <c r="IQ38" i="4"/>
  <c r="IP38" i="4"/>
  <c r="IO38" i="4"/>
  <c r="IN38" i="4"/>
  <c r="IM38" i="4"/>
  <c r="IL38" i="4"/>
  <c r="IK38" i="4"/>
  <c r="IJ38" i="4"/>
  <c r="II38" i="4"/>
  <c r="IH38" i="4"/>
  <c r="IG38" i="4"/>
  <c r="IF38" i="4"/>
  <c r="IE38" i="4"/>
  <c r="ID38" i="4"/>
  <c r="IC38" i="4"/>
  <c r="IB38" i="4"/>
  <c r="IA38" i="4"/>
  <c r="HZ38" i="4"/>
  <c r="HY38" i="4"/>
  <c r="HX38" i="4"/>
  <c r="HW38" i="4"/>
  <c r="HV38" i="4"/>
  <c r="HU38" i="4"/>
  <c r="HT38" i="4"/>
  <c r="HS38" i="4"/>
  <c r="HR38" i="4"/>
  <c r="HQ38" i="4"/>
  <c r="HP38" i="4"/>
  <c r="HO38" i="4"/>
  <c r="HN38" i="4"/>
  <c r="HM38" i="4"/>
  <c r="HL38" i="4"/>
  <c r="HK38" i="4"/>
  <c r="HJ38" i="4"/>
  <c r="HI38" i="4"/>
  <c r="HH38" i="4"/>
  <c r="HG38" i="4"/>
  <c r="HF38" i="4"/>
  <c r="HE38" i="4"/>
  <c r="HD38" i="4"/>
  <c r="HC38" i="4"/>
  <c r="HB38" i="4"/>
  <c r="HA38" i="4"/>
  <c r="GZ38" i="4"/>
  <c r="GY38" i="4"/>
  <c r="GX38" i="4"/>
  <c r="GW38" i="4"/>
  <c r="GV38" i="4"/>
  <c r="GU38" i="4"/>
  <c r="GT38" i="4"/>
  <c r="GS38" i="4"/>
  <c r="GR38" i="4"/>
  <c r="GQ38" i="4"/>
  <c r="GP38" i="4"/>
  <c r="GO38" i="4"/>
  <c r="GN38" i="4"/>
  <c r="GM38" i="4"/>
  <c r="GL38" i="4"/>
  <c r="GK38" i="4"/>
  <c r="GJ38" i="4"/>
  <c r="GI38" i="4"/>
  <c r="GH38" i="4"/>
  <c r="GG38" i="4"/>
  <c r="GF38" i="4"/>
  <c r="GE38" i="4"/>
  <c r="GD38" i="4"/>
  <c r="GC38" i="4"/>
  <c r="GB38" i="4"/>
  <c r="GA38" i="4"/>
  <c r="FZ38" i="4"/>
  <c r="FY38" i="4"/>
  <c r="FX38" i="4"/>
  <c r="FW38" i="4"/>
  <c r="FV38" i="4"/>
  <c r="FU38" i="4"/>
  <c r="FT38" i="4"/>
  <c r="FS38" i="4"/>
  <c r="FR38" i="4"/>
  <c r="FQ38" i="4"/>
  <c r="FP38" i="4"/>
  <c r="FO38" i="4"/>
  <c r="FN38" i="4"/>
  <c r="FM38" i="4"/>
  <c r="FL38" i="4"/>
  <c r="FK38" i="4"/>
  <c r="FJ38" i="4"/>
  <c r="FI38" i="4"/>
  <c r="FH38" i="4"/>
  <c r="FG38" i="4"/>
  <c r="FF38" i="4"/>
  <c r="FE38" i="4"/>
  <c r="FD38" i="4"/>
  <c r="FC38" i="4"/>
  <c r="FB38" i="4"/>
  <c r="FA38" i="4"/>
  <c r="EZ38" i="4"/>
  <c r="EY38" i="4"/>
  <c r="EX38" i="4"/>
  <c r="EW38" i="4"/>
  <c r="EV38" i="4"/>
  <c r="EU38" i="4"/>
  <c r="ET38" i="4"/>
  <c r="ES38" i="4"/>
  <c r="ER38" i="4"/>
  <c r="EQ38" i="4"/>
  <c r="EP38" i="4"/>
  <c r="EO38" i="4"/>
  <c r="EN38" i="4"/>
  <c r="EM38" i="4"/>
  <c r="EL38" i="4"/>
  <c r="EK38" i="4"/>
  <c r="EJ38" i="4"/>
  <c r="EI38" i="4"/>
  <c r="EH38" i="4"/>
  <c r="EG38" i="4"/>
  <c r="EF38" i="4"/>
  <c r="EE38" i="4"/>
  <c r="ED38" i="4"/>
  <c r="EC38" i="4"/>
  <c r="EB38" i="4"/>
  <c r="EA38" i="4"/>
  <c r="DZ38" i="4"/>
  <c r="DY38" i="4"/>
  <c r="DX38" i="4"/>
  <c r="DW38" i="4"/>
  <c r="DV38" i="4"/>
  <c r="DU38" i="4"/>
  <c r="DT38" i="4"/>
  <c r="DS38" i="4"/>
  <c r="DR38" i="4"/>
  <c r="DQ38" i="4"/>
  <c r="DP38" i="4"/>
  <c r="DO38" i="4"/>
  <c r="DN38" i="4"/>
  <c r="DM38" i="4"/>
  <c r="DL38" i="4"/>
  <c r="DK38" i="4"/>
  <c r="DJ38" i="4"/>
  <c r="DI38" i="4"/>
  <c r="DH38" i="4"/>
  <c r="DG38" i="4"/>
  <c r="DF38" i="4"/>
  <c r="DE38" i="4"/>
  <c r="DD38" i="4"/>
  <c r="DC38" i="4"/>
  <c r="DB38" i="4"/>
  <c r="DA38" i="4"/>
  <c r="CZ38" i="4"/>
  <c r="CY38" i="4"/>
  <c r="CX38" i="4"/>
  <c r="CW38" i="4"/>
  <c r="CV38" i="4"/>
  <c r="CU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C38" i="4"/>
  <c r="CB38" i="4"/>
  <c r="CA38" i="4"/>
  <c r="BZ38" i="4"/>
  <c r="BY38" i="4"/>
  <c r="BX38" i="4"/>
  <c r="BW38" i="4"/>
  <c r="BV38" i="4"/>
  <c r="BU38" i="4"/>
  <c r="BT38" i="4"/>
  <c r="BS38" i="4"/>
  <c r="BR38" i="4"/>
  <c r="BQ38" i="4"/>
  <c r="BP38" i="4"/>
  <c r="BO38" i="4"/>
  <c r="BN38" i="4"/>
  <c r="BM38" i="4"/>
  <c r="BL38" i="4"/>
  <c r="BK38" i="4"/>
  <c r="BJ38" i="4"/>
  <c r="BI38" i="4"/>
  <c r="BH38" i="4"/>
  <c r="BG38" i="4"/>
  <c r="BF38" i="4"/>
  <c r="BE38" i="4"/>
  <c r="BD38" i="4"/>
  <c r="BC38" i="4"/>
  <c r="BB38" i="4"/>
  <c r="BA38" i="4"/>
  <c r="AZ38" i="4"/>
  <c r="AY38" i="4"/>
  <c r="AX38" i="4"/>
  <c r="AW38" i="4"/>
  <c r="AV38" i="4"/>
  <c r="AU38" i="4"/>
  <c r="AT38" i="4"/>
  <c r="AS38" i="4"/>
  <c r="AR38" i="4"/>
  <c r="AQ38" i="4"/>
  <c r="AP38" i="4"/>
  <c r="AO38" i="4"/>
  <c r="AN38" i="4"/>
  <c r="AM38" i="4"/>
  <c r="AL38" i="4"/>
  <c r="AK38" i="4"/>
  <c r="AJ38" i="4"/>
  <c r="AI38" i="4"/>
  <c r="AH38" i="4"/>
  <c r="AG38" i="4"/>
  <c r="AF38" i="4"/>
  <c r="AE38" i="4"/>
  <c r="AD38" i="4"/>
  <c r="AC38" i="4"/>
  <c r="AB38" i="4"/>
  <c r="AA38" i="4"/>
  <c r="Z38" i="4"/>
  <c r="Y38" i="4"/>
  <c r="X38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KG37" i="4"/>
  <c r="KF37" i="4"/>
  <c r="KE37" i="4"/>
  <c r="KD37" i="4"/>
  <c r="KC37" i="4"/>
  <c r="KB37" i="4"/>
  <c r="KA37" i="4"/>
  <c r="JZ37" i="4"/>
  <c r="JY37" i="4"/>
  <c r="JX37" i="4"/>
  <c r="JW37" i="4"/>
  <c r="JV37" i="4"/>
  <c r="JU37" i="4"/>
  <c r="JT37" i="4"/>
  <c r="JS37" i="4"/>
  <c r="JR37" i="4"/>
  <c r="JQ37" i="4"/>
  <c r="JP37" i="4"/>
  <c r="JO37" i="4"/>
  <c r="JN37" i="4"/>
  <c r="JM37" i="4"/>
  <c r="JL37" i="4"/>
  <c r="JK37" i="4"/>
  <c r="JJ37" i="4"/>
  <c r="JI37" i="4"/>
  <c r="JH37" i="4"/>
  <c r="JG37" i="4"/>
  <c r="JF37" i="4"/>
  <c r="JE37" i="4"/>
  <c r="JD37" i="4"/>
  <c r="JC37" i="4"/>
  <c r="JB37" i="4"/>
  <c r="JA37" i="4"/>
  <c r="IZ37" i="4"/>
  <c r="IY37" i="4"/>
  <c r="IX37" i="4"/>
  <c r="IW37" i="4"/>
  <c r="IV37" i="4"/>
  <c r="IU37" i="4"/>
  <c r="IT37" i="4"/>
  <c r="IS37" i="4"/>
  <c r="IR37" i="4"/>
  <c r="IQ37" i="4"/>
  <c r="IP37" i="4"/>
  <c r="IO37" i="4"/>
  <c r="IN37" i="4"/>
  <c r="IM37" i="4"/>
  <c r="IL37" i="4"/>
  <c r="IK37" i="4"/>
  <c r="IJ37" i="4"/>
  <c r="II37" i="4"/>
  <c r="IH37" i="4"/>
  <c r="IG37" i="4"/>
  <c r="IF37" i="4"/>
  <c r="IE37" i="4"/>
  <c r="ID37" i="4"/>
  <c r="IC37" i="4"/>
  <c r="IB37" i="4"/>
  <c r="IA37" i="4"/>
  <c r="HZ37" i="4"/>
  <c r="HY37" i="4"/>
  <c r="HX37" i="4"/>
  <c r="HW37" i="4"/>
  <c r="HV37" i="4"/>
  <c r="HU37" i="4"/>
  <c r="HT37" i="4"/>
  <c r="HS37" i="4"/>
  <c r="HR37" i="4"/>
  <c r="HQ37" i="4"/>
  <c r="HP37" i="4"/>
  <c r="HO37" i="4"/>
  <c r="HN37" i="4"/>
  <c r="HM37" i="4"/>
  <c r="HL37" i="4"/>
  <c r="HK37" i="4"/>
  <c r="HJ37" i="4"/>
  <c r="HI37" i="4"/>
  <c r="HH37" i="4"/>
  <c r="HG37" i="4"/>
  <c r="HF37" i="4"/>
  <c r="HE37" i="4"/>
  <c r="HD37" i="4"/>
  <c r="HC37" i="4"/>
  <c r="HB37" i="4"/>
  <c r="HA37" i="4"/>
  <c r="GZ37" i="4"/>
  <c r="GY37" i="4"/>
  <c r="GX37" i="4"/>
  <c r="GW37" i="4"/>
  <c r="GV37" i="4"/>
  <c r="GU37" i="4"/>
  <c r="GT37" i="4"/>
  <c r="GS37" i="4"/>
  <c r="GR37" i="4"/>
  <c r="GQ37" i="4"/>
  <c r="GP37" i="4"/>
  <c r="GO37" i="4"/>
  <c r="GN37" i="4"/>
  <c r="GM37" i="4"/>
  <c r="GL37" i="4"/>
  <c r="GK37" i="4"/>
  <c r="GJ37" i="4"/>
  <c r="GI37" i="4"/>
  <c r="GH37" i="4"/>
  <c r="GG37" i="4"/>
  <c r="GF37" i="4"/>
  <c r="GE37" i="4"/>
  <c r="GD37" i="4"/>
  <c r="GC37" i="4"/>
  <c r="GB37" i="4"/>
  <c r="GA37" i="4"/>
  <c r="FZ37" i="4"/>
  <c r="FY37" i="4"/>
  <c r="FX37" i="4"/>
  <c r="FW37" i="4"/>
  <c r="FV37" i="4"/>
  <c r="FU37" i="4"/>
  <c r="FT37" i="4"/>
  <c r="FS37" i="4"/>
  <c r="FR37" i="4"/>
  <c r="FQ37" i="4"/>
  <c r="FP37" i="4"/>
  <c r="FO37" i="4"/>
  <c r="FN37" i="4"/>
  <c r="FM37" i="4"/>
  <c r="FL37" i="4"/>
  <c r="FK37" i="4"/>
  <c r="FJ37" i="4"/>
  <c r="FI37" i="4"/>
  <c r="FH37" i="4"/>
  <c r="FG37" i="4"/>
  <c r="FF37" i="4"/>
  <c r="FE37" i="4"/>
  <c r="FD37" i="4"/>
  <c r="FC37" i="4"/>
  <c r="FB37" i="4"/>
  <c r="FA37" i="4"/>
  <c r="EZ37" i="4"/>
  <c r="EY37" i="4"/>
  <c r="EX37" i="4"/>
  <c r="EW37" i="4"/>
  <c r="EV37" i="4"/>
  <c r="EU37" i="4"/>
  <c r="ET37" i="4"/>
  <c r="ES37" i="4"/>
  <c r="ER37" i="4"/>
  <c r="EQ37" i="4"/>
  <c r="EP37" i="4"/>
  <c r="EO37" i="4"/>
  <c r="EN37" i="4"/>
  <c r="EM37" i="4"/>
  <c r="EL37" i="4"/>
  <c r="EK37" i="4"/>
  <c r="EJ37" i="4"/>
  <c r="EI37" i="4"/>
  <c r="EH37" i="4"/>
  <c r="EG37" i="4"/>
  <c r="EF37" i="4"/>
  <c r="EE37" i="4"/>
  <c r="ED37" i="4"/>
  <c r="EC37" i="4"/>
  <c r="EB37" i="4"/>
  <c r="EA37" i="4"/>
  <c r="DZ37" i="4"/>
  <c r="DY37" i="4"/>
  <c r="DX37" i="4"/>
  <c r="DW37" i="4"/>
  <c r="DV37" i="4"/>
  <c r="DU37" i="4"/>
  <c r="DT37" i="4"/>
  <c r="DS37" i="4"/>
  <c r="DR37" i="4"/>
  <c r="DQ37" i="4"/>
  <c r="DP37" i="4"/>
  <c r="DO37" i="4"/>
  <c r="DN37" i="4"/>
  <c r="DM37" i="4"/>
  <c r="DL37" i="4"/>
  <c r="DK37" i="4"/>
  <c r="DJ37" i="4"/>
  <c r="DI37" i="4"/>
  <c r="DH37" i="4"/>
  <c r="DG37" i="4"/>
  <c r="DF37" i="4"/>
  <c r="DE37" i="4"/>
  <c r="DD37" i="4"/>
  <c r="DC37" i="4"/>
  <c r="DB37" i="4"/>
  <c r="DA37" i="4"/>
  <c r="CZ37" i="4"/>
  <c r="CY37" i="4"/>
  <c r="CX37" i="4"/>
  <c r="CW37" i="4"/>
  <c r="CV37" i="4"/>
  <c r="CU37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BZ37" i="4"/>
  <c r="BY37" i="4"/>
  <c r="BX37" i="4"/>
  <c r="BW37" i="4"/>
  <c r="BV37" i="4"/>
  <c r="BU37" i="4"/>
  <c r="BT37" i="4"/>
  <c r="BS37" i="4"/>
  <c r="BR37" i="4"/>
  <c r="BQ37" i="4"/>
  <c r="BP37" i="4"/>
  <c r="BO37" i="4"/>
  <c r="BN37" i="4"/>
  <c r="BM37" i="4"/>
  <c r="BL37" i="4"/>
  <c r="BK37" i="4"/>
  <c r="BJ37" i="4"/>
  <c r="BI37" i="4"/>
  <c r="BH37" i="4"/>
  <c r="BG37" i="4"/>
  <c r="BF37" i="4"/>
  <c r="BE37" i="4"/>
  <c r="BD37" i="4"/>
  <c r="BC37" i="4"/>
  <c r="BB37" i="4"/>
  <c r="BA37" i="4"/>
  <c r="AZ37" i="4"/>
  <c r="AY37" i="4"/>
  <c r="AX37" i="4"/>
  <c r="AW37" i="4"/>
  <c r="AV37" i="4"/>
  <c r="AU37" i="4"/>
  <c r="AT37" i="4"/>
  <c r="AS37" i="4"/>
  <c r="AR37" i="4"/>
  <c r="AQ37" i="4"/>
  <c r="AP37" i="4"/>
  <c r="AO37" i="4"/>
  <c r="AN37" i="4"/>
  <c r="AM37" i="4"/>
  <c r="AL37" i="4"/>
  <c r="AK37" i="4"/>
  <c r="AJ37" i="4"/>
  <c r="AI37" i="4"/>
  <c r="AH37" i="4"/>
  <c r="AG37" i="4"/>
  <c r="AF37" i="4"/>
  <c r="AE37" i="4"/>
  <c r="AD37" i="4"/>
  <c r="AC37" i="4"/>
  <c r="AB37" i="4"/>
  <c r="AA37" i="4"/>
  <c r="Z37" i="4"/>
  <c r="Y37" i="4"/>
  <c r="X37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KG36" i="4"/>
  <c r="KF36" i="4"/>
  <c r="KE36" i="4"/>
  <c r="KD36" i="4"/>
  <c r="KC36" i="4"/>
  <c r="KB36" i="4"/>
  <c r="KA36" i="4"/>
  <c r="JZ36" i="4"/>
  <c r="JY36" i="4"/>
  <c r="JX36" i="4"/>
  <c r="JW36" i="4"/>
  <c r="JV36" i="4"/>
  <c r="JU36" i="4"/>
  <c r="JT36" i="4"/>
  <c r="JS36" i="4"/>
  <c r="JR36" i="4"/>
  <c r="JQ36" i="4"/>
  <c r="JP36" i="4"/>
  <c r="JO36" i="4"/>
  <c r="JN36" i="4"/>
  <c r="JM36" i="4"/>
  <c r="JL36" i="4"/>
  <c r="JK36" i="4"/>
  <c r="JJ36" i="4"/>
  <c r="JI36" i="4"/>
  <c r="JH36" i="4"/>
  <c r="JG36" i="4"/>
  <c r="JF36" i="4"/>
  <c r="JE36" i="4"/>
  <c r="JD36" i="4"/>
  <c r="JC36" i="4"/>
  <c r="JB36" i="4"/>
  <c r="JA36" i="4"/>
  <c r="IZ36" i="4"/>
  <c r="IY36" i="4"/>
  <c r="IX36" i="4"/>
  <c r="IW36" i="4"/>
  <c r="IV36" i="4"/>
  <c r="IU36" i="4"/>
  <c r="IT36" i="4"/>
  <c r="IS36" i="4"/>
  <c r="IR36" i="4"/>
  <c r="IQ36" i="4"/>
  <c r="IP36" i="4"/>
  <c r="IO36" i="4"/>
  <c r="IN36" i="4"/>
  <c r="IM36" i="4"/>
  <c r="IL36" i="4"/>
  <c r="IK36" i="4"/>
  <c r="IJ36" i="4"/>
  <c r="II36" i="4"/>
  <c r="IH36" i="4"/>
  <c r="IG36" i="4"/>
  <c r="IF36" i="4"/>
  <c r="IE36" i="4"/>
  <c r="ID36" i="4"/>
  <c r="IC36" i="4"/>
  <c r="IB36" i="4"/>
  <c r="IA36" i="4"/>
  <c r="HZ36" i="4"/>
  <c r="HY36" i="4"/>
  <c r="HX36" i="4"/>
  <c r="HW36" i="4"/>
  <c r="HV36" i="4"/>
  <c r="HU36" i="4"/>
  <c r="HT36" i="4"/>
  <c r="HS36" i="4"/>
  <c r="HR36" i="4"/>
  <c r="HQ36" i="4"/>
  <c r="HP36" i="4"/>
  <c r="HO36" i="4"/>
  <c r="HN36" i="4"/>
  <c r="HM36" i="4"/>
  <c r="HL36" i="4"/>
  <c r="HK36" i="4"/>
  <c r="HJ36" i="4"/>
  <c r="HI36" i="4"/>
  <c r="HH36" i="4"/>
  <c r="HG36" i="4"/>
  <c r="HF36" i="4"/>
  <c r="HE36" i="4"/>
  <c r="HD36" i="4"/>
  <c r="HC36" i="4"/>
  <c r="HB36" i="4"/>
  <c r="HA36" i="4"/>
  <c r="GZ36" i="4"/>
  <c r="GY36" i="4"/>
  <c r="GX36" i="4"/>
  <c r="GW36" i="4"/>
  <c r="GV36" i="4"/>
  <c r="GU36" i="4"/>
  <c r="GT36" i="4"/>
  <c r="GS36" i="4"/>
  <c r="GR36" i="4"/>
  <c r="GQ36" i="4"/>
  <c r="GP36" i="4"/>
  <c r="GO36" i="4"/>
  <c r="GN36" i="4"/>
  <c r="GM36" i="4"/>
  <c r="GL36" i="4"/>
  <c r="GK36" i="4"/>
  <c r="GJ36" i="4"/>
  <c r="GI36" i="4"/>
  <c r="GH36" i="4"/>
  <c r="GG36" i="4"/>
  <c r="GF36" i="4"/>
  <c r="GE36" i="4"/>
  <c r="GD36" i="4"/>
  <c r="GC36" i="4"/>
  <c r="GB36" i="4"/>
  <c r="GA36" i="4"/>
  <c r="FZ36" i="4"/>
  <c r="FY36" i="4"/>
  <c r="FX36" i="4"/>
  <c r="FW36" i="4"/>
  <c r="FV36" i="4"/>
  <c r="FU36" i="4"/>
  <c r="FT36" i="4"/>
  <c r="FS36" i="4"/>
  <c r="FR36" i="4"/>
  <c r="FQ36" i="4"/>
  <c r="FP36" i="4"/>
  <c r="FO36" i="4"/>
  <c r="FN36" i="4"/>
  <c r="FM36" i="4"/>
  <c r="FL36" i="4"/>
  <c r="FK36" i="4"/>
  <c r="FJ36" i="4"/>
  <c r="FI36" i="4"/>
  <c r="FH36" i="4"/>
  <c r="FG36" i="4"/>
  <c r="FF36" i="4"/>
  <c r="FE36" i="4"/>
  <c r="FD36" i="4"/>
  <c r="FC36" i="4"/>
  <c r="FB36" i="4"/>
  <c r="FA36" i="4"/>
  <c r="EZ36" i="4"/>
  <c r="EY36" i="4"/>
  <c r="EX36" i="4"/>
  <c r="EW36" i="4"/>
  <c r="EV36" i="4"/>
  <c r="EU36" i="4"/>
  <c r="ET36" i="4"/>
  <c r="ES36" i="4"/>
  <c r="ER36" i="4"/>
  <c r="EQ36" i="4"/>
  <c r="EP36" i="4"/>
  <c r="EO36" i="4"/>
  <c r="EN36" i="4"/>
  <c r="EM36" i="4"/>
  <c r="EL36" i="4"/>
  <c r="EK36" i="4"/>
  <c r="EJ36" i="4"/>
  <c r="EI36" i="4"/>
  <c r="EH36" i="4"/>
  <c r="EG36" i="4"/>
  <c r="EF36" i="4"/>
  <c r="EE36" i="4"/>
  <c r="ED36" i="4"/>
  <c r="EC36" i="4"/>
  <c r="EB36" i="4"/>
  <c r="EA36" i="4"/>
  <c r="DZ36" i="4"/>
  <c r="DY36" i="4"/>
  <c r="DX36" i="4"/>
  <c r="DW36" i="4"/>
  <c r="DV36" i="4"/>
  <c r="DU36" i="4"/>
  <c r="DT36" i="4"/>
  <c r="DS36" i="4"/>
  <c r="DR36" i="4"/>
  <c r="DQ36" i="4"/>
  <c r="DP36" i="4"/>
  <c r="DO36" i="4"/>
  <c r="DN36" i="4"/>
  <c r="DM36" i="4"/>
  <c r="DL36" i="4"/>
  <c r="DK36" i="4"/>
  <c r="DJ36" i="4"/>
  <c r="DI36" i="4"/>
  <c r="DH36" i="4"/>
  <c r="DG36" i="4"/>
  <c r="DF36" i="4"/>
  <c r="DE36" i="4"/>
  <c r="DD36" i="4"/>
  <c r="DC36" i="4"/>
  <c r="DB36" i="4"/>
  <c r="DA36" i="4"/>
  <c r="CZ36" i="4"/>
  <c r="CY36" i="4"/>
  <c r="CX36" i="4"/>
  <c r="CW36" i="4"/>
  <c r="CV36" i="4"/>
  <c r="CU36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C36" i="4"/>
  <c r="CB36" i="4"/>
  <c r="CA36" i="4"/>
  <c r="BZ36" i="4"/>
  <c r="BY36" i="4"/>
  <c r="BX36" i="4"/>
  <c r="BW36" i="4"/>
  <c r="BV36" i="4"/>
  <c r="BU36" i="4"/>
  <c r="BT36" i="4"/>
  <c r="BS36" i="4"/>
  <c r="BR36" i="4"/>
  <c r="BQ36" i="4"/>
  <c r="BP36" i="4"/>
  <c r="BO36" i="4"/>
  <c r="BN36" i="4"/>
  <c r="BM36" i="4"/>
  <c r="BL36" i="4"/>
  <c r="BK36" i="4"/>
  <c r="BJ36" i="4"/>
  <c r="BI36" i="4"/>
  <c r="BH36" i="4"/>
  <c r="BG36" i="4"/>
  <c r="BF36" i="4"/>
  <c r="BE36" i="4"/>
  <c r="BD36" i="4"/>
  <c r="BC36" i="4"/>
  <c r="BB36" i="4"/>
  <c r="BA36" i="4"/>
  <c r="AZ36" i="4"/>
  <c r="AY36" i="4"/>
  <c r="AX36" i="4"/>
  <c r="AW36" i="4"/>
  <c r="AV36" i="4"/>
  <c r="AU36" i="4"/>
  <c r="AT36" i="4"/>
  <c r="AS36" i="4"/>
  <c r="AR36" i="4"/>
  <c r="AQ36" i="4"/>
  <c r="AP36" i="4"/>
  <c r="AO36" i="4"/>
  <c r="AN36" i="4"/>
  <c r="AM36" i="4"/>
  <c r="AL36" i="4"/>
  <c r="AK36" i="4"/>
  <c r="AJ36" i="4"/>
  <c r="AI36" i="4"/>
  <c r="AH36" i="4"/>
  <c r="AG36" i="4"/>
  <c r="AF36" i="4"/>
  <c r="AE36" i="4"/>
  <c r="AD36" i="4"/>
  <c r="AC36" i="4"/>
  <c r="AB36" i="4"/>
  <c r="AA36" i="4"/>
  <c r="Z36" i="4"/>
  <c r="Y36" i="4"/>
  <c r="X36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KG35" i="4"/>
  <c r="KF35" i="4"/>
  <c r="KE35" i="4"/>
  <c r="KD35" i="4"/>
  <c r="KC35" i="4"/>
  <c r="KB35" i="4"/>
  <c r="KA35" i="4"/>
  <c r="JZ35" i="4"/>
  <c r="JY35" i="4"/>
  <c r="JX35" i="4"/>
  <c r="JW35" i="4"/>
  <c r="JV35" i="4"/>
  <c r="JU35" i="4"/>
  <c r="JT35" i="4"/>
  <c r="JS35" i="4"/>
  <c r="JR35" i="4"/>
  <c r="JQ35" i="4"/>
  <c r="JP35" i="4"/>
  <c r="JO35" i="4"/>
  <c r="JN35" i="4"/>
  <c r="JM35" i="4"/>
  <c r="JL35" i="4"/>
  <c r="JK35" i="4"/>
  <c r="JJ35" i="4"/>
  <c r="JI35" i="4"/>
  <c r="JH35" i="4"/>
  <c r="JG35" i="4"/>
  <c r="JF35" i="4"/>
  <c r="JE35" i="4"/>
  <c r="JD35" i="4"/>
  <c r="JC35" i="4"/>
  <c r="JB35" i="4"/>
  <c r="JA35" i="4"/>
  <c r="IZ35" i="4"/>
  <c r="IY35" i="4"/>
  <c r="IX35" i="4"/>
  <c r="IW35" i="4"/>
  <c r="IV35" i="4"/>
  <c r="IU35" i="4"/>
  <c r="IT35" i="4"/>
  <c r="IS35" i="4"/>
  <c r="IR35" i="4"/>
  <c r="IQ35" i="4"/>
  <c r="IP35" i="4"/>
  <c r="IO35" i="4"/>
  <c r="IN35" i="4"/>
  <c r="IM35" i="4"/>
  <c r="IL35" i="4"/>
  <c r="IK35" i="4"/>
  <c r="IJ35" i="4"/>
  <c r="II35" i="4"/>
  <c r="IH35" i="4"/>
  <c r="IG35" i="4"/>
  <c r="IF35" i="4"/>
  <c r="IE35" i="4"/>
  <c r="ID35" i="4"/>
  <c r="IC35" i="4"/>
  <c r="IB35" i="4"/>
  <c r="IA35" i="4"/>
  <c r="HZ35" i="4"/>
  <c r="HY35" i="4"/>
  <c r="HX35" i="4"/>
  <c r="HW35" i="4"/>
  <c r="HV35" i="4"/>
  <c r="HU35" i="4"/>
  <c r="HT35" i="4"/>
  <c r="HS35" i="4"/>
  <c r="HR35" i="4"/>
  <c r="HQ35" i="4"/>
  <c r="HP35" i="4"/>
  <c r="HO35" i="4"/>
  <c r="HN35" i="4"/>
  <c r="HM35" i="4"/>
  <c r="HL35" i="4"/>
  <c r="HK35" i="4"/>
  <c r="HJ35" i="4"/>
  <c r="HI35" i="4"/>
  <c r="HH35" i="4"/>
  <c r="HG35" i="4"/>
  <c r="HF35" i="4"/>
  <c r="HE35" i="4"/>
  <c r="HD35" i="4"/>
  <c r="HC35" i="4"/>
  <c r="HB35" i="4"/>
  <c r="HA35" i="4"/>
  <c r="GZ35" i="4"/>
  <c r="GY35" i="4"/>
  <c r="GX35" i="4"/>
  <c r="GW35" i="4"/>
  <c r="GV35" i="4"/>
  <c r="GU35" i="4"/>
  <c r="GT35" i="4"/>
  <c r="GS35" i="4"/>
  <c r="GR35" i="4"/>
  <c r="GQ35" i="4"/>
  <c r="GP35" i="4"/>
  <c r="GO35" i="4"/>
  <c r="GN35" i="4"/>
  <c r="GM35" i="4"/>
  <c r="GL35" i="4"/>
  <c r="GK35" i="4"/>
  <c r="GJ35" i="4"/>
  <c r="GI35" i="4"/>
  <c r="GH35" i="4"/>
  <c r="GG35" i="4"/>
  <c r="GF35" i="4"/>
  <c r="GE35" i="4"/>
  <c r="GD35" i="4"/>
  <c r="GC35" i="4"/>
  <c r="GB35" i="4"/>
  <c r="GA35" i="4"/>
  <c r="FZ35" i="4"/>
  <c r="FY35" i="4"/>
  <c r="FX35" i="4"/>
  <c r="FW35" i="4"/>
  <c r="FV35" i="4"/>
  <c r="FU35" i="4"/>
  <c r="FT35" i="4"/>
  <c r="FS35" i="4"/>
  <c r="FR35" i="4"/>
  <c r="FQ35" i="4"/>
  <c r="FP35" i="4"/>
  <c r="FO35" i="4"/>
  <c r="FN35" i="4"/>
  <c r="FM35" i="4"/>
  <c r="FL35" i="4"/>
  <c r="FK35" i="4"/>
  <c r="FJ35" i="4"/>
  <c r="FI35" i="4"/>
  <c r="FH35" i="4"/>
  <c r="FG35" i="4"/>
  <c r="FF35" i="4"/>
  <c r="FE35" i="4"/>
  <c r="FD35" i="4"/>
  <c r="FC35" i="4"/>
  <c r="FB35" i="4"/>
  <c r="FA35" i="4"/>
  <c r="EZ35" i="4"/>
  <c r="EY35" i="4"/>
  <c r="EX35" i="4"/>
  <c r="EW35" i="4"/>
  <c r="EV35" i="4"/>
  <c r="EU35" i="4"/>
  <c r="ET35" i="4"/>
  <c r="ES35" i="4"/>
  <c r="ER35" i="4"/>
  <c r="EQ35" i="4"/>
  <c r="EP35" i="4"/>
  <c r="EO35" i="4"/>
  <c r="EN35" i="4"/>
  <c r="EM35" i="4"/>
  <c r="EL35" i="4"/>
  <c r="EK35" i="4"/>
  <c r="EJ35" i="4"/>
  <c r="EI35" i="4"/>
  <c r="EH35" i="4"/>
  <c r="EG35" i="4"/>
  <c r="EF35" i="4"/>
  <c r="EE35" i="4"/>
  <c r="ED35" i="4"/>
  <c r="EC35" i="4"/>
  <c r="EB35" i="4"/>
  <c r="EA35" i="4"/>
  <c r="DZ35" i="4"/>
  <c r="DY35" i="4"/>
  <c r="DX35" i="4"/>
  <c r="DW35" i="4"/>
  <c r="DV35" i="4"/>
  <c r="DU35" i="4"/>
  <c r="DT35" i="4"/>
  <c r="DS35" i="4"/>
  <c r="DR35" i="4"/>
  <c r="DQ35" i="4"/>
  <c r="DP35" i="4"/>
  <c r="DO35" i="4"/>
  <c r="DN35" i="4"/>
  <c r="DM35" i="4"/>
  <c r="DL35" i="4"/>
  <c r="DK35" i="4"/>
  <c r="DJ35" i="4"/>
  <c r="DI35" i="4"/>
  <c r="DH35" i="4"/>
  <c r="DG35" i="4"/>
  <c r="DF35" i="4"/>
  <c r="DE35" i="4"/>
  <c r="DD35" i="4"/>
  <c r="DC35" i="4"/>
  <c r="DB35" i="4"/>
  <c r="DA35" i="4"/>
  <c r="CZ35" i="4"/>
  <c r="CY35" i="4"/>
  <c r="CX35" i="4"/>
  <c r="CW35" i="4"/>
  <c r="CV35" i="4"/>
  <c r="CU35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C35" i="4"/>
  <c r="CB35" i="4"/>
  <c r="CA35" i="4"/>
  <c r="BZ35" i="4"/>
  <c r="BY35" i="4"/>
  <c r="BX35" i="4"/>
  <c r="BW35" i="4"/>
  <c r="BV35" i="4"/>
  <c r="BU35" i="4"/>
  <c r="BT35" i="4"/>
  <c r="BS35" i="4"/>
  <c r="BR35" i="4"/>
  <c r="BQ35" i="4"/>
  <c r="BP35" i="4"/>
  <c r="BO35" i="4"/>
  <c r="BN35" i="4"/>
  <c r="BM35" i="4"/>
  <c r="BL35" i="4"/>
  <c r="BK35" i="4"/>
  <c r="BJ35" i="4"/>
  <c r="BI35" i="4"/>
  <c r="BH35" i="4"/>
  <c r="BG35" i="4"/>
  <c r="BF35" i="4"/>
  <c r="BE35" i="4"/>
  <c r="BD35" i="4"/>
  <c r="BC35" i="4"/>
  <c r="BB35" i="4"/>
  <c r="BA35" i="4"/>
  <c r="AZ35" i="4"/>
  <c r="AY35" i="4"/>
  <c r="AX35" i="4"/>
  <c r="AW35" i="4"/>
  <c r="AV35" i="4"/>
  <c r="AU35" i="4"/>
  <c r="AT35" i="4"/>
  <c r="AS35" i="4"/>
  <c r="AR35" i="4"/>
  <c r="AQ35" i="4"/>
  <c r="AP35" i="4"/>
  <c r="AO35" i="4"/>
  <c r="AN35" i="4"/>
  <c r="AM35" i="4"/>
  <c r="AL35" i="4"/>
  <c r="AK35" i="4"/>
  <c r="AJ35" i="4"/>
  <c r="AI35" i="4"/>
  <c r="AH35" i="4"/>
  <c r="AG35" i="4"/>
  <c r="AF35" i="4"/>
  <c r="AE35" i="4"/>
  <c r="AD35" i="4"/>
  <c r="AC35" i="4"/>
  <c r="AB35" i="4"/>
  <c r="AA35" i="4"/>
  <c r="Z35" i="4"/>
  <c r="Y35" i="4"/>
  <c r="X35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KG34" i="4"/>
  <c r="KF34" i="4"/>
  <c r="KE34" i="4"/>
  <c r="KD34" i="4"/>
  <c r="KC34" i="4"/>
  <c r="KB34" i="4"/>
  <c r="KA34" i="4"/>
  <c r="JZ34" i="4"/>
  <c r="JY34" i="4"/>
  <c r="JX34" i="4"/>
  <c r="JW34" i="4"/>
  <c r="JV34" i="4"/>
  <c r="JU34" i="4"/>
  <c r="JT34" i="4"/>
  <c r="JS34" i="4"/>
  <c r="JR34" i="4"/>
  <c r="JQ34" i="4"/>
  <c r="JP34" i="4"/>
  <c r="JO34" i="4"/>
  <c r="JN34" i="4"/>
  <c r="JM34" i="4"/>
  <c r="JL34" i="4"/>
  <c r="JK34" i="4"/>
  <c r="JJ34" i="4"/>
  <c r="JI34" i="4"/>
  <c r="JH34" i="4"/>
  <c r="JG34" i="4"/>
  <c r="JF34" i="4"/>
  <c r="JE34" i="4"/>
  <c r="JD34" i="4"/>
  <c r="JC34" i="4"/>
  <c r="JB34" i="4"/>
  <c r="JA34" i="4"/>
  <c r="IZ34" i="4"/>
  <c r="IY34" i="4"/>
  <c r="IX34" i="4"/>
  <c r="IW34" i="4"/>
  <c r="IV34" i="4"/>
  <c r="IU34" i="4"/>
  <c r="IT34" i="4"/>
  <c r="IS34" i="4"/>
  <c r="IR34" i="4"/>
  <c r="IQ34" i="4"/>
  <c r="IP34" i="4"/>
  <c r="IO34" i="4"/>
  <c r="IN34" i="4"/>
  <c r="IM34" i="4"/>
  <c r="IL34" i="4"/>
  <c r="IK34" i="4"/>
  <c r="IJ34" i="4"/>
  <c r="II34" i="4"/>
  <c r="IH34" i="4"/>
  <c r="IG34" i="4"/>
  <c r="IF34" i="4"/>
  <c r="IE34" i="4"/>
  <c r="ID34" i="4"/>
  <c r="IC34" i="4"/>
  <c r="IB34" i="4"/>
  <c r="IA34" i="4"/>
  <c r="HZ34" i="4"/>
  <c r="HY34" i="4"/>
  <c r="HX34" i="4"/>
  <c r="HW34" i="4"/>
  <c r="HV34" i="4"/>
  <c r="HU34" i="4"/>
  <c r="HT34" i="4"/>
  <c r="HS34" i="4"/>
  <c r="HR34" i="4"/>
  <c r="HQ34" i="4"/>
  <c r="HP34" i="4"/>
  <c r="HO34" i="4"/>
  <c r="HN34" i="4"/>
  <c r="HM34" i="4"/>
  <c r="HL34" i="4"/>
  <c r="HK34" i="4"/>
  <c r="HJ34" i="4"/>
  <c r="HI34" i="4"/>
  <c r="HH34" i="4"/>
  <c r="HG34" i="4"/>
  <c r="HF34" i="4"/>
  <c r="HE34" i="4"/>
  <c r="HD34" i="4"/>
  <c r="HC34" i="4"/>
  <c r="HB34" i="4"/>
  <c r="HA34" i="4"/>
  <c r="GZ34" i="4"/>
  <c r="GY34" i="4"/>
  <c r="GX34" i="4"/>
  <c r="GW34" i="4"/>
  <c r="GV34" i="4"/>
  <c r="GU34" i="4"/>
  <c r="GT34" i="4"/>
  <c r="GS34" i="4"/>
  <c r="GR34" i="4"/>
  <c r="GQ34" i="4"/>
  <c r="GP34" i="4"/>
  <c r="GO34" i="4"/>
  <c r="GN34" i="4"/>
  <c r="GM34" i="4"/>
  <c r="GL34" i="4"/>
  <c r="GK34" i="4"/>
  <c r="GJ34" i="4"/>
  <c r="GI34" i="4"/>
  <c r="GH34" i="4"/>
  <c r="GG34" i="4"/>
  <c r="GF34" i="4"/>
  <c r="GE34" i="4"/>
  <c r="GD34" i="4"/>
  <c r="GC34" i="4"/>
  <c r="GB34" i="4"/>
  <c r="GA34" i="4"/>
  <c r="FZ34" i="4"/>
  <c r="FY34" i="4"/>
  <c r="FX34" i="4"/>
  <c r="FW34" i="4"/>
  <c r="FV34" i="4"/>
  <c r="FU34" i="4"/>
  <c r="FT34" i="4"/>
  <c r="FS34" i="4"/>
  <c r="FR34" i="4"/>
  <c r="FQ34" i="4"/>
  <c r="FP34" i="4"/>
  <c r="FO34" i="4"/>
  <c r="FN34" i="4"/>
  <c r="FM34" i="4"/>
  <c r="FL34" i="4"/>
  <c r="FK34" i="4"/>
  <c r="FJ34" i="4"/>
  <c r="FI34" i="4"/>
  <c r="FH34" i="4"/>
  <c r="FG34" i="4"/>
  <c r="FF34" i="4"/>
  <c r="FE34" i="4"/>
  <c r="FD34" i="4"/>
  <c r="FC34" i="4"/>
  <c r="FB34" i="4"/>
  <c r="FA34" i="4"/>
  <c r="EZ34" i="4"/>
  <c r="EY34" i="4"/>
  <c r="EX34" i="4"/>
  <c r="EW34" i="4"/>
  <c r="EV34" i="4"/>
  <c r="EU34" i="4"/>
  <c r="ET34" i="4"/>
  <c r="ES34" i="4"/>
  <c r="ER34" i="4"/>
  <c r="EQ34" i="4"/>
  <c r="EP34" i="4"/>
  <c r="EO34" i="4"/>
  <c r="EN34" i="4"/>
  <c r="EM34" i="4"/>
  <c r="EL34" i="4"/>
  <c r="EK34" i="4"/>
  <c r="EJ34" i="4"/>
  <c r="EI34" i="4"/>
  <c r="EH34" i="4"/>
  <c r="EG34" i="4"/>
  <c r="EF34" i="4"/>
  <c r="EE34" i="4"/>
  <c r="ED34" i="4"/>
  <c r="EC34" i="4"/>
  <c r="EB34" i="4"/>
  <c r="EA34" i="4"/>
  <c r="DZ34" i="4"/>
  <c r="DY34" i="4"/>
  <c r="DX34" i="4"/>
  <c r="DW34" i="4"/>
  <c r="DV34" i="4"/>
  <c r="DU34" i="4"/>
  <c r="DT34" i="4"/>
  <c r="DS34" i="4"/>
  <c r="DR34" i="4"/>
  <c r="DQ34" i="4"/>
  <c r="DP34" i="4"/>
  <c r="DO34" i="4"/>
  <c r="DN34" i="4"/>
  <c r="DM34" i="4"/>
  <c r="DL34" i="4"/>
  <c r="DK34" i="4"/>
  <c r="DJ34" i="4"/>
  <c r="DI34" i="4"/>
  <c r="DH34" i="4"/>
  <c r="DG34" i="4"/>
  <c r="DF34" i="4"/>
  <c r="DE34" i="4"/>
  <c r="DD34" i="4"/>
  <c r="DC34" i="4"/>
  <c r="DB34" i="4"/>
  <c r="DA34" i="4"/>
  <c r="CZ34" i="4"/>
  <c r="CY34" i="4"/>
  <c r="CX34" i="4"/>
  <c r="CW34" i="4"/>
  <c r="CV34" i="4"/>
  <c r="CU34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C34" i="4"/>
  <c r="CB34" i="4"/>
  <c r="CA34" i="4"/>
  <c r="BZ34" i="4"/>
  <c r="BY34" i="4"/>
  <c r="BX34" i="4"/>
  <c r="BW34" i="4"/>
  <c r="BV34" i="4"/>
  <c r="BU34" i="4"/>
  <c r="BT34" i="4"/>
  <c r="BS34" i="4"/>
  <c r="BR34" i="4"/>
  <c r="BQ34" i="4"/>
  <c r="BP34" i="4"/>
  <c r="BO34" i="4"/>
  <c r="BN34" i="4"/>
  <c r="BM34" i="4"/>
  <c r="BL34" i="4"/>
  <c r="BK34" i="4"/>
  <c r="BJ34" i="4"/>
  <c r="BI34" i="4"/>
  <c r="BH34" i="4"/>
  <c r="BG34" i="4"/>
  <c r="BF34" i="4"/>
  <c r="BE34" i="4"/>
  <c r="BD34" i="4"/>
  <c r="BC34" i="4"/>
  <c r="BB34" i="4"/>
  <c r="BA34" i="4"/>
  <c r="AZ34" i="4"/>
  <c r="AY34" i="4"/>
  <c r="AX34" i="4"/>
  <c r="AW34" i="4"/>
  <c r="AV34" i="4"/>
  <c r="AU34" i="4"/>
  <c r="AT34" i="4"/>
  <c r="AS34" i="4"/>
  <c r="AR34" i="4"/>
  <c r="AQ34" i="4"/>
  <c r="AP34" i="4"/>
  <c r="AO34" i="4"/>
  <c r="AN34" i="4"/>
  <c r="AM34" i="4"/>
  <c r="AL34" i="4"/>
  <c r="AK34" i="4"/>
  <c r="AJ34" i="4"/>
  <c r="AI34" i="4"/>
  <c r="AH34" i="4"/>
  <c r="AG34" i="4"/>
  <c r="AF34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KG33" i="4"/>
  <c r="KF33" i="4"/>
  <c r="KE33" i="4"/>
  <c r="KD33" i="4"/>
  <c r="KC33" i="4"/>
  <c r="KB33" i="4"/>
  <c r="KA33" i="4"/>
  <c r="JZ33" i="4"/>
  <c r="JY33" i="4"/>
  <c r="JX33" i="4"/>
  <c r="JW33" i="4"/>
  <c r="JV33" i="4"/>
  <c r="JU33" i="4"/>
  <c r="JT33" i="4"/>
  <c r="JS33" i="4"/>
  <c r="JR33" i="4"/>
  <c r="JQ33" i="4"/>
  <c r="JP33" i="4"/>
  <c r="JO33" i="4"/>
  <c r="JN33" i="4"/>
  <c r="JM33" i="4"/>
  <c r="JL33" i="4"/>
  <c r="JK33" i="4"/>
  <c r="JJ33" i="4"/>
  <c r="JI33" i="4"/>
  <c r="JH33" i="4"/>
  <c r="JG33" i="4"/>
  <c r="JF33" i="4"/>
  <c r="JE33" i="4"/>
  <c r="JD33" i="4"/>
  <c r="JC33" i="4"/>
  <c r="JB33" i="4"/>
  <c r="JA33" i="4"/>
  <c r="IZ33" i="4"/>
  <c r="IY33" i="4"/>
  <c r="IX33" i="4"/>
  <c r="IW33" i="4"/>
  <c r="IV33" i="4"/>
  <c r="IU33" i="4"/>
  <c r="IT33" i="4"/>
  <c r="IS33" i="4"/>
  <c r="IR33" i="4"/>
  <c r="IQ33" i="4"/>
  <c r="IP33" i="4"/>
  <c r="IO33" i="4"/>
  <c r="IN33" i="4"/>
  <c r="IM33" i="4"/>
  <c r="IL33" i="4"/>
  <c r="IK33" i="4"/>
  <c r="IJ33" i="4"/>
  <c r="II33" i="4"/>
  <c r="IH33" i="4"/>
  <c r="IG33" i="4"/>
  <c r="IF33" i="4"/>
  <c r="IE33" i="4"/>
  <c r="ID33" i="4"/>
  <c r="IC33" i="4"/>
  <c r="IB33" i="4"/>
  <c r="IA33" i="4"/>
  <c r="HZ33" i="4"/>
  <c r="HY33" i="4"/>
  <c r="HX33" i="4"/>
  <c r="HW33" i="4"/>
  <c r="HV33" i="4"/>
  <c r="HU33" i="4"/>
  <c r="HT33" i="4"/>
  <c r="HS33" i="4"/>
  <c r="HR33" i="4"/>
  <c r="HQ33" i="4"/>
  <c r="HP33" i="4"/>
  <c r="HO33" i="4"/>
  <c r="HN33" i="4"/>
  <c r="HM33" i="4"/>
  <c r="HL33" i="4"/>
  <c r="HK33" i="4"/>
  <c r="HJ33" i="4"/>
  <c r="HI33" i="4"/>
  <c r="HH33" i="4"/>
  <c r="HG33" i="4"/>
  <c r="HF33" i="4"/>
  <c r="HE33" i="4"/>
  <c r="HD33" i="4"/>
  <c r="HC33" i="4"/>
  <c r="HB33" i="4"/>
  <c r="HA33" i="4"/>
  <c r="GZ33" i="4"/>
  <c r="GY33" i="4"/>
  <c r="GX33" i="4"/>
  <c r="GW33" i="4"/>
  <c r="GV33" i="4"/>
  <c r="GU33" i="4"/>
  <c r="GT33" i="4"/>
  <c r="GS33" i="4"/>
  <c r="GR33" i="4"/>
  <c r="GQ33" i="4"/>
  <c r="GP33" i="4"/>
  <c r="GO33" i="4"/>
  <c r="GN33" i="4"/>
  <c r="GM33" i="4"/>
  <c r="GL33" i="4"/>
  <c r="GK33" i="4"/>
  <c r="GJ33" i="4"/>
  <c r="GI33" i="4"/>
  <c r="GH33" i="4"/>
  <c r="GG33" i="4"/>
  <c r="GF33" i="4"/>
  <c r="GE33" i="4"/>
  <c r="GD33" i="4"/>
  <c r="GC33" i="4"/>
  <c r="GB33" i="4"/>
  <c r="GA33" i="4"/>
  <c r="FZ33" i="4"/>
  <c r="FY33" i="4"/>
  <c r="FX33" i="4"/>
  <c r="FW33" i="4"/>
  <c r="FV33" i="4"/>
  <c r="FU33" i="4"/>
  <c r="FT33" i="4"/>
  <c r="FS33" i="4"/>
  <c r="FR33" i="4"/>
  <c r="FQ33" i="4"/>
  <c r="FP33" i="4"/>
  <c r="FO33" i="4"/>
  <c r="FN33" i="4"/>
  <c r="FM33" i="4"/>
  <c r="FL33" i="4"/>
  <c r="FK33" i="4"/>
  <c r="FJ33" i="4"/>
  <c r="FI33" i="4"/>
  <c r="FH33" i="4"/>
  <c r="FG33" i="4"/>
  <c r="FF33" i="4"/>
  <c r="FE33" i="4"/>
  <c r="FD33" i="4"/>
  <c r="FC33" i="4"/>
  <c r="FB33" i="4"/>
  <c r="FA33" i="4"/>
  <c r="EZ33" i="4"/>
  <c r="EY33" i="4"/>
  <c r="EX33" i="4"/>
  <c r="EW33" i="4"/>
  <c r="EV33" i="4"/>
  <c r="EU33" i="4"/>
  <c r="ET33" i="4"/>
  <c r="ES33" i="4"/>
  <c r="ER33" i="4"/>
  <c r="EQ33" i="4"/>
  <c r="EP33" i="4"/>
  <c r="EO33" i="4"/>
  <c r="EN33" i="4"/>
  <c r="EM33" i="4"/>
  <c r="EL33" i="4"/>
  <c r="EK33" i="4"/>
  <c r="EJ33" i="4"/>
  <c r="EI33" i="4"/>
  <c r="EH33" i="4"/>
  <c r="EG33" i="4"/>
  <c r="EF33" i="4"/>
  <c r="EE33" i="4"/>
  <c r="ED33" i="4"/>
  <c r="EC33" i="4"/>
  <c r="EB33" i="4"/>
  <c r="EA33" i="4"/>
  <c r="DZ33" i="4"/>
  <c r="DY33" i="4"/>
  <c r="DX33" i="4"/>
  <c r="DW33" i="4"/>
  <c r="DV33" i="4"/>
  <c r="DU33" i="4"/>
  <c r="DT33" i="4"/>
  <c r="DS33" i="4"/>
  <c r="DR33" i="4"/>
  <c r="DQ33" i="4"/>
  <c r="DP33" i="4"/>
  <c r="DO33" i="4"/>
  <c r="DN33" i="4"/>
  <c r="DM33" i="4"/>
  <c r="DL33" i="4"/>
  <c r="DK33" i="4"/>
  <c r="DJ33" i="4"/>
  <c r="DI33" i="4"/>
  <c r="DH33" i="4"/>
  <c r="DG33" i="4"/>
  <c r="DF33" i="4"/>
  <c r="DE33" i="4"/>
  <c r="DD33" i="4"/>
  <c r="DC33" i="4"/>
  <c r="DB33" i="4"/>
  <c r="DA33" i="4"/>
  <c r="CZ33" i="4"/>
  <c r="CY33" i="4"/>
  <c r="CX33" i="4"/>
  <c r="CW33" i="4"/>
  <c r="CV33" i="4"/>
  <c r="CU33" i="4"/>
  <c r="CT33" i="4"/>
  <c r="CS33" i="4"/>
  <c r="CR33" i="4"/>
  <c r="CQ33" i="4"/>
  <c r="CP33" i="4"/>
  <c r="CO33" i="4"/>
  <c r="CN33" i="4"/>
  <c r="CM33" i="4"/>
  <c r="CL33" i="4"/>
  <c r="CK33" i="4"/>
  <c r="CJ33" i="4"/>
  <c r="CI33" i="4"/>
  <c r="CH33" i="4"/>
  <c r="CG33" i="4"/>
  <c r="CF33" i="4"/>
  <c r="CE33" i="4"/>
  <c r="CD33" i="4"/>
  <c r="CC33" i="4"/>
  <c r="CB33" i="4"/>
  <c r="CA33" i="4"/>
  <c r="BZ33" i="4"/>
  <c r="BY33" i="4"/>
  <c r="BX33" i="4"/>
  <c r="BW33" i="4"/>
  <c r="BV33" i="4"/>
  <c r="BU33" i="4"/>
  <c r="BT33" i="4"/>
  <c r="BS33" i="4"/>
  <c r="BR33" i="4"/>
  <c r="BQ33" i="4"/>
  <c r="BP33" i="4"/>
  <c r="BO33" i="4"/>
  <c r="BN33" i="4"/>
  <c r="BM33" i="4"/>
  <c r="BL33" i="4"/>
  <c r="BK33" i="4"/>
  <c r="BJ33" i="4"/>
  <c r="BI33" i="4"/>
  <c r="BH33" i="4"/>
  <c r="BG33" i="4"/>
  <c r="BF33" i="4"/>
  <c r="BE33" i="4"/>
  <c r="BD33" i="4"/>
  <c r="BC33" i="4"/>
  <c r="BB33" i="4"/>
  <c r="BA33" i="4"/>
  <c r="AZ33" i="4"/>
  <c r="AY33" i="4"/>
  <c r="AX33" i="4"/>
  <c r="AW33" i="4"/>
  <c r="AV33" i="4"/>
  <c r="AU33" i="4"/>
  <c r="AT33" i="4"/>
  <c r="AS33" i="4"/>
  <c r="AR33" i="4"/>
  <c r="AQ33" i="4"/>
  <c r="AP33" i="4"/>
  <c r="AO33" i="4"/>
  <c r="AN33" i="4"/>
  <c r="AM33" i="4"/>
  <c r="AL33" i="4"/>
  <c r="AK33" i="4"/>
  <c r="AJ33" i="4"/>
  <c r="AI33" i="4"/>
  <c r="AH33" i="4"/>
  <c r="AG33" i="4"/>
  <c r="AF33" i="4"/>
  <c r="AE33" i="4"/>
  <c r="AD33" i="4"/>
  <c r="AC33" i="4"/>
  <c r="AB33" i="4"/>
  <c r="AA33" i="4"/>
  <c r="Z33" i="4"/>
  <c r="Y33" i="4"/>
  <c r="X33" i="4"/>
  <c r="W33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KG32" i="4"/>
  <c r="KF32" i="4"/>
  <c r="KE32" i="4"/>
  <c r="KD32" i="4"/>
  <c r="KC32" i="4"/>
  <c r="KB32" i="4"/>
  <c r="KA32" i="4"/>
  <c r="JZ32" i="4"/>
  <c r="JY32" i="4"/>
  <c r="JX32" i="4"/>
  <c r="JW32" i="4"/>
  <c r="JV32" i="4"/>
  <c r="JU32" i="4"/>
  <c r="JT32" i="4"/>
  <c r="JS32" i="4"/>
  <c r="JR32" i="4"/>
  <c r="JQ32" i="4"/>
  <c r="JP32" i="4"/>
  <c r="JO32" i="4"/>
  <c r="JN32" i="4"/>
  <c r="JM32" i="4"/>
  <c r="JL32" i="4"/>
  <c r="JK32" i="4"/>
  <c r="JJ32" i="4"/>
  <c r="JI32" i="4"/>
  <c r="JH32" i="4"/>
  <c r="JG32" i="4"/>
  <c r="JF32" i="4"/>
  <c r="JE32" i="4"/>
  <c r="JD32" i="4"/>
  <c r="JC32" i="4"/>
  <c r="JB32" i="4"/>
  <c r="JA32" i="4"/>
  <c r="IZ32" i="4"/>
  <c r="IY32" i="4"/>
  <c r="IX32" i="4"/>
  <c r="IW32" i="4"/>
  <c r="IV32" i="4"/>
  <c r="IU32" i="4"/>
  <c r="IT32" i="4"/>
  <c r="IS32" i="4"/>
  <c r="IR32" i="4"/>
  <c r="IQ32" i="4"/>
  <c r="IP32" i="4"/>
  <c r="IO32" i="4"/>
  <c r="IN32" i="4"/>
  <c r="IM32" i="4"/>
  <c r="IL32" i="4"/>
  <c r="IK32" i="4"/>
  <c r="IJ32" i="4"/>
  <c r="II32" i="4"/>
  <c r="IH32" i="4"/>
  <c r="IG32" i="4"/>
  <c r="IF32" i="4"/>
  <c r="IE32" i="4"/>
  <c r="ID32" i="4"/>
  <c r="IC32" i="4"/>
  <c r="IB32" i="4"/>
  <c r="IA32" i="4"/>
  <c r="HZ32" i="4"/>
  <c r="HY32" i="4"/>
  <c r="HX32" i="4"/>
  <c r="HW32" i="4"/>
  <c r="HV32" i="4"/>
  <c r="HU32" i="4"/>
  <c r="HT32" i="4"/>
  <c r="HS32" i="4"/>
  <c r="HR32" i="4"/>
  <c r="HQ32" i="4"/>
  <c r="HP32" i="4"/>
  <c r="HO32" i="4"/>
  <c r="HN32" i="4"/>
  <c r="HM32" i="4"/>
  <c r="HL32" i="4"/>
  <c r="HK32" i="4"/>
  <c r="HJ32" i="4"/>
  <c r="HI32" i="4"/>
  <c r="HH32" i="4"/>
  <c r="HG32" i="4"/>
  <c r="HF32" i="4"/>
  <c r="HE32" i="4"/>
  <c r="HD32" i="4"/>
  <c r="HC32" i="4"/>
  <c r="HB32" i="4"/>
  <c r="HA32" i="4"/>
  <c r="GZ32" i="4"/>
  <c r="GY32" i="4"/>
  <c r="GX32" i="4"/>
  <c r="GW32" i="4"/>
  <c r="GV32" i="4"/>
  <c r="GU32" i="4"/>
  <c r="GT32" i="4"/>
  <c r="GS32" i="4"/>
  <c r="GR32" i="4"/>
  <c r="GQ32" i="4"/>
  <c r="GP32" i="4"/>
  <c r="GO32" i="4"/>
  <c r="GN32" i="4"/>
  <c r="GM32" i="4"/>
  <c r="GL32" i="4"/>
  <c r="GK32" i="4"/>
  <c r="GJ32" i="4"/>
  <c r="GI32" i="4"/>
  <c r="GH32" i="4"/>
  <c r="GG32" i="4"/>
  <c r="GF32" i="4"/>
  <c r="GE32" i="4"/>
  <c r="GD32" i="4"/>
  <c r="GC32" i="4"/>
  <c r="GB32" i="4"/>
  <c r="GA32" i="4"/>
  <c r="FZ32" i="4"/>
  <c r="FY32" i="4"/>
  <c r="FX32" i="4"/>
  <c r="FW32" i="4"/>
  <c r="FV32" i="4"/>
  <c r="FU32" i="4"/>
  <c r="FT32" i="4"/>
  <c r="FS32" i="4"/>
  <c r="FR32" i="4"/>
  <c r="FQ32" i="4"/>
  <c r="FP32" i="4"/>
  <c r="FO32" i="4"/>
  <c r="FN32" i="4"/>
  <c r="FM32" i="4"/>
  <c r="FL32" i="4"/>
  <c r="FK32" i="4"/>
  <c r="FJ32" i="4"/>
  <c r="FI32" i="4"/>
  <c r="FH32" i="4"/>
  <c r="FG32" i="4"/>
  <c r="FF32" i="4"/>
  <c r="FE32" i="4"/>
  <c r="FD32" i="4"/>
  <c r="FC32" i="4"/>
  <c r="FB32" i="4"/>
  <c r="FA32" i="4"/>
  <c r="EZ32" i="4"/>
  <c r="EY32" i="4"/>
  <c r="EX32" i="4"/>
  <c r="EW32" i="4"/>
  <c r="EV32" i="4"/>
  <c r="EU32" i="4"/>
  <c r="ET32" i="4"/>
  <c r="ES32" i="4"/>
  <c r="ER32" i="4"/>
  <c r="EQ32" i="4"/>
  <c r="EP32" i="4"/>
  <c r="EO32" i="4"/>
  <c r="EN32" i="4"/>
  <c r="EM32" i="4"/>
  <c r="EL32" i="4"/>
  <c r="EK32" i="4"/>
  <c r="EJ32" i="4"/>
  <c r="EI32" i="4"/>
  <c r="EH32" i="4"/>
  <c r="EG32" i="4"/>
  <c r="EF32" i="4"/>
  <c r="EE32" i="4"/>
  <c r="ED32" i="4"/>
  <c r="EC32" i="4"/>
  <c r="EB32" i="4"/>
  <c r="EA32" i="4"/>
  <c r="DZ32" i="4"/>
  <c r="DY32" i="4"/>
  <c r="DX32" i="4"/>
  <c r="DW32" i="4"/>
  <c r="DV32" i="4"/>
  <c r="DU32" i="4"/>
  <c r="DT32" i="4"/>
  <c r="DS32" i="4"/>
  <c r="DR32" i="4"/>
  <c r="DQ32" i="4"/>
  <c r="DP32" i="4"/>
  <c r="DO32" i="4"/>
  <c r="DN32" i="4"/>
  <c r="DM32" i="4"/>
  <c r="DL32" i="4"/>
  <c r="DK32" i="4"/>
  <c r="DJ32" i="4"/>
  <c r="DI32" i="4"/>
  <c r="DH32" i="4"/>
  <c r="DG32" i="4"/>
  <c r="DF32" i="4"/>
  <c r="DE32" i="4"/>
  <c r="DD32" i="4"/>
  <c r="DC32" i="4"/>
  <c r="DB32" i="4"/>
  <c r="DA32" i="4"/>
  <c r="CZ32" i="4"/>
  <c r="CY32" i="4"/>
  <c r="CX32" i="4"/>
  <c r="CW32" i="4"/>
  <c r="CV32" i="4"/>
  <c r="CU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BZ32" i="4"/>
  <c r="BY32" i="4"/>
  <c r="BX32" i="4"/>
  <c r="BW32" i="4"/>
  <c r="BV32" i="4"/>
  <c r="BU32" i="4"/>
  <c r="BT32" i="4"/>
  <c r="BS32" i="4"/>
  <c r="BR32" i="4"/>
  <c r="BQ32" i="4"/>
  <c r="BP32" i="4"/>
  <c r="BO32" i="4"/>
  <c r="BN32" i="4"/>
  <c r="BM32" i="4"/>
  <c r="BL32" i="4"/>
  <c r="BK32" i="4"/>
  <c r="BJ32" i="4"/>
  <c r="BI32" i="4"/>
  <c r="BH32" i="4"/>
  <c r="BG32" i="4"/>
  <c r="BF32" i="4"/>
  <c r="BE32" i="4"/>
  <c r="BD32" i="4"/>
  <c r="BC32" i="4"/>
  <c r="BB32" i="4"/>
  <c r="BA32" i="4"/>
  <c r="AZ32" i="4"/>
  <c r="AY32" i="4"/>
  <c r="AX32" i="4"/>
  <c r="AW32" i="4"/>
  <c r="AV32" i="4"/>
  <c r="AU32" i="4"/>
  <c r="AT32" i="4"/>
  <c r="AS32" i="4"/>
  <c r="AR32" i="4"/>
  <c r="AQ32" i="4"/>
  <c r="AP32" i="4"/>
  <c r="AO32" i="4"/>
  <c r="AN32" i="4"/>
  <c r="AM32" i="4"/>
  <c r="AL32" i="4"/>
  <c r="AK32" i="4"/>
  <c r="AJ32" i="4"/>
  <c r="AI32" i="4"/>
  <c r="AH32" i="4"/>
  <c r="AG32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KG31" i="4"/>
  <c r="KF31" i="4"/>
  <c r="KE31" i="4"/>
  <c r="KD31" i="4"/>
  <c r="KC31" i="4"/>
  <c r="KB31" i="4"/>
  <c r="KA31" i="4"/>
  <c r="JZ31" i="4"/>
  <c r="JY31" i="4"/>
  <c r="JX31" i="4"/>
  <c r="JW31" i="4"/>
  <c r="JV31" i="4"/>
  <c r="JU31" i="4"/>
  <c r="JT31" i="4"/>
  <c r="JS31" i="4"/>
  <c r="JR31" i="4"/>
  <c r="JQ31" i="4"/>
  <c r="JP31" i="4"/>
  <c r="JO31" i="4"/>
  <c r="JN31" i="4"/>
  <c r="JM31" i="4"/>
  <c r="JL31" i="4"/>
  <c r="JK31" i="4"/>
  <c r="JJ31" i="4"/>
  <c r="JI31" i="4"/>
  <c r="JH31" i="4"/>
  <c r="JG31" i="4"/>
  <c r="JF31" i="4"/>
  <c r="JE31" i="4"/>
  <c r="JD31" i="4"/>
  <c r="JC31" i="4"/>
  <c r="JB31" i="4"/>
  <c r="JA31" i="4"/>
  <c r="IZ31" i="4"/>
  <c r="IY31" i="4"/>
  <c r="IX31" i="4"/>
  <c r="IW31" i="4"/>
  <c r="IV31" i="4"/>
  <c r="IU31" i="4"/>
  <c r="IT31" i="4"/>
  <c r="IS31" i="4"/>
  <c r="IR31" i="4"/>
  <c r="IQ31" i="4"/>
  <c r="IP31" i="4"/>
  <c r="IO31" i="4"/>
  <c r="IN31" i="4"/>
  <c r="IM31" i="4"/>
  <c r="IL31" i="4"/>
  <c r="IK31" i="4"/>
  <c r="IJ31" i="4"/>
  <c r="II31" i="4"/>
  <c r="IH31" i="4"/>
  <c r="IG31" i="4"/>
  <c r="IF31" i="4"/>
  <c r="IE31" i="4"/>
  <c r="ID31" i="4"/>
  <c r="IC31" i="4"/>
  <c r="IB31" i="4"/>
  <c r="IA31" i="4"/>
  <c r="HZ31" i="4"/>
  <c r="HY31" i="4"/>
  <c r="HX31" i="4"/>
  <c r="HW31" i="4"/>
  <c r="HV31" i="4"/>
  <c r="HU31" i="4"/>
  <c r="HT31" i="4"/>
  <c r="HS31" i="4"/>
  <c r="HR31" i="4"/>
  <c r="HQ31" i="4"/>
  <c r="HP31" i="4"/>
  <c r="HO31" i="4"/>
  <c r="HN31" i="4"/>
  <c r="HM31" i="4"/>
  <c r="HL31" i="4"/>
  <c r="HK31" i="4"/>
  <c r="HJ31" i="4"/>
  <c r="HI31" i="4"/>
  <c r="HH31" i="4"/>
  <c r="HG31" i="4"/>
  <c r="HF31" i="4"/>
  <c r="HE31" i="4"/>
  <c r="HD31" i="4"/>
  <c r="HC31" i="4"/>
  <c r="HB31" i="4"/>
  <c r="HA31" i="4"/>
  <c r="GZ31" i="4"/>
  <c r="GY31" i="4"/>
  <c r="GX31" i="4"/>
  <c r="GW31" i="4"/>
  <c r="GV31" i="4"/>
  <c r="GU31" i="4"/>
  <c r="GT31" i="4"/>
  <c r="GS31" i="4"/>
  <c r="GR31" i="4"/>
  <c r="GQ31" i="4"/>
  <c r="GP31" i="4"/>
  <c r="GO31" i="4"/>
  <c r="GN31" i="4"/>
  <c r="GM31" i="4"/>
  <c r="GL31" i="4"/>
  <c r="GK31" i="4"/>
  <c r="GJ31" i="4"/>
  <c r="GI31" i="4"/>
  <c r="GH31" i="4"/>
  <c r="GG31" i="4"/>
  <c r="GF31" i="4"/>
  <c r="GE31" i="4"/>
  <c r="GD31" i="4"/>
  <c r="GC31" i="4"/>
  <c r="GB31" i="4"/>
  <c r="GA31" i="4"/>
  <c r="FZ31" i="4"/>
  <c r="FY31" i="4"/>
  <c r="FX31" i="4"/>
  <c r="FW31" i="4"/>
  <c r="FV31" i="4"/>
  <c r="FU31" i="4"/>
  <c r="FT31" i="4"/>
  <c r="FS31" i="4"/>
  <c r="FR31" i="4"/>
  <c r="FQ31" i="4"/>
  <c r="FP31" i="4"/>
  <c r="FO31" i="4"/>
  <c r="FN31" i="4"/>
  <c r="FM31" i="4"/>
  <c r="FL31" i="4"/>
  <c r="FK31" i="4"/>
  <c r="FJ31" i="4"/>
  <c r="FI31" i="4"/>
  <c r="FH31" i="4"/>
  <c r="FG31" i="4"/>
  <c r="FF31" i="4"/>
  <c r="FE31" i="4"/>
  <c r="FD31" i="4"/>
  <c r="FC31" i="4"/>
  <c r="FB31" i="4"/>
  <c r="FA31" i="4"/>
  <c r="EZ31" i="4"/>
  <c r="EY31" i="4"/>
  <c r="EX31" i="4"/>
  <c r="EW31" i="4"/>
  <c r="EV31" i="4"/>
  <c r="EU31" i="4"/>
  <c r="ET31" i="4"/>
  <c r="ES31" i="4"/>
  <c r="ER31" i="4"/>
  <c r="EQ31" i="4"/>
  <c r="EP31" i="4"/>
  <c r="EO31" i="4"/>
  <c r="EN31" i="4"/>
  <c r="EM31" i="4"/>
  <c r="EL31" i="4"/>
  <c r="EK31" i="4"/>
  <c r="EJ31" i="4"/>
  <c r="EI31" i="4"/>
  <c r="EH31" i="4"/>
  <c r="EG31" i="4"/>
  <c r="EF31" i="4"/>
  <c r="EE31" i="4"/>
  <c r="ED31" i="4"/>
  <c r="EC31" i="4"/>
  <c r="EB31" i="4"/>
  <c r="EA31" i="4"/>
  <c r="DZ31" i="4"/>
  <c r="DY31" i="4"/>
  <c r="DX31" i="4"/>
  <c r="DW31" i="4"/>
  <c r="DV31" i="4"/>
  <c r="DU31" i="4"/>
  <c r="DT31" i="4"/>
  <c r="DS31" i="4"/>
  <c r="DR31" i="4"/>
  <c r="DQ31" i="4"/>
  <c r="DP31" i="4"/>
  <c r="DO31" i="4"/>
  <c r="DN31" i="4"/>
  <c r="DM31" i="4"/>
  <c r="DL31" i="4"/>
  <c r="DK31" i="4"/>
  <c r="DJ31" i="4"/>
  <c r="DI31" i="4"/>
  <c r="DH31" i="4"/>
  <c r="DG31" i="4"/>
  <c r="DF31" i="4"/>
  <c r="DE31" i="4"/>
  <c r="DD31" i="4"/>
  <c r="DC31" i="4"/>
  <c r="DB31" i="4"/>
  <c r="DA31" i="4"/>
  <c r="CZ31" i="4"/>
  <c r="CY31" i="4"/>
  <c r="CX31" i="4"/>
  <c r="CW31" i="4"/>
  <c r="CV31" i="4"/>
  <c r="CU31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C31" i="4"/>
  <c r="CB31" i="4"/>
  <c r="CA31" i="4"/>
  <c r="BZ31" i="4"/>
  <c r="BY31" i="4"/>
  <c r="BX31" i="4"/>
  <c r="BW31" i="4"/>
  <c r="BV31" i="4"/>
  <c r="BU31" i="4"/>
  <c r="BT31" i="4"/>
  <c r="BS31" i="4"/>
  <c r="BR31" i="4"/>
  <c r="BQ31" i="4"/>
  <c r="BP31" i="4"/>
  <c r="BO31" i="4"/>
  <c r="BN31" i="4"/>
  <c r="BM31" i="4"/>
  <c r="BL31" i="4"/>
  <c r="BK31" i="4"/>
  <c r="BJ31" i="4"/>
  <c r="BI31" i="4"/>
  <c r="BH31" i="4"/>
  <c r="BG31" i="4"/>
  <c r="BF31" i="4"/>
  <c r="BE31" i="4"/>
  <c r="BD31" i="4"/>
  <c r="BC31" i="4"/>
  <c r="BB31" i="4"/>
  <c r="BA31" i="4"/>
  <c r="AZ31" i="4"/>
  <c r="AY31" i="4"/>
  <c r="AX31" i="4"/>
  <c r="AW31" i="4"/>
  <c r="AV31" i="4"/>
  <c r="AU31" i="4"/>
  <c r="AT31" i="4"/>
  <c r="AS31" i="4"/>
  <c r="AR31" i="4"/>
  <c r="AQ31" i="4"/>
  <c r="AP31" i="4"/>
  <c r="AO31" i="4"/>
  <c r="AN31" i="4"/>
  <c r="AM31" i="4"/>
  <c r="AL31" i="4"/>
  <c r="AK31" i="4"/>
  <c r="AJ31" i="4"/>
  <c r="AI31" i="4"/>
  <c r="AH31" i="4"/>
  <c r="AG31" i="4"/>
  <c r="AF31" i="4"/>
  <c r="AE31" i="4"/>
  <c r="AD31" i="4"/>
  <c r="AC31" i="4"/>
  <c r="AB31" i="4"/>
  <c r="AA31" i="4"/>
  <c r="Z31" i="4"/>
  <c r="Y31" i="4"/>
  <c r="X31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KG30" i="4"/>
  <c r="KF30" i="4"/>
  <c r="KE30" i="4"/>
  <c r="KD30" i="4"/>
  <c r="KC30" i="4"/>
  <c r="KB30" i="4"/>
  <c r="KA30" i="4"/>
  <c r="JZ30" i="4"/>
  <c r="JY30" i="4"/>
  <c r="JX30" i="4"/>
  <c r="JW30" i="4"/>
  <c r="JV30" i="4"/>
  <c r="JU30" i="4"/>
  <c r="JT30" i="4"/>
  <c r="JS30" i="4"/>
  <c r="JR30" i="4"/>
  <c r="JQ30" i="4"/>
  <c r="JP30" i="4"/>
  <c r="JO30" i="4"/>
  <c r="JN30" i="4"/>
  <c r="JM30" i="4"/>
  <c r="JL30" i="4"/>
  <c r="JK30" i="4"/>
  <c r="JJ30" i="4"/>
  <c r="JI30" i="4"/>
  <c r="JH30" i="4"/>
  <c r="JG30" i="4"/>
  <c r="JF30" i="4"/>
  <c r="JE30" i="4"/>
  <c r="JD30" i="4"/>
  <c r="JC30" i="4"/>
  <c r="JB30" i="4"/>
  <c r="JA30" i="4"/>
  <c r="IZ30" i="4"/>
  <c r="IY30" i="4"/>
  <c r="IX30" i="4"/>
  <c r="IW30" i="4"/>
  <c r="IV30" i="4"/>
  <c r="IU30" i="4"/>
  <c r="IT30" i="4"/>
  <c r="IS30" i="4"/>
  <c r="IR30" i="4"/>
  <c r="IQ30" i="4"/>
  <c r="IP30" i="4"/>
  <c r="IO30" i="4"/>
  <c r="IN30" i="4"/>
  <c r="IM30" i="4"/>
  <c r="IL30" i="4"/>
  <c r="IK30" i="4"/>
  <c r="IJ30" i="4"/>
  <c r="II30" i="4"/>
  <c r="IH30" i="4"/>
  <c r="IG30" i="4"/>
  <c r="IF30" i="4"/>
  <c r="IE30" i="4"/>
  <c r="ID30" i="4"/>
  <c r="IC30" i="4"/>
  <c r="IB30" i="4"/>
  <c r="IA30" i="4"/>
  <c r="HZ30" i="4"/>
  <c r="HY30" i="4"/>
  <c r="HX30" i="4"/>
  <c r="HW30" i="4"/>
  <c r="HV30" i="4"/>
  <c r="HU30" i="4"/>
  <c r="HT30" i="4"/>
  <c r="HS30" i="4"/>
  <c r="HR30" i="4"/>
  <c r="HQ30" i="4"/>
  <c r="HP30" i="4"/>
  <c r="HO30" i="4"/>
  <c r="HN30" i="4"/>
  <c r="HM30" i="4"/>
  <c r="HL30" i="4"/>
  <c r="HK30" i="4"/>
  <c r="HJ30" i="4"/>
  <c r="HI30" i="4"/>
  <c r="HH30" i="4"/>
  <c r="HG30" i="4"/>
  <c r="HF30" i="4"/>
  <c r="HE30" i="4"/>
  <c r="HD30" i="4"/>
  <c r="HC30" i="4"/>
  <c r="HB30" i="4"/>
  <c r="HA30" i="4"/>
  <c r="GZ30" i="4"/>
  <c r="GY30" i="4"/>
  <c r="GX30" i="4"/>
  <c r="GW30" i="4"/>
  <c r="GV30" i="4"/>
  <c r="GU30" i="4"/>
  <c r="GT30" i="4"/>
  <c r="GS30" i="4"/>
  <c r="GR30" i="4"/>
  <c r="GQ30" i="4"/>
  <c r="GP30" i="4"/>
  <c r="GO30" i="4"/>
  <c r="GN30" i="4"/>
  <c r="GM30" i="4"/>
  <c r="GL30" i="4"/>
  <c r="GK30" i="4"/>
  <c r="GJ30" i="4"/>
  <c r="GI30" i="4"/>
  <c r="GH30" i="4"/>
  <c r="GG30" i="4"/>
  <c r="GF30" i="4"/>
  <c r="GE30" i="4"/>
  <c r="GD30" i="4"/>
  <c r="GC30" i="4"/>
  <c r="GB30" i="4"/>
  <c r="GA30" i="4"/>
  <c r="FZ30" i="4"/>
  <c r="FY30" i="4"/>
  <c r="FX30" i="4"/>
  <c r="FW30" i="4"/>
  <c r="FV30" i="4"/>
  <c r="FU30" i="4"/>
  <c r="FT30" i="4"/>
  <c r="FS30" i="4"/>
  <c r="FR30" i="4"/>
  <c r="FQ30" i="4"/>
  <c r="FP30" i="4"/>
  <c r="FO30" i="4"/>
  <c r="FN30" i="4"/>
  <c r="FM30" i="4"/>
  <c r="FL30" i="4"/>
  <c r="FK30" i="4"/>
  <c r="FJ30" i="4"/>
  <c r="FI30" i="4"/>
  <c r="FH30" i="4"/>
  <c r="FG30" i="4"/>
  <c r="FF30" i="4"/>
  <c r="FE30" i="4"/>
  <c r="FD30" i="4"/>
  <c r="FC30" i="4"/>
  <c r="FB30" i="4"/>
  <c r="FA30" i="4"/>
  <c r="EZ30" i="4"/>
  <c r="EY30" i="4"/>
  <c r="EX30" i="4"/>
  <c r="EW30" i="4"/>
  <c r="EV30" i="4"/>
  <c r="EU30" i="4"/>
  <c r="ET30" i="4"/>
  <c r="ES30" i="4"/>
  <c r="ER30" i="4"/>
  <c r="EQ30" i="4"/>
  <c r="EP30" i="4"/>
  <c r="EO30" i="4"/>
  <c r="EN30" i="4"/>
  <c r="EM30" i="4"/>
  <c r="EL30" i="4"/>
  <c r="EK30" i="4"/>
  <c r="EJ30" i="4"/>
  <c r="EI30" i="4"/>
  <c r="EH30" i="4"/>
  <c r="EG30" i="4"/>
  <c r="EF30" i="4"/>
  <c r="EE30" i="4"/>
  <c r="ED30" i="4"/>
  <c r="EC30" i="4"/>
  <c r="EB30" i="4"/>
  <c r="EA30" i="4"/>
  <c r="DZ30" i="4"/>
  <c r="DY30" i="4"/>
  <c r="DX30" i="4"/>
  <c r="DW30" i="4"/>
  <c r="DV30" i="4"/>
  <c r="DU30" i="4"/>
  <c r="DT30" i="4"/>
  <c r="DS30" i="4"/>
  <c r="DR30" i="4"/>
  <c r="DQ30" i="4"/>
  <c r="DP30" i="4"/>
  <c r="DO30" i="4"/>
  <c r="DN30" i="4"/>
  <c r="DM30" i="4"/>
  <c r="DL30" i="4"/>
  <c r="DK30" i="4"/>
  <c r="DJ30" i="4"/>
  <c r="DI30" i="4"/>
  <c r="DH30" i="4"/>
  <c r="DG30" i="4"/>
  <c r="DF30" i="4"/>
  <c r="DE30" i="4"/>
  <c r="DD30" i="4"/>
  <c r="DC30" i="4"/>
  <c r="DB30" i="4"/>
  <c r="DA30" i="4"/>
  <c r="CZ30" i="4"/>
  <c r="CY30" i="4"/>
  <c r="CX30" i="4"/>
  <c r="CW30" i="4"/>
  <c r="CV30" i="4"/>
  <c r="CU30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C30" i="4"/>
  <c r="CB30" i="4"/>
  <c r="CA30" i="4"/>
  <c r="BZ30" i="4"/>
  <c r="BY30" i="4"/>
  <c r="BX30" i="4"/>
  <c r="BW30" i="4"/>
  <c r="BV30" i="4"/>
  <c r="BU30" i="4"/>
  <c r="BT30" i="4"/>
  <c r="BS30" i="4"/>
  <c r="BR30" i="4"/>
  <c r="BQ30" i="4"/>
  <c r="BP30" i="4"/>
  <c r="BO30" i="4"/>
  <c r="BN30" i="4"/>
  <c r="BM30" i="4"/>
  <c r="BL30" i="4"/>
  <c r="BK30" i="4"/>
  <c r="BJ30" i="4"/>
  <c r="BI30" i="4"/>
  <c r="BH30" i="4"/>
  <c r="BG30" i="4"/>
  <c r="BF30" i="4"/>
  <c r="BE30" i="4"/>
  <c r="BD30" i="4"/>
  <c r="BC30" i="4"/>
  <c r="BB30" i="4"/>
  <c r="BA30" i="4"/>
  <c r="AZ30" i="4"/>
  <c r="AY30" i="4"/>
  <c r="AX30" i="4"/>
  <c r="AW30" i="4"/>
  <c r="AV30" i="4"/>
  <c r="AU30" i="4"/>
  <c r="AT30" i="4"/>
  <c r="AS30" i="4"/>
  <c r="AR30" i="4"/>
  <c r="AQ30" i="4"/>
  <c r="AP30" i="4"/>
  <c r="AO30" i="4"/>
  <c r="AN30" i="4"/>
  <c r="AM30" i="4"/>
  <c r="AL30" i="4"/>
  <c r="AK30" i="4"/>
  <c r="AJ30" i="4"/>
  <c r="AI30" i="4"/>
  <c r="AH30" i="4"/>
  <c r="AG30" i="4"/>
  <c r="AF30" i="4"/>
  <c r="AE30" i="4"/>
  <c r="AD30" i="4"/>
  <c r="AC30" i="4"/>
  <c r="AB30" i="4"/>
  <c r="AA30" i="4"/>
  <c r="Z30" i="4"/>
  <c r="Y30" i="4"/>
  <c r="X30" i="4"/>
  <c r="W30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KG29" i="4"/>
  <c r="KF29" i="4"/>
  <c r="KE29" i="4"/>
  <c r="KD29" i="4"/>
  <c r="KC29" i="4"/>
  <c r="KB29" i="4"/>
  <c r="KA29" i="4"/>
  <c r="JZ29" i="4"/>
  <c r="JY29" i="4"/>
  <c r="JX29" i="4"/>
  <c r="JW29" i="4"/>
  <c r="JV29" i="4"/>
  <c r="JU29" i="4"/>
  <c r="JT29" i="4"/>
  <c r="JS29" i="4"/>
  <c r="JR29" i="4"/>
  <c r="JQ29" i="4"/>
  <c r="JP29" i="4"/>
  <c r="JO29" i="4"/>
  <c r="JN29" i="4"/>
  <c r="JM29" i="4"/>
  <c r="JL29" i="4"/>
  <c r="JK29" i="4"/>
  <c r="JJ29" i="4"/>
  <c r="JI29" i="4"/>
  <c r="JH29" i="4"/>
  <c r="JG29" i="4"/>
  <c r="JF29" i="4"/>
  <c r="JE29" i="4"/>
  <c r="JD29" i="4"/>
  <c r="JC29" i="4"/>
  <c r="JB29" i="4"/>
  <c r="JA29" i="4"/>
  <c r="IZ29" i="4"/>
  <c r="IY29" i="4"/>
  <c r="IX29" i="4"/>
  <c r="IW29" i="4"/>
  <c r="IV29" i="4"/>
  <c r="IU29" i="4"/>
  <c r="IT29" i="4"/>
  <c r="IS29" i="4"/>
  <c r="IR29" i="4"/>
  <c r="IQ29" i="4"/>
  <c r="IP29" i="4"/>
  <c r="IO29" i="4"/>
  <c r="IN29" i="4"/>
  <c r="IM29" i="4"/>
  <c r="IL29" i="4"/>
  <c r="IK29" i="4"/>
  <c r="IJ29" i="4"/>
  <c r="II29" i="4"/>
  <c r="IH29" i="4"/>
  <c r="IG29" i="4"/>
  <c r="IF29" i="4"/>
  <c r="IE29" i="4"/>
  <c r="ID29" i="4"/>
  <c r="IC29" i="4"/>
  <c r="IB29" i="4"/>
  <c r="IA29" i="4"/>
  <c r="HZ29" i="4"/>
  <c r="HY29" i="4"/>
  <c r="HX29" i="4"/>
  <c r="HW29" i="4"/>
  <c r="HV29" i="4"/>
  <c r="HU29" i="4"/>
  <c r="HT29" i="4"/>
  <c r="HS29" i="4"/>
  <c r="HR29" i="4"/>
  <c r="HQ29" i="4"/>
  <c r="HP29" i="4"/>
  <c r="HO29" i="4"/>
  <c r="HN29" i="4"/>
  <c r="HM29" i="4"/>
  <c r="HL29" i="4"/>
  <c r="HK29" i="4"/>
  <c r="HJ29" i="4"/>
  <c r="HI29" i="4"/>
  <c r="HH29" i="4"/>
  <c r="HG29" i="4"/>
  <c r="HF29" i="4"/>
  <c r="HE29" i="4"/>
  <c r="HD29" i="4"/>
  <c r="HC29" i="4"/>
  <c r="HB29" i="4"/>
  <c r="HA29" i="4"/>
  <c r="GZ29" i="4"/>
  <c r="GY29" i="4"/>
  <c r="GX29" i="4"/>
  <c r="GW29" i="4"/>
  <c r="GV29" i="4"/>
  <c r="GU29" i="4"/>
  <c r="GT29" i="4"/>
  <c r="GS29" i="4"/>
  <c r="GR29" i="4"/>
  <c r="GQ29" i="4"/>
  <c r="GP29" i="4"/>
  <c r="GO29" i="4"/>
  <c r="GN29" i="4"/>
  <c r="GM29" i="4"/>
  <c r="GL29" i="4"/>
  <c r="GK29" i="4"/>
  <c r="GJ29" i="4"/>
  <c r="GI29" i="4"/>
  <c r="GH29" i="4"/>
  <c r="GG29" i="4"/>
  <c r="GF29" i="4"/>
  <c r="GE29" i="4"/>
  <c r="GD29" i="4"/>
  <c r="GC29" i="4"/>
  <c r="GB29" i="4"/>
  <c r="GA29" i="4"/>
  <c r="FZ29" i="4"/>
  <c r="FY29" i="4"/>
  <c r="FX29" i="4"/>
  <c r="FW29" i="4"/>
  <c r="FV29" i="4"/>
  <c r="FU29" i="4"/>
  <c r="FT29" i="4"/>
  <c r="FS29" i="4"/>
  <c r="FR29" i="4"/>
  <c r="FQ29" i="4"/>
  <c r="FP29" i="4"/>
  <c r="FO29" i="4"/>
  <c r="FN29" i="4"/>
  <c r="FM29" i="4"/>
  <c r="FL29" i="4"/>
  <c r="FK29" i="4"/>
  <c r="FJ29" i="4"/>
  <c r="FI29" i="4"/>
  <c r="FH29" i="4"/>
  <c r="FG29" i="4"/>
  <c r="FF29" i="4"/>
  <c r="FE29" i="4"/>
  <c r="FD29" i="4"/>
  <c r="FC29" i="4"/>
  <c r="FB29" i="4"/>
  <c r="FA29" i="4"/>
  <c r="EZ29" i="4"/>
  <c r="EY29" i="4"/>
  <c r="EX29" i="4"/>
  <c r="EW29" i="4"/>
  <c r="EV29" i="4"/>
  <c r="EU29" i="4"/>
  <c r="ET29" i="4"/>
  <c r="ES29" i="4"/>
  <c r="ER29" i="4"/>
  <c r="EQ29" i="4"/>
  <c r="EP29" i="4"/>
  <c r="EO29" i="4"/>
  <c r="EN29" i="4"/>
  <c r="EM29" i="4"/>
  <c r="EL29" i="4"/>
  <c r="EK29" i="4"/>
  <c r="EJ29" i="4"/>
  <c r="EI29" i="4"/>
  <c r="EH29" i="4"/>
  <c r="EG29" i="4"/>
  <c r="EF29" i="4"/>
  <c r="EE29" i="4"/>
  <c r="ED29" i="4"/>
  <c r="EC29" i="4"/>
  <c r="EB29" i="4"/>
  <c r="EA29" i="4"/>
  <c r="DZ29" i="4"/>
  <c r="DY29" i="4"/>
  <c r="DX29" i="4"/>
  <c r="DW29" i="4"/>
  <c r="DV29" i="4"/>
  <c r="DU29" i="4"/>
  <c r="DT29" i="4"/>
  <c r="DS29" i="4"/>
  <c r="DR29" i="4"/>
  <c r="DQ29" i="4"/>
  <c r="DP29" i="4"/>
  <c r="DO29" i="4"/>
  <c r="DN29" i="4"/>
  <c r="DM29" i="4"/>
  <c r="DL29" i="4"/>
  <c r="DK29" i="4"/>
  <c r="DJ29" i="4"/>
  <c r="DI29" i="4"/>
  <c r="DH29" i="4"/>
  <c r="DG29" i="4"/>
  <c r="DF29" i="4"/>
  <c r="DE29" i="4"/>
  <c r="DD29" i="4"/>
  <c r="DC29" i="4"/>
  <c r="DB29" i="4"/>
  <c r="DA29" i="4"/>
  <c r="CZ29" i="4"/>
  <c r="CY29" i="4"/>
  <c r="CX29" i="4"/>
  <c r="CW29" i="4"/>
  <c r="CV29" i="4"/>
  <c r="CU29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C29" i="4"/>
  <c r="CB29" i="4"/>
  <c r="CA29" i="4"/>
  <c r="BZ29" i="4"/>
  <c r="BY29" i="4"/>
  <c r="BX29" i="4"/>
  <c r="BW29" i="4"/>
  <c r="BV29" i="4"/>
  <c r="BU29" i="4"/>
  <c r="BT29" i="4"/>
  <c r="BS29" i="4"/>
  <c r="BR29" i="4"/>
  <c r="BQ29" i="4"/>
  <c r="BP29" i="4"/>
  <c r="BO29" i="4"/>
  <c r="BN29" i="4"/>
  <c r="BM29" i="4"/>
  <c r="BL29" i="4"/>
  <c r="BK29" i="4"/>
  <c r="BJ29" i="4"/>
  <c r="BI29" i="4"/>
  <c r="BH29" i="4"/>
  <c r="BG29" i="4"/>
  <c r="BF29" i="4"/>
  <c r="BE29" i="4"/>
  <c r="BD29" i="4"/>
  <c r="BC29" i="4"/>
  <c r="BB29" i="4"/>
  <c r="BA29" i="4"/>
  <c r="AZ29" i="4"/>
  <c r="AY29" i="4"/>
  <c r="AX29" i="4"/>
  <c r="AW29" i="4"/>
  <c r="AV29" i="4"/>
  <c r="AU29" i="4"/>
  <c r="AT29" i="4"/>
  <c r="AS29" i="4"/>
  <c r="AR29" i="4"/>
  <c r="AQ29" i="4"/>
  <c r="AP29" i="4"/>
  <c r="AO29" i="4"/>
  <c r="AN29" i="4"/>
  <c r="AM29" i="4"/>
  <c r="AL29" i="4"/>
  <c r="AK29" i="4"/>
  <c r="AJ29" i="4"/>
  <c r="AI29" i="4"/>
  <c r="AH29" i="4"/>
  <c r="AG29" i="4"/>
  <c r="AF29" i="4"/>
  <c r="AE29" i="4"/>
  <c r="AD29" i="4"/>
  <c r="AC29" i="4"/>
  <c r="AB29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KG28" i="4"/>
  <c r="KF28" i="4"/>
  <c r="KE28" i="4"/>
  <c r="KD28" i="4"/>
  <c r="KC28" i="4"/>
  <c r="KB28" i="4"/>
  <c r="KA28" i="4"/>
  <c r="JZ28" i="4"/>
  <c r="JY28" i="4"/>
  <c r="JX28" i="4"/>
  <c r="JW28" i="4"/>
  <c r="JV28" i="4"/>
  <c r="JU28" i="4"/>
  <c r="JT28" i="4"/>
  <c r="JS28" i="4"/>
  <c r="JR28" i="4"/>
  <c r="JQ28" i="4"/>
  <c r="JP28" i="4"/>
  <c r="JO28" i="4"/>
  <c r="JN28" i="4"/>
  <c r="JM28" i="4"/>
  <c r="JL28" i="4"/>
  <c r="JK28" i="4"/>
  <c r="JJ28" i="4"/>
  <c r="JI28" i="4"/>
  <c r="JH28" i="4"/>
  <c r="JG28" i="4"/>
  <c r="JF28" i="4"/>
  <c r="JE28" i="4"/>
  <c r="JD28" i="4"/>
  <c r="JC28" i="4"/>
  <c r="JB28" i="4"/>
  <c r="JA28" i="4"/>
  <c r="IZ28" i="4"/>
  <c r="IY28" i="4"/>
  <c r="IX28" i="4"/>
  <c r="IW28" i="4"/>
  <c r="IV28" i="4"/>
  <c r="IU28" i="4"/>
  <c r="IT28" i="4"/>
  <c r="IS28" i="4"/>
  <c r="IR28" i="4"/>
  <c r="IQ28" i="4"/>
  <c r="IP28" i="4"/>
  <c r="IO28" i="4"/>
  <c r="IN28" i="4"/>
  <c r="IM28" i="4"/>
  <c r="IL28" i="4"/>
  <c r="IK28" i="4"/>
  <c r="IJ28" i="4"/>
  <c r="II28" i="4"/>
  <c r="IH28" i="4"/>
  <c r="IG28" i="4"/>
  <c r="IF28" i="4"/>
  <c r="IE28" i="4"/>
  <c r="ID28" i="4"/>
  <c r="IC28" i="4"/>
  <c r="IB28" i="4"/>
  <c r="IA28" i="4"/>
  <c r="HZ28" i="4"/>
  <c r="HY28" i="4"/>
  <c r="HX28" i="4"/>
  <c r="HW28" i="4"/>
  <c r="HV28" i="4"/>
  <c r="HU28" i="4"/>
  <c r="HT28" i="4"/>
  <c r="HS28" i="4"/>
  <c r="HR28" i="4"/>
  <c r="HQ28" i="4"/>
  <c r="HP28" i="4"/>
  <c r="HO28" i="4"/>
  <c r="HN28" i="4"/>
  <c r="HM28" i="4"/>
  <c r="HL28" i="4"/>
  <c r="HK28" i="4"/>
  <c r="HJ28" i="4"/>
  <c r="HI28" i="4"/>
  <c r="HH28" i="4"/>
  <c r="HG28" i="4"/>
  <c r="HF28" i="4"/>
  <c r="HE28" i="4"/>
  <c r="HD28" i="4"/>
  <c r="HC28" i="4"/>
  <c r="HB28" i="4"/>
  <c r="HA28" i="4"/>
  <c r="GZ28" i="4"/>
  <c r="GY28" i="4"/>
  <c r="GX28" i="4"/>
  <c r="GW28" i="4"/>
  <c r="GV28" i="4"/>
  <c r="GU28" i="4"/>
  <c r="GT28" i="4"/>
  <c r="GS28" i="4"/>
  <c r="GR28" i="4"/>
  <c r="GQ28" i="4"/>
  <c r="GP28" i="4"/>
  <c r="GO28" i="4"/>
  <c r="GN28" i="4"/>
  <c r="GM28" i="4"/>
  <c r="GL28" i="4"/>
  <c r="GK28" i="4"/>
  <c r="GJ28" i="4"/>
  <c r="GI28" i="4"/>
  <c r="GH28" i="4"/>
  <c r="GG28" i="4"/>
  <c r="GF28" i="4"/>
  <c r="GE28" i="4"/>
  <c r="GD28" i="4"/>
  <c r="GC28" i="4"/>
  <c r="GB28" i="4"/>
  <c r="GA28" i="4"/>
  <c r="FZ28" i="4"/>
  <c r="FY28" i="4"/>
  <c r="FX28" i="4"/>
  <c r="FW28" i="4"/>
  <c r="FV28" i="4"/>
  <c r="FU28" i="4"/>
  <c r="FT28" i="4"/>
  <c r="FS28" i="4"/>
  <c r="FR28" i="4"/>
  <c r="FQ28" i="4"/>
  <c r="FP28" i="4"/>
  <c r="FO28" i="4"/>
  <c r="FN28" i="4"/>
  <c r="FM28" i="4"/>
  <c r="FL28" i="4"/>
  <c r="FK28" i="4"/>
  <c r="FJ28" i="4"/>
  <c r="FI28" i="4"/>
  <c r="FH28" i="4"/>
  <c r="FG28" i="4"/>
  <c r="FF28" i="4"/>
  <c r="FE28" i="4"/>
  <c r="FD28" i="4"/>
  <c r="FC28" i="4"/>
  <c r="FB28" i="4"/>
  <c r="FA28" i="4"/>
  <c r="EZ28" i="4"/>
  <c r="EY28" i="4"/>
  <c r="EX28" i="4"/>
  <c r="EW28" i="4"/>
  <c r="EV28" i="4"/>
  <c r="EU28" i="4"/>
  <c r="ET28" i="4"/>
  <c r="ES28" i="4"/>
  <c r="ER28" i="4"/>
  <c r="EQ28" i="4"/>
  <c r="EP28" i="4"/>
  <c r="EO28" i="4"/>
  <c r="EN28" i="4"/>
  <c r="EM28" i="4"/>
  <c r="EL28" i="4"/>
  <c r="EK28" i="4"/>
  <c r="EJ28" i="4"/>
  <c r="EI28" i="4"/>
  <c r="EH28" i="4"/>
  <c r="EG28" i="4"/>
  <c r="EF28" i="4"/>
  <c r="EE28" i="4"/>
  <c r="ED28" i="4"/>
  <c r="EC28" i="4"/>
  <c r="EB28" i="4"/>
  <c r="EA28" i="4"/>
  <c r="DZ28" i="4"/>
  <c r="DY28" i="4"/>
  <c r="DX28" i="4"/>
  <c r="DW28" i="4"/>
  <c r="DV28" i="4"/>
  <c r="DU28" i="4"/>
  <c r="DT28" i="4"/>
  <c r="DS28" i="4"/>
  <c r="DR28" i="4"/>
  <c r="DQ28" i="4"/>
  <c r="DP28" i="4"/>
  <c r="DO28" i="4"/>
  <c r="DN28" i="4"/>
  <c r="DM28" i="4"/>
  <c r="DL28" i="4"/>
  <c r="DK28" i="4"/>
  <c r="DJ28" i="4"/>
  <c r="DI28" i="4"/>
  <c r="DH28" i="4"/>
  <c r="DG28" i="4"/>
  <c r="DF28" i="4"/>
  <c r="DE28" i="4"/>
  <c r="DD28" i="4"/>
  <c r="DC28" i="4"/>
  <c r="DB28" i="4"/>
  <c r="DA28" i="4"/>
  <c r="CZ28" i="4"/>
  <c r="CY28" i="4"/>
  <c r="CX28" i="4"/>
  <c r="CW28" i="4"/>
  <c r="CV28" i="4"/>
  <c r="CU28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C28" i="4"/>
  <c r="CB28" i="4"/>
  <c r="CA28" i="4"/>
  <c r="BZ28" i="4"/>
  <c r="BY28" i="4"/>
  <c r="BX28" i="4"/>
  <c r="BW28" i="4"/>
  <c r="BV28" i="4"/>
  <c r="BU28" i="4"/>
  <c r="BT28" i="4"/>
  <c r="BS28" i="4"/>
  <c r="BR28" i="4"/>
  <c r="BQ28" i="4"/>
  <c r="BP28" i="4"/>
  <c r="BO28" i="4"/>
  <c r="BN28" i="4"/>
  <c r="BM28" i="4"/>
  <c r="BL28" i="4"/>
  <c r="BK28" i="4"/>
  <c r="BJ28" i="4"/>
  <c r="BI28" i="4"/>
  <c r="BH28" i="4"/>
  <c r="BG28" i="4"/>
  <c r="BF28" i="4"/>
  <c r="BE28" i="4"/>
  <c r="BD28" i="4"/>
  <c r="BC28" i="4"/>
  <c r="BB28" i="4"/>
  <c r="BA28" i="4"/>
  <c r="AZ28" i="4"/>
  <c r="AY28" i="4"/>
  <c r="AX28" i="4"/>
  <c r="AW28" i="4"/>
  <c r="AV28" i="4"/>
  <c r="AU28" i="4"/>
  <c r="AT28" i="4"/>
  <c r="AS28" i="4"/>
  <c r="AR28" i="4"/>
  <c r="AQ28" i="4"/>
  <c r="AP28" i="4"/>
  <c r="AO28" i="4"/>
  <c r="AN28" i="4"/>
  <c r="AM28" i="4"/>
  <c r="AL28" i="4"/>
  <c r="AK28" i="4"/>
  <c r="AJ28" i="4"/>
  <c r="AI28" i="4"/>
  <c r="AH28" i="4"/>
  <c r="AG28" i="4"/>
  <c r="AF28" i="4"/>
  <c r="AE28" i="4"/>
  <c r="AD28" i="4"/>
  <c r="AC28" i="4"/>
  <c r="AB28" i="4"/>
  <c r="AA28" i="4"/>
  <c r="Z28" i="4"/>
  <c r="Y28" i="4"/>
  <c r="X28" i="4"/>
  <c r="W28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KG27" i="4"/>
  <c r="KF27" i="4"/>
  <c r="KE27" i="4"/>
  <c r="KD27" i="4"/>
  <c r="KC27" i="4"/>
  <c r="KB27" i="4"/>
  <c r="KA27" i="4"/>
  <c r="JZ27" i="4"/>
  <c r="JY27" i="4"/>
  <c r="JX27" i="4"/>
  <c r="JW27" i="4"/>
  <c r="JV27" i="4"/>
  <c r="JU27" i="4"/>
  <c r="JT27" i="4"/>
  <c r="JS27" i="4"/>
  <c r="JR27" i="4"/>
  <c r="JQ27" i="4"/>
  <c r="JP27" i="4"/>
  <c r="JO27" i="4"/>
  <c r="JN27" i="4"/>
  <c r="JM27" i="4"/>
  <c r="JL27" i="4"/>
  <c r="JK27" i="4"/>
  <c r="JJ27" i="4"/>
  <c r="JI27" i="4"/>
  <c r="JH27" i="4"/>
  <c r="JG27" i="4"/>
  <c r="JF27" i="4"/>
  <c r="JE27" i="4"/>
  <c r="JD27" i="4"/>
  <c r="JC27" i="4"/>
  <c r="JB27" i="4"/>
  <c r="JA27" i="4"/>
  <c r="IZ27" i="4"/>
  <c r="IY27" i="4"/>
  <c r="IX27" i="4"/>
  <c r="IW27" i="4"/>
  <c r="IV27" i="4"/>
  <c r="IU27" i="4"/>
  <c r="IT27" i="4"/>
  <c r="IS27" i="4"/>
  <c r="IR27" i="4"/>
  <c r="IQ27" i="4"/>
  <c r="IP27" i="4"/>
  <c r="IO27" i="4"/>
  <c r="IN27" i="4"/>
  <c r="IM27" i="4"/>
  <c r="IL27" i="4"/>
  <c r="IK27" i="4"/>
  <c r="IJ27" i="4"/>
  <c r="II27" i="4"/>
  <c r="IH27" i="4"/>
  <c r="IG27" i="4"/>
  <c r="IF27" i="4"/>
  <c r="IE27" i="4"/>
  <c r="ID27" i="4"/>
  <c r="IC27" i="4"/>
  <c r="IB27" i="4"/>
  <c r="IA27" i="4"/>
  <c r="HZ27" i="4"/>
  <c r="HY27" i="4"/>
  <c r="HX27" i="4"/>
  <c r="HW27" i="4"/>
  <c r="HV27" i="4"/>
  <c r="HU27" i="4"/>
  <c r="HT27" i="4"/>
  <c r="HS27" i="4"/>
  <c r="HR27" i="4"/>
  <c r="HQ27" i="4"/>
  <c r="HP27" i="4"/>
  <c r="HO27" i="4"/>
  <c r="HN27" i="4"/>
  <c r="HM27" i="4"/>
  <c r="HL27" i="4"/>
  <c r="HK27" i="4"/>
  <c r="HJ27" i="4"/>
  <c r="HI27" i="4"/>
  <c r="HH27" i="4"/>
  <c r="HG27" i="4"/>
  <c r="HF27" i="4"/>
  <c r="HE27" i="4"/>
  <c r="HD27" i="4"/>
  <c r="HC27" i="4"/>
  <c r="HB27" i="4"/>
  <c r="HA27" i="4"/>
  <c r="GZ27" i="4"/>
  <c r="GY27" i="4"/>
  <c r="GX27" i="4"/>
  <c r="GW27" i="4"/>
  <c r="GV27" i="4"/>
  <c r="GU27" i="4"/>
  <c r="GT27" i="4"/>
  <c r="GS27" i="4"/>
  <c r="GR27" i="4"/>
  <c r="GQ27" i="4"/>
  <c r="GP27" i="4"/>
  <c r="GO27" i="4"/>
  <c r="GN27" i="4"/>
  <c r="GM27" i="4"/>
  <c r="GL27" i="4"/>
  <c r="GK27" i="4"/>
  <c r="GJ27" i="4"/>
  <c r="GI27" i="4"/>
  <c r="GH27" i="4"/>
  <c r="GG27" i="4"/>
  <c r="GF27" i="4"/>
  <c r="GE27" i="4"/>
  <c r="GD27" i="4"/>
  <c r="GC27" i="4"/>
  <c r="GB27" i="4"/>
  <c r="GA27" i="4"/>
  <c r="FZ27" i="4"/>
  <c r="FY27" i="4"/>
  <c r="FX27" i="4"/>
  <c r="FW27" i="4"/>
  <c r="FV27" i="4"/>
  <c r="FU27" i="4"/>
  <c r="FT27" i="4"/>
  <c r="FS27" i="4"/>
  <c r="FR27" i="4"/>
  <c r="FQ27" i="4"/>
  <c r="FP27" i="4"/>
  <c r="FO27" i="4"/>
  <c r="FN27" i="4"/>
  <c r="FM27" i="4"/>
  <c r="FL27" i="4"/>
  <c r="FK27" i="4"/>
  <c r="FJ27" i="4"/>
  <c r="FI27" i="4"/>
  <c r="FH27" i="4"/>
  <c r="FG27" i="4"/>
  <c r="FF27" i="4"/>
  <c r="FE27" i="4"/>
  <c r="FD27" i="4"/>
  <c r="FC27" i="4"/>
  <c r="FB27" i="4"/>
  <c r="FA27" i="4"/>
  <c r="EZ27" i="4"/>
  <c r="EY27" i="4"/>
  <c r="EX27" i="4"/>
  <c r="EW27" i="4"/>
  <c r="EV27" i="4"/>
  <c r="EU27" i="4"/>
  <c r="ET27" i="4"/>
  <c r="ES27" i="4"/>
  <c r="ER27" i="4"/>
  <c r="EQ27" i="4"/>
  <c r="EP27" i="4"/>
  <c r="EO27" i="4"/>
  <c r="EN27" i="4"/>
  <c r="EM27" i="4"/>
  <c r="EL27" i="4"/>
  <c r="EK27" i="4"/>
  <c r="EJ27" i="4"/>
  <c r="EI27" i="4"/>
  <c r="EH27" i="4"/>
  <c r="EG27" i="4"/>
  <c r="EF27" i="4"/>
  <c r="EE27" i="4"/>
  <c r="ED27" i="4"/>
  <c r="EC27" i="4"/>
  <c r="EB27" i="4"/>
  <c r="EA27" i="4"/>
  <c r="DZ27" i="4"/>
  <c r="DY27" i="4"/>
  <c r="DX27" i="4"/>
  <c r="DW27" i="4"/>
  <c r="DV27" i="4"/>
  <c r="DU27" i="4"/>
  <c r="DT27" i="4"/>
  <c r="DS27" i="4"/>
  <c r="DR27" i="4"/>
  <c r="DQ27" i="4"/>
  <c r="DP27" i="4"/>
  <c r="DO27" i="4"/>
  <c r="DN27" i="4"/>
  <c r="DM27" i="4"/>
  <c r="DL27" i="4"/>
  <c r="DK27" i="4"/>
  <c r="DJ27" i="4"/>
  <c r="DI27" i="4"/>
  <c r="DH27" i="4"/>
  <c r="DG27" i="4"/>
  <c r="DF27" i="4"/>
  <c r="DE27" i="4"/>
  <c r="DD27" i="4"/>
  <c r="DC27" i="4"/>
  <c r="DB27" i="4"/>
  <c r="DA27" i="4"/>
  <c r="CZ27" i="4"/>
  <c r="CY27" i="4"/>
  <c r="CX27" i="4"/>
  <c r="CW27" i="4"/>
  <c r="CV27" i="4"/>
  <c r="CU27" i="4"/>
  <c r="CT27" i="4"/>
  <c r="CS27" i="4"/>
  <c r="CR27" i="4"/>
  <c r="CQ27" i="4"/>
  <c r="CP27" i="4"/>
  <c r="CO27" i="4"/>
  <c r="CN27" i="4"/>
  <c r="CM27" i="4"/>
  <c r="CL27" i="4"/>
  <c r="CK27" i="4"/>
  <c r="CJ27" i="4"/>
  <c r="CI27" i="4"/>
  <c r="CH27" i="4"/>
  <c r="CG27" i="4"/>
  <c r="CF27" i="4"/>
  <c r="CE27" i="4"/>
  <c r="CD27" i="4"/>
  <c r="CC27" i="4"/>
  <c r="CB27" i="4"/>
  <c r="CA27" i="4"/>
  <c r="BZ27" i="4"/>
  <c r="BY27" i="4"/>
  <c r="BX27" i="4"/>
  <c r="BW27" i="4"/>
  <c r="BV27" i="4"/>
  <c r="BU27" i="4"/>
  <c r="BT27" i="4"/>
  <c r="BS27" i="4"/>
  <c r="BR27" i="4"/>
  <c r="BQ27" i="4"/>
  <c r="BP27" i="4"/>
  <c r="BO27" i="4"/>
  <c r="BN27" i="4"/>
  <c r="BM27" i="4"/>
  <c r="BL27" i="4"/>
  <c r="BK27" i="4"/>
  <c r="BJ27" i="4"/>
  <c r="BI27" i="4"/>
  <c r="BH27" i="4"/>
  <c r="BG27" i="4"/>
  <c r="BF27" i="4"/>
  <c r="BE27" i="4"/>
  <c r="BD27" i="4"/>
  <c r="BC27" i="4"/>
  <c r="BB27" i="4"/>
  <c r="BA27" i="4"/>
  <c r="AZ27" i="4"/>
  <c r="AY27" i="4"/>
  <c r="AX27" i="4"/>
  <c r="AW27" i="4"/>
  <c r="AV27" i="4"/>
  <c r="AU27" i="4"/>
  <c r="AT27" i="4"/>
  <c r="AS27" i="4"/>
  <c r="AR27" i="4"/>
  <c r="AQ27" i="4"/>
  <c r="AP27" i="4"/>
  <c r="AO27" i="4"/>
  <c r="AN27" i="4"/>
  <c r="AM27" i="4"/>
  <c r="AL27" i="4"/>
  <c r="AK27" i="4"/>
  <c r="AJ27" i="4"/>
  <c r="AI27" i="4"/>
  <c r="AH27" i="4"/>
  <c r="AG27" i="4"/>
  <c r="AF27" i="4"/>
  <c r="AE27" i="4"/>
  <c r="AD27" i="4"/>
  <c r="AC27" i="4"/>
  <c r="AB27" i="4"/>
  <c r="AA27" i="4"/>
  <c r="Z27" i="4"/>
  <c r="Y27" i="4"/>
  <c r="X27" i="4"/>
  <c r="W27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KG26" i="4"/>
  <c r="KF26" i="4"/>
  <c r="KE26" i="4"/>
  <c r="KD26" i="4"/>
  <c r="KC26" i="4"/>
  <c r="KB26" i="4"/>
  <c r="KA26" i="4"/>
  <c r="JZ26" i="4"/>
  <c r="JY26" i="4"/>
  <c r="JX26" i="4"/>
  <c r="JW26" i="4"/>
  <c r="JV26" i="4"/>
  <c r="JU26" i="4"/>
  <c r="JT26" i="4"/>
  <c r="JS26" i="4"/>
  <c r="JR26" i="4"/>
  <c r="JQ26" i="4"/>
  <c r="JP26" i="4"/>
  <c r="JO26" i="4"/>
  <c r="JN26" i="4"/>
  <c r="JM26" i="4"/>
  <c r="JL26" i="4"/>
  <c r="JK26" i="4"/>
  <c r="JJ26" i="4"/>
  <c r="JI26" i="4"/>
  <c r="JH26" i="4"/>
  <c r="JG26" i="4"/>
  <c r="JF26" i="4"/>
  <c r="JE26" i="4"/>
  <c r="JD26" i="4"/>
  <c r="JC26" i="4"/>
  <c r="JB26" i="4"/>
  <c r="JA26" i="4"/>
  <c r="IZ26" i="4"/>
  <c r="IY26" i="4"/>
  <c r="IX26" i="4"/>
  <c r="IW26" i="4"/>
  <c r="IV26" i="4"/>
  <c r="IU26" i="4"/>
  <c r="IT26" i="4"/>
  <c r="IS26" i="4"/>
  <c r="IR26" i="4"/>
  <c r="IQ26" i="4"/>
  <c r="IP26" i="4"/>
  <c r="IO26" i="4"/>
  <c r="IN26" i="4"/>
  <c r="IM26" i="4"/>
  <c r="IL26" i="4"/>
  <c r="IK26" i="4"/>
  <c r="IJ26" i="4"/>
  <c r="II26" i="4"/>
  <c r="IH26" i="4"/>
  <c r="IG26" i="4"/>
  <c r="IF26" i="4"/>
  <c r="IE26" i="4"/>
  <c r="ID26" i="4"/>
  <c r="IC26" i="4"/>
  <c r="IB26" i="4"/>
  <c r="IA26" i="4"/>
  <c r="HZ26" i="4"/>
  <c r="HY26" i="4"/>
  <c r="HX26" i="4"/>
  <c r="HW26" i="4"/>
  <c r="HV26" i="4"/>
  <c r="HU26" i="4"/>
  <c r="HT26" i="4"/>
  <c r="HS26" i="4"/>
  <c r="HR26" i="4"/>
  <c r="HQ26" i="4"/>
  <c r="HP26" i="4"/>
  <c r="HO26" i="4"/>
  <c r="HN26" i="4"/>
  <c r="HM26" i="4"/>
  <c r="HL26" i="4"/>
  <c r="HK26" i="4"/>
  <c r="HJ26" i="4"/>
  <c r="HI26" i="4"/>
  <c r="HH26" i="4"/>
  <c r="HG26" i="4"/>
  <c r="HF26" i="4"/>
  <c r="HE26" i="4"/>
  <c r="HD26" i="4"/>
  <c r="HC26" i="4"/>
  <c r="HB26" i="4"/>
  <c r="HA26" i="4"/>
  <c r="GZ26" i="4"/>
  <c r="GY26" i="4"/>
  <c r="GX26" i="4"/>
  <c r="GW26" i="4"/>
  <c r="GV26" i="4"/>
  <c r="GU26" i="4"/>
  <c r="GT26" i="4"/>
  <c r="GS26" i="4"/>
  <c r="GR26" i="4"/>
  <c r="GQ26" i="4"/>
  <c r="GP26" i="4"/>
  <c r="GO26" i="4"/>
  <c r="GN26" i="4"/>
  <c r="GM26" i="4"/>
  <c r="GL26" i="4"/>
  <c r="GK26" i="4"/>
  <c r="GJ26" i="4"/>
  <c r="GI26" i="4"/>
  <c r="GH26" i="4"/>
  <c r="GG26" i="4"/>
  <c r="GF26" i="4"/>
  <c r="GE26" i="4"/>
  <c r="GD26" i="4"/>
  <c r="GC26" i="4"/>
  <c r="GB26" i="4"/>
  <c r="GA26" i="4"/>
  <c r="FZ26" i="4"/>
  <c r="FY26" i="4"/>
  <c r="FX26" i="4"/>
  <c r="FW26" i="4"/>
  <c r="FV26" i="4"/>
  <c r="FU26" i="4"/>
  <c r="FT26" i="4"/>
  <c r="FS26" i="4"/>
  <c r="FR26" i="4"/>
  <c r="FQ26" i="4"/>
  <c r="FP26" i="4"/>
  <c r="FO26" i="4"/>
  <c r="FN26" i="4"/>
  <c r="FM26" i="4"/>
  <c r="FL26" i="4"/>
  <c r="FK26" i="4"/>
  <c r="FJ26" i="4"/>
  <c r="FI26" i="4"/>
  <c r="FH26" i="4"/>
  <c r="FG26" i="4"/>
  <c r="FF26" i="4"/>
  <c r="FE26" i="4"/>
  <c r="FD26" i="4"/>
  <c r="FC26" i="4"/>
  <c r="FB26" i="4"/>
  <c r="FA26" i="4"/>
  <c r="EZ26" i="4"/>
  <c r="EY26" i="4"/>
  <c r="EX26" i="4"/>
  <c r="EW26" i="4"/>
  <c r="EV26" i="4"/>
  <c r="EU26" i="4"/>
  <c r="ET26" i="4"/>
  <c r="ES26" i="4"/>
  <c r="ER26" i="4"/>
  <c r="EQ26" i="4"/>
  <c r="EP26" i="4"/>
  <c r="EO26" i="4"/>
  <c r="EN26" i="4"/>
  <c r="EM26" i="4"/>
  <c r="EL26" i="4"/>
  <c r="EK26" i="4"/>
  <c r="EJ26" i="4"/>
  <c r="EI26" i="4"/>
  <c r="EH26" i="4"/>
  <c r="EG26" i="4"/>
  <c r="EF26" i="4"/>
  <c r="EE26" i="4"/>
  <c r="ED26" i="4"/>
  <c r="EC26" i="4"/>
  <c r="EB26" i="4"/>
  <c r="EA26" i="4"/>
  <c r="DZ26" i="4"/>
  <c r="DY26" i="4"/>
  <c r="DX26" i="4"/>
  <c r="DW26" i="4"/>
  <c r="DV26" i="4"/>
  <c r="DU26" i="4"/>
  <c r="DT26" i="4"/>
  <c r="DS26" i="4"/>
  <c r="DR26" i="4"/>
  <c r="DQ26" i="4"/>
  <c r="DP26" i="4"/>
  <c r="DO26" i="4"/>
  <c r="DN26" i="4"/>
  <c r="DM26" i="4"/>
  <c r="DL26" i="4"/>
  <c r="DK26" i="4"/>
  <c r="DJ26" i="4"/>
  <c r="DI26" i="4"/>
  <c r="DH26" i="4"/>
  <c r="DG26" i="4"/>
  <c r="DF26" i="4"/>
  <c r="DE26" i="4"/>
  <c r="DD26" i="4"/>
  <c r="DC26" i="4"/>
  <c r="DB26" i="4"/>
  <c r="DA26" i="4"/>
  <c r="CZ26" i="4"/>
  <c r="CY26" i="4"/>
  <c r="CX26" i="4"/>
  <c r="CW26" i="4"/>
  <c r="CV26" i="4"/>
  <c r="CU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C26" i="4"/>
  <c r="CB26" i="4"/>
  <c r="CA26" i="4"/>
  <c r="BZ26" i="4"/>
  <c r="BY26" i="4"/>
  <c r="BX26" i="4"/>
  <c r="BW26" i="4"/>
  <c r="BV26" i="4"/>
  <c r="BU26" i="4"/>
  <c r="BT26" i="4"/>
  <c r="BS26" i="4"/>
  <c r="BR26" i="4"/>
  <c r="BQ26" i="4"/>
  <c r="BP26" i="4"/>
  <c r="BO26" i="4"/>
  <c r="BN26" i="4"/>
  <c r="BM26" i="4"/>
  <c r="BL26" i="4"/>
  <c r="BK26" i="4"/>
  <c r="BJ26" i="4"/>
  <c r="BI26" i="4"/>
  <c r="BH26" i="4"/>
  <c r="BG26" i="4"/>
  <c r="BF26" i="4"/>
  <c r="BE26" i="4"/>
  <c r="BD26" i="4"/>
  <c r="BC26" i="4"/>
  <c r="BB26" i="4"/>
  <c r="BA26" i="4"/>
  <c r="AZ26" i="4"/>
  <c r="AY26" i="4"/>
  <c r="AX26" i="4"/>
  <c r="AW26" i="4"/>
  <c r="AV26" i="4"/>
  <c r="AU26" i="4"/>
  <c r="AT26" i="4"/>
  <c r="AS26" i="4"/>
  <c r="AR26" i="4"/>
  <c r="AQ26" i="4"/>
  <c r="AP26" i="4"/>
  <c r="AO26" i="4"/>
  <c r="AN26" i="4"/>
  <c r="AM26" i="4"/>
  <c r="AL26" i="4"/>
  <c r="AK26" i="4"/>
  <c r="AJ26" i="4"/>
  <c r="AI26" i="4"/>
  <c r="AH26" i="4"/>
  <c r="AG26" i="4"/>
  <c r="AF26" i="4"/>
  <c r="AE26" i="4"/>
  <c r="AD26" i="4"/>
  <c r="AC26" i="4"/>
  <c r="AB26" i="4"/>
  <c r="AA26" i="4"/>
  <c r="Z26" i="4"/>
  <c r="Y26" i="4"/>
  <c r="X26" i="4"/>
  <c r="W26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KG25" i="4"/>
  <c r="KF25" i="4"/>
  <c r="KE25" i="4"/>
  <c r="KD25" i="4"/>
  <c r="KC25" i="4"/>
  <c r="KB25" i="4"/>
  <c r="KA25" i="4"/>
  <c r="JZ25" i="4"/>
  <c r="JY25" i="4"/>
  <c r="JX25" i="4"/>
  <c r="JW25" i="4"/>
  <c r="JV25" i="4"/>
  <c r="JU25" i="4"/>
  <c r="JT25" i="4"/>
  <c r="JS25" i="4"/>
  <c r="JR25" i="4"/>
  <c r="JQ25" i="4"/>
  <c r="JP25" i="4"/>
  <c r="JO25" i="4"/>
  <c r="JN25" i="4"/>
  <c r="JM25" i="4"/>
  <c r="JL25" i="4"/>
  <c r="JK25" i="4"/>
  <c r="JJ25" i="4"/>
  <c r="JI25" i="4"/>
  <c r="JH25" i="4"/>
  <c r="JG25" i="4"/>
  <c r="JF25" i="4"/>
  <c r="JE25" i="4"/>
  <c r="JD25" i="4"/>
  <c r="JC25" i="4"/>
  <c r="JB25" i="4"/>
  <c r="JA25" i="4"/>
  <c r="IZ25" i="4"/>
  <c r="IY25" i="4"/>
  <c r="IX25" i="4"/>
  <c r="IW25" i="4"/>
  <c r="IV25" i="4"/>
  <c r="IU25" i="4"/>
  <c r="IT25" i="4"/>
  <c r="IS25" i="4"/>
  <c r="IR25" i="4"/>
  <c r="IQ25" i="4"/>
  <c r="IP25" i="4"/>
  <c r="IO25" i="4"/>
  <c r="IN25" i="4"/>
  <c r="IM25" i="4"/>
  <c r="IL25" i="4"/>
  <c r="IK25" i="4"/>
  <c r="IJ25" i="4"/>
  <c r="II25" i="4"/>
  <c r="IH25" i="4"/>
  <c r="IG25" i="4"/>
  <c r="IF25" i="4"/>
  <c r="IE25" i="4"/>
  <c r="ID25" i="4"/>
  <c r="IC25" i="4"/>
  <c r="IB25" i="4"/>
  <c r="IA25" i="4"/>
  <c r="HZ25" i="4"/>
  <c r="HY25" i="4"/>
  <c r="HX25" i="4"/>
  <c r="HW25" i="4"/>
  <c r="HV25" i="4"/>
  <c r="HU25" i="4"/>
  <c r="HT25" i="4"/>
  <c r="HS25" i="4"/>
  <c r="HR25" i="4"/>
  <c r="HQ25" i="4"/>
  <c r="HP25" i="4"/>
  <c r="HO25" i="4"/>
  <c r="HN25" i="4"/>
  <c r="HM25" i="4"/>
  <c r="HL25" i="4"/>
  <c r="HK25" i="4"/>
  <c r="HJ25" i="4"/>
  <c r="HI25" i="4"/>
  <c r="HH25" i="4"/>
  <c r="HG25" i="4"/>
  <c r="HF25" i="4"/>
  <c r="HE25" i="4"/>
  <c r="HD25" i="4"/>
  <c r="HC25" i="4"/>
  <c r="HB25" i="4"/>
  <c r="HA25" i="4"/>
  <c r="GZ25" i="4"/>
  <c r="GY25" i="4"/>
  <c r="GX25" i="4"/>
  <c r="GW25" i="4"/>
  <c r="GV25" i="4"/>
  <c r="GU25" i="4"/>
  <c r="GT25" i="4"/>
  <c r="GS25" i="4"/>
  <c r="GR25" i="4"/>
  <c r="GQ25" i="4"/>
  <c r="GP25" i="4"/>
  <c r="GO25" i="4"/>
  <c r="GN25" i="4"/>
  <c r="GM25" i="4"/>
  <c r="GL25" i="4"/>
  <c r="GK25" i="4"/>
  <c r="GJ25" i="4"/>
  <c r="GI25" i="4"/>
  <c r="GH25" i="4"/>
  <c r="GG25" i="4"/>
  <c r="GF25" i="4"/>
  <c r="GE25" i="4"/>
  <c r="GD25" i="4"/>
  <c r="GC25" i="4"/>
  <c r="GB25" i="4"/>
  <c r="GA25" i="4"/>
  <c r="FZ25" i="4"/>
  <c r="FY25" i="4"/>
  <c r="FX25" i="4"/>
  <c r="FW25" i="4"/>
  <c r="FV25" i="4"/>
  <c r="FU25" i="4"/>
  <c r="FT25" i="4"/>
  <c r="FS25" i="4"/>
  <c r="FR25" i="4"/>
  <c r="FQ25" i="4"/>
  <c r="FP25" i="4"/>
  <c r="FO25" i="4"/>
  <c r="FN25" i="4"/>
  <c r="FM25" i="4"/>
  <c r="FL25" i="4"/>
  <c r="FK25" i="4"/>
  <c r="FJ25" i="4"/>
  <c r="FI25" i="4"/>
  <c r="FH25" i="4"/>
  <c r="FG25" i="4"/>
  <c r="FF25" i="4"/>
  <c r="FE25" i="4"/>
  <c r="FD25" i="4"/>
  <c r="FC25" i="4"/>
  <c r="FB25" i="4"/>
  <c r="FA25" i="4"/>
  <c r="EZ25" i="4"/>
  <c r="EY25" i="4"/>
  <c r="EX25" i="4"/>
  <c r="EW25" i="4"/>
  <c r="EV25" i="4"/>
  <c r="EU25" i="4"/>
  <c r="ET25" i="4"/>
  <c r="ES25" i="4"/>
  <c r="ER25" i="4"/>
  <c r="EQ25" i="4"/>
  <c r="EP25" i="4"/>
  <c r="EO25" i="4"/>
  <c r="EN25" i="4"/>
  <c r="EM25" i="4"/>
  <c r="EL25" i="4"/>
  <c r="EK25" i="4"/>
  <c r="EJ25" i="4"/>
  <c r="EI25" i="4"/>
  <c r="EH25" i="4"/>
  <c r="EG25" i="4"/>
  <c r="EF25" i="4"/>
  <c r="EE25" i="4"/>
  <c r="ED25" i="4"/>
  <c r="EC25" i="4"/>
  <c r="EB25" i="4"/>
  <c r="EA25" i="4"/>
  <c r="DZ25" i="4"/>
  <c r="DY25" i="4"/>
  <c r="DX25" i="4"/>
  <c r="DW25" i="4"/>
  <c r="DV25" i="4"/>
  <c r="DU25" i="4"/>
  <c r="DT25" i="4"/>
  <c r="DS25" i="4"/>
  <c r="DR25" i="4"/>
  <c r="DQ25" i="4"/>
  <c r="DP25" i="4"/>
  <c r="DO25" i="4"/>
  <c r="DN25" i="4"/>
  <c r="DM25" i="4"/>
  <c r="DL25" i="4"/>
  <c r="DK25" i="4"/>
  <c r="DJ25" i="4"/>
  <c r="DI25" i="4"/>
  <c r="DH25" i="4"/>
  <c r="DG25" i="4"/>
  <c r="DF25" i="4"/>
  <c r="DE25" i="4"/>
  <c r="DD25" i="4"/>
  <c r="DC25" i="4"/>
  <c r="DB25" i="4"/>
  <c r="DA25" i="4"/>
  <c r="CZ25" i="4"/>
  <c r="CY25" i="4"/>
  <c r="CX25" i="4"/>
  <c r="CW25" i="4"/>
  <c r="CV25" i="4"/>
  <c r="CU25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C25" i="4"/>
  <c r="CB25" i="4"/>
  <c r="CA25" i="4"/>
  <c r="BZ25" i="4"/>
  <c r="BY25" i="4"/>
  <c r="BX25" i="4"/>
  <c r="BW25" i="4"/>
  <c r="BV25" i="4"/>
  <c r="BU25" i="4"/>
  <c r="BT25" i="4"/>
  <c r="BS25" i="4"/>
  <c r="BR25" i="4"/>
  <c r="BQ25" i="4"/>
  <c r="BP25" i="4"/>
  <c r="BO25" i="4"/>
  <c r="BN25" i="4"/>
  <c r="BM25" i="4"/>
  <c r="BL25" i="4"/>
  <c r="BK25" i="4"/>
  <c r="BJ25" i="4"/>
  <c r="BI25" i="4"/>
  <c r="BH25" i="4"/>
  <c r="BG25" i="4"/>
  <c r="BF25" i="4"/>
  <c r="BE25" i="4"/>
  <c r="BD25" i="4"/>
  <c r="BC25" i="4"/>
  <c r="BB25" i="4"/>
  <c r="BA25" i="4"/>
  <c r="AZ25" i="4"/>
  <c r="AY25" i="4"/>
  <c r="AX25" i="4"/>
  <c r="AW25" i="4"/>
  <c r="AV25" i="4"/>
  <c r="AU25" i="4"/>
  <c r="AT25" i="4"/>
  <c r="AS25" i="4"/>
  <c r="AR25" i="4"/>
  <c r="AQ25" i="4"/>
  <c r="AP25" i="4"/>
  <c r="AO25" i="4"/>
  <c r="AN25" i="4"/>
  <c r="AM25" i="4"/>
  <c r="AL25" i="4"/>
  <c r="AK25" i="4"/>
  <c r="AJ25" i="4"/>
  <c r="AI25" i="4"/>
  <c r="AH25" i="4"/>
  <c r="AG25" i="4"/>
  <c r="AF25" i="4"/>
  <c r="AE25" i="4"/>
  <c r="AD25" i="4"/>
  <c r="AC25" i="4"/>
  <c r="AB25" i="4"/>
  <c r="AA25" i="4"/>
  <c r="Z25" i="4"/>
  <c r="Y25" i="4"/>
  <c r="X25" i="4"/>
  <c r="W25" i="4"/>
  <c r="V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KG24" i="4"/>
  <c r="KF24" i="4"/>
  <c r="KE24" i="4"/>
  <c r="KD24" i="4"/>
  <c r="KC24" i="4"/>
  <c r="KB24" i="4"/>
  <c r="KA24" i="4"/>
  <c r="JZ24" i="4"/>
  <c r="JY24" i="4"/>
  <c r="JX24" i="4"/>
  <c r="JW24" i="4"/>
  <c r="JV24" i="4"/>
  <c r="JU24" i="4"/>
  <c r="JT24" i="4"/>
  <c r="JS24" i="4"/>
  <c r="JR24" i="4"/>
  <c r="JQ24" i="4"/>
  <c r="JP24" i="4"/>
  <c r="JO24" i="4"/>
  <c r="JN24" i="4"/>
  <c r="JM24" i="4"/>
  <c r="JL24" i="4"/>
  <c r="JK24" i="4"/>
  <c r="JJ24" i="4"/>
  <c r="JI24" i="4"/>
  <c r="JH24" i="4"/>
  <c r="JG24" i="4"/>
  <c r="JF24" i="4"/>
  <c r="JE24" i="4"/>
  <c r="JD24" i="4"/>
  <c r="JC24" i="4"/>
  <c r="JB24" i="4"/>
  <c r="JA24" i="4"/>
  <c r="IZ24" i="4"/>
  <c r="IY24" i="4"/>
  <c r="IX24" i="4"/>
  <c r="IW24" i="4"/>
  <c r="IV24" i="4"/>
  <c r="IU24" i="4"/>
  <c r="IT24" i="4"/>
  <c r="IS24" i="4"/>
  <c r="IR24" i="4"/>
  <c r="IQ24" i="4"/>
  <c r="IP24" i="4"/>
  <c r="IO24" i="4"/>
  <c r="IN24" i="4"/>
  <c r="IM24" i="4"/>
  <c r="IL24" i="4"/>
  <c r="IK24" i="4"/>
  <c r="IJ24" i="4"/>
  <c r="II24" i="4"/>
  <c r="IH24" i="4"/>
  <c r="IG24" i="4"/>
  <c r="IF24" i="4"/>
  <c r="IE24" i="4"/>
  <c r="ID24" i="4"/>
  <c r="IC24" i="4"/>
  <c r="IB24" i="4"/>
  <c r="IA24" i="4"/>
  <c r="HZ24" i="4"/>
  <c r="HY24" i="4"/>
  <c r="HX24" i="4"/>
  <c r="HW24" i="4"/>
  <c r="HV24" i="4"/>
  <c r="HU24" i="4"/>
  <c r="HT24" i="4"/>
  <c r="HS24" i="4"/>
  <c r="HR24" i="4"/>
  <c r="HQ24" i="4"/>
  <c r="HP24" i="4"/>
  <c r="HO24" i="4"/>
  <c r="HN24" i="4"/>
  <c r="HM24" i="4"/>
  <c r="HL24" i="4"/>
  <c r="HK24" i="4"/>
  <c r="HJ24" i="4"/>
  <c r="HI24" i="4"/>
  <c r="HH24" i="4"/>
  <c r="HG24" i="4"/>
  <c r="HF24" i="4"/>
  <c r="HE24" i="4"/>
  <c r="HD24" i="4"/>
  <c r="HC24" i="4"/>
  <c r="HB24" i="4"/>
  <c r="HA24" i="4"/>
  <c r="GZ24" i="4"/>
  <c r="GY24" i="4"/>
  <c r="GX24" i="4"/>
  <c r="GW24" i="4"/>
  <c r="GV24" i="4"/>
  <c r="GU24" i="4"/>
  <c r="GT24" i="4"/>
  <c r="GS24" i="4"/>
  <c r="GR24" i="4"/>
  <c r="GQ24" i="4"/>
  <c r="GP24" i="4"/>
  <c r="GO24" i="4"/>
  <c r="GN24" i="4"/>
  <c r="GM24" i="4"/>
  <c r="GL24" i="4"/>
  <c r="GK24" i="4"/>
  <c r="GJ24" i="4"/>
  <c r="GI24" i="4"/>
  <c r="GH24" i="4"/>
  <c r="GG24" i="4"/>
  <c r="GF24" i="4"/>
  <c r="GE24" i="4"/>
  <c r="GD24" i="4"/>
  <c r="GC24" i="4"/>
  <c r="GB24" i="4"/>
  <c r="GA24" i="4"/>
  <c r="FZ24" i="4"/>
  <c r="FY24" i="4"/>
  <c r="FX24" i="4"/>
  <c r="FW24" i="4"/>
  <c r="FV24" i="4"/>
  <c r="FU24" i="4"/>
  <c r="FT24" i="4"/>
  <c r="FS24" i="4"/>
  <c r="FR24" i="4"/>
  <c r="FQ24" i="4"/>
  <c r="FP24" i="4"/>
  <c r="FO24" i="4"/>
  <c r="FN24" i="4"/>
  <c r="FM24" i="4"/>
  <c r="FL24" i="4"/>
  <c r="FK24" i="4"/>
  <c r="FJ24" i="4"/>
  <c r="FI24" i="4"/>
  <c r="FH24" i="4"/>
  <c r="FG24" i="4"/>
  <c r="FF24" i="4"/>
  <c r="FE24" i="4"/>
  <c r="FD24" i="4"/>
  <c r="FC24" i="4"/>
  <c r="FB24" i="4"/>
  <c r="FA24" i="4"/>
  <c r="EZ24" i="4"/>
  <c r="EY24" i="4"/>
  <c r="EX24" i="4"/>
  <c r="EW24" i="4"/>
  <c r="EV24" i="4"/>
  <c r="EU24" i="4"/>
  <c r="ET24" i="4"/>
  <c r="ES24" i="4"/>
  <c r="ER24" i="4"/>
  <c r="EQ24" i="4"/>
  <c r="EP24" i="4"/>
  <c r="EO24" i="4"/>
  <c r="EN24" i="4"/>
  <c r="EM24" i="4"/>
  <c r="EL24" i="4"/>
  <c r="EK24" i="4"/>
  <c r="EJ24" i="4"/>
  <c r="EI24" i="4"/>
  <c r="EH24" i="4"/>
  <c r="EG24" i="4"/>
  <c r="EF24" i="4"/>
  <c r="EE24" i="4"/>
  <c r="ED24" i="4"/>
  <c r="EC24" i="4"/>
  <c r="EB24" i="4"/>
  <c r="EA24" i="4"/>
  <c r="DZ24" i="4"/>
  <c r="DY24" i="4"/>
  <c r="DX24" i="4"/>
  <c r="DW24" i="4"/>
  <c r="DV24" i="4"/>
  <c r="DU24" i="4"/>
  <c r="DT24" i="4"/>
  <c r="DS24" i="4"/>
  <c r="DR24" i="4"/>
  <c r="DQ24" i="4"/>
  <c r="DP24" i="4"/>
  <c r="DO24" i="4"/>
  <c r="DN24" i="4"/>
  <c r="DM24" i="4"/>
  <c r="DL24" i="4"/>
  <c r="DK24" i="4"/>
  <c r="DJ24" i="4"/>
  <c r="DI24" i="4"/>
  <c r="DH24" i="4"/>
  <c r="DG24" i="4"/>
  <c r="DF24" i="4"/>
  <c r="DE24" i="4"/>
  <c r="DD24" i="4"/>
  <c r="DC24" i="4"/>
  <c r="DB24" i="4"/>
  <c r="DA24" i="4"/>
  <c r="CZ24" i="4"/>
  <c r="CY24" i="4"/>
  <c r="CX24" i="4"/>
  <c r="CW24" i="4"/>
  <c r="CV24" i="4"/>
  <c r="CU24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C24" i="4"/>
  <c r="CB24" i="4"/>
  <c r="CA24" i="4"/>
  <c r="BZ24" i="4"/>
  <c r="BY24" i="4"/>
  <c r="BX24" i="4"/>
  <c r="BW24" i="4"/>
  <c r="BV24" i="4"/>
  <c r="BU24" i="4"/>
  <c r="BT24" i="4"/>
  <c r="BS24" i="4"/>
  <c r="BR24" i="4"/>
  <c r="BQ24" i="4"/>
  <c r="BP24" i="4"/>
  <c r="BO24" i="4"/>
  <c r="BN24" i="4"/>
  <c r="BM24" i="4"/>
  <c r="BL24" i="4"/>
  <c r="BK24" i="4"/>
  <c r="BJ24" i="4"/>
  <c r="BI24" i="4"/>
  <c r="BH24" i="4"/>
  <c r="BG24" i="4"/>
  <c r="BF24" i="4"/>
  <c r="BE24" i="4"/>
  <c r="BD24" i="4"/>
  <c r="BC24" i="4"/>
  <c r="BB24" i="4"/>
  <c r="BA24" i="4"/>
  <c r="AZ24" i="4"/>
  <c r="AY24" i="4"/>
  <c r="AX24" i="4"/>
  <c r="AW24" i="4"/>
  <c r="AV24" i="4"/>
  <c r="AU24" i="4"/>
  <c r="AT24" i="4"/>
  <c r="AS24" i="4"/>
  <c r="AR24" i="4"/>
  <c r="AQ24" i="4"/>
  <c r="AP24" i="4"/>
  <c r="AO24" i="4"/>
  <c r="AN24" i="4"/>
  <c r="AM24" i="4"/>
  <c r="AL24" i="4"/>
  <c r="AK24" i="4"/>
  <c r="AJ24" i="4"/>
  <c r="AI24" i="4"/>
  <c r="AH24" i="4"/>
  <c r="AG24" i="4"/>
  <c r="AF24" i="4"/>
  <c r="AE24" i="4"/>
  <c r="AD24" i="4"/>
  <c r="AC24" i="4"/>
  <c r="AB24" i="4"/>
  <c r="AA24" i="4"/>
  <c r="Z24" i="4"/>
  <c r="Y24" i="4"/>
  <c r="X24" i="4"/>
  <c r="W24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KG23" i="4"/>
  <c r="KF23" i="4"/>
  <c r="KE23" i="4"/>
  <c r="KD23" i="4"/>
  <c r="KC23" i="4"/>
  <c r="KB23" i="4"/>
  <c r="KA23" i="4"/>
  <c r="JZ23" i="4"/>
  <c r="JY23" i="4"/>
  <c r="JX23" i="4"/>
  <c r="JW23" i="4"/>
  <c r="JV23" i="4"/>
  <c r="JU23" i="4"/>
  <c r="JT23" i="4"/>
  <c r="JS23" i="4"/>
  <c r="JR23" i="4"/>
  <c r="JQ23" i="4"/>
  <c r="JP23" i="4"/>
  <c r="JO23" i="4"/>
  <c r="JN23" i="4"/>
  <c r="JM23" i="4"/>
  <c r="JL23" i="4"/>
  <c r="JK23" i="4"/>
  <c r="JJ23" i="4"/>
  <c r="JI23" i="4"/>
  <c r="JH23" i="4"/>
  <c r="JG23" i="4"/>
  <c r="JF23" i="4"/>
  <c r="JE23" i="4"/>
  <c r="JD23" i="4"/>
  <c r="JC23" i="4"/>
  <c r="JB23" i="4"/>
  <c r="JA23" i="4"/>
  <c r="IZ23" i="4"/>
  <c r="IY23" i="4"/>
  <c r="IX23" i="4"/>
  <c r="IW23" i="4"/>
  <c r="IV23" i="4"/>
  <c r="IU23" i="4"/>
  <c r="IT23" i="4"/>
  <c r="IS23" i="4"/>
  <c r="IR23" i="4"/>
  <c r="IQ23" i="4"/>
  <c r="IP23" i="4"/>
  <c r="IO23" i="4"/>
  <c r="IN23" i="4"/>
  <c r="IM23" i="4"/>
  <c r="IL23" i="4"/>
  <c r="IK23" i="4"/>
  <c r="IJ23" i="4"/>
  <c r="II23" i="4"/>
  <c r="IH23" i="4"/>
  <c r="IG23" i="4"/>
  <c r="IF23" i="4"/>
  <c r="IE23" i="4"/>
  <c r="ID23" i="4"/>
  <c r="IC23" i="4"/>
  <c r="IB23" i="4"/>
  <c r="IA23" i="4"/>
  <c r="HZ23" i="4"/>
  <c r="HY23" i="4"/>
  <c r="HX23" i="4"/>
  <c r="HW23" i="4"/>
  <c r="HV23" i="4"/>
  <c r="HU23" i="4"/>
  <c r="HT23" i="4"/>
  <c r="HS23" i="4"/>
  <c r="HR23" i="4"/>
  <c r="HQ23" i="4"/>
  <c r="HP23" i="4"/>
  <c r="HO23" i="4"/>
  <c r="HN23" i="4"/>
  <c r="HM23" i="4"/>
  <c r="HL23" i="4"/>
  <c r="HK23" i="4"/>
  <c r="HJ23" i="4"/>
  <c r="HI23" i="4"/>
  <c r="HH23" i="4"/>
  <c r="HG23" i="4"/>
  <c r="HF23" i="4"/>
  <c r="HE23" i="4"/>
  <c r="HD23" i="4"/>
  <c r="HC23" i="4"/>
  <c r="HB23" i="4"/>
  <c r="HA23" i="4"/>
  <c r="GZ23" i="4"/>
  <c r="GY23" i="4"/>
  <c r="GX23" i="4"/>
  <c r="GW23" i="4"/>
  <c r="GV23" i="4"/>
  <c r="GU23" i="4"/>
  <c r="GT23" i="4"/>
  <c r="GS23" i="4"/>
  <c r="GR23" i="4"/>
  <c r="GQ23" i="4"/>
  <c r="GP23" i="4"/>
  <c r="GO23" i="4"/>
  <c r="GN23" i="4"/>
  <c r="GM23" i="4"/>
  <c r="GL23" i="4"/>
  <c r="GK23" i="4"/>
  <c r="GJ23" i="4"/>
  <c r="GI23" i="4"/>
  <c r="GH23" i="4"/>
  <c r="GG23" i="4"/>
  <c r="GF23" i="4"/>
  <c r="GE23" i="4"/>
  <c r="GD23" i="4"/>
  <c r="GC23" i="4"/>
  <c r="GB23" i="4"/>
  <c r="GA23" i="4"/>
  <c r="FZ23" i="4"/>
  <c r="FY23" i="4"/>
  <c r="FX23" i="4"/>
  <c r="FW23" i="4"/>
  <c r="FV23" i="4"/>
  <c r="FU23" i="4"/>
  <c r="FT23" i="4"/>
  <c r="FS23" i="4"/>
  <c r="FR23" i="4"/>
  <c r="FQ23" i="4"/>
  <c r="FP23" i="4"/>
  <c r="FO23" i="4"/>
  <c r="FN23" i="4"/>
  <c r="FM23" i="4"/>
  <c r="FL23" i="4"/>
  <c r="FK23" i="4"/>
  <c r="FJ23" i="4"/>
  <c r="FI23" i="4"/>
  <c r="FH23" i="4"/>
  <c r="FG23" i="4"/>
  <c r="FF23" i="4"/>
  <c r="FE23" i="4"/>
  <c r="FD23" i="4"/>
  <c r="FC23" i="4"/>
  <c r="FB23" i="4"/>
  <c r="FA23" i="4"/>
  <c r="EZ23" i="4"/>
  <c r="EY23" i="4"/>
  <c r="EX23" i="4"/>
  <c r="EW23" i="4"/>
  <c r="EV23" i="4"/>
  <c r="EU23" i="4"/>
  <c r="ET23" i="4"/>
  <c r="ES23" i="4"/>
  <c r="ER23" i="4"/>
  <c r="EQ23" i="4"/>
  <c r="EP23" i="4"/>
  <c r="EO23" i="4"/>
  <c r="EN23" i="4"/>
  <c r="EM23" i="4"/>
  <c r="EL23" i="4"/>
  <c r="EK23" i="4"/>
  <c r="EJ23" i="4"/>
  <c r="EI23" i="4"/>
  <c r="EH23" i="4"/>
  <c r="EG23" i="4"/>
  <c r="EF23" i="4"/>
  <c r="EE23" i="4"/>
  <c r="ED23" i="4"/>
  <c r="EC23" i="4"/>
  <c r="EB23" i="4"/>
  <c r="EA23" i="4"/>
  <c r="DZ23" i="4"/>
  <c r="DY23" i="4"/>
  <c r="DX23" i="4"/>
  <c r="DW23" i="4"/>
  <c r="DV23" i="4"/>
  <c r="DU23" i="4"/>
  <c r="DT23" i="4"/>
  <c r="DS23" i="4"/>
  <c r="DR23" i="4"/>
  <c r="DQ23" i="4"/>
  <c r="DP23" i="4"/>
  <c r="DO23" i="4"/>
  <c r="DN23" i="4"/>
  <c r="DM23" i="4"/>
  <c r="DL23" i="4"/>
  <c r="DK23" i="4"/>
  <c r="DJ23" i="4"/>
  <c r="DI23" i="4"/>
  <c r="DH23" i="4"/>
  <c r="DG23" i="4"/>
  <c r="DF23" i="4"/>
  <c r="DE23" i="4"/>
  <c r="DD23" i="4"/>
  <c r="DC23" i="4"/>
  <c r="DB23" i="4"/>
  <c r="DA23" i="4"/>
  <c r="CZ23" i="4"/>
  <c r="CY23" i="4"/>
  <c r="CX23" i="4"/>
  <c r="CW23" i="4"/>
  <c r="CV23" i="4"/>
  <c r="CU23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C23" i="4"/>
  <c r="CB23" i="4"/>
  <c r="CA23" i="4"/>
  <c r="BZ23" i="4"/>
  <c r="BY23" i="4"/>
  <c r="BX23" i="4"/>
  <c r="BW23" i="4"/>
  <c r="BV23" i="4"/>
  <c r="BU23" i="4"/>
  <c r="BT23" i="4"/>
  <c r="BS23" i="4"/>
  <c r="BR23" i="4"/>
  <c r="BQ23" i="4"/>
  <c r="BP23" i="4"/>
  <c r="BO23" i="4"/>
  <c r="BN23" i="4"/>
  <c r="BM23" i="4"/>
  <c r="BL23" i="4"/>
  <c r="BK23" i="4"/>
  <c r="BJ23" i="4"/>
  <c r="BI23" i="4"/>
  <c r="BH23" i="4"/>
  <c r="BG23" i="4"/>
  <c r="BF23" i="4"/>
  <c r="BE23" i="4"/>
  <c r="BD23" i="4"/>
  <c r="BC23" i="4"/>
  <c r="BB23" i="4"/>
  <c r="BA23" i="4"/>
  <c r="AZ23" i="4"/>
  <c r="AY23" i="4"/>
  <c r="AX23" i="4"/>
  <c r="AW23" i="4"/>
  <c r="AV23" i="4"/>
  <c r="AU23" i="4"/>
  <c r="AT23" i="4"/>
  <c r="AS23" i="4"/>
  <c r="AR23" i="4"/>
  <c r="AQ23" i="4"/>
  <c r="AP23" i="4"/>
  <c r="AO23" i="4"/>
  <c r="AN23" i="4"/>
  <c r="AM23" i="4"/>
  <c r="AL23" i="4"/>
  <c r="AK23" i="4"/>
  <c r="AJ23" i="4"/>
  <c r="AI23" i="4"/>
  <c r="AH23" i="4"/>
  <c r="AG23" i="4"/>
  <c r="AF23" i="4"/>
  <c r="AE23" i="4"/>
  <c r="AD23" i="4"/>
  <c r="AC23" i="4"/>
  <c r="AB23" i="4"/>
  <c r="AA23" i="4"/>
  <c r="Z23" i="4"/>
  <c r="Y23" i="4"/>
  <c r="X23" i="4"/>
  <c r="W23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KG22" i="4"/>
  <c r="KF22" i="4"/>
  <c r="KE22" i="4"/>
  <c r="KD22" i="4"/>
  <c r="KC22" i="4"/>
  <c r="KB22" i="4"/>
  <c r="KA22" i="4"/>
  <c r="JZ22" i="4"/>
  <c r="JY22" i="4"/>
  <c r="JX22" i="4"/>
  <c r="JW22" i="4"/>
  <c r="JV22" i="4"/>
  <c r="JU22" i="4"/>
  <c r="JT22" i="4"/>
  <c r="JS22" i="4"/>
  <c r="JR22" i="4"/>
  <c r="JQ22" i="4"/>
  <c r="JP22" i="4"/>
  <c r="JO22" i="4"/>
  <c r="JN22" i="4"/>
  <c r="JM22" i="4"/>
  <c r="JL22" i="4"/>
  <c r="JK22" i="4"/>
  <c r="JJ22" i="4"/>
  <c r="JI22" i="4"/>
  <c r="JH22" i="4"/>
  <c r="JG22" i="4"/>
  <c r="JF22" i="4"/>
  <c r="JE22" i="4"/>
  <c r="JD22" i="4"/>
  <c r="JC22" i="4"/>
  <c r="JB22" i="4"/>
  <c r="JA22" i="4"/>
  <c r="IZ22" i="4"/>
  <c r="IY22" i="4"/>
  <c r="IX22" i="4"/>
  <c r="IW22" i="4"/>
  <c r="IV22" i="4"/>
  <c r="IU22" i="4"/>
  <c r="IT22" i="4"/>
  <c r="IS22" i="4"/>
  <c r="IR22" i="4"/>
  <c r="IQ22" i="4"/>
  <c r="IP22" i="4"/>
  <c r="IO22" i="4"/>
  <c r="IN22" i="4"/>
  <c r="IM22" i="4"/>
  <c r="IL22" i="4"/>
  <c r="IK22" i="4"/>
  <c r="IJ22" i="4"/>
  <c r="II22" i="4"/>
  <c r="IH22" i="4"/>
  <c r="IG22" i="4"/>
  <c r="IF22" i="4"/>
  <c r="IE22" i="4"/>
  <c r="ID22" i="4"/>
  <c r="IC22" i="4"/>
  <c r="IB22" i="4"/>
  <c r="IA22" i="4"/>
  <c r="HZ22" i="4"/>
  <c r="HY22" i="4"/>
  <c r="HX22" i="4"/>
  <c r="HW22" i="4"/>
  <c r="HV22" i="4"/>
  <c r="HU22" i="4"/>
  <c r="HT22" i="4"/>
  <c r="HS22" i="4"/>
  <c r="HR22" i="4"/>
  <c r="HQ22" i="4"/>
  <c r="HP22" i="4"/>
  <c r="HO22" i="4"/>
  <c r="HN22" i="4"/>
  <c r="HM22" i="4"/>
  <c r="HL22" i="4"/>
  <c r="HK22" i="4"/>
  <c r="HJ22" i="4"/>
  <c r="HI22" i="4"/>
  <c r="HH22" i="4"/>
  <c r="HG22" i="4"/>
  <c r="HF22" i="4"/>
  <c r="HE22" i="4"/>
  <c r="HD22" i="4"/>
  <c r="HC22" i="4"/>
  <c r="HB22" i="4"/>
  <c r="HA22" i="4"/>
  <c r="GZ22" i="4"/>
  <c r="GY22" i="4"/>
  <c r="GX22" i="4"/>
  <c r="GW22" i="4"/>
  <c r="GV22" i="4"/>
  <c r="GU22" i="4"/>
  <c r="GT22" i="4"/>
  <c r="GS22" i="4"/>
  <c r="GR22" i="4"/>
  <c r="GQ22" i="4"/>
  <c r="GP22" i="4"/>
  <c r="GO22" i="4"/>
  <c r="GN22" i="4"/>
  <c r="GM22" i="4"/>
  <c r="GL22" i="4"/>
  <c r="GK22" i="4"/>
  <c r="GJ22" i="4"/>
  <c r="GI22" i="4"/>
  <c r="GH22" i="4"/>
  <c r="GG22" i="4"/>
  <c r="GF22" i="4"/>
  <c r="GE22" i="4"/>
  <c r="GD22" i="4"/>
  <c r="GC22" i="4"/>
  <c r="GB22" i="4"/>
  <c r="GA22" i="4"/>
  <c r="FZ22" i="4"/>
  <c r="FY22" i="4"/>
  <c r="FX22" i="4"/>
  <c r="FW22" i="4"/>
  <c r="FV22" i="4"/>
  <c r="FU22" i="4"/>
  <c r="FT22" i="4"/>
  <c r="FS22" i="4"/>
  <c r="FR22" i="4"/>
  <c r="FQ22" i="4"/>
  <c r="FP22" i="4"/>
  <c r="FO22" i="4"/>
  <c r="FN22" i="4"/>
  <c r="FM22" i="4"/>
  <c r="FL22" i="4"/>
  <c r="FK22" i="4"/>
  <c r="FJ22" i="4"/>
  <c r="FI22" i="4"/>
  <c r="FH22" i="4"/>
  <c r="FG22" i="4"/>
  <c r="FF22" i="4"/>
  <c r="FE22" i="4"/>
  <c r="FD22" i="4"/>
  <c r="FC22" i="4"/>
  <c r="FB22" i="4"/>
  <c r="FA22" i="4"/>
  <c r="EZ22" i="4"/>
  <c r="EY22" i="4"/>
  <c r="EX22" i="4"/>
  <c r="EW22" i="4"/>
  <c r="EV22" i="4"/>
  <c r="EU22" i="4"/>
  <c r="ET22" i="4"/>
  <c r="ES22" i="4"/>
  <c r="ER22" i="4"/>
  <c r="EQ22" i="4"/>
  <c r="EP22" i="4"/>
  <c r="EO22" i="4"/>
  <c r="EN22" i="4"/>
  <c r="EM22" i="4"/>
  <c r="EL22" i="4"/>
  <c r="EK22" i="4"/>
  <c r="EJ22" i="4"/>
  <c r="EI22" i="4"/>
  <c r="EH22" i="4"/>
  <c r="EG22" i="4"/>
  <c r="EF22" i="4"/>
  <c r="EE22" i="4"/>
  <c r="ED22" i="4"/>
  <c r="EC22" i="4"/>
  <c r="EB22" i="4"/>
  <c r="EA22" i="4"/>
  <c r="DZ22" i="4"/>
  <c r="DY22" i="4"/>
  <c r="DX22" i="4"/>
  <c r="DW22" i="4"/>
  <c r="DV22" i="4"/>
  <c r="DU22" i="4"/>
  <c r="DT22" i="4"/>
  <c r="DS22" i="4"/>
  <c r="DR22" i="4"/>
  <c r="DQ22" i="4"/>
  <c r="DP22" i="4"/>
  <c r="DO22" i="4"/>
  <c r="DN22" i="4"/>
  <c r="DM22" i="4"/>
  <c r="DL22" i="4"/>
  <c r="DK22" i="4"/>
  <c r="DJ22" i="4"/>
  <c r="DI22" i="4"/>
  <c r="DH22" i="4"/>
  <c r="DG22" i="4"/>
  <c r="DF22" i="4"/>
  <c r="DE22" i="4"/>
  <c r="DD22" i="4"/>
  <c r="DC22" i="4"/>
  <c r="DB22" i="4"/>
  <c r="DA22" i="4"/>
  <c r="CZ22" i="4"/>
  <c r="CY22" i="4"/>
  <c r="CX22" i="4"/>
  <c r="CW22" i="4"/>
  <c r="CV22" i="4"/>
  <c r="CU22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C22" i="4"/>
  <c r="CB22" i="4"/>
  <c r="CA22" i="4"/>
  <c r="BZ22" i="4"/>
  <c r="BY22" i="4"/>
  <c r="BX22" i="4"/>
  <c r="BW22" i="4"/>
  <c r="BV22" i="4"/>
  <c r="BU22" i="4"/>
  <c r="BT22" i="4"/>
  <c r="BS22" i="4"/>
  <c r="BR22" i="4"/>
  <c r="BQ22" i="4"/>
  <c r="BP22" i="4"/>
  <c r="BO22" i="4"/>
  <c r="BN22" i="4"/>
  <c r="BM22" i="4"/>
  <c r="BL22" i="4"/>
  <c r="BK22" i="4"/>
  <c r="BJ22" i="4"/>
  <c r="BI22" i="4"/>
  <c r="BH22" i="4"/>
  <c r="BG22" i="4"/>
  <c r="BF22" i="4"/>
  <c r="BE22" i="4"/>
  <c r="BD22" i="4"/>
  <c r="BC22" i="4"/>
  <c r="BB22" i="4"/>
  <c r="BA22" i="4"/>
  <c r="AZ22" i="4"/>
  <c r="AY22" i="4"/>
  <c r="AX22" i="4"/>
  <c r="AW22" i="4"/>
  <c r="AV22" i="4"/>
  <c r="AU22" i="4"/>
  <c r="AT22" i="4"/>
  <c r="AS22" i="4"/>
  <c r="AR22" i="4"/>
  <c r="AQ22" i="4"/>
  <c r="AP22" i="4"/>
  <c r="AO22" i="4"/>
  <c r="AN22" i="4"/>
  <c r="AM22" i="4"/>
  <c r="AL22" i="4"/>
  <c r="AK22" i="4"/>
  <c r="AJ22" i="4"/>
  <c r="AI22" i="4"/>
  <c r="AH22" i="4"/>
  <c r="AG22" i="4"/>
  <c r="AF22" i="4"/>
  <c r="AE22" i="4"/>
  <c r="AD22" i="4"/>
  <c r="AC22" i="4"/>
  <c r="AB22" i="4"/>
  <c r="AA22" i="4"/>
  <c r="Z22" i="4"/>
  <c r="Y22" i="4"/>
  <c r="X22" i="4"/>
  <c r="W22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KG21" i="4"/>
  <c r="KF21" i="4"/>
  <c r="KE21" i="4"/>
  <c r="KD21" i="4"/>
  <c r="KC21" i="4"/>
  <c r="KB21" i="4"/>
  <c r="KA21" i="4"/>
  <c r="JZ21" i="4"/>
  <c r="JY21" i="4"/>
  <c r="JX21" i="4"/>
  <c r="JW21" i="4"/>
  <c r="JV21" i="4"/>
  <c r="JU21" i="4"/>
  <c r="JT21" i="4"/>
  <c r="JS21" i="4"/>
  <c r="JR21" i="4"/>
  <c r="JQ21" i="4"/>
  <c r="JP21" i="4"/>
  <c r="JO21" i="4"/>
  <c r="JN21" i="4"/>
  <c r="JM21" i="4"/>
  <c r="JL21" i="4"/>
  <c r="JK21" i="4"/>
  <c r="JJ21" i="4"/>
  <c r="JI21" i="4"/>
  <c r="JH21" i="4"/>
  <c r="JG21" i="4"/>
  <c r="JF21" i="4"/>
  <c r="JE21" i="4"/>
  <c r="JD21" i="4"/>
  <c r="JC21" i="4"/>
  <c r="JB21" i="4"/>
  <c r="JA21" i="4"/>
  <c r="IZ21" i="4"/>
  <c r="IY21" i="4"/>
  <c r="IX21" i="4"/>
  <c r="IW21" i="4"/>
  <c r="IV21" i="4"/>
  <c r="IU21" i="4"/>
  <c r="IT21" i="4"/>
  <c r="IS21" i="4"/>
  <c r="IR21" i="4"/>
  <c r="IQ21" i="4"/>
  <c r="IP21" i="4"/>
  <c r="IO21" i="4"/>
  <c r="IN21" i="4"/>
  <c r="IM21" i="4"/>
  <c r="IL21" i="4"/>
  <c r="IK21" i="4"/>
  <c r="IJ21" i="4"/>
  <c r="II21" i="4"/>
  <c r="IH21" i="4"/>
  <c r="IG21" i="4"/>
  <c r="IF21" i="4"/>
  <c r="IE21" i="4"/>
  <c r="ID21" i="4"/>
  <c r="IC21" i="4"/>
  <c r="IB21" i="4"/>
  <c r="IA21" i="4"/>
  <c r="HZ21" i="4"/>
  <c r="HY21" i="4"/>
  <c r="HX21" i="4"/>
  <c r="HW21" i="4"/>
  <c r="HV21" i="4"/>
  <c r="HU21" i="4"/>
  <c r="HT21" i="4"/>
  <c r="HS21" i="4"/>
  <c r="HR21" i="4"/>
  <c r="HQ21" i="4"/>
  <c r="HP21" i="4"/>
  <c r="HO21" i="4"/>
  <c r="HN21" i="4"/>
  <c r="HM21" i="4"/>
  <c r="HL21" i="4"/>
  <c r="HK21" i="4"/>
  <c r="HJ21" i="4"/>
  <c r="HI21" i="4"/>
  <c r="HH21" i="4"/>
  <c r="HG21" i="4"/>
  <c r="HF21" i="4"/>
  <c r="HE21" i="4"/>
  <c r="HD21" i="4"/>
  <c r="HC21" i="4"/>
  <c r="HB21" i="4"/>
  <c r="HA21" i="4"/>
  <c r="GZ21" i="4"/>
  <c r="GY21" i="4"/>
  <c r="GX21" i="4"/>
  <c r="GW21" i="4"/>
  <c r="GV21" i="4"/>
  <c r="GU21" i="4"/>
  <c r="GT21" i="4"/>
  <c r="GS21" i="4"/>
  <c r="GR21" i="4"/>
  <c r="GQ21" i="4"/>
  <c r="GP21" i="4"/>
  <c r="GO21" i="4"/>
  <c r="GN21" i="4"/>
  <c r="GM21" i="4"/>
  <c r="GL21" i="4"/>
  <c r="GK21" i="4"/>
  <c r="GJ21" i="4"/>
  <c r="GI21" i="4"/>
  <c r="GH21" i="4"/>
  <c r="GG21" i="4"/>
  <c r="GF21" i="4"/>
  <c r="GE21" i="4"/>
  <c r="GD21" i="4"/>
  <c r="GC21" i="4"/>
  <c r="GB21" i="4"/>
  <c r="GA21" i="4"/>
  <c r="FZ21" i="4"/>
  <c r="FY21" i="4"/>
  <c r="FX21" i="4"/>
  <c r="FW21" i="4"/>
  <c r="FV21" i="4"/>
  <c r="FU21" i="4"/>
  <c r="FT21" i="4"/>
  <c r="FS21" i="4"/>
  <c r="FR21" i="4"/>
  <c r="FQ21" i="4"/>
  <c r="FP21" i="4"/>
  <c r="FO21" i="4"/>
  <c r="FN21" i="4"/>
  <c r="FM21" i="4"/>
  <c r="FL21" i="4"/>
  <c r="FK21" i="4"/>
  <c r="FJ21" i="4"/>
  <c r="FI21" i="4"/>
  <c r="FH21" i="4"/>
  <c r="FG21" i="4"/>
  <c r="FF21" i="4"/>
  <c r="FE21" i="4"/>
  <c r="FD21" i="4"/>
  <c r="FC21" i="4"/>
  <c r="FB21" i="4"/>
  <c r="FA21" i="4"/>
  <c r="EZ21" i="4"/>
  <c r="EY21" i="4"/>
  <c r="EX21" i="4"/>
  <c r="EW21" i="4"/>
  <c r="EV21" i="4"/>
  <c r="EU21" i="4"/>
  <c r="ET21" i="4"/>
  <c r="ES21" i="4"/>
  <c r="ER21" i="4"/>
  <c r="EQ21" i="4"/>
  <c r="EP21" i="4"/>
  <c r="EO21" i="4"/>
  <c r="EN21" i="4"/>
  <c r="EM21" i="4"/>
  <c r="EL21" i="4"/>
  <c r="EK21" i="4"/>
  <c r="EJ21" i="4"/>
  <c r="EI21" i="4"/>
  <c r="EH21" i="4"/>
  <c r="EG21" i="4"/>
  <c r="EF21" i="4"/>
  <c r="EE21" i="4"/>
  <c r="ED21" i="4"/>
  <c r="EC21" i="4"/>
  <c r="EB21" i="4"/>
  <c r="EA21" i="4"/>
  <c r="DZ21" i="4"/>
  <c r="DY21" i="4"/>
  <c r="DX21" i="4"/>
  <c r="DW21" i="4"/>
  <c r="DV21" i="4"/>
  <c r="DU21" i="4"/>
  <c r="DT21" i="4"/>
  <c r="DS21" i="4"/>
  <c r="DR21" i="4"/>
  <c r="DQ21" i="4"/>
  <c r="DP21" i="4"/>
  <c r="DO21" i="4"/>
  <c r="DN21" i="4"/>
  <c r="DM21" i="4"/>
  <c r="DL21" i="4"/>
  <c r="DK21" i="4"/>
  <c r="DJ21" i="4"/>
  <c r="DI21" i="4"/>
  <c r="DH21" i="4"/>
  <c r="DG21" i="4"/>
  <c r="DF21" i="4"/>
  <c r="DE21" i="4"/>
  <c r="DD21" i="4"/>
  <c r="DC21" i="4"/>
  <c r="DB21" i="4"/>
  <c r="DA21" i="4"/>
  <c r="CZ21" i="4"/>
  <c r="CY21" i="4"/>
  <c r="CX21" i="4"/>
  <c r="CW21" i="4"/>
  <c r="CV21" i="4"/>
  <c r="CU21" i="4"/>
  <c r="CT21" i="4"/>
  <c r="CS21" i="4"/>
  <c r="CR21" i="4"/>
  <c r="CQ21" i="4"/>
  <c r="CP21" i="4"/>
  <c r="CO21" i="4"/>
  <c r="CN21" i="4"/>
  <c r="CM21" i="4"/>
  <c r="CL21" i="4"/>
  <c r="CK21" i="4"/>
  <c r="CJ21" i="4"/>
  <c r="CI21" i="4"/>
  <c r="CH21" i="4"/>
  <c r="CG21" i="4"/>
  <c r="CF21" i="4"/>
  <c r="CE21" i="4"/>
  <c r="CD21" i="4"/>
  <c r="CC21" i="4"/>
  <c r="CB21" i="4"/>
  <c r="CA21" i="4"/>
  <c r="BZ21" i="4"/>
  <c r="BY21" i="4"/>
  <c r="BX21" i="4"/>
  <c r="BW21" i="4"/>
  <c r="BV21" i="4"/>
  <c r="BU21" i="4"/>
  <c r="BT21" i="4"/>
  <c r="BS21" i="4"/>
  <c r="BR21" i="4"/>
  <c r="BQ21" i="4"/>
  <c r="BP21" i="4"/>
  <c r="BO21" i="4"/>
  <c r="BN21" i="4"/>
  <c r="BM21" i="4"/>
  <c r="BL21" i="4"/>
  <c r="BK21" i="4"/>
  <c r="BJ21" i="4"/>
  <c r="BI21" i="4"/>
  <c r="BH21" i="4"/>
  <c r="BG21" i="4"/>
  <c r="BF21" i="4"/>
  <c r="BE21" i="4"/>
  <c r="BD21" i="4"/>
  <c r="BC21" i="4"/>
  <c r="BB21" i="4"/>
  <c r="BA21" i="4"/>
  <c r="AZ21" i="4"/>
  <c r="AY21" i="4"/>
  <c r="AX21" i="4"/>
  <c r="AW21" i="4"/>
  <c r="AV21" i="4"/>
  <c r="AU21" i="4"/>
  <c r="AT21" i="4"/>
  <c r="AS21" i="4"/>
  <c r="AR21" i="4"/>
  <c r="AQ21" i="4"/>
  <c r="AP21" i="4"/>
  <c r="AO21" i="4"/>
  <c r="AN21" i="4"/>
  <c r="AM21" i="4"/>
  <c r="AL21" i="4"/>
  <c r="AK21" i="4"/>
  <c r="AJ21" i="4"/>
  <c r="AI21" i="4"/>
  <c r="AH21" i="4"/>
  <c r="AG21" i="4"/>
  <c r="AF21" i="4"/>
  <c r="AE21" i="4"/>
  <c r="AD21" i="4"/>
  <c r="AC21" i="4"/>
  <c r="AB21" i="4"/>
  <c r="AA21" i="4"/>
  <c r="Z21" i="4"/>
  <c r="Y21" i="4"/>
  <c r="X21" i="4"/>
  <c r="W21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KG20" i="4"/>
  <c r="KF20" i="4"/>
  <c r="KE20" i="4"/>
  <c r="KD20" i="4"/>
  <c r="KC20" i="4"/>
  <c r="KB20" i="4"/>
  <c r="KA20" i="4"/>
  <c r="JZ20" i="4"/>
  <c r="JY20" i="4"/>
  <c r="JX20" i="4"/>
  <c r="JW20" i="4"/>
  <c r="JV20" i="4"/>
  <c r="JU20" i="4"/>
  <c r="JT20" i="4"/>
  <c r="JS20" i="4"/>
  <c r="JR20" i="4"/>
  <c r="JQ20" i="4"/>
  <c r="JP20" i="4"/>
  <c r="JO20" i="4"/>
  <c r="JN20" i="4"/>
  <c r="JM20" i="4"/>
  <c r="JL20" i="4"/>
  <c r="JK20" i="4"/>
  <c r="JJ20" i="4"/>
  <c r="JI20" i="4"/>
  <c r="JH20" i="4"/>
  <c r="JG20" i="4"/>
  <c r="JF20" i="4"/>
  <c r="JE20" i="4"/>
  <c r="JD20" i="4"/>
  <c r="JC20" i="4"/>
  <c r="JB20" i="4"/>
  <c r="JA20" i="4"/>
  <c r="IZ20" i="4"/>
  <c r="IY20" i="4"/>
  <c r="IX20" i="4"/>
  <c r="IW20" i="4"/>
  <c r="IV20" i="4"/>
  <c r="IU20" i="4"/>
  <c r="IT20" i="4"/>
  <c r="IS20" i="4"/>
  <c r="IR20" i="4"/>
  <c r="IQ20" i="4"/>
  <c r="IP20" i="4"/>
  <c r="IO20" i="4"/>
  <c r="IN20" i="4"/>
  <c r="IM20" i="4"/>
  <c r="IL20" i="4"/>
  <c r="IK20" i="4"/>
  <c r="IJ20" i="4"/>
  <c r="II20" i="4"/>
  <c r="IH20" i="4"/>
  <c r="IG20" i="4"/>
  <c r="IF20" i="4"/>
  <c r="IE20" i="4"/>
  <c r="ID20" i="4"/>
  <c r="IC20" i="4"/>
  <c r="IB20" i="4"/>
  <c r="IA20" i="4"/>
  <c r="HZ20" i="4"/>
  <c r="HY20" i="4"/>
  <c r="HX20" i="4"/>
  <c r="HW20" i="4"/>
  <c r="HV20" i="4"/>
  <c r="HU20" i="4"/>
  <c r="HT20" i="4"/>
  <c r="HS20" i="4"/>
  <c r="HR20" i="4"/>
  <c r="HQ20" i="4"/>
  <c r="HP20" i="4"/>
  <c r="HO20" i="4"/>
  <c r="HN20" i="4"/>
  <c r="HM20" i="4"/>
  <c r="HL20" i="4"/>
  <c r="HK20" i="4"/>
  <c r="HJ20" i="4"/>
  <c r="HI20" i="4"/>
  <c r="HH20" i="4"/>
  <c r="HG20" i="4"/>
  <c r="HF20" i="4"/>
  <c r="HE20" i="4"/>
  <c r="HD20" i="4"/>
  <c r="HC20" i="4"/>
  <c r="HB20" i="4"/>
  <c r="HA20" i="4"/>
  <c r="GZ20" i="4"/>
  <c r="GY20" i="4"/>
  <c r="GX20" i="4"/>
  <c r="GW20" i="4"/>
  <c r="GV20" i="4"/>
  <c r="GU20" i="4"/>
  <c r="GT20" i="4"/>
  <c r="GS20" i="4"/>
  <c r="GR20" i="4"/>
  <c r="GQ20" i="4"/>
  <c r="GP20" i="4"/>
  <c r="GO20" i="4"/>
  <c r="GN20" i="4"/>
  <c r="GM20" i="4"/>
  <c r="GL20" i="4"/>
  <c r="GK20" i="4"/>
  <c r="GJ20" i="4"/>
  <c r="GI20" i="4"/>
  <c r="GH20" i="4"/>
  <c r="GG20" i="4"/>
  <c r="GF20" i="4"/>
  <c r="GE20" i="4"/>
  <c r="GD20" i="4"/>
  <c r="GC20" i="4"/>
  <c r="GB20" i="4"/>
  <c r="GA20" i="4"/>
  <c r="FZ20" i="4"/>
  <c r="FY20" i="4"/>
  <c r="FX20" i="4"/>
  <c r="FW20" i="4"/>
  <c r="FV20" i="4"/>
  <c r="FU20" i="4"/>
  <c r="FT20" i="4"/>
  <c r="FS20" i="4"/>
  <c r="FR20" i="4"/>
  <c r="FQ20" i="4"/>
  <c r="FP20" i="4"/>
  <c r="FO20" i="4"/>
  <c r="FN20" i="4"/>
  <c r="FM20" i="4"/>
  <c r="FL20" i="4"/>
  <c r="FK20" i="4"/>
  <c r="FJ20" i="4"/>
  <c r="FI20" i="4"/>
  <c r="FH20" i="4"/>
  <c r="FG20" i="4"/>
  <c r="FF20" i="4"/>
  <c r="FE20" i="4"/>
  <c r="FD20" i="4"/>
  <c r="FC20" i="4"/>
  <c r="FB20" i="4"/>
  <c r="FA20" i="4"/>
  <c r="EZ20" i="4"/>
  <c r="EY20" i="4"/>
  <c r="EX20" i="4"/>
  <c r="EW20" i="4"/>
  <c r="EV20" i="4"/>
  <c r="EU20" i="4"/>
  <c r="ET20" i="4"/>
  <c r="ES20" i="4"/>
  <c r="ER20" i="4"/>
  <c r="EQ20" i="4"/>
  <c r="EP20" i="4"/>
  <c r="EO20" i="4"/>
  <c r="EN20" i="4"/>
  <c r="EM20" i="4"/>
  <c r="EL20" i="4"/>
  <c r="EK20" i="4"/>
  <c r="EJ20" i="4"/>
  <c r="EI20" i="4"/>
  <c r="EH20" i="4"/>
  <c r="EG20" i="4"/>
  <c r="EF20" i="4"/>
  <c r="EE20" i="4"/>
  <c r="ED20" i="4"/>
  <c r="EC20" i="4"/>
  <c r="EB20" i="4"/>
  <c r="EA20" i="4"/>
  <c r="DZ20" i="4"/>
  <c r="DY20" i="4"/>
  <c r="DX20" i="4"/>
  <c r="DW20" i="4"/>
  <c r="DV20" i="4"/>
  <c r="DU20" i="4"/>
  <c r="DT20" i="4"/>
  <c r="DS20" i="4"/>
  <c r="DR20" i="4"/>
  <c r="DQ20" i="4"/>
  <c r="DP20" i="4"/>
  <c r="DO20" i="4"/>
  <c r="DN20" i="4"/>
  <c r="DM20" i="4"/>
  <c r="DL20" i="4"/>
  <c r="DK20" i="4"/>
  <c r="DJ20" i="4"/>
  <c r="DI20" i="4"/>
  <c r="DH20" i="4"/>
  <c r="DG20" i="4"/>
  <c r="DF20" i="4"/>
  <c r="DE20" i="4"/>
  <c r="DD20" i="4"/>
  <c r="DC20" i="4"/>
  <c r="DB20" i="4"/>
  <c r="DA20" i="4"/>
  <c r="CZ20" i="4"/>
  <c r="CY20" i="4"/>
  <c r="CX20" i="4"/>
  <c r="CW20" i="4"/>
  <c r="CV20" i="4"/>
  <c r="CU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C20" i="4"/>
  <c r="CB20" i="4"/>
  <c r="CA20" i="4"/>
  <c r="BZ20" i="4"/>
  <c r="BY20" i="4"/>
  <c r="BX20" i="4"/>
  <c r="BW20" i="4"/>
  <c r="BV20" i="4"/>
  <c r="BU20" i="4"/>
  <c r="BT20" i="4"/>
  <c r="BS20" i="4"/>
  <c r="BR20" i="4"/>
  <c r="BQ20" i="4"/>
  <c r="BP20" i="4"/>
  <c r="BO20" i="4"/>
  <c r="BN20" i="4"/>
  <c r="BM20" i="4"/>
  <c r="BL20" i="4"/>
  <c r="BK20" i="4"/>
  <c r="BJ20" i="4"/>
  <c r="BI20" i="4"/>
  <c r="BH20" i="4"/>
  <c r="BG20" i="4"/>
  <c r="BF20" i="4"/>
  <c r="BE20" i="4"/>
  <c r="BD20" i="4"/>
  <c r="BC20" i="4"/>
  <c r="BB20" i="4"/>
  <c r="BA20" i="4"/>
  <c r="AZ20" i="4"/>
  <c r="AY20" i="4"/>
  <c r="AX20" i="4"/>
  <c r="AW20" i="4"/>
  <c r="AV20" i="4"/>
  <c r="AU20" i="4"/>
  <c r="AT20" i="4"/>
  <c r="AS20" i="4"/>
  <c r="AR20" i="4"/>
  <c r="AQ20" i="4"/>
  <c r="AP20" i="4"/>
  <c r="AO20" i="4"/>
  <c r="AN20" i="4"/>
  <c r="AM20" i="4"/>
  <c r="AL20" i="4"/>
  <c r="AK20" i="4"/>
  <c r="AJ20" i="4"/>
  <c r="AI20" i="4"/>
  <c r="AH20" i="4"/>
  <c r="AG20" i="4"/>
  <c r="AF20" i="4"/>
  <c r="AE20" i="4"/>
  <c r="AD20" i="4"/>
  <c r="AC20" i="4"/>
  <c r="AB20" i="4"/>
  <c r="AA20" i="4"/>
  <c r="Z20" i="4"/>
  <c r="Y20" i="4"/>
  <c r="X20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KG19" i="4"/>
  <c r="KF19" i="4"/>
  <c r="KE19" i="4"/>
  <c r="KD19" i="4"/>
  <c r="KC19" i="4"/>
  <c r="KB19" i="4"/>
  <c r="KA19" i="4"/>
  <c r="JZ19" i="4"/>
  <c r="JY19" i="4"/>
  <c r="JX19" i="4"/>
  <c r="JW19" i="4"/>
  <c r="JV19" i="4"/>
  <c r="JU19" i="4"/>
  <c r="JT19" i="4"/>
  <c r="JS19" i="4"/>
  <c r="JR19" i="4"/>
  <c r="JQ19" i="4"/>
  <c r="JP19" i="4"/>
  <c r="JO19" i="4"/>
  <c r="JN19" i="4"/>
  <c r="JM19" i="4"/>
  <c r="JL19" i="4"/>
  <c r="JK19" i="4"/>
  <c r="JJ19" i="4"/>
  <c r="JI19" i="4"/>
  <c r="JH19" i="4"/>
  <c r="JG19" i="4"/>
  <c r="JF19" i="4"/>
  <c r="JE19" i="4"/>
  <c r="JD19" i="4"/>
  <c r="JC19" i="4"/>
  <c r="JB19" i="4"/>
  <c r="JA19" i="4"/>
  <c r="IZ19" i="4"/>
  <c r="IY19" i="4"/>
  <c r="IX19" i="4"/>
  <c r="IW19" i="4"/>
  <c r="IV19" i="4"/>
  <c r="IU19" i="4"/>
  <c r="IT19" i="4"/>
  <c r="IS19" i="4"/>
  <c r="IR19" i="4"/>
  <c r="IQ19" i="4"/>
  <c r="IP19" i="4"/>
  <c r="IO19" i="4"/>
  <c r="IN19" i="4"/>
  <c r="IM19" i="4"/>
  <c r="IL19" i="4"/>
  <c r="IK19" i="4"/>
  <c r="IJ19" i="4"/>
  <c r="II19" i="4"/>
  <c r="IH19" i="4"/>
  <c r="IG19" i="4"/>
  <c r="IF19" i="4"/>
  <c r="IE19" i="4"/>
  <c r="ID19" i="4"/>
  <c r="IC19" i="4"/>
  <c r="IB19" i="4"/>
  <c r="IA19" i="4"/>
  <c r="HZ19" i="4"/>
  <c r="HY19" i="4"/>
  <c r="HX19" i="4"/>
  <c r="HW19" i="4"/>
  <c r="HV19" i="4"/>
  <c r="HU19" i="4"/>
  <c r="HT19" i="4"/>
  <c r="HS19" i="4"/>
  <c r="HR19" i="4"/>
  <c r="HQ19" i="4"/>
  <c r="HP19" i="4"/>
  <c r="HO19" i="4"/>
  <c r="HN19" i="4"/>
  <c r="HM19" i="4"/>
  <c r="HL19" i="4"/>
  <c r="HK19" i="4"/>
  <c r="HJ19" i="4"/>
  <c r="HI19" i="4"/>
  <c r="HH19" i="4"/>
  <c r="HG19" i="4"/>
  <c r="HF19" i="4"/>
  <c r="HE19" i="4"/>
  <c r="HD19" i="4"/>
  <c r="HC19" i="4"/>
  <c r="HB19" i="4"/>
  <c r="HA19" i="4"/>
  <c r="GZ19" i="4"/>
  <c r="GY19" i="4"/>
  <c r="GX19" i="4"/>
  <c r="GW19" i="4"/>
  <c r="GV19" i="4"/>
  <c r="GU19" i="4"/>
  <c r="GT19" i="4"/>
  <c r="GS19" i="4"/>
  <c r="GR19" i="4"/>
  <c r="GQ19" i="4"/>
  <c r="GP19" i="4"/>
  <c r="GO19" i="4"/>
  <c r="GN19" i="4"/>
  <c r="GM19" i="4"/>
  <c r="GL19" i="4"/>
  <c r="GK19" i="4"/>
  <c r="GJ19" i="4"/>
  <c r="GI19" i="4"/>
  <c r="GH19" i="4"/>
  <c r="GG19" i="4"/>
  <c r="GF19" i="4"/>
  <c r="GE19" i="4"/>
  <c r="GD19" i="4"/>
  <c r="GC19" i="4"/>
  <c r="GB19" i="4"/>
  <c r="GA19" i="4"/>
  <c r="FZ19" i="4"/>
  <c r="FY19" i="4"/>
  <c r="FX19" i="4"/>
  <c r="FW19" i="4"/>
  <c r="FV19" i="4"/>
  <c r="FU19" i="4"/>
  <c r="FT19" i="4"/>
  <c r="FS19" i="4"/>
  <c r="FR19" i="4"/>
  <c r="FQ19" i="4"/>
  <c r="FP19" i="4"/>
  <c r="FO19" i="4"/>
  <c r="FN19" i="4"/>
  <c r="FM19" i="4"/>
  <c r="FL19" i="4"/>
  <c r="FK19" i="4"/>
  <c r="FJ19" i="4"/>
  <c r="FI19" i="4"/>
  <c r="FH19" i="4"/>
  <c r="FG19" i="4"/>
  <c r="FF19" i="4"/>
  <c r="FE19" i="4"/>
  <c r="FD19" i="4"/>
  <c r="FC19" i="4"/>
  <c r="FB19" i="4"/>
  <c r="FA19" i="4"/>
  <c r="EZ19" i="4"/>
  <c r="EY19" i="4"/>
  <c r="EX19" i="4"/>
  <c r="EW19" i="4"/>
  <c r="EV19" i="4"/>
  <c r="EU19" i="4"/>
  <c r="ET19" i="4"/>
  <c r="ES19" i="4"/>
  <c r="ER19" i="4"/>
  <c r="EQ19" i="4"/>
  <c r="EP19" i="4"/>
  <c r="EO19" i="4"/>
  <c r="EN19" i="4"/>
  <c r="EM19" i="4"/>
  <c r="EL19" i="4"/>
  <c r="EK19" i="4"/>
  <c r="EJ19" i="4"/>
  <c r="EI19" i="4"/>
  <c r="EH19" i="4"/>
  <c r="EG19" i="4"/>
  <c r="EF19" i="4"/>
  <c r="EE19" i="4"/>
  <c r="ED19" i="4"/>
  <c r="EC19" i="4"/>
  <c r="EB19" i="4"/>
  <c r="EA19" i="4"/>
  <c r="DZ19" i="4"/>
  <c r="DY19" i="4"/>
  <c r="DX19" i="4"/>
  <c r="DW19" i="4"/>
  <c r="DV19" i="4"/>
  <c r="DU19" i="4"/>
  <c r="DT19" i="4"/>
  <c r="DS19" i="4"/>
  <c r="DR19" i="4"/>
  <c r="DQ19" i="4"/>
  <c r="DP19" i="4"/>
  <c r="DO19" i="4"/>
  <c r="DN19" i="4"/>
  <c r="DM19" i="4"/>
  <c r="DL19" i="4"/>
  <c r="DK19" i="4"/>
  <c r="DJ19" i="4"/>
  <c r="DI19" i="4"/>
  <c r="DH19" i="4"/>
  <c r="DG19" i="4"/>
  <c r="DF19" i="4"/>
  <c r="DE19" i="4"/>
  <c r="DD19" i="4"/>
  <c r="DC19" i="4"/>
  <c r="DB19" i="4"/>
  <c r="DA19" i="4"/>
  <c r="CZ19" i="4"/>
  <c r="CY19" i="4"/>
  <c r="CX19" i="4"/>
  <c r="CW19" i="4"/>
  <c r="CV19" i="4"/>
  <c r="CU19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C19" i="4"/>
  <c r="CB19" i="4"/>
  <c r="CA19" i="4"/>
  <c r="BZ19" i="4"/>
  <c r="BY19" i="4"/>
  <c r="BX19" i="4"/>
  <c r="BW19" i="4"/>
  <c r="BV19" i="4"/>
  <c r="BU19" i="4"/>
  <c r="BT19" i="4"/>
  <c r="BS19" i="4"/>
  <c r="BR19" i="4"/>
  <c r="BQ19" i="4"/>
  <c r="BP19" i="4"/>
  <c r="BO19" i="4"/>
  <c r="BN19" i="4"/>
  <c r="BM19" i="4"/>
  <c r="BL19" i="4"/>
  <c r="BK19" i="4"/>
  <c r="BJ19" i="4"/>
  <c r="BI19" i="4"/>
  <c r="BH19" i="4"/>
  <c r="BG19" i="4"/>
  <c r="BF19" i="4"/>
  <c r="BE19" i="4"/>
  <c r="BD19" i="4"/>
  <c r="BC19" i="4"/>
  <c r="BB19" i="4"/>
  <c r="BA19" i="4"/>
  <c r="AZ19" i="4"/>
  <c r="AY19" i="4"/>
  <c r="AX19" i="4"/>
  <c r="AW19" i="4"/>
  <c r="AV19" i="4"/>
  <c r="AU19" i="4"/>
  <c r="AT19" i="4"/>
  <c r="AS19" i="4"/>
  <c r="AR19" i="4"/>
  <c r="AQ19" i="4"/>
  <c r="AP19" i="4"/>
  <c r="AO19" i="4"/>
  <c r="AN19" i="4"/>
  <c r="AM19" i="4"/>
  <c r="AL19" i="4"/>
  <c r="AK19" i="4"/>
  <c r="AJ19" i="4"/>
  <c r="AI19" i="4"/>
  <c r="AH19" i="4"/>
  <c r="AG19" i="4"/>
  <c r="AF19" i="4"/>
  <c r="AE19" i="4"/>
  <c r="AD19" i="4"/>
  <c r="AC19" i="4"/>
  <c r="AB19" i="4"/>
  <c r="AA19" i="4"/>
  <c r="Z19" i="4"/>
  <c r="Y19" i="4"/>
  <c r="X19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KG18" i="4"/>
  <c r="KF18" i="4"/>
  <c r="KE18" i="4"/>
  <c r="KD18" i="4"/>
  <c r="KC18" i="4"/>
  <c r="KB18" i="4"/>
  <c r="KA18" i="4"/>
  <c r="JZ18" i="4"/>
  <c r="JY18" i="4"/>
  <c r="JX18" i="4"/>
  <c r="JW18" i="4"/>
  <c r="JV18" i="4"/>
  <c r="JU18" i="4"/>
  <c r="JT18" i="4"/>
  <c r="JS18" i="4"/>
  <c r="JR18" i="4"/>
  <c r="JQ18" i="4"/>
  <c r="JP18" i="4"/>
  <c r="JO18" i="4"/>
  <c r="JN18" i="4"/>
  <c r="JM18" i="4"/>
  <c r="JL18" i="4"/>
  <c r="JK18" i="4"/>
  <c r="JJ18" i="4"/>
  <c r="JI18" i="4"/>
  <c r="JH18" i="4"/>
  <c r="JG18" i="4"/>
  <c r="JF18" i="4"/>
  <c r="JE18" i="4"/>
  <c r="JD18" i="4"/>
  <c r="JC18" i="4"/>
  <c r="JB18" i="4"/>
  <c r="JA18" i="4"/>
  <c r="IZ18" i="4"/>
  <c r="IY18" i="4"/>
  <c r="IX18" i="4"/>
  <c r="IW18" i="4"/>
  <c r="IV18" i="4"/>
  <c r="IU18" i="4"/>
  <c r="IT18" i="4"/>
  <c r="IS18" i="4"/>
  <c r="IR18" i="4"/>
  <c r="IQ18" i="4"/>
  <c r="IP18" i="4"/>
  <c r="IO18" i="4"/>
  <c r="IN18" i="4"/>
  <c r="IM18" i="4"/>
  <c r="IL18" i="4"/>
  <c r="IK18" i="4"/>
  <c r="IJ18" i="4"/>
  <c r="II18" i="4"/>
  <c r="IH18" i="4"/>
  <c r="IG18" i="4"/>
  <c r="IF18" i="4"/>
  <c r="IE18" i="4"/>
  <c r="ID18" i="4"/>
  <c r="IC18" i="4"/>
  <c r="IB18" i="4"/>
  <c r="IA18" i="4"/>
  <c r="HZ18" i="4"/>
  <c r="HY18" i="4"/>
  <c r="HX18" i="4"/>
  <c r="HW18" i="4"/>
  <c r="HV18" i="4"/>
  <c r="HU18" i="4"/>
  <c r="HT18" i="4"/>
  <c r="HS18" i="4"/>
  <c r="HR18" i="4"/>
  <c r="HQ18" i="4"/>
  <c r="HP18" i="4"/>
  <c r="HO18" i="4"/>
  <c r="HN18" i="4"/>
  <c r="HM18" i="4"/>
  <c r="HL18" i="4"/>
  <c r="HK18" i="4"/>
  <c r="HJ18" i="4"/>
  <c r="HI18" i="4"/>
  <c r="HH18" i="4"/>
  <c r="HG18" i="4"/>
  <c r="HF18" i="4"/>
  <c r="HE18" i="4"/>
  <c r="HD18" i="4"/>
  <c r="HC18" i="4"/>
  <c r="HB18" i="4"/>
  <c r="HA18" i="4"/>
  <c r="GZ18" i="4"/>
  <c r="GY18" i="4"/>
  <c r="GX18" i="4"/>
  <c r="GW18" i="4"/>
  <c r="GV18" i="4"/>
  <c r="GU18" i="4"/>
  <c r="GT18" i="4"/>
  <c r="GS18" i="4"/>
  <c r="GR18" i="4"/>
  <c r="GQ18" i="4"/>
  <c r="GP18" i="4"/>
  <c r="GO18" i="4"/>
  <c r="GN18" i="4"/>
  <c r="GM18" i="4"/>
  <c r="GL18" i="4"/>
  <c r="GK18" i="4"/>
  <c r="GJ18" i="4"/>
  <c r="GI18" i="4"/>
  <c r="GH18" i="4"/>
  <c r="GG18" i="4"/>
  <c r="GF18" i="4"/>
  <c r="GE18" i="4"/>
  <c r="GD18" i="4"/>
  <c r="GC18" i="4"/>
  <c r="GB18" i="4"/>
  <c r="GA18" i="4"/>
  <c r="FZ18" i="4"/>
  <c r="FY18" i="4"/>
  <c r="FX18" i="4"/>
  <c r="FW18" i="4"/>
  <c r="FV18" i="4"/>
  <c r="FU18" i="4"/>
  <c r="FT18" i="4"/>
  <c r="FS18" i="4"/>
  <c r="FR18" i="4"/>
  <c r="FQ18" i="4"/>
  <c r="FP18" i="4"/>
  <c r="FO18" i="4"/>
  <c r="FN18" i="4"/>
  <c r="FM18" i="4"/>
  <c r="FL18" i="4"/>
  <c r="FK18" i="4"/>
  <c r="FJ18" i="4"/>
  <c r="FI18" i="4"/>
  <c r="FH18" i="4"/>
  <c r="FG18" i="4"/>
  <c r="FF18" i="4"/>
  <c r="FE18" i="4"/>
  <c r="FD18" i="4"/>
  <c r="FC18" i="4"/>
  <c r="FB18" i="4"/>
  <c r="FA18" i="4"/>
  <c r="EZ18" i="4"/>
  <c r="EY18" i="4"/>
  <c r="EX18" i="4"/>
  <c r="EW18" i="4"/>
  <c r="EV18" i="4"/>
  <c r="EU18" i="4"/>
  <c r="ET18" i="4"/>
  <c r="ES18" i="4"/>
  <c r="ER18" i="4"/>
  <c r="EQ18" i="4"/>
  <c r="EP18" i="4"/>
  <c r="EO18" i="4"/>
  <c r="EN18" i="4"/>
  <c r="EM18" i="4"/>
  <c r="EL18" i="4"/>
  <c r="EK18" i="4"/>
  <c r="EJ18" i="4"/>
  <c r="EI18" i="4"/>
  <c r="EH18" i="4"/>
  <c r="EG18" i="4"/>
  <c r="EF18" i="4"/>
  <c r="EE18" i="4"/>
  <c r="ED18" i="4"/>
  <c r="EC18" i="4"/>
  <c r="EB18" i="4"/>
  <c r="EA18" i="4"/>
  <c r="DZ18" i="4"/>
  <c r="DY18" i="4"/>
  <c r="DX18" i="4"/>
  <c r="DW18" i="4"/>
  <c r="DV18" i="4"/>
  <c r="DU18" i="4"/>
  <c r="DT18" i="4"/>
  <c r="DS18" i="4"/>
  <c r="DR18" i="4"/>
  <c r="DQ18" i="4"/>
  <c r="DP18" i="4"/>
  <c r="DO18" i="4"/>
  <c r="DN18" i="4"/>
  <c r="DM18" i="4"/>
  <c r="DL18" i="4"/>
  <c r="DK18" i="4"/>
  <c r="DJ18" i="4"/>
  <c r="DI18" i="4"/>
  <c r="DH18" i="4"/>
  <c r="DG18" i="4"/>
  <c r="DF18" i="4"/>
  <c r="DE18" i="4"/>
  <c r="DD18" i="4"/>
  <c r="DC18" i="4"/>
  <c r="DB18" i="4"/>
  <c r="DA18" i="4"/>
  <c r="CZ18" i="4"/>
  <c r="CY18" i="4"/>
  <c r="CX18" i="4"/>
  <c r="CW18" i="4"/>
  <c r="CV18" i="4"/>
  <c r="CU18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C18" i="4"/>
  <c r="CB18" i="4"/>
  <c r="CA18" i="4"/>
  <c r="BZ18" i="4"/>
  <c r="BY18" i="4"/>
  <c r="BX18" i="4"/>
  <c r="BW18" i="4"/>
  <c r="BV18" i="4"/>
  <c r="BU18" i="4"/>
  <c r="BT18" i="4"/>
  <c r="BS18" i="4"/>
  <c r="BR18" i="4"/>
  <c r="BQ18" i="4"/>
  <c r="BP18" i="4"/>
  <c r="BO18" i="4"/>
  <c r="BN18" i="4"/>
  <c r="BM18" i="4"/>
  <c r="BL18" i="4"/>
  <c r="BK18" i="4"/>
  <c r="BJ18" i="4"/>
  <c r="BI18" i="4"/>
  <c r="BH18" i="4"/>
  <c r="BG18" i="4"/>
  <c r="BF18" i="4"/>
  <c r="BE18" i="4"/>
  <c r="BD18" i="4"/>
  <c r="BC18" i="4"/>
  <c r="BB18" i="4"/>
  <c r="BA18" i="4"/>
  <c r="AZ18" i="4"/>
  <c r="AY18" i="4"/>
  <c r="AX18" i="4"/>
  <c r="AW18" i="4"/>
  <c r="AV18" i="4"/>
  <c r="AU18" i="4"/>
  <c r="AT18" i="4"/>
  <c r="AS18" i="4"/>
  <c r="AR18" i="4"/>
  <c r="AQ18" i="4"/>
  <c r="AP18" i="4"/>
  <c r="AO18" i="4"/>
  <c r="AN18" i="4"/>
  <c r="AM18" i="4"/>
  <c r="AL18" i="4"/>
  <c r="AK18" i="4"/>
  <c r="AJ18" i="4"/>
  <c r="AI18" i="4"/>
  <c r="AH18" i="4"/>
  <c r="AG18" i="4"/>
  <c r="AF18" i="4"/>
  <c r="AE18" i="4"/>
  <c r="AD18" i="4"/>
  <c r="AC18" i="4"/>
  <c r="AB18" i="4"/>
  <c r="AA18" i="4"/>
  <c r="Z18" i="4"/>
  <c r="Y18" i="4"/>
  <c r="X18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KG17" i="4"/>
  <c r="KF17" i="4"/>
  <c r="KE17" i="4"/>
  <c r="KD17" i="4"/>
  <c r="KC17" i="4"/>
  <c r="KB17" i="4"/>
  <c r="KA17" i="4"/>
  <c r="JZ17" i="4"/>
  <c r="JY17" i="4"/>
  <c r="JX17" i="4"/>
  <c r="JW17" i="4"/>
  <c r="JV17" i="4"/>
  <c r="JU17" i="4"/>
  <c r="JT17" i="4"/>
  <c r="JS17" i="4"/>
  <c r="JR17" i="4"/>
  <c r="JQ17" i="4"/>
  <c r="JP17" i="4"/>
  <c r="JO17" i="4"/>
  <c r="JN17" i="4"/>
  <c r="JM17" i="4"/>
  <c r="JL17" i="4"/>
  <c r="JK17" i="4"/>
  <c r="JJ17" i="4"/>
  <c r="JI17" i="4"/>
  <c r="JH17" i="4"/>
  <c r="JG17" i="4"/>
  <c r="JF17" i="4"/>
  <c r="JE17" i="4"/>
  <c r="JD17" i="4"/>
  <c r="JC17" i="4"/>
  <c r="JB17" i="4"/>
  <c r="JA17" i="4"/>
  <c r="IZ17" i="4"/>
  <c r="IY17" i="4"/>
  <c r="IX17" i="4"/>
  <c r="IW17" i="4"/>
  <c r="IV17" i="4"/>
  <c r="IU17" i="4"/>
  <c r="IT17" i="4"/>
  <c r="IS17" i="4"/>
  <c r="IR17" i="4"/>
  <c r="IQ17" i="4"/>
  <c r="IP17" i="4"/>
  <c r="IO17" i="4"/>
  <c r="IN17" i="4"/>
  <c r="IM17" i="4"/>
  <c r="IL17" i="4"/>
  <c r="IK17" i="4"/>
  <c r="IJ17" i="4"/>
  <c r="II17" i="4"/>
  <c r="IH17" i="4"/>
  <c r="IG17" i="4"/>
  <c r="IF17" i="4"/>
  <c r="IE17" i="4"/>
  <c r="ID17" i="4"/>
  <c r="IC17" i="4"/>
  <c r="IB17" i="4"/>
  <c r="IA17" i="4"/>
  <c r="HZ17" i="4"/>
  <c r="HY17" i="4"/>
  <c r="HX17" i="4"/>
  <c r="HW17" i="4"/>
  <c r="HV17" i="4"/>
  <c r="HU17" i="4"/>
  <c r="HT17" i="4"/>
  <c r="HS17" i="4"/>
  <c r="HR17" i="4"/>
  <c r="HQ17" i="4"/>
  <c r="HP17" i="4"/>
  <c r="HO17" i="4"/>
  <c r="HN17" i="4"/>
  <c r="HM17" i="4"/>
  <c r="HL17" i="4"/>
  <c r="HK17" i="4"/>
  <c r="HJ17" i="4"/>
  <c r="HI17" i="4"/>
  <c r="HH17" i="4"/>
  <c r="HG17" i="4"/>
  <c r="HF17" i="4"/>
  <c r="HE17" i="4"/>
  <c r="HD17" i="4"/>
  <c r="HC17" i="4"/>
  <c r="HB17" i="4"/>
  <c r="HA17" i="4"/>
  <c r="GZ17" i="4"/>
  <c r="GY17" i="4"/>
  <c r="GX17" i="4"/>
  <c r="GW17" i="4"/>
  <c r="GV17" i="4"/>
  <c r="GU17" i="4"/>
  <c r="GT17" i="4"/>
  <c r="GS17" i="4"/>
  <c r="GR17" i="4"/>
  <c r="GQ17" i="4"/>
  <c r="GP17" i="4"/>
  <c r="GO17" i="4"/>
  <c r="GN17" i="4"/>
  <c r="GM17" i="4"/>
  <c r="GL17" i="4"/>
  <c r="GK17" i="4"/>
  <c r="GJ17" i="4"/>
  <c r="GI17" i="4"/>
  <c r="GH17" i="4"/>
  <c r="GG17" i="4"/>
  <c r="GF17" i="4"/>
  <c r="GE17" i="4"/>
  <c r="GD17" i="4"/>
  <c r="GC17" i="4"/>
  <c r="GB17" i="4"/>
  <c r="GA17" i="4"/>
  <c r="FZ17" i="4"/>
  <c r="FY17" i="4"/>
  <c r="FX17" i="4"/>
  <c r="FW17" i="4"/>
  <c r="FV17" i="4"/>
  <c r="FU17" i="4"/>
  <c r="FT17" i="4"/>
  <c r="FS17" i="4"/>
  <c r="FR17" i="4"/>
  <c r="FQ17" i="4"/>
  <c r="FP17" i="4"/>
  <c r="FO17" i="4"/>
  <c r="FN17" i="4"/>
  <c r="FM17" i="4"/>
  <c r="FL17" i="4"/>
  <c r="FK17" i="4"/>
  <c r="FJ17" i="4"/>
  <c r="FI17" i="4"/>
  <c r="FH17" i="4"/>
  <c r="FG17" i="4"/>
  <c r="FF17" i="4"/>
  <c r="FE17" i="4"/>
  <c r="FD17" i="4"/>
  <c r="FC17" i="4"/>
  <c r="FB17" i="4"/>
  <c r="FA17" i="4"/>
  <c r="EZ17" i="4"/>
  <c r="EY17" i="4"/>
  <c r="EX17" i="4"/>
  <c r="EW17" i="4"/>
  <c r="EV17" i="4"/>
  <c r="EU17" i="4"/>
  <c r="ET17" i="4"/>
  <c r="ES17" i="4"/>
  <c r="ER17" i="4"/>
  <c r="EQ17" i="4"/>
  <c r="EP17" i="4"/>
  <c r="EO17" i="4"/>
  <c r="EN17" i="4"/>
  <c r="EM17" i="4"/>
  <c r="EL17" i="4"/>
  <c r="EK17" i="4"/>
  <c r="EJ17" i="4"/>
  <c r="EI17" i="4"/>
  <c r="EH17" i="4"/>
  <c r="EG17" i="4"/>
  <c r="EF17" i="4"/>
  <c r="EE17" i="4"/>
  <c r="ED17" i="4"/>
  <c r="EC17" i="4"/>
  <c r="EB17" i="4"/>
  <c r="EA17" i="4"/>
  <c r="DZ17" i="4"/>
  <c r="DY17" i="4"/>
  <c r="DX17" i="4"/>
  <c r="DW17" i="4"/>
  <c r="DV17" i="4"/>
  <c r="DU17" i="4"/>
  <c r="DT17" i="4"/>
  <c r="DS17" i="4"/>
  <c r="DR17" i="4"/>
  <c r="DQ17" i="4"/>
  <c r="DP17" i="4"/>
  <c r="DO17" i="4"/>
  <c r="DN17" i="4"/>
  <c r="DM17" i="4"/>
  <c r="DL17" i="4"/>
  <c r="DK17" i="4"/>
  <c r="DJ17" i="4"/>
  <c r="DI17" i="4"/>
  <c r="DH17" i="4"/>
  <c r="DG17" i="4"/>
  <c r="DF17" i="4"/>
  <c r="DE17" i="4"/>
  <c r="DD17" i="4"/>
  <c r="DC17" i="4"/>
  <c r="DB17" i="4"/>
  <c r="DA17" i="4"/>
  <c r="CZ17" i="4"/>
  <c r="CY17" i="4"/>
  <c r="CX17" i="4"/>
  <c r="CW17" i="4"/>
  <c r="CV17" i="4"/>
  <c r="CU17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C17" i="4"/>
  <c r="CB17" i="4"/>
  <c r="CA17" i="4"/>
  <c r="BZ17" i="4"/>
  <c r="BY17" i="4"/>
  <c r="BX17" i="4"/>
  <c r="BW17" i="4"/>
  <c r="BV17" i="4"/>
  <c r="BU17" i="4"/>
  <c r="BT17" i="4"/>
  <c r="BS17" i="4"/>
  <c r="BR17" i="4"/>
  <c r="BQ17" i="4"/>
  <c r="BP17" i="4"/>
  <c r="BO17" i="4"/>
  <c r="BN17" i="4"/>
  <c r="BM17" i="4"/>
  <c r="BL17" i="4"/>
  <c r="BK17" i="4"/>
  <c r="BJ17" i="4"/>
  <c r="BI17" i="4"/>
  <c r="BH17" i="4"/>
  <c r="BG17" i="4"/>
  <c r="BF17" i="4"/>
  <c r="BE17" i="4"/>
  <c r="BD17" i="4"/>
  <c r="BC17" i="4"/>
  <c r="BB17" i="4"/>
  <c r="BA17" i="4"/>
  <c r="AZ17" i="4"/>
  <c r="AY17" i="4"/>
  <c r="AX17" i="4"/>
  <c r="AW17" i="4"/>
  <c r="AV17" i="4"/>
  <c r="AU17" i="4"/>
  <c r="AT17" i="4"/>
  <c r="AS17" i="4"/>
  <c r="AR17" i="4"/>
  <c r="AQ17" i="4"/>
  <c r="AP17" i="4"/>
  <c r="AO17" i="4"/>
  <c r="AN17" i="4"/>
  <c r="AM17" i="4"/>
  <c r="AL17" i="4"/>
  <c r="AK17" i="4"/>
  <c r="AJ17" i="4"/>
  <c r="AI17" i="4"/>
  <c r="AH17" i="4"/>
  <c r="AG17" i="4"/>
  <c r="AF17" i="4"/>
  <c r="AE17" i="4"/>
  <c r="AD17" i="4"/>
  <c r="AC17" i="4"/>
  <c r="AB17" i="4"/>
  <c r="AA17" i="4"/>
  <c r="Z17" i="4"/>
  <c r="Y17" i="4"/>
  <c r="X17" i="4"/>
  <c r="W17" i="4"/>
  <c r="V17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C17" i="4"/>
  <c r="KG16" i="4"/>
  <c r="KF16" i="4"/>
  <c r="KE16" i="4"/>
  <c r="KD16" i="4"/>
  <c r="KC16" i="4"/>
  <c r="KB16" i="4"/>
  <c r="KA16" i="4"/>
  <c r="JZ16" i="4"/>
  <c r="JY16" i="4"/>
  <c r="JX16" i="4"/>
  <c r="JW16" i="4"/>
  <c r="JV16" i="4"/>
  <c r="JU16" i="4"/>
  <c r="JT16" i="4"/>
  <c r="JS16" i="4"/>
  <c r="JR16" i="4"/>
  <c r="JQ16" i="4"/>
  <c r="JP16" i="4"/>
  <c r="JO16" i="4"/>
  <c r="JN16" i="4"/>
  <c r="JM16" i="4"/>
  <c r="JL16" i="4"/>
  <c r="JK16" i="4"/>
  <c r="JJ16" i="4"/>
  <c r="JI16" i="4"/>
  <c r="JH16" i="4"/>
  <c r="JG16" i="4"/>
  <c r="JF16" i="4"/>
  <c r="JE16" i="4"/>
  <c r="JD16" i="4"/>
  <c r="JC16" i="4"/>
  <c r="JB16" i="4"/>
  <c r="JA16" i="4"/>
  <c r="IZ16" i="4"/>
  <c r="IY16" i="4"/>
  <c r="IX16" i="4"/>
  <c r="IW16" i="4"/>
  <c r="IV16" i="4"/>
  <c r="IU16" i="4"/>
  <c r="IT16" i="4"/>
  <c r="IS16" i="4"/>
  <c r="IR16" i="4"/>
  <c r="IQ16" i="4"/>
  <c r="IP16" i="4"/>
  <c r="IO16" i="4"/>
  <c r="IN16" i="4"/>
  <c r="IM16" i="4"/>
  <c r="IL16" i="4"/>
  <c r="IK16" i="4"/>
  <c r="IJ16" i="4"/>
  <c r="II16" i="4"/>
  <c r="IH16" i="4"/>
  <c r="IG16" i="4"/>
  <c r="IF16" i="4"/>
  <c r="IE16" i="4"/>
  <c r="ID16" i="4"/>
  <c r="IC16" i="4"/>
  <c r="IB16" i="4"/>
  <c r="IA16" i="4"/>
  <c r="HZ16" i="4"/>
  <c r="HY16" i="4"/>
  <c r="HX16" i="4"/>
  <c r="HW16" i="4"/>
  <c r="HV16" i="4"/>
  <c r="HU16" i="4"/>
  <c r="HT16" i="4"/>
  <c r="HS16" i="4"/>
  <c r="HR16" i="4"/>
  <c r="HQ16" i="4"/>
  <c r="HP16" i="4"/>
  <c r="HO16" i="4"/>
  <c r="HN16" i="4"/>
  <c r="HM16" i="4"/>
  <c r="HL16" i="4"/>
  <c r="HK16" i="4"/>
  <c r="HJ16" i="4"/>
  <c r="HI16" i="4"/>
  <c r="HH16" i="4"/>
  <c r="HG16" i="4"/>
  <c r="HF16" i="4"/>
  <c r="HE16" i="4"/>
  <c r="HD16" i="4"/>
  <c r="HC16" i="4"/>
  <c r="HB16" i="4"/>
  <c r="HA16" i="4"/>
  <c r="GZ16" i="4"/>
  <c r="GY16" i="4"/>
  <c r="GX16" i="4"/>
  <c r="GW16" i="4"/>
  <c r="GV16" i="4"/>
  <c r="GU16" i="4"/>
  <c r="GT16" i="4"/>
  <c r="GS16" i="4"/>
  <c r="GR16" i="4"/>
  <c r="GQ16" i="4"/>
  <c r="GP16" i="4"/>
  <c r="GO16" i="4"/>
  <c r="GN16" i="4"/>
  <c r="GM16" i="4"/>
  <c r="GL16" i="4"/>
  <c r="GK16" i="4"/>
  <c r="GJ16" i="4"/>
  <c r="GI16" i="4"/>
  <c r="GH16" i="4"/>
  <c r="GG16" i="4"/>
  <c r="GF16" i="4"/>
  <c r="GE16" i="4"/>
  <c r="GD16" i="4"/>
  <c r="GC16" i="4"/>
  <c r="GB16" i="4"/>
  <c r="GA16" i="4"/>
  <c r="FZ16" i="4"/>
  <c r="FY16" i="4"/>
  <c r="FX16" i="4"/>
  <c r="FW16" i="4"/>
  <c r="FV16" i="4"/>
  <c r="FU16" i="4"/>
  <c r="FT16" i="4"/>
  <c r="FS16" i="4"/>
  <c r="FR16" i="4"/>
  <c r="FQ16" i="4"/>
  <c r="FP16" i="4"/>
  <c r="FO16" i="4"/>
  <c r="FN16" i="4"/>
  <c r="FM16" i="4"/>
  <c r="FL16" i="4"/>
  <c r="FK16" i="4"/>
  <c r="FJ16" i="4"/>
  <c r="FI16" i="4"/>
  <c r="FH16" i="4"/>
  <c r="FG16" i="4"/>
  <c r="FF16" i="4"/>
  <c r="FE16" i="4"/>
  <c r="FD16" i="4"/>
  <c r="FC16" i="4"/>
  <c r="FB16" i="4"/>
  <c r="FA16" i="4"/>
  <c r="EZ16" i="4"/>
  <c r="EY16" i="4"/>
  <c r="EX16" i="4"/>
  <c r="EW16" i="4"/>
  <c r="EV16" i="4"/>
  <c r="EU16" i="4"/>
  <c r="ET16" i="4"/>
  <c r="ES16" i="4"/>
  <c r="ER16" i="4"/>
  <c r="EQ16" i="4"/>
  <c r="EP16" i="4"/>
  <c r="EO16" i="4"/>
  <c r="EN16" i="4"/>
  <c r="EM16" i="4"/>
  <c r="EL16" i="4"/>
  <c r="EK16" i="4"/>
  <c r="EJ16" i="4"/>
  <c r="EI16" i="4"/>
  <c r="EH16" i="4"/>
  <c r="EG16" i="4"/>
  <c r="EF16" i="4"/>
  <c r="EE16" i="4"/>
  <c r="ED16" i="4"/>
  <c r="EC16" i="4"/>
  <c r="EB16" i="4"/>
  <c r="EA16" i="4"/>
  <c r="DZ16" i="4"/>
  <c r="DY16" i="4"/>
  <c r="DX16" i="4"/>
  <c r="DW16" i="4"/>
  <c r="DV16" i="4"/>
  <c r="DU16" i="4"/>
  <c r="DT16" i="4"/>
  <c r="DS16" i="4"/>
  <c r="DR16" i="4"/>
  <c r="DQ16" i="4"/>
  <c r="DP16" i="4"/>
  <c r="DO16" i="4"/>
  <c r="DN16" i="4"/>
  <c r="DM16" i="4"/>
  <c r="DL16" i="4"/>
  <c r="DK16" i="4"/>
  <c r="DJ16" i="4"/>
  <c r="DI16" i="4"/>
  <c r="DH16" i="4"/>
  <c r="DG16" i="4"/>
  <c r="DF16" i="4"/>
  <c r="DE16" i="4"/>
  <c r="DD16" i="4"/>
  <c r="DC16" i="4"/>
  <c r="DB16" i="4"/>
  <c r="DA16" i="4"/>
  <c r="CZ16" i="4"/>
  <c r="CY16" i="4"/>
  <c r="CX16" i="4"/>
  <c r="CW16" i="4"/>
  <c r="CV16" i="4"/>
  <c r="CU16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C16" i="4"/>
  <c r="CB16" i="4"/>
  <c r="CA16" i="4"/>
  <c r="BZ16" i="4"/>
  <c r="BY16" i="4"/>
  <c r="BX16" i="4"/>
  <c r="BW16" i="4"/>
  <c r="BV16" i="4"/>
  <c r="BU16" i="4"/>
  <c r="BT16" i="4"/>
  <c r="BS16" i="4"/>
  <c r="BR16" i="4"/>
  <c r="BQ16" i="4"/>
  <c r="BP16" i="4"/>
  <c r="BO16" i="4"/>
  <c r="BN16" i="4"/>
  <c r="BM16" i="4"/>
  <c r="BL16" i="4"/>
  <c r="BK16" i="4"/>
  <c r="BJ16" i="4"/>
  <c r="BI16" i="4"/>
  <c r="BH16" i="4"/>
  <c r="BG16" i="4"/>
  <c r="BF16" i="4"/>
  <c r="BE16" i="4"/>
  <c r="BD16" i="4"/>
  <c r="BC16" i="4"/>
  <c r="BB16" i="4"/>
  <c r="BA16" i="4"/>
  <c r="AZ16" i="4"/>
  <c r="AY16" i="4"/>
  <c r="AX16" i="4"/>
  <c r="AW16" i="4"/>
  <c r="AV16" i="4"/>
  <c r="AU16" i="4"/>
  <c r="AT16" i="4"/>
  <c r="AS16" i="4"/>
  <c r="AR16" i="4"/>
  <c r="AQ16" i="4"/>
  <c r="AP16" i="4"/>
  <c r="AO16" i="4"/>
  <c r="AN16" i="4"/>
  <c r="AM16" i="4"/>
  <c r="AL16" i="4"/>
  <c r="AK16" i="4"/>
  <c r="AJ16" i="4"/>
  <c r="AI16" i="4"/>
  <c r="AH16" i="4"/>
  <c r="AG16" i="4"/>
  <c r="AF16" i="4"/>
  <c r="AE16" i="4"/>
  <c r="AD16" i="4"/>
  <c r="AC16" i="4"/>
  <c r="AB16" i="4"/>
  <c r="AA16" i="4"/>
  <c r="Z16" i="4"/>
  <c r="Y16" i="4"/>
  <c r="X16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KG15" i="4"/>
  <c r="KF15" i="4"/>
  <c r="KE15" i="4"/>
  <c r="KD15" i="4"/>
  <c r="KC15" i="4"/>
  <c r="KB15" i="4"/>
  <c r="KA15" i="4"/>
  <c r="JZ15" i="4"/>
  <c r="JY15" i="4"/>
  <c r="JX15" i="4"/>
  <c r="JW15" i="4"/>
  <c r="JV15" i="4"/>
  <c r="JU15" i="4"/>
  <c r="JT15" i="4"/>
  <c r="JS15" i="4"/>
  <c r="JR15" i="4"/>
  <c r="JQ15" i="4"/>
  <c r="JP15" i="4"/>
  <c r="JO15" i="4"/>
  <c r="JN15" i="4"/>
  <c r="JM15" i="4"/>
  <c r="JL15" i="4"/>
  <c r="JK15" i="4"/>
  <c r="JJ15" i="4"/>
  <c r="JI15" i="4"/>
  <c r="JH15" i="4"/>
  <c r="JG15" i="4"/>
  <c r="JF15" i="4"/>
  <c r="JE15" i="4"/>
  <c r="JD15" i="4"/>
  <c r="JC15" i="4"/>
  <c r="JB15" i="4"/>
  <c r="JA15" i="4"/>
  <c r="IZ15" i="4"/>
  <c r="IY15" i="4"/>
  <c r="IX15" i="4"/>
  <c r="IW15" i="4"/>
  <c r="IV15" i="4"/>
  <c r="IU15" i="4"/>
  <c r="IT15" i="4"/>
  <c r="IS15" i="4"/>
  <c r="IR15" i="4"/>
  <c r="IQ15" i="4"/>
  <c r="IP15" i="4"/>
  <c r="IO15" i="4"/>
  <c r="IN15" i="4"/>
  <c r="IM15" i="4"/>
  <c r="IL15" i="4"/>
  <c r="IK15" i="4"/>
  <c r="IJ15" i="4"/>
  <c r="II15" i="4"/>
  <c r="IH15" i="4"/>
  <c r="IG15" i="4"/>
  <c r="IF15" i="4"/>
  <c r="IE15" i="4"/>
  <c r="ID15" i="4"/>
  <c r="IC15" i="4"/>
  <c r="IB15" i="4"/>
  <c r="IA15" i="4"/>
  <c r="HZ15" i="4"/>
  <c r="HY15" i="4"/>
  <c r="HX15" i="4"/>
  <c r="HW15" i="4"/>
  <c r="HV15" i="4"/>
  <c r="HU15" i="4"/>
  <c r="HT15" i="4"/>
  <c r="HS15" i="4"/>
  <c r="HR15" i="4"/>
  <c r="HQ15" i="4"/>
  <c r="HP15" i="4"/>
  <c r="HO15" i="4"/>
  <c r="HN15" i="4"/>
  <c r="HM15" i="4"/>
  <c r="HL15" i="4"/>
  <c r="HK15" i="4"/>
  <c r="HJ15" i="4"/>
  <c r="HI15" i="4"/>
  <c r="HH15" i="4"/>
  <c r="HG15" i="4"/>
  <c r="HF15" i="4"/>
  <c r="HE15" i="4"/>
  <c r="HD15" i="4"/>
  <c r="HC15" i="4"/>
  <c r="HB15" i="4"/>
  <c r="HA15" i="4"/>
  <c r="GZ15" i="4"/>
  <c r="GY15" i="4"/>
  <c r="GX15" i="4"/>
  <c r="GW15" i="4"/>
  <c r="GV15" i="4"/>
  <c r="GU15" i="4"/>
  <c r="GT15" i="4"/>
  <c r="GS15" i="4"/>
  <c r="GR15" i="4"/>
  <c r="GQ15" i="4"/>
  <c r="GP15" i="4"/>
  <c r="GO15" i="4"/>
  <c r="GN15" i="4"/>
  <c r="GM15" i="4"/>
  <c r="GL15" i="4"/>
  <c r="GK15" i="4"/>
  <c r="GJ15" i="4"/>
  <c r="GI15" i="4"/>
  <c r="GH15" i="4"/>
  <c r="GG15" i="4"/>
  <c r="GF15" i="4"/>
  <c r="GE15" i="4"/>
  <c r="GD15" i="4"/>
  <c r="GC15" i="4"/>
  <c r="GB15" i="4"/>
  <c r="GA15" i="4"/>
  <c r="FZ15" i="4"/>
  <c r="FY15" i="4"/>
  <c r="FX15" i="4"/>
  <c r="FW15" i="4"/>
  <c r="FV15" i="4"/>
  <c r="FU15" i="4"/>
  <c r="FT15" i="4"/>
  <c r="FS15" i="4"/>
  <c r="FR15" i="4"/>
  <c r="FQ15" i="4"/>
  <c r="FP15" i="4"/>
  <c r="FO15" i="4"/>
  <c r="FN15" i="4"/>
  <c r="FM15" i="4"/>
  <c r="FL15" i="4"/>
  <c r="FK15" i="4"/>
  <c r="FJ15" i="4"/>
  <c r="FI15" i="4"/>
  <c r="FH15" i="4"/>
  <c r="FG15" i="4"/>
  <c r="FF15" i="4"/>
  <c r="FE15" i="4"/>
  <c r="FD15" i="4"/>
  <c r="FC15" i="4"/>
  <c r="FB15" i="4"/>
  <c r="FA15" i="4"/>
  <c r="EZ15" i="4"/>
  <c r="EY15" i="4"/>
  <c r="EX15" i="4"/>
  <c r="EW15" i="4"/>
  <c r="EV15" i="4"/>
  <c r="EU15" i="4"/>
  <c r="ET15" i="4"/>
  <c r="ES15" i="4"/>
  <c r="ER15" i="4"/>
  <c r="EQ15" i="4"/>
  <c r="EP15" i="4"/>
  <c r="EO15" i="4"/>
  <c r="EN15" i="4"/>
  <c r="EM15" i="4"/>
  <c r="EL15" i="4"/>
  <c r="EK15" i="4"/>
  <c r="EJ15" i="4"/>
  <c r="EI15" i="4"/>
  <c r="EH15" i="4"/>
  <c r="EG15" i="4"/>
  <c r="EF15" i="4"/>
  <c r="EE15" i="4"/>
  <c r="ED15" i="4"/>
  <c r="EC15" i="4"/>
  <c r="EB15" i="4"/>
  <c r="EA15" i="4"/>
  <c r="DZ15" i="4"/>
  <c r="DY15" i="4"/>
  <c r="DX15" i="4"/>
  <c r="DW15" i="4"/>
  <c r="DV15" i="4"/>
  <c r="DU15" i="4"/>
  <c r="DT15" i="4"/>
  <c r="DS15" i="4"/>
  <c r="DR15" i="4"/>
  <c r="DQ15" i="4"/>
  <c r="DP15" i="4"/>
  <c r="DO15" i="4"/>
  <c r="DN15" i="4"/>
  <c r="DM15" i="4"/>
  <c r="DL15" i="4"/>
  <c r="DK15" i="4"/>
  <c r="DJ15" i="4"/>
  <c r="DI15" i="4"/>
  <c r="DH15" i="4"/>
  <c r="DG15" i="4"/>
  <c r="DF15" i="4"/>
  <c r="DE15" i="4"/>
  <c r="DD15" i="4"/>
  <c r="DC15" i="4"/>
  <c r="DB15" i="4"/>
  <c r="DA15" i="4"/>
  <c r="CZ15" i="4"/>
  <c r="CY15" i="4"/>
  <c r="CX15" i="4"/>
  <c r="CW15" i="4"/>
  <c r="CV15" i="4"/>
  <c r="CU15" i="4"/>
  <c r="CT15" i="4"/>
  <c r="CS15" i="4"/>
  <c r="CR15" i="4"/>
  <c r="CQ15" i="4"/>
  <c r="CP15" i="4"/>
  <c r="CO15" i="4"/>
  <c r="CN15" i="4"/>
  <c r="CM15" i="4"/>
  <c r="CL15" i="4"/>
  <c r="CK15" i="4"/>
  <c r="CJ15" i="4"/>
  <c r="CI15" i="4"/>
  <c r="CH15" i="4"/>
  <c r="CG15" i="4"/>
  <c r="CF15" i="4"/>
  <c r="CE15" i="4"/>
  <c r="CD15" i="4"/>
  <c r="CC15" i="4"/>
  <c r="CB15" i="4"/>
  <c r="CA15" i="4"/>
  <c r="BZ15" i="4"/>
  <c r="BY15" i="4"/>
  <c r="BX15" i="4"/>
  <c r="BW15" i="4"/>
  <c r="BV15" i="4"/>
  <c r="BU15" i="4"/>
  <c r="BT15" i="4"/>
  <c r="BS15" i="4"/>
  <c r="BR15" i="4"/>
  <c r="BQ15" i="4"/>
  <c r="BP15" i="4"/>
  <c r="BO15" i="4"/>
  <c r="BN15" i="4"/>
  <c r="BM15" i="4"/>
  <c r="BL15" i="4"/>
  <c r="BK15" i="4"/>
  <c r="BJ15" i="4"/>
  <c r="BI15" i="4"/>
  <c r="BH15" i="4"/>
  <c r="BG15" i="4"/>
  <c r="BF15" i="4"/>
  <c r="BE15" i="4"/>
  <c r="BD15" i="4"/>
  <c r="BC15" i="4"/>
  <c r="BB15" i="4"/>
  <c r="BA15" i="4"/>
  <c r="AZ15" i="4"/>
  <c r="AY15" i="4"/>
  <c r="AX15" i="4"/>
  <c r="AW15" i="4"/>
  <c r="AV15" i="4"/>
  <c r="AU15" i="4"/>
  <c r="AT15" i="4"/>
  <c r="AS15" i="4"/>
  <c r="AR15" i="4"/>
  <c r="AQ15" i="4"/>
  <c r="AP15" i="4"/>
  <c r="AO15" i="4"/>
  <c r="AN15" i="4"/>
  <c r="AM15" i="4"/>
  <c r="AL15" i="4"/>
  <c r="AK15" i="4"/>
  <c r="AJ15" i="4"/>
  <c r="AI15" i="4"/>
  <c r="AH15" i="4"/>
  <c r="AG15" i="4"/>
  <c r="AF15" i="4"/>
  <c r="AE15" i="4"/>
  <c r="AD15" i="4"/>
  <c r="AC15" i="4"/>
  <c r="AB15" i="4"/>
  <c r="AA15" i="4"/>
  <c r="Z15" i="4"/>
  <c r="Y15" i="4"/>
  <c r="X15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KG14" i="4"/>
  <c r="KF14" i="4"/>
  <c r="KE14" i="4"/>
  <c r="KD14" i="4"/>
  <c r="KC14" i="4"/>
  <c r="KB14" i="4"/>
  <c r="KA14" i="4"/>
  <c r="JZ14" i="4"/>
  <c r="JY14" i="4"/>
  <c r="JX14" i="4"/>
  <c r="JW14" i="4"/>
  <c r="JV14" i="4"/>
  <c r="JU14" i="4"/>
  <c r="JT14" i="4"/>
  <c r="JS14" i="4"/>
  <c r="JR14" i="4"/>
  <c r="JQ14" i="4"/>
  <c r="JP14" i="4"/>
  <c r="JO14" i="4"/>
  <c r="JN14" i="4"/>
  <c r="JM14" i="4"/>
  <c r="JL14" i="4"/>
  <c r="JK14" i="4"/>
  <c r="JJ14" i="4"/>
  <c r="JI14" i="4"/>
  <c r="JH14" i="4"/>
  <c r="JG14" i="4"/>
  <c r="JF14" i="4"/>
  <c r="JE14" i="4"/>
  <c r="JD14" i="4"/>
  <c r="JC14" i="4"/>
  <c r="JB14" i="4"/>
  <c r="JA14" i="4"/>
  <c r="IZ14" i="4"/>
  <c r="IY14" i="4"/>
  <c r="IX14" i="4"/>
  <c r="IW14" i="4"/>
  <c r="IV14" i="4"/>
  <c r="IU14" i="4"/>
  <c r="IT14" i="4"/>
  <c r="IS14" i="4"/>
  <c r="IR14" i="4"/>
  <c r="IQ14" i="4"/>
  <c r="IP14" i="4"/>
  <c r="IO14" i="4"/>
  <c r="IN14" i="4"/>
  <c r="IM14" i="4"/>
  <c r="IL14" i="4"/>
  <c r="IK14" i="4"/>
  <c r="IJ14" i="4"/>
  <c r="II14" i="4"/>
  <c r="IH14" i="4"/>
  <c r="IG14" i="4"/>
  <c r="IF14" i="4"/>
  <c r="IE14" i="4"/>
  <c r="ID14" i="4"/>
  <c r="IC14" i="4"/>
  <c r="IB14" i="4"/>
  <c r="IA14" i="4"/>
  <c r="HZ14" i="4"/>
  <c r="HY14" i="4"/>
  <c r="HX14" i="4"/>
  <c r="HW14" i="4"/>
  <c r="HV14" i="4"/>
  <c r="HU14" i="4"/>
  <c r="HT14" i="4"/>
  <c r="HS14" i="4"/>
  <c r="HR14" i="4"/>
  <c r="HQ14" i="4"/>
  <c r="HP14" i="4"/>
  <c r="HO14" i="4"/>
  <c r="HN14" i="4"/>
  <c r="HM14" i="4"/>
  <c r="HL14" i="4"/>
  <c r="HK14" i="4"/>
  <c r="HJ14" i="4"/>
  <c r="HI14" i="4"/>
  <c r="HH14" i="4"/>
  <c r="HG14" i="4"/>
  <c r="HF14" i="4"/>
  <c r="HE14" i="4"/>
  <c r="HD14" i="4"/>
  <c r="HC14" i="4"/>
  <c r="HB14" i="4"/>
  <c r="HA14" i="4"/>
  <c r="GZ14" i="4"/>
  <c r="GY14" i="4"/>
  <c r="GX14" i="4"/>
  <c r="GW14" i="4"/>
  <c r="GV14" i="4"/>
  <c r="GU14" i="4"/>
  <c r="GT14" i="4"/>
  <c r="GS14" i="4"/>
  <c r="GR14" i="4"/>
  <c r="GQ14" i="4"/>
  <c r="GP14" i="4"/>
  <c r="GO14" i="4"/>
  <c r="GN14" i="4"/>
  <c r="GM14" i="4"/>
  <c r="GL14" i="4"/>
  <c r="GK14" i="4"/>
  <c r="GJ14" i="4"/>
  <c r="GI14" i="4"/>
  <c r="GH14" i="4"/>
  <c r="GG14" i="4"/>
  <c r="GF14" i="4"/>
  <c r="GE14" i="4"/>
  <c r="GD14" i="4"/>
  <c r="GC14" i="4"/>
  <c r="GB14" i="4"/>
  <c r="GA14" i="4"/>
  <c r="FZ14" i="4"/>
  <c r="FY14" i="4"/>
  <c r="FX14" i="4"/>
  <c r="FW14" i="4"/>
  <c r="FV14" i="4"/>
  <c r="FU14" i="4"/>
  <c r="FT14" i="4"/>
  <c r="FS14" i="4"/>
  <c r="FR14" i="4"/>
  <c r="FQ14" i="4"/>
  <c r="FP14" i="4"/>
  <c r="FO14" i="4"/>
  <c r="FN14" i="4"/>
  <c r="FM14" i="4"/>
  <c r="FL14" i="4"/>
  <c r="FK14" i="4"/>
  <c r="FJ14" i="4"/>
  <c r="FI14" i="4"/>
  <c r="FH14" i="4"/>
  <c r="FG14" i="4"/>
  <c r="FF14" i="4"/>
  <c r="FE14" i="4"/>
  <c r="FD14" i="4"/>
  <c r="FC14" i="4"/>
  <c r="FB14" i="4"/>
  <c r="FA14" i="4"/>
  <c r="EZ14" i="4"/>
  <c r="EY14" i="4"/>
  <c r="EX14" i="4"/>
  <c r="EW14" i="4"/>
  <c r="EV14" i="4"/>
  <c r="EU14" i="4"/>
  <c r="ET14" i="4"/>
  <c r="ES14" i="4"/>
  <c r="ER14" i="4"/>
  <c r="EQ14" i="4"/>
  <c r="EP14" i="4"/>
  <c r="EO14" i="4"/>
  <c r="EN14" i="4"/>
  <c r="EM14" i="4"/>
  <c r="EL14" i="4"/>
  <c r="EK14" i="4"/>
  <c r="EJ14" i="4"/>
  <c r="EI14" i="4"/>
  <c r="EH14" i="4"/>
  <c r="EG14" i="4"/>
  <c r="EF14" i="4"/>
  <c r="EE14" i="4"/>
  <c r="ED14" i="4"/>
  <c r="EC14" i="4"/>
  <c r="EB14" i="4"/>
  <c r="EA14" i="4"/>
  <c r="DZ14" i="4"/>
  <c r="DY14" i="4"/>
  <c r="DX14" i="4"/>
  <c r="DW14" i="4"/>
  <c r="DV14" i="4"/>
  <c r="DU14" i="4"/>
  <c r="DT14" i="4"/>
  <c r="DS14" i="4"/>
  <c r="DR14" i="4"/>
  <c r="DQ14" i="4"/>
  <c r="DP14" i="4"/>
  <c r="DO14" i="4"/>
  <c r="DN14" i="4"/>
  <c r="DM14" i="4"/>
  <c r="DL14" i="4"/>
  <c r="DK14" i="4"/>
  <c r="DJ14" i="4"/>
  <c r="DI14" i="4"/>
  <c r="DH14" i="4"/>
  <c r="DG14" i="4"/>
  <c r="DF14" i="4"/>
  <c r="DE14" i="4"/>
  <c r="DD14" i="4"/>
  <c r="DC14" i="4"/>
  <c r="DB14" i="4"/>
  <c r="DA14" i="4"/>
  <c r="CZ14" i="4"/>
  <c r="CY14" i="4"/>
  <c r="CX14" i="4"/>
  <c r="CW14" i="4"/>
  <c r="CV14" i="4"/>
  <c r="CU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C14" i="4"/>
  <c r="CB14" i="4"/>
  <c r="CA14" i="4"/>
  <c r="BZ14" i="4"/>
  <c r="BY14" i="4"/>
  <c r="BX14" i="4"/>
  <c r="BW14" i="4"/>
  <c r="BV14" i="4"/>
  <c r="BU14" i="4"/>
  <c r="BT14" i="4"/>
  <c r="BS14" i="4"/>
  <c r="BR14" i="4"/>
  <c r="BQ14" i="4"/>
  <c r="BP14" i="4"/>
  <c r="BO14" i="4"/>
  <c r="BN14" i="4"/>
  <c r="BM14" i="4"/>
  <c r="BL14" i="4"/>
  <c r="BK14" i="4"/>
  <c r="BJ14" i="4"/>
  <c r="BI14" i="4"/>
  <c r="BH14" i="4"/>
  <c r="BG14" i="4"/>
  <c r="BF14" i="4"/>
  <c r="BE14" i="4"/>
  <c r="BD14" i="4"/>
  <c r="BC14" i="4"/>
  <c r="BB14" i="4"/>
  <c r="BA14" i="4"/>
  <c r="AZ14" i="4"/>
  <c r="AY14" i="4"/>
  <c r="AX14" i="4"/>
  <c r="AW14" i="4"/>
  <c r="AV14" i="4"/>
  <c r="AU14" i="4"/>
  <c r="AT14" i="4"/>
  <c r="AS14" i="4"/>
  <c r="AR14" i="4"/>
  <c r="AQ14" i="4"/>
  <c r="AP14" i="4"/>
  <c r="AO14" i="4"/>
  <c r="AN14" i="4"/>
  <c r="AM14" i="4"/>
  <c r="AL14" i="4"/>
  <c r="AK14" i="4"/>
  <c r="AJ14" i="4"/>
  <c r="AI14" i="4"/>
  <c r="AH14" i="4"/>
  <c r="AG14" i="4"/>
  <c r="AF14" i="4"/>
  <c r="AE14" i="4"/>
  <c r="AD14" i="4"/>
  <c r="AC14" i="4"/>
  <c r="AB14" i="4"/>
  <c r="AA14" i="4"/>
  <c r="Z14" i="4"/>
  <c r="Y14" i="4"/>
  <c r="X14" i="4"/>
  <c r="W14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KG13" i="4"/>
  <c r="KF13" i="4"/>
  <c r="KE13" i="4"/>
  <c r="KD13" i="4"/>
  <c r="KC13" i="4"/>
  <c r="KB13" i="4"/>
  <c r="KA13" i="4"/>
  <c r="JZ13" i="4"/>
  <c r="JY13" i="4"/>
  <c r="JX13" i="4"/>
  <c r="JW13" i="4"/>
  <c r="JV13" i="4"/>
  <c r="JU13" i="4"/>
  <c r="JT13" i="4"/>
  <c r="JS13" i="4"/>
  <c r="JR13" i="4"/>
  <c r="JQ13" i="4"/>
  <c r="JP13" i="4"/>
  <c r="JO13" i="4"/>
  <c r="JN13" i="4"/>
  <c r="JM13" i="4"/>
  <c r="JL13" i="4"/>
  <c r="JK13" i="4"/>
  <c r="JJ13" i="4"/>
  <c r="JI13" i="4"/>
  <c r="JH13" i="4"/>
  <c r="JG13" i="4"/>
  <c r="JF13" i="4"/>
  <c r="JE13" i="4"/>
  <c r="JD13" i="4"/>
  <c r="JC13" i="4"/>
  <c r="JB13" i="4"/>
  <c r="JA13" i="4"/>
  <c r="IZ13" i="4"/>
  <c r="IY13" i="4"/>
  <c r="IX13" i="4"/>
  <c r="IW13" i="4"/>
  <c r="IV13" i="4"/>
  <c r="IU13" i="4"/>
  <c r="IT13" i="4"/>
  <c r="IS13" i="4"/>
  <c r="IR13" i="4"/>
  <c r="IQ13" i="4"/>
  <c r="IP13" i="4"/>
  <c r="IO13" i="4"/>
  <c r="IN13" i="4"/>
  <c r="IM13" i="4"/>
  <c r="IL13" i="4"/>
  <c r="IK13" i="4"/>
  <c r="IJ13" i="4"/>
  <c r="II13" i="4"/>
  <c r="IH13" i="4"/>
  <c r="IG13" i="4"/>
  <c r="IF13" i="4"/>
  <c r="IE13" i="4"/>
  <c r="ID13" i="4"/>
  <c r="IC13" i="4"/>
  <c r="IB13" i="4"/>
  <c r="IA13" i="4"/>
  <c r="HZ13" i="4"/>
  <c r="HY13" i="4"/>
  <c r="HX13" i="4"/>
  <c r="HW13" i="4"/>
  <c r="HV13" i="4"/>
  <c r="HU13" i="4"/>
  <c r="HT13" i="4"/>
  <c r="HS13" i="4"/>
  <c r="HR13" i="4"/>
  <c r="HQ13" i="4"/>
  <c r="HP13" i="4"/>
  <c r="HO13" i="4"/>
  <c r="HN13" i="4"/>
  <c r="HM13" i="4"/>
  <c r="HL13" i="4"/>
  <c r="HK13" i="4"/>
  <c r="HJ13" i="4"/>
  <c r="HI13" i="4"/>
  <c r="HH13" i="4"/>
  <c r="HG13" i="4"/>
  <c r="HF13" i="4"/>
  <c r="HE13" i="4"/>
  <c r="HD13" i="4"/>
  <c r="HC13" i="4"/>
  <c r="HB13" i="4"/>
  <c r="HA13" i="4"/>
  <c r="GZ13" i="4"/>
  <c r="GY13" i="4"/>
  <c r="GX13" i="4"/>
  <c r="GW13" i="4"/>
  <c r="GV13" i="4"/>
  <c r="GU13" i="4"/>
  <c r="GT13" i="4"/>
  <c r="GS13" i="4"/>
  <c r="GR13" i="4"/>
  <c r="GQ13" i="4"/>
  <c r="GP13" i="4"/>
  <c r="GO13" i="4"/>
  <c r="GN13" i="4"/>
  <c r="GM13" i="4"/>
  <c r="GL13" i="4"/>
  <c r="GK13" i="4"/>
  <c r="GJ13" i="4"/>
  <c r="GI13" i="4"/>
  <c r="GH13" i="4"/>
  <c r="GG13" i="4"/>
  <c r="GF13" i="4"/>
  <c r="GE13" i="4"/>
  <c r="GD13" i="4"/>
  <c r="GC13" i="4"/>
  <c r="GB13" i="4"/>
  <c r="GA13" i="4"/>
  <c r="FZ13" i="4"/>
  <c r="FY13" i="4"/>
  <c r="FX13" i="4"/>
  <c r="FW13" i="4"/>
  <c r="FV13" i="4"/>
  <c r="FU13" i="4"/>
  <c r="FT13" i="4"/>
  <c r="FS13" i="4"/>
  <c r="FR13" i="4"/>
  <c r="FQ13" i="4"/>
  <c r="FP13" i="4"/>
  <c r="FO13" i="4"/>
  <c r="FN13" i="4"/>
  <c r="FM13" i="4"/>
  <c r="FL13" i="4"/>
  <c r="FK13" i="4"/>
  <c r="FJ13" i="4"/>
  <c r="FI13" i="4"/>
  <c r="FH13" i="4"/>
  <c r="FG13" i="4"/>
  <c r="FF13" i="4"/>
  <c r="FE13" i="4"/>
  <c r="FD13" i="4"/>
  <c r="FC13" i="4"/>
  <c r="FB13" i="4"/>
  <c r="FA13" i="4"/>
  <c r="EZ13" i="4"/>
  <c r="EY13" i="4"/>
  <c r="EX13" i="4"/>
  <c r="EW13" i="4"/>
  <c r="EV13" i="4"/>
  <c r="EU13" i="4"/>
  <c r="ET13" i="4"/>
  <c r="ES13" i="4"/>
  <c r="ER13" i="4"/>
  <c r="EQ13" i="4"/>
  <c r="EP13" i="4"/>
  <c r="EO13" i="4"/>
  <c r="EN13" i="4"/>
  <c r="EM13" i="4"/>
  <c r="EL13" i="4"/>
  <c r="EK13" i="4"/>
  <c r="EJ13" i="4"/>
  <c r="EI13" i="4"/>
  <c r="EH13" i="4"/>
  <c r="EG13" i="4"/>
  <c r="EF13" i="4"/>
  <c r="EE13" i="4"/>
  <c r="ED13" i="4"/>
  <c r="EC13" i="4"/>
  <c r="EB13" i="4"/>
  <c r="EA13" i="4"/>
  <c r="DZ13" i="4"/>
  <c r="DY13" i="4"/>
  <c r="DX13" i="4"/>
  <c r="DW13" i="4"/>
  <c r="DV13" i="4"/>
  <c r="DU13" i="4"/>
  <c r="DT13" i="4"/>
  <c r="DS13" i="4"/>
  <c r="DR13" i="4"/>
  <c r="DQ13" i="4"/>
  <c r="DP13" i="4"/>
  <c r="DO13" i="4"/>
  <c r="DN13" i="4"/>
  <c r="DM13" i="4"/>
  <c r="DL13" i="4"/>
  <c r="DK13" i="4"/>
  <c r="DJ13" i="4"/>
  <c r="DI13" i="4"/>
  <c r="DH13" i="4"/>
  <c r="DG13" i="4"/>
  <c r="DF13" i="4"/>
  <c r="DE13" i="4"/>
  <c r="DD13" i="4"/>
  <c r="DC13" i="4"/>
  <c r="DB13" i="4"/>
  <c r="DA13" i="4"/>
  <c r="CZ13" i="4"/>
  <c r="CY13" i="4"/>
  <c r="CX13" i="4"/>
  <c r="CW13" i="4"/>
  <c r="CV13" i="4"/>
  <c r="CU13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C13" i="4"/>
  <c r="CB13" i="4"/>
  <c r="CA13" i="4"/>
  <c r="BZ13" i="4"/>
  <c r="BY13" i="4"/>
  <c r="BX13" i="4"/>
  <c r="BW13" i="4"/>
  <c r="BV13" i="4"/>
  <c r="BU13" i="4"/>
  <c r="BT13" i="4"/>
  <c r="BS13" i="4"/>
  <c r="BR13" i="4"/>
  <c r="BQ13" i="4"/>
  <c r="BP13" i="4"/>
  <c r="BO13" i="4"/>
  <c r="BN13" i="4"/>
  <c r="BM13" i="4"/>
  <c r="BL13" i="4"/>
  <c r="BK13" i="4"/>
  <c r="BJ13" i="4"/>
  <c r="BI13" i="4"/>
  <c r="BH13" i="4"/>
  <c r="BG13" i="4"/>
  <c r="BF13" i="4"/>
  <c r="BE13" i="4"/>
  <c r="BD13" i="4"/>
  <c r="BC13" i="4"/>
  <c r="BB13" i="4"/>
  <c r="BA13" i="4"/>
  <c r="AZ13" i="4"/>
  <c r="AY13" i="4"/>
  <c r="AX13" i="4"/>
  <c r="AW13" i="4"/>
  <c r="AV13" i="4"/>
  <c r="AU13" i="4"/>
  <c r="AT13" i="4"/>
  <c r="AS13" i="4"/>
  <c r="AR13" i="4"/>
  <c r="AQ13" i="4"/>
  <c r="AP13" i="4"/>
  <c r="AO13" i="4"/>
  <c r="AN13" i="4"/>
  <c r="AM13" i="4"/>
  <c r="AL13" i="4"/>
  <c r="AK13" i="4"/>
  <c r="AJ13" i="4"/>
  <c r="AI13" i="4"/>
  <c r="AH13" i="4"/>
  <c r="AG13" i="4"/>
  <c r="AF13" i="4"/>
  <c r="AE13" i="4"/>
  <c r="AD13" i="4"/>
  <c r="AC13" i="4"/>
  <c r="AB13" i="4"/>
  <c r="AA13" i="4"/>
  <c r="Z13" i="4"/>
  <c r="Y13" i="4"/>
  <c r="X13" i="4"/>
  <c r="W13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KG12" i="4"/>
  <c r="KF12" i="4"/>
  <c r="KE12" i="4"/>
  <c r="KD12" i="4"/>
  <c r="KC12" i="4"/>
  <c r="KB12" i="4"/>
  <c r="KA12" i="4"/>
  <c r="JZ12" i="4"/>
  <c r="JY12" i="4"/>
  <c r="JX12" i="4"/>
  <c r="JW12" i="4"/>
  <c r="JV12" i="4"/>
  <c r="JU12" i="4"/>
  <c r="JT12" i="4"/>
  <c r="JS12" i="4"/>
  <c r="JR12" i="4"/>
  <c r="JQ12" i="4"/>
  <c r="JP12" i="4"/>
  <c r="JO12" i="4"/>
  <c r="JN12" i="4"/>
  <c r="JM12" i="4"/>
  <c r="JL12" i="4"/>
  <c r="JK12" i="4"/>
  <c r="JJ12" i="4"/>
  <c r="JI12" i="4"/>
  <c r="JH12" i="4"/>
  <c r="JG12" i="4"/>
  <c r="JF12" i="4"/>
  <c r="JE12" i="4"/>
  <c r="JD12" i="4"/>
  <c r="JC12" i="4"/>
  <c r="JB12" i="4"/>
  <c r="JA12" i="4"/>
  <c r="IZ12" i="4"/>
  <c r="IY12" i="4"/>
  <c r="IX12" i="4"/>
  <c r="IW12" i="4"/>
  <c r="IV12" i="4"/>
  <c r="IU12" i="4"/>
  <c r="IT12" i="4"/>
  <c r="IS12" i="4"/>
  <c r="IR12" i="4"/>
  <c r="IQ12" i="4"/>
  <c r="IP12" i="4"/>
  <c r="IO12" i="4"/>
  <c r="IN12" i="4"/>
  <c r="IM12" i="4"/>
  <c r="IL12" i="4"/>
  <c r="IK12" i="4"/>
  <c r="IJ12" i="4"/>
  <c r="II12" i="4"/>
  <c r="IH12" i="4"/>
  <c r="IG12" i="4"/>
  <c r="IF12" i="4"/>
  <c r="IE12" i="4"/>
  <c r="ID12" i="4"/>
  <c r="IC12" i="4"/>
  <c r="IB12" i="4"/>
  <c r="IA12" i="4"/>
  <c r="HZ12" i="4"/>
  <c r="HY12" i="4"/>
  <c r="HX12" i="4"/>
  <c r="HW12" i="4"/>
  <c r="HV12" i="4"/>
  <c r="HU12" i="4"/>
  <c r="HT12" i="4"/>
  <c r="HS12" i="4"/>
  <c r="HR12" i="4"/>
  <c r="HQ12" i="4"/>
  <c r="HP12" i="4"/>
  <c r="HO12" i="4"/>
  <c r="HN12" i="4"/>
  <c r="HM12" i="4"/>
  <c r="HL12" i="4"/>
  <c r="HK12" i="4"/>
  <c r="HJ12" i="4"/>
  <c r="HI12" i="4"/>
  <c r="HH12" i="4"/>
  <c r="HG12" i="4"/>
  <c r="HF12" i="4"/>
  <c r="HE12" i="4"/>
  <c r="HD12" i="4"/>
  <c r="HC12" i="4"/>
  <c r="HB12" i="4"/>
  <c r="HA12" i="4"/>
  <c r="GZ12" i="4"/>
  <c r="GY12" i="4"/>
  <c r="GX12" i="4"/>
  <c r="GW12" i="4"/>
  <c r="GV12" i="4"/>
  <c r="GU12" i="4"/>
  <c r="GT12" i="4"/>
  <c r="GS12" i="4"/>
  <c r="GR12" i="4"/>
  <c r="GQ12" i="4"/>
  <c r="GP12" i="4"/>
  <c r="GO12" i="4"/>
  <c r="GN12" i="4"/>
  <c r="GM12" i="4"/>
  <c r="GL12" i="4"/>
  <c r="GK12" i="4"/>
  <c r="GJ12" i="4"/>
  <c r="GI12" i="4"/>
  <c r="GH12" i="4"/>
  <c r="GG12" i="4"/>
  <c r="GF12" i="4"/>
  <c r="GE12" i="4"/>
  <c r="GD12" i="4"/>
  <c r="GC12" i="4"/>
  <c r="GB12" i="4"/>
  <c r="GA12" i="4"/>
  <c r="FZ12" i="4"/>
  <c r="FY12" i="4"/>
  <c r="FX12" i="4"/>
  <c r="FW12" i="4"/>
  <c r="FV12" i="4"/>
  <c r="FU12" i="4"/>
  <c r="FT12" i="4"/>
  <c r="FS12" i="4"/>
  <c r="FR12" i="4"/>
  <c r="FQ12" i="4"/>
  <c r="FP12" i="4"/>
  <c r="FO12" i="4"/>
  <c r="FN12" i="4"/>
  <c r="FM12" i="4"/>
  <c r="FL12" i="4"/>
  <c r="FK12" i="4"/>
  <c r="FJ12" i="4"/>
  <c r="FI12" i="4"/>
  <c r="FH12" i="4"/>
  <c r="FG12" i="4"/>
  <c r="FF12" i="4"/>
  <c r="FE12" i="4"/>
  <c r="FD12" i="4"/>
  <c r="FC12" i="4"/>
  <c r="FB12" i="4"/>
  <c r="FA12" i="4"/>
  <c r="EZ12" i="4"/>
  <c r="EY12" i="4"/>
  <c r="EX12" i="4"/>
  <c r="EW12" i="4"/>
  <c r="EV12" i="4"/>
  <c r="EU12" i="4"/>
  <c r="ET12" i="4"/>
  <c r="ES12" i="4"/>
  <c r="ER12" i="4"/>
  <c r="EQ12" i="4"/>
  <c r="EP12" i="4"/>
  <c r="EO12" i="4"/>
  <c r="EN12" i="4"/>
  <c r="EM12" i="4"/>
  <c r="EL12" i="4"/>
  <c r="EK12" i="4"/>
  <c r="EJ12" i="4"/>
  <c r="EI12" i="4"/>
  <c r="EH12" i="4"/>
  <c r="EG12" i="4"/>
  <c r="EF12" i="4"/>
  <c r="EE12" i="4"/>
  <c r="ED12" i="4"/>
  <c r="EC12" i="4"/>
  <c r="EB12" i="4"/>
  <c r="EA12" i="4"/>
  <c r="DZ12" i="4"/>
  <c r="DY12" i="4"/>
  <c r="DX12" i="4"/>
  <c r="DW12" i="4"/>
  <c r="DV12" i="4"/>
  <c r="DU12" i="4"/>
  <c r="DT12" i="4"/>
  <c r="DS12" i="4"/>
  <c r="DR12" i="4"/>
  <c r="DQ12" i="4"/>
  <c r="DP12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BY12" i="4"/>
  <c r="BX12" i="4"/>
  <c r="BW12" i="4"/>
  <c r="BV12" i="4"/>
  <c r="BU12" i="4"/>
  <c r="BT12" i="4"/>
  <c r="BS12" i="4"/>
  <c r="BR12" i="4"/>
  <c r="BQ12" i="4"/>
  <c r="BP12" i="4"/>
  <c r="BO12" i="4"/>
  <c r="BN12" i="4"/>
  <c r="BM12" i="4"/>
  <c r="BL12" i="4"/>
  <c r="BK12" i="4"/>
  <c r="BJ12" i="4"/>
  <c r="BI12" i="4"/>
  <c r="BH12" i="4"/>
  <c r="BG12" i="4"/>
  <c r="BF12" i="4"/>
  <c r="BE12" i="4"/>
  <c r="BD12" i="4"/>
  <c r="BC12" i="4"/>
  <c r="BB12" i="4"/>
  <c r="BA12" i="4"/>
  <c r="AZ12" i="4"/>
  <c r="AY12" i="4"/>
  <c r="AX12" i="4"/>
  <c r="AW12" i="4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AI12" i="4"/>
  <c r="AH12" i="4"/>
  <c r="AG12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KG11" i="4"/>
  <c r="KF11" i="4"/>
  <c r="KE11" i="4"/>
  <c r="KD11" i="4"/>
  <c r="KC11" i="4"/>
  <c r="KB11" i="4"/>
  <c r="KA11" i="4"/>
  <c r="JZ11" i="4"/>
  <c r="JY11" i="4"/>
  <c r="JX11" i="4"/>
  <c r="JW11" i="4"/>
  <c r="JV11" i="4"/>
  <c r="JU11" i="4"/>
  <c r="JT11" i="4"/>
  <c r="JS11" i="4"/>
  <c r="JR11" i="4"/>
  <c r="JQ11" i="4"/>
  <c r="JP11" i="4"/>
  <c r="JO11" i="4"/>
  <c r="JN11" i="4"/>
  <c r="JM11" i="4"/>
  <c r="JL11" i="4"/>
  <c r="JK11" i="4"/>
  <c r="JJ11" i="4"/>
  <c r="JI11" i="4"/>
  <c r="JH11" i="4"/>
  <c r="JG11" i="4"/>
  <c r="JF11" i="4"/>
  <c r="JE11" i="4"/>
  <c r="JD11" i="4"/>
  <c r="JC11" i="4"/>
  <c r="JB11" i="4"/>
  <c r="JA11" i="4"/>
  <c r="IZ11" i="4"/>
  <c r="IY11" i="4"/>
  <c r="IX11" i="4"/>
  <c r="IW11" i="4"/>
  <c r="IV11" i="4"/>
  <c r="IU11" i="4"/>
  <c r="IT11" i="4"/>
  <c r="IS11" i="4"/>
  <c r="IR11" i="4"/>
  <c r="IQ11" i="4"/>
  <c r="IP11" i="4"/>
  <c r="IO11" i="4"/>
  <c r="IN11" i="4"/>
  <c r="IM11" i="4"/>
  <c r="IL11" i="4"/>
  <c r="IK11" i="4"/>
  <c r="IJ11" i="4"/>
  <c r="II11" i="4"/>
  <c r="IH11" i="4"/>
  <c r="IG11" i="4"/>
  <c r="IF11" i="4"/>
  <c r="IE11" i="4"/>
  <c r="ID11" i="4"/>
  <c r="IC11" i="4"/>
  <c r="IB11" i="4"/>
  <c r="IA11" i="4"/>
  <c r="HZ11" i="4"/>
  <c r="HY11" i="4"/>
  <c r="HX11" i="4"/>
  <c r="HW11" i="4"/>
  <c r="HV11" i="4"/>
  <c r="HU11" i="4"/>
  <c r="HT11" i="4"/>
  <c r="HS11" i="4"/>
  <c r="HR11" i="4"/>
  <c r="HQ11" i="4"/>
  <c r="HP11" i="4"/>
  <c r="HO11" i="4"/>
  <c r="HN11" i="4"/>
  <c r="HM11" i="4"/>
  <c r="HL11" i="4"/>
  <c r="HK11" i="4"/>
  <c r="HJ11" i="4"/>
  <c r="HI11" i="4"/>
  <c r="HH11" i="4"/>
  <c r="HG11" i="4"/>
  <c r="HF11" i="4"/>
  <c r="HE11" i="4"/>
  <c r="HD11" i="4"/>
  <c r="HC11" i="4"/>
  <c r="HB11" i="4"/>
  <c r="HA11" i="4"/>
  <c r="GZ11" i="4"/>
  <c r="GY11" i="4"/>
  <c r="GX11" i="4"/>
  <c r="GW11" i="4"/>
  <c r="GV11" i="4"/>
  <c r="GU11" i="4"/>
  <c r="GT11" i="4"/>
  <c r="GS11" i="4"/>
  <c r="GR11" i="4"/>
  <c r="GQ11" i="4"/>
  <c r="GP11" i="4"/>
  <c r="GO11" i="4"/>
  <c r="GN11" i="4"/>
  <c r="GM11" i="4"/>
  <c r="GL11" i="4"/>
  <c r="GK11" i="4"/>
  <c r="GJ11" i="4"/>
  <c r="GI11" i="4"/>
  <c r="GH11" i="4"/>
  <c r="GG11" i="4"/>
  <c r="GF11" i="4"/>
  <c r="GE11" i="4"/>
  <c r="GD11" i="4"/>
  <c r="GC11" i="4"/>
  <c r="GB11" i="4"/>
  <c r="GA11" i="4"/>
  <c r="FZ11" i="4"/>
  <c r="FY11" i="4"/>
  <c r="FX11" i="4"/>
  <c r="FW11" i="4"/>
  <c r="FV11" i="4"/>
  <c r="FU11" i="4"/>
  <c r="FT11" i="4"/>
  <c r="FS11" i="4"/>
  <c r="FR11" i="4"/>
  <c r="FQ11" i="4"/>
  <c r="FP11" i="4"/>
  <c r="FO11" i="4"/>
  <c r="FN11" i="4"/>
  <c r="FM11" i="4"/>
  <c r="FL11" i="4"/>
  <c r="FK11" i="4"/>
  <c r="FJ11" i="4"/>
  <c r="FI11" i="4"/>
  <c r="FH11" i="4"/>
  <c r="FG11" i="4"/>
  <c r="FF11" i="4"/>
  <c r="FE11" i="4"/>
  <c r="FD11" i="4"/>
  <c r="FC11" i="4"/>
  <c r="FB11" i="4"/>
  <c r="FA11" i="4"/>
  <c r="EZ11" i="4"/>
  <c r="EY11" i="4"/>
  <c r="EX11" i="4"/>
  <c r="EW11" i="4"/>
  <c r="EV11" i="4"/>
  <c r="EU11" i="4"/>
  <c r="ET11" i="4"/>
  <c r="ES11" i="4"/>
  <c r="ER11" i="4"/>
  <c r="EQ11" i="4"/>
  <c r="EP11" i="4"/>
  <c r="EO11" i="4"/>
  <c r="EN11" i="4"/>
  <c r="EM11" i="4"/>
  <c r="EL11" i="4"/>
  <c r="EK11" i="4"/>
  <c r="EJ11" i="4"/>
  <c r="EI11" i="4"/>
  <c r="EH11" i="4"/>
  <c r="EG11" i="4"/>
  <c r="EF11" i="4"/>
  <c r="EE11" i="4"/>
  <c r="ED11" i="4"/>
  <c r="EC11" i="4"/>
  <c r="EB11" i="4"/>
  <c r="EA11" i="4"/>
  <c r="DZ11" i="4"/>
  <c r="DY11" i="4"/>
  <c r="DX11" i="4"/>
  <c r="DW11" i="4"/>
  <c r="DV11" i="4"/>
  <c r="DU11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KG10" i="4"/>
  <c r="KF10" i="4"/>
  <c r="KE10" i="4"/>
  <c r="KD10" i="4"/>
  <c r="KC10" i="4"/>
  <c r="KB10" i="4"/>
  <c r="KA10" i="4"/>
  <c r="JZ10" i="4"/>
  <c r="JY10" i="4"/>
  <c r="JX10" i="4"/>
  <c r="JW10" i="4"/>
  <c r="JV10" i="4"/>
  <c r="JU10" i="4"/>
  <c r="JT10" i="4"/>
  <c r="JS10" i="4"/>
  <c r="JR10" i="4"/>
  <c r="JQ10" i="4"/>
  <c r="JP10" i="4"/>
  <c r="JO10" i="4"/>
  <c r="JN10" i="4"/>
  <c r="JM10" i="4"/>
  <c r="JL10" i="4"/>
  <c r="JK10" i="4"/>
  <c r="JJ10" i="4"/>
  <c r="JI10" i="4"/>
  <c r="JH10" i="4"/>
  <c r="JG10" i="4"/>
  <c r="JF10" i="4"/>
  <c r="JE10" i="4"/>
  <c r="JD10" i="4"/>
  <c r="JC10" i="4"/>
  <c r="JB10" i="4"/>
  <c r="JA10" i="4"/>
  <c r="IZ10" i="4"/>
  <c r="IY10" i="4"/>
  <c r="IX10" i="4"/>
  <c r="IW10" i="4"/>
  <c r="IV10" i="4"/>
  <c r="IU10" i="4"/>
  <c r="IT10" i="4"/>
  <c r="IS10" i="4"/>
  <c r="IR10" i="4"/>
  <c r="IQ10" i="4"/>
  <c r="IP10" i="4"/>
  <c r="IO10" i="4"/>
  <c r="IN10" i="4"/>
  <c r="IM10" i="4"/>
  <c r="IL10" i="4"/>
  <c r="IK10" i="4"/>
  <c r="IJ10" i="4"/>
  <c r="II10" i="4"/>
  <c r="IH10" i="4"/>
  <c r="IG10" i="4"/>
  <c r="IF10" i="4"/>
  <c r="IE10" i="4"/>
  <c r="ID10" i="4"/>
  <c r="IC10" i="4"/>
  <c r="IB10" i="4"/>
  <c r="IA10" i="4"/>
  <c r="HZ10" i="4"/>
  <c r="HY10" i="4"/>
  <c r="HX10" i="4"/>
  <c r="HW10" i="4"/>
  <c r="HV10" i="4"/>
  <c r="HU10" i="4"/>
  <c r="HT10" i="4"/>
  <c r="HS10" i="4"/>
  <c r="HR10" i="4"/>
  <c r="HQ10" i="4"/>
  <c r="HP10" i="4"/>
  <c r="HO10" i="4"/>
  <c r="HN10" i="4"/>
  <c r="HM10" i="4"/>
  <c r="HL10" i="4"/>
  <c r="HK10" i="4"/>
  <c r="HJ10" i="4"/>
  <c r="HI10" i="4"/>
  <c r="HH10" i="4"/>
  <c r="HG10" i="4"/>
  <c r="HF10" i="4"/>
  <c r="HE10" i="4"/>
  <c r="HD10" i="4"/>
  <c r="HC10" i="4"/>
  <c r="HB10" i="4"/>
  <c r="HA10" i="4"/>
  <c r="GZ10" i="4"/>
  <c r="GY10" i="4"/>
  <c r="GX10" i="4"/>
  <c r="GW10" i="4"/>
  <c r="GV10" i="4"/>
  <c r="GU10" i="4"/>
  <c r="GT10" i="4"/>
  <c r="GS10" i="4"/>
  <c r="GR10" i="4"/>
  <c r="GQ10" i="4"/>
  <c r="GP10" i="4"/>
  <c r="GO10" i="4"/>
  <c r="GN10" i="4"/>
  <c r="GM10" i="4"/>
  <c r="GL10" i="4"/>
  <c r="GK10" i="4"/>
  <c r="GJ10" i="4"/>
  <c r="GI10" i="4"/>
  <c r="GH10" i="4"/>
  <c r="GG10" i="4"/>
  <c r="GF10" i="4"/>
  <c r="GE10" i="4"/>
  <c r="GD10" i="4"/>
  <c r="GC10" i="4"/>
  <c r="GB10" i="4"/>
  <c r="GA10" i="4"/>
  <c r="FZ10" i="4"/>
  <c r="FY10" i="4"/>
  <c r="FX10" i="4"/>
  <c r="FW10" i="4"/>
  <c r="FV10" i="4"/>
  <c r="FU10" i="4"/>
  <c r="FT10" i="4"/>
  <c r="FS10" i="4"/>
  <c r="FR10" i="4"/>
  <c r="FQ10" i="4"/>
  <c r="FP10" i="4"/>
  <c r="FO10" i="4"/>
  <c r="FN10" i="4"/>
  <c r="FM10" i="4"/>
  <c r="FL10" i="4"/>
  <c r="FK10" i="4"/>
  <c r="FJ10" i="4"/>
  <c r="FI10" i="4"/>
  <c r="FH10" i="4"/>
  <c r="FG10" i="4"/>
  <c r="FF10" i="4"/>
  <c r="FE10" i="4"/>
  <c r="FD10" i="4"/>
  <c r="FC10" i="4"/>
  <c r="FB10" i="4"/>
  <c r="FA10" i="4"/>
  <c r="EZ10" i="4"/>
  <c r="EY10" i="4"/>
  <c r="EX10" i="4"/>
  <c r="EW10" i="4"/>
  <c r="EV10" i="4"/>
  <c r="EU10" i="4"/>
  <c r="ET10" i="4"/>
  <c r="ES10" i="4"/>
  <c r="ER10" i="4"/>
  <c r="EQ10" i="4"/>
  <c r="EP10" i="4"/>
  <c r="EO10" i="4"/>
  <c r="EN10" i="4"/>
  <c r="EM10" i="4"/>
  <c r="EL10" i="4"/>
  <c r="EK10" i="4"/>
  <c r="EJ10" i="4"/>
  <c r="EI10" i="4"/>
  <c r="EH10" i="4"/>
  <c r="EG10" i="4"/>
  <c r="EF10" i="4"/>
  <c r="EE10" i="4"/>
  <c r="ED10" i="4"/>
  <c r="EC10" i="4"/>
  <c r="EB10" i="4"/>
  <c r="EA10" i="4"/>
  <c r="DZ10" i="4"/>
  <c r="DY10" i="4"/>
  <c r="DX10" i="4"/>
  <c r="DW10" i="4"/>
  <c r="DV10" i="4"/>
  <c r="DU10" i="4"/>
  <c r="DT10" i="4"/>
  <c r="DS10" i="4"/>
  <c r="DR10" i="4"/>
  <c r="DQ10" i="4"/>
  <c r="DP10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KG2" i="4"/>
  <c r="KF2" i="4"/>
  <c r="KB7" i="7" s="1"/>
  <c r="KE2" i="4"/>
  <c r="KD2" i="4"/>
  <c r="KC2" i="4"/>
  <c r="JY22" i="7" s="1"/>
  <c r="KB2" i="4"/>
  <c r="JX33" i="7" s="1"/>
  <c r="KA2" i="4"/>
  <c r="JW19" i="7" s="1"/>
  <c r="JZ2" i="4"/>
  <c r="JV8" i="7" s="1"/>
  <c r="JY2" i="4"/>
  <c r="JU16" i="7" s="1"/>
  <c r="JX2" i="4"/>
  <c r="JW2" i="4"/>
  <c r="JV2" i="4"/>
  <c r="JU2" i="4"/>
  <c r="JQ17" i="7" s="1"/>
  <c r="JT2" i="4"/>
  <c r="JP31" i="7" s="1"/>
  <c r="JS2" i="4"/>
  <c r="JO14" i="7" s="1"/>
  <c r="JR2" i="4"/>
  <c r="JN3" i="7" s="1"/>
  <c r="JQ2" i="4"/>
  <c r="JM18" i="7" s="1"/>
  <c r="JP2" i="4"/>
  <c r="JL2" i="7" s="1"/>
  <c r="JO2" i="4"/>
  <c r="JN2" i="4"/>
  <c r="JM2" i="4"/>
  <c r="JI12" i="7" s="1"/>
  <c r="JL2" i="4"/>
  <c r="JH8" i="7" s="1"/>
  <c r="JK2" i="4"/>
  <c r="JG6" i="7" s="1"/>
  <c r="JJ2" i="4"/>
  <c r="JF5" i="7" s="1"/>
  <c r="JI2" i="4"/>
  <c r="JE13" i="7" s="1"/>
  <c r="JH2" i="4"/>
  <c r="JD29" i="7" s="1"/>
  <c r="JG2" i="4"/>
  <c r="JC25" i="7" s="1"/>
  <c r="JF2" i="4"/>
  <c r="JE2" i="4"/>
  <c r="JA34" i="7" s="1"/>
  <c r="JD2" i="4"/>
  <c r="IZ24" i="7" s="1"/>
  <c r="JC2" i="4"/>
  <c r="IY31" i="7" s="1"/>
  <c r="JB2" i="4"/>
  <c r="IX19" i="7" s="1"/>
  <c r="JA2" i="4"/>
  <c r="IZ2" i="4"/>
  <c r="IV27" i="7" s="1"/>
  <c r="IY2" i="4"/>
  <c r="IX2" i="4"/>
  <c r="IW2" i="4"/>
  <c r="IS3" i="7" s="1"/>
  <c r="IV2" i="4"/>
  <c r="IR3" i="7" s="1"/>
  <c r="IU2" i="4"/>
  <c r="IQ3" i="7" s="1"/>
  <c r="IT2" i="4"/>
  <c r="IP21" i="7" s="1"/>
  <c r="IS2" i="4"/>
  <c r="IO7" i="7" s="1"/>
  <c r="IR2" i="4"/>
  <c r="IN44" i="7" s="1"/>
  <c r="IQ2" i="4"/>
  <c r="IM8" i="7" s="1"/>
  <c r="IP2" i="4"/>
  <c r="IO2" i="4"/>
  <c r="IK11" i="7" s="1"/>
  <c r="IN2" i="4"/>
  <c r="IJ19" i="7" s="1"/>
  <c r="IM2" i="4"/>
  <c r="II12" i="7" s="1"/>
  <c r="IL2" i="4"/>
  <c r="IH16" i="7" s="1"/>
  <c r="IK2" i="4"/>
  <c r="IG5" i="7" s="1"/>
  <c r="IJ2" i="4"/>
  <c r="II2" i="4"/>
  <c r="IH2" i="4"/>
  <c r="IG2" i="4"/>
  <c r="IC6" i="7" s="1"/>
  <c r="IF2" i="4"/>
  <c r="IB14" i="7" s="1"/>
  <c r="IE2" i="4"/>
  <c r="IA36" i="7" s="1"/>
  <c r="ID2" i="4"/>
  <c r="HZ18" i="7" s="1"/>
  <c r="IC2" i="4"/>
  <c r="HY2" i="7" s="1"/>
  <c r="IB2" i="4"/>
  <c r="HX15" i="7" s="1"/>
  <c r="IA2" i="4"/>
  <c r="HZ2" i="4"/>
  <c r="HY2" i="4"/>
  <c r="HU20" i="7" s="1"/>
  <c r="HX2" i="4"/>
  <c r="HT16" i="7" s="1"/>
  <c r="HW2" i="4"/>
  <c r="HS55" i="7" s="1"/>
  <c r="HV2" i="4"/>
  <c r="HR3" i="7" s="1"/>
  <c r="HU2" i="4"/>
  <c r="HQ21" i="7" s="1"/>
  <c r="HT2" i="4"/>
  <c r="HP7" i="7" s="1"/>
  <c r="HS2" i="4"/>
  <c r="HO18" i="7" s="1"/>
  <c r="HR2" i="4"/>
  <c r="HQ2" i="4"/>
  <c r="HM3" i="7" s="1"/>
  <c r="HP2" i="4"/>
  <c r="HL15" i="7" s="1"/>
  <c r="HO2" i="4"/>
  <c r="HK30" i="7" s="1"/>
  <c r="HN2" i="4"/>
  <c r="HJ8" i="7" s="1"/>
  <c r="HM2" i="4"/>
  <c r="HL2" i="4"/>
  <c r="HH24" i="7" s="1"/>
  <c r="HK2" i="4"/>
  <c r="HJ2" i="4"/>
  <c r="HI2" i="4"/>
  <c r="HE2" i="7" s="1"/>
  <c r="HH2" i="4"/>
  <c r="HD32" i="7" s="1"/>
  <c r="HG2" i="4"/>
  <c r="HC21" i="7" s="1"/>
  <c r="HF2" i="4"/>
  <c r="HB25" i="7" s="1"/>
  <c r="HE2" i="4"/>
  <c r="HA8" i="7" s="1"/>
  <c r="HD2" i="4"/>
  <c r="GZ7" i="7" s="1"/>
  <c r="HC2" i="4"/>
  <c r="HB2" i="4"/>
  <c r="HA2" i="4"/>
  <c r="GW27" i="7" s="1"/>
  <c r="GZ2" i="4"/>
  <c r="GV8" i="7" s="1"/>
  <c r="GY2" i="4"/>
  <c r="GU3" i="7" s="1"/>
  <c r="GX2" i="4"/>
  <c r="GT9" i="7" s="1"/>
  <c r="GW2" i="4"/>
  <c r="GV2" i="4"/>
  <c r="GU2" i="4"/>
  <c r="GQ17" i="7" s="1"/>
  <c r="GT2" i="4"/>
  <c r="GS2" i="4"/>
  <c r="GO18" i="7" s="1"/>
  <c r="GR2" i="4"/>
  <c r="GN7" i="7" s="1"/>
  <c r="GQ2" i="4"/>
  <c r="GM11" i="7" s="1"/>
  <c r="GP2" i="4"/>
  <c r="GO2" i="4"/>
  <c r="GK28" i="7" s="1"/>
  <c r="GN2" i="4"/>
  <c r="GJ2" i="7" s="1"/>
  <c r="GM2" i="4"/>
  <c r="GI12" i="7" s="1"/>
  <c r="GL2" i="4"/>
  <c r="GK2" i="4"/>
  <c r="GG6" i="7" s="1"/>
  <c r="GJ2" i="4"/>
  <c r="GF3" i="7" s="1"/>
  <c r="GI2" i="4"/>
  <c r="GE3" i="7" s="1"/>
  <c r="GH2" i="4"/>
  <c r="GD2" i="7" s="1"/>
  <c r="GG2" i="4"/>
  <c r="GC27" i="7" s="1"/>
  <c r="GF2" i="4"/>
  <c r="GB18" i="7" s="1"/>
  <c r="GE2" i="4"/>
  <c r="GA2" i="7" s="1"/>
  <c r="GD2" i="4"/>
  <c r="GC2" i="4"/>
  <c r="FY26" i="7" s="1"/>
  <c r="GB2" i="4"/>
  <c r="FX23" i="7" s="1"/>
  <c r="GA2" i="4"/>
  <c r="FW3" i="7" s="1"/>
  <c r="FZ2" i="4"/>
  <c r="FV16" i="7" s="1"/>
  <c r="FY2" i="4"/>
  <c r="FX2" i="4"/>
  <c r="FT35" i="7" s="1"/>
  <c r="FW2" i="4"/>
  <c r="FV2" i="4"/>
  <c r="FU2" i="4"/>
  <c r="FQ6" i="7" s="1"/>
  <c r="FT2" i="4"/>
  <c r="FP14" i="7" s="1"/>
  <c r="FS2" i="4"/>
  <c r="FO22" i="7" s="1"/>
  <c r="FR2" i="4"/>
  <c r="FN27" i="7" s="1"/>
  <c r="FQ2" i="4"/>
  <c r="FP2" i="4"/>
  <c r="FO2" i="4"/>
  <c r="FN2" i="4"/>
  <c r="FM2" i="4"/>
  <c r="FI26" i="7" s="1"/>
  <c r="FL2" i="4"/>
  <c r="FH29" i="7" s="1"/>
  <c r="FK2" i="4"/>
  <c r="FG25" i="7" s="1"/>
  <c r="FJ2" i="4"/>
  <c r="FI2" i="4"/>
  <c r="FH2" i="4"/>
  <c r="FD10" i="7" s="1"/>
  <c r="FG2" i="4"/>
  <c r="FF2" i="4"/>
  <c r="FE2" i="4"/>
  <c r="FA2" i="7" s="1"/>
  <c r="FD2" i="4"/>
  <c r="EZ28" i="7" s="1"/>
  <c r="FC2" i="4"/>
  <c r="EY31" i="7" s="1"/>
  <c r="FB2" i="4"/>
  <c r="EX2" i="7" s="1"/>
  <c r="FA2" i="4"/>
  <c r="EZ2" i="4"/>
  <c r="EY2" i="4"/>
  <c r="EX2" i="4"/>
  <c r="EW2" i="4"/>
  <c r="ES17" i="7" s="1"/>
  <c r="EV2" i="4"/>
  <c r="ER7" i="7" s="1"/>
  <c r="EU2" i="4"/>
  <c r="EQ21" i="7" s="1"/>
  <c r="ET2" i="4"/>
  <c r="EP57" i="7" s="1"/>
  <c r="ES2" i="4"/>
  <c r="EO22" i="7" s="1"/>
  <c r="ER2" i="4"/>
  <c r="EN32" i="7" s="1"/>
  <c r="EQ2" i="4"/>
  <c r="EM2" i="7" s="1"/>
  <c r="EP2" i="4"/>
  <c r="EO2" i="4"/>
  <c r="EK12" i="7" s="1"/>
  <c r="EN2" i="4"/>
  <c r="EJ31" i="7" s="1"/>
  <c r="EM2" i="4"/>
  <c r="EI16" i="7" s="1"/>
  <c r="EL2" i="4"/>
  <c r="EH2" i="7" s="1"/>
  <c r="EK2" i="4"/>
  <c r="EJ2" i="4"/>
  <c r="EF2" i="7" s="1"/>
  <c r="EI2" i="4"/>
  <c r="EE25" i="7" s="1"/>
  <c r="EH2" i="4"/>
  <c r="EG2" i="4"/>
  <c r="EC4" i="7" s="1"/>
  <c r="EF2" i="4"/>
  <c r="EB49" i="7" s="1"/>
  <c r="EE2" i="4"/>
  <c r="EA8" i="7" s="1"/>
  <c r="ED2" i="4"/>
  <c r="DZ2" i="7" s="1"/>
  <c r="EC2" i="4"/>
  <c r="DY2" i="7" s="1"/>
  <c r="EB2" i="4"/>
  <c r="DX3" i="7" s="1"/>
  <c r="EA2" i="4"/>
  <c r="DZ2" i="4"/>
  <c r="DY2" i="4"/>
  <c r="DU6" i="7" s="1"/>
  <c r="DX2" i="4"/>
  <c r="DT17" i="7" s="1"/>
  <c r="DW2" i="4"/>
  <c r="DS6" i="7" s="1"/>
  <c r="DV2" i="4"/>
  <c r="DR21" i="7" s="1"/>
  <c r="DU2" i="4"/>
  <c r="DQ41" i="7" s="1"/>
  <c r="DT2" i="4"/>
  <c r="DP36" i="7" s="1"/>
  <c r="DS2" i="4"/>
  <c r="DR2" i="4"/>
  <c r="DQ2" i="4"/>
  <c r="DM2" i="7" s="1"/>
  <c r="DP2" i="4"/>
  <c r="DL33" i="7" s="1"/>
  <c r="DO2" i="4"/>
  <c r="DK5" i="7" s="1"/>
  <c r="DN2" i="4"/>
  <c r="DJ2" i="7" s="1"/>
  <c r="DM2" i="4"/>
  <c r="DI24" i="7" s="1"/>
  <c r="DL2" i="4"/>
  <c r="DH20" i="7" s="1"/>
  <c r="DK2" i="4"/>
  <c r="DJ2" i="4"/>
  <c r="DI2" i="4"/>
  <c r="DE10" i="7" s="1"/>
  <c r="DH2" i="4"/>
  <c r="DG2" i="4"/>
  <c r="DC28" i="7" s="1"/>
  <c r="DF2" i="4"/>
  <c r="DB31" i="7" s="1"/>
  <c r="DE2" i="4"/>
  <c r="DA2" i="7" s="1"/>
  <c r="DD2" i="4"/>
  <c r="DC2" i="4"/>
  <c r="CY2" i="7" s="1"/>
  <c r="DB2" i="4"/>
  <c r="DA2" i="4"/>
  <c r="CW20" i="7" s="1"/>
  <c r="CZ2" i="4"/>
  <c r="CV16" i="7" s="1"/>
  <c r="CY2" i="4"/>
  <c r="CU5" i="7" s="1"/>
  <c r="CX2" i="4"/>
  <c r="CT30" i="7" s="1"/>
  <c r="CW2" i="4"/>
  <c r="CV2" i="4"/>
  <c r="CR10" i="7" s="1"/>
  <c r="CU2" i="4"/>
  <c r="CT2" i="4"/>
  <c r="CS2" i="4"/>
  <c r="CO2" i="7" s="1"/>
  <c r="CR2" i="4"/>
  <c r="CN15" i="7" s="1"/>
  <c r="CQ2" i="4"/>
  <c r="CM19" i="7" s="1"/>
  <c r="CP2" i="4"/>
  <c r="CL25" i="7" s="1"/>
  <c r="CO2" i="4"/>
  <c r="CK23" i="7" s="1"/>
  <c r="CN2" i="4"/>
  <c r="CJ3" i="7" s="1"/>
  <c r="CM2" i="4"/>
  <c r="CL2" i="4"/>
  <c r="CK2" i="4"/>
  <c r="CG4" i="7" s="1"/>
  <c r="CJ2" i="4"/>
  <c r="CF6" i="7" s="1"/>
  <c r="CI2" i="4"/>
  <c r="CH2" i="4"/>
  <c r="CG2" i="4"/>
  <c r="CF2" i="4"/>
  <c r="CB11" i="7" s="1"/>
  <c r="CE2" i="4"/>
  <c r="CD2" i="4"/>
  <c r="CC2" i="4"/>
  <c r="BY2" i="7" s="1"/>
  <c r="CB2" i="4"/>
  <c r="BX8" i="7" s="1"/>
  <c r="CA2" i="4"/>
  <c r="BW3" i="7" s="1"/>
  <c r="BZ2" i="4"/>
  <c r="BV2" i="7" s="1"/>
  <c r="BY2" i="4"/>
  <c r="BU13" i="7" s="1"/>
  <c r="BX2" i="4"/>
  <c r="BT2" i="7" s="1"/>
  <c r="BW2" i="4"/>
  <c r="BS7" i="7" s="1"/>
  <c r="BV2" i="4"/>
  <c r="BU2" i="4"/>
  <c r="BT2" i="4"/>
  <c r="BS2" i="4"/>
  <c r="BO8" i="7" s="1"/>
  <c r="BR2" i="4"/>
  <c r="BQ2" i="4"/>
  <c r="BM5" i="7" s="1"/>
  <c r="BP2" i="4"/>
  <c r="BL3" i="7" s="1"/>
  <c r="BO2" i="4"/>
  <c r="BK2" i="7" s="1"/>
  <c r="BN2" i="4"/>
  <c r="BM2" i="4"/>
  <c r="BL2" i="4"/>
  <c r="BK2" i="4"/>
  <c r="BG3" i="7" s="1"/>
  <c r="BJ2" i="4"/>
  <c r="BF21" i="7" s="1"/>
  <c r="BI2" i="4"/>
  <c r="BH2" i="4"/>
  <c r="BG2" i="4"/>
  <c r="BC4" i="7" s="1"/>
  <c r="BF2" i="4"/>
  <c r="BE2" i="4"/>
  <c r="BA2" i="7" s="1"/>
  <c r="BD2" i="4"/>
  <c r="BC2" i="4"/>
  <c r="AY12" i="7" s="1"/>
  <c r="BB2" i="4"/>
  <c r="BA2" i="4"/>
  <c r="AW5" i="7" s="1"/>
  <c r="AZ2" i="4"/>
  <c r="AY2" i="4"/>
  <c r="AX2" i="4"/>
  <c r="AW2" i="4"/>
  <c r="AS4" i="7" s="1"/>
  <c r="AV2" i="4"/>
  <c r="AU2" i="4"/>
  <c r="AQ4" i="7" s="1"/>
  <c r="AT2" i="4"/>
  <c r="AP11" i="7" s="1"/>
  <c r="AS2" i="4"/>
  <c r="AO7" i="7" s="1"/>
  <c r="AR2" i="4"/>
  <c r="AN5" i="7" s="1"/>
  <c r="AQ2" i="4"/>
  <c r="AP2" i="4"/>
  <c r="AO2" i="4"/>
  <c r="AN2" i="4"/>
  <c r="AM2" i="4"/>
  <c r="AI3" i="7" s="1"/>
  <c r="AL2" i="4"/>
  <c r="AH3" i="7" s="1"/>
  <c r="AK2" i="4"/>
  <c r="AJ2" i="4"/>
  <c r="AF7" i="7" s="1"/>
  <c r="AI2" i="4"/>
  <c r="AH2" i="4"/>
  <c r="AG2" i="4"/>
  <c r="AC2" i="7" s="1"/>
  <c r="AF2" i="4"/>
  <c r="AB29" i="7" s="1"/>
  <c r="AE2" i="4"/>
  <c r="AD2" i="4"/>
  <c r="Z2" i="7" s="1"/>
  <c r="AC2" i="4"/>
  <c r="AB2" i="4"/>
  <c r="X12" i="7" s="1"/>
  <c r="AA2" i="4"/>
  <c r="Z2" i="4"/>
  <c r="Y2" i="4"/>
  <c r="U4" i="7" s="1"/>
  <c r="X2" i="4"/>
  <c r="T6" i="7" s="1"/>
  <c r="W2" i="4"/>
  <c r="S4" i="7" s="1"/>
  <c r="V2" i="4"/>
  <c r="U2" i="4"/>
  <c r="T2" i="4"/>
  <c r="P11" i="7" s="1"/>
  <c r="S2" i="4"/>
  <c r="R2" i="4"/>
  <c r="Q2" i="4"/>
  <c r="P2" i="4"/>
  <c r="L3" i="7" s="1"/>
  <c r="O2" i="4"/>
  <c r="N2" i="4"/>
  <c r="J5" i="7" s="1"/>
  <c r="M2" i="4"/>
  <c r="I13" i="7" s="1"/>
  <c r="L2" i="4"/>
  <c r="K2" i="4"/>
  <c r="J2" i="4"/>
  <c r="I2" i="4"/>
  <c r="H2" i="4"/>
  <c r="D7" i="7" s="1"/>
  <c r="G2" i="4"/>
  <c r="F2" i="4"/>
  <c r="E2" i="4"/>
  <c r="D2" i="4"/>
  <c r="C2" i="4"/>
  <c r="B1" i="4"/>
  <c r="E6" i="3"/>
  <c r="B6" i="3"/>
  <c r="E5" i="3"/>
  <c r="B5" i="3"/>
  <c r="E4" i="3"/>
  <c r="B4" i="3"/>
  <c r="E3" i="3"/>
  <c r="B3" i="3"/>
  <c r="C14" i="1"/>
  <c r="C13" i="1"/>
  <c r="D12" i="1"/>
  <c r="C12" i="1"/>
  <c r="D11" i="1"/>
  <c r="C11" i="1"/>
  <c r="C10" i="1"/>
  <c r="C9" i="1"/>
  <c r="C8" i="1"/>
  <c r="C7" i="1"/>
  <c r="J6" i="1"/>
  <c r="I6" i="1"/>
  <c r="H6" i="1"/>
  <c r="G6" i="1"/>
  <c r="F6" i="1"/>
  <c r="C6" i="1"/>
  <c r="J4" i="1"/>
  <c r="I4" i="1"/>
  <c r="H4" i="1"/>
  <c r="G4" i="1"/>
  <c r="F4" i="1"/>
  <c r="J3" i="1"/>
  <c r="I3" i="1"/>
  <c r="H3" i="1"/>
  <c r="G3" i="1"/>
  <c r="F3" i="1"/>
  <c r="C3" i="1"/>
  <c r="C1" i="1"/>
  <c r="A1" i="1"/>
  <c r="H5" i="1" l="1"/>
  <c r="CE14" i="7"/>
  <c r="BD51" i="7"/>
  <c r="Y24" i="7"/>
  <c r="AJ16" i="7"/>
  <c r="CD33" i="7"/>
  <c r="BP22" i="7"/>
  <c r="M19" i="7"/>
  <c r="BQ34" i="7"/>
  <c r="I5" i="1"/>
  <c r="DU9" i="7"/>
  <c r="F5" i="1"/>
  <c r="AR26" i="7"/>
  <c r="K20" i="7"/>
  <c r="J5" i="1"/>
  <c r="BI55" i="7"/>
  <c r="AZ23" i="7"/>
  <c r="BH17" i="7"/>
  <c r="E14" i="7"/>
  <c r="AK20" i="7"/>
  <c r="G5" i="1"/>
  <c r="GW2" i="7"/>
  <c r="GW150" i="7" s="1"/>
  <c r="FH3" i="7"/>
  <c r="IS6" i="7"/>
  <c r="AS10" i="7"/>
  <c r="IK2" i="7"/>
  <c r="IK151" i="7" s="1"/>
  <c r="HD3" i="7"/>
  <c r="T7" i="7"/>
  <c r="FI20" i="7"/>
  <c r="HD47" i="7"/>
  <c r="AG25" i="7"/>
  <c r="U2" i="7"/>
  <c r="U150" i="7" s="1"/>
  <c r="JY2" i="7"/>
  <c r="JY151" i="7" s="1"/>
  <c r="IC3" i="7"/>
  <c r="EC14" i="7"/>
  <c r="D22" i="7"/>
  <c r="BQ18" i="7"/>
  <c r="AX27" i="7"/>
  <c r="BN27" i="7"/>
  <c r="U3" i="7"/>
  <c r="E4" i="7"/>
  <c r="JP7" i="7"/>
  <c r="IC23" i="7"/>
  <c r="AE33" i="7"/>
  <c r="BI3" i="7"/>
  <c r="CN8" i="7"/>
  <c r="EZ15" i="7"/>
  <c r="CF3" i="7"/>
  <c r="DE4" i="7"/>
  <c r="CW27" i="7"/>
  <c r="FI2" i="7"/>
  <c r="FI149" i="7" s="1"/>
  <c r="CW3" i="7"/>
  <c r="JA4" i="7"/>
  <c r="DT3" i="7"/>
  <c r="CV6" i="7"/>
  <c r="HT9" i="7"/>
  <c r="EK19" i="7"/>
  <c r="HE29" i="7"/>
  <c r="BT151" i="7"/>
  <c r="BT150" i="7"/>
  <c r="EF151" i="7"/>
  <c r="EF149" i="7"/>
  <c r="EF150" i="7"/>
  <c r="GJ151" i="7"/>
  <c r="GJ149" i="7"/>
  <c r="GJ150" i="7"/>
  <c r="JL151" i="7"/>
  <c r="JL150" i="7"/>
  <c r="JL149" i="7"/>
  <c r="HY149" i="7"/>
  <c r="HY150" i="7"/>
  <c r="HY151" i="7"/>
  <c r="GD149" i="7"/>
  <c r="GD151" i="7"/>
  <c r="GD150" i="7"/>
  <c r="BV151" i="7"/>
  <c r="BV150" i="7"/>
  <c r="Z151" i="7"/>
  <c r="Z150" i="7"/>
  <c r="DY149" i="7"/>
  <c r="DY151" i="7"/>
  <c r="DY150" i="7"/>
  <c r="EH149" i="7"/>
  <c r="EH151" i="7"/>
  <c r="EH150" i="7"/>
  <c r="AC150" i="7"/>
  <c r="AC151" i="7"/>
  <c r="BA150" i="7"/>
  <c r="BA151" i="7"/>
  <c r="BY150" i="7"/>
  <c r="BY151" i="7"/>
  <c r="CO150" i="7"/>
  <c r="CO149" i="7"/>
  <c r="CO151" i="7"/>
  <c r="DM151" i="7"/>
  <c r="DM150" i="7"/>
  <c r="DM149" i="7"/>
  <c r="FA150" i="7"/>
  <c r="FA149" i="7"/>
  <c r="FA151" i="7"/>
  <c r="HE150" i="7"/>
  <c r="HE151" i="7"/>
  <c r="HE149" i="7"/>
  <c r="DA149" i="7"/>
  <c r="DA151" i="7"/>
  <c r="DA150" i="7"/>
  <c r="DJ149" i="7"/>
  <c r="DJ150" i="7"/>
  <c r="DJ151" i="7"/>
  <c r="DZ149" i="7"/>
  <c r="DZ150" i="7"/>
  <c r="DZ151" i="7"/>
  <c r="EX151" i="7"/>
  <c r="EX149" i="7"/>
  <c r="EX150" i="7"/>
  <c r="H52" i="9"/>
  <c r="H1" i="9"/>
  <c r="H52" i="8"/>
  <c r="H143" i="7"/>
  <c r="H1" i="8"/>
  <c r="H138" i="7"/>
  <c r="H141" i="7"/>
  <c r="H129" i="7"/>
  <c r="H121" i="7"/>
  <c r="H148" i="7"/>
  <c r="H132" i="7"/>
  <c r="H124" i="7"/>
  <c r="H131" i="7"/>
  <c r="H144" i="7"/>
  <c r="H142" i="7"/>
  <c r="H137" i="7"/>
  <c r="H125" i="7"/>
  <c r="H111" i="7"/>
  <c r="H103" i="7"/>
  <c r="H122" i="7"/>
  <c r="H114" i="7"/>
  <c r="H106" i="7"/>
  <c r="H134" i="7"/>
  <c r="H140" i="7"/>
  <c r="H139" i="7"/>
  <c r="H113" i="7"/>
  <c r="H105" i="7"/>
  <c r="H133" i="7"/>
  <c r="H118" i="7"/>
  <c r="H107" i="7"/>
  <c r="H99" i="7"/>
  <c r="H91" i="7"/>
  <c r="H102" i="7"/>
  <c r="H94" i="7"/>
  <c r="H86" i="7"/>
  <c r="H136" i="7"/>
  <c r="H128" i="7"/>
  <c r="H117" i="7"/>
  <c r="H119" i="7"/>
  <c r="H135" i="7"/>
  <c r="H130" i="7"/>
  <c r="H126" i="7"/>
  <c r="H123" i="7"/>
  <c r="H108" i="7"/>
  <c r="H104" i="7"/>
  <c r="H101" i="7"/>
  <c r="H93" i="7"/>
  <c r="H115" i="7"/>
  <c r="H95" i="7"/>
  <c r="H83" i="7"/>
  <c r="H75" i="7"/>
  <c r="H67" i="7"/>
  <c r="H116" i="7"/>
  <c r="H100" i="7"/>
  <c r="H78" i="7"/>
  <c r="H70" i="7"/>
  <c r="H120" i="7"/>
  <c r="H109" i="7"/>
  <c r="H110" i="7"/>
  <c r="H127" i="7"/>
  <c r="H112" i="7"/>
  <c r="H96" i="7"/>
  <c r="H92" i="7"/>
  <c r="H89" i="7"/>
  <c r="H85" i="7"/>
  <c r="H77" i="7"/>
  <c r="H69" i="7"/>
  <c r="H71" i="7"/>
  <c r="H82" i="7"/>
  <c r="H84" i="7"/>
  <c r="H98" i="7"/>
  <c r="H87" i="7"/>
  <c r="H88" i="7"/>
  <c r="H81" i="7"/>
  <c r="H68" i="7"/>
  <c r="H55" i="7"/>
  <c r="H47" i="7"/>
  <c r="H39" i="7"/>
  <c r="H31" i="7"/>
  <c r="H64" i="7"/>
  <c r="H58" i="7"/>
  <c r="H50" i="7"/>
  <c r="H42" i="7"/>
  <c r="H34" i="7"/>
  <c r="H26" i="7"/>
  <c r="H66" i="7"/>
  <c r="H65" i="7"/>
  <c r="H97" i="7"/>
  <c r="H90" i="7"/>
  <c r="H76" i="7"/>
  <c r="H79" i="7"/>
  <c r="H80" i="7"/>
  <c r="H74" i="7"/>
  <c r="H73" i="7"/>
  <c r="H57" i="7"/>
  <c r="H49" i="7"/>
  <c r="H41" i="7"/>
  <c r="H72" i="7"/>
  <c r="H53" i="7"/>
  <c r="H46" i="7"/>
  <c r="H45" i="7"/>
  <c r="H38" i="7"/>
  <c r="H51" i="7"/>
  <c r="H36" i="7"/>
  <c r="H22" i="7"/>
  <c r="H14" i="7"/>
  <c r="H6" i="7"/>
  <c r="H17" i="7"/>
  <c r="H9" i="7"/>
  <c r="H52" i="7"/>
  <c r="H40" i="7"/>
  <c r="H62" i="7"/>
  <c r="H56" i="7"/>
  <c r="H54" i="7"/>
  <c r="H43" i="7"/>
  <c r="H63" i="7"/>
  <c r="H61" i="7"/>
  <c r="H44" i="7"/>
  <c r="H30" i="7"/>
  <c r="H16" i="7"/>
  <c r="H8" i="7"/>
  <c r="H60" i="7"/>
  <c r="H59" i="7"/>
  <c r="H35" i="7"/>
  <c r="H24" i="7"/>
  <c r="H20" i="7"/>
  <c r="H13" i="7"/>
  <c r="H12" i="7"/>
  <c r="H5" i="7"/>
  <c r="H33" i="7"/>
  <c r="H23" i="7"/>
  <c r="H4" i="7"/>
  <c r="H48" i="7"/>
  <c r="H27" i="7"/>
  <c r="H19" i="7"/>
  <c r="H15" i="7"/>
  <c r="H37" i="7"/>
  <c r="H25" i="7"/>
  <c r="H11" i="7"/>
  <c r="H7" i="7"/>
  <c r="H28" i="7"/>
  <c r="H18" i="7"/>
  <c r="H32" i="7"/>
  <c r="H10" i="7"/>
  <c r="AV52" i="9"/>
  <c r="AV1" i="9"/>
  <c r="AV52" i="8"/>
  <c r="AV143" i="7"/>
  <c r="AV138" i="7"/>
  <c r="AV1" i="8"/>
  <c r="AV148" i="7"/>
  <c r="AV129" i="7"/>
  <c r="AV121" i="7"/>
  <c r="AV144" i="7"/>
  <c r="AV137" i="7"/>
  <c r="AV132" i="7"/>
  <c r="AV124" i="7"/>
  <c r="AV142" i="7"/>
  <c r="AV131" i="7"/>
  <c r="AV136" i="7"/>
  <c r="AV119" i="7"/>
  <c r="AV111" i="7"/>
  <c r="AV103" i="7"/>
  <c r="AV134" i="7"/>
  <c r="AV130" i="7"/>
  <c r="AV128" i="7"/>
  <c r="AV114" i="7"/>
  <c r="AV106" i="7"/>
  <c r="AV140" i="7"/>
  <c r="AV139" i="7"/>
  <c r="AV135" i="7"/>
  <c r="AV127" i="7"/>
  <c r="AV123" i="7"/>
  <c r="AV113" i="7"/>
  <c r="AV105" i="7"/>
  <c r="AV141" i="7"/>
  <c r="AV133" i="7"/>
  <c r="AV122" i="7"/>
  <c r="AV101" i="7"/>
  <c r="AV99" i="7"/>
  <c r="AV91" i="7"/>
  <c r="AV118" i="7"/>
  <c r="AV117" i="7"/>
  <c r="AV110" i="7"/>
  <c r="AV94" i="7"/>
  <c r="AV86" i="7"/>
  <c r="AV126" i="7"/>
  <c r="AV120" i="7"/>
  <c r="AV116" i="7"/>
  <c r="AV115" i="7"/>
  <c r="AV93" i="7"/>
  <c r="AV89" i="7"/>
  <c r="AV83" i="7"/>
  <c r="AV75" i="7"/>
  <c r="AV67" i="7"/>
  <c r="AV104" i="7"/>
  <c r="AV98" i="7"/>
  <c r="AV78" i="7"/>
  <c r="AV70" i="7"/>
  <c r="AV109" i="7"/>
  <c r="AV107" i="7"/>
  <c r="AV108" i="7"/>
  <c r="AV125" i="7"/>
  <c r="AV112" i="7"/>
  <c r="AV100" i="7"/>
  <c r="AV85" i="7"/>
  <c r="AV77" i="7"/>
  <c r="AV69" i="7"/>
  <c r="AV88" i="7"/>
  <c r="AV82" i="7"/>
  <c r="AV81" i="7"/>
  <c r="AV74" i="7"/>
  <c r="AV102" i="7"/>
  <c r="AV92" i="7"/>
  <c r="AV80" i="7"/>
  <c r="AV76" i="7"/>
  <c r="AV68" i="7"/>
  <c r="AV95" i="7"/>
  <c r="AV84" i="7"/>
  <c r="AV96" i="7"/>
  <c r="AV55" i="7"/>
  <c r="AV47" i="7"/>
  <c r="AV39" i="7"/>
  <c r="AV31" i="7"/>
  <c r="AV72" i="7"/>
  <c r="AV66" i="7"/>
  <c r="AV58" i="7"/>
  <c r="AV50" i="7"/>
  <c r="AV42" i="7"/>
  <c r="AV34" i="7"/>
  <c r="AV26" i="7"/>
  <c r="AV79" i="7"/>
  <c r="AV73" i="7"/>
  <c r="AV71" i="7"/>
  <c r="AV64" i="7"/>
  <c r="AV90" i="7"/>
  <c r="AV87" i="7"/>
  <c r="AV65" i="7"/>
  <c r="AV63" i="7"/>
  <c r="AV97" i="7"/>
  <c r="AV57" i="7"/>
  <c r="AV49" i="7"/>
  <c r="AV41" i="7"/>
  <c r="AV45" i="7"/>
  <c r="AV38" i="7"/>
  <c r="AV60" i="7"/>
  <c r="AV56" i="7"/>
  <c r="AV37" i="7"/>
  <c r="AV62" i="7"/>
  <c r="AV43" i="7"/>
  <c r="AV61" i="7"/>
  <c r="AV36" i="7"/>
  <c r="AV30" i="7"/>
  <c r="AV24" i="7"/>
  <c r="AV22" i="7"/>
  <c r="AV14" i="7"/>
  <c r="AV6" i="7"/>
  <c r="AV27" i="7"/>
  <c r="AV17" i="7"/>
  <c r="AV9" i="7"/>
  <c r="AV52" i="7"/>
  <c r="AV51" i="7"/>
  <c r="AV40" i="7"/>
  <c r="AV53" i="7"/>
  <c r="AV54" i="7"/>
  <c r="AV44" i="7"/>
  <c r="AV16" i="7"/>
  <c r="AV8" i="7"/>
  <c r="AV59" i="7"/>
  <c r="AV12" i="7"/>
  <c r="AV5" i="7"/>
  <c r="AV48" i="7"/>
  <c r="AV23" i="7"/>
  <c r="AV4" i="7"/>
  <c r="AV19" i="7"/>
  <c r="AV15" i="7"/>
  <c r="AV28" i="7"/>
  <c r="AV11" i="7"/>
  <c r="AV7" i="7"/>
  <c r="AV32" i="7"/>
  <c r="AV18" i="7"/>
  <c r="AV46" i="7"/>
  <c r="AV29" i="7"/>
  <c r="AV10" i="7"/>
  <c r="AV35" i="7"/>
  <c r="AV21" i="7"/>
  <c r="AV2" i="7"/>
  <c r="CZ52" i="9"/>
  <c r="CZ1" i="9"/>
  <c r="CZ52" i="8"/>
  <c r="CZ143" i="7"/>
  <c r="CZ1" i="8"/>
  <c r="CZ138" i="7"/>
  <c r="CZ129" i="7"/>
  <c r="CZ121" i="7"/>
  <c r="CZ139" i="7"/>
  <c r="CZ132" i="7"/>
  <c r="CZ124" i="7"/>
  <c r="CZ144" i="7"/>
  <c r="CZ136" i="7"/>
  <c r="CZ131" i="7"/>
  <c r="CZ133" i="7"/>
  <c r="CZ125" i="7"/>
  <c r="CZ111" i="7"/>
  <c r="CZ103" i="7"/>
  <c r="CZ141" i="7"/>
  <c r="CZ140" i="7"/>
  <c r="CZ122" i="7"/>
  <c r="CZ118" i="7"/>
  <c r="CZ114" i="7"/>
  <c r="CZ106" i="7"/>
  <c r="CZ142" i="7"/>
  <c r="CZ137" i="7"/>
  <c r="CZ135" i="7"/>
  <c r="CZ148" i="7"/>
  <c r="CZ134" i="7"/>
  <c r="CZ130" i="7"/>
  <c r="CZ113" i="7"/>
  <c r="CZ105" i="7"/>
  <c r="CZ126" i="7"/>
  <c r="CZ99" i="7"/>
  <c r="CZ91" i="7"/>
  <c r="CZ123" i="7"/>
  <c r="CZ116" i="7"/>
  <c r="CZ112" i="7"/>
  <c r="CZ102" i="7"/>
  <c r="CZ94" i="7"/>
  <c r="CZ86" i="7"/>
  <c r="CZ127" i="7"/>
  <c r="CZ120" i="7"/>
  <c r="CZ117" i="7"/>
  <c r="CZ110" i="7"/>
  <c r="CZ101" i="7"/>
  <c r="CZ93" i="7"/>
  <c r="CZ128" i="7"/>
  <c r="CZ83" i="7"/>
  <c r="CZ75" i="7"/>
  <c r="CZ67" i="7"/>
  <c r="CZ78" i="7"/>
  <c r="CZ70" i="7"/>
  <c r="CZ115" i="7"/>
  <c r="CZ109" i="7"/>
  <c r="CZ98" i="7"/>
  <c r="CZ89" i="7"/>
  <c r="CZ77" i="7"/>
  <c r="CZ69" i="7"/>
  <c r="CZ119" i="7"/>
  <c r="CZ96" i="7"/>
  <c r="CZ95" i="7"/>
  <c r="CZ84" i="7"/>
  <c r="CZ65" i="7"/>
  <c r="CZ97" i="7"/>
  <c r="CZ80" i="7"/>
  <c r="CZ76" i="7"/>
  <c r="CZ108" i="7"/>
  <c r="CZ104" i="7"/>
  <c r="CZ100" i="7"/>
  <c r="CZ71" i="7"/>
  <c r="CZ85" i="7"/>
  <c r="CZ79" i="7"/>
  <c r="CZ81" i="7"/>
  <c r="CZ107" i="7"/>
  <c r="CZ74" i="7"/>
  <c r="CZ55" i="7"/>
  <c r="CZ47" i="7"/>
  <c r="CZ39" i="7"/>
  <c r="CZ31" i="7"/>
  <c r="CZ87" i="7"/>
  <c r="CZ64" i="7"/>
  <c r="CZ58" i="7"/>
  <c r="CZ50" i="7"/>
  <c r="CZ42" i="7"/>
  <c r="CZ34" i="7"/>
  <c r="CZ26" i="7"/>
  <c r="CZ82" i="7"/>
  <c r="CZ68" i="7"/>
  <c r="CZ66" i="7"/>
  <c r="CZ63" i="7"/>
  <c r="CZ92" i="7"/>
  <c r="CZ90" i="7"/>
  <c r="CZ88" i="7"/>
  <c r="CZ73" i="7"/>
  <c r="CZ72" i="7"/>
  <c r="CZ57" i="7"/>
  <c r="CZ49" i="7"/>
  <c r="CZ41" i="7"/>
  <c r="CZ59" i="7"/>
  <c r="CZ44" i="7"/>
  <c r="CZ40" i="7"/>
  <c r="CZ51" i="7"/>
  <c r="CZ36" i="7"/>
  <c r="CZ62" i="7"/>
  <c r="CZ45" i="7"/>
  <c r="CZ38" i="7"/>
  <c r="CZ22" i="7"/>
  <c r="CZ14" i="7"/>
  <c r="CZ6" i="7"/>
  <c r="CZ46" i="7"/>
  <c r="CZ35" i="7"/>
  <c r="CZ17" i="7"/>
  <c r="CZ9" i="7"/>
  <c r="CZ60" i="7"/>
  <c r="CZ48" i="7"/>
  <c r="CZ37" i="7"/>
  <c r="CZ53" i="7"/>
  <c r="CZ52" i="7"/>
  <c r="CZ61" i="7"/>
  <c r="CZ54" i="7"/>
  <c r="CZ43" i="7"/>
  <c r="CZ30" i="7"/>
  <c r="CZ25" i="7"/>
  <c r="CZ16" i="7"/>
  <c r="CZ8" i="7"/>
  <c r="CZ28" i="7"/>
  <c r="CZ11" i="7"/>
  <c r="CZ7" i="7"/>
  <c r="CZ32" i="7"/>
  <c r="CZ18" i="7"/>
  <c r="CZ3" i="7"/>
  <c r="CZ29" i="7"/>
  <c r="CZ10" i="7"/>
  <c r="CZ21" i="7"/>
  <c r="CZ24" i="7"/>
  <c r="CZ20" i="7"/>
  <c r="CZ13" i="7"/>
  <c r="CZ33" i="7"/>
  <c r="CZ12" i="7"/>
  <c r="CZ27" i="7"/>
  <c r="CZ23" i="7"/>
  <c r="CZ4" i="7"/>
  <c r="EV52" i="9"/>
  <c r="EV1" i="9"/>
  <c r="EV52" i="8"/>
  <c r="EV143" i="7"/>
  <c r="EV138" i="7"/>
  <c r="EV1" i="8"/>
  <c r="EV144" i="7"/>
  <c r="EV136" i="7"/>
  <c r="EV129" i="7"/>
  <c r="EV121" i="7"/>
  <c r="EV140" i="7"/>
  <c r="EV132" i="7"/>
  <c r="EV124" i="7"/>
  <c r="EV141" i="7"/>
  <c r="EV131" i="7"/>
  <c r="EV142" i="7"/>
  <c r="EV134" i="7"/>
  <c r="EV130" i="7"/>
  <c r="EV127" i="7"/>
  <c r="EV123" i="7"/>
  <c r="EV117" i="7"/>
  <c r="EV111" i="7"/>
  <c r="EV103" i="7"/>
  <c r="EV120" i="7"/>
  <c r="EV114" i="7"/>
  <c r="EV106" i="7"/>
  <c r="EV148" i="7"/>
  <c r="EV133" i="7"/>
  <c r="EV137" i="7"/>
  <c r="EV139" i="7"/>
  <c r="EV113" i="7"/>
  <c r="EV105" i="7"/>
  <c r="EV122" i="7"/>
  <c r="EV110" i="7"/>
  <c r="EV99" i="7"/>
  <c r="EV91" i="7"/>
  <c r="EV118" i="7"/>
  <c r="EV109" i="7"/>
  <c r="EV100" i="7"/>
  <c r="EV94" i="7"/>
  <c r="EV86" i="7"/>
  <c r="EV126" i="7"/>
  <c r="EV116" i="7"/>
  <c r="EV128" i="7"/>
  <c r="EV119" i="7"/>
  <c r="EV135" i="7"/>
  <c r="EV107" i="7"/>
  <c r="EV93" i="7"/>
  <c r="EV115" i="7"/>
  <c r="EV104" i="7"/>
  <c r="EV98" i="7"/>
  <c r="EV83" i="7"/>
  <c r="EV75" i="7"/>
  <c r="EV67" i="7"/>
  <c r="EV97" i="7"/>
  <c r="EV90" i="7"/>
  <c r="EV88" i="7"/>
  <c r="EV78" i="7"/>
  <c r="EV70" i="7"/>
  <c r="EV108" i="7"/>
  <c r="EV101" i="7"/>
  <c r="EV95" i="7"/>
  <c r="EV87" i="7"/>
  <c r="EV77" i="7"/>
  <c r="EV69" i="7"/>
  <c r="EV89" i="7"/>
  <c r="EV85" i="7"/>
  <c r="EV81" i="7"/>
  <c r="EV74" i="7"/>
  <c r="EV73" i="7"/>
  <c r="EV66" i="7"/>
  <c r="EV125" i="7"/>
  <c r="EV72" i="7"/>
  <c r="EV68" i="7"/>
  <c r="EV92" i="7"/>
  <c r="EV84" i="7"/>
  <c r="EV82" i="7"/>
  <c r="EV96" i="7"/>
  <c r="EV102" i="7"/>
  <c r="EV79" i="7"/>
  <c r="EV76" i="7"/>
  <c r="EV55" i="7"/>
  <c r="EV47" i="7"/>
  <c r="EV39" i="7"/>
  <c r="EV31" i="7"/>
  <c r="EV65" i="7"/>
  <c r="EV63" i="7"/>
  <c r="EV58" i="7"/>
  <c r="EV50" i="7"/>
  <c r="EV42" i="7"/>
  <c r="EV34" i="7"/>
  <c r="EV26" i="7"/>
  <c r="EV80" i="7"/>
  <c r="EV112" i="7"/>
  <c r="EV64" i="7"/>
  <c r="EV57" i="7"/>
  <c r="EV49" i="7"/>
  <c r="EV41" i="7"/>
  <c r="EV60" i="7"/>
  <c r="EV56" i="7"/>
  <c r="EV37" i="7"/>
  <c r="EV52" i="7"/>
  <c r="EV48" i="7"/>
  <c r="EV33" i="7"/>
  <c r="EV61" i="7"/>
  <c r="EV54" i="7"/>
  <c r="EV35" i="7"/>
  <c r="EV22" i="7"/>
  <c r="EV14" i="7"/>
  <c r="EV6" i="7"/>
  <c r="EV51" i="7"/>
  <c r="EV40" i="7"/>
  <c r="EV38" i="7"/>
  <c r="EV17" i="7"/>
  <c r="EV9" i="7"/>
  <c r="EV53" i="7"/>
  <c r="EV44" i="7"/>
  <c r="EV43" i="7"/>
  <c r="EV45" i="7"/>
  <c r="EV59" i="7"/>
  <c r="EV46" i="7"/>
  <c r="EV32" i="7"/>
  <c r="EV28" i="7"/>
  <c r="EV16" i="7"/>
  <c r="EV8" i="7"/>
  <c r="EV71" i="7"/>
  <c r="EV62" i="7"/>
  <c r="EV23" i="7"/>
  <c r="EV4" i="7"/>
  <c r="EV19" i="7"/>
  <c r="EV15" i="7"/>
  <c r="EV24" i="7"/>
  <c r="EV11" i="7"/>
  <c r="EV7" i="7"/>
  <c r="EV18" i="7"/>
  <c r="EV29" i="7"/>
  <c r="EV10" i="7"/>
  <c r="EV21" i="7"/>
  <c r="EV30" i="7"/>
  <c r="EV25" i="7"/>
  <c r="EV20" i="7"/>
  <c r="EV13" i="7"/>
  <c r="FL52" i="9"/>
  <c r="FL1" i="9"/>
  <c r="FL52" i="8"/>
  <c r="FL143" i="7"/>
  <c r="FL1" i="8"/>
  <c r="FL138" i="7"/>
  <c r="FL129" i="7"/>
  <c r="FL121" i="7"/>
  <c r="FL139" i="7"/>
  <c r="FL132" i="7"/>
  <c r="FL124" i="7"/>
  <c r="FL144" i="7"/>
  <c r="FL131" i="7"/>
  <c r="FL141" i="7"/>
  <c r="FL140" i="7"/>
  <c r="FL133" i="7"/>
  <c r="FL125" i="7"/>
  <c r="FL111" i="7"/>
  <c r="FL103" i="7"/>
  <c r="FL142" i="7"/>
  <c r="FL122" i="7"/>
  <c r="FL118" i="7"/>
  <c r="FL114" i="7"/>
  <c r="FL106" i="7"/>
  <c r="FL136" i="7"/>
  <c r="FL135" i="7"/>
  <c r="FL148" i="7"/>
  <c r="FL137" i="7"/>
  <c r="FL134" i="7"/>
  <c r="FL130" i="7"/>
  <c r="FL113" i="7"/>
  <c r="FL105" i="7"/>
  <c r="FL99" i="7"/>
  <c r="FL91" i="7"/>
  <c r="FL116" i="7"/>
  <c r="FL112" i="7"/>
  <c r="FL102" i="7"/>
  <c r="FL94" i="7"/>
  <c r="FL86" i="7"/>
  <c r="FL126" i="7"/>
  <c r="FL123" i="7"/>
  <c r="FL117" i="7"/>
  <c r="FL127" i="7"/>
  <c r="FL120" i="7"/>
  <c r="FL119" i="7"/>
  <c r="FL128" i="7"/>
  <c r="FL110" i="7"/>
  <c r="FL101" i="7"/>
  <c r="FL93" i="7"/>
  <c r="FL89" i="7"/>
  <c r="FL83" i="7"/>
  <c r="FL75" i="7"/>
  <c r="FL67" i="7"/>
  <c r="FL115" i="7"/>
  <c r="FL104" i="7"/>
  <c r="FL78" i="7"/>
  <c r="FL70" i="7"/>
  <c r="FL108" i="7"/>
  <c r="FL107" i="7"/>
  <c r="FL100" i="7"/>
  <c r="FL98" i="7"/>
  <c r="FL85" i="7"/>
  <c r="FL77" i="7"/>
  <c r="FL69" i="7"/>
  <c r="FL97" i="7"/>
  <c r="FL88" i="7"/>
  <c r="FL84" i="7"/>
  <c r="FL65" i="7"/>
  <c r="FL109" i="7"/>
  <c r="FL80" i="7"/>
  <c r="FL76" i="7"/>
  <c r="FL92" i="7"/>
  <c r="FL90" i="7"/>
  <c r="FL87" i="7"/>
  <c r="FL71" i="7"/>
  <c r="FL79" i="7"/>
  <c r="FL68" i="7"/>
  <c r="FL81" i="7"/>
  <c r="FL82" i="7"/>
  <c r="FL74" i="7"/>
  <c r="FL55" i="7"/>
  <c r="FL47" i="7"/>
  <c r="FL39" i="7"/>
  <c r="FL31" i="7"/>
  <c r="FL95" i="7"/>
  <c r="FL66" i="7"/>
  <c r="FL64" i="7"/>
  <c r="FL58" i="7"/>
  <c r="FL50" i="7"/>
  <c r="FL42" i="7"/>
  <c r="FL34" i="7"/>
  <c r="FL26" i="7"/>
  <c r="FL72" i="7"/>
  <c r="FL63" i="7"/>
  <c r="FL73" i="7"/>
  <c r="FL96" i="7"/>
  <c r="FL57" i="7"/>
  <c r="FL49" i="7"/>
  <c r="FL41" i="7"/>
  <c r="FL59" i="7"/>
  <c r="FL44" i="7"/>
  <c r="FL40" i="7"/>
  <c r="FL51" i="7"/>
  <c r="FL36" i="7"/>
  <c r="FL62" i="7"/>
  <c r="FL45" i="7"/>
  <c r="FL38" i="7"/>
  <c r="FL46" i="7"/>
  <c r="FL35" i="7"/>
  <c r="FL22" i="7"/>
  <c r="FL14" i="7"/>
  <c r="FL6" i="7"/>
  <c r="FL48" i="7"/>
  <c r="FL37" i="7"/>
  <c r="FL17" i="7"/>
  <c r="FL9" i="7"/>
  <c r="FL61" i="7"/>
  <c r="FL60" i="7"/>
  <c r="FL53" i="7"/>
  <c r="FL52" i="7"/>
  <c r="FL54" i="7"/>
  <c r="FL43" i="7"/>
  <c r="FL56" i="7"/>
  <c r="FL30" i="7"/>
  <c r="FL25" i="7"/>
  <c r="FL16" i="7"/>
  <c r="FL8" i="7"/>
  <c r="FL27" i="7"/>
  <c r="FL11" i="7"/>
  <c r="FL7" i="7"/>
  <c r="FL24" i="7"/>
  <c r="FL18" i="7"/>
  <c r="FL3" i="7"/>
  <c r="FL33" i="7"/>
  <c r="FL28" i="7"/>
  <c r="FL10" i="7"/>
  <c r="FL32" i="7"/>
  <c r="FL21" i="7"/>
  <c r="FL29" i="7"/>
  <c r="FL20" i="7"/>
  <c r="FL13" i="7"/>
  <c r="FL12" i="7"/>
  <c r="FL23" i="7"/>
  <c r="FL4" i="7"/>
  <c r="GR52" i="9"/>
  <c r="GR1" i="9"/>
  <c r="GR52" i="8"/>
  <c r="GR143" i="7"/>
  <c r="GR135" i="7"/>
  <c r="GR1" i="8"/>
  <c r="GR138" i="7"/>
  <c r="GR141" i="7"/>
  <c r="GR129" i="7"/>
  <c r="GR121" i="7"/>
  <c r="GR148" i="7"/>
  <c r="GR132" i="7"/>
  <c r="GR124" i="7"/>
  <c r="GR131" i="7"/>
  <c r="GR125" i="7"/>
  <c r="GR111" i="7"/>
  <c r="GR103" i="7"/>
  <c r="GR122" i="7"/>
  <c r="GR114" i="7"/>
  <c r="GR106" i="7"/>
  <c r="GR134" i="7"/>
  <c r="GR140" i="7"/>
  <c r="GR139" i="7"/>
  <c r="GR136" i="7"/>
  <c r="GR133" i="7"/>
  <c r="GR144" i="7"/>
  <c r="GR142" i="7"/>
  <c r="GR137" i="7"/>
  <c r="GR117" i="7"/>
  <c r="GR113" i="7"/>
  <c r="GR105" i="7"/>
  <c r="GR107" i="7"/>
  <c r="GR91" i="7"/>
  <c r="GR94" i="7"/>
  <c r="GR86" i="7"/>
  <c r="GR130" i="7"/>
  <c r="GR128" i="7"/>
  <c r="GR119" i="7"/>
  <c r="GR126" i="7"/>
  <c r="GR123" i="7"/>
  <c r="GR127" i="7"/>
  <c r="GR120" i="7"/>
  <c r="GR108" i="7"/>
  <c r="GR104" i="7"/>
  <c r="GR101" i="7"/>
  <c r="GR93" i="7"/>
  <c r="GR109" i="7"/>
  <c r="GR95" i="7"/>
  <c r="GR83" i="7"/>
  <c r="GR75" i="7"/>
  <c r="GR67" i="7"/>
  <c r="GR110" i="7"/>
  <c r="GR99" i="7"/>
  <c r="GR78" i="7"/>
  <c r="GR70" i="7"/>
  <c r="GR116" i="7"/>
  <c r="GR112" i="7"/>
  <c r="GR118" i="7"/>
  <c r="GR115" i="7"/>
  <c r="GR96" i="7"/>
  <c r="GR92" i="7"/>
  <c r="GR85" i="7"/>
  <c r="GR77" i="7"/>
  <c r="GR69" i="7"/>
  <c r="GR100" i="7"/>
  <c r="GR71" i="7"/>
  <c r="GR102" i="7"/>
  <c r="GR88" i="7"/>
  <c r="GR82" i="7"/>
  <c r="GR98" i="7"/>
  <c r="GR84" i="7"/>
  <c r="GR97" i="7"/>
  <c r="GR90" i="7"/>
  <c r="GR74" i="7"/>
  <c r="GR87" i="7"/>
  <c r="GR76" i="7"/>
  <c r="GR81" i="7"/>
  <c r="GR55" i="7"/>
  <c r="GR47" i="7"/>
  <c r="GR39" i="7"/>
  <c r="GR31" i="7"/>
  <c r="GR23" i="7"/>
  <c r="GR89" i="7"/>
  <c r="GR58" i="7"/>
  <c r="GR50" i="7"/>
  <c r="GR42" i="7"/>
  <c r="GR34" i="7"/>
  <c r="GR26" i="7"/>
  <c r="GR72" i="7"/>
  <c r="GR68" i="7"/>
  <c r="GR66" i="7"/>
  <c r="GR65" i="7"/>
  <c r="GR79" i="7"/>
  <c r="GR80" i="7"/>
  <c r="GR73" i="7"/>
  <c r="GR64" i="7"/>
  <c r="GR57" i="7"/>
  <c r="GR49" i="7"/>
  <c r="GR41" i="7"/>
  <c r="GR63" i="7"/>
  <c r="GR53" i="7"/>
  <c r="GR46" i="7"/>
  <c r="GR45" i="7"/>
  <c r="GR38" i="7"/>
  <c r="GR60" i="7"/>
  <c r="GR51" i="7"/>
  <c r="GR36" i="7"/>
  <c r="GR22" i="7"/>
  <c r="GR14" i="7"/>
  <c r="GR6" i="7"/>
  <c r="GR62" i="7"/>
  <c r="GR61" i="7"/>
  <c r="GR56" i="7"/>
  <c r="GR54" i="7"/>
  <c r="GR43" i="7"/>
  <c r="GR17" i="7"/>
  <c r="GR9" i="7"/>
  <c r="GR44" i="7"/>
  <c r="GR59" i="7"/>
  <c r="GR48" i="7"/>
  <c r="GR37" i="7"/>
  <c r="GR33" i="7"/>
  <c r="GR30" i="7"/>
  <c r="GR16" i="7"/>
  <c r="GR8" i="7"/>
  <c r="GR20" i="7"/>
  <c r="GR13" i="7"/>
  <c r="GR40" i="7"/>
  <c r="GR35" i="7"/>
  <c r="GR27" i="7"/>
  <c r="GR12" i="7"/>
  <c r="GR5" i="7"/>
  <c r="GR52" i="7"/>
  <c r="GR4" i="7"/>
  <c r="GR28" i="7"/>
  <c r="GR19" i="7"/>
  <c r="GR15" i="7"/>
  <c r="GR32" i="7"/>
  <c r="GR25" i="7"/>
  <c r="GR11" i="7"/>
  <c r="GR7" i="7"/>
  <c r="GR29" i="7"/>
  <c r="GR18" i="7"/>
  <c r="GR10" i="7"/>
  <c r="IF52" i="9"/>
  <c r="IF1" i="9"/>
  <c r="IF52" i="8"/>
  <c r="IF143" i="7"/>
  <c r="IF135" i="7"/>
  <c r="IF138" i="7"/>
  <c r="IF148" i="7"/>
  <c r="IF129" i="7"/>
  <c r="IF121" i="7"/>
  <c r="IF144" i="7"/>
  <c r="IF137" i="7"/>
  <c r="IF132" i="7"/>
  <c r="IF124" i="7"/>
  <c r="IF1" i="8"/>
  <c r="IF142" i="7"/>
  <c r="IF136" i="7"/>
  <c r="IF131" i="7"/>
  <c r="IF111" i="7"/>
  <c r="IF103" i="7"/>
  <c r="IF134" i="7"/>
  <c r="IF130" i="7"/>
  <c r="IF114" i="7"/>
  <c r="IF106" i="7"/>
  <c r="IF140" i="7"/>
  <c r="IF139" i="7"/>
  <c r="IF133" i="7"/>
  <c r="IF141" i="7"/>
  <c r="IF128" i="7"/>
  <c r="IF127" i="7"/>
  <c r="IF123" i="7"/>
  <c r="IF113" i="7"/>
  <c r="IF105" i="7"/>
  <c r="IF118" i="7"/>
  <c r="IF101" i="7"/>
  <c r="IF99" i="7"/>
  <c r="IF91" i="7"/>
  <c r="IF126" i="7"/>
  <c r="IF110" i="7"/>
  <c r="IF94" i="7"/>
  <c r="IF86" i="7"/>
  <c r="IF120" i="7"/>
  <c r="IF117" i="7"/>
  <c r="IF116" i="7"/>
  <c r="IF125" i="7"/>
  <c r="IF122" i="7"/>
  <c r="IF115" i="7"/>
  <c r="IF93" i="7"/>
  <c r="IF109" i="7"/>
  <c r="IF107" i="7"/>
  <c r="IF85" i="7"/>
  <c r="IF83" i="7"/>
  <c r="IF75" i="7"/>
  <c r="IF67" i="7"/>
  <c r="IF108" i="7"/>
  <c r="IF98" i="7"/>
  <c r="IF78" i="7"/>
  <c r="IF70" i="7"/>
  <c r="IF112" i="7"/>
  <c r="IF119" i="7"/>
  <c r="IF104" i="7"/>
  <c r="IF77" i="7"/>
  <c r="IF69" i="7"/>
  <c r="IF82" i="7"/>
  <c r="IF92" i="7"/>
  <c r="IF81" i="7"/>
  <c r="IF74" i="7"/>
  <c r="IF100" i="7"/>
  <c r="IF96" i="7"/>
  <c r="IF80" i="7"/>
  <c r="IF76" i="7"/>
  <c r="IF102" i="7"/>
  <c r="IF95" i="7"/>
  <c r="IF90" i="7"/>
  <c r="IF65" i="7"/>
  <c r="IF64" i="7"/>
  <c r="IF63" i="7"/>
  <c r="IF55" i="7"/>
  <c r="IF47" i="7"/>
  <c r="IF39" i="7"/>
  <c r="IF31" i="7"/>
  <c r="IF23" i="7"/>
  <c r="IF87" i="7"/>
  <c r="IF58" i="7"/>
  <c r="IF50" i="7"/>
  <c r="IF42" i="7"/>
  <c r="IF34" i="7"/>
  <c r="IF26" i="7"/>
  <c r="IF89" i="7"/>
  <c r="IF79" i="7"/>
  <c r="IF71" i="7"/>
  <c r="IF66" i="7"/>
  <c r="IF88" i="7"/>
  <c r="IF73" i="7"/>
  <c r="IF97" i="7"/>
  <c r="IF68" i="7"/>
  <c r="IF57" i="7"/>
  <c r="IF49" i="7"/>
  <c r="IF41" i="7"/>
  <c r="IF45" i="7"/>
  <c r="IF38" i="7"/>
  <c r="IF60" i="7"/>
  <c r="IF56" i="7"/>
  <c r="IF37" i="7"/>
  <c r="IF62" i="7"/>
  <c r="IF43" i="7"/>
  <c r="IF53" i="7"/>
  <c r="IF30" i="7"/>
  <c r="IF24" i="7"/>
  <c r="IF22" i="7"/>
  <c r="IF14" i="7"/>
  <c r="IF6" i="7"/>
  <c r="IF54" i="7"/>
  <c r="IF27" i="7"/>
  <c r="IF17" i="7"/>
  <c r="IF9" i="7"/>
  <c r="IF84" i="7"/>
  <c r="IF72" i="7"/>
  <c r="IF44" i="7"/>
  <c r="IF61" i="7"/>
  <c r="IF59" i="7"/>
  <c r="IF48" i="7"/>
  <c r="IF46" i="7"/>
  <c r="IF36" i="7"/>
  <c r="IF16" i="7"/>
  <c r="IF8" i="7"/>
  <c r="IF52" i="7"/>
  <c r="IF12" i="7"/>
  <c r="IF5" i="7"/>
  <c r="IF28" i="7"/>
  <c r="IF4" i="7"/>
  <c r="IF32" i="7"/>
  <c r="IF25" i="7"/>
  <c r="IF19" i="7"/>
  <c r="IF15" i="7"/>
  <c r="IF29" i="7"/>
  <c r="IF11" i="7"/>
  <c r="IF7" i="7"/>
  <c r="IF18" i="7"/>
  <c r="IF10" i="7"/>
  <c r="IF51" i="7"/>
  <c r="IF21" i="7"/>
  <c r="IF2" i="7"/>
  <c r="JT52" i="9"/>
  <c r="JT1" i="9"/>
  <c r="JT52" i="8"/>
  <c r="JT143" i="7"/>
  <c r="JT135" i="7"/>
  <c r="JT138" i="7"/>
  <c r="JT144" i="7"/>
  <c r="JT136" i="7"/>
  <c r="JT129" i="7"/>
  <c r="JT121" i="7"/>
  <c r="JT140" i="7"/>
  <c r="JT132" i="7"/>
  <c r="JT124" i="7"/>
  <c r="JT141" i="7"/>
  <c r="JT131" i="7"/>
  <c r="JT148" i="7"/>
  <c r="JT137" i="7"/>
  <c r="JT134" i="7"/>
  <c r="JT130" i="7"/>
  <c r="JT127" i="7"/>
  <c r="JT123" i="7"/>
  <c r="JT117" i="7"/>
  <c r="JT111" i="7"/>
  <c r="JT103" i="7"/>
  <c r="JT1" i="8"/>
  <c r="JT120" i="7"/>
  <c r="JT114" i="7"/>
  <c r="JT106" i="7"/>
  <c r="JT133" i="7"/>
  <c r="JT139" i="7"/>
  <c r="JT142" i="7"/>
  <c r="JT119" i="7"/>
  <c r="JT113" i="7"/>
  <c r="JT105" i="7"/>
  <c r="JT110" i="7"/>
  <c r="JT91" i="7"/>
  <c r="JT109" i="7"/>
  <c r="JT102" i="7"/>
  <c r="JT100" i="7"/>
  <c r="JT94" i="7"/>
  <c r="JT86" i="7"/>
  <c r="JT128" i="7"/>
  <c r="JT125" i="7"/>
  <c r="JT118" i="7"/>
  <c r="JT116" i="7"/>
  <c r="JT122" i="7"/>
  <c r="JT126" i="7"/>
  <c r="JT107" i="7"/>
  <c r="JT99" i="7"/>
  <c r="JT93" i="7"/>
  <c r="JT98" i="7"/>
  <c r="JT83" i="7"/>
  <c r="JT75" i="7"/>
  <c r="JT67" i="7"/>
  <c r="JT108" i="7"/>
  <c r="JT97" i="7"/>
  <c r="JT90" i="7"/>
  <c r="JT88" i="7"/>
  <c r="JT78" i="7"/>
  <c r="JT70" i="7"/>
  <c r="JT112" i="7"/>
  <c r="JT115" i="7"/>
  <c r="JT104" i="7"/>
  <c r="JT95" i="7"/>
  <c r="JT87" i="7"/>
  <c r="JT77" i="7"/>
  <c r="JT69" i="7"/>
  <c r="JT81" i="7"/>
  <c r="JT74" i="7"/>
  <c r="JT92" i="7"/>
  <c r="JT73" i="7"/>
  <c r="JT66" i="7"/>
  <c r="JT101" i="7"/>
  <c r="JT96" i="7"/>
  <c r="JT72" i="7"/>
  <c r="JT68" i="7"/>
  <c r="JT89" i="7"/>
  <c r="JT85" i="7"/>
  <c r="JT76" i="7"/>
  <c r="JT79" i="7"/>
  <c r="JT55" i="7"/>
  <c r="JT47" i="7"/>
  <c r="JT39" i="7"/>
  <c r="JT31" i="7"/>
  <c r="JT23" i="7"/>
  <c r="JT82" i="7"/>
  <c r="JT58" i="7"/>
  <c r="JT50" i="7"/>
  <c r="JT42" i="7"/>
  <c r="JT34" i="7"/>
  <c r="JT26" i="7"/>
  <c r="JT64" i="7"/>
  <c r="JT63" i="7"/>
  <c r="JT62" i="7"/>
  <c r="JT80" i="7"/>
  <c r="JT71" i="7"/>
  <c r="JT84" i="7"/>
  <c r="JT65" i="7"/>
  <c r="JT57" i="7"/>
  <c r="JT49" i="7"/>
  <c r="JT41" i="7"/>
  <c r="JT60" i="7"/>
  <c r="JT56" i="7"/>
  <c r="JT37" i="7"/>
  <c r="JT52" i="7"/>
  <c r="JT48" i="7"/>
  <c r="JT33" i="7"/>
  <c r="JT61" i="7"/>
  <c r="JT54" i="7"/>
  <c r="JT35" i="7"/>
  <c r="JT53" i="7"/>
  <c r="JT22" i="7"/>
  <c r="JT14" i="7"/>
  <c r="JT6" i="7"/>
  <c r="JT17" i="7"/>
  <c r="JT9" i="7"/>
  <c r="JT44" i="7"/>
  <c r="JT43" i="7"/>
  <c r="JT45" i="7"/>
  <c r="JT59" i="7"/>
  <c r="JT46" i="7"/>
  <c r="JT36" i="7"/>
  <c r="JT32" i="7"/>
  <c r="JT28" i="7"/>
  <c r="JT16" i="7"/>
  <c r="JT8" i="7"/>
  <c r="JT29" i="7"/>
  <c r="JT4" i="7"/>
  <c r="JT38" i="7"/>
  <c r="JT19" i="7"/>
  <c r="JT15" i="7"/>
  <c r="JT30" i="7"/>
  <c r="JT11" i="7"/>
  <c r="JT7" i="7"/>
  <c r="JT27" i="7"/>
  <c r="JT18" i="7"/>
  <c r="JT51" i="7"/>
  <c r="JT24" i="7"/>
  <c r="JT10" i="7"/>
  <c r="JT40" i="7"/>
  <c r="JT21" i="7"/>
  <c r="JT20" i="7"/>
  <c r="JT13" i="7"/>
  <c r="Q52" i="9"/>
  <c r="Q1" i="9"/>
  <c r="Q52" i="8"/>
  <c r="Q138" i="7"/>
  <c r="Q141" i="7"/>
  <c r="Q148" i="7"/>
  <c r="Q140" i="7"/>
  <c r="Q137" i="7"/>
  <c r="Q132" i="7"/>
  <c r="Q124" i="7"/>
  <c r="Q142" i="7"/>
  <c r="Q135" i="7"/>
  <c r="Q127" i="7"/>
  <c r="Q1" i="8"/>
  <c r="Q134" i="7"/>
  <c r="Q136" i="7"/>
  <c r="Q128" i="7"/>
  <c r="Q114" i="7"/>
  <c r="Q106" i="7"/>
  <c r="Q125" i="7"/>
  <c r="Q121" i="7"/>
  <c r="Q117" i="7"/>
  <c r="Q109" i="7"/>
  <c r="Q101" i="7"/>
  <c r="Q139" i="7"/>
  <c r="Q144" i="7"/>
  <c r="Q143" i="7"/>
  <c r="Q133" i="7"/>
  <c r="Q120" i="7"/>
  <c r="Q116" i="7"/>
  <c r="Q108" i="7"/>
  <c r="Q104" i="7"/>
  <c r="Q94" i="7"/>
  <c r="Q86" i="7"/>
  <c r="Q126" i="7"/>
  <c r="Q115" i="7"/>
  <c r="Q97" i="7"/>
  <c r="Q89" i="7"/>
  <c r="Q130" i="7"/>
  <c r="Q129" i="7"/>
  <c r="Q123" i="7"/>
  <c r="Q131" i="7"/>
  <c r="Q118" i="7"/>
  <c r="Q122" i="7"/>
  <c r="Q119" i="7"/>
  <c r="Q113" i="7"/>
  <c r="Q100" i="7"/>
  <c r="Q96" i="7"/>
  <c r="Q102" i="7"/>
  <c r="Q92" i="7"/>
  <c r="Q78" i="7"/>
  <c r="Q70" i="7"/>
  <c r="Q111" i="7"/>
  <c r="Q110" i="7"/>
  <c r="Q81" i="7"/>
  <c r="Q73" i="7"/>
  <c r="Q65" i="7"/>
  <c r="Q112" i="7"/>
  <c r="Q107" i="7"/>
  <c r="Q105" i="7"/>
  <c r="Q88" i="7"/>
  <c r="Q80" i="7"/>
  <c r="Q72" i="7"/>
  <c r="Q103" i="7"/>
  <c r="Q68" i="7"/>
  <c r="Q95" i="7"/>
  <c r="Q93" i="7"/>
  <c r="Q83" i="7"/>
  <c r="Q79" i="7"/>
  <c r="Q99" i="7"/>
  <c r="Q98" i="7"/>
  <c r="Q74" i="7"/>
  <c r="Q75" i="7"/>
  <c r="Q76" i="7"/>
  <c r="Q77" i="7"/>
  <c r="Q85" i="7"/>
  <c r="Q82" i="7"/>
  <c r="Q58" i="7"/>
  <c r="Q50" i="7"/>
  <c r="Q42" i="7"/>
  <c r="Q34" i="7"/>
  <c r="Q26" i="7"/>
  <c r="Q69" i="7"/>
  <c r="Q67" i="7"/>
  <c r="Q61" i="7"/>
  <c r="Q53" i="7"/>
  <c r="Q45" i="7"/>
  <c r="Q37" i="7"/>
  <c r="Q29" i="7"/>
  <c r="Q90" i="7"/>
  <c r="Q87" i="7"/>
  <c r="Q64" i="7"/>
  <c r="Q84" i="7"/>
  <c r="Q71" i="7"/>
  <c r="Q66" i="7"/>
  <c r="Q60" i="7"/>
  <c r="Q52" i="7"/>
  <c r="Q44" i="7"/>
  <c r="Q36" i="7"/>
  <c r="Q62" i="7"/>
  <c r="Q47" i="7"/>
  <c r="Q43" i="7"/>
  <c r="Q54" i="7"/>
  <c r="Q39" i="7"/>
  <c r="Q35" i="7"/>
  <c r="Q63" i="7"/>
  <c r="Q48" i="7"/>
  <c r="Q41" i="7"/>
  <c r="Q27" i="7"/>
  <c r="Q17" i="7"/>
  <c r="Q9" i="7"/>
  <c r="Q56" i="7"/>
  <c r="Q55" i="7"/>
  <c r="Q20" i="7"/>
  <c r="Q12" i="7"/>
  <c r="Q4" i="7"/>
  <c r="Q57" i="7"/>
  <c r="Q46" i="7"/>
  <c r="Q91" i="7"/>
  <c r="Q59" i="7"/>
  <c r="Q49" i="7"/>
  <c r="Q38" i="7"/>
  <c r="Q51" i="7"/>
  <c r="Q40" i="7"/>
  <c r="Q33" i="7"/>
  <c r="Q19" i="7"/>
  <c r="Q11" i="7"/>
  <c r="Q3" i="7"/>
  <c r="Q31" i="7"/>
  <c r="Q14" i="7"/>
  <c r="Q10" i="7"/>
  <c r="Q28" i="7"/>
  <c r="Q21" i="7"/>
  <c r="Q6" i="7"/>
  <c r="Q2" i="7"/>
  <c r="Q32" i="7"/>
  <c r="Q13" i="7"/>
  <c r="Q24" i="7"/>
  <c r="Q5" i="7"/>
  <c r="Q23" i="7"/>
  <c r="Q16" i="7"/>
  <c r="Q15" i="7"/>
  <c r="Q30" i="7"/>
  <c r="Q7" i="7"/>
  <c r="BE52" i="9"/>
  <c r="BE1" i="9"/>
  <c r="BE52" i="8"/>
  <c r="BE138" i="7"/>
  <c r="BE141" i="7"/>
  <c r="BE148" i="7"/>
  <c r="BE140" i="7"/>
  <c r="BE142" i="7"/>
  <c r="BE132" i="7"/>
  <c r="BE124" i="7"/>
  <c r="BE135" i="7"/>
  <c r="BE127" i="7"/>
  <c r="BE143" i="7"/>
  <c r="BE139" i="7"/>
  <c r="BE134" i="7"/>
  <c r="BE137" i="7"/>
  <c r="BE120" i="7"/>
  <c r="BE119" i="7"/>
  <c r="BE114" i="7"/>
  <c r="BE106" i="7"/>
  <c r="BE117" i="7"/>
  <c r="BE109" i="7"/>
  <c r="BE101" i="7"/>
  <c r="BE1" i="8"/>
  <c r="BE136" i="7"/>
  <c r="BE144" i="7"/>
  <c r="BE129" i="7"/>
  <c r="BE126" i="7"/>
  <c r="BE116" i="7"/>
  <c r="BE108" i="7"/>
  <c r="BE115" i="7"/>
  <c r="BE100" i="7"/>
  <c r="BE94" i="7"/>
  <c r="BE86" i="7"/>
  <c r="BE111" i="7"/>
  <c r="BE107" i="7"/>
  <c r="BE97" i="7"/>
  <c r="BE89" i="7"/>
  <c r="BE130" i="7"/>
  <c r="BE128" i="7"/>
  <c r="BE121" i="7"/>
  <c r="BE131" i="7"/>
  <c r="BE125" i="7"/>
  <c r="BE122" i="7"/>
  <c r="BE118" i="7"/>
  <c r="BE133" i="7"/>
  <c r="BE112" i="7"/>
  <c r="BE105" i="7"/>
  <c r="BE96" i="7"/>
  <c r="BE88" i="7"/>
  <c r="BE78" i="7"/>
  <c r="BE70" i="7"/>
  <c r="BE110" i="7"/>
  <c r="BE99" i="7"/>
  <c r="BE95" i="7"/>
  <c r="BE81" i="7"/>
  <c r="BE73" i="7"/>
  <c r="BE65" i="7"/>
  <c r="BE113" i="7"/>
  <c r="BE123" i="7"/>
  <c r="BE102" i="7"/>
  <c r="BE93" i="7"/>
  <c r="BE85" i="7"/>
  <c r="BE80" i="7"/>
  <c r="BE72" i="7"/>
  <c r="BE92" i="7"/>
  <c r="BE83" i="7"/>
  <c r="BE79" i="7"/>
  <c r="BE104" i="7"/>
  <c r="BE87" i="7"/>
  <c r="BE75" i="7"/>
  <c r="BE71" i="7"/>
  <c r="BE98" i="7"/>
  <c r="BE74" i="7"/>
  <c r="BE76" i="7"/>
  <c r="BE77" i="7"/>
  <c r="BE103" i="7"/>
  <c r="BE91" i="7"/>
  <c r="BE67" i="7"/>
  <c r="BE58" i="7"/>
  <c r="BE50" i="7"/>
  <c r="BE42" i="7"/>
  <c r="BE34" i="7"/>
  <c r="BE26" i="7"/>
  <c r="BE61" i="7"/>
  <c r="BE53" i="7"/>
  <c r="BE45" i="7"/>
  <c r="BE37" i="7"/>
  <c r="BE29" i="7"/>
  <c r="BE90" i="7"/>
  <c r="BE84" i="7"/>
  <c r="BE69" i="7"/>
  <c r="BE68" i="7"/>
  <c r="BE64" i="7"/>
  <c r="BE63" i="7"/>
  <c r="BE82" i="7"/>
  <c r="BE66" i="7"/>
  <c r="BE60" i="7"/>
  <c r="BE52" i="7"/>
  <c r="BE44" i="7"/>
  <c r="BE36" i="7"/>
  <c r="BE54" i="7"/>
  <c r="BE39" i="7"/>
  <c r="BE35" i="7"/>
  <c r="BE46" i="7"/>
  <c r="BE59" i="7"/>
  <c r="BE40" i="7"/>
  <c r="BE41" i="7"/>
  <c r="BE33" i="7"/>
  <c r="BE24" i="7"/>
  <c r="BE17" i="7"/>
  <c r="BE9" i="7"/>
  <c r="BE56" i="7"/>
  <c r="BE55" i="7"/>
  <c r="BE43" i="7"/>
  <c r="BE30" i="7"/>
  <c r="BE20" i="7"/>
  <c r="BE12" i="7"/>
  <c r="BE4" i="7"/>
  <c r="BE57" i="7"/>
  <c r="BE48" i="7"/>
  <c r="BE47" i="7"/>
  <c r="BE62" i="7"/>
  <c r="BE49" i="7"/>
  <c r="BE38" i="7"/>
  <c r="BE51" i="7"/>
  <c r="BE19" i="7"/>
  <c r="BE11" i="7"/>
  <c r="BE3" i="7"/>
  <c r="BE32" i="7"/>
  <c r="BE21" i="7"/>
  <c r="BE6" i="7"/>
  <c r="BE2" i="7"/>
  <c r="BE13" i="7"/>
  <c r="BE25" i="7"/>
  <c r="BE5" i="7"/>
  <c r="BE27" i="7"/>
  <c r="BE23" i="7"/>
  <c r="BE16" i="7"/>
  <c r="BE15" i="7"/>
  <c r="BE8" i="7"/>
  <c r="BE31" i="7"/>
  <c r="BE22" i="7"/>
  <c r="BE18" i="7"/>
  <c r="CC52" i="9"/>
  <c r="CC1" i="9"/>
  <c r="CC52" i="8"/>
  <c r="CC138" i="7"/>
  <c r="CC141" i="7"/>
  <c r="CC148" i="7"/>
  <c r="CC140" i="7"/>
  <c r="CC1" i="8"/>
  <c r="CC137" i="7"/>
  <c r="CC132" i="7"/>
  <c r="CC124" i="7"/>
  <c r="CC142" i="7"/>
  <c r="CC135" i="7"/>
  <c r="CC127" i="7"/>
  <c r="CC134" i="7"/>
  <c r="CC114" i="7"/>
  <c r="CC106" i="7"/>
  <c r="CC139" i="7"/>
  <c r="CC128" i="7"/>
  <c r="CC125" i="7"/>
  <c r="CC121" i="7"/>
  <c r="CC117" i="7"/>
  <c r="CC109" i="7"/>
  <c r="CC101" i="7"/>
  <c r="CC144" i="7"/>
  <c r="CC143" i="7"/>
  <c r="CC133" i="7"/>
  <c r="CC120" i="7"/>
  <c r="CC116" i="7"/>
  <c r="CC108" i="7"/>
  <c r="CC136" i="7"/>
  <c r="CC122" i="7"/>
  <c r="CC118" i="7"/>
  <c r="CC104" i="7"/>
  <c r="CC94" i="7"/>
  <c r="CC86" i="7"/>
  <c r="CC130" i="7"/>
  <c r="CC129" i="7"/>
  <c r="CC115" i="7"/>
  <c r="CC97" i="7"/>
  <c r="CC89" i="7"/>
  <c r="CC131" i="7"/>
  <c r="CC126" i="7"/>
  <c r="CC119" i="7"/>
  <c r="CC123" i="7"/>
  <c r="CC113" i="7"/>
  <c r="CC100" i="7"/>
  <c r="CC96" i="7"/>
  <c r="CC111" i="7"/>
  <c r="CC110" i="7"/>
  <c r="CC92" i="7"/>
  <c r="CC78" i="7"/>
  <c r="CC70" i="7"/>
  <c r="CC112" i="7"/>
  <c r="CC85" i="7"/>
  <c r="CC81" i="7"/>
  <c r="CC73" i="7"/>
  <c r="CC65" i="7"/>
  <c r="CC88" i="7"/>
  <c r="CC80" i="7"/>
  <c r="CC72" i="7"/>
  <c r="CC103" i="7"/>
  <c r="CC95" i="7"/>
  <c r="CC93" i="7"/>
  <c r="CC68" i="7"/>
  <c r="CC107" i="7"/>
  <c r="CC105" i="7"/>
  <c r="CC83" i="7"/>
  <c r="CC79" i="7"/>
  <c r="CC74" i="7"/>
  <c r="CC98" i="7"/>
  <c r="CC76" i="7"/>
  <c r="CC77" i="7"/>
  <c r="CC99" i="7"/>
  <c r="CC90" i="7"/>
  <c r="CC82" i="7"/>
  <c r="CC75" i="7"/>
  <c r="CC58" i="7"/>
  <c r="CC50" i="7"/>
  <c r="CC42" i="7"/>
  <c r="CC34" i="7"/>
  <c r="CC26" i="7"/>
  <c r="CC61" i="7"/>
  <c r="CC53" i="7"/>
  <c r="CC45" i="7"/>
  <c r="CC37" i="7"/>
  <c r="CC29" i="7"/>
  <c r="CC64" i="7"/>
  <c r="CC69" i="7"/>
  <c r="CC102" i="7"/>
  <c r="CC66" i="7"/>
  <c r="CC91" i="7"/>
  <c r="CC87" i="7"/>
  <c r="CC84" i="7"/>
  <c r="CC60" i="7"/>
  <c r="CC52" i="7"/>
  <c r="CC44" i="7"/>
  <c r="CC36" i="7"/>
  <c r="CC62" i="7"/>
  <c r="CC47" i="7"/>
  <c r="CC43" i="7"/>
  <c r="CC71" i="7"/>
  <c r="CC54" i="7"/>
  <c r="CC39" i="7"/>
  <c r="CC35" i="7"/>
  <c r="CC48" i="7"/>
  <c r="CC41" i="7"/>
  <c r="CC56" i="7"/>
  <c r="CC55" i="7"/>
  <c r="CC27" i="7"/>
  <c r="CC17" i="7"/>
  <c r="CC9" i="7"/>
  <c r="CC57" i="7"/>
  <c r="CC46" i="7"/>
  <c r="CC20" i="7"/>
  <c r="CC12" i="7"/>
  <c r="CC4" i="7"/>
  <c r="CC59" i="7"/>
  <c r="CC67" i="7"/>
  <c r="CC49" i="7"/>
  <c r="CC38" i="7"/>
  <c r="CC63" i="7"/>
  <c r="CC51" i="7"/>
  <c r="CC40" i="7"/>
  <c r="CC33" i="7"/>
  <c r="CC19" i="7"/>
  <c r="CC11" i="7"/>
  <c r="CC3" i="7"/>
  <c r="CC30" i="7"/>
  <c r="CC24" i="7"/>
  <c r="CC14" i="7"/>
  <c r="CC10" i="7"/>
  <c r="CC21" i="7"/>
  <c r="CC6" i="7"/>
  <c r="CC2" i="7"/>
  <c r="CC31" i="7"/>
  <c r="CC13" i="7"/>
  <c r="CC28" i="7"/>
  <c r="CC5" i="7"/>
  <c r="CC32" i="7"/>
  <c r="CC25" i="7"/>
  <c r="CC23" i="7"/>
  <c r="CC16" i="7"/>
  <c r="CC15" i="7"/>
  <c r="CC7" i="7"/>
  <c r="CS52" i="9"/>
  <c r="CS1" i="9"/>
  <c r="CS52" i="8"/>
  <c r="CS138" i="7"/>
  <c r="CS141" i="7"/>
  <c r="CS1" i="8"/>
  <c r="CS148" i="7"/>
  <c r="CS140" i="7"/>
  <c r="CS132" i="7"/>
  <c r="CS124" i="7"/>
  <c r="CS135" i="7"/>
  <c r="CS127" i="7"/>
  <c r="CS134" i="7"/>
  <c r="CS126" i="7"/>
  <c r="CS114" i="7"/>
  <c r="CS106" i="7"/>
  <c r="CS131" i="7"/>
  <c r="CS123" i="7"/>
  <c r="CS117" i="7"/>
  <c r="CS109" i="7"/>
  <c r="CS101" i="7"/>
  <c r="CS139" i="7"/>
  <c r="CS144" i="7"/>
  <c r="CS142" i="7"/>
  <c r="CS143" i="7"/>
  <c r="CS137" i="7"/>
  <c r="CS122" i="7"/>
  <c r="CS116" i="7"/>
  <c r="CS108" i="7"/>
  <c r="CS121" i="7"/>
  <c r="CS111" i="7"/>
  <c r="CS107" i="7"/>
  <c r="CS94" i="7"/>
  <c r="CS86" i="7"/>
  <c r="CS125" i="7"/>
  <c r="CS103" i="7"/>
  <c r="CS97" i="7"/>
  <c r="CS89" i="7"/>
  <c r="CS130" i="7"/>
  <c r="CS128" i="7"/>
  <c r="CS129" i="7"/>
  <c r="CS119" i="7"/>
  <c r="CS120" i="7"/>
  <c r="CS133" i="7"/>
  <c r="CS136" i="7"/>
  <c r="CS104" i="7"/>
  <c r="CS102" i="7"/>
  <c r="CS96" i="7"/>
  <c r="CS118" i="7"/>
  <c r="CS99" i="7"/>
  <c r="CS95" i="7"/>
  <c r="CS78" i="7"/>
  <c r="CS70" i="7"/>
  <c r="CS110" i="7"/>
  <c r="CS91" i="7"/>
  <c r="CS81" i="7"/>
  <c r="CS73" i="7"/>
  <c r="CS65" i="7"/>
  <c r="CS112" i="7"/>
  <c r="CS113" i="7"/>
  <c r="CS115" i="7"/>
  <c r="CS100" i="7"/>
  <c r="CS92" i="7"/>
  <c r="CS80" i="7"/>
  <c r="CS72" i="7"/>
  <c r="CS105" i="7"/>
  <c r="CS88" i="7"/>
  <c r="CS75" i="7"/>
  <c r="CS71" i="7"/>
  <c r="CS82" i="7"/>
  <c r="CS67" i="7"/>
  <c r="CS98" i="7"/>
  <c r="CS84" i="7"/>
  <c r="CS77" i="7"/>
  <c r="CS93" i="7"/>
  <c r="CS87" i="7"/>
  <c r="CS74" i="7"/>
  <c r="CS90" i="7"/>
  <c r="CS76" i="7"/>
  <c r="CS85" i="7"/>
  <c r="CS83" i="7"/>
  <c r="CS58" i="7"/>
  <c r="CS50" i="7"/>
  <c r="CS42" i="7"/>
  <c r="CS34" i="7"/>
  <c r="CS26" i="7"/>
  <c r="CS63" i="7"/>
  <c r="CS61" i="7"/>
  <c r="CS53" i="7"/>
  <c r="CS45" i="7"/>
  <c r="CS37" i="7"/>
  <c r="CS29" i="7"/>
  <c r="CS79" i="7"/>
  <c r="CS69" i="7"/>
  <c r="CS66" i="7"/>
  <c r="CS68" i="7"/>
  <c r="CS64" i="7"/>
  <c r="CS60" i="7"/>
  <c r="CS52" i="7"/>
  <c r="CS44" i="7"/>
  <c r="CS36" i="7"/>
  <c r="CS46" i="7"/>
  <c r="CS57" i="7"/>
  <c r="CS38" i="7"/>
  <c r="CS55" i="7"/>
  <c r="CS51" i="7"/>
  <c r="CS62" i="7"/>
  <c r="CS41" i="7"/>
  <c r="CS17" i="7"/>
  <c r="CS9" i="7"/>
  <c r="CS56" i="7"/>
  <c r="CS54" i="7"/>
  <c r="CS43" i="7"/>
  <c r="CS20" i="7"/>
  <c r="CS12" i="7"/>
  <c r="CS4" i="7"/>
  <c r="CS59" i="7"/>
  <c r="CS48" i="7"/>
  <c r="CS47" i="7"/>
  <c r="CS49" i="7"/>
  <c r="CS31" i="7"/>
  <c r="CS19" i="7"/>
  <c r="CS11" i="7"/>
  <c r="CS3" i="7"/>
  <c r="CS30" i="7"/>
  <c r="CS24" i="7"/>
  <c r="CS13" i="7"/>
  <c r="CS27" i="7"/>
  <c r="CS5" i="7"/>
  <c r="CS35" i="7"/>
  <c r="CS23" i="7"/>
  <c r="CS16" i="7"/>
  <c r="CS15" i="7"/>
  <c r="CS8" i="7"/>
  <c r="CS39" i="7"/>
  <c r="CS28" i="7"/>
  <c r="CS25" i="7"/>
  <c r="CS7" i="7"/>
  <c r="CS32" i="7"/>
  <c r="CS22" i="7"/>
  <c r="CS18" i="7"/>
  <c r="CS40" i="7"/>
  <c r="CS14" i="7"/>
  <c r="CS10" i="7"/>
  <c r="EG52" i="9"/>
  <c r="EG1" i="9"/>
  <c r="EG52" i="8"/>
  <c r="EG1" i="8"/>
  <c r="EG138" i="7"/>
  <c r="EG141" i="7"/>
  <c r="EG148" i="7"/>
  <c r="EG140" i="7"/>
  <c r="EG132" i="7"/>
  <c r="EG124" i="7"/>
  <c r="EG144" i="7"/>
  <c r="EG135" i="7"/>
  <c r="EG127" i="7"/>
  <c r="EG142" i="7"/>
  <c r="EG137" i="7"/>
  <c r="EG134" i="7"/>
  <c r="EG136" i="7"/>
  <c r="EG131" i="7"/>
  <c r="EG122" i="7"/>
  <c r="EG114" i="7"/>
  <c r="EG106" i="7"/>
  <c r="EG130" i="7"/>
  <c r="EG109" i="7"/>
  <c r="EG101" i="7"/>
  <c r="EG139" i="7"/>
  <c r="EG133" i="7"/>
  <c r="EG143" i="7"/>
  <c r="EG128" i="7"/>
  <c r="EG116" i="7"/>
  <c r="EG108" i="7"/>
  <c r="EG126" i="7"/>
  <c r="EG103" i="7"/>
  <c r="EG102" i="7"/>
  <c r="EG94" i="7"/>
  <c r="EG86" i="7"/>
  <c r="EG123" i="7"/>
  <c r="EG118" i="7"/>
  <c r="EG110" i="7"/>
  <c r="EG97" i="7"/>
  <c r="EG89" i="7"/>
  <c r="EG120" i="7"/>
  <c r="EG129" i="7"/>
  <c r="EG119" i="7"/>
  <c r="EG121" i="7"/>
  <c r="EG125" i="7"/>
  <c r="EG115" i="7"/>
  <c r="EG96" i="7"/>
  <c r="EG107" i="7"/>
  <c r="EG91" i="7"/>
  <c r="EG85" i="7"/>
  <c r="EG78" i="7"/>
  <c r="EG70" i="7"/>
  <c r="EG117" i="7"/>
  <c r="EG98" i="7"/>
  <c r="EG87" i="7"/>
  <c r="EG81" i="7"/>
  <c r="EG73" i="7"/>
  <c r="EG65" i="7"/>
  <c r="EG112" i="7"/>
  <c r="EG111" i="7"/>
  <c r="EG113" i="7"/>
  <c r="EG104" i="7"/>
  <c r="EG80" i="7"/>
  <c r="EG72" i="7"/>
  <c r="EG82" i="7"/>
  <c r="EG67" i="7"/>
  <c r="EG92" i="7"/>
  <c r="EG74" i="7"/>
  <c r="EG105" i="7"/>
  <c r="EG76" i="7"/>
  <c r="EG69" i="7"/>
  <c r="EG88" i="7"/>
  <c r="EG75" i="7"/>
  <c r="EG100" i="7"/>
  <c r="EG90" i="7"/>
  <c r="EG84" i="7"/>
  <c r="EG68" i="7"/>
  <c r="EG64" i="7"/>
  <c r="EG58" i="7"/>
  <c r="EG50" i="7"/>
  <c r="EG42" i="7"/>
  <c r="EG34" i="7"/>
  <c r="EG26" i="7"/>
  <c r="EG61" i="7"/>
  <c r="EG53" i="7"/>
  <c r="EG45" i="7"/>
  <c r="EG37" i="7"/>
  <c r="EG29" i="7"/>
  <c r="EG99" i="7"/>
  <c r="EG79" i="7"/>
  <c r="EG66" i="7"/>
  <c r="EG95" i="7"/>
  <c r="EG93" i="7"/>
  <c r="EG71" i="7"/>
  <c r="EG83" i="7"/>
  <c r="EG77" i="7"/>
  <c r="EG63" i="7"/>
  <c r="EG60" i="7"/>
  <c r="EG52" i="7"/>
  <c r="EG44" i="7"/>
  <c r="EG36" i="7"/>
  <c r="EG57" i="7"/>
  <c r="EG38" i="7"/>
  <c r="EG56" i="7"/>
  <c r="EG49" i="7"/>
  <c r="EG62" i="7"/>
  <c r="EG47" i="7"/>
  <c r="EG43" i="7"/>
  <c r="EG41" i="7"/>
  <c r="EG31" i="7"/>
  <c r="EG17" i="7"/>
  <c r="EG9" i="7"/>
  <c r="EG54" i="7"/>
  <c r="EG32" i="7"/>
  <c r="EG28" i="7"/>
  <c r="EG25" i="7"/>
  <c r="EG20" i="7"/>
  <c r="EG12" i="7"/>
  <c r="EG4" i="7"/>
  <c r="EG55" i="7"/>
  <c r="EG59" i="7"/>
  <c r="EG48" i="7"/>
  <c r="EG46" i="7"/>
  <c r="EG27" i="7"/>
  <c r="EG19" i="7"/>
  <c r="EG11" i="7"/>
  <c r="EG3" i="7"/>
  <c r="EG35" i="7"/>
  <c r="EG5" i="7"/>
  <c r="EG24" i="7"/>
  <c r="EG23" i="7"/>
  <c r="EG16" i="7"/>
  <c r="EG39" i="7"/>
  <c r="EG15" i="7"/>
  <c r="EG8" i="7"/>
  <c r="EG51" i="7"/>
  <c r="EG7" i="7"/>
  <c r="EG40" i="7"/>
  <c r="EG22" i="7"/>
  <c r="EG18" i="7"/>
  <c r="EG14" i="7"/>
  <c r="EG10" i="7"/>
  <c r="EG30" i="7"/>
  <c r="EG21" i="7"/>
  <c r="EG6" i="7"/>
  <c r="EG2" i="7"/>
  <c r="EW52" i="9"/>
  <c r="EW1" i="9"/>
  <c r="EW52" i="8"/>
  <c r="EW138" i="7"/>
  <c r="EW141" i="7"/>
  <c r="EW148" i="7"/>
  <c r="EW140" i="7"/>
  <c r="EW132" i="7"/>
  <c r="EW124" i="7"/>
  <c r="EW135" i="7"/>
  <c r="EW127" i="7"/>
  <c r="EW134" i="7"/>
  <c r="EW144" i="7"/>
  <c r="EW120" i="7"/>
  <c r="EW114" i="7"/>
  <c r="EW106" i="7"/>
  <c r="EW136" i="7"/>
  <c r="EW133" i="7"/>
  <c r="EW109" i="7"/>
  <c r="EW101" i="7"/>
  <c r="EW137" i="7"/>
  <c r="EW139" i="7"/>
  <c r="EW1" i="8"/>
  <c r="EW131" i="7"/>
  <c r="EW126" i="7"/>
  <c r="EW118" i="7"/>
  <c r="EW116" i="7"/>
  <c r="EW108" i="7"/>
  <c r="EW100" i="7"/>
  <c r="EW94" i="7"/>
  <c r="EW86" i="7"/>
  <c r="EW113" i="7"/>
  <c r="EW97" i="7"/>
  <c r="EW89" i="7"/>
  <c r="EW123" i="7"/>
  <c r="EW129" i="7"/>
  <c r="EW128" i="7"/>
  <c r="EW119" i="7"/>
  <c r="EW117" i="7"/>
  <c r="EW142" i="7"/>
  <c r="EW130" i="7"/>
  <c r="EW121" i="7"/>
  <c r="EW125" i="7"/>
  <c r="EW103" i="7"/>
  <c r="EW96" i="7"/>
  <c r="EW105" i="7"/>
  <c r="EW90" i="7"/>
  <c r="EW88" i="7"/>
  <c r="EW78" i="7"/>
  <c r="EW70" i="7"/>
  <c r="EW122" i="7"/>
  <c r="EW102" i="7"/>
  <c r="EW81" i="7"/>
  <c r="EW73" i="7"/>
  <c r="EW65" i="7"/>
  <c r="EW107" i="7"/>
  <c r="EW143" i="7"/>
  <c r="EW112" i="7"/>
  <c r="EW110" i="7"/>
  <c r="EW91" i="7"/>
  <c r="EW80" i="7"/>
  <c r="EW72" i="7"/>
  <c r="EW99" i="7"/>
  <c r="EW66" i="7"/>
  <c r="EW104" i="7"/>
  <c r="EW84" i="7"/>
  <c r="EW77" i="7"/>
  <c r="EW111" i="7"/>
  <c r="EW87" i="7"/>
  <c r="EW83" i="7"/>
  <c r="EW79" i="7"/>
  <c r="EW82" i="7"/>
  <c r="EW71" i="7"/>
  <c r="EW93" i="7"/>
  <c r="EW115" i="7"/>
  <c r="EW63" i="7"/>
  <c r="EW58" i="7"/>
  <c r="EW50" i="7"/>
  <c r="EW42" i="7"/>
  <c r="EW34" i="7"/>
  <c r="EW26" i="7"/>
  <c r="EW61" i="7"/>
  <c r="EW53" i="7"/>
  <c r="EW45" i="7"/>
  <c r="EW37" i="7"/>
  <c r="EW29" i="7"/>
  <c r="EW85" i="7"/>
  <c r="EW69" i="7"/>
  <c r="EW67" i="7"/>
  <c r="EW74" i="7"/>
  <c r="EW68" i="7"/>
  <c r="EW98" i="7"/>
  <c r="EW95" i="7"/>
  <c r="EW64" i="7"/>
  <c r="EW75" i="7"/>
  <c r="EW92" i="7"/>
  <c r="EW60" i="7"/>
  <c r="EW52" i="7"/>
  <c r="EW44" i="7"/>
  <c r="EW36" i="7"/>
  <c r="EW48" i="7"/>
  <c r="EW41" i="7"/>
  <c r="EW59" i="7"/>
  <c r="EW40" i="7"/>
  <c r="EW46" i="7"/>
  <c r="EW51" i="7"/>
  <c r="EW49" i="7"/>
  <c r="EW38" i="7"/>
  <c r="EW17" i="7"/>
  <c r="EW9" i="7"/>
  <c r="EW39" i="7"/>
  <c r="EW30" i="7"/>
  <c r="EW20" i="7"/>
  <c r="EW12" i="7"/>
  <c r="EW4" i="7"/>
  <c r="EW55" i="7"/>
  <c r="EW54" i="7"/>
  <c r="EW43" i="7"/>
  <c r="EW56" i="7"/>
  <c r="EW76" i="7"/>
  <c r="EW57" i="7"/>
  <c r="EW62" i="7"/>
  <c r="EW47" i="7"/>
  <c r="EW35" i="7"/>
  <c r="EW19" i="7"/>
  <c r="EW11" i="7"/>
  <c r="EW3" i="7"/>
  <c r="EW15" i="7"/>
  <c r="EW8" i="7"/>
  <c r="EW33" i="7"/>
  <c r="EW31" i="7"/>
  <c r="EW24" i="7"/>
  <c r="EW7" i="7"/>
  <c r="EW28" i="7"/>
  <c r="EW22" i="7"/>
  <c r="EW18" i="7"/>
  <c r="EW32" i="7"/>
  <c r="EW14" i="7"/>
  <c r="EW10" i="7"/>
  <c r="EW21" i="7"/>
  <c r="EW6" i="7"/>
  <c r="EW25" i="7"/>
  <c r="EW13" i="7"/>
  <c r="EW27" i="7"/>
  <c r="EW5" i="7"/>
  <c r="FE52" i="9"/>
  <c r="FE1" i="9"/>
  <c r="FE52" i="8"/>
  <c r="FE138" i="7"/>
  <c r="FE141" i="7"/>
  <c r="FE1" i="8"/>
  <c r="FE148" i="7"/>
  <c r="FE140" i="7"/>
  <c r="FE132" i="7"/>
  <c r="FE124" i="7"/>
  <c r="FE136" i="7"/>
  <c r="FE135" i="7"/>
  <c r="FE127" i="7"/>
  <c r="FE134" i="7"/>
  <c r="FE137" i="7"/>
  <c r="FE126" i="7"/>
  <c r="FE117" i="7"/>
  <c r="FE114" i="7"/>
  <c r="FE106" i="7"/>
  <c r="FE131" i="7"/>
  <c r="FE123" i="7"/>
  <c r="FE109" i="7"/>
  <c r="FE101" i="7"/>
  <c r="FE139" i="7"/>
  <c r="FE144" i="7"/>
  <c r="FE142" i="7"/>
  <c r="FE133" i="7"/>
  <c r="FE143" i="7"/>
  <c r="FE122" i="7"/>
  <c r="FE116" i="7"/>
  <c r="FE108" i="7"/>
  <c r="FE119" i="7"/>
  <c r="FE111" i="7"/>
  <c r="FE107" i="7"/>
  <c r="FE94" i="7"/>
  <c r="FE86" i="7"/>
  <c r="FE130" i="7"/>
  <c r="FE128" i="7"/>
  <c r="FE103" i="7"/>
  <c r="FE97" i="7"/>
  <c r="FE89" i="7"/>
  <c r="FE129" i="7"/>
  <c r="FE121" i="7"/>
  <c r="FE125" i="7"/>
  <c r="FE118" i="7"/>
  <c r="FE120" i="7"/>
  <c r="FE104" i="7"/>
  <c r="FE102" i="7"/>
  <c r="FE96" i="7"/>
  <c r="FE110" i="7"/>
  <c r="FE100" i="7"/>
  <c r="FE99" i="7"/>
  <c r="FE95" i="7"/>
  <c r="FE78" i="7"/>
  <c r="FE70" i="7"/>
  <c r="FE91" i="7"/>
  <c r="FE81" i="7"/>
  <c r="FE73" i="7"/>
  <c r="FE65" i="7"/>
  <c r="FE112" i="7"/>
  <c r="FE113" i="7"/>
  <c r="FE115" i="7"/>
  <c r="FE105" i="7"/>
  <c r="FE92" i="7"/>
  <c r="FE80" i="7"/>
  <c r="FE72" i="7"/>
  <c r="FE87" i="7"/>
  <c r="FE75" i="7"/>
  <c r="FE71" i="7"/>
  <c r="FE93" i="7"/>
  <c r="FE82" i="7"/>
  <c r="FE67" i="7"/>
  <c r="FE84" i="7"/>
  <c r="FE77" i="7"/>
  <c r="FE76" i="7"/>
  <c r="FE90" i="7"/>
  <c r="FE88" i="7"/>
  <c r="FE98" i="7"/>
  <c r="FE83" i="7"/>
  <c r="FE68" i="7"/>
  <c r="FE58" i="7"/>
  <c r="FE50" i="7"/>
  <c r="FE42" i="7"/>
  <c r="FE34" i="7"/>
  <c r="FE26" i="7"/>
  <c r="FE63" i="7"/>
  <c r="FE61" i="7"/>
  <c r="FE53" i="7"/>
  <c r="FE45" i="7"/>
  <c r="FE37" i="7"/>
  <c r="FE29" i="7"/>
  <c r="FE74" i="7"/>
  <c r="FE66" i="7"/>
  <c r="FE79" i="7"/>
  <c r="FE64" i="7"/>
  <c r="FE60" i="7"/>
  <c r="FE52" i="7"/>
  <c r="FE44" i="7"/>
  <c r="FE36" i="7"/>
  <c r="FE85" i="7"/>
  <c r="FE46" i="7"/>
  <c r="FE57" i="7"/>
  <c r="FE38" i="7"/>
  <c r="FE55" i="7"/>
  <c r="FE51" i="7"/>
  <c r="FE69" i="7"/>
  <c r="FE56" i="7"/>
  <c r="FE54" i="7"/>
  <c r="FE43" i="7"/>
  <c r="FE17" i="7"/>
  <c r="FE9" i="7"/>
  <c r="FE20" i="7"/>
  <c r="FE12" i="7"/>
  <c r="FE4" i="7"/>
  <c r="FE59" i="7"/>
  <c r="FE48" i="7"/>
  <c r="FE47" i="7"/>
  <c r="FE62" i="7"/>
  <c r="FE49" i="7"/>
  <c r="FE40" i="7"/>
  <c r="FE39" i="7"/>
  <c r="FE31" i="7"/>
  <c r="FE19" i="7"/>
  <c r="FE11" i="7"/>
  <c r="FE3" i="7"/>
  <c r="FE13" i="7"/>
  <c r="FE25" i="7"/>
  <c r="FE5" i="7"/>
  <c r="FE35" i="7"/>
  <c r="FE30" i="7"/>
  <c r="FE23" i="7"/>
  <c r="FE16" i="7"/>
  <c r="FE27" i="7"/>
  <c r="FE15" i="7"/>
  <c r="FE8" i="7"/>
  <c r="FE7" i="7"/>
  <c r="FE41" i="7"/>
  <c r="FE33" i="7"/>
  <c r="FE24" i="7"/>
  <c r="FE22" i="7"/>
  <c r="FE18" i="7"/>
  <c r="FE28" i="7"/>
  <c r="FE14" i="7"/>
  <c r="FE10" i="7"/>
  <c r="FU52" i="9"/>
  <c r="FU1" i="9"/>
  <c r="FU52" i="8"/>
  <c r="FU138" i="7"/>
  <c r="FU141" i="7"/>
  <c r="FU148" i="7"/>
  <c r="FU140" i="7"/>
  <c r="FU144" i="7"/>
  <c r="FU137" i="7"/>
  <c r="FU132" i="7"/>
  <c r="FU124" i="7"/>
  <c r="FU135" i="7"/>
  <c r="FU127" i="7"/>
  <c r="FU134" i="7"/>
  <c r="FU130" i="7"/>
  <c r="FU114" i="7"/>
  <c r="FU106" i="7"/>
  <c r="FU125" i="7"/>
  <c r="FU121" i="7"/>
  <c r="FU118" i="7"/>
  <c r="FU109" i="7"/>
  <c r="FU101" i="7"/>
  <c r="FU133" i="7"/>
  <c r="FU139" i="7"/>
  <c r="FU1" i="8"/>
  <c r="FU143" i="7"/>
  <c r="FU142" i="7"/>
  <c r="FU136" i="7"/>
  <c r="FU120" i="7"/>
  <c r="FU116" i="7"/>
  <c r="FU108" i="7"/>
  <c r="FU110" i="7"/>
  <c r="FU94" i="7"/>
  <c r="FU86" i="7"/>
  <c r="FU97" i="7"/>
  <c r="FU89" i="7"/>
  <c r="FU129" i="7"/>
  <c r="FU128" i="7"/>
  <c r="FU122" i="7"/>
  <c r="FU131" i="7"/>
  <c r="FU126" i="7"/>
  <c r="FU117" i="7"/>
  <c r="FU111" i="7"/>
  <c r="FU107" i="7"/>
  <c r="FU100" i="7"/>
  <c r="FU96" i="7"/>
  <c r="FU98" i="7"/>
  <c r="FU78" i="7"/>
  <c r="FU70" i="7"/>
  <c r="FU90" i="7"/>
  <c r="FU81" i="7"/>
  <c r="FU73" i="7"/>
  <c r="FU65" i="7"/>
  <c r="FU119" i="7"/>
  <c r="FU112" i="7"/>
  <c r="FU113" i="7"/>
  <c r="FU115" i="7"/>
  <c r="FU104" i="7"/>
  <c r="FU103" i="7"/>
  <c r="FU99" i="7"/>
  <c r="FU95" i="7"/>
  <c r="FU88" i="7"/>
  <c r="FU80" i="7"/>
  <c r="FU72" i="7"/>
  <c r="FU64" i="7"/>
  <c r="FU105" i="7"/>
  <c r="FU87" i="7"/>
  <c r="FU74" i="7"/>
  <c r="FU92" i="7"/>
  <c r="FU91" i="7"/>
  <c r="FU66" i="7"/>
  <c r="FU85" i="7"/>
  <c r="FU68" i="7"/>
  <c r="FU123" i="7"/>
  <c r="FU102" i="7"/>
  <c r="FU76" i="7"/>
  <c r="FU75" i="7"/>
  <c r="FU67" i="7"/>
  <c r="FU58" i="7"/>
  <c r="FU50" i="7"/>
  <c r="FU42" i="7"/>
  <c r="FU34" i="7"/>
  <c r="FU26" i="7"/>
  <c r="FU79" i="7"/>
  <c r="FU61" i="7"/>
  <c r="FU53" i="7"/>
  <c r="FU45" i="7"/>
  <c r="FU37" i="7"/>
  <c r="FU29" i="7"/>
  <c r="FU82" i="7"/>
  <c r="FU69" i="7"/>
  <c r="FU63" i="7"/>
  <c r="FU83" i="7"/>
  <c r="FU77" i="7"/>
  <c r="FU93" i="7"/>
  <c r="FU84" i="7"/>
  <c r="FU60" i="7"/>
  <c r="FU52" i="7"/>
  <c r="FU44" i="7"/>
  <c r="FU36" i="7"/>
  <c r="FU56" i="7"/>
  <c r="FU49" i="7"/>
  <c r="FU48" i="7"/>
  <c r="FU41" i="7"/>
  <c r="FU71" i="7"/>
  <c r="FU54" i="7"/>
  <c r="FU39" i="7"/>
  <c r="FU35" i="7"/>
  <c r="FU27" i="7"/>
  <c r="FU17" i="7"/>
  <c r="FU9" i="7"/>
  <c r="FU20" i="7"/>
  <c r="FU12" i="7"/>
  <c r="FU4" i="7"/>
  <c r="FU55" i="7"/>
  <c r="FU43" i="7"/>
  <c r="FU59" i="7"/>
  <c r="FU57" i="7"/>
  <c r="FU46" i="7"/>
  <c r="FU47" i="7"/>
  <c r="FU25" i="7"/>
  <c r="FU19" i="7"/>
  <c r="FU11" i="7"/>
  <c r="FU3" i="7"/>
  <c r="FU62" i="7"/>
  <c r="FU23" i="7"/>
  <c r="FU16" i="7"/>
  <c r="FU51" i="7"/>
  <c r="FU15" i="7"/>
  <c r="FU8" i="7"/>
  <c r="FU40" i="7"/>
  <c r="FU7" i="7"/>
  <c r="FU30" i="7"/>
  <c r="FU22" i="7"/>
  <c r="FU18" i="7"/>
  <c r="FU24" i="7"/>
  <c r="FU14" i="7"/>
  <c r="FU10" i="7"/>
  <c r="FU31" i="7"/>
  <c r="FU21" i="7"/>
  <c r="FU38" i="7"/>
  <c r="FU28" i="7"/>
  <c r="FU13" i="7"/>
  <c r="HI52" i="9"/>
  <c r="HI1" i="9"/>
  <c r="HI52" i="8"/>
  <c r="HI138" i="7"/>
  <c r="HI141" i="7"/>
  <c r="HI148" i="7"/>
  <c r="HI140" i="7"/>
  <c r="HI132" i="7"/>
  <c r="HI124" i="7"/>
  <c r="HI1" i="8"/>
  <c r="HI127" i="7"/>
  <c r="HI119" i="7"/>
  <c r="HI134" i="7"/>
  <c r="HI135" i="7"/>
  <c r="HI120" i="7"/>
  <c r="HI114" i="7"/>
  <c r="HI106" i="7"/>
  <c r="HI133" i="7"/>
  <c r="HI109" i="7"/>
  <c r="HI101" i="7"/>
  <c r="HI139" i="7"/>
  <c r="HI136" i="7"/>
  <c r="HI137" i="7"/>
  <c r="HI143" i="7"/>
  <c r="HI142" i="7"/>
  <c r="HI131" i="7"/>
  <c r="HI126" i="7"/>
  <c r="HI118" i="7"/>
  <c r="HI116" i="7"/>
  <c r="HI108" i="7"/>
  <c r="HI125" i="7"/>
  <c r="HI102" i="7"/>
  <c r="HI100" i="7"/>
  <c r="HI94" i="7"/>
  <c r="HI86" i="7"/>
  <c r="HI122" i="7"/>
  <c r="HI117" i="7"/>
  <c r="HI113" i="7"/>
  <c r="HI97" i="7"/>
  <c r="HI89" i="7"/>
  <c r="HI129" i="7"/>
  <c r="HI128" i="7"/>
  <c r="HI130" i="7"/>
  <c r="HI123" i="7"/>
  <c r="HI144" i="7"/>
  <c r="HI103" i="7"/>
  <c r="HI96" i="7"/>
  <c r="HI99" i="7"/>
  <c r="HI90" i="7"/>
  <c r="HI88" i="7"/>
  <c r="HI78" i="7"/>
  <c r="HI70" i="7"/>
  <c r="HI107" i="7"/>
  <c r="HI85" i="7"/>
  <c r="HI81" i="7"/>
  <c r="HI73" i="7"/>
  <c r="HI65" i="7"/>
  <c r="HI112" i="7"/>
  <c r="HI110" i="7"/>
  <c r="HI111" i="7"/>
  <c r="HI121" i="7"/>
  <c r="HI115" i="7"/>
  <c r="HI104" i="7"/>
  <c r="HI91" i="7"/>
  <c r="HI80" i="7"/>
  <c r="HI72" i="7"/>
  <c r="HI64" i="7"/>
  <c r="HI66" i="7"/>
  <c r="HI92" i="7"/>
  <c r="HI84" i="7"/>
  <c r="HI77" i="7"/>
  <c r="HI105" i="7"/>
  <c r="HI95" i="7"/>
  <c r="HI83" i="7"/>
  <c r="HI79" i="7"/>
  <c r="HI93" i="7"/>
  <c r="HI76" i="7"/>
  <c r="HI75" i="7"/>
  <c r="HI74" i="7"/>
  <c r="HI82" i="7"/>
  <c r="HI67" i="7"/>
  <c r="HI58" i="7"/>
  <c r="HI50" i="7"/>
  <c r="HI42" i="7"/>
  <c r="HI34" i="7"/>
  <c r="HI26" i="7"/>
  <c r="HI71" i="7"/>
  <c r="HI63" i="7"/>
  <c r="HI61" i="7"/>
  <c r="HI53" i="7"/>
  <c r="HI45" i="7"/>
  <c r="HI37" i="7"/>
  <c r="HI29" i="7"/>
  <c r="HI69" i="7"/>
  <c r="HI62" i="7"/>
  <c r="HI87" i="7"/>
  <c r="HI68" i="7"/>
  <c r="HI98" i="7"/>
  <c r="HI60" i="7"/>
  <c r="HI52" i="7"/>
  <c r="HI44" i="7"/>
  <c r="HI36" i="7"/>
  <c r="HI48" i="7"/>
  <c r="HI41" i="7"/>
  <c r="HI33" i="7"/>
  <c r="HI59" i="7"/>
  <c r="HI40" i="7"/>
  <c r="HI46" i="7"/>
  <c r="HI39" i="7"/>
  <c r="HI17" i="7"/>
  <c r="HI9" i="7"/>
  <c r="HI30" i="7"/>
  <c r="HI20" i="7"/>
  <c r="HI12" i="7"/>
  <c r="HI4" i="7"/>
  <c r="HI55" i="7"/>
  <c r="HI54" i="7"/>
  <c r="HI43" i="7"/>
  <c r="HI56" i="7"/>
  <c r="HI57" i="7"/>
  <c r="HI47" i="7"/>
  <c r="HI25" i="7"/>
  <c r="HI23" i="7"/>
  <c r="HI19" i="7"/>
  <c r="HI11" i="7"/>
  <c r="HI3" i="7"/>
  <c r="HI27" i="7"/>
  <c r="HI15" i="7"/>
  <c r="HI8" i="7"/>
  <c r="HI7" i="7"/>
  <c r="HI22" i="7"/>
  <c r="HI18" i="7"/>
  <c r="HI49" i="7"/>
  <c r="HI31" i="7"/>
  <c r="HI14" i="7"/>
  <c r="HI10" i="7"/>
  <c r="HI38" i="7"/>
  <c r="HI28" i="7"/>
  <c r="HI21" i="7"/>
  <c r="HI6" i="7"/>
  <c r="HI35" i="7"/>
  <c r="HI32" i="7"/>
  <c r="HI13" i="7"/>
  <c r="HI24" i="7"/>
  <c r="HI5" i="7"/>
  <c r="IW52" i="9"/>
  <c r="IW1" i="9"/>
  <c r="IW52" i="8"/>
  <c r="IW138" i="7"/>
  <c r="IW141" i="7"/>
  <c r="IW1" i="8"/>
  <c r="IW148" i="7"/>
  <c r="IW140" i="7"/>
  <c r="IW132" i="7"/>
  <c r="IW124" i="7"/>
  <c r="IW143" i="7"/>
  <c r="IW139" i="7"/>
  <c r="IW136" i="7"/>
  <c r="IW127" i="7"/>
  <c r="IW119" i="7"/>
  <c r="IW144" i="7"/>
  <c r="IW134" i="7"/>
  <c r="IW133" i="7"/>
  <c r="IW126" i="7"/>
  <c r="IW114" i="7"/>
  <c r="IW106" i="7"/>
  <c r="IW135" i="7"/>
  <c r="IW129" i="7"/>
  <c r="IW123" i="7"/>
  <c r="IW109" i="7"/>
  <c r="IW101" i="7"/>
  <c r="IW137" i="7"/>
  <c r="IW142" i="7"/>
  <c r="IW130" i="7"/>
  <c r="IW122" i="7"/>
  <c r="IW116" i="7"/>
  <c r="IW108" i="7"/>
  <c r="IW113" i="7"/>
  <c r="IW94" i="7"/>
  <c r="IW86" i="7"/>
  <c r="IW120" i="7"/>
  <c r="IW112" i="7"/>
  <c r="IW105" i="7"/>
  <c r="IW99" i="7"/>
  <c r="IW97" i="7"/>
  <c r="IW89" i="7"/>
  <c r="IW128" i="7"/>
  <c r="IW117" i="7"/>
  <c r="IW121" i="7"/>
  <c r="IW131" i="7"/>
  <c r="IW125" i="7"/>
  <c r="IW110" i="7"/>
  <c r="IW96" i="7"/>
  <c r="IW118" i="7"/>
  <c r="IW78" i="7"/>
  <c r="IW70" i="7"/>
  <c r="IW62" i="7"/>
  <c r="IW107" i="7"/>
  <c r="IW93" i="7"/>
  <c r="IW81" i="7"/>
  <c r="IW73" i="7"/>
  <c r="IW65" i="7"/>
  <c r="IW111" i="7"/>
  <c r="IW115" i="7"/>
  <c r="IW104" i="7"/>
  <c r="IW102" i="7"/>
  <c r="IW98" i="7"/>
  <c r="IW80" i="7"/>
  <c r="IW72" i="7"/>
  <c r="IW64" i="7"/>
  <c r="IW84" i="7"/>
  <c r="IW77" i="7"/>
  <c r="IW92" i="7"/>
  <c r="IW90" i="7"/>
  <c r="IW76" i="7"/>
  <c r="IW69" i="7"/>
  <c r="IW95" i="7"/>
  <c r="IW75" i="7"/>
  <c r="IW71" i="7"/>
  <c r="IW85" i="7"/>
  <c r="IW83" i="7"/>
  <c r="IW87" i="7"/>
  <c r="IW74" i="7"/>
  <c r="IW103" i="7"/>
  <c r="IW58" i="7"/>
  <c r="IW50" i="7"/>
  <c r="IW42" i="7"/>
  <c r="IW34" i="7"/>
  <c r="IW26" i="7"/>
  <c r="IW91" i="7"/>
  <c r="IW88" i="7"/>
  <c r="IW61" i="7"/>
  <c r="IW53" i="7"/>
  <c r="IW45" i="7"/>
  <c r="IW37" i="7"/>
  <c r="IW29" i="7"/>
  <c r="IW63" i="7"/>
  <c r="IW100" i="7"/>
  <c r="IW66" i="7"/>
  <c r="IW82" i="7"/>
  <c r="IW79" i="7"/>
  <c r="IW60" i="7"/>
  <c r="IW52" i="7"/>
  <c r="IW44" i="7"/>
  <c r="IW36" i="7"/>
  <c r="IW59" i="7"/>
  <c r="IW40" i="7"/>
  <c r="IW55" i="7"/>
  <c r="IW51" i="7"/>
  <c r="IW67" i="7"/>
  <c r="IW57" i="7"/>
  <c r="IW38" i="7"/>
  <c r="IW39" i="7"/>
  <c r="IW25" i="7"/>
  <c r="IW17" i="7"/>
  <c r="IW9" i="7"/>
  <c r="IW24" i="7"/>
  <c r="IW20" i="7"/>
  <c r="IW12" i="7"/>
  <c r="IW4" i="7"/>
  <c r="IW54" i="7"/>
  <c r="IW43" i="7"/>
  <c r="IW41" i="7"/>
  <c r="IW68" i="7"/>
  <c r="IW56" i="7"/>
  <c r="IW47" i="7"/>
  <c r="IW46" i="7"/>
  <c r="IW48" i="7"/>
  <c r="IW31" i="7"/>
  <c r="IW19" i="7"/>
  <c r="IW11" i="7"/>
  <c r="IW3" i="7"/>
  <c r="IW33" i="7"/>
  <c r="IW7" i="7"/>
  <c r="IW49" i="7"/>
  <c r="IW28" i="7"/>
  <c r="IW22" i="7"/>
  <c r="IW18" i="7"/>
  <c r="IW32" i="7"/>
  <c r="IW14" i="7"/>
  <c r="IW10" i="7"/>
  <c r="IW35" i="7"/>
  <c r="IW21" i="7"/>
  <c r="IW6" i="7"/>
  <c r="IW23" i="7"/>
  <c r="IW13" i="7"/>
  <c r="IW30" i="7"/>
  <c r="IW27" i="7"/>
  <c r="IW16" i="7"/>
  <c r="F52" i="9"/>
  <c r="F1" i="9"/>
  <c r="F52" i="8"/>
  <c r="F137" i="7"/>
  <c r="F148" i="7"/>
  <c r="F140" i="7"/>
  <c r="F139" i="7"/>
  <c r="F142" i="7"/>
  <c r="F131" i="7"/>
  <c r="F123" i="7"/>
  <c r="F134" i="7"/>
  <c r="F126" i="7"/>
  <c r="F133" i="7"/>
  <c r="F121" i="7"/>
  <c r="F113" i="7"/>
  <c r="F105" i="7"/>
  <c r="F1" i="8"/>
  <c r="F143" i="7"/>
  <c r="F135" i="7"/>
  <c r="F128" i="7"/>
  <c r="F116" i="7"/>
  <c r="F108" i="7"/>
  <c r="F100" i="7"/>
  <c r="F144" i="7"/>
  <c r="F138" i="7"/>
  <c r="F127" i="7"/>
  <c r="F118" i="7"/>
  <c r="F115" i="7"/>
  <c r="F107" i="7"/>
  <c r="F132" i="7"/>
  <c r="F120" i="7"/>
  <c r="F111" i="7"/>
  <c r="F104" i="7"/>
  <c r="F101" i="7"/>
  <c r="F93" i="7"/>
  <c r="F124" i="7"/>
  <c r="F103" i="7"/>
  <c r="F96" i="7"/>
  <c r="F88" i="7"/>
  <c r="F141" i="7"/>
  <c r="F136" i="7"/>
  <c r="F125" i="7"/>
  <c r="F122" i="7"/>
  <c r="F117" i="7"/>
  <c r="F119" i="7"/>
  <c r="F129" i="7"/>
  <c r="F95" i="7"/>
  <c r="F99" i="7"/>
  <c r="F92" i="7"/>
  <c r="F89" i="7"/>
  <c r="F85" i="7"/>
  <c r="F77" i="7"/>
  <c r="F69" i="7"/>
  <c r="F130" i="7"/>
  <c r="F91" i="7"/>
  <c r="F86" i="7"/>
  <c r="F80" i="7"/>
  <c r="F72" i="7"/>
  <c r="F64" i="7"/>
  <c r="F106" i="7"/>
  <c r="F102" i="7"/>
  <c r="F79" i="7"/>
  <c r="F71" i="7"/>
  <c r="F98" i="7"/>
  <c r="F97" i="7"/>
  <c r="F75" i="7"/>
  <c r="F68" i="7"/>
  <c r="F109" i="7"/>
  <c r="F87" i="7"/>
  <c r="F67" i="7"/>
  <c r="F114" i="7"/>
  <c r="F81" i="7"/>
  <c r="F94" i="7"/>
  <c r="F82" i="7"/>
  <c r="F83" i="7"/>
  <c r="F112" i="7"/>
  <c r="F57" i="7"/>
  <c r="F49" i="7"/>
  <c r="F41" i="7"/>
  <c r="F33" i="7"/>
  <c r="F25" i="7"/>
  <c r="F78" i="7"/>
  <c r="F63" i="7"/>
  <c r="F60" i="7"/>
  <c r="F52" i="7"/>
  <c r="F44" i="7"/>
  <c r="F36" i="7"/>
  <c r="F28" i="7"/>
  <c r="F70" i="7"/>
  <c r="F66" i="7"/>
  <c r="F90" i="7"/>
  <c r="F65" i="7"/>
  <c r="F76" i="7"/>
  <c r="F110" i="7"/>
  <c r="F59" i="7"/>
  <c r="F51" i="7"/>
  <c r="F43" i="7"/>
  <c r="F35" i="7"/>
  <c r="F54" i="7"/>
  <c r="F50" i="7"/>
  <c r="F34" i="7"/>
  <c r="F61" i="7"/>
  <c r="F46" i="7"/>
  <c r="F42" i="7"/>
  <c r="F84" i="7"/>
  <c r="F73" i="7"/>
  <c r="F55" i="7"/>
  <c r="F48" i="7"/>
  <c r="F30" i="7"/>
  <c r="F16" i="7"/>
  <c r="F8" i="7"/>
  <c r="F38" i="7"/>
  <c r="F37" i="7"/>
  <c r="F31" i="7"/>
  <c r="F27" i="7"/>
  <c r="F19" i="7"/>
  <c r="F11" i="7"/>
  <c r="F3" i="7"/>
  <c r="F39" i="7"/>
  <c r="F53" i="7"/>
  <c r="F40" i="7"/>
  <c r="F74" i="7"/>
  <c r="F62" i="7"/>
  <c r="F56" i="7"/>
  <c r="F45" i="7"/>
  <c r="F26" i="7"/>
  <c r="F18" i="7"/>
  <c r="F10" i="7"/>
  <c r="F2" i="7"/>
  <c r="F58" i="7"/>
  <c r="F32" i="7"/>
  <c r="F21" i="7"/>
  <c r="F17" i="7"/>
  <c r="F47" i="7"/>
  <c r="F29" i="7"/>
  <c r="F13" i="7"/>
  <c r="F9" i="7"/>
  <c r="F24" i="7"/>
  <c r="F20" i="7"/>
  <c r="F5" i="7"/>
  <c r="F12" i="7"/>
  <c r="F23" i="7"/>
  <c r="F22" i="7"/>
  <c r="F15" i="7"/>
  <c r="F14" i="7"/>
  <c r="F7" i="7"/>
  <c r="N52" i="9"/>
  <c r="N52" i="8"/>
  <c r="N1" i="9"/>
  <c r="N137" i="7"/>
  <c r="N148" i="7"/>
  <c r="N140" i="7"/>
  <c r="N139" i="7"/>
  <c r="N143" i="7"/>
  <c r="N131" i="7"/>
  <c r="N123" i="7"/>
  <c r="N1" i="8"/>
  <c r="N134" i="7"/>
  <c r="N126" i="7"/>
  <c r="N133" i="7"/>
  <c r="N129" i="7"/>
  <c r="N127" i="7"/>
  <c r="N113" i="7"/>
  <c r="N105" i="7"/>
  <c r="N124" i="7"/>
  <c r="N120" i="7"/>
  <c r="N116" i="7"/>
  <c r="N108" i="7"/>
  <c r="N100" i="7"/>
  <c r="N136" i="7"/>
  <c r="N135" i="7"/>
  <c r="N142" i="7"/>
  <c r="N141" i="7"/>
  <c r="N119" i="7"/>
  <c r="N115" i="7"/>
  <c r="N107" i="7"/>
  <c r="N144" i="7"/>
  <c r="N125" i="7"/>
  <c r="N109" i="7"/>
  <c r="N93" i="7"/>
  <c r="N122" i="7"/>
  <c r="N96" i="7"/>
  <c r="N88" i="7"/>
  <c r="N132" i="7"/>
  <c r="N130" i="7"/>
  <c r="N118" i="7"/>
  <c r="N121" i="7"/>
  <c r="N138" i="7"/>
  <c r="N110" i="7"/>
  <c r="N106" i="7"/>
  <c r="N95" i="7"/>
  <c r="N97" i="7"/>
  <c r="N85" i="7"/>
  <c r="N77" i="7"/>
  <c r="N69" i="7"/>
  <c r="N80" i="7"/>
  <c r="N72" i="7"/>
  <c r="N64" i="7"/>
  <c r="N111" i="7"/>
  <c r="N112" i="7"/>
  <c r="N117" i="7"/>
  <c r="N128" i="7"/>
  <c r="N114" i="7"/>
  <c r="N104" i="7"/>
  <c r="N98" i="7"/>
  <c r="N94" i="7"/>
  <c r="N87" i="7"/>
  <c r="N79" i="7"/>
  <c r="N71" i="7"/>
  <c r="N91" i="7"/>
  <c r="N90" i="7"/>
  <c r="N73" i="7"/>
  <c r="N103" i="7"/>
  <c r="N92" i="7"/>
  <c r="N89" i="7"/>
  <c r="N84" i="7"/>
  <c r="N102" i="7"/>
  <c r="N68" i="7"/>
  <c r="N75" i="7"/>
  <c r="N74" i="7"/>
  <c r="N99" i="7"/>
  <c r="N76" i="7"/>
  <c r="N70" i="7"/>
  <c r="N66" i="7"/>
  <c r="N57" i="7"/>
  <c r="N49" i="7"/>
  <c r="N41" i="7"/>
  <c r="N33" i="7"/>
  <c r="N25" i="7"/>
  <c r="N101" i="7"/>
  <c r="N82" i="7"/>
  <c r="N60" i="7"/>
  <c r="N52" i="7"/>
  <c r="N44" i="7"/>
  <c r="N36" i="7"/>
  <c r="N28" i="7"/>
  <c r="N67" i="7"/>
  <c r="N63" i="7"/>
  <c r="N83" i="7"/>
  <c r="N86" i="7"/>
  <c r="N78" i="7"/>
  <c r="N59" i="7"/>
  <c r="N51" i="7"/>
  <c r="N43" i="7"/>
  <c r="N35" i="7"/>
  <c r="N55" i="7"/>
  <c r="N48" i="7"/>
  <c r="N47" i="7"/>
  <c r="N40" i="7"/>
  <c r="N62" i="7"/>
  <c r="N53" i="7"/>
  <c r="N38" i="7"/>
  <c r="N26" i="7"/>
  <c r="N16" i="7"/>
  <c r="N8" i="7"/>
  <c r="N65" i="7"/>
  <c r="N54" i="7"/>
  <c r="N42" i="7"/>
  <c r="N19" i="7"/>
  <c r="N11" i="7"/>
  <c r="N3" i="7"/>
  <c r="N61" i="7"/>
  <c r="N58" i="7"/>
  <c r="N56" i="7"/>
  <c r="N45" i="7"/>
  <c r="N46" i="7"/>
  <c r="N50" i="7"/>
  <c r="N39" i="7"/>
  <c r="N37" i="7"/>
  <c r="N32" i="7"/>
  <c r="N24" i="7"/>
  <c r="N18" i="7"/>
  <c r="N10" i="7"/>
  <c r="N2" i="7"/>
  <c r="N81" i="7"/>
  <c r="N27" i="7"/>
  <c r="N22" i="7"/>
  <c r="N15" i="7"/>
  <c r="N34" i="7"/>
  <c r="N31" i="7"/>
  <c r="N14" i="7"/>
  <c r="N7" i="7"/>
  <c r="N6" i="7"/>
  <c r="N21" i="7"/>
  <c r="N17" i="7"/>
  <c r="N13" i="7"/>
  <c r="N9" i="7"/>
  <c r="N29" i="7"/>
  <c r="N20" i="7"/>
  <c r="N12" i="7"/>
  <c r="V52" i="9"/>
  <c r="V1" i="9"/>
  <c r="V52" i="8"/>
  <c r="V137" i="7"/>
  <c r="V148" i="7"/>
  <c r="V140" i="7"/>
  <c r="V139" i="7"/>
  <c r="V141" i="7"/>
  <c r="V131" i="7"/>
  <c r="V123" i="7"/>
  <c r="V134" i="7"/>
  <c r="V126" i="7"/>
  <c r="V142" i="7"/>
  <c r="V138" i="7"/>
  <c r="V136" i="7"/>
  <c r="V133" i="7"/>
  <c r="V118" i="7"/>
  <c r="V113" i="7"/>
  <c r="V105" i="7"/>
  <c r="V116" i="7"/>
  <c r="V108" i="7"/>
  <c r="V100" i="7"/>
  <c r="V143" i="7"/>
  <c r="V144" i="7"/>
  <c r="V1" i="8"/>
  <c r="V125" i="7"/>
  <c r="V115" i="7"/>
  <c r="V107" i="7"/>
  <c r="V130" i="7"/>
  <c r="V127" i="7"/>
  <c r="V120" i="7"/>
  <c r="V114" i="7"/>
  <c r="V93" i="7"/>
  <c r="V124" i="7"/>
  <c r="V110" i="7"/>
  <c r="V106" i="7"/>
  <c r="V96" i="7"/>
  <c r="V88" i="7"/>
  <c r="V132" i="7"/>
  <c r="V121" i="7"/>
  <c r="V117" i="7"/>
  <c r="V135" i="7"/>
  <c r="V128" i="7"/>
  <c r="V119" i="7"/>
  <c r="V122" i="7"/>
  <c r="V111" i="7"/>
  <c r="V104" i="7"/>
  <c r="V95" i="7"/>
  <c r="V87" i="7"/>
  <c r="V85" i="7"/>
  <c r="V77" i="7"/>
  <c r="V69" i="7"/>
  <c r="V112" i="7"/>
  <c r="V98" i="7"/>
  <c r="V94" i="7"/>
  <c r="V80" i="7"/>
  <c r="V72" i="7"/>
  <c r="V64" i="7"/>
  <c r="V129" i="7"/>
  <c r="V109" i="7"/>
  <c r="V99" i="7"/>
  <c r="V92" i="7"/>
  <c r="V79" i="7"/>
  <c r="V71" i="7"/>
  <c r="V101" i="7"/>
  <c r="V82" i="7"/>
  <c r="V78" i="7"/>
  <c r="V97" i="7"/>
  <c r="V74" i="7"/>
  <c r="V70" i="7"/>
  <c r="V90" i="7"/>
  <c r="V84" i="7"/>
  <c r="V103" i="7"/>
  <c r="V86" i="7"/>
  <c r="V81" i="7"/>
  <c r="V102" i="7"/>
  <c r="V83" i="7"/>
  <c r="V57" i="7"/>
  <c r="V49" i="7"/>
  <c r="V41" i="7"/>
  <c r="V33" i="7"/>
  <c r="V25" i="7"/>
  <c r="V89" i="7"/>
  <c r="V76" i="7"/>
  <c r="V60" i="7"/>
  <c r="V52" i="7"/>
  <c r="V44" i="7"/>
  <c r="V36" i="7"/>
  <c r="V28" i="7"/>
  <c r="V73" i="7"/>
  <c r="V68" i="7"/>
  <c r="V65" i="7"/>
  <c r="V63" i="7"/>
  <c r="V66" i="7"/>
  <c r="V91" i="7"/>
  <c r="V75" i="7"/>
  <c r="V59" i="7"/>
  <c r="V51" i="7"/>
  <c r="V43" i="7"/>
  <c r="V35" i="7"/>
  <c r="V53" i="7"/>
  <c r="V38" i="7"/>
  <c r="V45" i="7"/>
  <c r="V62" i="7"/>
  <c r="V58" i="7"/>
  <c r="V39" i="7"/>
  <c r="V34" i="7"/>
  <c r="V32" i="7"/>
  <c r="V16" i="7"/>
  <c r="V8" i="7"/>
  <c r="V61" i="7"/>
  <c r="V47" i="7"/>
  <c r="V46" i="7"/>
  <c r="V29" i="7"/>
  <c r="V19" i="7"/>
  <c r="V11" i="7"/>
  <c r="V3" i="7"/>
  <c r="V48" i="7"/>
  <c r="V37" i="7"/>
  <c r="V50" i="7"/>
  <c r="V67" i="7"/>
  <c r="V40" i="7"/>
  <c r="V55" i="7"/>
  <c r="V54" i="7"/>
  <c r="V42" i="7"/>
  <c r="V18" i="7"/>
  <c r="V10" i="7"/>
  <c r="V2" i="7"/>
  <c r="V20" i="7"/>
  <c r="V5" i="7"/>
  <c r="V26" i="7"/>
  <c r="V24" i="7"/>
  <c r="V12" i="7"/>
  <c r="V23" i="7"/>
  <c r="V4" i="7"/>
  <c r="V56" i="7"/>
  <c r="V22" i="7"/>
  <c r="V15" i="7"/>
  <c r="V30" i="7"/>
  <c r="V14" i="7"/>
  <c r="V7" i="7"/>
  <c r="V27" i="7"/>
  <c r="V31" i="7"/>
  <c r="V21" i="7"/>
  <c r="V17" i="7"/>
  <c r="AD52" i="9"/>
  <c r="AD1" i="9"/>
  <c r="AD52" i="8"/>
  <c r="AD137" i="7"/>
  <c r="AD1" i="8"/>
  <c r="AD148" i="7"/>
  <c r="AD140" i="7"/>
  <c r="AD139" i="7"/>
  <c r="AD138" i="7"/>
  <c r="AD131" i="7"/>
  <c r="AD123" i="7"/>
  <c r="AD142" i="7"/>
  <c r="AD134" i="7"/>
  <c r="AD126" i="7"/>
  <c r="AD143" i="7"/>
  <c r="AD133" i="7"/>
  <c r="AD132" i="7"/>
  <c r="AD125" i="7"/>
  <c r="AD119" i="7"/>
  <c r="AD113" i="7"/>
  <c r="AD105" i="7"/>
  <c r="AD144" i="7"/>
  <c r="AD122" i="7"/>
  <c r="AD118" i="7"/>
  <c r="AD116" i="7"/>
  <c r="AD108" i="7"/>
  <c r="AD100" i="7"/>
  <c r="AD136" i="7"/>
  <c r="AD135" i="7"/>
  <c r="AD141" i="7"/>
  <c r="AD129" i="7"/>
  <c r="AD121" i="7"/>
  <c r="AD115" i="7"/>
  <c r="AD107" i="7"/>
  <c r="AD128" i="7"/>
  <c r="AD112" i="7"/>
  <c r="AD93" i="7"/>
  <c r="AD111" i="7"/>
  <c r="AD104" i="7"/>
  <c r="AD102" i="7"/>
  <c r="AD96" i="7"/>
  <c r="AD88" i="7"/>
  <c r="AD127" i="7"/>
  <c r="AD120" i="7"/>
  <c r="AD130" i="7"/>
  <c r="AD124" i="7"/>
  <c r="AD109" i="7"/>
  <c r="AD101" i="7"/>
  <c r="AD95" i="7"/>
  <c r="AD85" i="7"/>
  <c r="AD77" i="7"/>
  <c r="AD69" i="7"/>
  <c r="AD117" i="7"/>
  <c r="AD106" i="7"/>
  <c r="AD99" i="7"/>
  <c r="AD92" i="7"/>
  <c r="AD80" i="7"/>
  <c r="AD72" i="7"/>
  <c r="AD64" i="7"/>
  <c r="AD110" i="7"/>
  <c r="AD114" i="7"/>
  <c r="AD103" i="7"/>
  <c r="AD97" i="7"/>
  <c r="AD89" i="7"/>
  <c r="AD79" i="7"/>
  <c r="AD71" i="7"/>
  <c r="AD83" i="7"/>
  <c r="AD76" i="7"/>
  <c r="AD91" i="7"/>
  <c r="AD75" i="7"/>
  <c r="AD68" i="7"/>
  <c r="AD94" i="7"/>
  <c r="AD74" i="7"/>
  <c r="AD70" i="7"/>
  <c r="AD82" i="7"/>
  <c r="AD90" i="7"/>
  <c r="AD84" i="7"/>
  <c r="AD73" i="7"/>
  <c r="AD57" i="7"/>
  <c r="AD49" i="7"/>
  <c r="AD41" i="7"/>
  <c r="AD33" i="7"/>
  <c r="AD25" i="7"/>
  <c r="AD66" i="7"/>
  <c r="AD60" i="7"/>
  <c r="AD52" i="7"/>
  <c r="AD44" i="7"/>
  <c r="AD36" i="7"/>
  <c r="AD28" i="7"/>
  <c r="AD81" i="7"/>
  <c r="AD78" i="7"/>
  <c r="AD67" i="7"/>
  <c r="AD86" i="7"/>
  <c r="AD63" i="7"/>
  <c r="AD98" i="7"/>
  <c r="AD87" i="7"/>
  <c r="AD59" i="7"/>
  <c r="AD51" i="7"/>
  <c r="AD43" i="7"/>
  <c r="AD35" i="7"/>
  <c r="AD62" i="7"/>
  <c r="AD58" i="7"/>
  <c r="AD39" i="7"/>
  <c r="AD54" i="7"/>
  <c r="AD50" i="7"/>
  <c r="AD61" i="7"/>
  <c r="AD56" i="7"/>
  <c r="AD37" i="7"/>
  <c r="AD65" i="7"/>
  <c r="AD38" i="7"/>
  <c r="AD24" i="7"/>
  <c r="AD16" i="7"/>
  <c r="AD8" i="7"/>
  <c r="AD19" i="7"/>
  <c r="AD11" i="7"/>
  <c r="AD3" i="7"/>
  <c r="AD53" i="7"/>
  <c r="AD42" i="7"/>
  <c r="AD40" i="7"/>
  <c r="AD55" i="7"/>
  <c r="AD46" i="7"/>
  <c r="AD45" i="7"/>
  <c r="AD47" i="7"/>
  <c r="AD30" i="7"/>
  <c r="AD18" i="7"/>
  <c r="AD10" i="7"/>
  <c r="AD2" i="7"/>
  <c r="AD6" i="7"/>
  <c r="AD27" i="7"/>
  <c r="AD21" i="7"/>
  <c r="AD17" i="7"/>
  <c r="AD48" i="7"/>
  <c r="AD31" i="7"/>
  <c r="AD13" i="7"/>
  <c r="AD9" i="7"/>
  <c r="AD20" i="7"/>
  <c r="AD5" i="7"/>
  <c r="AD34" i="7"/>
  <c r="AD32" i="7"/>
  <c r="AD12" i="7"/>
  <c r="AD29" i="7"/>
  <c r="AD23" i="7"/>
  <c r="AD26" i="7"/>
  <c r="AD22" i="7"/>
  <c r="AD15" i="7"/>
  <c r="AL52" i="9"/>
  <c r="AL52" i="8"/>
  <c r="AL1" i="9"/>
  <c r="AL137" i="7"/>
  <c r="AL148" i="7"/>
  <c r="AL140" i="7"/>
  <c r="AL139" i="7"/>
  <c r="AL144" i="7"/>
  <c r="AL136" i="7"/>
  <c r="AL131" i="7"/>
  <c r="AL123" i="7"/>
  <c r="AL143" i="7"/>
  <c r="AL134" i="7"/>
  <c r="AL126" i="7"/>
  <c r="AL141" i="7"/>
  <c r="AL133" i="7"/>
  <c r="AL1" i="8"/>
  <c r="AL130" i="7"/>
  <c r="AL121" i="7"/>
  <c r="AL113" i="7"/>
  <c r="AL105" i="7"/>
  <c r="AL129" i="7"/>
  <c r="AL128" i="7"/>
  <c r="AL119" i="7"/>
  <c r="AL116" i="7"/>
  <c r="AL108" i="7"/>
  <c r="AL100" i="7"/>
  <c r="AL138" i="7"/>
  <c r="AL142" i="7"/>
  <c r="AL127" i="7"/>
  <c r="AL115" i="7"/>
  <c r="AL107" i="7"/>
  <c r="AL135" i="7"/>
  <c r="AL117" i="7"/>
  <c r="AL101" i="7"/>
  <c r="AL93" i="7"/>
  <c r="AL120" i="7"/>
  <c r="AL109" i="7"/>
  <c r="AL96" i="7"/>
  <c r="AL88" i="7"/>
  <c r="AL124" i="7"/>
  <c r="AL132" i="7"/>
  <c r="AL125" i="7"/>
  <c r="AL122" i="7"/>
  <c r="AL118" i="7"/>
  <c r="AL114" i="7"/>
  <c r="AL95" i="7"/>
  <c r="AL90" i="7"/>
  <c r="AL89" i="7"/>
  <c r="AL85" i="7"/>
  <c r="AL77" i="7"/>
  <c r="AL69" i="7"/>
  <c r="AL111" i="7"/>
  <c r="AL110" i="7"/>
  <c r="AL97" i="7"/>
  <c r="AL86" i="7"/>
  <c r="AL80" i="7"/>
  <c r="AL72" i="7"/>
  <c r="AL64" i="7"/>
  <c r="AL112" i="7"/>
  <c r="AL106" i="7"/>
  <c r="AL79" i="7"/>
  <c r="AL71" i="7"/>
  <c r="AL102" i="7"/>
  <c r="AL92" i="7"/>
  <c r="AL81" i="7"/>
  <c r="AL66" i="7"/>
  <c r="AL94" i="7"/>
  <c r="AL73" i="7"/>
  <c r="AL103" i="7"/>
  <c r="AL99" i="7"/>
  <c r="AL98" i="7"/>
  <c r="AL75" i="7"/>
  <c r="AL74" i="7"/>
  <c r="AL87" i="7"/>
  <c r="AL76" i="7"/>
  <c r="AL91" i="7"/>
  <c r="AL78" i="7"/>
  <c r="AL84" i="7"/>
  <c r="AL70" i="7"/>
  <c r="AL67" i="7"/>
  <c r="AL57" i="7"/>
  <c r="AL49" i="7"/>
  <c r="AL41" i="7"/>
  <c r="AL33" i="7"/>
  <c r="AL25" i="7"/>
  <c r="AL60" i="7"/>
  <c r="AL52" i="7"/>
  <c r="AL44" i="7"/>
  <c r="AL36" i="7"/>
  <c r="AL28" i="7"/>
  <c r="AL65" i="7"/>
  <c r="AL82" i="7"/>
  <c r="AL68" i="7"/>
  <c r="AL83" i="7"/>
  <c r="AL59" i="7"/>
  <c r="AL51" i="7"/>
  <c r="AL43" i="7"/>
  <c r="AL35" i="7"/>
  <c r="AL63" i="7"/>
  <c r="AL56" i="7"/>
  <c r="AL37" i="7"/>
  <c r="AL34" i="7"/>
  <c r="AL55" i="7"/>
  <c r="AL48" i="7"/>
  <c r="AL61" i="7"/>
  <c r="AL46" i="7"/>
  <c r="AL42" i="7"/>
  <c r="AL104" i="7"/>
  <c r="AL54" i="7"/>
  <c r="AL30" i="7"/>
  <c r="AL16" i="7"/>
  <c r="AL8" i="7"/>
  <c r="AL31" i="7"/>
  <c r="AL27" i="7"/>
  <c r="AL24" i="7"/>
  <c r="AL19" i="7"/>
  <c r="AL11" i="7"/>
  <c r="AL3" i="7"/>
  <c r="AL62" i="7"/>
  <c r="AL58" i="7"/>
  <c r="AL47" i="7"/>
  <c r="AL45" i="7"/>
  <c r="AL50" i="7"/>
  <c r="AL39" i="7"/>
  <c r="AL38" i="7"/>
  <c r="AL40" i="7"/>
  <c r="AL26" i="7"/>
  <c r="AL18" i="7"/>
  <c r="AL10" i="7"/>
  <c r="AL2" i="7"/>
  <c r="AL23" i="7"/>
  <c r="AL4" i="7"/>
  <c r="AL32" i="7"/>
  <c r="AL22" i="7"/>
  <c r="AL15" i="7"/>
  <c r="AL29" i="7"/>
  <c r="AL14" i="7"/>
  <c r="AL7" i="7"/>
  <c r="AL6" i="7"/>
  <c r="AL53" i="7"/>
  <c r="AL21" i="7"/>
  <c r="AL17" i="7"/>
  <c r="AL13" i="7"/>
  <c r="AL9" i="7"/>
  <c r="AL20" i="7"/>
  <c r="AL5" i="7"/>
  <c r="AT52" i="9"/>
  <c r="AT1" i="9"/>
  <c r="AT137" i="7"/>
  <c r="AT148" i="7"/>
  <c r="AT140" i="7"/>
  <c r="AT52" i="8"/>
  <c r="AT139" i="7"/>
  <c r="AT131" i="7"/>
  <c r="AT123" i="7"/>
  <c r="AT141" i="7"/>
  <c r="AT136" i="7"/>
  <c r="AT134" i="7"/>
  <c r="AT126" i="7"/>
  <c r="AT133" i="7"/>
  <c r="AT138" i="7"/>
  <c r="AT135" i="7"/>
  <c r="AT127" i="7"/>
  <c r="AT113" i="7"/>
  <c r="AT105" i="7"/>
  <c r="AT143" i="7"/>
  <c r="AT142" i="7"/>
  <c r="AT124" i="7"/>
  <c r="AT120" i="7"/>
  <c r="AT116" i="7"/>
  <c r="AT108" i="7"/>
  <c r="AT100" i="7"/>
  <c r="AT144" i="7"/>
  <c r="AT1" i="8"/>
  <c r="AT132" i="7"/>
  <c r="AT115" i="7"/>
  <c r="AT107" i="7"/>
  <c r="AT128" i="7"/>
  <c r="AT103" i="7"/>
  <c r="AT93" i="7"/>
  <c r="AT125" i="7"/>
  <c r="AT114" i="7"/>
  <c r="AT96" i="7"/>
  <c r="AT88" i="7"/>
  <c r="AT122" i="7"/>
  <c r="AT118" i="7"/>
  <c r="AT117" i="7"/>
  <c r="AT129" i="7"/>
  <c r="AT121" i="7"/>
  <c r="AT119" i="7"/>
  <c r="AT112" i="7"/>
  <c r="AT95" i="7"/>
  <c r="AT101" i="7"/>
  <c r="AT91" i="7"/>
  <c r="AT85" i="7"/>
  <c r="AT77" i="7"/>
  <c r="AT69" i="7"/>
  <c r="AT80" i="7"/>
  <c r="AT72" i="7"/>
  <c r="AT64" i="7"/>
  <c r="AT106" i="7"/>
  <c r="AT111" i="7"/>
  <c r="AT87" i="7"/>
  <c r="AT79" i="7"/>
  <c r="AT71" i="7"/>
  <c r="AT98" i="7"/>
  <c r="AT97" i="7"/>
  <c r="AT67" i="7"/>
  <c r="AT110" i="7"/>
  <c r="AT99" i="7"/>
  <c r="AT82" i="7"/>
  <c r="AT78" i="7"/>
  <c r="AT130" i="7"/>
  <c r="AT104" i="7"/>
  <c r="AT73" i="7"/>
  <c r="AT109" i="7"/>
  <c r="AT81" i="7"/>
  <c r="AT92" i="7"/>
  <c r="AT86" i="7"/>
  <c r="AT83" i="7"/>
  <c r="AT102" i="7"/>
  <c r="AT75" i="7"/>
  <c r="AT57" i="7"/>
  <c r="AT49" i="7"/>
  <c r="AT41" i="7"/>
  <c r="AT33" i="7"/>
  <c r="AT25" i="7"/>
  <c r="AT68" i="7"/>
  <c r="AT60" i="7"/>
  <c r="AT52" i="7"/>
  <c r="AT44" i="7"/>
  <c r="AT36" i="7"/>
  <c r="AT28" i="7"/>
  <c r="AT66" i="7"/>
  <c r="AT76" i="7"/>
  <c r="AT89" i="7"/>
  <c r="AT70" i="7"/>
  <c r="AT90" i="7"/>
  <c r="AT84" i="7"/>
  <c r="AT74" i="7"/>
  <c r="AT65" i="7"/>
  <c r="AT63" i="7"/>
  <c r="AT59" i="7"/>
  <c r="AT51" i="7"/>
  <c r="AT43" i="7"/>
  <c r="AT35" i="7"/>
  <c r="AT61" i="7"/>
  <c r="AT46" i="7"/>
  <c r="AT42" i="7"/>
  <c r="AT53" i="7"/>
  <c r="AT38" i="7"/>
  <c r="AT94" i="7"/>
  <c r="AT47" i="7"/>
  <c r="AT40" i="7"/>
  <c r="AT62" i="7"/>
  <c r="AT26" i="7"/>
  <c r="AT16" i="7"/>
  <c r="AT8" i="7"/>
  <c r="AT48" i="7"/>
  <c r="AT37" i="7"/>
  <c r="AT19" i="7"/>
  <c r="AT11" i="7"/>
  <c r="AT3" i="7"/>
  <c r="AT50" i="7"/>
  <c r="AT39" i="7"/>
  <c r="AT55" i="7"/>
  <c r="AT54" i="7"/>
  <c r="AT56" i="7"/>
  <c r="AT45" i="7"/>
  <c r="AT32" i="7"/>
  <c r="AT18" i="7"/>
  <c r="AT10" i="7"/>
  <c r="AT2" i="7"/>
  <c r="AT58" i="7"/>
  <c r="AT30" i="7"/>
  <c r="AT13" i="7"/>
  <c r="AT9" i="7"/>
  <c r="AT27" i="7"/>
  <c r="AT20" i="7"/>
  <c r="AT5" i="7"/>
  <c r="AT31" i="7"/>
  <c r="AT12" i="7"/>
  <c r="AT24" i="7"/>
  <c r="AT23" i="7"/>
  <c r="AT22" i="7"/>
  <c r="AT15" i="7"/>
  <c r="AT34" i="7"/>
  <c r="AT14" i="7"/>
  <c r="AT29" i="7"/>
  <c r="AT6" i="7"/>
  <c r="BB52" i="9"/>
  <c r="BB1" i="9"/>
  <c r="BB52" i="8"/>
  <c r="BB137" i="7"/>
  <c r="BB148" i="7"/>
  <c r="BB140" i="7"/>
  <c r="BB139" i="7"/>
  <c r="BB131" i="7"/>
  <c r="BB123" i="7"/>
  <c r="BB134" i="7"/>
  <c r="BB126" i="7"/>
  <c r="BB1" i="8"/>
  <c r="BB144" i="7"/>
  <c r="BB138" i="7"/>
  <c r="BB133" i="7"/>
  <c r="BB113" i="7"/>
  <c r="BB105" i="7"/>
  <c r="BB132" i="7"/>
  <c r="BB116" i="7"/>
  <c r="BB108" i="7"/>
  <c r="BB100" i="7"/>
  <c r="BB135" i="7"/>
  <c r="BB136" i="7"/>
  <c r="BB142" i="7"/>
  <c r="BB141" i="7"/>
  <c r="BB143" i="7"/>
  <c r="BB130" i="7"/>
  <c r="BB125" i="7"/>
  <c r="BB115" i="7"/>
  <c r="BB107" i="7"/>
  <c r="BB93" i="7"/>
  <c r="BB127" i="7"/>
  <c r="BB120" i="7"/>
  <c r="BB112" i="7"/>
  <c r="BB96" i="7"/>
  <c r="BB88" i="7"/>
  <c r="BB124" i="7"/>
  <c r="BB119" i="7"/>
  <c r="BB129" i="7"/>
  <c r="BB121" i="7"/>
  <c r="BB128" i="7"/>
  <c r="BB122" i="7"/>
  <c r="BB118" i="7"/>
  <c r="BB117" i="7"/>
  <c r="BB95" i="7"/>
  <c r="BB106" i="7"/>
  <c r="BB102" i="7"/>
  <c r="BB87" i="7"/>
  <c r="BB77" i="7"/>
  <c r="BB69" i="7"/>
  <c r="BB85" i="7"/>
  <c r="BB80" i="7"/>
  <c r="BB72" i="7"/>
  <c r="BB64" i="7"/>
  <c r="BB111" i="7"/>
  <c r="BB109" i="7"/>
  <c r="BB110" i="7"/>
  <c r="BB114" i="7"/>
  <c r="BB104" i="7"/>
  <c r="BB90" i="7"/>
  <c r="BB79" i="7"/>
  <c r="BB71" i="7"/>
  <c r="BB91" i="7"/>
  <c r="BB86" i="7"/>
  <c r="BB84" i="7"/>
  <c r="BB65" i="7"/>
  <c r="BB92" i="7"/>
  <c r="BB83" i="7"/>
  <c r="BB76" i="7"/>
  <c r="BB82" i="7"/>
  <c r="BB78" i="7"/>
  <c r="BB99" i="7"/>
  <c r="BB75" i="7"/>
  <c r="BB74" i="7"/>
  <c r="BB73" i="7"/>
  <c r="BB97" i="7"/>
  <c r="BB101" i="7"/>
  <c r="BB57" i="7"/>
  <c r="BB49" i="7"/>
  <c r="BB41" i="7"/>
  <c r="BB33" i="7"/>
  <c r="BB25" i="7"/>
  <c r="BB103" i="7"/>
  <c r="BB67" i="7"/>
  <c r="BB60" i="7"/>
  <c r="BB52" i="7"/>
  <c r="BB44" i="7"/>
  <c r="BB36" i="7"/>
  <c r="BB28" i="7"/>
  <c r="BB70" i="7"/>
  <c r="BB89" i="7"/>
  <c r="BB98" i="7"/>
  <c r="BB81" i="7"/>
  <c r="BB68" i="7"/>
  <c r="BB94" i="7"/>
  <c r="BB59" i="7"/>
  <c r="BB51" i="7"/>
  <c r="BB43" i="7"/>
  <c r="BB35" i="7"/>
  <c r="BB47" i="7"/>
  <c r="BB40" i="7"/>
  <c r="BB62" i="7"/>
  <c r="BB58" i="7"/>
  <c r="BB39" i="7"/>
  <c r="BB63" i="7"/>
  <c r="BB45" i="7"/>
  <c r="BB32" i="7"/>
  <c r="BB16" i="7"/>
  <c r="BB8" i="7"/>
  <c r="BB66" i="7"/>
  <c r="BB54" i="7"/>
  <c r="BB53" i="7"/>
  <c r="BB42" i="7"/>
  <c r="BB29" i="7"/>
  <c r="BB19" i="7"/>
  <c r="BB11" i="7"/>
  <c r="BB3" i="7"/>
  <c r="BB55" i="7"/>
  <c r="BB56" i="7"/>
  <c r="BB46" i="7"/>
  <c r="BB61" i="7"/>
  <c r="BB50" i="7"/>
  <c r="BB48" i="7"/>
  <c r="BB37" i="7"/>
  <c r="BB34" i="7"/>
  <c r="BB18" i="7"/>
  <c r="BB10" i="7"/>
  <c r="BB2" i="7"/>
  <c r="BB14" i="7"/>
  <c r="BB7" i="7"/>
  <c r="BB6" i="7"/>
  <c r="BB26" i="7"/>
  <c r="BB21" i="7"/>
  <c r="BB17" i="7"/>
  <c r="BB13" i="7"/>
  <c r="BB9" i="7"/>
  <c r="BB38" i="7"/>
  <c r="BB20" i="7"/>
  <c r="BB5" i="7"/>
  <c r="BB30" i="7"/>
  <c r="BB12" i="7"/>
  <c r="BB27" i="7"/>
  <c r="BB23" i="7"/>
  <c r="BB4" i="7"/>
  <c r="BJ52" i="9"/>
  <c r="BJ52" i="8"/>
  <c r="BJ1" i="9"/>
  <c r="BJ137" i="7"/>
  <c r="BJ1" i="8"/>
  <c r="BJ148" i="7"/>
  <c r="BJ140" i="7"/>
  <c r="BJ139" i="7"/>
  <c r="BJ138" i="7"/>
  <c r="BJ131" i="7"/>
  <c r="BJ123" i="7"/>
  <c r="BJ144" i="7"/>
  <c r="BJ134" i="7"/>
  <c r="BJ126" i="7"/>
  <c r="BJ133" i="7"/>
  <c r="BJ136" i="7"/>
  <c r="BJ125" i="7"/>
  <c r="BJ113" i="7"/>
  <c r="BJ105" i="7"/>
  <c r="BJ130" i="7"/>
  <c r="BJ122" i="7"/>
  <c r="BJ116" i="7"/>
  <c r="BJ108" i="7"/>
  <c r="BJ100" i="7"/>
  <c r="BJ143" i="7"/>
  <c r="BJ141" i="7"/>
  <c r="BJ142" i="7"/>
  <c r="BJ135" i="7"/>
  <c r="BJ121" i="7"/>
  <c r="BJ115" i="7"/>
  <c r="BJ107" i="7"/>
  <c r="BJ110" i="7"/>
  <c r="BJ106" i="7"/>
  <c r="BJ93" i="7"/>
  <c r="BJ128" i="7"/>
  <c r="BJ117" i="7"/>
  <c r="BJ102" i="7"/>
  <c r="BJ96" i="7"/>
  <c r="BJ88" i="7"/>
  <c r="BJ132" i="7"/>
  <c r="BJ118" i="7"/>
  <c r="BJ127" i="7"/>
  <c r="BJ120" i="7"/>
  <c r="BJ119" i="7"/>
  <c r="BJ103" i="7"/>
  <c r="BJ101" i="7"/>
  <c r="BJ95" i="7"/>
  <c r="BJ111" i="7"/>
  <c r="BJ98" i="7"/>
  <c r="BJ94" i="7"/>
  <c r="BJ77" i="7"/>
  <c r="BJ69" i="7"/>
  <c r="BJ112" i="7"/>
  <c r="BJ90" i="7"/>
  <c r="BJ80" i="7"/>
  <c r="BJ72" i="7"/>
  <c r="BJ64" i="7"/>
  <c r="BJ114" i="7"/>
  <c r="BJ129" i="7"/>
  <c r="BJ124" i="7"/>
  <c r="BJ109" i="7"/>
  <c r="BJ91" i="7"/>
  <c r="BJ89" i="7"/>
  <c r="BJ79" i="7"/>
  <c r="BJ71" i="7"/>
  <c r="BJ104" i="7"/>
  <c r="BJ74" i="7"/>
  <c r="BJ70" i="7"/>
  <c r="BJ97" i="7"/>
  <c r="BJ85" i="7"/>
  <c r="BJ81" i="7"/>
  <c r="BJ66" i="7"/>
  <c r="BJ86" i="7"/>
  <c r="BJ83" i="7"/>
  <c r="BJ76" i="7"/>
  <c r="BJ78" i="7"/>
  <c r="BJ87" i="7"/>
  <c r="BJ63" i="7"/>
  <c r="BJ57" i="7"/>
  <c r="BJ49" i="7"/>
  <c r="BJ41" i="7"/>
  <c r="BJ33" i="7"/>
  <c r="BJ25" i="7"/>
  <c r="BJ60" i="7"/>
  <c r="BJ52" i="7"/>
  <c r="BJ44" i="7"/>
  <c r="BJ36" i="7"/>
  <c r="BJ28" i="7"/>
  <c r="BJ99" i="7"/>
  <c r="BJ84" i="7"/>
  <c r="BJ68" i="7"/>
  <c r="BJ75" i="7"/>
  <c r="BJ92" i="7"/>
  <c r="BJ82" i="7"/>
  <c r="BJ65" i="7"/>
  <c r="BJ59" i="7"/>
  <c r="BJ51" i="7"/>
  <c r="BJ43" i="7"/>
  <c r="BJ35" i="7"/>
  <c r="BJ45" i="7"/>
  <c r="BJ56" i="7"/>
  <c r="BJ37" i="7"/>
  <c r="BJ73" i="7"/>
  <c r="BJ67" i="7"/>
  <c r="BJ54" i="7"/>
  <c r="BJ50" i="7"/>
  <c r="BJ16" i="7"/>
  <c r="BJ8" i="7"/>
  <c r="BJ58" i="7"/>
  <c r="BJ47" i="7"/>
  <c r="BJ46" i="7"/>
  <c r="BJ19" i="7"/>
  <c r="BJ11" i="7"/>
  <c r="BJ3" i="7"/>
  <c r="BJ48" i="7"/>
  <c r="BJ62" i="7"/>
  <c r="BJ61" i="7"/>
  <c r="BJ39" i="7"/>
  <c r="BJ38" i="7"/>
  <c r="BJ40" i="7"/>
  <c r="BJ55" i="7"/>
  <c r="BJ53" i="7"/>
  <c r="BJ42" i="7"/>
  <c r="BJ30" i="7"/>
  <c r="BJ18" i="7"/>
  <c r="BJ10" i="7"/>
  <c r="BJ2" i="7"/>
  <c r="BJ12" i="7"/>
  <c r="BJ34" i="7"/>
  <c r="BJ23" i="7"/>
  <c r="BJ4" i="7"/>
  <c r="BJ27" i="7"/>
  <c r="BJ22" i="7"/>
  <c r="BJ15" i="7"/>
  <c r="BJ31" i="7"/>
  <c r="BJ24" i="7"/>
  <c r="BJ14" i="7"/>
  <c r="BJ7" i="7"/>
  <c r="BJ6" i="7"/>
  <c r="BJ32" i="7"/>
  <c r="BJ21" i="7"/>
  <c r="BJ17" i="7"/>
  <c r="BJ29" i="7"/>
  <c r="BJ13" i="7"/>
  <c r="BJ9" i="7"/>
  <c r="BR52" i="9"/>
  <c r="BR1" i="9"/>
  <c r="BR52" i="8"/>
  <c r="BR137" i="7"/>
  <c r="BR148" i="7"/>
  <c r="BR140" i="7"/>
  <c r="BR139" i="7"/>
  <c r="BR142" i="7"/>
  <c r="BR131" i="7"/>
  <c r="BR123" i="7"/>
  <c r="BR134" i="7"/>
  <c r="BR126" i="7"/>
  <c r="BR1" i="8"/>
  <c r="BR133" i="7"/>
  <c r="BR143" i="7"/>
  <c r="BR121" i="7"/>
  <c r="BR113" i="7"/>
  <c r="BR105" i="7"/>
  <c r="BR144" i="7"/>
  <c r="BR135" i="7"/>
  <c r="BR128" i="7"/>
  <c r="BR116" i="7"/>
  <c r="BR108" i="7"/>
  <c r="BR100" i="7"/>
  <c r="BR138" i="7"/>
  <c r="BR136" i="7"/>
  <c r="BR141" i="7"/>
  <c r="BR127" i="7"/>
  <c r="BR118" i="7"/>
  <c r="BR115" i="7"/>
  <c r="BR107" i="7"/>
  <c r="BR111" i="7"/>
  <c r="BR104" i="7"/>
  <c r="BR101" i="7"/>
  <c r="BR93" i="7"/>
  <c r="BR103" i="7"/>
  <c r="BR96" i="7"/>
  <c r="BR88" i="7"/>
  <c r="BR120" i="7"/>
  <c r="BR119" i="7"/>
  <c r="BR124" i="7"/>
  <c r="BR117" i="7"/>
  <c r="BR129" i="7"/>
  <c r="BR125" i="7"/>
  <c r="BR130" i="7"/>
  <c r="BR122" i="7"/>
  <c r="BR95" i="7"/>
  <c r="BR102" i="7"/>
  <c r="BR99" i="7"/>
  <c r="BR92" i="7"/>
  <c r="BR89" i="7"/>
  <c r="BR77" i="7"/>
  <c r="BR69" i="7"/>
  <c r="BR106" i="7"/>
  <c r="BR91" i="7"/>
  <c r="BR86" i="7"/>
  <c r="BR80" i="7"/>
  <c r="BR72" i="7"/>
  <c r="BR64" i="7"/>
  <c r="BR132" i="7"/>
  <c r="BR110" i="7"/>
  <c r="BR109" i="7"/>
  <c r="BR114" i="7"/>
  <c r="BR112" i="7"/>
  <c r="BR79" i="7"/>
  <c r="BR71" i="7"/>
  <c r="BR75" i="7"/>
  <c r="BR68" i="7"/>
  <c r="BR67" i="7"/>
  <c r="BR94" i="7"/>
  <c r="BR81" i="7"/>
  <c r="BR87" i="7"/>
  <c r="BR82" i="7"/>
  <c r="BR70" i="7"/>
  <c r="BR97" i="7"/>
  <c r="BR83" i="7"/>
  <c r="BR84" i="7"/>
  <c r="BR73" i="7"/>
  <c r="BR98" i="7"/>
  <c r="BR66" i="7"/>
  <c r="BR57" i="7"/>
  <c r="BR49" i="7"/>
  <c r="BR41" i="7"/>
  <c r="BR33" i="7"/>
  <c r="BR25" i="7"/>
  <c r="BR78" i="7"/>
  <c r="BR65" i="7"/>
  <c r="BR63" i="7"/>
  <c r="BR60" i="7"/>
  <c r="BR52" i="7"/>
  <c r="BR44" i="7"/>
  <c r="BR36" i="7"/>
  <c r="BR28" i="7"/>
  <c r="BR90" i="7"/>
  <c r="BR85" i="7"/>
  <c r="BR76" i="7"/>
  <c r="BR59" i="7"/>
  <c r="BR51" i="7"/>
  <c r="BR43" i="7"/>
  <c r="BR35" i="7"/>
  <c r="BR54" i="7"/>
  <c r="BR50" i="7"/>
  <c r="BR61" i="7"/>
  <c r="BR46" i="7"/>
  <c r="BR42" i="7"/>
  <c r="BR74" i="7"/>
  <c r="BR55" i="7"/>
  <c r="BR48" i="7"/>
  <c r="BR38" i="7"/>
  <c r="BR37" i="7"/>
  <c r="BR30" i="7"/>
  <c r="BR16" i="7"/>
  <c r="BR8" i="7"/>
  <c r="BR62" i="7"/>
  <c r="BR39" i="7"/>
  <c r="BR31" i="7"/>
  <c r="BR27" i="7"/>
  <c r="BR19" i="7"/>
  <c r="BR11" i="7"/>
  <c r="BR3" i="7"/>
  <c r="BR53" i="7"/>
  <c r="BR40" i="7"/>
  <c r="BR56" i="7"/>
  <c r="BR45" i="7"/>
  <c r="BR58" i="7"/>
  <c r="BR47" i="7"/>
  <c r="BR34" i="7"/>
  <c r="BR26" i="7"/>
  <c r="BR18" i="7"/>
  <c r="BR10" i="7"/>
  <c r="BR2" i="7"/>
  <c r="BR21" i="7"/>
  <c r="BR17" i="7"/>
  <c r="BR13" i="7"/>
  <c r="BR9" i="7"/>
  <c r="BR32" i="7"/>
  <c r="BR20" i="7"/>
  <c r="BR5" i="7"/>
  <c r="BR29" i="7"/>
  <c r="BR12" i="7"/>
  <c r="BR23" i="7"/>
  <c r="BR22" i="7"/>
  <c r="BR15" i="7"/>
  <c r="BR14" i="7"/>
  <c r="BR7" i="7"/>
  <c r="BZ52" i="9"/>
  <c r="BZ1" i="9"/>
  <c r="BZ52" i="8"/>
  <c r="BZ137" i="7"/>
  <c r="BZ148" i="7"/>
  <c r="BZ140" i="7"/>
  <c r="BZ139" i="7"/>
  <c r="BZ143" i="7"/>
  <c r="BZ131" i="7"/>
  <c r="BZ123" i="7"/>
  <c r="BZ134" i="7"/>
  <c r="BZ126" i="7"/>
  <c r="BZ133" i="7"/>
  <c r="BZ136" i="7"/>
  <c r="BZ129" i="7"/>
  <c r="BZ127" i="7"/>
  <c r="BZ113" i="7"/>
  <c r="BZ105" i="7"/>
  <c r="BZ138" i="7"/>
  <c r="BZ124" i="7"/>
  <c r="BZ120" i="7"/>
  <c r="BZ116" i="7"/>
  <c r="BZ108" i="7"/>
  <c r="BZ100" i="7"/>
  <c r="BZ1" i="8"/>
  <c r="BZ142" i="7"/>
  <c r="BZ141" i="7"/>
  <c r="BZ135" i="7"/>
  <c r="BZ144" i="7"/>
  <c r="BZ119" i="7"/>
  <c r="BZ115" i="7"/>
  <c r="BZ107" i="7"/>
  <c r="BZ109" i="7"/>
  <c r="BZ93" i="7"/>
  <c r="BZ128" i="7"/>
  <c r="BZ118" i="7"/>
  <c r="BZ96" i="7"/>
  <c r="BZ88" i="7"/>
  <c r="BZ125" i="7"/>
  <c r="BZ132" i="7"/>
  <c r="BZ130" i="7"/>
  <c r="BZ122" i="7"/>
  <c r="BZ110" i="7"/>
  <c r="BZ106" i="7"/>
  <c r="BZ95" i="7"/>
  <c r="BZ97" i="7"/>
  <c r="BZ77" i="7"/>
  <c r="BZ69" i="7"/>
  <c r="BZ111" i="7"/>
  <c r="BZ101" i="7"/>
  <c r="BZ80" i="7"/>
  <c r="BZ72" i="7"/>
  <c r="BZ64" i="7"/>
  <c r="BZ117" i="7"/>
  <c r="BZ112" i="7"/>
  <c r="BZ114" i="7"/>
  <c r="BZ121" i="7"/>
  <c r="BZ98" i="7"/>
  <c r="BZ94" i="7"/>
  <c r="BZ87" i="7"/>
  <c r="BZ79" i="7"/>
  <c r="BZ71" i="7"/>
  <c r="BZ92" i="7"/>
  <c r="BZ73" i="7"/>
  <c r="BZ103" i="7"/>
  <c r="BZ85" i="7"/>
  <c r="BZ84" i="7"/>
  <c r="BZ65" i="7"/>
  <c r="BZ104" i="7"/>
  <c r="BZ99" i="7"/>
  <c r="BZ86" i="7"/>
  <c r="BZ91" i="7"/>
  <c r="BZ75" i="7"/>
  <c r="BZ74" i="7"/>
  <c r="BZ76" i="7"/>
  <c r="BZ78" i="7"/>
  <c r="BZ67" i="7"/>
  <c r="BZ57" i="7"/>
  <c r="BZ49" i="7"/>
  <c r="BZ41" i="7"/>
  <c r="BZ33" i="7"/>
  <c r="BZ25" i="7"/>
  <c r="BZ90" i="7"/>
  <c r="BZ82" i="7"/>
  <c r="BZ60" i="7"/>
  <c r="BZ52" i="7"/>
  <c r="BZ44" i="7"/>
  <c r="BZ36" i="7"/>
  <c r="BZ28" i="7"/>
  <c r="BZ70" i="7"/>
  <c r="BZ63" i="7"/>
  <c r="BZ83" i="7"/>
  <c r="BZ102" i="7"/>
  <c r="BZ68" i="7"/>
  <c r="BZ89" i="7"/>
  <c r="BZ66" i="7"/>
  <c r="BZ59" i="7"/>
  <c r="BZ51" i="7"/>
  <c r="BZ43" i="7"/>
  <c r="BZ35" i="7"/>
  <c r="BZ55" i="7"/>
  <c r="BZ48" i="7"/>
  <c r="BZ47" i="7"/>
  <c r="BZ40" i="7"/>
  <c r="BZ62" i="7"/>
  <c r="BZ81" i="7"/>
  <c r="BZ53" i="7"/>
  <c r="BZ38" i="7"/>
  <c r="BZ54" i="7"/>
  <c r="BZ42" i="7"/>
  <c r="BZ26" i="7"/>
  <c r="BZ16" i="7"/>
  <c r="BZ8" i="7"/>
  <c r="BZ19" i="7"/>
  <c r="BZ11" i="7"/>
  <c r="BZ3" i="7"/>
  <c r="BZ58" i="7"/>
  <c r="BZ56" i="7"/>
  <c r="BZ45" i="7"/>
  <c r="BZ46" i="7"/>
  <c r="BZ50" i="7"/>
  <c r="BZ39" i="7"/>
  <c r="BZ37" i="7"/>
  <c r="BZ32" i="7"/>
  <c r="BZ24" i="7"/>
  <c r="BZ18" i="7"/>
  <c r="BZ10" i="7"/>
  <c r="BZ2" i="7"/>
  <c r="BZ61" i="7"/>
  <c r="BZ22" i="7"/>
  <c r="BZ15" i="7"/>
  <c r="BZ30" i="7"/>
  <c r="BZ14" i="7"/>
  <c r="BZ7" i="7"/>
  <c r="BZ27" i="7"/>
  <c r="BZ6" i="7"/>
  <c r="BZ31" i="7"/>
  <c r="BZ21" i="7"/>
  <c r="BZ17" i="7"/>
  <c r="BZ34" i="7"/>
  <c r="BZ13" i="7"/>
  <c r="BZ9" i="7"/>
  <c r="BZ20" i="7"/>
  <c r="BZ12" i="7"/>
  <c r="CH52" i="9"/>
  <c r="CH1" i="9"/>
  <c r="CH52" i="8"/>
  <c r="CH137" i="7"/>
  <c r="CH148" i="7"/>
  <c r="CH140" i="7"/>
  <c r="CH139" i="7"/>
  <c r="CH141" i="7"/>
  <c r="CH131" i="7"/>
  <c r="CH123" i="7"/>
  <c r="CH134" i="7"/>
  <c r="CH126" i="7"/>
  <c r="CH142" i="7"/>
  <c r="CH138" i="7"/>
  <c r="CH136" i="7"/>
  <c r="CH133" i="7"/>
  <c r="CH118" i="7"/>
  <c r="CH113" i="7"/>
  <c r="CH105" i="7"/>
  <c r="CH143" i="7"/>
  <c r="CH116" i="7"/>
  <c r="CH108" i="7"/>
  <c r="CH100" i="7"/>
  <c r="CH1" i="8"/>
  <c r="CH144" i="7"/>
  <c r="CH128" i="7"/>
  <c r="CH125" i="7"/>
  <c r="CH115" i="7"/>
  <c r="CH107" i="7"/>
  <c r="CH114" i="7"/>
  <c r="CH93" i="7"/>
  <c r="CH135" i="7"/>
  <c r="CH132" i="7"/>
  <c r="CH119" i="7"/>
  <c r="CH110" i="7"/>
  <c r="CH106" i="7"/>
  <c r="CH96" i="7"/>
  <c r="CH88" i="7"/>
  <c r="CH127" i="7"/>
  <c r="CH120" i="7"/>
  <c r="CH117" i="7"/>
  <c r="CH124" i="7"/>
  <c r="CH121" i="7"/>
  <c r="CH129" i="7"/>
  <c r="CH111" i="7"/>
  <c r="CH104" i="7"/>
  <c r="CH95" i="7"/>
  <c r="CH112" i="7"/>
  <c r="CH87" i="7"/>
  <c r="CH77" i="7"/>
  <c r="CH69" i="7"/>
  <c r="CH103" i="7"/>
  <c r="CH102" i="7"/>
  <c r="CH98" i="7"/>
  <c r="CH94" i="7"/>
  <c r="CH80" i="7"/>
  <c r="CH72" i="7"/>
  <c r="CH64" i="7"/>
  <c r="CH130" i="7"/>
  <c r="CH122" i="7"/>
  <c r="CH101" i="7"/>
  <c r="CH99" i="7"/>
  <c r="CH92" i="7"/>
  <c r="CH79" i="7"/>
  <c r="CH71" i="7"/>
  <c r="CH97" i="7"/>
  <c r="CH89" i="7"/>
  <c r="CH82" i="7"/>
  <c r="CH78" i="7"/>
  <c r="CH109" i="7"/>
  <c r="CH86" i="7"/>
  <c r="CH74" i="7"/>
  <c r="CH70" i="7"/>
  <c r="CH91" i="7"/>
  <c r="CH84" i="7"/>
  <c r="CH81" i="7"/>
  <c r="CH83" i="7"/>
  <c r="CH85" i="7"/>
  <c r="CH57" i="7"/>
  <c r="CH49" i="7"/>
  <c r="CH41" i="7"/>
  <c r="CH33" i="7"/>
  <c r="CH25" i="7"/>
  <c r="CH76" i="7"/>
  <c r="CH73" i="7"/>
  <c r="CH66" i="7"/>
  <c r="CH65" i="7"/>
  <c r="CH60" i="7"/>
  <c r="CH52" i="7"/>
  <c r="CH44" i="7"/>
  <c r="CH36" i="7"/>
  <c r="CH28" i="7"/>
  <c r="CH68" i="7"/>
  <c r="CH63" i="7"/>
  <c r="CH67" i="7"/>
  <c r="CH90" i="7"/>
  <c r="CH75" i="7"/>
  <c r="CH59" i="7"/>
  <c r="CH51" i="7"/>
  <c r="CH43" i="7"/>
  <c r="CH35" i="7"/>
  <c r="CH53" i="7"/>
  <c r="CH38" i="7"/>
  <c r="CH34" i="7"/>
  <c r="CH45" i="7"/>
  <c r="CH62" i="7"/>
  <c r="CH58" i="7"/>
  <c r="CH39" i="7"/>
  <c r="CH47" i="7"/>
  <c r="CH46" i="7"/>
  <c r="CH32" i="7"/>
  <c r="CH16" i="7"/>
  <c r="CH8" i="7"/>
  <c r="CH48" i="7"/>
  <c r="CH37" i="7"/>
  <c r="CH29" i="7"/>
  <c r="CH19" i="7"/>
  <c r="CH11" i="7"/>
  <c r="CH3" i="7"/>
  <c r="CH50" i="7"/>
  <c r="CH40" i="7"/>
  <c r="CH61" i="7"/>
  <c r="CH55" i="7"/>
  <c r="CH54" i="7"/>
  <c r="CH42" i="7"/>
  <c r="CH56" i="7"/>
  <c r="CH18" i="7"/>
  <c r="CH10" i="7"/>
  <c r="CH2" i="7"/>
  <c r="CH31" i="7"/>
  <c r="CH20" i="7"/>
  <c r="CH5" i="7"/>
  <c r="CH12" i="7"/>
  <c r="CH23" i="7"/>
  <c r="CH4" i="7"/>
  <c r="CH26" i="7"/>
  <c r="CH22" i="7"/>
  <c r="CH15" i="7"/>
  <c r="CH14" i="7"/>
  <c r="CH7" i="7"/>
  <c r="CH30" i="7"/>
  <c r="CH24" i="7"/>
  <c r="CH21" i="7"/>
  <c r="CH17" i="7"/>
  <c r="CP52" i="9"/>
  <c r="CP52" i="8"/>
  <c r="CP1" i="9"/>
  <c r="CP137" i="7"/>
  <c r="CP1" i="8"/>
  <c r="CP148" i="7"/>
  <c r="CP140" i="7"/>
  <c r="CP139" i="7"/>
  <c r="CP138" i="7"/>
  <c r="CP131" i="7"/>
  <c r="CP123" i="7"/>
  <c r="CP142" i="7"/>
  <c r="CP134" i="7"/>
  <c r="CP126" i="7"/>
  <c r="CP143" i="7"/>
  <c r="CP133" i="7"/>
  <c r="CP144" i="7"/>
  <c r="CP132" i="7"/>
  <c r="CP125" i="7"/>
  <c r="CP119" i="7"/>
  <c r="CP113" i="7"/>
  <c r="CP105" i="7"/>
  <c r="CP128" i="7"/>
  <c r="CP122" i="7"/>
  <c r="CP118" i="7"/>
  <c r="CP116" i="7"/>
  <c r="CP108" i="7"/>
  <c r="CP100" i="7"/>
  <c r="CP135" i="7"/>
  <c r="CP141" i="7"/>
  <c r="CP129" i="7"/>
  <c r="CP121" i="7"/>
  <c r="CP115" i="7"/>
  <c r="CP107" i="7"/>
  <c r="CP124" i="7"/>
  <c r="CP112" i="7"/>
  <c r="CP93" i="7"/>
  <c r="CP111" i="7"/>
  <c r="CP104" i="7"/>
  <c r="CP102" i="7"/>
  <c r="CP96" i="7"/>
  <c r="CP88" i="7"/>
  <c r="CP130" i="7"/>
  <c r="CP109" i="7"/>
  <c r="CP101" i="7"/>
  <c r="CP95" i="7"/>
  <c r="CP106" i="7"/>
  <c r="CP77" i="7"/>
  <c r="CP69" i="7"/>
  <c r="CP127" i="7"/>
  <c r="CP99" i="7"/>
  <c r="CP92" i="7"/>
  <c r="CP80" i="7"/>
  <c r="CP72" i="7"/>
  <c r="CP64" i="7"/>
  <c r="CP136" i="7"/>
  <c r="CP110" i="7"/>
  <c r="CP114" i="7"/>
  <c r="CP120" i="7"/>
  <c r="CP97" i="7"/>
  <c r="CP89" i="7"/>
  <c r="CP85" i="7"/>
  <c r="CP79" i="7"/>
  <c r="CP71" i="7"/>
  <c r="CP117" i="7"/>
  <c r="CP91" i="7"/>
  <c r="CP83" i="7"/>
  <c r="CP76" i="7"/>
  <c r="CP90" i="7"/>
  <c r="CP75" i="7"/>
  <c r="CP68" i="7"/>
  <c r="CP74" i="7"/>
  <c r="CP70" i="7"/>
  <c r="CP103" i="7"/>
  <c r="CP87" i="7"/>
  <c r="CP84" i="7"/>
  <c r="CP73" i="7"/>
  <c r="CP98" i="7"/>
  <c r="CP57" i="7"/>
  <c r="CP49" i="7"/>
  <c r="CP41" i="7"/>
  <c r="CP33" i="7"/>
  <c r="CP25" i="7"/>
  <c r="CP67" i="7"/>
  <c r="CP60" i="7"/>
  <c r="CP52" i="7"/>
  <c r="CP44" i="7"/>
  <c r="CP36" i="7"/>
  <c r="CP28" i="7"/>
  <c r="CP81" i="7"/>
  <c r="CP78" i="7"/>
  <c r="CP63" i="7"/>
  <c r="CP82" i="7"/>
  <c r="CP65" i="7"/>
  <c r="CP59" i="7"/>
  <c r="CP51" i="7"/>
  <c r="CP43" i="7"/>
  <c r="CP35" i="7"/>
  <c r="CP62" i="7"/>
  <c r="CP58" i="7"/>
  <c r="CP39" i="7"/>
  <c r="CP54" i="7"/>
  <c r="CP50" i="7"/>
  <c r="CP66" i="7"/>
  <c r="CP61" i="7"/>
  <c r="CP86" i="7"/>
  <c r="CP56" i="7"/>
  <c r="CP37" i="7"/>
  <c r="CP24" i="7"/>
  <c r="CP16" i="7"/>
  <c r="CP8" i="7"/>
  <c r="CP53" i="7"/>
  <c r="CP42" i="7"/>
  <c r="CP40" i="7"/>
  <c r="CP19" i="7"/>
  <c r="CP11" i="7"/>
  <c r="CP3" i="7"/>
  <c r="CP55" i="7"/>
  <c r="CP94" i="7"/>
  <c r="CP46" i="7"/>
  <c r="CP45" i="7"/>
  <c r="CP47" i="7"/>
  <c r="CP48" i="7"/>
  <c r="CP30" i="7"/>
  <c r="CP18" i="7"/>
  <c r="CP10" i="7"/>
  <c r="CP2" i="7"/>
  <c r="CP34" i="7"/>
  <c r="CP26" i="7"/>
  <c r="CP6" i="7"/>
  <c r="CP21" i="7"/>
  <c r="CP17" i="7"/>
  <c r="CP38" i="7"/>
  <c r="CP13" i="7"/>
  <c r="CP9" i="7"/>
  <c r="CP27" i="7"/>
  <c r="CP20" i="7"/>
  <c r="CP5" i="7"/>
  <c r="CP31" i="7"/>
  <c r="CP12" i="7"/>
  <c r="CP23" i="7"/>
  <c r="CP32" i="7"/>
  <c r="CP22" i="7"/>
  <c r="CP15" i="7"/>
  <c r="CX52" i="9"/>
  <c r="CX52" i="8"/>
  <c r="CX1" i="9"/>
  <c r="CX137" i="7"/>
  <c r="CX148" i="7"/>
  <c r="CX140" i="7"/>
  <c r="CX139" i="7"/>
  <c r="CX144" i="7"/>
  <c r="CX136" i="7"/>
  <c r="CX131" i="7"/>
  <c r="CX123" i="7"/>
  <c r="CX143" i="7"/>
  <c r="CX134" i="7"/>
  <c r="CX126" i="7"/>
  <c r="CX141" i="7"/>
  <c r="CX133" i="7"/>
  <c r="CX130" i="7"/>
  <c r="CX121" i="7"/>
  <c r="CX113" i="7"/>
  <c r="CX105" i="7"/>
  <c r="CX129" i="7"/>
  <c r="CX119" i="7"/>
  <c r="CX116" i="7"/>
  <c r="CX108" i="7"/>
  <c r="CX100" i="7"/>
  <c r="CX142" i="7"/>
  <c r="CX1" i="8"/>
  <c r="CX138" i="7"/>
  <c r="CX127" i="7"/>
  <c r="CX115" i="7"/>
  <c r="CX107" i="7"/>
  <c r="CX128" i="7"/>
  <c r="CX117" i="7"/>
  <c r="CX101" i="7"/>
  <c r="CX93" i="7"/>
  <c r="CX109" i="7"/>
  <c r="CX96" i="7"/>
  <c r="CX88" i="7"/>
  <c r="CX132" i="7"/>
  <c r="CX120" i="7"/>
  <c r="CX118" i="7"/>
  <c r="CX124" i="7"/>
  <c r="CX135" i="7"/>
  <c r="CX125" i="7"/>
  <c r="CX114" i="7"/>
  <c r="CX95" i="7"/>
  <c r="CX111" i="7"/>
  <c r="CX110" i="7"/>
  <c r="CX90" i="7"/>
  <c r="CX89" i="7"/>
  <c r="CX77" i="7"/>
  <c r="CX69" i="7"/>
  <c r="CX112" i="7"/>
  <c r="CX102" i="7"/>
  <c r="CX97" i="7"/>
  <c r="CX86" i="7"/>
  <c r="CX80" i="7"/>
  <c r="CX72" i="7"/>
  <c r="CX64" i="7"/>
  <c r="CX122" i="7"/>
  <c r="CX79" i="7"/>
  <c r="CX71" i="7"/>
  <c r="CX94" i="7"/>
  <c r="CX81" i="7"/>
  <c r="CX66" i="7"/>
  <c r="CX73" i="7"/>
  <c r="CX106" i="7"/>
  <c r="CX103" i="7"/>
  <c r="CX87" i="7"/>
  <c r="CX85" i="7"/>
  <c r="CX75" i="7"/>
  <c r="CX68" i="7"/>
  <c r="CX76" i="7"/>
  <c r="CX78" i="7"/>
  <c r="CX91" i="7"/>
  <c r="CX98" i="7"/>
  <c r="CX84" i="7"/>
  <c r="CX57" i="7"/>
  <c r="CX49" i="7"/>
  <c r="CX41" i="7"/>
  <c r="CX33" i="7"/>
  <c r="CX25" i="7"/>
  <c r="CX74" i="7"/>
  <c r="CX65" i="7"/>
  <c r="CX60" i="7"/>
  <c r="CX52" i="7"/>
  <c r="CX44" i="7"/>
  <c r="CX36" i="7"/>
  <c r="CX28" i="7"/>
  <c r="CX70" i="7"/>
  <c r="CX82" i="7"/>
  <c r="CX99" i="7"/>
  <c r="CX83" i="7"/>
  <c r="CX104" i="7"/>
  <c r="CX92" i="7"/>
  <c r="CX67" i="7"/>
  <c r="CX59" i="7"/>
  <c r="CX51" i="7"/>
  <c r="CX43" i="7"/>
  <c r="CX35" i="7"/>
  <c r="CX56" i="7"/>
  <c r="CX37" i="7"/>
  <c r="CX55" i="7"/>
  <c r="CX48" i="7"/>
  <c r="CX63" i="7"/>
  <c r="CX61" i="7"/>
  <c r="CX46" i="7"/>
  <c r="CX42" i="7"/>
  <c r="CX30" i="7"/>
  <c r="CX16" i="7"/>
  <c r="CX8" i="7"/>
  <c r="CX58" i="7"/>
  <c r="CX47" i="7"/>
  <c r="CX45" i="7"/>
  <c r="CX34" i="7"/>
  <c r="CX31" i="7"/>
  <c r="CX27" i="7"/>
  <c r="CX24" i="7"/>
  <c r="CX19" i="7"/>
  <c r="CX11" i="7"/>
  <c r="CX3" i="7"/>
  <c r="CX50" i="7"/>
  <c r="CX39" i="7"/>
  <c r="CX38" i="7"/>
  <c r="CX40" i="7"/>
  <c r="CX62" i="7"/>
  <c r="CX53" i="7"/>
  <c r="CX26" i="7"/>
  <c r="CX18" i="7"/>
  <c r="CX10" i="7"/>
  <c r="CX2" i="7"/>
  <c r="CX23" i="7"/>
  <c r="CX4" i="7"/>
  <c r="CX22" i="7"/>
  <c r="CX15" i="7"/>
  <c r="CX14" i="7"/>
  <c r="CX7" i="7"/>
  <c r="CX54" i="7"/>
  <c r="CX32" i="7"/>
  <c r="CX6" i="7"/>
  <c r="CX29" i="7"/>
  <c r="CX21" i="7"/>
  <c r="CX17" i="7"/>
  <c r="CX13" i="7"/>
  <c r="CX9" i="7"/>
  <c r="CX20" i="7"/>
  <c r="CX5" i="7"/>
  <c r="DF52" i="9"/>
  <c r="DF1" i="9"/>
  <c r="DF137" i="7"/>
  <c r="DF52" i="8"/>
  <c r="DF148" i="7"/>
  <c r="DF140" i="7"/>
  <c r="DF139" i="7"/>
  <c r="DF131" i="7"/>
  <c r="DF123" i="7"/>
  <c r="DF141" i="7"/>
  <c r="DF136" i="7"/>
  <c r="DF134" i="7"/>
  <c r="DF126" i="7"/>
  <c r="DF133" i="7"/>
  <c r="DF143" i="7"/>
  <c r="DF142" i="7"/>
  <c r="DF135" i="7"/>
  <c r="DF127" i="7"/>
  <c r="DF113" i="7"/>
  <c r="DF105" i="7"/>
  <c r="DF144" i="7"/>
  <c r="DF124" i="7"/>
  <c r="DF120" i="7"/>
  <c r="DF116" i="7"/>
  <c r="DF108" i="7"/>
  <c r="DF100" i="7"/>
  <c r="DF138" i="7"/>
  <c r="DF1" i="8"/>
  <c r="DF132" i="7"/>
  <c r="DF115" i="7"/>
  <c r="DF107" i="7"/>
  <c r="DF121" i="7"/>
  <c r="DF103" i="7"/>
  <c r="DF93" i="7"/>
  <c r="DF114" i="7"/>
  <c r="DF96" i="7"/>
  <c r="DF88" i="7"/>
  <c r="DF125" i="7"/>
  <c r="DF119" i="7"/>
  <c r="DF122" i="7"/>
  <c r="DF117" i="7"/>
  <c r="DF129" i="7"/>
  <c r="DF128" i="7"/>
  <c r="DF130" i="7"/>
  <c r="DF112" i="7"/>
  <c r="DF95" i="7"/>
  <c r="DF91" i="7"/>
  <c r="DF85" i="7"/>
  <c r="DF77" i="7"/>
  <c r="DF69" i="7"/>
  <c r="DF106" i="7"/>
  <c r="DF104" i="7"/>
  <c r="DF80" i="7"/>
  <c r="DF72" i="7"/>
  <c r="DF64" i="7"/>
  <c r="DF110" i="7"/>
  <c r="DF109" i="7"/>
  <c r="DF118" i="7"/>
  <c r="DF102" i="7"/>
  <c r="DF87" i="7"/>
  <c r="DF79" i="7"/>
  <c r="DF71" i="7"/>
  <c r="DF99" i="7"/>
  <c r="DF67" i="7"/>
  <c r="DF82" i="7"/>
  <c r="DF78" i="7"/>
  <c r="DF94" i="7"/>
  <c r="DF92" i="7"/>
  <c r="DF89" i="7"/>
  <c r="DF73" i="7"/>
  <c r="DF81" i="7"/>
  <c r="DF70" i="7"/>
  <c r="DF68" i="7"/>
  <c r="DF98" i="7"/>
  <c r="DF83" i="7"/>
  <c r="DF111" i="7"/>
  <c r="DF84" i="7"/>
  <c r="DF101" i="7"/>
  <c r="DF75" i="7"/>
  <c r="DF66" i="7"/>
  <c r="DF57" i="7"/>
  <c r="DF49" i="7"/>
  <c r="DF41" i="7"/>
  <c r="DF33" i="7"/>
  <c r="DF25" i="7"/>
  <c r="DF60" i="7"/>
  <c r="DF52" i="7"/>
  <c r="DF44" i="7"/>
  <c r="DF36" i="7"/>
  <c r="DF28" i="7"/>
  <c r="DF97" i="7"/>
  <c r="DF90" i="7"/>
  <c r="DF76" i="7"/>
  <c r="DF86" i="7"/>
  <c r="DF74" i="7"/>
  <c r="DF65" i="7"/>
  <c r="DF63" i="7"/>
  <c r="DF59" i="7"/>
  <c r="DF51" i="7"/>
  <c r="DF43" i="7"/>
  <c r="DF35" i="7"/>
  <c r="DF61" i="7"/>
  <c r="DF46" i="7"/>
  <c r="DF42" i="7"/>
  <c r="DF53" i="7"/>
  <c r="DF38" i="7"/>
  <c r="DF34" i="7"/>
  <c r="DF47" i="7"/>
  <c r="DF40" i="7"/>
  <c r="DF48" i="7"/>
  <c r="DF37" i="7"/>
  <c r="DF26" i="7"/>
  <c r="DF16" i="7"/>
  <c r="DF8" i="7"/>
  <c r="DF50" i="7"/>
  <c r="DF39" i="7"/>
  <c r="DF19" i="7"/>
  <c r="DF11" i="7"/>
  <c r="DF3" i="7"/>
  <c r="DF62" i="7"/>
  <c r="DF55" i="7"/>
  <c r="DF54" i="7"/>
  <c r="DF56" i="7"/>
  <c r="DF45" i="7"/>
  <c r="DF58" i="7"/>
  <c r="DF32" i="7"/>
  <c r="DF18" i="7"/>
  <c r="DF10" i="7"/>
  <c r="DF2" i="7"/>
  <c r="DF29" i="7"/>
  <c r="DF24" i="7"/>
  <c r="DF13" i="7"/>
  <c r="DF9" i="7"/>
  <c r="DF20" i="7"/>
  <c r="DF5" i="7"/>
  <c r="DF30" i="7"/>
  <c r="DF12" i="7"/>
  <c r="DF27" i="7"/>
  <c r="DF23" i="7"/>
  <c r="DF4" i="7"/>
  <c r="DF31" i="7"/>
  <c r="DF22" i="7"/>
  <c r="DF15" i="7"/>
  <c r="DF14" i="7"/>
  <c r="DF6" i="7"/>
  <c r="DN52" i="9"/>
  <c r="DN1" i="9"/>
  <c r="DN52" i="8"/>
  <c r="DN137" i="7"/>
  <c r="DN148" i="7"/>
  <c r="DN140" i="7"/>
  <c r="DN139" i="7"/>
  <c r="DN1" i="8"/>
  <c r="DN131" i="7"/>
  <c r="DN123" i="7"/>
  <c r="DN134" i="7"/>
  <c r="DN126" i="7"/>
  <c r="DN144" i="7"/>
  <c r="DN138" i="7"/>
  <c r="DN133" i="7"/>
  <c r="DN113" i="7"/>
  <c r="DN105" i="7"/>
  <c r="DN136" i="7"/>
  <c r="DN132" i="7"/>
  <c r="DN116" i="7"/>
  <c r="DN108" i="7"/>
  <c r="DN100" i="7"/>
  <c r="DN135" i="7"/>
  <c r="DN142" i="7"/>
  <c r="DN141" i="7"/>
  <c r="DN143" i="7"/>
  <c r="DN130" i="7"/>
  <c r="DN125" i="7"/>
  <c r="DN117" i="7"/>
  <c r="DN115" i="7"/>
  <c r="DN107" i="7"/>
  <c r="DN122" i="7"/>
  <c r="DN93" i="7"/>
  <c r="DN128" i="7"/>
  <c r="DN112" i="7"/>
  <c r="DN96" i="7"/>
  <c r="DN88" i="7"/>
  <c r="DN129" i="7"/>
  <c r="DN127" i="7"/>
  <c r="DN120" i="7"/>
  <c r="DN118" i="7"/>
  <c r="DN124" i="7"/>
  <c r="DN121" i="7"/>
  <c r="DN95" i="7"/>
  <c r="DN87" i="7"/>
  <c r="DN77" i="7"/>
  <c r="DN69" i="7"/>
  <c r="DN111" i="7"/>
  <c r="DN109" i="7"/>
  <c r="DN85" i="7"/>
  <c r="DN80" i="7"/>
  <c r="DN72" i="7"/>
  <c r="DN64" i="7"/>
  <c r="DN110" i="7"/>
  <c r="DN114" i="7"/>
  <c r="DN119" i="7"/>
  <c r="DN90" i="7"/>
  <c r="DN79" i="7"/>
  <c r="DN71" i="7"/>
  <c r="DN102" i="7"/>
  <c r="DN92" i="7"/>
  <c r="DN84" i="7"/>
  <c r="DN65" i="7"/>
  <c r="DN89" i="7"/>
  <c r="DN83" i="7"/>
  <c r="DN76" i="7"/>
  <c r="DN106" i="7"/>
  <c r="DN104" i="7"/>
  <c r="DN101" i="7"/>
  <c r="DN99" i="7"/>
  <c r="DN97" i="7"/>
  <c r="DN82" i="7"/>
  <c r="DN78" i="7"/>
  <c r="DN103" i="7"/>
  <c r="DN75" i="7"/>
  <c r="DN74" i="7"/>
  <c r="DN73" i="7"/>
  <c r="DN57" i="7"/>
  <c r="DN49" i="7"/>
  <c r="DN41" i="7"/>
  <c r="DN33" i="7"/>
  <c r="DN25" i="7"/>
  <c r="DN60" i="7"/>
  <c r="DN52" i="7"/>
  <c r="DN44" i="7"/>
  <c r="DN36" i="7"/>
  <c r="DN28" i="7"/>
  <c r="DN86" i="7"/>
  <c r="DN94" i="7"/>
  <c r="DN70" i="7"/>
  <c r="DN81" i="7"/>
  <c r="DN66" i="7"/>
  <c r="DN59" i="7"/>
  <c r="DN51" i="7"/>
  <c r="DN43" i="7"/>
  <c r="DN35" i="7"/>
  <c r="DN47" i="7"/>
  <c r="DN40" i="7"/>
  <c r="DN98" i="7"/>
  <c r="DN62" i="7"/>
  <c r="DN58" i="7"/>
  <c r="DN39" i="7"/>
  <c r="DN67" i="7"/>
  <c r="DN45" i="7"/>
  <c r="DN54" i="7"/>
  <c r="DN53" i="7"/>
  <c r="DN42" i="7"/>
  <c r="DN32" i="7"/>
  <c r="DN16" i="7"/>
  <c r="DN8" i="7"/>
  <c r="DN63" i="7"/>
  <c r="DN55" i="7"/>
  <c r="DN29" i="7"/>
  <c r="DN19" i="7"/>
  <c r="DN11" i="7"/>
  <c r="DN3" i="7"/>
  <c r="DN91" i="7"/>
  <c r="DN61" i="7"/>
  <c r="DN56" i="7"/>
  <c r="DN46" i="7"/>
  <c r="DN68" i="7"/>
  <c r="DN50" i="7"/>
  <c r="DN48" i="7"/>
  <c r="DN37" i="7"/>
  <c r="DN38" i="7"/>
  <c r="DN18" i="7"/>
  <c r="DN10" i="7"/>
  <c r="DN2" i="7"/>
  <c r="DN27" i="7"/>
  <c r="DN14" i="7"/>
  <c r="DN7" i="7"/>
  <c r="DN31" i="7"/>
  <c r="DN6" i="7"/>
  <c r="DN34" i="7"/>
  <c r="DN21" i="7"/>
  <c r="DN17" i="7"/>
  <c r="DN13" i="7"/>
  <c r="DN9" i="7"/>
  <c r="DN26" i="7"/>
  <c r="DN24" i="7"/>
  <c r="DN20" i="7"/>
  <c r="DN5" i="7"/>
  <c r="DN12" i="7"/>
  <c r="DN23" i="7"/>
  <c r="DN4" i="7"/>
  <c r="DV52" i="9"/>
  <c r="DV52" i="8"/>
  <c r="DV1" i="9"/>
  <c r="DV137" i="7"/>
  <c r="DV1" i="8"/>
  <c r="DV148" i="7"/>
  <c r="DV140" i="7"/>
  <c r="DV139" i="7"/>
  <c r="DV138" i="7"/>
  <c r="DV131" i="7"/>
  <c r="DV123" i="7"/>
  <c r="DV144" i="7"/>
  <c r="DV134" i="7"/>
  <c r="DV126" i="7"/>
  <c r="DV133" i="7"/>
  <c r="DV125" i="7"/>
  <c r="DV113" i="7"/>
  <c r="DV105" i="7"/>
  <c r="DV143" i="7"/>
  <c r="DV141" i="7"/>
  <c r="DV130" i="7"/>
  <c r="DV122" i="7"/>
  <c r="DV116" i="7"/>
  <c r="DV108" i="7"/>
  <c r="DV100" i="7"/>
  <c r="DV142" i="7"/>
  <c r="DV136" i="7"/>
  <c r="DV135" i="7"/>
  <c r="DV121" i="7"/>
  <c r="DV115" i="7"/>
  <c r="DV107" i="7"/>
  <c r="DV127" i="7"/>
  <c r="DV120" i="7"/>
  <c r="DV110" i="7"/>
  <c r="DV106" i="7"/>
  <c r="DV93" i="7"/>
  <c r="DV132" i="7"/>
  <c r="DV124" i="7"/>
  <c r="DV102" i="7"/>
  <c r="DV96" i="7"/>
  <c r="DV88" i="7"/>
  <c r="DV119" i="7"/>
  <c r="DV117" i="7"/>
  <c r="DV129" i="7"/>
  <c r="DV103" i="7"/>
  <c r="DV101" i="7"/>
  <c r="DV95" i="7"/>
  <c r="DV112" i="7"/>
  <c r="DV98" i="7"/>
  <c r="DV94" i="7"/>
  <c r="DV77" i="7"/>
  <c r="DV69" i="7"/>
  <c r="DV114" i="7"/>
  <c r="DV90" i="7"/>
  <c r="DV80" i="7"/>
  <c r="DV72" i="7"/>
  <c r="DV64" i="7"/>
  <c r="DV118" i="7"/>
  <c r="DV91" i="7"/>
  <c r="DV89" i="7"/>
  <c r="DV79" i="7"/>
  <c r="DV71" i="7"/>
  <c r="DV104" i="7"/>
  <c r="DV97" i="7"/>
  <c r="DV87" i="7"/>
  <c r="DV74" i="7"/>
  <c r="DV70" i="7"/>
  <c r="DV81" i="7"/>
  <c r="DV66" i="7"/>
  <c r="DV83" i="7"/>
  <c r="DV76" i="7"/>
  <c r="DV85" i="7"/>
  <c r="DV78" i="7"/>
  <c r="DV111" i="7"/>
  <c r="DV128" i="7"/>
  <c r="DV63" i="7"/>
  <c r="DV57" i="7"/>
  <c r="DV49" i="7"/>
  <c r="DV41" i="7"/>
  <c r="DV33" i="7"/>
  <c r="DV25" i="7"/>
  <c r="DV86" i="7"/>
  <c r="DV60" i="7"/>
  <c r="DV52" i="7"/>
  <c r="DV44" i="7"/>
  <c r="DV36" i="7"/>
  <c r="DV28" i="7"/>
  <c r="DV84" i="7"/>
  <c r="DV92" i="7"/>
  <c r="DV99" i="7"/>
  <c r="DV75" i="7"/>
  <c r="DV68" i="7"/>
  <c r="DV67" i="7"/>
  <c r="DV82" i="7"/>
  <c r="DV65" i="7"/>
  <c r="DV59" i="7"/>
  <c r="DV51" i="7"/>
  <c r="DV43" i="7"/>
  <c r="DV35" i="7"/>
  <c r="DV45" i="7"/>
  <c r="DV109" i="7"/>
  <c r="DV73" i="7"/>
  <c r="DV56" i="7"/>
  <c r="DV37" i="7"/>
  <c r="DV54" i="7"/>
  <c r="DV50" i="7"/>
  <c r="DV61" i="7"/>
  <c r="DV58" i="7"/>
  <c r="DV47" i="7"/>
  <c r="DV46" i="7"/>
  <c r="DV34" i="7"/>
  <c r="DV16" i="7"/>
  <c r="DV8" i="7"/>
  <c r="DV48" i="7"/>
  <c r="DV19" i="7"/>
  <c r="DV11" i="7"/>
  <c r="DV3" i="7"/>
  <c r="DV39" i="7"/>
  <c r="DV38" i="7"/>
  <c r="DV40" i="7"/>
  <c r="DV55" i="7"/>
  <c r="DV53" i="7"/>
  <c r="DV42" i="7"/>
  <c r="DV30" i="7"/>
  <c r="DV18" i="7"/>
  <c r="DV10" i="7"/>
  <c r="DV2" i="7"/>
  <c r="DV62" i="7"/>
  <c r="DV29" i="7"/>
  <c r="DV24" i="7"/>
  <c r="DV12" i="7"/>
  <c r="DV26" i="7"/>
  <c r="DV23" i="7"/>
  <c r="DV4" i="7"/>
  <c r="DV22" i="7"/>
  <c r="DV15" i="7"/>
  <c r="DV14" i="7"/>
  <c r="DV7" i="7"/>
  <c r="DV27" i="7"/>
  <c r="DV6" i="7"/>
  <c r="DV31" i="7"/>
  <c r="DV21" i="7"/>
  <c r="DV17" i="7"/>
  <c r="DV13" i="7"/>
  <c r="DV9" i="7"/>
  <c r="ED52" i="9"/>
  <c r="ED1" i="9"/>
  <c r="ED52" i="8"/>
  <c r="ED137" i="7"/>
  <c r="ED148" i="7"/>
  <c r="ED140" i="7"/>
  <c r="ED139" i="7"/>
  <c r="ED1" i="8"/>
  <c r="ED142" i="7"/>
  <c r="ED131" i="7"/>
  <c r="ED123" i="7"/>
  <c r="ED134" i="7"/>
  <c r="ED126" i="7"/>
  <c r="ED136" i="7"/>
  <c r="ED133" i="7"/>
  <c r="ED144" i="7"/>
  <c r="ED128" i="7"/>
  <c r="ED121" i="7"/>
  <c r="ED117" i="7"/>
  <c r="ED113" i="7"/>
  <c r="ED105" i="7"/>
  <c r="ED135" i="7"/>
  <c r="ED116" i="7"/>
  <c r="ED108" i="7"/>
  <c r="ED100" i="7"/>
  <c r="ED141" i="7"/>
  <c r="ED138" i="7"/>
  <c r="ED127" i="7"/>
  <c r="ED118" i="7"/>
  <c r="ED115" i="7"/>
  <c r="ED107" i="7"/>
  <c r="ED143" i="7"/>
  <c r="ED122" i="7"/>
  <c r="ED111" i="7"/>
  <c r="ED104" i="7"/>
  <c r="ED101" i="7"/>
  <c r="ED93" i="7"/>
  <c r="ED103" i="7"/>
  <c r="ED96" i="7"/>
  <c r="ED88" i="7"/>
  <c r="ED129" i="7"/>
  <c r="ED120" i="7"/>
  <c r="ED130" i="7"/>
  <c r="ED124" i="7"/>
  <c r="ED132" i="7"/>
  <c r="ED95" i="7"/>
  <c r="ED125" i="7"/>
  <c r="ED106" i="7"/>
  <c r="ED99" i="7"/>
  <c r="ED92" i="7"/>
  <c r="ED89" i="7"/>
  <c r="ED77" i="7"/>
  <c r="ED69" i="7"/>
  <c r="ED91" i="7"/>
  <c r="ED86" i="7"/>
  <c r="ED80" i="7"/>
  <c r="ED72" i="7"/>
  <c r="ED64" i="7"/>
  <c r="ED110" i="7"/>
  <c r="ED109" i="7"/>
  <c r="ED119" i="7"/>
  <c r="ED114" i="7"/>
  <c r="ED79" i="7"/>
  <c r="ED71" i="7"/>
  <c r="ED75" i="7"/>
  <c r="ED68" i="7"/>
  <c r="ED112" i="7"/>
  <c r="ED90" i="7"/>
  <c r="ED67" i="7"/>
  <c r="ED102" i="7"/>
  <c r="ED81" i="7"/>
  <c r="ED83" i="7"/>
  <c r="ED97" i="7"/>
  <c r="ED94" i="7"/>
  <c r="ED84" i="7"/>
  <c r="ED73" i="7"/>
  <c r="ED74" i="7"/>
  <c r="ED98" i="7"/>
  <c r="ED57" i="7"/>
  <c r="ED49" i="7"/>
  <c r="ED41" i="7"/>
  <c r="ED33" i="7"/>
  <c r="ED25" i="7"/>
  <c r="ED78" i="7"/>
  <c r="ED63" i="7"/>
  <c r="ED60" i="7"/>
  <c r="ED52" i="7"/>
  <c r="ED44" i="7"/>
  <c r="ED36" i="7"/>
  <c r="ED28" i="7"/>
  <c r="ED65" i="7"/>
  <c r="ED87" i="7"/>
  <c r="ED82" i="7"/>
  <c r="ED85" i="7"/>
  <c r="ED76" i="7"/>
  <c r="ED66" i="7"/>
  <c r="ED59" i="7"/>
  <c r="ED51" i="7"/>
  <c r="ED43" i="7"/>
  <c r="ED35" i="7"/>
  <c r="ED54" i="7"/>
  <c r="ED50" i="7"/>
  <c r="ED61" i="7"/>
  <c r="ED46" i="7"/>
  <c r="ED42" i="7"/>
  <c r="ED70" i="7"/>
  <c r="ED55" i="7"/>
  <c r="ED48" i="7"/>
  <c r="ED39" i="7"/>
  <c r="ED30" i="7"/>
  <c r="ED16" i="7"/>
  <c r="ED8" i="7"/>
  <c r="ED53" i="7"/>
  <c r="ED40" i="7"/>
  <c r="ED31" i="7"/>
  <c r="ED27" i="7"/>
  <c r="ED19" i="7"/>
  <c r="ED11" i="7"/>
  <c r="ED3" i="7"/>
  <c r="ED56" i="7"/>
  <c r="ED45" i="7"/>
  <c r="ED62" i="7"/>
  <c r="ED58" i="7"/>
  <c r="ED47" i="7"/>
  <c r="ED26" i="7"/>
  <c r="ED18" i="7"/>
  <c r="ED10" i="7"/>
  <c r="ED2" i="7"/>
  <c r="ED38" i="7"/>
  <c r="ED21" i="7"/>
  <c r="ED17" i="7"/>
  <c r="ED13" i="7"/>
  <c r="ED9" i="7"/>
  <c r="ED20" i="7"/>
  <c r="ED5" i="7"/>
  <c r="ED12" i="7"/>
  <c r="ED32" i="7"/>
  <c r="ED24" i="7"/>
  <c r="ED23" i="7"/>
  <c r="ED4" i="7"/>
  <c r="ED29" i="7"/>
  <c r="ED22" i="7"/>
  <c r="ED15" i="7"/>
  <c r="ED37" i="7"/>
  <c r="ED34" i="7"/>
  <c r="ED14" i="7"/>
  <c r="ED7" i="7"/>
  <c r="EL52" i="9"/>
  <c r="EL1" i="9"/>
  <c r="EL52" i="8"/>
  <c r="EL137" i="7"/>
  <c r="EL148" i="7"/>
  <c r="EL140" i="7"/>
  <c r="EL139" i="7"/>
  <c r="EL143" i="7"/>
  <c r="EL136" i="7"/>
  <c r="EL131" i="7"/>
  <c r="EL123" i="7"/>
  <c r="EL134" i="7"/>
  <c r="EL126" i="7"/>
  <c r="EL133" i="7"/>
  <c r="EL129" i="7"/>
  <c r="EL127" i="7"/>
  <c r="EL113" i="7"/>
  <c r="EL105" i="7"/>
  <c r="EL124" i="7"/>
  <c r="EL120" i="7"/>
  <c r="EL117" i="7"/>
  <c r="EL116" i="7"/>
  <c r="EL108" i="7"/>
  <c r="EL100" i="7"/>
  <c r="EL1" i="8"/>
  <c r="EL142" i="7"/>
  <c r="EL141" i="7"/>
  <c r="EL138" i="7"/>
  <c r="EL135" i="7"/>
  <c r="EL144" i="7"/>
  <c r="EL119" i="7"/>
  <c r="EL115" i="7"/>
  <c r="EL107" i="7"/>
  <c r="EL128" i="7"/>
  <c r="EL109" i="7"/>
  <c r="EL93" i="7"/>
  <c r="EL121" i="7"/>
  <c r="EL96" i="7"/>
  <c r="EL88" i="7"/>
  <c r="EL132" i="7"/>
  <c r="EL130" i="7"/>
  <c r="EL125" i="7"/>
  <c r="EL122" i="7"/>
  <c r="EL118" i="7"/>
  <c r="EL110" i="7"/>
  <c r="EL106" i="7"/>
  <c r="EL95" i="7"/>
  <c r="EL111" i="7"/>
  <c r="EL97" i="7"/>
  <c r="EL77" i="7"/>
  <c r="EL69" i="7"/>
  <c r="EL112" i="7"/>
  <c r="EL80" i="7"/>
  <c r="EL72" i="7"/>
  <c r="EL64" i="7"/>
  <c r="EL114" i="7"/>
  <c r="EL98" i="7"/>
  <c r="EL94" i="7"/>
  <c r="EL87" i="7"/>
  <c r="EL79" i="7"/>
  <c r="EL71" i="7"/>
  <c r="EL73" i="7"/>
  <c r="EL103" i="7"/>
  <c r="EL84" i="7"/>
  <c r="EL65" i="7"/>
  <c r="EL104" i="7"/>
  <c r="EL101" i="7"/>
  <c r="EL91" i="7"/>
  <c r="EL76" i="7"/>
  <c r="EL66" i="7"/>
  <c r="EL78" i="7"/>
  <c r="EL99" i="7"/>
  <c r="EL57" i="7"/>
  <c r="EL49" i="7"/>
  <c r="EL41" i="7"/>
  <c r="EL33" i="7"/>
  <c r="EL25" i="7"/>
  <c r="EL102" i="7"/>
  <c r="EL89" i="7"/>
  <c r="EL82" i="7"/>
  <c r="EL75" i="7"/>
  <c r="EL60" i="7"/>
  <c r="EL52" i="7"/>
  <c r="EL44" i="7"/>
  <c r="EL36" i="7"/>
  <c r="EL28" i="7"/>
  <c r="EL63" i="7"/>
  <c r="EL85" i="7"/>
  <c r="EL83" i="7"/>
  <c r="EL70" i="7"/>
  <c r="EL67" i="7"/>
  <c r="EL59" i="7"/>
  <c r="EL51" i="7"/>
  <c r="EL43" i="7"/>
  <c r="EL35" i="7"/>
  <c r="EL74" i="7"/>
  <c r="EL55" i="7"/>
  <c r="EL48" i="7"/>
  <c r="EL90" i="7"/>
  <c r="EL47" i="7"/>
  <c r="EL40" i="7"/>
  <c r="EL86" i="7"/>
  <c r="EL62" i="7"/>
  <c r="EL81" i="7"/>
  <c r="EL68" i="7"/>
  <c r="EL53" i="7"/>
  <c r="EL38" i="7"/>
  <c r="EL34" i="7"/>
  <c r="EL92" i="7"/>
  <c r="EL26" i="7"/>
  <c r="EL16" i="7"/>
  <c r="EL8" i="7"/>
  <c r="EL58" i="7"/>
  <c r="EL56" i="7"/>
  <c r="EL45" i="7"/>
  <c r="EL19" i="7"/>
  <c r="EL11" i="7"/>
  <c r="EL3" i="7"/>
  <c r="EL46" i="7"/>
  <c r="EL61" i="7"/>
  <c r="EL50" i="7"/>
  <c r="EL39" i="7"/>
  <c r="EL37" i="7"/>
  <c r="EL32" i="7"/>
  <c r="EL24" i="7"/>
  <c r="EL18" i="7"/>
  <c r="EL10" i="7"/>
  <c r="EL2" i="7"/>
  <c r="EL42" i="7"/>
  <c r="EL22" i="7"/>
  <c r="EL15" i="7"/>
  <c r="EL54" i="7"/>
  <c r="EL29" i="7"/>
  <c r="EL14" i="7"/>
  <c r="EL7" i="7"/>
  <c r="EL6" i="7"/>
  <c r="EL30" i="7"/>
  <c r="EL21" i="7"/>
  <c r="EL17" i="7"/>
  <c r="EL27" i="7"/>
  <c r="EL13" i="7"/>
  <c r="EL9" i="7"/>
  <c r="EL31" i="7"/>
  <c r="EL20" i="7"/>
  <c r="EL12" i="7"/>
  <c r="ET52" i="9"/>
  <c r="ET1" i="9"/>
  <c r="ET52" i="8"/>
  <c r="ET137" i="7"/>
  <c r="ET148" i="7"/>
  <c r="ET140" i="7"/>
  <c r="ET139" i="7"/>
  <c r="ET141" i="7"/>
  <c r="ET131" i="7"/>
  <c r="ET123" i="7"/>
  <c r="ET1" i="8"/>
  <c r="ET134" i="7"/>
  <c r="ET126" i="7"/>
  <c r="ET142" i="7"/>
  <c r="ET138" i="7"/>
  <c r="ET133" i="7"/>
  <c r="ET143" i="7"/>
  <c r="ET118" i="7"/>
  <c r="ET113" i="7"/>
  <c r="ET105" i="7"/>
  <c r="ET144" i="7"/>
  <c r="ET116" i="7"/>
  <c r="ET108" i="7"/>
  <c r="ET100" i="7"/>
  <c r="ET136" i="7"/>
  <c r="ET128" i="7"/>
  <c r="ET125" i="7"/>
  <c r="ET115" i="7"/>
  <c r="ET107" i="7"/>
  <c r="ET132" i="7"/>
  <c r="ET114" i="7"/>
  <c r="ET93" i="7"/>
  <c r="ET122" i="7"/>
  <c r="ET110" i="7"/>
  <c r="ET106" i="7"/>
  <c r="ET96" i="7"/>
  <c r="ET88" i="7"/>
  <c r="ET127" i="7"/>
  <c r="ET120" i="7"/>
  <c r="ET129" i="7"/>
  <c r="ET124" i="7"/>
  <c r="ET130" i="7"/>
  <c r="ET121" i="7"/>
  <c r="ET119" i="7"/>
  <c r="ET111" i="7"/>
  <c r="ET104" i="7"/>
  <c r="ET95" i="7"/>
  <c r="ET103" i="7"/>
  <c r="ET101" i="7"/>
  <c r="ET87" i="7"/>
  <c r="ET77" i="7"/>
  <c r="ET69" i="7"/>
  <c r="ET98" i="7"/>
  <c r="ET94" i="7"/>
  <c r="ET80" i="7"/>
  <c r="ET72" i="7"/>
  <c r="ET64" i="7"/>
  <c r="ET109" i="7"/>
  <c r="ET135" i="7"/>
  <c r="ET99" i="7"/>
  <c r="ET92" i="7"/>
  <c r="ET79" i="7"/>
  <c r="ET71" i="7"/>
  <c r="ET112" i="7"/>
  <c r="ET82" i="7"/>
  <c r="ET78" i="7"/>
  <c r="ET74" i="7"/>
  <c r="ET70" i="7"/>
  <c r="ET84" i="7"/>
  <c r="ET85" i="7"/>
  <c r="ET81" i="7"/>
  <c r="ET68" i="7"/>
  <c r="ET89" i="7"/>
  <c r="ET83" i="7"/>
  <c r="ET102" i="7"/>
  <c r="ET57" i="7"/>
  <c r="ET49" i="7"/>
  <c r="ET41" i="7"/>
  <c r="ET33" i="7"/>
  <c r="ET25" i="7"/>
  <c r="ET76" i="7"/>
  <c r="ET73" i="7"/>
  <c r="ET60" i="7"/>
  <c r="ET52" i="7"/>
  <c r="ET44" i="7"/>
  <c r="ET36" i="7"/>
  <c r="ET28" i="7"/>
  <c r="ET91" i="7"/>
  <c r="ET117" i="7"/>
  <c r="ET67" i="7"/>
  <c r="ET65" i="7"/>
  <c r="ET63" i="7"/>
  <c r="ET90" i="7"/>
  <c r="ET97" i="7"/>
  <c r="ET86" i="7"/>
  <c r="ET75" i="7"/>
  <c r="ET59" i="7"/>
  <c r="ET51" i="7"/>
  <c r="ET43" i="7"/>
  <c r="ET35" i="7"/>
  <c r="ET53" i="7"/>
  <c r="ET38" i="7"/>
  <c r="ET34" i="7"/>
  <c r="ET45" i="7"/>
  <c r="ET62" i="7"/>
  <c r="ET58" i="7"/>
  <c r="ET39" i="7"/>
  <c r="ET66" i="7"/>
  <c r="ET48" i="7"/>
  <c r="ET37" i="7"/>
  <c r="ET32" i="7"/>
  <c r="ET16" i="7"/>
  <c r="ET8" i="7"/>
  <c r="ET61" i="7"/>
  <c r="ET50" i="7"/>
  <c r="ET29" i="7"/>
  <c r="ET19" i="7"/>
  <c r="ET11" i="7"/>
  <c r="ET3" i="7"/>
  <c r="ET40" i="7"/>
  <c r="ET55" i="7"/>
  <c r="ET54" i="7"/>
  <c r="ET42" i="7"/>
  <c r="ET56" i="7"/>
  <c r="ET18" i="7"/>
  <c r="ET10" i="7"/>
  <c r="ET2" i="7"/>
  <c r="ET46" i="7"/>
  <c r="ET30" i="7"/>
  <c r="ET20" i="7"/>
  <c r="ET5" i="7"/>
  <c r="ET27" i="7"/>
  <c r="ET12" i="7"/>
  <c r="ET47" i="7"/>
  <c r="ET31" i="7"/>
  <c r="ET23" i="7"/>
  <c r="ET4" i="7"/>
  <c r="ET24" i="7"/>
  <c r="ET22" i="7"/>
  <c r="ET15" i="7"/>
  <c r="ET14" i="7"/>
  <c r="ET7" i="7"/>
  <c r="ET26" i="7"/>
  <c r="ET21" i="7"/>
  <c r="ET17" i="7"/>
  <c r="FB52" i="9"/>
  <c r="FB52" i="8"/>
  <c r="FB1" i="9"/>
  <c r="FB137" i="7"/>
  <c r="FB1" i="8"/>
  <c r="FB148" i="7"/>
  <c r="FB140" i="7"/>
  <c r="FB139" i="7"/>
  <c r="FB138" i="7"/>
  <c r="FB131" i="7"/>
  <c r="FB123" i="7"/>
  <c r="FB142" i="7"/>
  <c r="FB134" i="7"/>
  <c r="FB126" i="7"/>
  <c r="FB143" i="7"/>
  <c r="FB133" i="7"/>
  <c r="FB132" i="7"/>
  <c r="FB125" i="7"/>
  <c r="FB119" i="7"/>
  <c r="FB113" i="7"/>
  <c r="FB105" i="7"/>
  <c r="FB128" i="7"/>
  <c r="FB122" i="7"/>
  <c r="FB118" i="7"/>
  <c r="FB116" i="7"/>
  <c r="FB108" i="7"/>
  <c r="FB100" i="7"/>
  <c r="FB135" i="7"/>
  <c r="FB141" i="7"/>
  <c r="FB129" i="7"/>
  <c r="FB121" i="7"/>
  <c r="FB115" i="7"/>
  <c r="FB107" i="7"/>
  <c r="FB112" i="7"/>
  <c r="FB93" i="7"/>
  <c r="FB144" i="7"/>
  <c r="FB127" i="7"/>
  <c r="FB120" i="7"/>
  <c r="FB117" i="7"/>
  <c r="FB111" i="7"/>
  <c r="FB104" i="7"/>
  <c r="FB102" i="7"/>
  <c r="FB96" i="7"/>
  <c r="FB88" i="7"/>
  <c r="FB124" i="7"/>
  <c r="FB130" i="7"/>
  <c r="FB109" i="7"/>
  <c r="FB101" i="7"/>
  <c r="FB95" i="7"/>
  <c r="FB77" i="7"/>
  <c r="FB69" i="7"/>
  <c r="FB136" i="7"/>
  <c r="FB99" i="7"/>
  <c r="FB92" i="7"/>
  <c r="FB80" i="7"/>
  <c r="FB72" i="7"/>
  <c r="FB64" i="7"/>
  <c r="FB110" i="7"/>
  <c r="FB114" i="7"/>
  <c r="FB97" i="7"/>
  <c r="FB85" i="7"/>
  <c r="FB79" i="7"/>
  <c r="FB71" i="7"/>
  <c r="FB90" i="7"/>
  <c r="FB83" i="7"/>
  <c r="FB76" i="7"/>
  <c r="FB87" i="7"/>
  <c r="FB75" i="7"/>
  <c r="FB68" i="7"/>
  <c r="FB74" i="7"/>
  <c r="FB70" i="7"/>
  <c r="FB89" i="7"/>
  <c r="FB84" i="7"/>
  <c r="FB73" i="7"/>
  <c r="FB66" i="7"/>
  <c r="FB86" i="7"/>
  <c r="FB103" i="7"/>
  <c r="FB106" i="7"/>
  <c r="FB91" i="7"/>
  <c r="FB65" i="7"/>
  <c r="FB57" i="7"/>
  <c r="FB49" i="7"/>
  <c r="FB41" i="7"/>
  <c r="FB33" i="7"/>
  <c r="FB25" i="7"/>
  <c r="FB60" i="7"/>
  <c r="FB52" i="7"/>
  <c r="FB44" i="7"/>
  <c r="FB36" i="7"/>
  <c r="FB28" i="7"/>
  <c r="FB98" i="7"/>
  <c r="FB81" i="7"/>
  <c r="FB78" i="7"/>
  <c r="FB63" i="7"/>
  <c r="FB94" i="7"/>
  <c r="FB82" i="7"/>
  <c r="FB67" i="7"/>
  <c r="FB59" i="7"/>
  <c r="FB51" i="7"/>
  <c r="FB43" i="7"/>
  <c r="FB35" i="7"/>
  <c r="FB62" i="7"/>
  <c r="FB58" i="7"/>
  <c r="FB39" i="7"/>
  <c r="FB54" i="7"/>
  <c r="FB50" i="7"/>
  <c r="FB61" i="7"/>
  <c r="FB56" i="7"/>
  <c r="FB37" i="7"/>
  <c r="FB53" i="7"/>
  <c r="FB42" i="7"/>
  <c r="FB40" i="7"/>
  <c r="FB24" i="7"/>
  <c r="FB16" i="7"/>
  <c r="FB8" i="7"/>
  <c r="FB55" i="7"/>
  <c r="FB19" i="7"/>
  <c r="FB11" i="7"/>
  <c r="FB3" i="7"/>
  <c r="FB46" i="7"/>
  <c r="FB45" i="7"/>
  <c r="FB47" i="7"/>
  <c r="FB48" i="7"/>
  <c r="FB38" i="7"/>
  <c r="FB30" i="7"/>
  <c r="FB18" i="7"/>
  <c r="FB10" i="7"/>
  <c r="FB2" i="7"/>
  <c r="FB34" i="7"/>
  <c r="FB32" i="7"/>
  <c r="FB6" i="7"/>
  <c r="FB29" i="7"/>
  <c r="FB21" i="7"/>
  <c r="FB17" i="7"/>
  <c r="FB26" i="7"/>
  <c r="FB13" i="7"/>
  <c r="FB9" i="7"/>
  <c r="FB20" i="7"/>
  <c r="FB5" i="7"/>
  <c r="FB12" i="7"/>
  <c r="FB27" i="7"/>
  <c r="FB23" i="7"/>
  <c r="FB31" i="7"/>
  <c r="FB22" i="7"/>
  <c r="FB15" i="7"/>
  <c r="FJ52" i="9"/>
  <c r="FJ52" i="8"/>
  <c r="FJ1" i="9"/>
  <c r="FJ137" i="7"/>
  <c r="FJ148" i="7"/>
  <c r="FJ140" i="7"/>
  <c r="FJ139" i="7"/>
  <c r="FJ144" i="7"/>
  <c r="FJ131" i="7"/>
  <c r="FJ123" i="7"/>
  <c r="FJ1" i="8"/>
  <c r="FJ143" i="7"/>
  <c r="FJ134" i="7"/>
  <c r="FJ126" i="7"/>
  <c r="FJ141" i="7"/>
  <c r="FJ136" i="7"/>
  <c r="FJ133" i="7"/>
  <c r="FJ130" i="7"/>
  <c r="FJ121" i="7"/>
  <c r="FJ113" i="7"/>
  <c r="FJ105" i="7"/>
  <c r="FJ129" i="7"/>
  <c r="FJ119" i="7"/>
  <c r="FJ116" i="7"/>
  <c r="FJ108" i="7"/>
  <c r="FJ100" i="7"/>
  <c r="FJ142" i="7"/>
  <c r="FJ127" i="7"/>
  <c r="FJ115" i="7"/>
  <c r="FJ107" i="7"/>
  <c r="FJ125" i="7"/>
  <c r="FJ118" i="7"/>
  <c r="FJ101" i="7"/>
  <c r="FJ93" i="7"/>
  <c r="FJ85" i="7"/>
  <c r="FJ132" i="7"/>
  <c r="FJ122" i="7"/>
  <c r="FJ109" i="7"/>
  <c r="FJ96" i="7"/>
  <c r="FJ88" i="7"/>
  <c r="FJ135" i="7"/>
  <c r="FJ138" i="7"/>
  <c r="FJ120" i="7"/>
  <c r="FJ124" i="7"/>
  <c r="FJ114" i="7"/>
  <c r="FJ95" i="7"/>
  <c r="FJ112" i="7"/>
  <c r="FJ90" i="7"/>
  <c r="FJ77" i="7"/>
  <c r="FJ69" i="7"/>
  <c r="FJ97" i="7"/>
  <c r="FJ86" i="7"/>
  <c r="FJ80" i="7"/>
  <c r="FJ72" i="7"/>
  <c r="FJ64" i="7"/>
  <c r="FJ106" i="7"/>
  <c r="FJ128" i="7"/>
  <c r="FJ117" i="7"/>
  <c r="FJ79" i="7"/>
  <c r="FJ71" i="7"/>
  <c r="FJ81" i="7"/>
  <c r="FJ66" i="7"/>
  <c r="FJ73" i="7"/>
  <c r="FJ111" i="7"/>
  <c r="FJ103" i="7"/>
  <c r="FJ75" i="7"/>
  <c r="FJ68" i="7"/>
  <c r="FJ78" i="7"/>
  <c r="FJ104" i="7"/>
  <c r="FJ102" i="7"/>
  <c r="FJ110" i="7"/>
  <c r="FJ94" i="7"/>
  <c r="FJ91" i="7"/>
  <c r="FJ98" i="7"/>
  <c r="FJ84" i="7"/>
  <c r="FJ57" i="7"/>
  <c r="FJ49" i="7"/>
  <c r="FJ41" i="7"/>
  <c r="FJ33" i="7"/>
  <c r="FJ25" i="7"/>
  <c r="FJ74" i="7"/>
  <c r="FJ60" i="7"/>
  <c r="FJ52" i="7"/>
  <c r="FJ44" i="7"/>
  <c r="FJ36" i="7"/>
  <c r="FJ28" i="7"/>
  <c r="FJ82" i="7"/>
  <c r="FJ65" i="7"/>
  <c r="FJ92" i="7"/>
  <c r="FJ70" i="7"/>
  <c r="FJ67" i="7"/>
  <c r="FJ83" i="7"/>
  <c r="FJ89" i="7"/>
  <c r="FJ87" i="7"/>
  <c r="FJ76" i="7"/>
  <c r="FJ59" i="7"/>
  <c r="FJ51" i="7"/>
  <c r="FJ43" i="7"/>
  <c r="FJ35" i="7"/>
  <c r="FJ56" i="7"/>
  <c r="FJ37" i="7"/>
  <c r="FJ55" i="7"/>
  <c r="FJ48" i="7"/>
  <c r="FJ99" i="7"/>
  <c r="FJ61" i="7"/>
  <c r="FJ46" i="7"/>
  <c r="FJ42" i="7"/>
  <c r="FJ58" i="7"/>
  <c r="FJ47" i="7"/>
  <c r="FJ45" i="7"/>
  <c r="FJ34" i="7"/>
  <c r="FJ30" i="7"/>
  <c r="FJ16" i="7"/>
  <c r="FJ8" i="7"/>
  <c r="FJ31" i="7"/>
  <c r="FJ27" i="7"/>
  <c r="FJ24" i="7"/>
  <c r="FJ19" i="7"/>
  <c r="FJ11" i="7"/>
  <c r="FJ3" i="7"/>
  <c r="FJ62" i="7"/>
  <c r="FJ63" i="7"/>
  <c r="FJ50" i="7"/>
  <c r="FJ39" i="7"/>
  <c r="FJ38" i="7"/>
  <c r="FJ40" i="7"/>
  <c r="FJ53" i="7"/>
  <c r="FJ54" i="7"/>
  <c r="FJ26" i="7"/>
  <c r="FJ18" i="7"/>
  <c r="FJ10" i="7"/>
  <c r="FJ2" i="7"/>
  <c r="FJ23" i="7"/>
  <c r="FJ4" i="7"/>
  <c r="FJ22" i="7"/>
  <c r="FJ15" i="7"/>
  <c r="FJ14" i="7"/>
  <c r="FJ7" i="7"/>
  <c r="FJ6" i="7"/>
  <c r="FJ21" i="7"/>
  <c r="FJ17" i="7"/>
  <c r="FJ32" i="7"/>
  <c r="FJ13" i="7"/>
  <c r="FJ9" i="7"/>
  <c r="FJ29" i="7"/>
  <c r="FJ20" i="7"/>
  <c r="FJ5" i="7"/>
  <c r="FR52" i="9"/>
  <c r="FR52" i="8"/>
  <c r="FR1" i="9"/>
  <c r="FR137" i="7"/>
  <c r="FR148" i="7"/>
  <c r="FR140" i="7"/>
  <c r="FR139" i="7"/>
  <c r="FR136" i="7"/>
  <c r="FR131" i="7"/>
  <c r="FR123" i="7"/>
  <c r="FR141" i="7"/>
  <c r="FR134" i="7"/>
  <c r="FR126" i="7"/>
  <c r="FR1" i="8"/>
  <c r="FR133" i="7"/>
  <c r="FR144" i="7"/>
  <c r="FR135" i="7"/>
  <c r="FR127" i="7"/>
  <c r="FR113" i="7"/>
  <c r="FR105" i="7"/>
  <c r="FR124" i="7"/>
  <c r="FR120" i="7"/>
  <c r="FR116" i="7"/>
  <c r="FR108" i="7"/>
  <c r="FR100" i="7"/>
  <c r="FR138" i="7"/>
  <c r="FR132" i="7"/>
  <c r="FR115" i="7"/>
  <c r="FR107" i="7"/>
  <c r="FR119" i="7"/>
  <c r="FR103" i="7"/>
  <c r="FR93" i="7"/>
  <c r="FR85" i="7"/>
  <c r="FR117" i="7"/>
  <c r="FR114" i="7"/>
  <c r="FR96" i="7"/>
  <c r="FR88" i="7"/>
  <c r="FR121" i="7"/>
  <c r="FR142" i="7"/>
  <c r="FR129" i="7"/>
  <c r="FR128" i="7"/>
  <c r="FR118" i="7"/>
  <c r="FR130" i="7"/>
  <c r="FR125" i="7"/>
  <c r="FR143" i="7"/>
  <c r="FR122" i="7"/>
  <c r="FR112" i="7"/>
  <c r="FR95" i="7"/>
  <c r="FR106" i="7"/>
  <c r="FR104" i="7"/>
  <c r="FR102" i="7"/>
  <c r="FR91" i="7"/>
  <c r="FR77" i="7"/>
  <c r="FR69" i="7"/>
  <c r="FR80" i="7"/>
  <c r="FR72" i="7"/>
  <c r="FR64" i="7"/>
  <c r="FR110" i="7"/>
  <c r="FR109" i="7"/>
  <c r="FR111" i="7"/>
  <c r="FR87" i="7"/>
  <c r="FR79" i="7"/>
  <c r="FR71" i="7"/>
  <c r="FR67" i="7"/>
  <c r="FR90" i="7"/>
  <c r="FR89" i="7"/>
  <c r="FR82" i="7"/>
  <c r="FR78" i="7"/>
  <c r="FR101" i="7"/>
  <c r="FR73" i="7"/>
  <c r="FR83" i="7"/>
  <c r="FR66" i="7"/>
  <c r="FR98" i="7"/>
  <c r="FR84" i="7"/>
  <c r="FR74" i="7"/>
  <c r="FR99" i="7"/>
  <c r="FR81" i="7"/>
  <c r="FR75" i="7"/>
  <c r="FR65" i="7"/>
  <c r="FR57" i="7"/>
  <c r="FR49" i="7"/>
  <c r="FR41" i="7"/>
  <c r="FR33" i="7"/>
  <c r="FR25" i="7"/>
  <c r="FR86" i="7"/>
  <c r="FR70" i="7"/>
  <c r="FR60" i="7"/>
  <c r="FR52" i="7"/>
  <c r="FR44" i="7"/>
  <c r="FR36" i="7"/>
  <c r="FR28" i="7"/>
  <c r="FR92" i="7"/>
  <c r="FR76" i="7"/>
  <c r="FR97" i="7"/>
  <c r="FR94" i="7"/>
  <c r="FR68" i="7"/>
  <c r="FR63" i="7"/>
  <c r="FR59" i="7"/>
  <c r="FR51" i="7"/>
  <c r="FR43" i="7"/>
  <c r="FR35" i="7"/>
  <c r="FR61" i="7"/>
  <c r="FR46" i="7"/>
  <c r="FR42" i="7"/>
  <c r="FR53" i="7"/>
  <c r="FR38" i="7"/>
  <c r="FR34" i="7"/>
  <c r="FR47" i="7"/>
  <c r="FR40" i="7"/>
  <c r="FR62" i="7"/>
  <c r="FR50" i="7"/>
  <c r="FR39" i="7"/>
  <c r="FR26" i="7"/>
  <c r="FR16" i="7"/>
  <c r="FR8" i="7"/>
  <c r="FR19" i="7"/>
  <c r="FR11" i="7"/>
  <c r="FR3" i="7"/>
  <c r="FR55" i="7"/>
  <c r="FR54" i="7"/>
  <c r="FR56" i="7"/>
  <c r="FR45" i="7"/>
  <c r="FR58" i="7"/>
  <c r="FR32" i="7"/>
  <c r="FR18" i="7"/>
  <c r="FR10" i="7"/>
  <c r="FR2" i="7"/>
  <c r="FR13" i="7"/>
  <c r="FR9" i="7"/>
  <c r="FR20" i="7"/>
  <c r="FR5" i="7"/>
  <c r="FR29" i="7"/>
  <c r="FR12" i="7"/>
  <c r="FR48" i="7"/>
  <c r="FR23" i="7"/>
  <c r="FR4" i="7"/>
  <c r="FR37" i="7"/>
  <c r="FR30" i="7"/>
  <c r="FR22" i="7"/>
  <c r="FR15" i="7"/>
  <c r="FR27" i="7"/>
  <c r="FR24" i="7"/>
  <c r="FR14" i="7"/>
  <c r="FR31" i="7"/>
  <c r="FR6" i="7"/>
  <c r="FZ52" i="9"/>
  <c r="FZ1" i="9"/>
  <c r="FZ52" i="8"/>
  <c r="FZ137" i="7"/>
  <c r="FZ148" i="7"/>
  <c r="FZ140" i="7"/>
  <c r="FZ139" i="7"/>
  <c r="FZ131" i="7"/>
  <c r="FZ123" i="7"/>
  <c r="FZ134" i="7"/>
  <c r="FZ126" i="7"/>
  <c r="FZ144" i="7"/>
  <c r="FZ138" i="7"/>
  <c r="FZ133" i="7"/>
  <c r="FZ113" i="7"/>
  <c r="FZ105" i="7"/>
  <c r="FZ132" i="7"/>
  <c r="FZ116" i="7"/>
  <c r="FZ108" i="7"/>
  <c r="FZ100" i="7"/>
  <c r="FZ142" i="7"/>
  <c r="FZ141" i="7"/>
  <c r="FZ136" i="7"/>
  <c r="FZ135" i="7"/>
  <c r="FZ143" i="7"/>
  <c r="FZ1" i="8"/>
  <c r="FZ130" i="7"/>
  <c r="FZ125" i="7"/>
  <c r="FZ117" i="7"/>
  <c r="FZ115" i="7"/>
  <c r="FZ107" i="7"/>
  <c r="FZ128" i="7"/>
  <c r="FZ118" i="7"/>
  <c r="FZ93" i="7"/>
  <c r="FZ85" i="7"/>
  <c r="FZ129" i="7"/>
  <c r="FZ112" i="7"/>
  <c r="FZ96" i="7"/>
  <c r="FZ88" i="7"/>
  <c r="FZ122" i="7"/>
  <c r="FZ119" i="7"/>
  <c r="FZ127" i="7"/>
  <c r="FZ120" i="7"/>
  <c r="FZ124" i="7"/>
  <c r="FZ95" i="7"/>
  <c r="FZ121" i="7"/>
  <c r="FZ111" i="7"/>
  <c r="FZ109" i="7"/>
  <c r="FZ89" i="7"/>
  <c r="FZ87" i="7"/>
  <c r="FZ77" i="7"/>
  <c r="FZ69" i="7"/>
  <c r="FZ110" i="7"/>
  <c r="FZ101" i="7"/>
  <c r="FZ80" i="7"/>
  <c r="FZ72" i="7"/>
  <c r="FZ64" i="7"/>
  <c r="FZ114" i="7"/>
  <c r="FZ104" i="7"/>
  <c r="FZ106" i="7"/>
  <c r="FZ90" i="7"/>
  <c r="FZ79" i="7"/>
  <c r="FZ71" i="7"/>
  <c r="FZ84" i="7"/>
  <c r="FZ65" i="7"/>
  <c r="FZ94" i="7"/>
  <c r="FZ83" i="7"/>
  <c r="FZ76" i="7"/>
  <c r="FZ99" i="7"/>
  <c r="FZ98" i="7"/>
  <c r="FZ86" i="7"/>
  <c r="FZ82" i="7"/>
  <c r="FZ78" i="7"/>
  <c r="FZ92" i="7"/>
  <c r="FZ103" i="7"/>
  <c r="FZ102" i="7"/>
  <c r="FZ57" i="7"/>
  <c r="FZ49" i="7"/>
  <c r="FZ41" i="7"/>
  <c r="FZ33" i="7"/>
  <c r="FZ25" i="7"/>
  <c r="FZ68" i="7"/>
  <c r="FZ60" i="7"/>
  <c r="FZ52" i="7"/>
  <c r="FZ44" i="7"/>
  <c r="FZ36" i="7"/>
  <c r="FZ28" i="7"/>
  <c r="FZ97" i="7"/>
  <c r="FZ73" i="7"/>
  <c r="FZ66" i="7"/>
  <c r="FZ91" i="7"/>
  <c r="FZ81" i="7"/>
  <c r="FZ74" i="7"/>
  <c r="FZ67" i="7"/>
  <c r="FZ70" i="7"/>
  <c r="FZ59" i="7"/>
  <c r="FZ51" i="7"/>
  <c r="FZ43" i="7"/>
  <c r="FZ35" i="7"/>
  <c r="FZ47" i="7"/>
  <c r="FZ40" i="7"/>
  <c r="FZ62" i="7"/>
  <c r="FZ58" i="7"/>
  <c r="FZ39" i="7"/>
  <c r="FZ63" i="7"/>
  <c r="FZ45" i="7"/>
  <c r="FZ75" i="7"/>
  <c r="FZ55" i="7"/>
  <c r="FZ32" i="7"/>
  <c r="FZ16" i="7"/>
  <c r="FZ8" i="7"/>
  <c r="FZ56" i="7"/>
  <c r="FZ29" i="7"/>
  <c r="FZ19" i="7"/>
  <c r="FZ11" i="7"/>
  <c r="FZ3" i="7"/>
  <c r="FZ46" i="7"/>
  <c r="FZ50" i="7"/>
  <c r="FZ48" i="7"/>
  <c r="FZ37" i="7"/>
  <c r="FZ38" i="7"/>
  <c r="FZ61" i="7"/>
  <c r="FZ18" i="7"/>
  <c r="FZ10" i="7"/>
  <c r="FZ2" i="7"/>
  <c r="FZ14" i="7"/>
  <c r="FZ7" i="7"/>
  <c r="FZ30" i="7"/>
  <c r="FZ24" i="7"/>
  <c r="FZ6" i="7"/>
  <c r="FZ34" i="7"/>
  <c r="FZ27" i="7"/>
  <c r="FZ21" i="7"/>
  <c r="FZ17" i="7"/>
  <c r="FZ31" i="7"/>
  <c r="FZ13" i="7"/>
  <c r="FZ9" i="7"/>
  <c r="FZ20" i="7"/>
  <c r="FZ5" i="7"/>
  <c r="FZ53" i="7"/>
  <c r="FZ12" i="7"/>
  <c r="FZ42" i="7"/>
  <c r="FZ26" i="7"/>
  <c r="FZ23" i="7"/>
  <c r="FZ4" i="7"/>
  <c r="GH52" i="9"/>
  <c r="GH52" i="8"/>
  <c r="GH1" i="9"/>
  <c r="GH137" i="7"/>
  <c r="GH1" i="8"/>
  <c r="GH148" i="7"/>
  <c r="GH140" i="7"/>
  <c r="GH139" i="7"/>
  <c r="GH138" i="7"/>
  <c r="GH131" i="7"/>
  <c r="GH123" i="7"/>
  <c r="GH144" i="7"/>
  <c r="GH134" i="7"/>
  <c r="GH126" i="7"/>
  <c r="GH133" i="7"/>
  <c r="GH143" i="7"/>
  <c r="GH141" i="7"/>
  <c r="GH136" i="7"/>
  <c r="GH125" i="7"/>
  <c r="GH113" i="7"/>
  <c r="GH105" i="7"/>
  <c r="GH142" i="7"/>
  <c r="GH130" i="7"/>
  <c r="GH122" i="7"/>
  <c r="GH116" i="7"/>
  <c r="GH108" i="7"/>
  <c r="GH100" i="7"/>
  <c r="GH135" i="7"/>
  <c r="GH121" i="7"/>
  <c r="GH115" i="7"/>
  <c r="GH107" i="7"/>
  <c r="GH132" i="7"/>
  <c r="GH119" i="7"/>
  <c r="GH117" i="7"/>
  <c r="GH110" i="7"/>
  <c r="GH106" i="7"/>
  <c r="GH93" i="7"/>
  <c r="GH85" i="7"/>
  <c r="GH102" i="7"/>
  <c r="GH96" i="7"/>
  <c r="GH88" i="7"/>
  <c r="GH127" i="7"/>
  <c r="GH120" i="7"/>
  <c r="GH124" i="7"/>
  <c r="GH118" i="7"/>
  <c r="GH129" i="7"/>
  <c r="GH128" i="7"/>
  <c r="GH103" i="7"/>
  <c r="GH101" i="7"/>
  <c r="GH95" i="7"/>
  <c r="GH114" i="7"/>
  <c r="GH98" i="7"/>
  <c r="GH94" i="7"/>
  <c r="GH77" i="7"/>
  <c r="GH69" i="7"/>
  <c r="GH90" i="7"/>
  <c r="GH80" i="7"/>
  <c r="GH72" i="7"/>
  <c r="GH64" i="7"/>
  <c r="GH104" i="7"/>
  <c r="GH109" i="7"/>
  <c r="GH111" i="7"/>
  <c r="GH91" i="7"/>
  <c r="GH79" i="7"/>
  <c r="GH71" i="7"/>
  <c r="GH86" i="7"/>
  <c r="GH74" i="7"/>
  <c r="GH70" i="7"/>
  <c r="GH81" i="7"/>
  <c r="GH66" i="7"/>
  <c r="GH112" i="7"/>
  <c r="GH83" i="7"/>
  <c r="GH76" i="7"/>
  <c r="GH99" i="7"/>
  <c r="GH68" i="7"/>
  <c r="GH82" i="7"/>
  <c r="GH97" i="7"/>
  <c r="GH65" i="7"/>
  <c r="GH63" i="7"/>
  <c r="GH57" i="7"/>
  <c r="GH49" i="7"/>
  <c r="GH41" i="7"/>
  <c r="GH33" i="7"/>
  <c r="GH25" i="7"/>
  <c r="GH92" i="7"/>
  <c r="GH87" i="7"/>
  <c r="GH60" i="7"/>
  <c r="GH52" i="7"/>
  <c r="GH44" i="7"/>
  <c r="GH36" i="7"/>
  <c r="GH28" i="7"/>
  <c r="GH84" i="7"/>
  <c r="GH67" i="7"/>
  <c r="GH89" i="7"/>
  <c r="GH75" i="7"/>
  <c r="GH78" i="7"/>
  <c r="GH59" i="7"/>
  <c r="GH51" i="7"/>
  <c r="GH43" i="7"/>
  <c r="GH35" i="7"/>
  <c r="GH45" i="7"/>
  <c r="GH56" i="7"/>
  <c r="GH37" i="7"/>
  <c r="GH54" i="7"/>
  <c r="GH50" i="7"/>
  <c r="GH48" i="7"/>
  <c r="GH16" i="7"/>
  <c r="GH8" i="7"/>
  <c r="GH19" i="7"/>
  <c r="GH11" i="7"/>
  <c r="GH3" i="7"/>
  <c r="GH39" i="7"/>
  <c r="GH38" i="7"/>
  <c r="GH62" i="7"/>
  <c r="GH40" i="7"/>
  <c r="GH61" i="7"/>
  <c r="GH55" i="7"/>
  <c r="GH53" i="7"/>
  <c r="GH42" i="7"/>
  <c r="GH30" i="7"/>
  <c r="GH18" i="7"/>
  <c r="GH10" i="7"/>
  <c r="GH2" i="7"/>
  <c r="GH73" i="7"/>
  <c r="GH58" i="7"/>
  <c r="GH47" i="7"/>
  <c r="GH12" i="7"/>
  <c r="GH34" i="7"/>
  <c r="GH32" i="7"/>
  <c r="GH23" i="7"/>
  <c r="GH4" i="7"/>
  <c r="GH29" i="7"/>
  <c r="GH22" i="7"/>
  <c r="GH15" i="7"/>
  <c r="GH26" i="7"/>
  <c r="GH14" i="7"/>
  <c r="GH7" i="7"/>
  <c r="GH6" i="7"/>
  <c r="GH24" i="7"/>
  <c r="GH21" i="7"/>
  <c r="GH17" i="7"/>
  <c r="GH46" i="7"/>
  <c r="GH27" i="7"/>
  <c r="GH13" i="7"/>
  <c r="GH9" i="7"/>
  <c r="GP52" i="9"/>
  <c r="GP1" i="9"/>
  <c r="GP52" i="8"/>
  <c r="GP137" i="7"/>
  <c r="GP148" i="7"/>
  <c r="GP140" i="7"/>
  <c r="GP139" i="7"/>
  <c r="GP142" i="7"/>
  <c r="GP131" i="7"/>
  <c r="GP123" i="7"/>
  <c r="GP134" i="7"/>
  <c r="GP126" i="7"/>
  <c r="GP136" i="7"/>
  <c r="GP133" i="7"/>
  <c r="GP1" i="8"/>
  <c r="GP138" i="7"/>
  <c r="GP128" i="7"/>
  <c r="GP121" i="7"/>
  <c r="GP117" i="7"/>
  <c r="GP113" i="7"/>
  <c r="GP105" i="7"/>
  <c r="GP116" i="7"/>
  <c r="GP108" i="7"/>
  <c r="GP100" i="7"/>
  <c r="GP135" i="7"/>
  <c r="GP141" i="7"/>
  <c r="GP143" i="7"/>
  <c r="GP127" i="7"/>
  <c r="GP118" i="7"/>
  <c r="GP115" i="7"/>
  <c r="GP107" i="7"/>
  <c r="GP111" i="7"/>
  <c r="GP104" i="7"/>
  <c r="GP101" i="7"/>
  <c r="GP93" i="7"/>
  <c r="GP85" i="7"/>
  <c r="GP125" i="7"/>
  <c r="GP103" i="7"/>
  <c r="GP96" i="7"/>
  <c r="GP88" i="7"/>
  <c r="GP122" i="7"/>
  <c r="GP129" i="7"/>
  <c r="GP130" i="7"/>
  <c r="GP119" i="7"/>
  <c r="GP132" i="7"/>
  <c r="GP120" i="7"/>
  <c r="GP95" i="7"/>
  <c r="GP92" i="7"/>
  <c r="GP77" i="7"/>
  <c r="GP69" i="7"/>
  <c r="GP144" i="7"/>
  <c r="GP91" i="7"/>
  <c r="GP86" i="7"/>
  <c r="GP80" i="7"/>
  <c r="GP72" i="7"/>
  <c r="GP64" i="7"/>
  <c r="GP110" i="7"/>
  <c r="GP109" i="7"/>
  <c r="GP114" i="7"/>
  <c r="GP112" i="7"/>
  <c r="GP124" i="7"/>
  <c r="GP89" i="7"/>
  <c r="GP79" i="7"/>
  <c r="GP71" i="7"/>
  <c r="GP90" i="7"/>
  <c r="GP75" i="7"/>
  <c r="GP68" i="7"/>
  <c r="GP67" i="7"/>
  <c r="GP106" i="7"/>
  <c r="GP81" i="7"/>
  <c r="GP84" i="7"/>
  <c r="GP73" i="7"/>
  <c r="GP97" i="7"/>
  <c r="GP94" i="7"/>
  <c r="GP74" i="7"/>
  <c r="GP98" i="7"/>
  <c r="GP87" i="7"/>
  <c r="GP57" i="7"/>
  <c r="GP49" i="7"/>
  <c r="GP41" i="7"/>
  <c r="GP33" i="7"/>
  <c r="GP25" i="7"/>
  <c r="GP78" i="7"/>
  <c r="GP70" i="7"/>
  <c r="GP63" i="7"/>
  <c r="GP60" i="7"/>
  <c r="GP52" i="7"/>
  <c r="GP44" i="7"/>
  <c r="GP36" i="7"/>
  <c r="GP28" i="7"/>
  <c r="GP82" i="7"/>
  <c r="GP66" i="7"/>
  <c r="GP76" i="7"/>
  <c r="GP65" i="7"/>
  <c r="GP102" i="7"/>
  <c r="GP99" i="7"/>
  <c r="GP59" i="7"/>
  <c r="GP51" i="7"/>
  <c r="GP43" i="7"/>
  <c r="GP35" i="7"/>
  <c r="GP83" i="7"/>
  <c r="GP62" i="7"/>
  <c r="GP54" i="7"/>
  <c r="GP50" i="7"/>
  <c r="GP61" i="7"/>
  <c r="GP46" i="7"/>
  <c r="GP42" i="7"/>
  <c r="GP55" i="7"/>
  <c r="GP48" i="7"/>
  <c r="GP53" i="7"/>
  <c r="GP40" i="7"/>
  <c r="GP30" i="7"/>
  <c r="GP16" i="7"/>
  <c r="GP8" i="7"/>
  <c r="GP31" i="7"/>
  <c r="GP27" i="7"/>
  <c r="GP19" i="7"/>
  <c r="GP11" i="7"/>
  <c r="GP3" i="7"/>
  <c r="GP56" i="7"/>
  <c r="GP45" i="7"/>
  <c r="GP58" i="7"/>
  <c r="GP47" i="7"/>
  <c r="GP38" i="7"/>
  <c r="GP37" i="7"/>
  <c r="GP26" i="7"/>
  <c r="GP23" i="7"/>
  <c r="GP18" i="7"/>
  <c r="GP10" i="7"/>
  <c r="GP2" i="7"/>
  <c r="GP21" i="7"/>
  <c r="GP17" i="7"/>
  <c r="GP24" i="7"/>
  <c r="GP13" i="7"/>
  <c r="GP9" i="7"/>
  <c r="GP20" i="7"/>
  <c r="GP5" i="7"/>
  <c r="GP12" i="7"/>
  <c r="GP4" i="7"/>
  <c r="GP22" i="7"/>
  <c r="GP15" i="7"/>
  <c r="GP34" i="7"/>
  <c r="GP32" i="7"/>
  <c r="GP14" i="7"/>
  <c r="GP7" i="7"/>
  <c r="GX52" i="9"/>
  <c r="GX1" i="9"/>
  <c r="GX52" i="8"/>
  <c r="GX137" i="7"/>
  <c r="GX148" i="7"/>
  <c r="GX140" i="7"/>
  <c r="GX139" i="7"/>
  <c r="GX143" i="7"/>
  <c r="GX136" i="7"/>
  <c r="GX131" i="7"/>
  <c r="GX123" i="7"/>
  <c r="GX134" i="7"/>
  <c r="GX126" i="7"/>
  <c r="GX135" i="7"/>
  <c r="GX133" i="7"/>
  <c r="GX129" i="7"/>
  <c r="GX127" i="7"/>
  <c r="GX113" i="7"/>
  <c r="GX105" i="7"/>
  <c r="GX124" i="7"/>
  <c r="GX120" i="7"/>
  <c r="GX117" i="7"/>
  <c r="GX116" i="7"/>
  <c r="GX108" i="7"/>
  <c r="GX100" i="7"/>
  <c r="GX142" i="7"/>
  <c r="GX141" i="7"/>
  <c r="GX144" i="7"/>
  <c r="GX138" i="7"/>
  <c r="GX119" i="7"/>
  <c r="GX115" i="7"/>
  <c r="GX107" i="7"/>
  <c r="GX109" i="7"/>
  <c r="GX93" i="7"/>
  <c r="GX85" i="7"/>
  <c r="GX132" i="7"/>
  <c r="GX130" i="7"/>
  <c r="GX96" i="7"/>
  <c r="GX88" i="7"/>
  <c r="GX121" i="7"/>
  <c r="GX118" i="7"/>
  <c r="GX1" i="8"/>
  <c r="GX125" i="7"/>
  <c r="GX110" i="7"/>
  <c r="GX106" i="7"/>
  <c r="GX99" i="7"/>
  <c r="GX95" i="7"/>
  <c r="GX112" i="7"/>
  <c r="GX97" i="7"/>
  <c r="GX77" i="7"/>
  <c r="GX69" i="7"/>
  <c r="GX89" i="7"/>
  <c r="GX80" i="7"/>
  <c r="GX72" i="7"/>
  <c r="GX64" i="7"/>
  <c r="GX114" i="7"/>
  <c r="GX128" i="7"/>
  <c r="GX104" i="7"/>
  <c r="GX122" i="7"/>
  <c r="GX98" i="7"/>
  <c r="GX94" i="7"/>
  <c r="GX87" i="7"/>
  <c r="GX79" i="7"/>
  <c r="GX71" i="7"/>
  <c r="GX86" i="7"/>
  <c r="GX73" i="7"/>
  <c r="GX103" i="7"/>
  <c r="GX84" i="7"/>
  <c r="GX65" i="7"/>
  <c r="GX91" i="7"/>
  <c r="GX78" i="7"/>
  <c r="GX102" i="7"/>
  <c r="GX57" i="7"/>
  <c r="GX49" i="7"/>
  <c r="GX41" i="7"/>
  <c r="GX33" i="7"/>
  <c r="GX25" i="7"/>
  <c r="GX82" i="7"/>
  <c r="GX75" i="7"/>
  <c r="GX68" i="7"/>
  <c r="GX66" i="7"/>
  <c r="GX60" i="7"/>
  <c r="GX52" i="7"/>
  <c r="GX44" i="7"/>
  <c r="GX36" i="7"/>
  <c r="GX28" i="7"/>
  <c r="GX63" i="7"/>
  <c r="GX83" i="7"/>
  <c r="GX67" i="7"/>
  <c r="GX76" i="7"/>
  <c r="GX101" i="7"/>
  <c r="GX92" i="7"/>
  <c r="GX90" i="7"/>
  <c r="GX70" i="7"/>
  <c r="GX59" i="7"/>
  <c r="GX51" i="7"/>
  <c r="GX43" i="7"/>
  <c r="GX35" i="7"/>
  <c r="GX111" i="7"/>
  <c r="GX55" i="7"/>
  <c r="GX48" i="7"/>
  <c r="GX81" i="7"/>
  <c r="GX47" i="7"/>
  <c r="GX40" i="7"/>
  <c r="GX53" i="7"/>
  <c r="GX38" i="7"/>
  <c r="GX34" i="7"/>
  <c r="GX58" i="7"/>
  <c r="GX56" i="7"/>
  <c r="GX45" i="7"/>
  <c r="GX26" i="7"/>
  <c r="GX16" i="7"/>
  <c r="GX8" i="7"/>
  <c r="GX46" i="7"/>
  <c r="GX19" i="7"/>
  <c r="GX11" i="7"/>
  <c r="GX3" i="7"/>
  <c r="GX74" i="7"/>
  <c r="GX50" i="7"/>
  <c r="GX39" i="7"/>
  <c r="GX37" i="7"/>
  <c r="GX54" i="7"/>
  <c r="GX42" i="7"/>
  <c r="GX32" i="7"/>
  <c r="GX24" i="7"/>
  <c r="GX18" i="7"/>
  <c r="GX10" i="7"/>
  <c r="GX2" i="7"/>
  <c r="GX62" i="7"/>
  <c r="GX61" i="7"/>
  <c r="GX23" i="7"/>
  <c r="GX22" i="7"/>
  <c r="GX15" i="7"/>
  <c r="GX14" i="7"/>
  <c r="GX7" i="7"/>
  <c r="GX6" i="7"/>
  <c r="GX29" i="7"/>
  <c r="GX21" i="7"/>
  <c r="GX17" i="7"/>
  <c r="GX13" i="7"/>
  <c r="GX9" i="7"/>
  <c r="GX30" i="7"/>
  <c r="GX20" i="7"/>
  <c r="GX27" i="7"/>
  <c r="GX12" i="7"/>
  <c r="HF52" i="9"/>
  <c r="HF52" i="8"/>
  <c r="HF1" i="9"/>
  <c r="HF137" i="7"/>
  <c r="HF148" i="7"/>
  <c r="HF140" i="7"/>
  <c r="HF139" i="7"/>
  <c r="HF141" i="7"/>
  <c r="HF131" i="7"/>
  <c r="HF123" i="7"/>
  <c r="HF134" i="7"/>
  <c r="HF126" i="7"/>
  <c r="HF142" i="7"/>
  <c r="HF138" i="7"/>
  <c r="HF133" i="7"/>
  <c r="HF144" i="7"/>
  <c r="HF119" i="7"/>
  <c r="HF118" i="7"/>
  <c r="HF113" i="7"/>
  <c r="HF105" i="7"/>
  <c r="HF135" i="7"/>
  <c r="HF116" i="7"/>
  <c r="HF108" i="7"/>
  <c r="HF100" i="7"/>
  <c r="HF1" i="8"/>
  <c r="HF136" i="7"/>
  <c r="HF128" i="7"/>
  <c r="HF125" i="7"/>
  <c r="HF115" i="7"/>
  <c r="HF107" i="7"/>
  <c r="HF121" i="7"/>
  <c r="HF114" i="7"/>
  <c r="HF93" i="7"/>
  <c r="HF85" i="7"/>
  <c r="HF110" i="7"/>
  <c r="HF106" i="7"/>
  <c r="HF96" i="7"/>
  <c r="HF88" i="7"/>
  <c r="HF117" i="7"/>
  <c r="HF122" i="7"/>
  <c r="HF143" i="7"/>
  <c r="HF129" i="7"/>
  <c r="HF130" i="7"/>
  <c r="HF127" i="7"/>
  <c r="HF120" i="7"/>
  <c r="HF111" i="7"/>
  <c r="HF104" i="7"/>
  <c r="HF95" i="7"/>
  <c r="HF87" i="7"/>
  <c r="HF77" i="7"/>
  <c r="HF69" i="7"/>
  <c r="HF98" i="7"/>
  <c r="HF94" i="7"/>
  <c r="HF80" i="7"/>
  <c r="HF72" i="7"/>
  <c r="HF64" i="7"/>
  <c r="HF132" i="7"/>
  <c r="HF109" i="7"/>
  <c r="HF124" i="7"/>
  <c r="HF112" i="7"/>
  <c r="HF102" i="7"/>
  <c r="HF92" i="7"/>
  <c r="HF79" i="7"/>
  <c r="HF71" i="7"/>
  <c r="HF103" i="7"/>
  <c r="HF82" i="7"/>
  <c r="HF78" i="7"/>
  <c r="HF99" i="7"/>
  <c r="HF90" i="7"/>
  <c r="HF89" i="7"/>
  <c r="HF74" i="7"/>
  <c r="HF70" i="7"/>
  <c r="HF84" i="7"/>
  <c r="HF83" i="7"/>
  <c r="HF67" i="7"/>
  <c r="HF86" i="7"/>
  <c r="HF73" i="7"/>
  <c r="HF101" i="7"/>
  <c r="HF91" i="7"/>
  <c r="HF57" i="7"/>
  <c r="HF49" i="7"/>
  <c r="HF41" i="7"/>
  <c r="HF33" i="7"/>
  <c r="HF25" i="7"/>
  <c r="HF76" i="7"/>
  <c r="HF60" i="7"/>
  <c r="HF52" i="7"/>
  <c r="HF44" i="7"/>
  <c r="HF36" i="7"/>
  <c r="HF28" i="7"/>
  <c r="HF63" i="7"/>
  <c r="HF66" i="7"/>
  <c r="HF65" i="7"/>
  <c r="HF81" i="7"/>
  <c r="HF75" i="7"/>
  <c r="HF59" i="7"/>
  <c r="HF51" i="7"/>
  <c r="HF43" i="7"/>
  <c r="HF35" i="7"/>
  <c r="HF68" i="7"/>
  <c r="HF53" i="7"/>
  <c r="HF38" i="7"/>
  <c r="HF34" i="7"/>
  <c r="HF62" i="7"/>
  <c r="HF45" i="7"/>
  <c r="HF97" i="7"/>
  <c r="HF58" i="7"/>
  <c r="HF39" i="7"/>
  <c r="HF50" i="7"/>
  <c r="HF32" i="7"/>
  <c r="HF23" i="7"/>
  <c r="HF16" i="7"/>
  <c r="HF8" i="7"/>
  <c r="HF29" i="7"/>
  <c r="HF19" i="7"/>
  <c r="HF11" i="7"/>
  <c r="HF3" i="7"/>
  <c r="HF40" i="7"/>
  <c r="HF55" i="7"/>
  <c r="HF54" i="7"/>
  <c r="HF42" i="7"/>
  <c r="HF56" i="7"/>
  <c r="HF61" i="7"/>
  <c r="HF47" i="7"/>
  <c r="HF46" i="7"/>
  <c r="HF18" i="7"/>
  <c r="HF10" i="7"/>
  <c r="HF2" i="7"/>
  <c r="HF24" i="7"/>
  <c r="HF20" i="7"/>
  <c r="HF5" i="7"/>
  <c r="HF48" i="7"/>
  <c r="HF12" i="7"/>
  <c r="HF37" i="7"/>
  <c r="HF30" i="7"/>
  <c r="HF4" i="7"/>
  <c r="HF27" i="7"/>
  <c r="HF22" i="7"/>
  <c r="HF15" i="7"/>
  <c r="HF31" i="7"/>
  <c r="HF14" i="7"/>
  <c r="HF7" i="7"/>
  <c r="HF21" i="7"/>
  <c r="HF17" i="7"/>
  <c r="HN52" i="9"/>
  <c r="HN1" i="9"/>
  <c r="HN52" i="8"/>
  <c r="HN137" i="7"/>
  <c r="HN1" i="8"/>
  <c r="HN148" i="7"/>
  <c r="HN140" i="7"/>
  <c r="HN139" i="7"/>
  <c r="HN138" i="7"/>
  <c r="HN135" i="7"/>
  <c r="HN131" i="7"/>
  <c r="HN123" i="7"/>
  <c r="HN142" i="7"/>
  <c r="HN134" i="7"/>
  <c r="HN126" i="7"/>
  <c r="HN143" i="7"/>
  <c r="HN133" i="7"/>
  <c r="HN132" i="7"/>
  <c r="HN125" i="7"/>
  <c r="HN113" i="7"/>
  <c r="HN105" i="7"/>
  <c r="HN136" i="7"/>
  <c r="HN128" i="7"/>
  <c r="HN122" i="7"/>
  <c r="HN118" i="7"/>
  <c r="HN116" i="7"/>
  <c r="HN108" i="7"/>
  <c r="HN100" i="7"/>
  <c r="HN141" i="7"/>
  <c r="HN144" i="7"/>
  <c r="HN129" i="7"/>
  <c r="HN121" i="7"/>
  <c r="HN115" i="7"/>
  <c r="HN107" i="7"/>
  <c r="HN112" i="7"/>
  <c r="HN99" i="7"/>
  <c r="HN93" i="7"/>
  <c r="HN85" i="7"/>
  <c r="HN111" i="7"/>
  <c r="HN104" i="7"/>
  <c r="HN96" i="7"/>
  <c r="HN88" i="7"/>
  <c r="HN130" i="7"/>
  <c r="HN127" i="7"/>
  <c r="HN120" i="7"/>
  <c r="HN124" i="7"/>
  <c r="HN117" i="7"/>
  <c r="HN109" i="7"/>
  <c r="HN101" i="7"/>
  <c r="HN95" i="7"/>
  <c r="HN77" i="7"/>
  <c r="HN69" i="7"/>
  <c r="HN110" i="7"/>
  <c r="HN92" i="7"/>
  <c r="HN80" i="7"/>
  <c r="HN72" i="7"/>
  <c r="HN64" i="7"/>
  <c r="HN114" i="7"/>
  <c r="HN106" i="7"/>
  <c r="HN97" i="7"/>
  <c r="HN79" i="7"/>
  <c r="HN71" i="7"/>
  <c r="HN83" i="7"/>
  <c r="HN76" i="7"/>
  <c r="HN94" i="7"/>
  <c r="HN86" i="7"/>
  <c r="HN75" i="7"/>
  <c r="HN68" i="7"/>
  <c r="HN102" i="7"/>
  <c r="HN98" i="7"/>
  <c r="HN74" i="7"/>
  <c r="HN70" i="7"/>
  <c r="HN89" i="7"/>
  <c r="HN78" i="7"/>
  <c r="HN119" i="7"/>
  <c r="HN57" i="7"/>
  <c r="HN49" i="7"/>
  <c r="HN41" i="7"/>
  <c r="HN33" i="7"/>
  <c r="HN25" i="7"/>
  <c r="HN73" i="7"/>
  <c r="HN60" i="7"/>
  <c r="HN52" i="7"/>
  <c r="HN44" i="7"/>
  <c r="HN36" i="7"/>
  <c r="HN28" i="7"/>
  <c r="HN103" i="7"/>
  <c r="HN90" i="7"/>
  <c r="HN66" i="7"/>
  <c r="HN65" i="7"/>
  <c r="HN87" i="7"/>
  <c r="HN81" i="7"/>
  <c r="HN84" i="7"/>
  <c r="HN67" i="7"/>
  <c r="HN91" i="7"/>
  <c r="HN82" i="7"/>
  <c r="HN63" i="7"/>
  <c r="HN59" i="7"/>
  <c r="HN51" i="7"/>
  <c r="HN43" i="7"/>
  <c r="HN35" i="7"/>
  <c r="HN58" i="7"/>
  <c r="HN39" i="7"/>
  <c r="HN54" i="7"/>
  <c r="HN50" i="7"/>
  <c r="HN61" i="7"/>
  <c r="HN56" i="7"/>
  <c r="HN37" i="7"/>
  <c r="HN55" i="7"/>
  <c r="HN24" i="7"/>
  <c r="HN16" i="7"/>
  <c r="HN8" i="7"/>
  <c r="HN23" i="7"/>
  <c r="HN19" i="7"/>
  <c r="HN11" i="7"/>
  <c r="HN3" i="7"/>
  <c r="HN46" i="7"/>
  <c r="HN45" i="7"/>
  <c r="HN47" i="7"/>
  <c r="HN48" i="7"/>
  <c r="HN62" i="7"/>
  <c r="HN38" i="7"/>
  <c r="HN30" i="7"/>
  <c r="HN18" i="7"/>
  <c r="HN10" i="7"/>
  <c r="HN2" i="7"/>
  <c r="HN40" i="7"/>
  <c r="HN34" i="7"/>
  <c r="HN31" i="7"/>
  <c r="HN6" i="7"/>
  <c r="HN21" i="7"/>
  <c r="HN17" i="7"/>
  <c r="HN32" i="7"/>
  <c r="HN13" i="7"/>
  <c r="HN9" i="7"/>
  <c r="HN53" i="7"/>
  <c r="HN29" i="7"/>
  <c r="HN20" i="7"/>
  <c r="HN5" i="7"/>
  <c r="HN42" i="7"/>
  <c r="HN26" i="7"/>
  <c r="HN12" i="7"/>
  <c r="HN22" i="7"/>
  <c r="HN15" i="7"/>
  <c r="HV52" i="9"/>
  <c r="HV52" i="8"/>
  <c r="HV1" i="9"/>
  <c r="HV137" i="7"/>
  <c r="HV148" i="7"/>
  <c r="HV140" i="7"/>
  <c r="HV139" i="7"/>
  <c r="HV144" i="7"/>
  <c r="HV131" i="7"/>
  <c r="HV123" i="7"/>
  <c r="HV143" i="7"/>
  <c r="HV135" i="7"/>
  <c r="HV134" i="7"/>
  <c r="HV126" i="7"/>
  <c r="HV141" i="7"/>
  <c r="HV136" i="7"/>
  <c r="HV133" i="7"/>
  <c r="HV130" i="7"/>
  <c r="HV121" i="7"/>
  <c r="HV113" i="7"/>
  <c r="HV105" i="7"/>
  <c r="HV142" i="7"/>
  <c r="HV138" i="7"/>
  <c r="HV129" i="7"/>
  <c r="HV116" i="7"/>
  <c r="HV108" i="7"/>
  <c r="HV100" i="7"/>
  <c r="HV127" i="7"/>
  <c r="HV115" i="7"/>
  <c r="HV107" i="7"/>
  <c r="HV132" i="7"/>
  <c r="HV124" i="7"/>
  <c r="HV102" i="7"/>
  <c r="HV101" i="7"/>
  <c r="HV93" i="7"/>
  <c r="HV85" i="7"/>
  <c r="HV109" i="7"/>
  <c r="HV99" i="7"/>
  <c r="HV96" i="7"/>
  <c r="HV88" i="7"/>
  <c r="HV125" i="7"/>
  <c r="HV117" i="7"/>
  <c r="HV122" i="7"/>
  <c r="HV1" i="8"/>
  <c r="HV119" i="7"/>
  <c r="HV118" i="7"/>
  <c r="HV128" i="7"/>
  <c r="HV114" i="7"/>
  <c r="HV95" i="7"/>
  <c r="HV90" i="7"/>
  <c r="HV77" i="7"/>
  <c r="HV69" i="7"/>
  <c r="HV103" i="7"/>
  <c r="HV97" i="7"/>
  <c r="HV86" i="7"/>
  <c r="HV80" i="7"/>
  <c r="HV72" i="7"/>
  <c r="HV64" i="7"/>
  <c r="HV104" i="7"/>
  <c r="HV106" i="7"/>
  <c r="HV120" i="7"/>
  <c r="HV111" i="7"/>
  <c r="HV110" i="7"/>
  <c r="HV79" i="7"/>
  <c r="HV71" i="7"/>
  <c r="HV112" i="7"/>
  <c r="HV87" i="7"/>
  <c r="HV81" i="7"/>
  <c r="HV66" i="7"/>
  <c r="HV98" i="7"/>
  <c r="HV73" i="7"/>
  <c r="HV91" i="7"/>
  <c r="HV75" i="7"/>
  <c r="HV68" i="7"/>
  <c r="HV67" i="7"/>
  <c r="HV94" i="7"/>
  <c r="HV83" i="7"/>
  <c r="HV82" i="7"/>
  <c r="HV84" i="7"/>
  <c r="HV63" i="7"/>
  <c r="HV57" i="7"/>
  <c r="HV49" i="7"/>
  <c r="HV41" i="7"/>
  <c r="HV33" i="7"/>
  <c r="HV25" i="7"/>
  <c r="HV74" i="7"/>
  <c r="HV60" i="7"/>
  <c r="HV52" i="7"/>
  <c r="HV44" i="7"/>
  <c r="HV36" i="7"/>
  <c r="HV28" i="7"/>
  <c r="HV92" i="7"/>
  <c r="HV78" i="7"/>
  <c r="HV89" i="7"/>
  <c r="HV65" i="7"/>
  <c r="HV76" i="7"/>
  <c r="HV70" i="7"/>
  <c r="HV59" i="7"/>
  <c r="HV51" i="7"/>
  <c r="HV43" i="7"/>
  <c r="HV35" i="7"/>
  <c r="HV56" i="7"/>
  <c r="HV37" i="7"/>
  <c r="HV55" i="7"/>
  <c r="HV48" i="7"/>
  <c r="HV62" i="7"/>
  <c r="HV61" i="7"/>
  <c r="HV46" i="7"/>
  <c r="HV42" i="7"/>
  <c r="HV30" i="7"/>
  <c r="HV16" i="7"/>
  <c r="HV8" i="7"/>
  <c r="HV31" i="7"/>
  <c r="HV27" i="7"/>
  <c r="HV24" i="7"/>
  <c r="HV19" i="7"/>
  <c r="HV11" i="7"/>
  <c r="HV3" i="7"/>
  <c r="HV50" i="7"/>
  <c r="HV39" i="7"/>
  <c r="HV38" i="7"/>
  <c r="HV40" i="7"/>
  <c r="HV53" i="7"/>
  <c r="HV54" i="7"/>
  <c r="HV26" i="7"/>
  <c r="HV18" i="7"/>
  <c r="HV10" i="7"/>
  <c r="HV2" i="7"/>
  <c r="HV58" i="7"/>
  <c r="HV29" i="7"/>
  <c r="HV4" i="7"/>
  <c r="HV22" i="7"/>
  <c r="HV15" i="7"/>
  <c r="HV45" i="7"/>
  <c r="HV23" i="7"/>
  <c r="HV14" i="7"/>
  <c r="HV7" i="7"/>
  <c r="HV6" i="7"/>
  <c r="HV21" i="7"/>
  <c r="HV17" i="7"/>
  <c r="HV13" i="7"/>
  <c r="HV9" i="7"/>
  <c r="HV47" i="7"/>
  <c r="HV20" i="7"/>
  <c r="HV5" i="7"/>
  <c r="ID52" i="9"/>
  <c r="ID52" i="8"/>
  <c r="ID1" i="9"/>
  <c r="ID137" i="7"/>
  <c r="ID148" i="7"/>
  <c r="ID140" i="7"/>
  <c r="ID139" i="7"/>
  <c r="ID1" i="8"/>
  <c r="ID136" i="7"/>
  <c r="ID131" i="7"/>
  <c r="ID123" i="7"/>
  <c r="ID141" i="7"/>
  <c r="ID134" i="7"/>
  <c r="ID126" i="7"/>
  <c r="ID133" i="7"/>
  <c r="ID127" i="7"/>
  <c r="ID113" i="7"/>
  <c r="ID105" i="7"/>
  <c r="ID124" i="7"/>
  <c r="ID120" i="7"/>
  <c r="ID116" i="7"/>
  <c r="ID108" i="7"/>
  <c r="ID100" i="7"/>
  <c r="ID135" i="7"/>
  <c r="ID143" i="7"/>
  <c r="ID142" i="7"/>
  <c r="ID138" i="7"/>
  <c r="ID132" i="7"/>
  <c r="ID119" i="7"/>
  <c r="ID115" i="7"/>
  <c r="ID107" i="7"/>
  <c r="ID122" i="7"/>
  <c r="ID103" i="7"/>
  <c r="ID93" i="7"/>
  <c r="ID85" i="7"/>
  <c r="ID118" i="7"/>
  <c r="ID114" i="7"/>
  <c r="ID96" i="7"/>
  <c r="ID88" i="7"/>
  <c r="ID129" i="7"/>
  <c r="ID128" i="7"/>
  <c r="ID130" i="7"/>
  <c r="ID121" i="7"/>
  <c r="ID144" i="7"/>
  <c r="ID117" i="7"/>
  <c r="ID112" i="7"/>
  <c r="ID95" i="7"/>
  <c r="ID91" i="7"/>
  <c r="ID77" i="7"/>
  <c r="ID69" i="7"/>
  <c r="ID80" i="7"/>
  <c r="ID72" i="7"/>
  <c r="ID64" i="7"/>
  <c r="ID125" i="7"/>
  <c r="ID110" i="7"/>
  <c r="ID109" i="7"/>
  <c r="ID111" i="7"/>
  <c r="ID101" i="7"/>
  <c r="ID87" i="7"/>
  <c r="ID79" i="7"/>
  <c r="ID71" i="7"/>
  <c r="ID102" i="7"/>
  <c r="ID90" i="7"/>
  <c r="ID89" i="7"/>
  <c r="ID67" i="7"/>
  <c r="ID99" i="7"/>
  <c r="ID86" i="7"/>
  <c r="ID82" i="7"/>
  <c r="ID78" i="7"/>
  <c r="ID73" i="7"/>
  <c r="ID84" i="7"/>
  <c r="ID106" i="7"/>
  <c r="ID98" i="7"/>
  <c r="ID74" i="7"/>
  <c r="ID75" i="7"/>
  <c r="ID92" i="7"/>
  <c r="ID81" i="7"/>
  <c r="ID57" i="7"/>
  <c r="ID49" i="7"/>
  <c r="ID41" i="7"/>
  <c r="ID33" i="7"/>
  <c r="ID25" i="7"/>
  <c r="ID60" i="7"/>
  <c r="ID52" i="7"/>
  <c r="ID44" i="7"/>
  <c r="ID36" i="7"/>
  <c r="ID28" i="7"/>
  <c r="ID104" i="7"/>
  <c r="ID94" i="7"/>
  <c r="ID65" i="7"/>
  <c r="ID63" i="7"/>
  <c r="ID76" i="7"/>
  <c r="ID70" i="7"/>
  <c r="ID66" i="7"/>
  <c r="ID83" i="7"/>
  <c r="ID97" i="7"/>
  <c r="ID59" i="7"/>
  <c r="ID51" i="7"/>
  <c r="ID43" i="7"/>
  <c r="ID35" i="7"/>
  <c r="ID61" i="7"/>
  <c r="ID46" i="7"/>
  <c r="ID42" i="7"/>
  <c r="ID53" i="7"/>
  <c r="ID38" i="7"/>
  <c r="ID34" i="7"/>
  <c r="ID47" i="7"/>
  <c r="ID40" i="7"/>
  <c r="ID26" i="7"/>
  <c r="ID16" i="7"/>
  <c r="ID8" i="7"/>
  <c r="ID19" i="7"/>
  <c r="ID11" i="7"/>
  <c r="ID3" i="7"/>
  <c r="ID62" i="7"/>
  <c r="ID55" i="7"/>
  <c r="ID54" i="7"/>
  <c r="ID56" i="7"/>
  <c r="ID45" i="7"/>
  <c r="ID68" i="7"/>
  <c r="ID58" i="7"/>
  <c r="ID48" i="7"/>
  <c r="ID37" i="7"/>
  <c r="ID32" i="7"/>
  <c r="ID18" i="7"/>
  <c r="ID10" i="7"/>
  <c r="ID2" i="7"/>
  <c r="ID31" i="7"/>
  <c r="ID13" i="7"/>
  <c r="ID9" i="7"/>
  <c r="ID20" i="7"/>
  <c r="ID5" i="7"/>
  <c r="ID24" i="7"/>
  <c r="ID12" i="7"/>
  <c r="ID4" i="7"/>
  <c r="ID50" i="7"/>
  <c r="ID29" i="7"/>
  <c r="ID22" i="7"/>
  <c r="ID15" i="7"/>
  <c r="ID39" i="7"/>
  <c r="ID14" i="7"/>
  <c r="ID30" i="7"/>
  <c r="ID23" i="7"/>
  <c r="ID6" i="7"/>
  <c r="IL52" i="9"/>
  <c r="IL1" i="9"/>
  <c r="IL52" i="8"/>
  <c r="IL137" i="7"/>
  <c r="IL148" i="7"/>
  <c r="IL140" i="7"/>
  <c r="IL139" i="7"/>
  <c r="IL131" i="7"/>
  <c r="IL123" i="7"/>
  <c r="IL134" i="7"/>
  <c r="IL126" i="7"/>
  <c r="IL144" i="7"/>
  <c r="IL138" i="7"/>
  <c r="IL133" i="7"/>
  <c r="IL119" i="7"/>
  <c r="IL113" i="7"/>
  <c r="IL105" i="7"/>
  <c r="IL132" i="7"/>
  <c r="IL116" i="7"/>
  <c r="IL108" i="7"/>
  <c r="IL100" i="7"/>
  <c r="IL142" i="7"/>
  <c r="IL141" i="7"/>
  <c r="IL1" i="8"/>
  <c r="IL143" i="7"/>
  <c r="IL130" i="7"/>
  <c r="IL125" i="7"/>
  <c r="IL117" i="7"/>
  <c r="IL115" i="7"/>
  <c r="IL107" i="7"/>
  <c r="IL129" i="7"/>
  <c r="IL124" i="7"/>
  <c r="IL93" i="7"/>
  <c r="IL85" i="7"/>
  <c r="IL135" i="7"/>
  <c r="IL121" i="7"/>
  <c r="IL112" i="7"/>
  <c r="IL96" i="7"/>
  <c r="IL88" i="7"/>
  <c r="IL136" i="7"/>
  <c r="IL122" i="7"/>
  <c r="IL118" i="7"/>
  <c r="IL102" i="7"/>
  <c r="IL95" i="7"/>
  <c r="IL127" i="7"/>
  <c r="IL110" i="7"/>
  <c r="IL99" i="7"/>
  <c r="IL89" i="7"/>
  <c r="IL87" i="7"/>
  <c r="IL77" i="7"/>
  <c r="IL69" i="7"/>
  <c r="IL128" i="7"/>
  <c r="IL80" i="7"/>
  <c r="IL72" i="7"/>
  <c r="IL64" i="7"/>
  <c r="IL114" i="7"/>
  <c r="IL104" i="7"/>
  <c r="IL120" i="7"/>
  <c r="IL90" i="7"/>
  <c r="IL79" i="7"/>
  <c r="IL71" i="7"/>
  <c r="IL94" i="7"/>
  <c r="IL84" i="7"/>
  <c r="IL65" i="7"/>
  <c r="IL83" i="7"/>
  <c r="IL76" i="7"/>
  <c r="IL111" i="7"/>
  <c r="IL109" i="7"/>
  <c r="IL82" i="7"/>
  <c r="IL78" i="7"/>
  <c r="IL106" i="7"/>
  <c r="IL98" i="7"/>
  <c r="IL86" i="7"/>
  <c r="IL67" i="7"/>
  <c r="IL92" i="7"/>
  <c r="IL103" i="7"/>
  <c r="IL70" i="7"/>
  <c r="IL62" i="7"/>
  <c r="IL57" i="7"/>
  <c r="IL49" i="7"/>
  <c r="IL41" i="7"/>
  <c r="IL33" i="7"/>
  <c r="IL25" i="7"/>
  <c r="IL66" i="7"/>
  <c r="IL60" i="7"/>
  <c r="IL52" i="7"/>
  <c r="IL44" i="7"/>
  <c r="IL36" i="7"/>
  <c r="IL28" i="7"/>
  <c r="IL91" i="7"/>
  <c r="IL73" i="7"/>
  <c r="IL68" i="7"/>
  <c r="IL101" i="7"/>
  <c r="IL97" i="7"/>
  <c r="IL63" i="7"/>
  <c r="IL81" i="7"/>
  <c r="IL74" i="7"/>
  <c r="IL59" i="7"/>
  <c r="IL51" i="7"/>
  <c r="IL43" i="7"/>
  <c r="IL35" i="7"/>
  <c r="IL47" i="7"/>
  <c r="IL40" i="7"/>
  <c r="IL58" i="7"/>
  <c r="IL39" i="7"/>
  <c r="IL45" i="7"/>
  <c r="IL56" i="7"/>
  <c r="IL32" i="7"/>
  <c r="IL16" i="7"/>
  <c r="IL8" i="7"/>
  <c r="IL46" i="7"/>
  <c r="IL34" i="7"/>
  <c r="IL29" i="7"/>
  <c r="IL19" i="7"/>
  <c r="IL11" i="7"/>
  <c r="IL3" i="7"/>
  <c r="IL61" i="7"/>
  <c r="IL50" i="7"/>
  <c r="IL48" i="7"/>
  <c r="IL37" i="7"/>
  <c r="IL38" i="7"/>
  <c r="IL54" i="7"/>
  <c r="IL53" i="7"/>
  <c r="IL42" i="7"/>
  <c r="IL18" i="7"/>
  <c r="IL10" i="7"/>
  <c r="IL2" i="7"/>
  <c r="IL75" i="7"/>
  <c r="IL26" i="7"/>
  <c r="IL14" i="7"/>
  <c r="IL7" i="7"/>
  <c r="IL6" i="7"/>
  <c r="IL23" i="7"/>
  <c r="IL21" i="7"/>
  <c r="IL17" i="7"/>
  <c r="IL30" i="7"/>
  <c r="IL13" i="7"/>
  <c r="IL9" i="7"/>
  <c r="IL27" i="7"/>
  <c r="IL20" i="7"/>
  <c r="IL5" i="7"/>
  <c r="IL31" i="7"/>
  <c r="IL12" i="7"/>
  <c r="IL55" i="7"/>
  <c r="IL24" i="7"/>
  <c r="IL4" i="7"/>
  <c r="IT52" i="9"/>
  <c r="IT52" i="8"/>
  <c r="IT1" i="9"/>
  <c r="IT137" i="7"/>
  <c r="IT1" i="8"/>
  <c r="IT148" i="7"/>
  <c r="IT140" i="7"/>
  <c r="IT139" i="7"/>
  <c r="IT138" i="7"/>
  <c r="IT131" i="7"/>
  <c r="IT123" i="7"/>
  <c r="IT144" i="7"/>
  <c r="IT134" i="7"/>
  <c r="IT126" i="7"/>
  <c r="IT133" i="7"/>
  <c r="IT142" i="7"/>
  <c r="IT125" i="7"/>
  <c r="IT113" i="7"/>
  <c r="IT105" i="7"/>
  <c r="IT130" i="7"/>
  <c r="IT122" i="7"/>
  <c r="IT116" i="7"/>
  <c r="IT108" i="7"/>
  <c r="IT100" i="7"/>
  <c r="IT136" i="7"/>
  <c r="IT135" i="7"/>
  <c r="IT121" i="7"/>
  <c r="IT115" i="7"/>
  <c r="IT107" i="7"/>
  <c r="IT119" i="7"/>
  <c r="IT110" i="7"/>
  <c r="IT106" i="7"/>
  <c r="IT93" i="7"/>
  <c r="IT85" i="7"/>
  <c r="IT118" i="7"/>
  <c r="IT102" i="7"/>
  <c r="IT96" i="7"/>
  <c r="IT88" i="7"/>
  <c r="IT143" i="7"/>
  <c r="IT129" i="7"/>
  <c r="IT127" i="7"/>
  <c r="IT120" i="7"/>
  <c r="IT128" i="7"/>
  <c r="IT124" i="7"/>
  <c r="IT141" i="7"/>
  <c r="IT103" i="7"/>
  <c r="IT101" i="7"/>
  <c r="IT95" i="7"/>
  <c r="IT98" i="7"/>
  <c r="IT94" i="7"/>
  <c r="IT77" i="7"/>
  <c r="IT69" i="7"/>
  <c r="IT132" i="7"/>
  <c r="IT117" i="7"/>
  <c r="IT104" i="7"/>
  <c r="IT90" i="7"/>
  <c r="IT80" i="7"/>
  <c r="IT72" i="7"/>
  <c r="IT64" i="7"/>
  <c r="IT109" i="7"/>
  <c r="IT112" i="7"/>
  <c r="IT91" i="7"/>
  <c r="IT79" i="7"/>
  <c r="IT71" i="7"/>
  <c r="IT114" i="7"/>
  <c r="IT74" i="7"/>
  <c r="IT70" i="7"/>
  <c r="IT111" i="7"/>
  <c r="IT89" i="7"/>
  <c r="IT81" i="7"/>
  <c r="IT66" i="7"/>
  <c r="IT99" i="7"/>
  <c r="IT92" i="7"/>
  <c r="IT87" i="7"/>
  <c r="IT83" i="7"/>
  <c r="IT76" i="7"/>
  <c r="IT82" i="7"/>
  <c r="IT84" i="7"/>
  <c r="IT73" i="7"/>
  <c r="IT97" i="7"/>
  <c r="IT67" i="7"/>
  <c r="IT57" i="7"/>
  <c r="IT49" i="7"/>
  <c r="IT41" i="7"/>
  <c r="IT33" i="7"/>
  <c r="IT25" i="7"/>
  <c r="IT68" i="7"/>
  <c r="IT62" i="7"/>
  <c r="IT60" i="7"/>
  <c r="IT52" i="7"/>
  <c r="IT44" i="7"/>
  <c r="IT36" i="7"/>
  <c r="IT28" i="7"/>
  <c r="IT86" i="7"/>
  <c r="IT65" i="7"/>
  <c r="IT75" i="7"/>
  <c r="IT78" i="7"/>
  <c r="IT63" i="7"/>
  <c r="IT59" i="7"/>
  <c r="IT51" i="7"/>
  <c r="IT43" i="7"/>
  <c r="IT35" i="7"/>
  <c r="IT45" i="7"/>
  <c r="IT56" i="7"/>
  <c r="IT37" i="7"/>
  <c r="IT54" i="7"/>
  <c r="IT50" i="7"/>
  <c r="IT61" i="7"/>
  <c r="IT16" i="7"/>
  <c r="IT8" i="7"/>
  <c r="IT39" i="7"/>
  <c r="IT38" i="7"/>
  <c r="IT19" i="7"/>
  <c r="IT11" i="7"/>
  <c r="IT3" i="7"/>
  <c r="IT40" i="7"/>
  <c r="IT55" i="7"/>
  <c r="IT53" i="7"/>
  <c r="IT42" i="7"/>
  <c r="IT58" i="7"/>
  <c r="IT47" i="7"/>
  <c r="IT46" i="7"/>
  <c r="IT34" i="7"/>
  <c r="IT30" i="7"/>
  <c r="IT18" i="7"/>
  <c r="IT10" i="7"/>
  <c r="IT2" i="7"/>
  <c r="IT27" i="7"/>
  <c r="IT12" i="7"/>
  <c r="IT31" i="7"/>
  <c r="IT4" i="7"/>
  <c r="IT24" i="7"/>
  <c r="IT22" i="7"/>
  <c r="IT15" i="7"/>
  <c r="IT32" i="7"/>
  <c r="IT14" i="7"/>
  <c r="IT7" i="7"/>
  <c r="IT29" i="7"/>
  <c r="IT6" i="7"/>
  <c r="IT26" i="7"/>
  <c r="IT21" i="7"/>
  <c r="IT17" i="7"/>
  <c r="IT23" i="7"/>
  <c r="IT13" i="7"/>
  <c r="IT9" i="7"/>
  <c r="JB52" i="9"/>
  <c r="JB1" i="9"/>
  <c r="JB52" i="8"/>
  <c r="JB137" i="7"/>
  <c r="JB148" i="7"/>
  <c r="JB140" i="7"/>
  <c r="JB139" i="7"/>
  <c r="JB142" i="7"/>
  <c r="JB131" i="7"/>
  <c r="JB123" i="7"/>
  <c r="JB134" i="7"/>
  <c r="JB126" i="7"/>
  <c r="JB136" i="7"/>
  <c r="JB133" i="7"/>
  <c r="JB128" i="7"/>
  <c r="JB121" i="7"/>
  <c r="JB117" i="7"/>
  <c r="JB113" i="7"/>
  <c r="JB105" i="7"/>
  <c r="JB116" i="7"/>
  <c r="JB108" i="7"/>
  <c r="JB100" i="7"/>
  <c r="JB138" i="7"/>
  <c r="JB141" i="7"/>
  <c r="JB143" i="7"/>
  <c r="JB1" i="8"/>
  <c r="JB144" i="7"/>
  <c r="JB127" i="7"/>
  <c r="JB118" i="7"/>
  <c r="JB115" i="7"/>
  <c r="JB107" i="7"/>
  <c r="JB120" i="7"/>
  <c r="JB111" i="7"/>
  <c r="JB104" i="7"/>
  <c r="JB101" i="7"/>
  <c r="JB93" i="7"/>
  <c r="JB85" i="7"/>
  <c r="JB124" i="7"/>
  <c r="JB103" i="7"/>
  <c r="JB96" i="7"/>
  <c r="JB88" i="7"/>
  <c r="JB129" i="7"/>
  <c r="JB130" i="7"/>
  <c r="JB125" i="7"/>
  <c r="JB132" i="7"/>
  <c r="JB122" i="7"/>
  <c r="JB119" i="7"/>
  <c r="JB95" i="7"/>
  <c r="JB99" i="7"/>
  <c r="JB92" i="7"/>
  <c r="JB77" i="7"/>
  <c r="JB69" i="7"/>
  <c r="JB110" i="7"/>
  <c r="JB109" i="7"/>
  <c r="JB91" i="7"/>
  <c r="JB86" i="7"/>
  <c r="JB80" i="7"/>
  <c r="JB72" i="7"/>
  <c r="JB64" i="7"/>
  <c r="JB114" i="7"/>
  <c r="JB112" i="7"/>
  <c r="JB135" i="7"/>
  <c r="JB106" i="7"/>
  <c r="JB89" i="7"/>
  <c r="JB79" i="7"/>
  <c r="JB71" i="7"/>
  <c r="JB75" i="7"/>
  <c r="JB68" i="7"/>
  <c r="JB94" i="7"/>
  <c r="JB87" i="7"/>
  <c r="JB67" i="7"/>
  <c r="JB98" i="7"/>
  <c r="JB97" i="7"/>
  <c r="JB81" i="7"/>
  <c r="JB74" i="7"/>
  <c r="JB90" i="7"/>
  <c r="JB78" i="7"/>
  <c r="JB76" i="7"/>
  <c r="JB63" i="7"/>
  <c r="JB57" i="7"/>
  <c r="JB49" i="7"/>
  <c r="JB41" i="7"/>
  <c r="JB33" i="7"/>
  <c r="JB25" i="7"/>
  <c r="JB60" i="7"/>
  <c r="JB52" i="7"/>
  <c r="JB44" i="7"/>
  <c r="JB36" i="7"/>
  <c r="JB28" i="7"/>
  <c r="JB84" i="7"/>
  <c r="JB66" i="7"/>
  <c r="JB62" i="7"/>
  <c r="JB102" i="7"/>
  <c r="JB70" i="7"/>
  <c r="JB82" i="7"/>
  <c r="JB59" i="7"/>
  <c r="JB51" i="7"/>
  <c r="JB43" i="7"/>
  <c r="JB35" i="7"/>
  <c r="JB65" i="7"/>
  <c r="JB54" i="7"/>
  <c r="JB50" i="7"/>
  <c r="JB61" i="7"/>
  <c r="JB46" i="7"/>
  <c r="JB42" i="7"/>
  <c r="JB73" i="7"/>
  <c r="JB55" i="7"/>
  <c r="JB48" i="7"/>
  <c r="JB30" i="7"/>
  <c r="JB16" i="7"/>
  <c r="JB8" i="7"/>
  <c r="JB31" i="7"/>
  <c r="JB27" i="7"/>
  <c r="JB19" i="7"/>
  <c r="JB11" i="7"/>
  <c r="JB3" i="7"/>
  <c r="JB56" i="7"/>
  <c r="JB45" i="7"/>
  <c r="JB58" i="7"/>
  <c r="JB47" i="7"/>
  <c r="JB83" i="7"/>
  <c r="JB38" i="7"/>
  <c r="JB37" i="7"/>
  <c r="JB39" i="7"/>
  <c r="JB26" i="7"/>
  <c r="JB23" i="7"/>
  <c r="JB18" i="7"/>
  <c r="JB10" i="7"/>
  <c r="JB2" i="7"/>
  <c r="JB32" i="7"/>
  <c r="JB21" i="7"/>
  <c r="JB17" i="7"/>
  <c r="JB53" i="7"/>
  <c r="JB29" i="7"/>
  <c r="JB13" i="7"/>
  <c r="JB9" i="7"/>
  <c r="JB20" i="7"/>
  <c r="JB5" i="7"/>
  <c r="JB12" i="7"/>
  <c r="JB4" i="7"/>
  <c r="JB22" i="7"/>
  <c r="JB15" i="7"/>
  <c r="JB40" i="7"/>
  <c r="JB34" i="7"/>
  <c r="JB24" i="7"/>
  <c r="JB14" i="7"/>
  <c r="JB7" i="7"/>
  <c r="JJ52" i="9"/>
  <c r="JJ1" i="9"/>
  <c r="JJ52" i="8"/>
  <c r="JJ137" i="7"/>
  <c r="JJ148" i="7"/>
  <c r="JJ140" i="7"/>
  <c r="JJ139" i="7"/>
  <c r="JJ143" i="7"/>
  <c r="JJ136" i="7"/>
  <c r="JJ131" i="7"/>
  <c r="JJ123" i="7"/>
  <c r="JJ1" i="8"/>
  <c r="JJ134" i="7"/>
  <c r="JJ126" i="7"/>
  <c r="JJ135" i="7"/>
  <c r="JJ133" i="7"/>
  <c r="JJ129" i="7"/>
  <c r="JJ127" i="7"/>
  <c r="JJ113" i="7"/>
  <c r="JJ105" i="7"/>
  <c r="JJ142" i="7"/>
  <c r="JJ141" i="7"/>
  <c r="JJ124" i="7"/>
  <c r="JJ120" i="7"/>
  <c r="JJ117" i="7"/>
  <c r="JJ116" i="7"/>
  <c r="JJ108" i="7"/>
  <c r="JJ100" i="7"/>
  <c r="JJ144" i="7"/>
  <c r="JJ119" i="7"/>
  <c r="JJ115" i="7"/>
  <c r="JJ107" i="7"/>
  <c r="JJ132" i="7"/>
  <c r="JJ130" i="7"/>
  <c r="JJ125" i="7"/>
  <c r="JJ118" i="7"/>
  <c r="JJ109" i="7"/>
  <c r="JJ93" i="7"/>
  <c r="JJ85" i="7"/>
  <c r="JJ122" i="7"/>
  <c r="JJ96" i="7"/>
  <c r="JJ88" i="7"/>
  <c r="JJ121" i="7"/>
  <c r="JJ128" i="7"/>
  <c r="JJ110" i="7"/>
  <c r="JJ106" i="7"/>
  <c r="JJ99" i="7"/>
  <c r="JJ95" i="7"/>
  <c r="JJ97" i="7"/>
  <c r="JJ77" i="7"/>
  <c r="JJ69" i="7"/>
  <c r="JJ114" i="7"/>
  <c r="JJ103" i="7"/>
  <c r="JJ102" i="7"/>
  <c r="JJ89" i="7"/>
  <c r="JJ80" i="7"/>
  <c r="JJ72" i="7"/>
  <c r="JJ64" i="7"/>
  <c r="JJ104" i="7"/>
  <c r="JJ138" i="7"/>
  <c r="JJ111" i="7"/>
  <c r="JJ98" i="7"/>
  <c r="JJ94" i="7"/>
  <c r="JJ87" i="7"/>
  <c r="JJ79" i="7"/>
  <c r="JJ71" i="7"/>
  <c r="JJ73" i="7"/>
  <c r="JJ84" i="7"/>
  <c r="JJ65" i="7"/>
  <c r="JJ112" i="7"/>
  <c r="JJ91" i="7"/>
  <c r="JJ90" i="7"/>
  <c r="JJ86" i="7"/>
  <c r="JJ83" i="7"/>
  <c r="JJ82" i="7"/>
  <c r="JJ81" i="7"/>
  <c r="JJ101" i="7"/>
  <c r="JJ70" i="7"/>
  <c r="JJ57" i="7"/>
  <c r="JJ49" i="7"/>
  <c r="JJ41" i="7"/>
  <c r="JJ33" i="7"/>
  <c r="JJ25" i="7"/>
  <c r="JJ78" i="7"/>
  <c r="JJ75" i="7"/>
  <c r="JJ67" i="7"/>
  <c r="JJ60" i="7"/>
  <c r="JJ52" i="7"/>
  <c r="JJ44" i="7"/>
  <c r="JJ36" i="7"/>
  <c r="JJ28" i="7"/>
  <c r="JJ63" i="7"/>
  <c r="JJ92" i="7"/>
  <c r="JJ68" i="7"/>
  <c r="JJ62" i="7"/>
  <c r="JJ76" i="7"/>
  <c r="JJ59" i="7"/>
  <c r="JJ51" i="7"/>
  <c r="JJ43" i="7"/>
  <c r="JJ35" i="7"/>
  <c r="JJ55" i="7"/>
  <c r="JJ48" i="7"/>
  <c r="JJ66" i="7"/>
  <c r="JJ47" i="7"/>
  <c r="JJ40" i="7"/>
  <c r="JJ53" i="7"/>
  <c r="JJ38" i="7"/>
  <c r="JJ34" i="7"/>
  <c r="JJ46" i="7"/>
  <c r="JJ26" i="7"/>
  <c r="JJ16" i="7"/>
  <c r="JJ8" i="7"/>
  <c r="JJ19" i="7"/>
  <c r="JJ11" i="7"/>
  <c r="JJ3" i="7"/>
  <c r="JJ74" i="7"/>
  <c r="JJ50" i="7"/>
  <c r="JJ39" i="7"/>
  <c r="JJ37" i="7"/>
  <c r="JJ61" i="7"/>
  <c r="JJ54" i="7"/>
  <c r="JJ42" i="7"/>
  <c r="JJ32" i="7"/>
  <c r="JJ24" i="7"/>
  <c r="JJ18" i="7"/>
  <c r="JJ10" i="7"/>
  <c r="JJ2" i="7"/>
  <c r="JJ58" i="7"/>
  <c r="JJ45" i="7"/>
  <c r="JJ27" i="7"/>
  <c r="JJ22" i="7"/>
  <c r="JJ15" i="7"/>
  <c r="JJ31" i="7"/>
  <c r="JJ14" i="7"/>
  <c r="JJ7" i="7"/>
  <c r="JJ6" i="7"/>
  <c r="JJ21" i="7"/>
  <c r="JJ17" i="7"/>
  <c r="JJ13" i="7"/>
  <c r="JJ9" i="7"/>
  <c r="JJ29" i="7"/>
  <c r="JJ23" i="7"/>
  <c r="JJ20" i="7"/>
  <c r="JJ12" i="7"/>
  <c r="JR52" i="9"/>
  <c r="JR52" i="8"/>
  <c r="JR1" i="9"/>
  <c r="JR137" i="7"/>
  <c r="JR148" i="7"/>
  <c r="JR140" i="7"/>
  <c r="JR139" i="7"/>
  <c r="JR141" i="7"/>
  <c r="JR131" i="7"/>
  <c r="JR123" i="7"/>
  <c r="JR134" i="7"/>
  <c r="JR126" i="7"/>
  <c r="JR142" i="7"/>
  <c r="JR138" i="7"/>
  <c r="JR133" i="7"/>
  <c r="JR119" i="7"/>
  <c r="JR118" i="7"/>
  <c r="JR113" i="7"/>
  <c r="JR105" i="7"/>
  <c r="JR116" i="7"/>
  <c r="JR108" i="7"/>
  <c r="JR100" i="7"/>
  <c r="JR1" i="8"/>
  <c r="JR143" i="7"/>
  <c r="JR136" i="7"/>
  <c r="JR135" i="7"/>
  <c r="JR128" i="7"/>
  <c r="JR125" i="7"/>
  <c r="JR115" i="7"/>
  <c r="JR107" i="7"/>
  <c r="JR127" i="7"/>
  <c r="JR120" i="7"/>
  <c r="JR114" i="7"/>
  <c r="JR99" i="7"/>
  <c r="JR93" i="7"/>
  <c r="JR85" i="7"/>
  <c r="JR124" i="7"/>
  <c r="JR110" i="7"/>
  <c r="JR106" i="7"/>
  <c r="JR96" i="7"/>
  <c r="JR88" i="7"/>
  <c r="JR121" i="7"/>
  <c r="JR144" i="7"/>
  <c r="JR129" i="7"/>
  <c r="JR130" i="7"/>
  <c r="JR122" i="7"/>
  <c r="JR132" i="7"/>
  <c r="JR111" i="7"/>
  <c r="JR104" i="7"/>
  <c r="JR95" i="7"/>
  <c r="JR87" i="7"/>
  <c r="JR77" i="7"/>
  <c r="JR69" i="7"/>
  <c r="JR98" i="7"/>
  <c r="JR94" i="7"/>
  <c r="JR80" i="7"/>
  <c r="JR72" i="7"/>
  <c r="JR64" i="7"/>
  <c r="JR109" i="7"/>
  <c r="JR117" i="7"/>
  <c r="JR103" i="7"/>
  <c r="JR92" i="7"/>
  <c r="JR79" i="7"/>
  <c r="JR71" i="7"/>
  <c r="JR90" i="7"/>
  <c r="JR89" i="7"/>
  <c r="JR82" i="7"/>
  <c r="JR78" i="7"/>
  <c r="JR91" i="7"/>
  <c r="JR74" i="7"/>
  <c r="JR70" i="7"/>
  <c r="JR112" i="7"/>
  <c r="JR84" i="7"/>
  <c r="JR73" i="7"/>
  <c r="JR101" i="7"/>
  <c r="JR75" i="7"/>
  <c r="JR102" i="7"/>
  <c r="JR65" i="7"/>
  <c r="JR57" i="7"/>
  <c r="JR49" i="7"/>
  <c r="JR41" i="7"/>
  <c r="JR33" i="7"/>
  <c r="JR25" i="7"/>
  <c r="JR97" i="7"/>
  <c r="JR76" i="7"/>
  <c r="JR68" i="7"/>
  <c r="JR60" i="7"/>
  <c r="JR52" i="7"/>
  <c r="JR44" i="7"/>
  <c r="JR36" i="7"/>
  <c r="JR28" i="7"/>
  <c r="JR83" i="7"/>
  <c r="JR66" i="7"/>
  <c r="JR63" i="7"/>
  <c r="JR62" i="7"/>
  <c r="JR81" i="7"/>
  <c r="JR67" i="7"/>
  <c r="JR59" i="7"/>
  <c r="JR51" i="7"/>
  <c r="JR43" i="7"/>
  <c r="JR35" i="7"/>
  <c r="JR53" i="7"/>
  <c r="JR38" i="7"/>
  <c r="JR34" i="7"/>
  <c r="JR45" i="7"/>
  <c r="JR58" i="7"/>
  <c r="JR39" i="7"/>
  <c r="JR32" i="7"/>
  <c r="JR23" i="7"/>
  <c r="JR16" i="7"/>
  <c r="JR8" i="7"/>
  <c r="JR61" i="7"/>
  <c r="JR40" i="7"/>
  <c r="JR29" i="7"/>
  <c r="JR19" i="7"/>
  <c r="JR11" i="7"/>
  <c r="JR3" i="7"/>
  <c r="JR55" i="7"/>
  <c r="JR54" i="7"/>
  <c r="JR42" i="7"/>
  <c r="JR56" i="7"/>
  <c r="JR86" i="7"/>
  <c r="JR47" i="7"/>
  <c r="JR46" i="7"/>
  <c r="JR48" i="7"/>
  <c r="JR37" i="7"/>
  <c r="JR18" i="7"/>
  <c r="JR10" i="7"/>
  <c r="JR2" i="7"/>
  <c r="JR20" i="7"/>
  <c r="JR5" i="7"/>
  <c r="JR26" i="7"/>
  <c r="JR12" i="7"/>
  <c r="JR50" i="7"/>
  <c r="JR4" i="7"/>
  <c r="JR22" i="7"/>
  <c r="JR15" i="7"/>
  <c r="JR30" i="7"/>
  <c r="JR14" i="7"/>
  <c r="JR7" i="7"/>
  <c r="JR27" i="7"/>
  <c r="JR24" i="7"/>
  <c r="JR31" i="7"/>
  <c r="JR21" i="7"/>
  <c r="JR17" i="7"/>
  <c r="JZ52" i="9"/>
  <c r="JZ1" i="9"/>
  <c r="JZ52" i="8"/>
  <c r="JZ137" i="7"/>
  <c r="JZ1" i="8"/>
  <c r="JZ148" i="7"/>
  <c r="JZ140" i="7"/>
  <c r="JZ139" i="7"/>
  <c r="JZ135" i="7"/>
  <c r="JZ131" i="7"/>
  <c r="JZ123" i="7"/>
  <c r="JZ142" i="7"/>
  <c r="JZ138" i="7"/>
  <c r="JZ134" i="7"/>
  <c r="JZ126" i="7"/>
  <c r="JZ143" i="7"/>
  <c r="JZ133" i="7"/>
  <c r="JZ132" i="7"/>
  <c r="JZ125" i="7"/>
  <c r="JZ113" i="7"/>
  <c r="JZ105" i="7"/>
  <c r="JZ128" i="7"/>
  <c r="JZ122" i="7"/>
  <c r="JZ118" i="7"/>
  <c r="JZ116" i="7"/>
  <c r="JZ108" i="7"/>
  <c r="JZ100" i="7"/>
  <c r="JZ141" i="7"/>
  <c r="JZ136" i="7"/>
  <c r="JZ144" i="7"/>
  <c r="JZ129" i="7"/>
  <c r="JZ121" i="7"/>
  <c r="JZ115" i="7"/>
  <c r="JZ107" i="7"/>
  <c r="JZ112" i="7"/>
  <c r="JZ93" i="7"/>
  <c r="JZ85" i="7"/>
  <c r="JZ119" i="7"/>
  <c r="JZ111" i="7"/>
  <c r="JZ104" i="7"/>
  <c r="JZ96" i="7"/>
  <c r="JZ88" i="7"/>
  <c r="JZ130" i="7"/>
  <c r="JZ117" i="7"/>
  <c r="JZ127" i="7"/>
  <c r="JZ120" i="7"/>
  <c r="JZ124" i="7"/>
  <c r="JZ109" i="7"/>
  <c r="JZ101" i="7"/>
  <c r="JZ95" i="7"/>
  <c r="JZ110" i="7"/>
  <c r="JZ77" i="7"/>
  <c r="JZ69" i="7"/>
  <c r="JZ92" i="7"/>
  <c r="JZ80" i="7"/>
  <c r="JZ72" i="7"/>
  <c r="JZ64" i="7"/>
  <c r="JZ114" i="7"/>
  <c r="JZ97" i="7"/>
  <c r="JZ79" i="7"/>
  <c r="JZ71" i="7"/>
  <c r="JZ94" i="7"/>
  <c r="JZ83" i="7"/>
  <c r="JZ76" i="7"/>
  <c r="JZ106" i="7"/>
  <c r="JZ99" i="7"/>
  <c r="JZ75" i="7"/>
  <c r="JZ68" i="7"/>
  <c r="JZ102" i="7"/>
  <c r="JZ74" i="7"/>
  <c r="JZ70" i="7"/>
  <c r="JZ89" i="7"/>
  <c r="JZ87" i="7"/>
  <c r="JZ78" i="7"/>
  <c r="JZ90" i="7"/>
  <c r="JZ66" i="7"/>
  <c r="JZ57" i="7"/>
  <c r="JZ49" i="7"/>
  <c r="JZ41" i="7"/>
  <c r="JZ33" i="7"/>
  <c r="JZ25" i="7"/>
  <c r="JZ103" i="7"/>
  <c r="JZ73" i="7"/>
  <c r="JZ60" i="7"/>
  <c r="JZ52" i="7"/>
  <c r="JZ44" i="7"/>
  <c r="JZ36" i="7"/>
  <c r="JZ28" i="7"/>
  <c r="JZ67" i="7"/>
  <c r="JZ81" i="7"/>
  <c r="JZ91" i="7"/>
  <c r="JZ86" i="7"/>
  <c r="JZ84" i="7"/>
  <c r="JZ65" i="7"/>
  <c r="JZ82" i="7"/>
  <c r="JZ63" i="7"/>
  <c r="JZ59" i="7"/>
  <c r="JZ51" i="7"/>
  <c r="JZ43" i="7"/>
  <c r="JZ35" i="7"/>
  <c r="JZ62" i="7"/>
  <c r="JZ58" i="7"/>
  <c r="JZ39" i="7"/>
  <c r="JZ54" i="7"/>
  <c r="JZ50" i="7"/>
  <c r="JZ61" i="7"/>
  <c r="JZ56" i="7"/>
  <c r="JZ37" i="7"/>
  <c r="JZ24" i="7"/>
  <c r="JZ16" i="7"/>
  <c r="JZ8" i="7"/>
  <c r="JZ46" i="7"/>
  <c r="JZ45" i="7"/>
  <c r="JZ34" i="7"/>
  <c r="JZ23" i="7"/>
  <c r="JZ19" i="7"/>
  <c r="JZ11" i="7"/>
  <c r="JZ3" i="7"/>
  <c r="JZ47" i="7"/>
  <c r="JZ48" i="7"/>
  <c r="JZ38" i="7"/>
  <c r="JZ98" i="7"/>
  <c r="JZ53" i="7"/>
  <c r="JZ42" i="7"/>
  <c r="JZ40" i="7"/>
  <c r="JZ30" i="7"/>
  <c r="JZ18" i="7"/>
  <c r="JZ10" i="7"/>
  <c r="JZ2" i="7"/>
  <c r="JZ6" i="7"/>
  <c r="JZ27" i="7"/>
  <c r="JZ21" i="7"/>
  <c r="JZ17" i="7"/>
  <c r="JZ31" i="7"/>
  <c r="JZ13" i="7"/>
  <c r="JZ9" i="7"/>
  <c r="JZ20" i="7"/>
  <c r="JZ5" i="7"/>
  <c r="JZ55" i="7"/>
  <c r="JZ32" i="7"/>
  <c r="JZ12" i="7"/>
  <c r="JZ29" i="7"/>
  <c r="JZ26" i="7"/>
  <c r="JZ22" i="7"/>
  <c r="JZ15" i="7"/>
  <c r="AN2" i="7"/>
  <c r="BK151" i="7"/>
  <c r="BK150" i="7"/>
  <c r="CB2" i="7"/>
  <c r="CY150" i="7"/>
  <c r="CY151" i="7"/>
  <c r="CY149" i="7"/>
  <c r="DR2" i="7"/>
  <c r="EM151" i="7"/>
  <c r="EM150" i="7"/>
  <c r="EM149" i="7"/>
  <c r="GA151" i="7"/>
  <c r="GA150" i="7"/>
  <c r="GA149" i="7"/>
  <c r="HQ2" i="7"/>
  <c r="JF2" i="7"/>
  <c r="JY150" i="7"/>
  <c r="AQ3" i="7"/>
  <c r="EP3" i="7"/>
  <c r="JD3" i="7"/>
  <c r="AD4" i="7"/>
  <c r="CB4" i="7"/>
  <c r="FB4" i="7"/>
  <c r="GZ4" i="7"/>
  <c r="Z5" i="7"/>
  <c r="BZ5" i="7"/>
  <c r="DY5" i="7"/>
  <c r="FW5" i="7"/>
  <c r="HX5" i="7"/>
  <c r="JV5" i="7"/>
  <c r="AW6" i="7"/>
  <c r="ET6" i="7"/>
  <c r="GU6" i="7"/>
  <c r="DQ7" i="7"/>
  <c r="FR7" i="7"/>
  <c r="AP8" i="7"/>
  <c r="EO8" i="7"/>
  <c r="GM8" i="7"/>
  <c r="V9" i="7"/>
  <c r="EP10" i="7"/>
  <c r="IO10" i="7"/>
  <c r="BO11" i="7"/>
  <c r="FN11" i="7"/>
  <c r="JL11" i="7"/>
  <c r="CJ12" i="7"/>
  <c r="DH13" i="7"/>
  <c r="HF13" i="7"/>
  <c r="AD14" i="7"/>
  <c r="BB15" i="7"/>
  <c r="IW15" i="7"/>
  <c r="BW16" i="7"/>
  <c r="CT17" i="7"/>
  <c r="Q18" i="7"/>
  <c r="DP18" i="7"/>
  <c r="AN19" i="7"/>
  <c r="BJ20" i="7"/>
  <c r="JG20" i="7"/>
  <c r="CE21" i="7"/>
  <c r="GD21" i="7"/>
  <c r="DC22" i="7"/>
  <c r="HA22" i="7"/>
  <c r="Y23" i="7"/>
  <c r="DX23" i="7"/>
  <c r="BR24" i="7"/>
  <c r="GD24" i="7"/>
  <c r="Q25" i="7"/>
  <c r="DK26" i="7"/>
  <c r="IQ26" i="7"/>
  <c r="ID27" i="7"/>
  <c r="CL28" i="7"/>
  <c r="HS28" i="7"/>
  <c r="BZ29" i="7"/>
  <c r="BM30" i="7"/>
  <c r="GT30" i="7"/>
  <c r="BB31" i="7"/>
  <c r="GH31" i="7"/>
  <c r="AN32" i="7"/>
  <c r="FU32" i="7"/>
  <c r="FU33" i="7"/>
  <c r="AN35" i="7"/>
  <c r="S36" i="7"/>
  <c r="EY38" i="7"/>
  <c r="AN43" i="7"/>
  <c r="CT52" i="7"/>
  <c r="JJ56" i="7"/>
  <c r="G52" i="9"/>
  <c r="G52" i="8"/>
  <c r="G1" i="9"/>
  <c r="G148" i="7"/>
  <c r="G140" i="7"/>
  <c r="G143" i="7"/>
  <c r="G142" i="7"/>
  <c r="G137" i="7"/>
  <c r="G134" i="7"/>
  <c r="G126" i="7"/>
  <c r="G118" i="7"/>
  <c r="G141" i="7"/>
  <c r="G138" i="7"/>
  <c r="G129" i="7"/>
  <c r="G121" i="7"/>
  <c r="G139" i="7"/>
  <c r="G1" i="8"/>
  <c r="G135" i="7"/>
  <c r="G128" i="7"/>
  <c r="G116" i="7"/>
  <c r="G108" i="7"/>
  <c r="G100" i="7"/>
  <c r="G144" i="7"/>
  <c r="G131" i="7"/>
  <c r="G125" i="7"/>
  <c r="G111" i="7"/>
  <c r="G103" i="7"/>
  <c r="G136" i="7"/>
  <c r="G132" i="7"/>
  <c r="G124" i="7"/>
  <c r="G120" i="7"/>
  <c r="G110" i="7"/>
  <c r="G127" i="7"/>
  <c r="G115" i="7"/>
  <c r="G96" i="7"/>
  <c r="G88" i="7"/>
  <c r="G133" i="7"/>
  <c r="G114" i="7"/>
  <c r="G107" i="7"/>
  <c r="G99" i="7"/>
  <c r="G91" i="7"/>
  <c r="G122" i="7"/>
  <c r="G117" i="7"/>
  <c r="G119" i="7"/>
  <c r="G130" i="7"/>
  <c r="G112" i="7"/>
  <c r="G98" i="7"/>
  <c r="G90" i="7"/>
  <c r="G86" i="7"/>
  <c r="G80" i="7"/>
  <c r="G72" i="7"/>
  <c r="G64" i="7"/>
  <c r="G123" i="7"/>
  <c r="G106" i="7"/>
  <c r="G104" i="7"/>
  <c r="G95" i="7"/>
  <c r="G83" i="7"/>
  <c r="G75" i="7"/>
  <c r="G67" i="7"/>
  <c r="G105" i="7"/>
  <c r="G109" i="7"/>
  <c r="G82" i="7"/>
  <c r="G74" i="7"/>
  <c r="G66" i="7"/>
  <c r="G87" i="7"/>
  <c r="G79" i="7"/>
  <c r="G102" i="7"/>
  <c r="G78" i="7"/>
  <c r="G71" i="7"/>
  <c r="G113" i="7"/>
  <c r="G101" i="7"/>
  <c r="G94" i="7"/>
  <c r="G92" i="7"/>
  <c r="G77" i="7"/>
  <c r="G73" i="7"/>
  <c r="G97" i="7"/>
  <c r="G81" i="7"/>
  <c r="G70" i="7"/>
  <c r="G69" i="7"/>
  <c r="G84" i="7"/>
  <c r="G63" i="7"/>
  <c r="G60" i="7"/>
  <c r="G52" i="7"/>
  <c r="G44" i="7"/>
  <c r="G36" i="7"/>
  <c r="G28" i="7"/>
  <c r="G93" i="7"/>
  <c r="G85" i="7"/>
  <c r="G68" i="7"/>
  <c r="G55" i="7"/>
  <c r="G47" i="7"/>
  <c r="G39" i="7"/>
  <c r="G31" i="7"/>
  <c r="G89" i="7"/>
  <c r="G65" i="7"/>
  <c r="G76" i="7"/>
  <c r="G62" i="7"/>
  <c r="G54" i="7"/>
  <c r="G46" i="7"/>
  <c r="G38" i="7"/>
  <c r="G61" i="7"/>
  <c r="G42" i="7"/>
  <c r="G35" i="7"/>
  <c r="G57" i="7"/>
  <c r="G53" i="7"/>
  <c r="G59" i="7"/>
  <c r="G40" i="7"/>
  <c r="G49" i="7"/>
  <c r="G48" i="7"/>
  <c r="G37" i="7"/>
  <c r="G27" i="7"/>
  <c r="G19" i="7"/>
  <c r="G11" i="7"/>
  <c r="G3" i="7"/>
  <c r="G50" i="7"/>
  <c r="G34" i="7"/>
  <c r="G22" i="7"/>
  <c r="G14" i="7"/>
  <c r="G6" i="7"/>
  <c r="G51" i="7"/>
  <c r="G41" i="7"/>
  <c r="G56" i="7"/>
  <c r="G45" i="7"/>
  <c r="G43" i="7"/>
  <c r="G58" i="7"/>
  <c r="G33" i="7"/>
  <c r="G21" i="7"/>
  <c r="G13" i="7"/>
  <c r="G5" i="7"/>
  <c r="G29" i="7"/>
  <c r="G9" i="7"/>
  <c r="G2" i="7"/>
  <c r="G26" i="7"/>
  <c r="G24" i="7"/>
  <c r="G20" i="7"/>
  <c r="G16" i="7"/>
  <c r="G12" i="7"/>
  <c r="G30" i="7"/>
  <c r="G23" i="7"/>
  <c r="G8" i="7"/>
  <c r="G15" i="7"/>
  <c r="G25" i="7"/>
  <c r="G18" i="7"/>
  <c r="O52" i="9"/>
  <c r="O1" i="9"/>
  <c r="O52" i="8"/>
  <c r="O148" i="7"/>
  <c r="O140" i="7"/>
  <c r="O143" i="7"/>
  <c r="O142" i="7"/>
  <c r="O1" i="8"/>
  <c r="O134" i="7"/>
  <c r="O126" i="7"/>
  <c r="O118" i="7"/>
  <c r="O139" i="7"/>
  <c r="O129" i="7"/>
  <c r="O121" i="7"/>
  <c r="O144" i="7"/>
  <c r="O133" i="7"/>
  <c r="O124" i="7"/>
  <c r="O120" i="7"/>
  <c r="O116" i="7"/>
  <c r="O108" i="7"/>
  <c r="O100" i="7"/>
  <c r="O132" i="7"/>
  <c r="O111" i="7"/>
  <c r="O103" i="7"/>
  <c r="O136" i="7"/>
  <c r="O135" i="7"/>
  <c r="O141" i="7"/>
  <c r="O137" i="7"/>
  <c r="O138" i="7"/>
  <c r="O130" i="7"/>
  <c r="O110" i="7"/>
  <c r="O122" i="7"/>
  <c r="O119" i="7"/>
  <c r="O105" i="7"/>
  <c r="O96" i="7"/>
  <c r="O88" i="7"/>
  <c r="O112" i="7"/>
  <c r="O101" i="7"/>
  <c r="O99" i="7"/>
  <c r="O91" i="7"/>
  <c r="O123" i="7"/>
  <c r="O131" i="7"/>
  <c r="O127" i="7"/>
  <c r="O128" i="7"/>
  <c r="O117" i="7"/>
  <c r="O98" i="7"/>
  <c r="O90" i="7"/>
  <c r="O107" i="7"/>
  <c r="O93" i="7"/>
  <c r="O80" i="7"/>
  <c r="O72" i="7"/>
  <c r="O64" i="7"/>
  <c r="O109" i="7"/>
  <c r="O89" i="7"/>
  <c r="O83" i="7"/>
  <c r="O75" i="7"/>
  <c r="O67" i="7"/>
  <c r="O114" i="7"/>
  <c r="O113" i="7"/>
  <c r="O115" i="7"/>
  <c r="O82" i="7"/>
  <c r="O74" i="7"/>
  <c r="O66" i="7"/>
  <c r="O92" i="7"/>
  <c r="O84" i="7"/>
  <c r="O69" i="7"/>
  <c r="O65" i="7"/>
  <c r="O86" i="7"/>
  <c r="O76" i="7"/>
  <c r="O104" i="7"/>
  <c r="O125" i="7"/>
  <c r="O106" i="7"/>
  <c r="O97" i="7"/>
  <c r="O78" i="7"/>
  <c r="O71" i="7"/>
  <c r="O87" i="7"/>
  <c r="O85" i="7"/>
  <c r="O73" i="7"/>
  <c r="O95" i="7"/>
  <c r="O60" i="7"/>
  <c r="O52" i="7"/>
  <c r="O44" i="7"/>
  <c r="O36" i="7"/>
  <c r="O28" i="7"/>
  <c r="O102" i="7"/>
  <c r="O79" i="7"/>
  <c r="O63" i="7"/>
  <c r="O55" i="7"/>
  <c r="O47" i="7"/>
  <c r="O39" i="7"/>
  <c r="O31" i="7"/>
  <c r="O94" i="7"/>
  <c r="O77" i="7"/>
  <c r="O68" i="7"/>
  <c r="O81" i="7"/>
  <c r="O62" i="7"/>
  <c r="O54" i="7"/>
  <c r="O46" i="7"/>
  <c r="O38" i="7"/>
  <c r="O70" i="7"/>
  <c r="O59" i="7"/>
  <c r="O40" i="7"/>
  <c r="O58" i="7"/>
  <c r="O51" i="7"/>
  <c r="O34" i="7"/>
  <c r="O49" i="7"/>
  <c r="O45" i="7"/>
  <c r="O53" i="7"/>
  <c r="O42" i="7"/>
  <c r="O41" i="7"/>
  <c r="O33" i="7"/>
  <c r="O19" i="7"/>
  <c r="O11" i="7"/>
  <c r="O3" i="7"/>
  <c r="O43" i="7"/>
  <c r="O30" i="7"/>
  <c r="O22" i="7"/>
  <c r="O14" i="7"/>
  <c r="O6" i="7"/>
  <c r="O61" i="7"/>
  <c r="O56" i="7"/>
  <c r="O57" i="7"/>
  <c r="O50" i="7"/>
  <c r="O48" i="7"/>
  <c r="O37" i="7"/>
  <c r="O29" i="7"/>
  <c r="O21" i="7"/>
  <c r="O13" i="7"/>
  <c r="O5" i="7"/>
  <c r="O7" i="7"/>
  <c r="O25" i="7"/>
  <c r="O18" i="7"/>
  <c r="O17" i="7"/>
  <c r="O10" i="7"/>
  <c r="O9" i="7"/>
  <c r="O32" i="7"/>
  <c r="O20" i="7"/>
  <c r="O26" i="7"/>
  <c r="O24" i="7"/>
  <c r="O16" i="7"/>
  <c r="O12" i="7"/>
  <c r="O35" i="7"/>
  <c r="O23" i="7"/>
  <c r="O8" i="7"/>
  <c r="O4" i="7"/>
  <c r="W52" i="9"/>
  <c r="W52" i="8"/>
  <c r="W1" i="9"/>
  <c r="W148" i="7"/>
  <c r="W140" i="7"/>
  <c r="W143" i="7"/>
  <c r="W1" i="8"/>
  <c r="W142" i="7"/>
  <c r="W134" i="7"/>
  <c r="W126" i="7"/>
  <c r="W118" i="7"/>
  <c r="W144" i="7"/>
  <c r="W129" i="7"/>
  <c r="W121" i="7"/>
  <c r="W139" i="7"/>
  <c r="W116" i="7"/>
  <c r="W108" i="7"/>
  <c r="W100" i="7"/>
  <c r="W141" i="7"/>
  <c r="W137" i="7"/>
  <c r="W130" i="7"/>
  <c r="W127" i="7"/>
  <c r="W123" i="7"/>
  <c r="W111" i="7"/>
  <c r="W103" i="7"/>
  <c r="W138" i="7"/>
  <c r="W136" i="7"/>
  <c r="W135" i="7"/>
  <c r="W122" i="7"/>
  <c r="W119" i="7"/>
  <c r="W110" i="7"/>
  <c r="W124" i="7"/>
  <c r="W106" i="7"/>
  <c r="W96" i="7"/>
  <c r="W88" i="7"/>
  <c r="W132" i="7"/>
  <c r="W131" i="7"/>
  <c r="W117" i="7"/>
  <c r="W99" i="7"/>
  <c r="W91" i="7"/>
  <c r="W133" i="7"/>
  <c r="W128" i="7"/>
  <c r="W125" i="7"/>
  <c r="W115" i="7"/>
  <c r="W102" i="7"/>
  <c r="W98" i="7"/>
  <c r="W90" i="7"/>
  <c r="W113" i="7"/>
  <c r="W112" i="7"/>
  <c r="W94" i="7"/>
  <c r="W80" i="7"/>
  <c r="W72" i="7"/>
  <c r="W64" i="7"/>
  <c r="W114" i="7"/>
  <c r="W83" i="7"/>
  <c r="W75" i="7"/>
  <c r="W67" i="7"/>
  <c r="W120" i="7"/>
  <c r="W105" i="7"/>
  <c r="W82" i="7"/>
  <c r="W74" i="7"/>
  <c r="W66" i="7"/>
  <c r="W97" i="7"/>
  <c r="W95" i="7"/>
  <c r="W70" i="7"/>
  <c r="W104" i="7"/>
  <c r="W87" i="7"/>
  <c r="W85" i="7"/>
  <c r="W81" i="7"/>
  <c r="W76" i="7"/>
  <c r="W92" i="7"/>
  <c r="W78" i="7"/>
  <c r="W86" i="7"/>
  <c r="W79" i="7"/>
  <c r="W109" i="7"/>
  <c r="W93" i="7"/>
  <c r="W101" i="7"/>
  <c r="W89" i="7"/>
  <c r="W60" i="7"/>
  <c r="W52" i="7"/>
  <c r="W44" i="7"/>
  <c r="W36" i="7"/>
  <c r="W28" i="7"/>
  <c r="W55" i="7"/>
  <c r="W47" i="7"/>
  <c r="W39" i="7"/>
  <c r="W31" i="7"/>
  <c r="W107" i="7"/>
  <c r="W73" i="7"/>
  <c r="W68" i="7"/>
  <c r="W65" i="7"/>
  <c r="W63" i="7"/>
  <c r="W84" i="7"/>
  <c r="W77" i="7"/>
  <c r="W71" i="7"/>
  <c r="W69" i="7"/>
  <c r="W62" i="7"/>
  <c r="W54" i="7"/>
  <c r="W46" i="7"/>
  <c r="W38" i="7"/>
  <c r="W49" i="7"/>
  <c r="W45" i="7"/>
  <c r="W56" i="7"/>
  <c r="W41" i="7"/>
  <c r="W37" i="7"/>
  <c r="W50" i="7"/>
  <c r="W43" i="7"/>
  <c r="W61" i="7"/>
  <c r="W58" i="7"/>
  <c r="W57" i="7"/>
  <c r="W29" i="7"/>
  <c r="W19" i="7"/>
  <c r="W11" i="7"/>
  <c r="W3" i="7"/>
  <c r="W59" i="7"/>
  <c r="W48" i="7"/>
  <c r="W35" i="7"/>
  <c r="W26" i="7"/>
  <c r="W22" i="7"/>
  <c r="W14" i="7"/>
  <c r="W6" i="7"/>
  <c r="W51" i="7"/>
  <c r="W40" i="7"/>
  <c r="W53" i="7"/>
  <c r="W42" i="7"/>
  <c r="W24" i="7"/>
  <c r="W21" i="7"/>
  <c r="W13" i="7"/>
  <c r="W5" i="7"/>
  <c r="W32" i="7"/>
  <c r="W16" i="7"/>
  <c r="W12" i="7"/>
  <c r="W23" i="7"/>
  <c r="W8" i="7"/>
  <c r="W4" i="7"/>
  <c r="W33" i="7"/>
  <c r="W15" i="7"/>
  <c r="W30" i="7"/>
  <c r="W7" i="7"/>
  <c r="W27" i="7"/>
  <c r="W18" i="7"/>
  <c r="W25" i="7"/>
  <c r="W17" i="7"/>
  <c r="W10" i="7"/>
  <c r="W34" i="7"/>
  <c r="W9" i="7"/>
  <c r="W2" i="7"/>
  <c r="AE52" i="9"/>
  <c r="AE1" i="9"/>
  <c r="AE52" i="8"/>
  <c r="AE1" i="8"/>
  <c r="AE148" i="7"/>
  <c r="AE140" i="7"/>
  <c r="AE143" i="7"/>
  <c r="AE142" i="7"/>
  <c r="AE134" i="7"/>
  <c r="AE126" i="7"/>
  <c r="AE118" i="7"/>
  <c r="AE129" i="7"/>
  <c r="AE121" i="7"/>
  <c r="AE137" i="7"/>
  <c r="AE136" i="7"/>
  <c r="AE144" i="7"/>
  <c r="AE122" i="7"/>
  <c r="AE116" i="7"/>
  <c r="AE108" i="7"/>
  <c r="AE100" i="7"/>
  <c r="AE135" i="7"/>
  <c r="AE111" i="7"/>
  <c r="AE103" i="7"/>
  <c r="AE141" i="7"/>
  <c r="AE139" i="7"/>
  <c r="AE133" i="7"/>
  <c r="AE128" i="7"/>
  <c r="AE110" i="7"/>
  <c r="AE125" i="7"/>
  <c r="AE104" i="7"/>
  <c r="AE102" i="7"/>
  <c r="AE96" i="7"/>
  <c r="AE88" i="7"/>
  <c r="AE115" i="7"/>
  <c r="AE99" i="7"/>
  <c r="AE91" i="7"/>
  <c r="AE123" i="7"/>
  <c r="AE127" i="7"/>
  <c r="AE120" i="7"/>
  <c r="AE117" i="7"/>
  <c r="AE138" i="7"/>
  <c r="AE131" i="7"/>
  <c r="AE130" i="7"/>
  <c r="AE124" i="7"/>
  <c r="AE132" i="7"/>
  <c r="AE105" i="7"/>
  <c r="AE98" i="7"/>
  <c r="AE90" i="7"/>
  <c r="AE106" i="7"/>
  <c r="AE101" i="7"/>
  <c r="AE92" i="7"/>
  <c r="AE80" i="7"/>
  <c r="AE72" i="7"/>
  <c r="AE64" i="7"/>
  <c r="AE107" i="7"/>
  <c r="AE87" i="7"/>
  <c r="AE83" i="7"/>
  <c r="AE75" i="7"/>
  <c r="AE67" i="7"/>
  <c r="AE109" i="7"/>
  <c r="AE119" i="7"/>
  <c r="AE114" i="7"/>
  <c r="AE113" i="7"/>
  <c r="AE93" i="7"/>
  <c r="AE86" i="7"/>
  <c r="AE82" i="7"/>
  <c r="AE74" i="7"/>
  <c r="AE66" i="7"/>
  <c r="AE68" i="7"/>
  <c r="AE79" i="7"/>
  <c r="AE112" i="7"/>
  <c r="AE95" i="7"/>
  <c r="AE85" i="7"/>
  <c r="AE81" i="7"/>
  <c r="AE71" i="7"/>
  <c r="AE84" i="7"/>
  <c r="AE73" i="7"/>
  <c r="AE97" i="7"/>
  <c r="AE94" i="7"/>
  <c r="AE77" i="7"/>
  <c r="AE60" i="7"/>
  <c r="AE52" i="7"/>
  <c r="AE44" i="7"/>
  <c r="AE36" i="7"/>
  <c r="AE28" i="7"/>
  <c r="AE55" i="7"/>
  <c r="AE47" i="7"/>
  <c r="AE39" i="7"/>
  <c r="AE31" i="7"/>
  <c r="AE78" i="7"/>
  <c r="AE70" i="7"/>
  <c r="AE63" i="7"/>
  <c r="AE69" i="7"/>
  <c r="AE89" i="7"/>
  <c r="AE76" i="7"/>
  <c r="AE65" i="7"/>
  <c r="AE62" i="7"/>
  <c r="AE54" i="7"/>
  <c r="AE46" i="7"/>
  <c r="AE38" i="7"/>
  <c r="AE50" i="7"/>
  <c r="AE43" i="7"/>
  <c r="AE61" i="7"/>
  <c r="AE42" i="7"/>
  <c r="AE35" i="7"/>
  <c r="AE48" i="7"/>
  <c r="AE19" i="7"/>
  <c r="AE11" i="7"/>
  <c r="AE3" i="7"/>
  <c r="AE53" i="7"/>
  <c r="AE51" i="7"/>
  <c r="AE40" i="7"/>
  <c r="AE32" i="7"/>
  <c r="AE22" i="7"/>
  <c r="AE14" i="7"/>
  <c r="AE6" i="7"/>
  <c r="AE41" i="7"/>
  <c r="AE57" i="7"/>
  <c r="AE56" i="7"/>
  <c r="AE45" i="7"/>
  <c r="AE58" i="7"/>
  <c r="AE59" i="7"/>
  <c r="AE27" i="7"/>
  <c r="AE25" i="7"/>
  <c r="AE21" i="7"/>
  <c r="AE13" i="7"/>
  <c r="AE5" i="7"/>
  <c r="AE30" i="7"/>
  <c r="AE17" i="7"/>
  <c r="AE10" i="7"/>
  <c r="AE9" i="7"/>
  <c r="AE2" i="7"/>
  <c r="AE20" i="7"/>
  <c r="AE37" i="7"/>
  <c r="AE34" i="7"/>
  <c r="AE16" i="7"/>
  <c r="AE12" i="7"/>
  <c r="AE49" i="7"/>
  <c r="AE29" i="7"/>
  <c r="AE24" i="7"/>
  <c r="AE23" i="7"/>
  <c r="AE8" i="7"/>
  <c r="AE26" i="7"/>
  <c r="AE15" i="7"/>
  <c r="AE7" i="7"/>
  <c r="AM52" i="9"/>
  <c r="AM1" i="9"/>
  <c r="AM52" i="8"/>
  <c r="AM148" i="7"/>
  <c r="AM140" i="7"/>
  <c r="AM143" i="7"/>
  <c r="AM142" i="7"/>
  <c r="AM137" i="7"/>
  <c r="AM134" i="7"/>
  <c r="AM126" i="7"/>
  <c r="AM118" i="7"/>
  <c r="AM138" i="7"/>
  <c r="AM129" i="7"/>
  <c r="AM121" i="7"/>
  <c r="AM128" i="7"/>
  <c r="AM119" i="7"/>
  <c r="AM116" i="7"/>
  <c r="AM108" i="7"/>
  <c r="AM100" i="7"/>
  <c r="AM139" i="7"/>
  <c r="AM133" i="7"/>
  <c r="AM125" i="7"/>
  <c r="AM111" i="7"/>
  <c r="AM103" i="7"/>
  <c r="AM141" i="7"/>
  <c r="AM135" i="7"/>
  <c r="AM144" i="7"/>
  <c r="AM124" i="7"/>
  <c r="AM120" i="7"/>
  <c r="AM110" i="7"/>
  <c r="AM123" i="7"/>
  <c r="AM113" i="7"/>
  <c r="AM109" i="7"/>
  <c r="AM96" i="7"/>
  <c r="AM88" i="7"/>
  <c r="AM127" i="7"/>
  <c r="AM105" i="7"/>
  <c r="AM99" i="7"/>
  <c r="AM91" i="7"/>
  <c r="AM132" i="7"/>
  <c r="AM130" i="7"/>
  <c r="AM1" i="8"/>
  <c r="AM131" i="7"/>
  <c r="AM122" i="7"/>
  <c r="AM136" i="7"/>
  <c r="AM106" i="7"/>
  <c r="AM98" i="7"/>
  <c r="AM90" i="7"/>
  <c r="AM117" i="7"/>
  <c r="AM97" i="7"/>
  <c r="AM86" i="7"/>
  <c r="AM80" i="7"/>
  <c r="AM72" i="7"/>
  <c r="AM64" i="7"/>
  <c r="AM112" i="7"/>
  <c r="AM93" i="7"/>
  <c r="AM83" i="7"/>
  <c r="AM75" i="7"/>
  <c r="AM67" i="7"/>
  <c r="AM114" i="7"/>
  <c r="AM115" i="7"/>
  <c r="AM102" i="7"/>
  <c r="AM94" i="7"/>
  <c r="AM82" i="7"/>
  <c r="AM74" i="7"/>
  <c r="AM66" i="7"/>
  <c r="AM77" i="7"/>
  <c r="AM73" i="7"/>
  <c r="AM87" i="7"/>
  <c r="AM84" i="7"/>
  <c r="AM69" i="7"/>
  <c r="AM79" i="7"/>
  <c r="AM76" i="7"/>
  <c r="AM101" i="7"/>
  <c r="AM78" i="7"/>
  <c r="AM89" i="7"/>
  <c r="AM104" i="7"/>
  <c r="AM81" i="7"/>
  <c r="AM60" i="7"/>
  <c r="AM52" i="7"/>
  <c r="AM44" i="7"/>
  <c r="AM36" i="7"/>
  <c r="AM28" i="7"/>
  <c r="AM107" i="7"/>
  <c r="AM65" i="7"/>
  <c r="AM55" i="7"/>
  <c r="AM47" i="7"/>
  <c r="AM39" i="7"/>
  <c r="AM31" i="7"/>
  <c r="AM85" i="7"/>
  <c r="AM68" i="7"/>
  <c r="AM95" i="7"/>
  <c r="AM63" i="7"/>
  <c r="AM71" i="7"/>
  <c r="AM62" i="7"/>
  <c r="AM54" i="7"/>
  <c r="AM46" i="7"/>
  <c r="AM38" i="7"/>
  <c r="AM92" i="7"/>
  <c r="AM48" i="7"/>
  <c r="AM59" i="7"/>
  <c r="AM40" i="7"/>
  <c r="AM57" i="7"/>
  <c r="AM53" i="7"/>
  <c r="AM43" i="7"/>
  <c r="AM27" i="7"/>
  <c r="AM24" i="7"/>
  <c r="AM19" i="7"/>
  <c r="AM11" i="7"/>
  <c r="AM3" i="7"/>
  <c r="AM58" i="7"/>
  <c r="AM56" i="7"/>
  <c r="AM45" i="7"/>
  <c r="AM22" i="7"/>
  <c r="AM14" i="7"/>
  <c r="AM6" i="7"/>
  <c r="AM61" i="7"/>
  <c r="AM50" i="7"/>
  <c r="AM49" i="7"/>
  <c r="AM37" i="7"/>
  <c r="AM51" i="7"/>
  <c r="AM70" i="7"/>
  <c r="AM33" i="7"/>
  <c r="AM21" i="7"/>
  <c r="AM13" i="7"/>
  <c r="AM5" i="7"/>
  <c r="AM35" i="7"/>
  <c r="AM32" i="7"/>
  <c r="AM15" i="7"/>
  <c r="AM34" i="7"/>
  <c r="AM29" i="7"/>
  <c r="AM7" i="7"/>
  <c r="AM26" i="7"/>
  <c r="AM18" i="7"/>
  <c r="AM41" i="7"/>
  <c r="AM17" i="7"/>
  <c r="AM10" i="7"/>
  <c r="AM30" i="7"/>
  <c r="AM25" i="7"/>
  <c r="AM9" i="7"/>
  <c r="AM42" i="7"/>
  <c r="AM20" i="7"/>
  <c r="AM16" i="7"/>
  <c r="AM12" i="7"/>
  <c r="AU52" i="9"/>
  <c r="AU1" i="9"/>
  <c r="AU52" i="8"/>
  <c r="AU148" i="7"/>
  <c r="AU140" i="7"/>
  <c r="AU143" i="7"/>
  <c r="AU142" i="7"/>
  <c r="AU141" i="7"/>
  <c r="AU136" i="7"/>
  <c r="AU134" i="7"/>
  <c r="AU126" i="7"/>
  <c r="AU118" i="7"/>
  <c r="AU1" i="8"/>
  <c r="AU129" i="7"/>
  <c r="AU121" i="7"/>
  <c r="AU131" i="7"/>
  <c r="AU124" i="7"/>
  <c r="AU120" i="7"/>
  <c r="AU116" i="7"/>
  <c r="AU108" i="7"/>
  <c r="AU100" i="7"/>
  <c r="AU144" i="7"/>
  <c r="AU119" i="7"/>
  <c r="AU111" i="7"/>
  <c r="AU103" i="7"/>
  <c r="AU137" i="7"/>
  <c r="AU110" i="7"/>
  <c r="AU132" i="7"/>
  <c r="AU125" i="7"/>
  <c r="AU114" i="7"/>
  <c r="AU107" i="7"/>
  <c r="AU96" i="7"/>
  <c r="AU88" i="7"/>
  <c r="AU133" i="7"/>
  <c r="AU122" i="7"/>
  <c r="AU106" i="7"/>
  <c r="AU101" i="7"/>
  <c r="AU99" i="7"/>
  <c r="AU91" i="7"/>
  <c r="AU117" i="7"/>
  <c r="AU139" i="7"/>
  <c r="AU138" i="7"/>
  <c r="AU123" i="7"/>
  <c r="AU127" i="7"/>
  <c r="AU130" i="7"/>
  <c r="AU104" i="7"/>
  <c r="AU98" i="7"/>
  <c r="AU90" i="7"/>
  <c r="AU135" i="7"/>
  <c r="AU95" i="7"/>
  <c r="AU80" i="7"/>
  <c r="AU72" i="7"/>
  <c r="AU64" i="7"/>
  <c r="AU115" i="7"/>
  <c r="AU94" i="7"/>
  <c r="AU89" i="7"/>
  <c r="AU83" i="7"/>
  <c r="AU75" i="7"/>
  <c r="AU67" i="7"/>
  <c r="AU105" i="7"/>
  <c r="AU128" i="7"/>
  <c r="AU109" i="7"/>
  <c r="AU92" i="7"/>
  <c r="AU82" i="7"/>
  <c r="AU74" i="7"/>
  <c r="AU66" i="7"/>
  <c r="AU113" i="7"/>
  <c r="AU78" i="7"/>
  <c r="AU71" i="7"/>
  <c r="AU70" i="7"/>
  <c r="AU112" i="7"/>
  <c r="AU84" i="7"/>
  <c r="AU69" i="7"/>
  <c r="AU81" i="7"/>
  <c r="AU79" i="7"/>
  <c r="AU86" i="7"/>
  <c r="AU102" i="7"/>
  <c r="AU68" i="7"/>
  <c r="AU60" i="7"/>
  <c r="AU52" i="7"/>
  <c r="AU44" i="7"/>
  <c r="AU36" i="7"/>
  <c r="AU28" i="7"/>
  <c r="AU55" i="7"/>
  <c r="AU47" i="7"/>
  <c r="AU39" i="7"/>
  <c r="AU31" i="7"/>
  <c r="AU93" i="7"/>
  <c r="AU76" i="7"/>
  <c r="AU73" i="7"/>
  <c r="AU87" i="7"/>
  <c r="AU77" i="7"/>
  <c r="AU65" i="7"/>
  <c r="AU62" i="7"/>
  <c r="AU54" i="7"/>
  <c r="AU46" i="7"/>
  <c r="AU38" i="7"/>
  <c r="AU57" i="7"/>
  <c r="AU53" i="7"/>
  <c r="AU49" i="7"/>
  <c r="AU45" i="7"/>
  <c r="AU34" i="7"/>
  <c r="AU85" i="7"/>
  <c r="AU97" i="7"/>
  <c r="AU58" i="7"/>
  <c r="AU51" i="7"/>
  <c r="AU63" i="7"/>
  <c r="AU59" i="7"/>
  <c r="AU48" i="7"/>
  <c r="AU37" i="7"/>
  <c r="AU35" i="7"/>
  <c r="AU33" i="7"/>
  <c r="AU25" i="7"/>
  <c r="AU19" i="7"/>
  <c r="AU11" i="7"/>
  <c r="AU3" i="7"/>
  <c r="AU61" i="7"/>
  <c r="AU50" i="7"/>
  <c r="AU30" i="7"/>
  <c r="AU24" i="7"/>
  <c r="AU22" i="7"/>
  <c r="AU14" i="7"/>
  <c r="AU6" i="7"/>
  <c r="AU41" i="7"/>
  <c r="AU40" i="7"/>
  <c r="AU42" i="7"/>
  <c r="AU56" i="7"/>
  <c r="AU43" i="7"/>
  <c r="AU29" i="7"/>
  <c r="AU21" i="7"/>
  <c r="AU13" i="7"/>
  <c r="AU5" i="7"/>
  <c r="AU27" i="7"/>
  <c r="AU20" i="7"/>
  <c r="AU16" i="7"/>
  <c r="AU12" i="7"/>
  <c r="AU23" i="7"/>
  <c r="AU8" i="7"/>
  <c r="AU4" i="7"/>
  <c r="AU15" i="7"/>
  <c r="AU7" i="7"/>
  <c r="AU32" i="7"/>
  <c r="AU18" i="7"/>
  <c r="AU26" i="7"/>
  <c r="AU17" i="7"/>
  <c r="AU10" i="7"/>
  <c r="BC52" i="9"/>
  <c r="BC52" i="8"/>
  <c r="BC1" i="9"/>
  <c r="BC148" i="7"/>
  <c r="BC140" i="7"/>
  <c r="BC143" i="7"/>
  <c r="BC1" i="8"/>
  <c r="BC142" i="7"/>
  <c r="BC139" i="7"/>
  <c r="BC134" i="7"/>
  <c r="BC126" i="7"/>
  <c r="BC118" i="7"/>
  <c r="BC136" i="7"/>
  <c r="BC129" i="7"/>
  <c r="BC121" i="7"/>
  <c r="BC132" i="7"/>
  <c r="BC116" i="7"/>
  <c r="BC108" i="7"/>
  <c r="BC100" i="7"/>
  <c r="BC127" i="7"/>
  <c r="BC123" i="7"/>
  <c r="BC111" i="7"/>
  <c r="BC103" i="7"/>
  <c r="BC137" i="7"/>
  <c r="BC135" i="7"/>
  <c r="BC141" i="7"/>
  <c r="BC138" i="7"/>
  <c r="BC122" i="7"/>
  <c r="BC110" i="7"/>
  <c r="BC120" i="7"/>
  <c r="BC112" i="7"/>
  <c r="BC96" i="7"/>
  <c r="BC88" i="7"/>
  <c r="BC124" i="7"/>
  <c r="BC119" i="7"/>
  <c r="BC104" i="7"/>
  <c r="BC99" i="7"/>
  <c r="BC91" i="7"/>
  <c r="BC131" i="7"/>
  <c r="BC130" i="7"/>
  <c r="BC128" i="7"/>
  <c r="BC125" i="7"/>
  <c r="BC144" i="7"/>
  <c r="BC133" i="7"/>
  <c r="BC113" i="7"/>
  <c r="BC109" i="7"/>
  <c r="BC102" i="7"/>
  <c r="BC98" i="7"/>
  <c r="BC90" i="7"/>
  <c r="BC107" i="7"/>
  <c r="BC85" i="7"/>
  <c r="BC80" i="7"/>
  <c r="BC72" i="7"/>
  <c r="BC64" i="7"/>
  <c r="BC92" i="7"/>
  <c r="BC83" i="7"/>
  <c r="BC75" i="7"/>
  <c r="BC67" i="7"/>
  <c r="BC114" i="7"/>
  <c r="BC117" i="7"/>
  <c r="BC115" i="7"/>
  <c r="BC97" i="7"/>
  <c r="BC82" i="7"/>
  <c r="BC74" i="7"/>
  <c r="BC66" i="7"/>
  <c r="BC106" i="7"/>
  <c r="BC76" i="7"/>
  <c r="BC68" i="7"/>
  <c r="BC105" i="7"/>
  <c r="BC70" i="7"/>
  <c r="BC86" i="7"/>
  <c r="BC84" i="7"/>
  <c r="BC73" i="7"/>
  <c r="BC93" i="7"/>
  <c r="BC60" i="7"/>
  <c r="BC52" i="7"/>
  <c r="BC44" i="7"/>
  <c r="BC36" i="7"/>
  <c r="BC28" i="7"/>
  <c r="BC71" i="7"/>
  <c r="BC65" i="7"/>
  <c r="BC55" i="7"/>
  <c r="BC47" i="7"/>
  <c r="BC39" i="7"/>
  <c r="BC31" i="7"/>
  <c r="BC89" i="7"/>
  <c r="BC87" i="7"/>
  <c r="BC77" i="7"/>
  <c r="BC95" i="7"/>
  <c r="BC81" i="7"/>
  <c r="BC78" i="7"/>
  <c r="BC69" i="7"/>
  <c r="BC94" i="7"/>
  <c r="BC63" i="7"/>
  <c r="BC62" i="7"/>
  <c r="BC54" i="7"/>
  <c r="BC46" i="7"/>
  <c r="BC38" i="7"/>
  <c r="BC58" i="7"/>
  <c r="BC51" i="7"/>
  <c r="BC101" i="7"/>
  <c r="BC50" i="7"/>
  <c r="BC43" i="7"/>
  <c r="BC61" i="7"/>
  <c r="BC56" i="7"/>
  <c r="BC41" i="7"/>
  <c r="BC37" i="7"/>
  <c r="BC53" i="7"/>
  <c r="BC42" i="7"/>
  <c r="BC40" i="7"/>
  <c r="BC29" i="7"/>
  <c r="BC19" i="7"/>
  <c r="BC11" i="7"/>
  <c r="BC3" i="7"/>
  <c r="BC26" i="7"/>
  <c r="BC25" i="7"/>
  <c r="BC22" i="7"/>
  <c r="BC14" i="7"/>
  <c r="BC6" i="7"/>
  <c r="BC57" i="7"/>
  <c r="BC45" i="7"/>
  <c r="BC79" i="7"/>
  <c r="BC59" i="7"/>
  <c r="BC48" i="7"/>
  <c r="BC49" i="7"/>
  <c r="BC21" i="7"/>
  <c r="BC13" i="7"/>
  <c r="BC5" i="7"/>
  <c r="BC18" i="7"/>
  <c r="BC32" i="7"/>
  <c r="BC17" i="7"/>
  <c r="BC10" i="7"/>
  <c r="BC9" i="7"/>
  <c r="BC34" i="7"/>
  <c r="BC33" i="7"/>
  <c r="BC20" i="7"/>
  <c r="BC35" i="7"/>
  <c r="BC30" i="7"/>
  <c r="BC16" i="7"/>
  <c r="BC12" i="7"/>
  <c r="BC27" i="7"/>
  <c r="BC23" i="7"/>
  <c r="BC24" i="7"/>
  <c r="BC15" i="7"/>
  <c r="BK52" i="9"/>
  <c r="BK52" i="8"/>
  <c r="BK1" i="9"/>
  <c r="BK1" i="8"/>
  <c r="BK148" i="7"/>
  <c r="BK140" i="7"/>
  <c r="BK143" i="7"/>
  <c r="BK142" i="7"/>
  <c r="BK144" i="7"/>
  <c r="BK134" i="7"/>
  <c r="BK126" i="7"/>
  <c r="BK118" i="7"/>
  <c r="BK129" i="7"/>
  <c r="BK121" i="7"/>
  <c r="BK141" i="7"/>
  <c r="BK137" i="7"/>
  <c r="BK139" i="7"/>
  <c r="BK138" i="7"/>
  <c r="BK130" i="7"/>
  <c r="BK122" i="7"/>
  <c r="BK116" i="7"/>
  <c r="BK108" i="7"/>
  <c r="BK100" i="7"/>
  <c r="BK111" i="7"/>
  <c r="BK103" i="7"/>
  <c r="BK131" i="7"/>
  <c r="BK128" i="7"/>
  <c r="BK110" i="7"/>
  <c r="BK117" i="7"/>
  <c r="BK102" i="7"/>
  <c r="BK96" i="7"/>
  <c r="BK88" i="7"/>
  <c r="BK132" i="7"/>
  <c r="BK125" i="7"/>
  <c r="BK113" i="7"/>
  <c r="BK109" i="7"/>
  <c r="BK99" i="7"/>
  <c r="BK91" i="7"/>
  <c r="BK133" i="7"/>
  <c r="BK136" i="7"/>
  <c r="BK135" i="7"/>
  <c r="BK123" i="7"/>
  <c r="BK127" i="7"/>
  <c r="BK120" i="7"/>
  <c r="BK119" i="7"/>
  <c r="BK124" i="7"/>
  <c r="BK114" i="7"/>
  <c r="BK107" i="7"/>
  <c r="BK98" i="7"/>
  <c r="BK90" i="7"/>
  <c r="BK112" i="7"/>
  <c r="BK80" i="7"/>
  <c r="BK72" i="7"/>
  <c r="BK64" i="7"/>
  <c r="BK101" i="7"/>
  <c r="BK97" i="7"/>
  <c r="BK87" i="7"/>
  <c r="BK85" i="7"/>
  <c r="BK83" i="7"/>
  <c r="BK75" i="7"/>
  <c r="BK67" i="7"/>
  <c r="BK115" i="7"/>
  <c r="BK105" i="7"/>
  <c r="BK106" i="7"/>
  <c r="BK95" i="7"/>
  <c r="BK86" i="7"/>
  <c r="BK82" i="7"/>
  <c r="BK74" i="7"/>
  <c r="BK66" i="7"/>
  <c r="BK81" i="7"/>
  <c r="BK77" i="7"/>
  <c r="BK73" i="7"/>
  <c r="BK68" i="7"/>
  <c r="BK93" i="7"/>
  <c r="BK78" i="7"/>
  <c r="BK79" i="7"/>
  <c r="BK104" i="7"/>
  <c r="BK89" i="7"/>
  <c r="BK69" i="7"/>
  <c r="BK60" i="7"/>
  <c r="BK52" i="7"/>
  <c r="BK44" i="7"/>
  <c r="BK36" i="7"/>
  <c r="BK28" i="7"/>
  <c r="BK84" i="7"/>
  <c r="BK55" i="7"/>
  <c r="BK47" i="7"/>
  <c r="BK39" i="7"/>
  <c r="BK31" i="7"/>
  <c r="BK94" i="7"/>
  <c r="BK92" i="7"/>
  <c r="BK65" i="7"/>
  <c r="BK71" i="7"/>
  <c r="BK62" i="7"/>
  <c r="BK54" i="7"/>
  <c r="BK46" i="7"/>
  <c r="BK38" i="7"/>
  <c r="BK56" i="7"/>
  <c r="BK41" i="7"/>
  <c r="BK37" i="7"/>
  <c r="BK76" i="7"/>
  <c r="BK48" i="7"/>
  <c r="BK61" i="7"/>
  <c r="BK42" i="7"/>
  <c r="BK35" i="7"/>
  <c r="BK58" i="7"/>
  <c r="BK57" i="7"/>
  <c r="BK45" i="7"/>
  <c r="BK19" i="7"/>
  <c r="BK11" i="7"/>
  <c r="BK3" i="7"/>
  <c r="BK59" i="7"/>
  <c r="BK32" i="7"/>
  <c r="BK22" i="7"/>
  <c r="BK14" i="7"/>
  <c r="BK6" i="7"/>
  <c r="BK50" i="7"/>
  <c r="BK49" i="7"/>
  <c r="BK51" i="7"/>
  <c r="BK40" i="7"/>
  <c r="BK70" i="7"/>
  <c r="BK53" i="7"/>
  <c r="BK63" i="7"/>
  <c r="BK27" i="7"/>
  <c r="BK21" i="7"/>
  <c r="BK13" i="7"/>
  <c r="BK5" i="7"/>
  <c r="BK34" i="7"/>
  <c r="BK33" i="7"/>
  <c r="BK23" i="7"/>
  <c r="BK8" i="7"/>
  <c r="BK4" i="7"/>
  <c r="BK30" i="7"/>
  <c r="BK15" i="7"/>
  <c r="BK24" i="7"/>
  <c r="BK7" i="7"/>
  <c r="BK18" i="7"/>
  <c r="BK17" i="7"/>
  <c r="BK10" i="7"/>
  <c r="BK29" i="7"/>
  <c r="BK9" i="7"/>
  <c r="BK43" i="7"/>
  <c r="BK26" i="7"/>
  <c r="BK25" i="7"/>
  <c r="BK20" i="7"/>
  <c r="BS52" i="9"/>
  <c r="BS52" i="8"/>
  <c r="BS1" i="9"/>
  <c r="BS148" i="7"/>
  <c r="BS140" i="7"/>
  <c r="BS143" i="7"/>
  <c r="BS142" i="7"/>
  <c r="BS137" i="7"/>
  <c r="BS134" i="7"/>
  <c r="BS126" i="7"/>
  <c r="BS118" i="7"/>
  <c r="BS141" i="7"/>
  <c r="BS138" i="7"/>
  <c r="BS129" i="7"/>
  <c r="BS121" i="7"/>
  <c r="BS139" i="7"/>
  <c r="BS144" i="7"/>
  <c r="BS135" i="7"/>
  <c r="BS128" i="7"/>
  <c r="BS116" i="7"/>
  <c r="BS108" i="7"/>
  <c r="BS100" i="7"/>
  <c r="BS131" i="7"/>
  <c r="BS125" i="7"/>
  <c r="BS111" i="7"/>
  <c r="BS103" i="7"/>
  <c r="BS136" i="7"/>
  <c r="BS1" i="8"/>
  <c r="BS132" i="7"/>
  <c r="BS124" i="7"/>
  <c r="BS120" i="7"/>
  <c r="BS110" i="7"/>
  <c r="BS133" i="7"/>
  <c r="BS115" i="7"/>
  <c r="BS96" i="7"/>
  <c r="BS88" i="7"/>
  <c r="BS123" i="7"/>
  <c r="BS119" i="7"/>
  <c r="BS114" i="7"/>
  <c r="BS107" i="7"/>
  <c r="BS99" i="7"/>
  <c r="BS91" i="7"/>
  <c r="BS127" i="7"/>
  <c r="BS117" i="7"/>
  <c r="BS130" i="7"/>
  <c r="BS122" i="7"/>
  <c r="BS112" i="7"/>
  <c r="BS98" i="7"/>
  <c r="BS90" i="7"/>
  <c r="BS106" i="7"/>
  <c r="BS104" i="7"/>
  <c r="BS86" i="7"/>
  <c r="BS80" i="7"/>
  <c r="BS72" i="7"/>
  <c r="BS64" i="7"/>
  <c r="BS105" i="7"/>
  <c r="BS95" i="7"/>
  <c r="BS83" i="7"/>
  <c r="BS75" i="7"/>
  <c r="BS67" i="7"/>
  <c r="BS109" i="7"/>
  <c r="BS113" i="7"/>
  <c r="BS82" i="7"/>
  <c r="BS74" i="7"/>
  <c r="BS66" i="7"/>
  <c r="BS79" i="7"/>
  <c r="BS78" i="7"/>
  <c r="BS71" i="7"/>
  <c r="BS93" i="7"/>
  <c r="BS85" i="7"/>
  <c r="BS77" i="7"/>
  <c r="BS73" i="7"/>
  <c r="BS97" i="7"/>
  <c r="BS94" i="7"/>
  <c r="BS89" i="7"/>
  <c r="BS84" i="7"/>
  <c r="BS101" i="7"/>
  <c r="BS87" i="7"/>
  <c r="BS68" i="7"/>
  <c r="BS65" i="7"/>
  <c r="BS63" i="7"/>
  <c r="BS60" i="7"/>
  <c r="BS52" i="7"/>
  <c r="BS44" i="7"/>
  <c r="BS36" i="7"/>
  <c r="BS28" i="7"/>
  <c r="BS81" i="7"/>
  <c r="BS55" i="7"/>
  <c r="BS47" i="7"/>
  <c r="BS39" i="7"/>
  <c r="BS31" i="7"/>
  <c r="BS92" i="7"/>
  <c r="BS76" i="7"/>
  <c r="BS70" i="7"/>
  <c r="BS102" i="7"/>
  <c r="BS69" i="7"/>
  <c r="BS62" i="7"/>
  <c r="BS54" i="7"/>
  <c r="BS46" i="7"/>
  <c r="BS38" i="7"/>
  <c r="BS61" i="7"/>
  <c r="BS42" i="7"/>
  <c r="BS35" i="7"/>
  <c r="BS57" i="7"/>
  <c r="BS53" i="7"/>
  <c r="BS34" i="7"/>
  <c r="BS59" i="7"/>
  <c r="BS40" i="7"/>
  <c r="BS50" i="7"/>
  <c r="BS27" i="7"/>
  <c r="BS19" i="7"/>
  <c r="BS11" i="7"/>
  <c r="BS3" i="7"/>
  <c r="BS51" i="7"/>
  <c r="BS22" i="7"/>
  <c r="BS14" i="7"/>
  <c r="BS6" i="7"/>
  <c r="BS41" i="7"/>
  <c r="BS56" i="7"/>
  <c r="BS45" i="7"/>
  <c r="BS43" i="7"/>
  <c r="BS58" i="7"/>
  <c r="BS33" i="7"/>
  <c r="BS21" i="7"/>
  <c r="BS13" i="7"/>
  <c r="BS5" i="7"/>
  <c r="BS48" i="7"/>
  <c r="BS9" i="7"/>
  <c r="BS2" i="7"/>
  <c r="BS37" i="7"/>
  <c r="BS32" i="7"/>
  <c r="BS20" i="7"/>
  <c r="BS49" i="7"/>
  <c r="BS29" i="7"/>
  <c r="BS25" i="7"/>
  <c r="BS16" i="7"/>
  <c r="BS12" i="7"/>
  <c r="BS26" i="7"/>
  <c r="BS23" i="7"/>
  <c r="BS8" i="7"/>
  <c r="BS15" i="7"/>
  <c r="BS30" i="7"/>
  <c r="BS24" i="7"/>
  <c r="BS18" i="7"/>
  <c r="CA52" i="9"/>
  <c r="CA1" i="9"/>
  <c r="CA52" i="8"/>
  <c r="CA148" i="7"/>
  <c r="CA140" i="7"/>
  <c r="CA143" i="7"/>
  <c r="CA142" i="7"/>
  <c r="CA134" i="7"/>
  <c r="CA126" i="7"/>
  <c r="CA118" i="7"/>
  <c r="CA139" i="7"/>
  <c r="CA129" i="7"/>
  <c r="CA121" i="7"/>
  <c r="CA144" i="7"/>
  <c r="CA128" i="7"/>
  <c r="CA138" i="7"/>
  <c r="CA133" i="7"/>
  <c r="CA124" i="7"/>
  <c r="CA120" i="7"/>
  <c r="CA116" i="7"/>
  <c r="CA108" i="7"/>
  <c r="CA100" i="7"/>
  <c r="CA132" i="7"/>
  <c r="CA111" i="7"/>
  <c r="CA103" i="7"/>
  <c r="CA1" i="8"/>
  <c r="CA141" i="7"/>
  <c r="CA135" i="7"/>
  <c r="CA137" i="7"/>
  <c r="CA130" i="7"/>
  <c r="CA110" i="7"/>
  <c r="CA105" i="7"/>
  <c r="CA96" i="7"/>
  <c r="CA88" i="7"/>
  <c r="CA136" i="7"/>
  <c r="CA125" i="7"/>
  <c r="CA112" i="7"/>
  <c r="CA101" i="7"/>
  <c r="CA99" i="7"/>
  <c r="CA91" i="7"/>
  <c r="CA122" i="7"/>
  <c r="CA131" i="7"/>
  <c r="CA123" i="7"/>
  <c r="CA119" i="7"/>
  <c r="CA127" i="7"/>
  <c r="CA117" i="7"/>
  <c r="CA98" i="7"/>
  <c r="CA90" i="7"/>
  <c r="CA109" i="7"/>
  <c r="CA93" i="7"/>
  <c r="CA80" i="7"/>
  <c r="CA72" i="7"/>
  <c r="CA64" i="7"/>
  <c r="CA89" i="7"/>
  <c r="CA83" i="7"/>
  <c r="CA75" i="7"/>
  <c r="CA67" i="7"/>
  <c r="CA114" i="7"/>
  <c r="CA113" i="7"/>
  <c r="CA115" i="7"/>
  <c r="CA106" i="7"/>
  <c r="CA82" i="7"/>
  <c r="CA74" i="7"/>
  <c r="CA66" i="7"/>
  <c r="CA85" i="7"/>
  <c r="CA84" i="7"/>
  <c r="CA69" i="7"/>
  <c r="CA65" i="7"/>
  <c r="CA94" i="7"/>
  <c r="CA76" i="7"/>
  <c r="CA107" i="7"/>
  <c r="CA104" i="7"/>
  <c r="CA102" i="7"/>
  <c r="CA78" i="7"/>
  <c r="CA71" i="7"/>
  <c r="CA86" i="7"/>
  <c r="CA95" i="7"/>
  <c r="CA92" i="7"/>
  <c r="CA77" i="7"/>
  <c r="CA60" i="7"/>
  <c r="CA52" i="7"/>
  <c r="CA44" i="7"/>
  <c r="CA36" i="7"/>
  <c r="CA28" i="7"/>
  <c r="CA79" i="7"/>
  <c r="CA70" i="7"/>
  <c r="CA63" i="7"/>
  <c r="CA55" i="7"/>
  <c r="CA47" i="7"/>
  <c r="CA39" i="7"/>
  <c r="CA31" i="7"/>
  <c r="CA97" i="7"/>
  <c r="CA73" i="7"/>
  <c r="CA68" i="7"/>
  <c r="CA81" i="7"/>
  <c r="CA62" i="7"/>
  <c r="CA54" i="7"/>
  <c r="CA46" i="7"/>
  <c r="CA38" i="7"/>
  <c r="CA59" i="7"/>
  <c r="CA40" i="7"/>
  <c r="CA58" i="7"/>
  <c r="CA51" i="7"/>
  <c r="CA87" i="7"/>
  <c r="CA49" i="7"/>
  <c r="CA45" i="7"/>
  <c r="CA43" i="7"/>
  <c r="CA33" i="7"/>
  <c r="CA19" i="7"/>
  <c r="CA11" i="7"/>
  <c r="CA3" i="7"/>
  <c r="CA56" i="7"/>
  <c r="CA30" i="7"/>
  <c r="CA22" i="7"/>
  <c r="CA14" i="7"/>
  <c r="CA6" i="7"/>
  <c r="CA57" i="7"/>
  <c r="CA50" i="7"/>
  <c r="CA48" i="7"/>
  <c r="CA37" i="7"/>
  <c r="CA61" i="7"/>
  <c r="CA29" i="7"/>
  <c r="CA21" i="7"/>
  <c r="CA13" i="7"/>
  <c r="CA5" i="7"/>
  <c r="CA7" i="7"/>
  <c r="CA41" i="7"/>
  <c r="CA27" i="7"/>
  <c r="CA18" i="7"/>
  <c r="CA53" i="7"/>
  <c r="CA24" i="7"/>
  <c r="CA17" i="7"/>
  <c r="CA10" i="7"/>
  <c r="CA42" i="7"/>
  <c r="CA34" i="7"/>
  <c r="CA9" i="7"/>
  <c r="CA20" i="7"/>
  <c r="CA16" i="7"/>
  <c r="CA12" i="7"/>
  <c r="CA35" i="7"/>
  <c r="CA32" i="7"/>
  <c r="CA25" i="7"/>
  <c r="CA23" i="7"/>
  <c r="CA8" i="7"/>
  <c r="CA4" i="7"/>
  <c r="CI52" i="9"/>
  <c r="CI52" i="8"/>
  <c r="CI148" i="7"/>
  <c r="CI140" i="7"/>
  <c r="CI143" i="7"/>
  <c r="CI1" i="8"/>
  <c r="CI142" i="7"/>
  <c r="CI1" i="9"/>
  <c r="CI134" i="7"/>
  <c r="CI126" i="7"/>
  <c r="CI118" i="7"/>
  <c r="CI144" i="7"/>
  <c r="CI129" i="7"/>
  <c r="CI121" i="7"/>
  <c r="CI128" i="7"/>
  <c r="CI141" i="7"/>
  <c r="CI116" i="7"/>
  <c r="CI108" i="7"/>
  <c r="CI100" i="7"/>
  <c r="CI130" i="7"/>
  <c r="CI127" i="7"/>
  <c r="CI123" i="7"/>
  <c r="CI111" i="7"/>
  <c r="CI103" i="7"/>
  <c r="CI137" i="7"/>
  <c r="CI136" i="7"/>
  <c r="CI138" i="7"/>
  <c r="CI135" i="7"/>
  <c r="CI122" i="7"/>
  <c r="CI119" i="7"/>
  <c r="CI110" i="7"/>
  <c r="CI132" i="7"/>
  <c r="CI131" i="7"/>
  <c r="CI106" i="7"/>
  <c r="CI96" i="7"/>
  <c r="CI88" i="7"/>
  <c r="CI133" i="7"/>
  <c r="CI120" i="7"/>
  <c r="CI117" i="7"/>
  <c r="CI99" i="7"/>
  <c r="CI91" i="7"/>
  <c r="CI139" i="7"/>
  <c r="CI124" i="7"/>
  <c r="CI125" i="7"/>
  <c r="CI115" i="7"/>
  <c r="CI102" i="7"/>
  <c r="CI98" i="7"/>
  <c r="CI90" i="7"/>
  <c r="CI114" i="7"/>
  <c r="CI94" i="7"/>
  <c r="CI80" i="7"/>
  <c r="CI72" i="7"/>
  <c r="CI64" i="7"/>
  <c r="CI83" i="7"/>
  <c r="CI75" i="7"/>
  <c r="CI67" i="7"/>
  <c r="CI105" i="7"/>
  <c r="CI109" i="7"/>
  <c r="CI107" i="7"/>
  <c r="CI82" i="7"/>
  <c r="CI74" i="7"/>
  <c r="CI66" i="7"/>
  <c r="CI86" i="7"/>
  <c r="CI70" i="7"/>
  <c r="CI104" i="7"/>
  <c r="CI81" i="7"/>
  <c r="CI85" i="7"/>
  <c r="CI76" i="7"/>
  <c r="CI112" i="7"/>
  <c r="CI101" i="7"/>
  <c r="CI95" i="7"/>
  <c r="CI92" i="7"/>
  <c r="CI79" i="7"/>
  <c r="CI68" i="7"/>
  <c r="CI93" i="7"/>
  <c r="CI97" i="7"/>
  <c r="CI73" i="7"/>
  <c r="CI69" i="7"/>
  <c r="CI65" i="7"/>
  <c r="CI60" i="7"/>
  <c r="CI52" i="7"/>
  <c r="CI44" i="7"/>
  <c r="CI36" i="7"/>
  <c r="CI28" i="7"/>
  <c r="CI55" i="7"/>
  <c r="CI47" i="7"/>
  <c r="CI39" i="7"/>
  <c r="CI31" i="7"/>
  <c r="CI113" i="7"/>
  <c r="CI63" i="7"/>
  <c r="CI84" i="7"/>
  <c r="CI77" i="7"/>
  <c r="CI89" i="7"/>
  <c r="CI87" i="7"/>
  <c r="CI78" i="7"/>
  <c r="CI71" i="7"/>
  <c r="CI62" i="7"/>
  <c r="CI54" i="7"/>
  <c r="CI46" i="7"/>
  <c r="CI38" i="7"/>
  <c r="CI49" i="7"/>
  <c r="CI45" i="7"/>
  <c r="CI56" i="7"/>
  <c r="CI41" i="7"/>
  <c r="CI37" i="7"/>
  <c r="CI50" i="7"/>
  <c r="CI43" i="7"/>
  <c r="CI59" i="7"/>
  <c r="CI48" i="7"/>
  <c r="CI35" i="7"/>
  <c r="CI29" i="7"/>
  <c r="CI19" i="7"/>
  <c r="CI11" i="7"/>
  <c r="CI3" i="7"/>
  <c r="CI26" i="7"/>
  <c r="CI22" i="7"/>
  <c r="CI14" i="7"/>
  <c r="CI6" i="7"/>
  <c r="CI51" i="7"/>
  <c r="CI40" i="7"/>
  <c r="CI61" i="7"/>
  <c r="CI53" i="7"/>
  <c r="CI42" i="7"/>
  <c r="CI24" i="7"/>
  <c r="CI21" i="7"/>
  <c r="CI13" i="7"/>
  <c r="CI5" i="7"/>
  <c r="CI58" i="7"/>
  <c r="CI16" i="7"/>
  <c r="CI12" i="7"/>
  <c r="CI23" i="7"/>
  <c r="CI8" i="7"/>
  <c r="CI4" i="7"/>
  <c r="CI57" i="7"/>
  <c r="CI34" i="7"/>
  <c r="CI32" i="7"/>
  <c r="CI25" i="7"/>
  <c r="CI15" i="7"/>
  <c r="CI7" i="7"/>
  <c r="CI33" i="7"/>
  <c r="CI18" i="7"/>
  <c r="CI30" i="7"/>
  <c r="CI17" i="7"/>
  <c r="CI10" i="7"/>
  <c r="CI27" i="7"/>
  <c r="CI9" i="7"/>
  <c r="CI2" i="7"/>
  <c r="CQ52" i="9"/>
  <c r="CQ1" i="9"/>
  <c r="CQ52" i="8"/>
  <c r="CQ1" i="8"/>
  <c r="CQ148" i="7"/>
  <c r="CQ140" i="7"/>
  <c r="CQ143" i="7"/>
  <c r="CQ142" i="7"/>
  <c r="CQ134" i="7"/>
  <c r="CQ126" i="7"/>
  <c r="CQ118" i="7"/>
  <c r="CQ129" i="7"/>
  <c r="CQ121" i="7"/>
  <c r="CQ137" i="7"/>
  <c r="CQ136" i="7"/>
  <c r="CQ128" i="7"/>
  <c r="CQ122" i="7"/>
  <c r="CQ116" i="7"/>
  <c r="CQ108" i="7"/>
  <c r="CQ100" i="7"/>
  <c r="CQ138" i="7"/>
  <c r="CQ135" i="7"/>
  <c r="CQ111" i="7"/>
  <c r="CQ103" i="7"/>
  <c r="CQ141" i="7"/>
  <c r="CQ139" i="7"/>
  <c r="CQ133" i="7"/>
  <c r="CQ110" i="7"/>
  <c r="CQ104" i="7"/>
  <c r="CQ102" i="7"/>
  <c r="CQ96" i="7"/>
  <c r="CQ88" i="7"/>
  <c r="CQ115" i="7"/>
  <c r="CQ99" i="7"/>
  <c r="CQ91" i="7"/>
  <c r="CQ125" i="7"/>
  <c r="CQ144" i="7"/>
  <c r="CQ131" i="7"/>
  <c r="CQ130" i="7"/>
  <c r="CQ119" i="7"/>
  <c r="CQ117" i="7"/>
  <c r="CQ132" i="7"/>
  <c r="CQ123" i="7"/>
  <c r="CQ127" i="7"/>
  <c r="CQ120" i="7"/>
  <c r="CQ105" i="7"/>
  <c r="CQ98" i="7"/>
  <c r="CQ90" i="7"/>
  <c r="CQ107" i="7"/>
  <c r="CQ92" i="7"/>
  <c r="CQ80" i="7"/>
  <c r="CQ72" i="7"/>
  <c r="CQ64" i="7"/>
  <c r="CQ87" i="7"/>
  <c r="CQ83" i="7"/>
  <c r="CQ75" i="7"/>
  <c r="CQ67" i="7"/>
  <c r="CQ109" i="7"/>
  <c r="CQ124" i="7"/>
  <c r="CQ114" i="7"/>
  <c r="CQ112" i="7"/>
  <c r="CQ113" i="7"/>
  <c r="CQ93" i="7"/>
  <c r="CQ86" i="7"/>
  <c r="CQ82" i="7"/>
  <c r="CQ74" i="7"/>
  <c r="CQ66" i="7"/>
  <c r="CQ85" i="7"/>
  <c r="CQ68" i="7"/>
  <c r="CQ79" i="7"/>
  <c r="CQ106" i="7"/>
  <c r="CQ89" i="7"/>
  <c r="CQ81" i="7"/>
  <c r="CQ84" i="7"/>
  <c r="CQ73" i="7"/>
  <c r="CQ97" i="7"/>
  <c r="CQ94" i="7"/>
  <c r="CQ77" i="7"/>
  <c r="CQ60" i="7"/>
  <c r="CQ52" i="7"/>
  <c r="CQ44" i="7"/>
  <c r="CQ36" i="7"/>
  <c r="CQ28" i="7"/>
  <c r="CQ55" i="7"/>
  <c r="CQ47" i="7"/>
  <c r="CQ39" i="7"/>
  <c r="CQ31" i="7"/>
  <c r="CQ78" i="7"/>
  <c r="CQ71" i="7"/>
  <c r="CQ63" i="7"/>
  <c r="CQ101" i="7"/>
  <c r="CQ95" i="7"/>
  <c r="CQ70" i="7"/>
  <c r="CQ65" i="7"/>
  <c r="CQ76" i="7"/>
  <c r="CQ69" i="7"/>
  <c r="CQ62" i="7"/>
  <c r="CQ54" i="7"/>
  <c r="CQ46" i="7"/>
  <c r="CQ38" i="7"/>
  <c r="CQ50" i="7"/>
  <c r="CQ43" i="7"/>
  <c r="CQ61" i="7"/>
  <c r="CQ42" i="7"/>
  <c r="CQ35" i="7"/>
  <c r="CQ48" i="7"/>
  <c r="CQ53" i="7"/>
  <c r="CQ51" i="7"/>
  <c r="CQ40" i="7"/>
  <c r="CQ19" i="7"/>
  <c r="CQ11" i="7"/>
  <c r="CQ3" i="7"/>
  <c r="CQ41" i="7"/>
  <c r="CQ32" i="7"/>
  <c r="CQ22" i="7"/>
  <c r="CQ14" i="7"/>
  <c r="CQ6" i="7"/>
  <c r="CQ57" i="7"/>
  <c r="CQ56" i="7"/>
  <c r="CQ45" i="7"/>
  <c r="CQ58" i="7"/>
  <c r="CQ59" i="7"/>
  <c r="CQ49" i="7"/>
  <c r="CQ37" i="7"/>
  <c r="CQ27" i="7"/>
  <c r="CQ25" i="7"/>
  <c r="CQ21" i="7"/>
  <c r="CQ13" i="7"/>
  <c r="CQ5" i="7"/>
  <c r="CQ17" i="7"/>
  <c r="CQ10" i="7"/>
  <c r="CQ33" i="7"/>
  <c r="CQ24" i="7"/>
  <c r="CQ9" i="7"/>
  <c r="CQ2" i="7"/>
  <c r="CQ30" i="7"/>
  <c r="CQ20" i="7"/>
  <c r="CQ16" i="7"/>
  <c r="CQ12" i="7"/>
  <c r="CQ23" i="7"/>
  <c r="CQ8" i="7"/>
  <c r="CQ15" i="7"/>
  <c r="CQ29" i="7"/>
  <c r="CQ7" i="7"/>
  <c r="CY52" i="9"/>
  <c r="CY1" i="9"/>
  <c r="CY52" i="8"/>
  <c r="CY148" i="7"/>
  <c r="CY140" i="7"/>
  <c r="CY143" i="7"/>
  <c r="CY142" i="7"/>
  <c r="CY137" i="7"/>
  <c r="CY134" i="7"/>
  <c r="CY126" i="7"/>
  <c r="CY118" i="7"/>
  <c r="CY138" i="7"/>
  <c r="CY129" i="7"/>
  <c r="CY121" i="7"/>
  <c r="CY1" i="8"/>
  <c r="CY128" i="7"/>
  <c r="CY139" i="7"/>
  <c r="CY119" i="7"/>
  <c r="CY116" i="7"/>
  <c r="CY108" i="7"/>
  <c r="CY100" i="7"/>
  <c r="CY133" i="7"/>
  <c r="CY125" i="7"/>
  <c r="CY111" i="7"/>
  <c r="CY103" i="7"/>
  <c r="CY141" i="7"/>
  <c r="CY136" i="7"/>
  <c r="CY144" i="7"/>
  <c r="CY135" i="7"/>
  <c r="CY124" i="7"/>
  <c r="CY120" i="7"/>
  <c r="CY110" i="7"/>
  <c r="CY113" i="7"/>
  <c r="CY109" i="7"/>
  <c r="CY96" i="7"/>
  <c r="CY88" i="7"/>
  <c r="CY132" i="7"/>
  <c r="CY130" i="7"/>
  <c r="CY105" i="7"/>
  <c r="CY99" i="7"/>
  <c r="CY91" i="7"/>
  <c r="CY131" i="7"/>
  <c r="CY123" i="7"/>
  <c r="CY127" i="7"/>
  <c r="CY122" i="7"/>
  <c r="CY106" i="7"/>
  <c r="CY98" i="7"/>
  <c r="CY90" i="7"/>
  <c r="CY112" i="7"/>
  <c r="CY102" i="7"/>
  <c r="CY97" i="7"/>
  <c r="CY86" i="7"/>
  <c r="CY80" i="7"/>
  <c r="CY72" i="7"/>
  <c r="CY64" i="7"/>
  <c r="CY93" i="7"/>
  <c r="CY83" i="7"/>
  <c r="CY75" i="7"/>
  <c r="CY67" i="7"/>
  <c r="CY114" i="7"/>
  <c r="CY115" i="7"/>
  <c r="CY117" i="7"/>
  <c r="CY107" i="7"/>
  <c r="CY101" i="7"/>
  <c r="CY94" i="7"/>
  <c r="CY85" i="7"/>
  <c r="CY82" i="7"/>
  <c r="CY74" i="7"/>
  <c r="CY66" i="7"/>
  <c r="CY89" i="7"/>
  <c r="CY77" i="7"/>
  <c r="CY73" i="7"/>
  <c r="CY95" i="7"/>
  <c r="CY84" i="7"/>
  <c r="CY69" i="7"/>
  <c r="CY65" i="7"/>
  <c r="CY79" i="7"/>
  <c r="CY78" i="7"/>
  <c r="CY81" i="7"/>
  <c r="CY71" i="7"/>
  <c r="CY60" i="7"/>
  <c r="CY52" i="7"/>
  <c r="CY44" i="7"/>
  <c r="CY36" i="7"/>
  <c r="CY28" i="7"/>
  <c r="CY70" i="7"/>
  <c r="CY55" i="7"/>
  <c r="CY47" i="7"/>
  <c r="CY39" i="7"/>
  <c r="CY31" i="7"/>
  <c r="CY87" i="7"/>
  <c r="CY68" i="7"/>
  <c r="CY63" i="7"/>
  <c r="CY104" i="7"/>
  <c r="CY92" i="7"/>
  <c r="CY76" i="7"/>
  <c r="CY62" i="7"/>
  <c r="CY54" i="7"/>
  <c r="CY46" i="7"/>
  <c r="CY38" i="7"/>
  <c r="CY48" i="7"/>
  <c r="CY59" i="7"/>
  <c r="CY40" i="7"/>
  <c r="CY57" i="7"/>
  <c r="CY53" i="7"/>
  <c r="CY34" i="7"/>
  <c r="CY58" i="7"/>
  <c r="CY56" i="7"/>
  <c r="CY45" i="7"/>
  <c r="CY27" i="7"/>
  <c r="CY24" i="7"/>
  <c r="CY19" i="7"/>
  <c r="CY11" i="7"/>
  <c r="CY3" i="7"/>
  <c r="CY22" i="7"/>
  <c r="CY14" i="7"/>
  <c r="CY6" i="7"/>
  <c r="CY50" i="7"/>
  <c r="CY49" i="7"/>
  <c r="CY37" i="7"/>
  <c r="CY51" i="7"/>
  <c r="CY42" i="7"/>
  <c r="CY41" i="7"/>
  <c r="CY33" i="7"/>
  <c r="CY21" i="7"/>
  <c r="CY13" i="7"/>
  <c r="CY5" i="7"/>
  <c r="CY61" i="7"/>
  <c r="CY35" i="7"/>
  <c r="CY15" i="7"/>
  <c r="CY25" i="7"/>
  <c r="CY7" i="7"/>
  <c r="CY32" i="7"/>
  <c r="CY18" i="7"/>
  <c r="CY29" i="7"/>
  <c r="CY17" i="7"/>
  <c r="CY10" i="7"/>
  <c r="CY43" i="7"/>
  <c r="CY26" i="7"/>
  <c r="CY9" i="7"/>
  <c r="CY20" i="7"/>
  <c r="CY30" i="7"/>
  <c r="CY16" i="7"/>
  <c r="CY12" i="7"/>
  <c r="DG52" i="9"/>
  <c r="DG52" i="8"/>
  <c r="DG1" i="9"/>
  <c r="DG148" i="7"/>
  <c r="DG140" i="7"/>
  <c r="DG143" i="7"/>
  <c r="DG142" i="7"/>
  <c r="DG141" i="7"/>
  <c r="DG136" i="7"/>
  <c r="DG134" i="7"/>
  <c r="DG126" i="7"/>
  <c r="DG118" i="7"/>
  <c r="DG129" i="7"/>
  <c r="DG121" i="7"/>
  <c r="DG128" i="7"/>
  <c r="DG144" i="7"/>
  <c r="DG131" i="7"/>
  <c r="DG124" i="7"/>
  <c r="DG120" i="7"/>
  <c r="DG116" i="7"/>
  <c r="DG108" i="7"/>
  <c r="DG100" i="7"/>
  <c r="DG138" i="7"/>
  <c r="DG119" i="7"/>
  <c r="DG111" i="7"/>
  <c r="DG103" i="7"/>
  <c r="DG1" i="8"/>
  <c r="DG133" i="7"/>
  <c r="DG139" i="7"/>
  <c r="DG110" i="7"/>
  <c r="DG114" i="7"/>
  <c r="DG107" i="7"/>
  <c r="DG96" i="7"/>
  <c r="DG88" i="7"/>
  <c r="DG137" i="7"/>
  <c r="DG106" i="7"/>
  <c r="DG101" i="7"/>
  <c r="DG99" i="7"/>
  <c r="DG91" i="7"/>
  <c r="DG125" i="7"/>
  <c r="DG122" i="7"/>
  <c r="DG117" i="7"/>
  <c r="DG135" i="7"/>
  <c r="DG130" i="7"/>
  <c r="DG123" i="7"/>
  <c r="DG104" i="7"/>
  <c r="DG98" i="7"/>
  <c r="DG90" i="7"/>
  <c r="DG132" i="7"/>
  <c r="DG127" i="7"/>
  <c r="DG115" i="7"/>
  <c r="DG95" i="7"/>
  <c r="DG80" i="7"/>
  <c r="DG72" i="7"/>
  <c r="DG64" i="7"/>
  <c r="DG105" i="7"/>
  <c r="DG94" i="7"/>
  <c r="DG89" i="7"/>
  <c r="DG83" i="7"/>
  <c r="DG75" i="7"/>
  <c r="DG67" i="7"/>
  <c r="DG109" i="7"/>
  <c r="DG113" i="7"/>
  <c r="DG112" i="7"/>
  <c r="DG92" i="7"/>
  <c r="DG82" i="7"/>
  <c r="DG74" i="7"/>
  <c r="DG66" i="7"/>
  <c r="DG87" i="7"/>
  <c r="DG78" i="7"/>
  <c r="DG71" i="7"/>
  <c r="DG70" i="7"/>
  <c r="DG102" i="7"/>
  <c r="DG93" i="7"/>
  <c r="DG86" i="7"/>
  <c r="DG84" i="7"/>
  <c r="DG69" i="7"/>
  <c r="DG73" i="7"/>
  <c r="DG60" i="7"/>
  <c r="DG52" i="7"/>
  <c r="DG44" i="7"/>
  <c r="DG36" i="7"/>
  <c r="DG28" i="7"/>
  <c r="DG97" i="7"/>
  <c r="DG55" i="7"/>
  <c r="DG47" i="7"/>
  <c r="DG39" i="7"/>
  <c r="DG31" i="7"/>
  <c r="DG76" i="7"/>
  <c r="DG68" i="7"/>
  <c r="DG85" i="7"/>
  <c r="DG79" i="7"/>
  <c r="DG77" i="7"/>
  <c r="DG65" i="7"/>
  <c r="DG62" i="7"/>
  <c r="DG54" i="7"/>
  <c r="DG46" i="7"/>
  <c r="DG38" i="7"/>
  <c r="DG63" i="7"/>
  <c r="DG57" i="7"/>
  <c r="DG53" i="7"/>
  <c r="DG34" i="7"/>
  <c r="DG49" i="7"/>
  <c r="DG45" i="7"/>
  <c r="DG58" i="7"/>
  <c r="DG51" i="7"/>
  <c r="DG50" i="7"/>
  <c r="DG25" i="7"/>
  <c r="DG19" i="7"/>
  <c r="DG11" i="7"/>
  <c r="DG3" i="7"/>
  <c r="DG33" i="7"/>
  <c r="DG30" i="7"/>
  <c r="DG24" i="7"/>
  <c r="DG22" i="7"/>
  <c r="DG14" i="7"/>
  <c r="DG6" i="7"/>
  <c r="DG41" i="7"/>
  <c r="DG40" i="7"/>
  <c r="DG42" i="7"/>
  <c r="DG56" i="7"/>
  <c r="DG43" i="7"/>
  <c r="DG81" i="7"/>
  <c r="DG61" i="7"/>
  <c r="DG29" i="7"/>
  <c r="DG21" i="7"/>
  <c r="DG13" i="7"/>
  <c r="DG5" i="7"/>
  <c r="DG59" i="7"/>
  <c r="DG26" i="7"/>
  <c r="DG20" i="7"/>
  <c r="DG16" i="7"/>
  <c r="DG12" i="7"/>
  <c r="DG27" i="7"/>
  <c r="DG23" i="7"/>
  <c r="DG8" i="7"/>
  <c r="DG4" i="7"/>
  <c r="DG15" i="7"/>
  <c r="DG7" i="7"/>
  <c r="DG18" i="7"/>
  <c r="DG48" i="7"/>
  <c r="DG17" i="7"/>
  <c r="DG10" i="7"/>
  <c r="DO52" i="9"/>
  <c r="DO1" i="9"/>
  <c r="DO52" i="8"/>
  <c r="DO148" i="7"/>
  <c r="DO140" i="7"/>
  <c r="DO143" i="7"/>
  <c r="DO1" i="8"/>
  <c r="DO142" i="7"/>
  <c r="DO139" i="7"/>
  <c r="DO134" i="7"/>
  <c r="DO126" i="7"/>
  <c r="DO118" i="7"/>
  <c r="DO136" i="7"/>
  <c r="DO129" i="7"/>
  <c r="DO121" i="7"/>
  <c r="DO128" i="7"/>
  <c r="DO132" i="7"/>
  <c r="DO116" i="7"/>
  <c r="DO108" i="7"/>
  <c r="DO100" i="7"/>
  <c r="DO127" i="7"/>
  <c r="DO123" i="7"/>
  <c r="DO111" i="7"/>
  <c r="DO103" i="7"/>
  <c r="DO135" i="7"/>
  <c r="DO141" i="7"/>
  <c r="DO137" i="7"/>
  <c r="DO144" i="7"/>
  <c r="DO138" i="7"/>
  <c r="DO122" i="7"/>
  <c r="DO110" i="7"/>
  <c r="DO112" i="7"/>
  <c r="DO96" i="7"/>
  <c r="DO88" i="7"/>
  <c r="DO104" i="7"/>
  <c r="DO99" i="7"/>
  <c r="DO91" i="7"/>
  <c r="DO120" i="7"/>
  <c r="DO131" i="7"/>
  <c r="DO130" i="7"/>
  <c r="DO124" i="7"/>
  <c r="DO119" i="7"/>
  <c r="DO113" i="7"/>
  <c r="DO109" i="7"/>
  <c r="DO102" i="7"/>
  <c r="DO98" i="7"/>
  <c r="DO90" i="7"/>
  <c r="DO85" i="7"/>
  <c r="DO80" i="7"/>
  <c r="DO72" i="7"/>
  <c r="DO64" i="7"/>
  <c r="DO125" i="7"/>
  <c r="DO92" i="7"/>
  <c r="DO83" i="7"/>
  <c r="DO75" i="7"/>
  <c r="DO67" i="7"/>
  <c r="DO133" i="7"/>
  <c r="DO114" i="7"/>
  <c r="DO117" i="7"/>
  <c r="DO115" i="7"/>
  <c r="DO106" i="7"/>
  <c r="DO105" i="7"/>
  <c r="DO101" i="7"/>
  <c r="DO97" i="7"/>
  <c r="DO82" i="7"/>
  <c r="DO74" i="7"/>
  <c r="DO66" i="7"/>
  <c r="DO89" i="7"/>
  <c r="DO76" i="7"/>
  <c r="DO94" i="7"/>
  <c r="DO93" i="7"/>
  <c r="DO86" i="7"/>
  <c r="DO68" i="7"/>
  <c r="DO87" i="7"/>
  <c r="DO70" i="7"/>
  <c r="DO78" i="7"/>
  <c r="DO77" i="7"/>
  <c r="DO107" i="7"/>
  <c r="DO60" i="7"/>
  <c r="DO52" i="7"/>
  <c r="DO44" i="7"/>
  <c r="DO36" i="7"/>
  <c r="DO28" i="7"/>
  <c r="DO95" i="7"/>
  <c r="DO55" i="7"/>
  <c r="DO47" i="7"/>
  <c r="DO39" i="7"/>
  <c r="DO31" i="7"/>
  <c r="DO73" i="7"/>
  <c r="DO65" i="7"/>
  <c r="DO71" i="7"/>
  <c r="DO81" i="7"/>
  <c r="DO84" i="7"/>
  <c r="DO69" i="7"/>
  <c r="DO63" i="7"/>
  <c r="DO62" i="7"/>
  <c r="DO54" i="7"/>
  <c r="DO46" i="7"/>
  <c r="DO38" i="7"/>
  <c r="DO58" i="7"/>
  <c r="DO51" i="7"/>
  <c r="DO50" i="7"/>
  <c r="DO43" i="7"/>
  <c r="DO61" i="7"/>
  <c r="DO79" i="7"/>
  <c r="DO56" i="7"/>
  <c r="DO41" i="7"/>
  <c r="DO37" i="7"/>
  <c r="DO29" i="7"/>
  <c r="DO19" i="7"/>
  <c r="DO11" i="7"/>
  <c r="DO3" i="7"/>
  <c r="DO26" i="7"/>
  <c r="DO25" i="7"/>
  <c r="DO22" i="7"/>
  <c r="DO14" i="7"/>
  <c r="DO6" i="7"/>
  <c r="DO57" i="7"/>
  <c r="DO45" i="7"/>
  <c r="DO59" i="7"/>
  <c r="DO48" i="7"/>
  <c r="DO49" i="7"/>
  <c r="DO21" i="7"/>
  <c r="DO13" i="7"/>
  <c r="DO5" i="7"/>
  <c r="DO53" i="7"/>
  <c r="DO18" i="7"/>
  <c r="DO42" i="7"/>
  <c r="DO34" i="7"/>
  <c r="DO17" i="7"/>
  <c r="DO10" i="7"/>
  <c r="DO9" i="7"/>
  <c r="DO32" i="7"/>
  <c r="DO24" i="7"/>
  <c r="DO20" i="7"/>
  <c r="DO35" i="7"/>
  <c r="DO16" i="7"/>
  <c r="DO12" i="7"/>
  <c r="DO40" i="7"/>
  <c r="DO23" i="7"/>
  <c r="DO33" i="7"/>
  <c r="DO30" i="7"/>
  <c r="DO15" i="7"/>
  <c r="DW52" i="9"/>
  <c r="DW52" i="8"/>
  <c r="DW1" i="9"/>
  <c r="DW1" i="8"/>
  <c r="DW148" i="7"/>
  <c r="DW140" i="7"/>
  <c r="DW143" i="7"/>
  <c r="DW142" i="7"/>
  <c r="DW144" i="7"/>
  <c r="DW134" i="7"/>
  <c r="DW126" i="7"/>
  <c r="DW118" i="7"/>
  <c r="DW129" i="7"/>
  <c r="DW121" i="7"/>
  <c r="DW141" i="7"/>
  <c r="DW137" i="7"/>
  <c r="DW128" i="7"/>
  <c r="DW130" i="7"/>
  <c r="DW122" i="7"/>
  <c r="DW116" i="7"/>
  <c r="DW108" i="7"/>
  <c r="DW100" i="7"/>
  <c r="DW111" i="7"/>
  <c r="DW103" i="7"/>
  <c r="DW138" i="7"/>
  <c r="DW131" i="7"/>
  <c r="DW117" i="7"/>
  <c r="DW110" i="7"/>
  <c r="DW139" i="7"/>
  <c r="DW132" i="7"/>
  <c r="DW124" i="7"/>
  <c r="DW102" i="7"/>
  <c r="DW96" i="7"/>
  <c r="DW88" i="7"/>
  <c r="DW113" i="7"/>
  <c r="DW109" i="7"/>
  <c r="DW99" i="7"/>
  <c r="DW91" i="7"/>
  <c r="DW136" i="7"/>
  <c r="DW135" i="7"/>
  <c r="DW119" i="7"/>
  <c r="DW125" i="7"/>
  <c r="DW133" i="7"/>
  <c r="DW123" i="7"/>
  <c r="DW114" i="7"/>
  <c r="DW107" i="7"/>
  <c r="DW98" i="7"/>
  <c r="DW90" i="7"/>
  <c r="DW80" i="7"/>
  <c r="DW72" i="7"/>
  <c r="DW64" i="7"/>
  <c r="DW97" i="7"/>
  <c r="DW87" i="7"/>
  <c r="DW85" i="7"/>
  <c r="DW83" i="7"/>
  <c r="DW75" i="7"/>
  <c r="DW67" i="7"/>
  <c r="DW115" i="7"/>
  <c r="DW105" i="7"/>
  <c r="DW106" i="7"/>
  <c r="DW120" i="7"/>
  <c r="DW95" i="7"/>
  <c r="DW86" i="7"/>
  <c r="DW82" i="7"/>
  <c r="DW74" i="7"/>
  <c r="DW66" i="7"/>
  <c r="DW81" i="7"/>
  <c r="DW101" i="7"/>
  <c r="DW77" i="7"/>
  <c r="DW73" i="7"/>
  <c r="DW112" i="7"/>
  <c r="DW68" i="7"/>
  <c r="DW93" i="7"/>
  <c r="DW89" i="7"/>
  <c r="DW79" i="7"/>
  <c r="DW127" i="7"/>
  <c r="DW71" i="7"/>
  <c r="DW60" i="7"/>
  <c r="DW52" i="7"/>
  <c r="DW44" i="7"/>
  <c r="DW36" i="7"/>
  <c r="DW28" i="7"/>
  <c r="DW84" i="7"/>
  <c r="DW70" i="7"/>
  <c r="DW55" i="7"/>
  <c r="DW47" i="7"/>
  <c r="DW39" i="7"/>
  <c r="DW31" i="7"/>
  <c r="DW94" i="7"/>
  <c r="DW92" i="7"/>
  <c r="DW69" i="7"/>
  <c r="DW104" i="7"/>
  <c r="DW78" i="7"/>
  <c r="DW65" i="7"/>
  <c r="DW62" i="7"/>
  <c r="DW54" i="7"/>
  <c r="DW46" i="7"/>
  <c r="DW38" i="7"/>
  <c r="DW56" i="7"/>
  <c r="DW41" i="7"/>
  <c r="DW37" i="7"/>
  <c r="DW48" i="7"/>
  <c r="DW63" i="7"/>
  <c r="DW61" i="7"/>
  <c r="DW42" i="7"/>
  <c r="DW35" i="7"/>
  <c r="DW59" i="7"/>
  <c r="DW19" i="7"/>
  <c r="DW11" i="7"/>
  <c r="DW3" i="7"/>
  <c r="DW32" i="7"/>
  <c r="DW22" i="7"/>
  <c r="DW14" i="7"/>
  <c r="DW6" i="7"/>
  <c r="DW50" i="7"/>
  <c r="DW49" i="7"/>
  <c r="DW51" i="7"/>
  <c r="DW40" i="7"/>
  <c r="DW53" i="7"/>
  <c r="DW76" i="7"/>
  <c r="DW43" i="7"/>
  <c r="DW33" i="7"/>
  <c r="DW27" i="7"/>
  <c r="DW21" i="7"/>
  <c r="DW13" i="7"/>
  <c r="DW5" i="7"/>
  <c r="DW58" i="7"/>
  <c r="DW57" i="7"/>
  <c r="DW34" i="7"/>
  <c r="DW26" i="7"/>
  <c r="DW23" i="7"/>
  <c r="DW8" i="7"/>
  <c r="DW4" i="7"/>
  <c r="DW15" i="7"/>
  <c r="DW7" i="7"/>
  <c r="DW30" i="7"/>
  <c r="DW25" i="7"/>
  <c r="DW18" i="7"/>
  <c r="DW17" i="7"/>
  <c r="DW10" i="7"/>
  <c r="DW9" i="7"/>
  <c r="DW20" i="7"/>
  <c r="EE52" i="9"/>
  <c r="EE52" i="8"/>
  <c r="EE1" i="9"/>
  <c r="EE148" i="7"/>
  <c r="EE140" i="7"/>
  <c r="EE143" i="7"/>
  <c r="EE142" i="7"/>
  <c r="EE137" i="7"/>
  <c r="EE134" i="7"/>
  <c r="EE126" i="7"/>
  <c r="EE118" i="7"/>
  <c r="EE141" i="7"/>
  <c r="EE138" i="7"/>
  <c r="EE129" i="7"/>
  <c r="EE121" i="7"/>
  <c r="EE139" i="7"/>
  <c r="EE128" i="7"/>
  <c r="EE135" i="7"/>
  <c r="EE116" i="7"/>
  <c r="EE108" i="7"/>
  <c r="EE100" i="7"/>
  <c r="EE131" i="7"/>
  <c r="EE125" i="7"/>
  <c r="EE111" i="7"/>
  <c r="EE103" i="7"/>
  <c r="EE136" i="7"/>
  <c r="EE1" i="8"/>
  <c r="EE132" i="7"/>
  <c r="EE124" i="7"/>
  <c r="EE120" i="7"/>
  <c r="EE110" i="7"/>
  <c r="EE115" i="7"/>
  <c r="EE96" i="7"/>
  <c r="EE88" i="7"/>
  <c r="EE114" i="7"/>
  <c r="EE107" i="7"/>
  <c r="EE99" i="7"/>
  <c r="EE91" i="7"/>
  <c r="EE144" i="7"/>
  <c r="EE133" i="7"/>
  <c r="EE123" i="7"/>
  <c r="EE130" i="7"/>
  <c r="EE127" i="7"/>
  <c r="EE119" i="7"/>
  <c r="EE117" i="7"/>
  <c r="EE112" i="7"/>
  <c r="EE98" i="7"/>
  <c r="EE90" i="7"/>
  <c r="EE105" i="7"/>
  <c r="EE86" i="7"/>
  <c r="EE80" i="7"/>
  <c r="EE72" i="7"/>
  <c r="EE64" i="7"/>
  <c r="EE102" i="7"/>
  <c r="EE95" i="7"/>
  <c r="EE83" i="7"/>
  <c r="EE75" i="7"/>
  <c r="EE67" i="7"/>
  <c r="EE122" i="7"/>
  <c r="EE109" i="7"/>
  <c r="EE113" i="7"/>
  <c r="EE82" i="7"/>
  <c r="EE74" i="7"/>
  <c r="EE66" i="7"/>
  <c r="EE106" i="7"/>
  <c r="EE79" i="7"/>
  <c r="EE89" i="7"/>
  <c r="EE85" i="7"/>
  <c r="EE78" i="7"/>
  <c r="EE71" i="7"/>
  <c r="EE87" i="7"/>
  <c r="EE77" i="7"/>
  <c r="EE73" i="7"/>
  <c r="EE101" i="7"/>
  <c r="EE97" i="7"/>
  <c r="EE94" i="7"/>
  <c r="EE84" i="7"/>
  <c r="EE104" i="7"/>
  <c r="EE92" i="7"/>
  <c r="EE69" i="7"/>
  <c r="EE63" i="7"/>
  <c r="EE60" i="7"/>
  <c r="EE52" i="7"/>
  <c r="EE44" i="7"/>
  <c r="EE36" i="7"/>
  <c r="EE28" i="7"/>
  <c r="EE81" i="7"/>
  <c r="EE55" i="7"/>
  <c r="EE47" i="7"/>
  <c r="EE39" i="7"/>
  <c r="EE31" i="7"/>
  <c r="EE68" i="7"/>
  <c r="EE65" i="7"/>
  <c r="EE76" i="7"/>
  <c r="EE93" i="7"/>
  <c r="EE70" i="7"/>
  <c r="EE62" i="7"/>
  <c r="EE54" i="7"/>
  <c r="EE46" i="7"/>
  <c r="EE38" i="7"/>
  <c r="EE61" i="7"/>
  <c r="EE42" i="7"/>
  <c r="EE35" i="7"/>
  <c r="EE57" i="7"/>
  <c r="EE53" i="7"/>
  <c r="EE34" i="7"/>
  <c r="EE59" i="7"/>
  <c r="EE40" i="7"/>
  <c r="EE51" i="7"/>
  <c r="EE27" i="7"/>
  <c r="EE19" i="7"/>
  <c r="EE11" i="7"/>
  <c r="EE3" i="7"/>
  <c r="EE41" i="7"/>
  <c r="EE33" i="7"/>
  <c r="EE22" i="7"/>
  <c r="EE14" i="7"/>
  <c r="EE6" i="7"/>
  <c r="EE56" i="7"/>
  <c r="EE45" i="7"/>
  <c r="EE43" i="7"/>
  <c r="EE58" i="7"/>
  <c r="EE49" i="7"/>
  <c r="EE48" i="7"/>
  <c r="EE37" i="7"/>
  <c r="EE21" i="7"/>
  <c r="EE13" i="7"/>
  <c r="EE5" i="7"/>
  <c r="EE9" i="7"/>
  <c r="EE2" i="7"/>
  <c r="EE50" i="7"/>
  <c r="EE20" i="7"/>
  <c r="EE16" i="7"/>
  <c r="EE12" i="7"/>
  <c r="EE32" i="7"/>
  <c r="EE24" i="7"/>
  <c r="EE23" i="7"/>
  <c r="EE8" i="7"/>
  <c r="EE4" i="7"/>
  <c r="EE29" i="7"/>
  <c r="EE15" i="7"/>
  <c r="EE26" i="7"/>
  <c r="EE18" i="7"/>
  <c r="EM52" i="9"/>
  <c r="EM1" i="9"/>
  <c r="EM52" i="8"/>
  <c r="EM148" i="7"/>
  <c r="EM140" i="7"/>
  <c r="EM143" i="7"/>
  <c r="EM142" i="7"/>
  <c r="EM134" i="7"/>
  <c r="EM126" i="7"/>
  <c r="EM118" i="7"/>
  <c r="EM139" i="7"/>
  <c r="EM129" i="7"/>
  <c r="EM121" i="7"/>
  <c r="EM144" i="7"/>
  <c r="EM128" i="7"/>
  <c r="EM137" i="7"/>
  <c r="EM133" i="7"/>
  <c r="EM124" i="7"/>
  <c r="EM120" i="7"/>
  <c r="EM117" i="7"/>
  <c r="EM116" i="7"/>
  <c r="EM108" i="7"/>
  <c r="EM100" i="7"/>
  <c r="EM1" i="8"/>
  <c r="EM132" i="7"/>
  <c r="EM111" i="7"/>
  <c r="EM103" i="7"/>
  <c r="EM141" i="7"/>
  <c r="EM138" i="7"/>
  <c r="EM135" i="7"/>
  <c r="EM136" i="7"/>
  <c r="EM130" i="7"/>
  <c r="EM110" i="7"/>
  <c r="EM127" i="7"/>
  <c r="EM105" i="7"/>
  <c r="EM96" i="7"/>
  <c r="EM88" i="7"/>
  <c r="EM112" i="7"/>
  <c r="EM101" i="7"/>
  <c r="EM99" i="7"/>
  <c r="EM91" i="7"/>
  <c r="EM131" i="7"/>
  <c r="EM119" i="7"/>
  <c r="EM125" i="7"/>
  <c r="EM122" i="7"/>
  <c r="EM98" i="7"/>
  <c r="EM90" i="7"/>
  <c r="EM93" i="7"/>
  <c r="EM80" i="7"/>
  <c r="EM72" i="7"/>
  <c r="EM64" i="7"/>
  <c r="EM123" i="7"/>
  <c r="EM89" i="7"/>
  <c r="EM83" i="7"/>
  <c r="EM75" i="7"/>
  <c r="EM67" i="7"/>
  <c r="EM114" i="7"/>
  <c r="EM113" i="7"/>
  <c r="EM115" i="7"/>
  <c r="EM107" i="7"/>
  <c r="EM102" i="7"/>
  <c r="EM82" i="7"/>
  <c r="EM74" i="7"/>
  <c r="EM66" i="7"/>
  <c r="EM94" i="7"/>
  <c r="EM84" i="7"/>
  <c r="EM69" i="7"/>
  <c r="EM65" i="7"/>
  <c r="EM95" i="7"/>
  <c r="EM87" i="7"/>
  <c r="EM76" i="7"/>
  <c r="EM104" i="7"/>
  <c r="EM109" i="7"/>
  <c r="EM78" i="7"/>
  <c r="EM71" i="7"/>
  <c r="EM77" i="7"/>
  <c r="EM92" i="7"/>
  <c r="EM85" i="7"/>
  <c r="EM79" i="7"/>
  <c r="EM60" i="7"/>
  <c r="EM52" i="7"/>
  <c r="EM44" i="7"/>
  <c r="EM36" i="7"/>
  <c r="EM28" i="7"/>
  <c r="EM63" i="7"/>
  <c r="EM55" i="7"/>
  <c r="EM47" i="7"/>
  <c r="EM39" i="7"/>
  <c r="EM31" i="7"/>
  <c r="EM106" i="7"/>
  <c r="EM70" i="7"/>
  <c r="EM73" i="7"/>
  <c r="EM97" i="7"/>
  <c r="EM86" i="7"/>
  <c r="EM81" i="7"/>
  <c r="EM68" i="7"/>
  <c r="EM62" i="7"/>
  <c r="EM54" i="7"/>
  <c r="EM46" i="7"/>
  <c r="EM38" i="7"/>
  <c r="EM59" i="7"/>
  <c r="EM40" i="7"/>
  <c r="EM58" i="7"/>
  <c r="EM51" i="7"/>
  <c r="EM49" i="7"/>
  <c r="EM45" i="7"/>
  <c r="EM56" i="7"/>
  <c r="EM19" i="7"/>
  <c r="EM11" i="7"/>
  <c r="EM3" i="7"/>
  <c r="EM57" i="7"/>
  <c r="EM34" i="7"/>
  <c r="EM30" i="7"/>
  <c r="EM22" i="7"/>
  <c r="EM14" i="7"/>
  <c r="EM6" i="7"/>
  <c r="EM61" i="7"/>
  <c r="EM50" i="7"/>
  <c r="EM48" i="7"/>
  <c r="EM37" i="7"/>
  <c r="EM53" i="7"/>
  <c r="EM42" i="7"/>
  <c r="EM41" i="7"/>
  <c r="EM29" i="7"/>
  <c r="EM21" i="7"/>
  <c r="EM13" i="7"/>
  <c r="EM5" i="7"/>
  <c r="EM32" i="7"/>
  <c r="EM7" i="7"/>
  <c r="EM26" i="7"/>
  <c r="EM18" i="7"/>
  <c r="EM43" i="7"/>
  <c r="EM17" i="7"/>
  <c r="EM10" i="7"/>
  <c r="EM27" i="7"/>
  <c r="EM25" i="7"/>
  <c r="EM9" i="7"/>
  <c r="EM20" i="7"/>
  <c r="EM33" i="7"/>
  <c r="EM16" i="7"/>
  <c r="EM12" i="7"/>
  <c r="EM35" i="7"/>
  <c r="EM23" i="7"/>
  <c r="EM8" i="7"/>
  <c r="EM4" i="7"/>
  <c r="EU52" i="9"/>
  <c r="EU52" i="8"/>
  <c r="EU1" i="9"/>
  <c r="EU148" i="7"/>
  <c r="EU140" i="7"/>
  <c r="EU143" i="7"/>
  <c r="EU1" i="8"/>
  <c r="EU142" i="7"/>
  <c r="EU134" i="7"/>
  <c r="EU126" i="7"/>
  <c r="EU118" i="7"/>
  <c r="EU144" i="7"/>
  <c r="EU136" i="7"/>
  <c r="EU129" i="7"/>
  <c r="EU121" i="7"/>
  <c r="EU128" i="7"/>
  <c r="EU116" i="7"/>
  <c r="EU108" i="7"/>
  <c r="EU100" i="7"/>
  <c r="EU130" i="7"/>
  <c r="EU127" i="7"/>
  <c r="EU123" i="7"/>
  <c r="EU117" i="7"/>
  <c r="EU111" i="7"/>
  <c r="EU103" i="7"/>
  <c r="EU133" i="7"/>
  <c r="EU137" i="7"/>
  <c r="EU139" i="7"/>
  <c r="EU135" i="7"/>
  <c r="EU122" i="7"/>
  <c r="EU119" i="7"/>
  <c r="EU110" i="7"/>
  <c r="EU125" i="7"/>
  <c r="EU106" i="7"/>
  <c r="EU96" i="7"/>
  <c r="EU88" i="7"/>
  <c r="EU99" i="7"/>
  <c r="EU91" i="7"/>
  <c r="EU141" i="7"/>
  <c r="EU120" i="7"/>
  <c r="EU124" i="7"/>
  <c r="EU138" i="7"/>
  <c r="EU115" i="7"/>
  <c r="EU102" i="7"/>
  <c r="EU98" i="7"/>
  <c r="EU90" i="7"/>
  <c r="EU94" i="7"/>
  <c r="EU80" i="7"/>
  <c r="EU72" i="7"/>
  <c r="EU64" i="7"/>
  <c r="EU105" i="7"/>
  <c r="EU104" i="7"/>
  <c r="EU83" i="7"/>
  <c r="EU75" i="7"/>
  <c r="EU67" i="7"/>
  <c r="EU109" i="7"/>
  <c r="EU107" i="7"/>
  <c r="EU131" i="7"/>
  <c r="EU132" i="7"/>
  <c r="EU113" i="7"/>
  <c r="EU112" i="7"/>
  <c r="EU82" i="7"/>
  <c r="EU74" i="7"/>
  <c r="EU66" i="7"/>
  <c r="EU70" i="7"/>
  <c r="EU89" i="7"/>
  <c r="EU85" i="7"/>
  <c r="EU81" i="7"/>
  <c r="EU93" i="7"/>
  <c r="EU92" i="7"/>
  <c r="EU76" i="7"/>
  <c r="EU114" i="7"/>
  <c r="EU95" i="7"/>
  <c r="EU87" i="7"/>
  <c r="EU69" i="7"/>
  <c r="EU84" i="7"/>
  <c r="EU73" i="7"/>
  <c r="EU97" i="7"/>
  <c r="EU101" i="7"/>
  <c r="EU71" i="7"/>
  <c r="EU60" i="7"/>
  <c r="EU52" i="7"/>
  <c r="EU44" i="7"/>
  <c r="EU36" i="7"/>
  <c r="EU28" i="7"/>
  <c r="EU79" i="7"/>
  <c r="EU55" i="7"/>
  <c r="EU47" i="7"/>
  <c r="EU39" i="7"/>
  <c r="EU31" i="7"/>
  <c r="EU65" i="7"/>
  <c r="EU63" i="7"/>
  <c r="EU77" i="7"/>
  <c r="EU86" i="7"/>
  <c r="EU68" i="7"/>
  <c r="EU78" i="7"/>
  <c r="EU62" i="7"/>
  <c r="EU54" i="7"/>
  <c r="EU46" i="7"/>
  <c r="EU38" i="7"/>
  <c r="EU49" i="7"/>
  <c r="EU45" i="7"/>
  <c r="EU56" i="7"/>
  <c r="EU41" i="7"/>
  <c r="EU37" i="7"/>
  <c r="EU50" i="7"/>
  <c r="EU43" i="7"/>
  <c r="EU61" i="7"/>
  <c r="EU29" i="7"/>
  <c r="EU19" i="7"/>
  <c r="EU11" i="7"/>
  <c r="EU3" i="7"/>
  <c r="EU26" i="7"/>
  <c r="EU22" i="7"/>
  <c r="EU14" i="7"/>
  <c r="EU6" i="7"/>
  <c r="EU51" i="7"/>
  <c r="EU40" i="7"/>
  <c r="EU53" i="7"/>
  <c r="EU42" i="7"/>
  <c r="EU58" i="7"/>
  <c r="EU57" i="7"/>
  <c r="EU34" i="7"/>
  <c r="EU33" i="7"/>
  <c r="EU24" i="7"/>
  <c r="EU21" i="7"/>
  <c r="EU13" i="7"/>
  <c r="EU5" i="7"/>
  <c r="EU59" i="7"/>
  <c r="EU27" i="7"/>
  <c r="EU16" i="7"/>
  <c r="EU12" i="7"/>
  <c r="EU23" i="7"/>
  <c r="EU8" i="7"/>
  <c r="EU4" i="7"/>
  <c r="EU15" i="7"/>
  <c r="EU7" i="7"/>
  <c r="EU48" i="7"/>
  <c r="EU32" i="7"/>
  <c r="EU18" i="7"/>
  <c r="EU35" i="7"/>
  <c r="EU17" i="7"/>
  <c r="EU10" i="7"/>
  <c r="EU9" i="7"/>
  <c r="EU2" i="7"/>
  <c r="FC52" i="9"/>
  <c r="FC1" i="9"/>
  <c r="FC52" i="8"/>
  <c r="FC1" i="8"/>
  <c r="FC148" i="7"/>
  <c r="FC140" i="7"/>
  <c r="FC143" i="7"/>
  <c r="FC142" i="7"/>
  <c r="FC134" i="7"/>
  <c r="FC126" i="7"/>
  <c r="FC118" i="7"/>
  <c r="FC129" i="7"/>
  <c r="FC121" i="7"/>
  <c r="FC137" i="7"/>
  <c r="FC128" i="7"/>
  <c r="FC122" i="7"/>
  <c r="FC116" i="7"/>
  <c r="FC108" i="7"/>
  <c r="FC100" i="7"/>
  <c r="FC135" i="7"/>
  <c r="FC111" i="7"/>
  <c r="FC103" i="7"/>
  <c r="FC141" i="7"/>
  <c r="FC139" i="7"/>
  <c r="FC138" i="7"/>
  <c r="FC144" i="7"/>
  <c r="FC136" i="7"/>
  <c r="FC133" i="7"/>
  <c r="FC110" i="7"/>
  <c r="FC127" i="7"/>
  <c r="FC120" i="7"/>
  <c r="FC117" i="7"/>
  <c r="FC104" i="7"/>
  <c r="FC102" i="7"/>
  <c r="FC96" i="7"/>
  <c r="FC88" i="7"/>
  <c r="FC124" i="7"/>
  <c r="FC119" i="7"/>
  <c r="FC115" i="7"/>
  <c r="FC99" i="7"/>
  <c r="FC91" i="7"/>
  <c r="FC131" i="7"/>
  <c r="FC130" i="7"/>
  <c r="FC132" i="7"/>
  <c r="FC125" i="7"/>
  <c r="FC105" i="7"/>
  <c r="FC98" i="7"/>
  <c r="FC90" i="7"/>
  <c r="FC123" i="7"/>
  <c r="FC92" i="7"/>
  <c r="FC80" i="7"/>
  <c r="FC72" i="7"/>
  <c r="FC64" i="7"/>
  <c r="FC109" i="7"/>
  <c r="FC87" i="7"/>
  <c r="FC83" i="7"/>
  <c r="FC75" i="7"/>
  <c r="FC67" i="7"/>
  <c r="FC114" i="7"/>
  <c r="FC112" i="7"/>
  <c r="FC113" i="7"/>
  <c r="FC106" i="7"/>
  <c r="FC93" i="7"/>
  <c r="FC89" i="7"/>
  <c r="FC86" i="7"/>
  <c r="FC82" i="7"/>
  <c r="FC74" i="7"/>
  <c r="FC66" i="7"/>
  <c r="FC101" i="7"/>
  <c r="FC68" i="7"/>
  <c r="FC94" i="7"/>
  <c r="FC79" i="7"/>
  <c r="FC107" i="7"/>
  <c r="FC97" i="7"/>
  <c r="FC81" i="7"/>
  <c r="FC78" i="7"/>
  <c r="FC77" i="7"/>
  <c r="FC76" i="7"/>
  <c r="FC85" i="7"/>
  <c r="FC73" i="7"/>
  <c r="FC69" i="7"/>
  <c r="FC60" i="7"/>
  <c r="FC52" i="7"/>
  <c r="FC44" i="7"/>
  <c r="FC36" i="7"/>
  <c r="FC28" i="7"/>
  <c r="FC55" i="7"/>
  <c r="FC47" i="7"/>
  <c r="FC39" i="7"/>
  <c r="FC31" i="7"/>
  <c r="FC95" i="7"/>
  <c r="FC84" i="7"/>
  <c r="FC63" i="7"/>
  <c r="FC71" i="7"/>
  <c r="FC70" i="7"/>
  <c r="FC62" i="7"/>
  <c r="FC54" i="7"/>
  <c r="FC46" i="7"/>
  <c r="FC38" i="7"/>
  <c r="FC50" i="7"/>
  <c r="FC43" i="7"/>
  <c r="FC61" i="7"/>
  <c r="FC42" i="7"/>
  <c r="FC35" i="7"/>
  <c r="FC48" i="7"/>
  <c r="FC41" i="7"/>
  <c r="FC19" i="7"/>
  <c r="FC11" i="7"/>
  <c r="FC3" i="7"/>
  <c r="FC33" i="7"/>
  <c r="FC32" i="7"/>
  <c r="FC22" i="7"/>
  <c r="FC14" i="7"/>
  <c r="FC6" i="7"/>
  <c r="FC57" i="7"/>
  <c r="FC56" i="7"/>
  <c r="FC45" i="7"/>
  <c r="FC58" i="7"/>
  <c r="FC59" i="7"/>
  <c r="FC65" i="7"/>
  <c r="FC49" i="7"/>
  <c r="FC37" i="7"/>
  <c r="FC27" i="7"/>
  <c r="FC25" i="7"/>
  <c r="FC21" i="7"/>
  <c r="FC13" i="7"/>
  <c r="FC5" i="7"/>
  <c r="FC29" i="7"/>
  <c r="FC17" i="7"/>
  <c r="FC10" i="7"/>
  <c r="FC26" i="7"/>
  <c r="FC9" i="7"/>
  <c r="FC2" i="7"/>
  <c r="FC51" i="7"/>
  <c r="FC20" i="7"/>
  <c r="FC40" i="7"/>
  <c r="FC16" i="7"/>
  <c r="FC12" i="7"/>
  <c r="FC30" i="7"/>
  <c r="FC23" i="7"/>
  <c r="FC8" i="7"/>
  <c r="FC4" i="7"/>
  <c r="FC15" i="7"/>
  <c r="FC53" i="7"/>
  <c r="FC24" i="7"/>
  <c r="FC7" i="7"/>
  <c r="FK52" i="9"/>
  <c r="FK1" i="9"/>
  <c r="FK52" i="8"/>
  <c r="FK148" i="7"/>
  <c r="FK140" i="7"/>
  <c r="FK143" i="7"/>
  <c r="FK142" i="7"/>
  <c r="FK1" i="8"/>
  <c r="FK137" i="7"/>
  <c r="FK134" i="7"/>
  <c r="FK126" i="7"/>
  <c r="FK118" i="7"/>
  <c r="FK138" i="7"/>
  <c r="FK129" i="7"/>
  <c r="FK121" i="7"/>
  <c r="FK128" i="7"/>
  <c r="FK119" i="7"/>
  <c r="FK116" i="7"/>
  <c r="FK108" i="7"/>
  <c r="FK100" i="7"/>
  <c r="FK141" i="7"/>
  <c r="FK133" i="7"/>
  <c r="FK125" i="7"/>
  <c r="FK111" i="7"/>
  <c r="FK103" i="7"/>
  <c r="FK144" i="7"/>
  <c r="FK136" i="7"/>
  <c r="FK135" i="7"/>
  <c r="FK124" i="7"/>
  <c r="FK120" i="7"/>
  <c r="FK110" i="7"/>
  <c r="FK132" i="7"/>
  <c r="FK130" i="7"/>
  <c r="FK122" i="7"/>
  <c r="FK113" i="7"/>
  <c r="FK109" i="7"/>
  <c r="FK96" i="7"/>
  <c r="FK88" i="7"/>
  <c r="FK131" i="7"/>
  <c r="FK105" i="7"/>
  <c r="FK99" i="7"/>
  <c r="FK91" i="7"/>
  <c r="FK123" i="7"/>
  <c r="FK117" i="7"/>
  <c r="FK127" i="7"/>
  <c r="FK139" i="7"/>
  <c r="FK106" i="7"/>
  <c r="FK98" i="7"/>
  <c r="FK90" i="7"/>
  <c r="FK101" i="7"/>
  <c r="FK97" i="7"/>
  <c r="FK86" i="7"/>
  <c r="FK80" i="7"/>
  <c r="FK72" i="7"/>
  <c r="FK64" i="7"/>
  <c r="FK114" i="7"/>
  <c r="FK93" i="7"/>
  <c r="FK89" i="7"/>
  <c r="FK83" i="7"/>
  <c r="FK75" i="7"/>
  <c r="FK67" i="7"/>
  <c r="FK115" i="7"/>
  <c r="FK94" i="7"/>
  <c r="FK82" i="7"/>
  <c r="FK74" i="7"/>
  <c r="FK66" i="7"/>
  <c r="FK95" i="7"/>
  <c r="FK77" i="7"/>
  <c r="FK73" i="7"/>
  <c r="FK107" i="7"/>
  <c r="FK102" i="7"/>
  <c r="FK85" i="7"/>
  <c r="FK84" i="7"/>
  <c r="FK69" i="7"/>
  <c r="FK65" i="7"/>
  <c r="FK79" i="7"/>
  <c r="FK104" i="7"/>
  <c r="FK81" i="7"/>
  <c r="FK60" i="7"/>
  <c r="FK52" i="7"/>
  <c r="FK44" i="7"/>
  <c r="FK36" i="7"/>
  <c r="FK28" i="7"/>
  <c r="FK55" i="7"/>
  <c r="FK47" i="7"/>
  <c r="FK39" i="7"/>
  <c r="FK31" i="7"/>
  <c r="FK78" i="7"/>
  <c r="FK71" i="7"/>
  <c r="FK112" i="7"/>
  <c r="FK92" i="7"/>
  <c r="FK70" i="7"/>
  <c r="FK63" i="7"/>
  <c r="FK87" i="7"/>
  <c r="FK76" i="7"/>
  <c r="FK68" i="7"/>
  <c r="FK62" i="7"/>
  <c r="FK54" i="7"/>
  <c r="FK46" i="7"/>
  <c r="FK38" i="7"/>
  <c r="FK48" i="7"/>
  <c r="FK59" i="7"/>
  <c r="FK40" i="7"/>
  <c r="FK57" i="7"/>
  <c r="FK53" i="7"/>
  <c r="FK34" i="7"/>
  <c r="FK27" i="7"/>
  <c r="FK24" i="7"/>
  <c r="FK19" i="7"/>
  <c r="FK11" i="7"/>
  <c r="FK3" i="7"/>
  <c r="FK35" i="7"/>
  <c r="FK22" i="7"/>
  <c r="FK14" i="7"/>
  <c r="FK6" i="7"/>
  <c r="FK50" i="7"/>
  <c r="FK49" i="7"/>
  <c r="FK37" i="7"/>
  <c r="FK61" i="7"/>
  <c r="FK51" i="7"/>
  <c r="FK42" i="7"/>
  <c r="FK41" i="7"/>
  <c r="FK43" i="7"/>
  <c r="FK21" i="7"/>
  <c r="FK13" i="7"/>
  <c r="FK5" i="7"/>
  <c r="FK58" i="7"/>
  <c r="FK30" i="7"/>
  <c r="FK15" i="7"/>
  <c r="FK7" i="7"/>
  <c r="FK18" i="7"/>
  <c r="FK33" i="7"/>
  <c r="FK17" i="7"/>
  <c r="FK10" i="7"/>
  <c r="FK56" i="7"/>
  <c r="FK32" i="7"/>
  <c r="FK9" i="7"/>
  <c r="FK45" i="7"/>
  <c r="FK29" i="7"/>
  <c r="FK20" i="7"/>
  <c r="FK26" i="7"/>
  <c r="FK25" i="7"/>
  <c r="FK16" i="7"/>
  <c r="FK12" i="7"/>
  <c r="FS52" i="9"/>
  <c r="FS52" i="8"/>
  <c r="FS1" i="9"/>
  <c r="FS148" i="7"/>
  <c r="FS140" i="7"/>
  <c r="FS143" i="7"/>
  <c r="FS142" i="7"/>
  <c r="FS141" i="7"/>
  <c r="FS134" i="7"/>
  <c r="FS126" i="7"/>
  <c r="FS118" i="7"/>
  <c r="FS129" i="7"/>
  <c r="FS121" i="7"/>
  <c r="FS128" i="7"/>
  <c r="FS1" i="8"/>
  <c r="FS131" i="7"/>
  <c r="FS124" i="7"/>
  <c r="FS120" i="7"/>
  <c r="FS116" i="7"/>
  <c r="FS108" i="7"/>
  <c r="FS100" i="7"/>
  <c r="FS137" i="7"/>
  <c r="FS119" i="7"/>
  <c r="FS111" i="7"/>
  <c r="FS103" i="7"/>
  <c r="FS138" i="7"/>
  <c r="FS133" i="7"/>
  <c r="FS139" i="7"/>
  <c r="FS110" i="7"/>
  <c r="FS144" i="7"/>
  <c r="FS123" i="7"/>
  <c r="FS117" i="7"/>
  <c r="FS114" i="7"/>
  <c r="FS107" i="7"/>
  <c r="FS96" i="7"/>
  <c r="FS88" i="7"/>
  <c r="FS127" i="7"/>
  <c r="FS106" i="7"/>
  <c r="FS101" i="7"/>
  <c r="FS99" i="7"/>
  <c r="FS91" i="7"/>
  <c r="FS135" i="7"/>
  <c r="FS130" i="7"/>
  <c r="FS125" i="7"/>
  <c r="FS136" i="7"/>
  <c r="FS122" i="7"/>
  <c r="FS132" i="7"/>
  <c r="FS104" i="7"/>
  <c r="FS98" i="7"/>
  <c r="FS90" i="7"/>
  <c r="FS105" i="7"/>
  <c r="FS95" i="7"/>
  <c r="FS80" i="7"/>
  <c r="FS72" i="7"/>
  <c r="FS64" i="7"/>
  <c r="FS94" i="7"/>
  <c r="FS85" i="7"/>
  <c r="FS83" i="7"/>
  <c r="FS75" i="7"/>
  <c r="FS67" i="7"/>
  <c r="FS109" i="7"/>
  <c r="FS113" i="7"/>
  <c r="FS92" i="7"/>
  <c r="FS82" i="7"/>
  <c r="FS74" i="7"/>
  <c r="FS66" i="7"/>
  <c r="FS102" i="7"/>
  <c r="FS89" i="7"/>
  <c r="FS78" i="7"/>
  <c r="FS71" i="7"/>
  <c r="FS70" i="7"/>
  <c r="FS84" i="7"/>
  <c r="FS69" i="7"/>
  <c r="FS87" i="7"/>
  <c r="FS73" i="7"/>
  <c r="FS115" i="7"/>
  <c r="FS112" i="7"/>
  <c r="FS86" i="7"/>
  <c r="FS60" i="7"/>
  <c r="FS52" i="7"/>
  <c r="FS44" i="7"/>
  <c r="FS36" i="7"/>
  <c r="FS28" i="7"/>
  <c r="FS55" i="7"/>
  <c r="FS47" i="7"/>
  <c r="FS39" i="7"/>
  <c r="FS31" i="7"/>
  <c r="FS76" i="7"/>
  <c r="FS97" i="7"/>
  <c r="FS79" i="7"/>
  <c r="FS68" i="7"/>
  <c r="FS77" i="7"/>
  <c r="FS63" i="7"/>
  <c r="FS62" i="7"/>
  <c r="FS54" i="7"/>
  <c r="FS46" i="7"/>
  <c r="FS38" i="7"/>
  <c r="FS93" i="7"/>
  <c r="FS57" i="7"/>
  <c r="FS53" i="7"/>
  <c r="FS34" i="7"/>
  <c r="FS49" i="7"/>
  <c r="FS45" i="7"/>
  <c r="FS81" i="7"/>
  <c r="FS65" i="7"/>
  <c r="FS58" i="7"/>
  <c r="FS51" i="7"/>
  <c r="FS25" i="7"/>
  <c r="FS19" i="7"/>
  <c r="FS11" i="7"/>
  <c r="FS3" i="7"/>
  <c r="FS61" i="7"/>
  <c r="FS41" i="7"/>
  <c r="FS40" i="7"/>
  <c r="FS30" i="7"/>
  <c r="FS24" i="7"/>
  <c r="FS22" i="7"/>
  <c r="FS14" i="7"/>
  <c r="FS6" i="7"/>
  <c r="FS42" i="7"/>
  <c r="FS56" i="7"/>
  <c r="FS43" i="7"/>
  <c r="FS59" i="7"/>
  <c r="FS48" i="7"/>
  <c r="FS37" i="7"/>
  <c r="FS35" i="7"/>
  <c r="FS29" i="7"/>
  <c r="FS21" i="7"/>
  <c r="FS13" i="7"/>
  <c r="FS5" i="7"/>
  <c r="FS33" i="7"/>
  <c r="FS20" i="7"/>
  <c r="FS32" i="7"/>
  <c r="FS16" i="7"/>
  <c r="FS12" i="7"/>
  <c r="FS26" i="7"/>
  <c r="FS23" i="7"/>
  <c r="FS8" i="7"/>
  <c r="FS4" i="7"/>
  <c r="FS15" i="7"/>
  <c r="FS27" i="7"/>
  <c r="FS7" i="7"/>
  <c r="FS18" i="7"/>
  <c r="FS17" i="7"/>
  <c r="FS10" i="7"/>
  <c r="GA52" i="9"/>
  <c r="GA1" i="9"/>
  <c r="GA52" i="8"/>
  <c r="GA148" i="7"/>
  <c r="GA140" i="7"/>
  <c r="GA143" i="7"/>
  <c r="GA1" i="8"/>
  <c r="GA142" i="7"/>
  <c r="GA139" i="7"/>
  <c r="GA134" i="7"/>
  <c r="GA126" i="7"/>
  <c r="GA118" i="7"/>
  <c r="GA136" i="7"/>
  <c r="GA129" i="7"/>
  <c r="GA121" i="7"/>
  <c r="GA128" i="7"/>
  <c r="GA138" i="7"/>
  <c r="GA132" i="7"/>
  <c r="GA116" i="7"/>
  <c r="GA108" i="7"/>
  <c r="GA100" i="7"/>
  <c r="GA127" i="7"/>
  <c r="GA123" i="7"/>
  <c r="GA111" i="7"/>
  <c r="GA103" i="7"/>
  <c r="GA141" i="7"/>
  <c r="GA135" i="7"/>
  <c r="GA144" i="7"/>
  <c r="GA137" i="7"/>
  <c r="GA122" i="7"/>
  <c r="GA110" i="7"/>
  <c r="GA112" i="7"/>
  <c r="GA96" i="7"/>
  <c r="GA88" i="7"/>
  <c r="GA125" i="7"/>
  <c r="GA104" i="7"/>
  <c r="GA91" i="7"/>
  <c r="GA131" i="7"/>
  <c r="GA130" i="7"/>
  <c r="GA133" i="7"/>
  <c r="GA119" i="7"/>
  <c r="GA120" i="7"/>
  <c r="GA117" i="7"/>
  <c r="GA124" i="7"/>
  <c r="GA113" i="7"/>
  <c r="GA109" i="7"/>
  <c r="GA102" i="7"/>
  <c r="GA98" i="7"/>
  <c r="GA90" i="7"/>
  <c r="GA101" i="7"/>
  <c r="GA80" i="7"/>
  <c r="GA72" i="7"/>
  <c r="GA64" i="7"/>
  <c r="GA92" i="7"/>
  <c r="GA83" i="7"/>
  <c r="GA75" i="7"/>
  <c r="GA67" i="7"/>
  <c r="GA114" i="7"/>
  <c r="GA115" i="7"/>
  <c r="GA107" i="7"/>
  <c r="GA97" i="7"/>
  <c r="GA82" i="7"/>
  <c r="GA74" i="7"/>
  <c r="GA66" i="7"/>
  <c r="GA94" i="7"/>
  <c r="GA93" i="7"/>
  <c r="GA76" i="7"/>
  <c r="GA95" i="7"/>
  <c r="GA85" i="7"/>
  <c r="GA68" i="7"/>
  <c r="GA106" i="7"/>
  <c r="GA70" i="7"/>
  <c r="GA99" i="7"/>
  <c r="GA89" i="7"/>
  <c r="GA78" i="7"/>
  <c r="GA77" i="7"/>
  <c r="GA86" i="7"/>
  <c r="GA79" i="7"/>
  <c r="GA69" i="7"/>
  <c r="GA60" i="7"/>
  <c r="GA52" i="7"/>
  <c r="GA44" i="7"/>
  <c r="GA36" i="7"/>
  <c r="GA28" i="7"/>
  <c r="GA55" i="7"/>
  <c r="GA47" i="7"/>
  <c r="GA39" i="7"/>
  <c r="GA31" i="7"/>
  <c r="GA73" i="7"/>
  <c r="GA87" i="7"/>
  <c r="GA81" i="7"/>
  <c r="GA65" i="7"/>
  <c r="GA84" i="7"/>
  <c r="GA71" i="7"/>
  <c r="GA63" i="7"/>
  <c r="GA62" i="7"/>
  <c r="GA54" i="7"/>
  <c r="GA46" i="7"/>
  <c r="GA38" i="7"/>
  <c r="GA58" i="7"/>
  <c r="GA51" i="7"/>
  <c r="GA50" i="7"/>
  <c r="GA43" i="7"/>
  <c r="GA61" i="7"/>
  <c r="GA105" i="7"/>
  <c r="GA56" i="7"/>
  <c r="GA41" i="7"/>
  <c r="GA37" i="7"/>
  <c r="GA29" i="7"/>
  <c r="GA19" i="7"/>
  <c r="GA11" i="7"/>
  <c r="GA3" i="7"/>
  <c r="GA57" i="7"/>
  <c r="GA45" i="7"/>
  <c r="GA34" i="7"/>
  <c r="GA33" i="7"/>
  <c r="GA26" i="7"/>
  <c r="GA25" i="7"/>
  <c r="GA22" i="7"/>
  <c r="GA14" i="7"/>
  <c r="GA6" i="7"/>
  <c r="GA59" i="7"/>
  <c r="GA48" i="7"/>
  <c r="GA49" i="7"/>
  <c r="GA53" i="7"/>
  <c r="GA42" i="7"/>
  <c r="GA40" i="7"/>
  <c r="GA21" i="7"/>
  <c r="GA13" i="7"/>
  <c r="GA5" i="7"/>
  <c r="GA30" i="7"/>
  <c r="GA24" i="7"/>
  <c r="GA18" i="7"/>
  <c r="GA27" i="7"/>
  <c r="GA17" i="7"/>
  <c r="GA10" i="7"/>
  <c r="GA9" i="7"/>
  <c r="GA20" i="7"/>
  <c r="GA35" i="7"/>
  <c r="GA16" i="7"/>
  <c r="GA12" i="7"/>
  <c r="GA32" i="7"/>
  <c r="GA23" i="7"/>
  <c r="GA15" i="7"/>
  <c r="GI52" i="9"/>
  <c r="GI52" i="8"/>
  <c r="GI1" i="9"/>
  <c r="GI1" i="8"/>
  <c r="GI148" i="7"/>
  <c r="GI140" i="7"/>
  <c r="GI143" i="7"/>
  <c r="GI142" i="7"/>
  <c r="GI144" i="7"/>
  <c r="GI134" i="7"/>
  <c r="GI126" i="7"/>
  <c r="GI118" i="7"/>
  <c r="GI129" i="7"/>
  <c r="GI121" i="7"/>
  <c r="GI141" i="7"/>
  <c r="GI137" i="7"/>
  <c r="GI128" i="7"/>
  <c r="GI130" i="7"/>
  <c r="GI122" i="7"/>
  <c r="GI116" i="7"/>
  <c r="GI108" i="7"/>
  <c r="GI100" i="7"/>
  <c r="GI111" i="7"/>
  <c r="GI103" i="7"/>
  <c r="GI133" i="7"/>
  <c r="GI138" i="7"/>
  <c r="GI139" i="7"/>
  <c r="GI131" i="7"/>
  <c r="GI117" i="7"/>
  <c r="GI110" i="7"/>
  <c r="GI102" i="7"/>
  <c r="GI135" i="7"/>
  <c r="GI123" i="7"/>
  <c r="GI96" i="7"/>
  <c r="GI88" i="7"/>
  <c r="GI127" i="7"/>
  <c r="GI120" i="7"/>
  <c r="GI113" i="7"/>
  <c r="GI109" i="7"/>
  <c r="GI91" i="7"/>
  <c r="GI124" i="7"/>
  <c r="GI136" i="7"/>
  <c r="GI125" i="7"/>
  <c r="GI114" i="7"/>
  <c r="GI107" i="7"/>
  <c r="GI98" i="7"/>
  <c r="GI90" i="7"/>
  <c r="GI80" i="7"/>
  <c r="GI72" i="7"/>
  <c r="GI64" i="7"/>
  <c r="GI119" i="7"/>
  <c r="GI115" i="7"/>
  <c r="GI105" i="7"/>
  <c r="GI104" i="7"/>
  <c r="GI97" i="7"/>
  <c r="GI87" i="7"/>
  <c r="GI83" i="7"/>
  <c r="GI75" i="7"/>
  <c r="GI67" i="7"/>
  <c r="GI106" i="7"/>
  <c r="GI132" i="7"/>
  <c r="GI112" i="7"/>
  <c r="GI99" i="7"/>
  <c r="GI95" i="7"/>
  <c r="GI86" i="7"/>
  <c r="GI82" i="7"/>
  <c r="GI74" i="7"/>
  <c r="GI66" i="7"/>
  <c r="GI81" i="7"/>
  <c r="GI89" i="7"/>
  <c r="GI77" i="7"/>
  <c r="GI73" i="7"/>
  <c r="GI93" i="7"/>
  <c r="GI92" i="7"/>
  <c r="GI68" i="7"/>
  <c r="GI101" i="7"/>
  <c r="GI69" i="7"/>
  <c r="GI84" i="7"/>
  <c r="GI94" i="7"/>
  <c r="GI60" i="7"/>
  <c r="GI52" i="7"/>
  <c r="GI44" i="7"/>
  <c r="GI36" i="7"/>
  <c r="GI28" i="7"/>
  <c r="GI55" i="7"/>
  <c r="GI47" i="7"/>
  <c r="GI39" i="7"/>
  <c r="GI31" i="7"/>
  <c r="GI85" i="7"/>
  <c r="GI71" i="7"/>
  <c r="GI70" i="7"/>
  <c r="GI78" i="7"/>
  <c r="GI62" i="7"/>
  <c r="GI54" i="7"/>
  <c r="GI46" i="7"/>
  <c r="GI38" i="7"/>
  <c r="GI56" i="7"/>
  <c r="GI41" i="7"/>
  <c r="GI37" i="7"/>
  <c r="GI63" i="7"/>
  <c r="GI48" i="7"/>
  <c r="GI79" i="7"/>
  <c r="GI76" i="7"/>
  <c r="GI61" i="7"/>
  <c r="GI42" i="7"/>
  <c r="GI35" i="7"/>
  <c r="GI19" i="7"/>
  <c r="GI11" i="7"/>
  <c r="GI3" i="7"/>
  <c r="GI50" i="7"/>
  <c r="GI49" i="7"/>
  <c r="GI32" i="7"/>
  <c r="GI22" i="7"/>
  <c r="GI14" i="7"/>
  <c r="GI6" i="7"/>
  <c r="GI51" i="7"/>
  <c r="GI40" i="7"/>
  <c r="GI53" i="7"/>
  <c r="GI65" i="7"/>
  <c r="GI43" i="7"/>
  <c r="GI58" i="7"/>
  <c r="GI57" i="7"/>
  <c r="GI45" i="7"/>
  <c r="GI34" i="7"/>
  <c r="GI27" i="7"/>
  <c r="GI21" i="7"/>
  <c r="GI13" i="7"/>
  <c r="GI5" i="7"/>
  <c r="GI59" i="7"/>
  <c r="GI25" i="7"/>
  <c r="GI23" i="7"/>
  <c r="GI8" i="7"/>
  <c r="GI4" i="7"/>
  <c r="GI33" i="7"/>
  <c r="GI29" i="7"/>
  <c r="GI15" i="7"/>
  <c r="GI26" i="7"/>
  <c r="GI7" i="7"/>
  <c r="GI18" i="7"/>
  <c r="GI24" i="7"/>
  <c r="GI17" i="7"/>
  <c r="GI10" i="7"/>
  <c r="GI30" i="7"/>
  <c r="GI9" i="7"/>
  <c r="GI20" i="7"/>
  <c r="GQ52" i="9"/>
  <c r="GQ1" i="9"/>
  <c r="GQ52" i="8"/>
  <c r="GQ148" i="7"/>
  <c r="GQ140" i="7"/>
  <c r="GQ143" i="7"/>
  <c r="GQ142" i="7"/>
  <c r="GQ137" i="7"/>
  <c r="GQ134" i="7"/>
  <c r="GQ126" i="7"/>
  <c r="GQ118" i="7"/>
  <c r="GQ1" i="8"/>
  <c r="GQ141" i="7"/>
  <c r="GQ138" i="7"/>
  <c r="GQ129" i="7"/>
  <c r="GQ121" i="7"/>
  <c r="GQ139" i="7"/>
  <c r="GQ128" i="7"/>
  <c r="GQ116" i="7"/>
  <c r="GQ108" i="7"/>
  <c r="GQ100" i="7"/>
  <c r="GQ135" i="7"/>
  <c r="GQ131" i="7"/>
  <c r="GQ125" i="7"/>
  <c r="GQ111" i="7"/>
  <c r="GQ103" i="7"/>
  <c r="GQ136" i="7"/>
  <c r="GQ144" i="7"/>
  <c r="GQ132" i="7"/>
  <c r="GQ124" i="7"/>
  <c r="GQ120" i="7"/>
  <c r="GQ110" i="7"/>
  <c r="GQ102" i="7"/>
  <c r="GQ133" i="7"/>
  <c r="GQ115" i="7"/>
  <c r="GQ96" i="7"/>
  <c r="GQ88" i="7"/>
  <c r="GQ122" i="7"/>
  <c r="GQ114" i="7"/>
  <c r="GQ107" i="7"/>
  <c r="GQ91" i="7"/>
  <c r="GQ130" i="7"/>
  <c r="GQ119" i="7"/>
  <c r="GQ117" i="7"/>
  <c r="GQ123" i="7"/>
  <c r="GQ127" i="7"/>
  <c r="GQ112" i="7"/>
  <c r="GQ98" i="7"/>
  <c r="GQ90" i="7"/>
  <c r="GQ86" i="7"/>
  <c r="GQ80" i="7"/>
  <c r="GQ72" i="7"/>
  <c r="GQ64" i="7"/>
  <c r="GQ109" i="7"/>
  <c r="GQ101" i="7"/>
  <c r="GQ95" i="7"/>
  <c r="GQ83" i="7"/>
  <c r="GQ75" i="7"/>
  <c r="GQ67" i="7"/>
  <c r="GQ113" i="7"/>
  <c r="GQ106" i="7"/>
  <c r="GQ104" i="7"/>
  <c r="GQ82" i="7"/>
  <c r="GQ74" i="7"/>
  <c r="GQ66" i="7"/>
  <c r="GQ79" i="7"/>
  <c r="GQ94" i="7"/>
  <c r="GQ92" i="7"/>
  <c r="GQ78" i="7"/>
  <c r="GQ71" i="7"/>
  <c r="GQ97" i="7"/>
  <c r="GQ77" i="7"/>
  <c r="GQ73" i="7"/>
  <c r="GQ85" i="7"/>
  <c r="GQ87" i="7"/>
  <c r="GQ76" i="7"/>
  <c r="GQ70" i="7"/>
  <c r="GQ63" i="7"/>
  <c r="GQ60" i="7"/>
  <c r="GQ52" i="7"/>
  <c r="GQ44" i="7"/>
  <c r="GQ36" i="7"/>
  <c r="GQ28" i="7"/>
  <c r="GQ84" i="7"/>
  <c r="GQ81" i="7"/>
  <c r="GQ55" i="7"/>
  <c r="GQ47" i="7"/>
  <c r="GQ39" i="7"/>
  <c r="GQ31" i="7"/>
  <c r="GQ89" i="7"/>
  <c r="GQ69" i="7"/>
  <c r="GQ93" i="7"/>
  <c r="GQ68" i="7"/>
  <c r="GQ65" i="7"/>
  <c r="GQ99" i="7"/>
  <c r="GQ105" i="7"/>
  <c r="GQ62" i="7"/>
  <c r="GQ54" i="7"/>
  <c r="GQ46" i="7"/>
  <c r="GQ38" i="7"/>
  <c r="GQ61" i="7"/>
  <c r="GQ42" i="7"/>
  <c r="GQ35" i="7"/>
  <c r="GQ57" i="7"/>
  <c r="GQ53" i="7"/>
  <c r="GQ34" i="7"/>
  <c r="GQ59" i="7"/>
  <c r="GQ40" i="7"/>
  <c r="GQ41" i="7"/>
  <c r="GQ27" i="7"/>
  <c r="GQ19" i="7"/>
  <c r="GQ11" i="7"/>
  <c r="GQ3" i="7"/>
  <c r="GQ22" i="7"/>
  <c r="GQ14" i="7"/>
  <c r="GQ6" i="7"/>
  <c r="GQ56" i="7"/>
  <c r="GQ45" i="7"/>
  <c r="GQ43" i="7"/>
  <c r="GQ58" i="7"/>
  <c r="GQ49" i="7"/>
  <c r="GQ48" i="7"/>
  <c r="GQ37" i="7"/>
  <c r="GQ50" i="7"/>
  <c r="GQ21" i="7"/>
  <c r="GQ13" i="7"/>
  <c r="GQ5" i="7"/>
  <c r="GQ51" i="7"/>
  <c r="GQ24" i="7"/>
  <c r="GQ9" i="7"/>
  <c r="GQ2" i="7"/>
  <c r="GQ30" i="7"/>
  <c r="GQ20" i="7"/>
  <c r="GQ16" i="7"/>
  <c r="GQ12" i="7"/>
  <c r="GQ8" i="7"/>
  <c r="GQ4" i="7"/>
  <c r="GQ23" i="7"/>
  <c r="GQ15" i="7"/>
  <c r="GQ32" i="7"/>
  <c r="GQ25" i="7"/>
  <c r="GQ33" i="7"/>
  <c r="GQ29" i="7"/>
  <c r="GQ18" i="7"/>
  <c r="GY52" i="9"/>
  <c r="GY1" i="9"/>
  <c r="GY52" i="8"/>
  <c r="GY148" i="7"/>
  <c r="GY140" i="7"/>
  <c r="GY143" i="7"/>
  <c r="GY142" i="7"/>
  <c r="GY134" i="7"/>
  <c r="GY126" i="7"/>
  <c r="GY118" i="7"/>
  <c r="GY139" i="7"/>
  <c r="GY129" i="7"/>
  <c r="GY121" i="7"/>
  <c r="GY1" i="8"/>
  <c r="GY144" i="7"/>
  <c r="GY128" i="7"/>
  <c r="GY136" i="7"/>
  <c r="GY133" i="7"/>
  <c r="GY124" i="7"/>
  <c r="GY120" i="7"/>
  <c r="GY117" i="7"/>
  <c r="GY116" i="7"/>
  <c r="GY108" i="7"/>
  <c r="GY100" i="7"/>
  <c r="GY141" i="7"/>
  <c r="GY132" i="7"/>
  <c r="GY111" i="7"/>
  <c r="GY103" i="7"/>
  <c r="GY137" i="7"/>
  <c r="GY138" i="7"/>
  <c r="GY130" i="7"/>
  <c r="GY110" i="7"/>
  <c r="GY102" i="7"/>
  <c r="GY105" i="7"/>
  <c r="GY96" i="7"/>
  <c r="GY88" i="7"/>
  <c r="GY131" i="7"/>
  <c r="GY123" i="7"/>
  <c r="GY112" i="7"/>
  <c r="GY101" i="7"/>
  <c r="GY91" i="7"/>
  <c r="GY127" i="7"/>
  <c r="GY125" i="7"/>
  <c r="GY135" i="7"/>
  <c r="GY122" i="7"/>
  <c r="GY98" i="7"/>
  <c r="GY90" i="7"/>
  <c r="GY119" i="7"/>
  <c r="GY93" i="7"/>
  <c r="GY89" i="7"/>
  <c r="GY80" i="7"/>
  <c r="GY72" i="7"/>
  <c r="GY64" i="7"/>
  <c r="GY114" i="7"/>
  <c r="GY113" i="7"/>
  <c r="GY85" i="7"/>
  <c r="GY83" i="7"/>
  <c r="GY75" i="7"/>
  <c r="GY67" i="7"/>
  <c r="GY115" i="7"/>
  <c r="GY104" i="7"/>
  <c r="GY106" i="7"/>
  <c r="GY109" i="7"/>
  <c r="GY99" i="7"/>
  <c r="GY82" i="7"/>
  <c r="GY74" i="7"/>
  <c r="GY66" i="7"/>
  <c r="GY95" i="7"/>
  <c r="GY84" i="7"/>
  <c r="GY69" i="7"/>
  <c r="GY65" i="7"/>
  <c r="GY97" i="7"/>
  <c r="GY76" i="7"/>
  <c r="GY78" i="7"/>
  <c r="GY71" i="7"/>
  <c r="GY94" i="7"/>
  <c r="GY87" i="7"/>
  <c r="GY77" i="7"/>
  <c r="GY79" i="7"/>
  <c r="GY92" i="7"/>
  <c r="GY81" i="7"/>
  <c r="GY68" i="7"/>
  <c r="GY60" i="7"/>
  <c r="GY52" i="7"/>
  <c r="GY44" i="7"/>
  <c r="GY36" i="7"/>
  <c r="GY28" i="7"/>
  <c r="GY63" i="7"/>
  <c r="GY55" i="7"/>
  <c r="GY47" i="7"/>
  <c r="GY39" i="7"/>
  <c r="GY31" i="7"/>
  <c r="GY86" i="7"/>
  <c r="GY73" i="7"/>
  <c r="GY70" i="7"/>
  <c r="GY62" i="7"/>
  <c r="GY54" i="7"/>
  <c r="GY46" i="7"/>
  <c r="GY38" i="7"/>
  <c r="GY59" i="7"/>
  <c r="GY40" i="7"/>
  <c r="GY58" i="7"/>
  <c r="GY51" i="7"/>
  <c r="GY107" i="7"/>
  <c r="GY49" i="7"/>
  <c r="GY45" i="7"/>
  <c r="GY57" i="7"/>
  <c r="GY34" i="7"/>
  <c r="GY19" i="7"/>
  <c r="GY11" i="7"/>
  <c r="GY3" i="7"/>
  <c r="GY35" i="7"/>
  <c r="GY30" i="7"/>
  <c r="GY22" i="7"/>
  <c r="GY14" i="7"/>
  <c r="GY6" i="7"/>
  <c r="GY50" i="7"/>
  <c r="GY48" i="7"/>
  <c r="GY37" i="7"/>
  <c r="GY53" i="7"/>
  <c r="GY42" i="7"/>
  <c r="GY41" i="7"/>
  <c r="GY61" i="7"/>
  <c r="GY43" i="7"/>
  <c r="GY29" i="7"/>
  <c r="GY25" i="7"/>
  <c r="GY23" i="7"/>
  <c r="GY21" i="7"/>
  <c r="GY13" i="7"/>
  <c r="GY5" i="7"/>
  <c r="GY7" i="7"/>
  <c r="GY18" i="7"/>
  <c r="GY56" i="7"/>
  <c r="GY33" i="7"/>
  <c r="GY32" i="7"/>
  <c r="GY17" i="7"/>
  <c r="GY10" i="7"/>
  <c r="GY26" i="7"/>
  <c r="GY9" i="7"/>
  <c r="GY24" i="7"/>
  <c r="GY20" i="7"/>
  <c r="GY27" i="7"/>
  <c r="GY16" i="7"/>
  <c r="GY12" i="7"/>
  <c r="GY8" i="7"/>
  <c r="GY4" i="7"/>
  <c r="HG52" i="9"/>
  <c r="HG52" i="8"/>
  <c r="HG1" i="9"/>
  <c r="HG148" i="7"/>
  <c r="HG140" i="7"/>
  <c r="HG143" i="7"/>
  <c r="HG1" i="8"/>
  <c r="HG142" i="7"/>
  <c r="HG134" i="7"/>
  <c r="HG126" i="7"/>
  <c r="HG118" i="7"/>
  <c r="HG144" i="7"/>
  <c r="HG136" i="7"/>
  <c r="HG129" i="7"/>
  <c r="HG121" i="7"/>
  <c r="HG135" i="7"/>
  <c r="HG128" i="7"/>
  <c r="HG116" i="7"/>
  <c r="HG108" i="7"/>
  <c r="HG100" i="7"/>
  <c r="HG138" i="7"/>
  <c r="HG130" i="7"/>
  <c r="HG127" i="7"/>
  <c r="HG123" i="7"/>
  <c r="HG117" i="7"/>
  <c r="HG111" i="7"/>
  <c r="HG103" i="7"/>
  <c r="HG133" i="7"/>
  <c r="HG139" i="7"/>
  <c r="HG141" i="7"/>
  <c r="HG122" i="7"/>
  <c r="HG110" i="7"/>
  <c r="HG102" i="7"/>
  <c r="HG106" i="7"/>
  <c r="HG96" i="7"/>
  <c r="HG88" i="7"/>
  <c r="HG91" i="7"/>
  <c r="HG125" i="7"/>
  <c r="HG137" i="7"/>
  <c r="HG119" i="7"/>
  <c r="HG120" i="7"/>
  <c r="HG132" i="7"/>
  <c r="HG131" i="7"/>
  <c r="HG124" i="7"/>
  <c r="HG115" i="7"/>
  <c r="HG99" i="7"/>
  <c r="HG98" i="7"/>
  <c r="HG90" i="7"/>
  <c r="HG105" i="7"/>
  <c r="HG104" i="7"/>
  <c r="HG94" i="7"/>
  <c r="HG80" i="7"/>
  <c r="HG72" i="7"/>
  <c r="HG64" i="7"/>
  <c r="HG101" i="7"/>
  <c r="HG83" i="7"/>
  <c r="HG75" i="7"/>
  <c r="HG67" i="7"/>
  <c r="HG109" i="7"/>
  <c r="HG107" i="7"/>
  <c r="HG113" i="7"/>
  <c r="HG114" i="7"/>
  <c r="HG82" i="7"/>
  <c r="HG74" i="7"/>
  <c r="HG66" i="7"/>
  <c r="HG89" i="7"/>
  <c r="HG70" i="7"/>
  <c r="HG112" i="7"/>
  <c r="HG81" i="7"/>
  <c r="HG86" i="7"/>
  <c r="HG76" i="7"/>
  <c r="HG95" i="7"/>
  <c r="HG92" i="7"/>
  <c r="HG84" i="7"/>
  <c r="HG73" i="7"/>
  <c r="HG97" i="7"/>
  <c r="HG93" i="7"/>
  <c r="HG60" i="7"/>
  <c r="HG52" i="7"/>
  <c r="HG44" i="7"/>
  <c r="HG36" i="7"/>
  <c r="HG28" i="7"/>
  <c r="HG79" i="7"/>
  <c r="HG55" i="7"/>
  <c r="HG47" i="7"/>
  <c r="HG39" i="7"/>
  <c r="HG31" i="7"/>
  <c r="HG71" i="7"/>
  <c r="HG77" i="7"/>
  <c r="HG63" i="7"/>
  <c r="HG65" i="7"/>
  <c r="HG85" i="7"/>
  <c r="HG69" i="7"/>
  <c r="HG87" i="7"/>
  <c r="HG78" i="7"/>
  <c r="HG68" i="7"/>
  <c r="HG62" i="7"/>
  <c r="HG54" i="7"/>
  <c r="HG46" i="7"/>
  <c r="HG38" i="7"/>
  <c r="HG49" i="7"/>
  <c r="HG45" i="7"/>
  <c r="HG56" i="7"/>
  <c r="HG41" i="7"/>
  <c r="HG37" i="7"/>
  <c r="HG50" i="7"/>
  <c r="HG43" i="7"/>
  <c r="HG29" i="7"/>
  <c r="HG25" i="7"/>
  <c r="HG19" i="7"/>
  <c r="HG11" i="7"/>
  <c r="HG3" i="7"/>
  <c r="HG51" i="7"/>
  <c r="HG40" i="7"/>
  <c r="HG26" i="7"/>
  <c r="HG22" i="7"/>
  <c r="HG14" i="7"/>
  <c r="HG6" i="7"/>
  <c r="HG53" i="7"/>
  <c r="HG42" i="7"/>
  <c r="HG61" i="7"/>
  <c r="HG58" i="7"/>
  <c r="HG57" i="7"/>
  <c r="HG59" i="7"/>
  <c r="HG48" i="7"/>
  <c r="HG35" i="7"/>
  <c r="HG24" i="7"/>
  <c r="HG21" i="7"/>
  <c r="HG13" i="7"/>
  <c r="HG5" i="7"/>
  <c r="HG16" i="7"/>
  <c r="HG12" i="7"/>
  <c r="HG30" i="7"/>
  <c r="HG8" i="7"/>
  <c r="HG4" i="7"/>
  <c r="HG27" i="7"/>
  <c r="HG15" i="7"/>
  <c r="HG34" i="7"/>
  <c r="HG23" i="7"/>
  <c r="HG7" i="7"/>
  <c r="HG18" i="7"/>
  <c r="HG17" i="7"/>
  <c r="HG10" i="7"/>
  <c r="HG32" i="7"/>
  <c r="HG9" i="7"/>
  <c r="HG2" i="7"/>
  <c r="HO52" i="9"/>
  <c r="HO1" i="9"/>
  <c r="HO52" i="8"/>
  <c r="HO1" i="8"/>
  <c r="HO148" i="7"/>
  <c r="HO140" i="7"/>
  <c r="HO143" i="7"/>
  <c r="HO142" i="7"/>
  <c r="HO134" i="7"/>
  <c r="HO126" i="7"/>
  <c r="HO118" i="7"/>
  <c r="HO129" i="7"/>
  <c r="HO121" i="7"/>
  <c r="HO137" i="7"/>
  <c r="HO128" i="7"/>
  <c r="HO136" i="7"/>
  <c r="HO122" i="7"/>
  <c r="HO116" i="7"/>
  <c r="HO108" i="7"/>
  <c r="HO100" i="7"/>
  <c r="HO119" i="7"/>
  <c r="HO111" i="7"/>
  <c r="HO103" i="7"/>
  <c r="HO141" i="7"/>
  <c r="HO139" i="7"/>
  <c r="HO135" i="7"/>
  <c r="HO144" i="7"/>
  <c r="HO138" i="7"/>
  <c r="HO133" i="7"/>
  <c r="HO110" i="7"/>
  <c r="HO102" i="7"/>
  <c r="HO104" i="7"/>
  <c r="HO96" i="7"/>
  <c r="HO88" i="7"/>
  <c r="HO123" i="7"/>
  <c r="HO115" i="7"/>
  <c r="HO91" i="7"/>
  <c r="HO131" i="7"/>
  <c r="HO130" i="7"/>
  <c r="HO127" i="7"/>
  <c r="HO120" i="7"/>
  <c r="HO132" i="7"/>
  <c r="HO124" i="7"/>
  <c r="HO125" i="7"/>
  <c r="HO105" i="7"/>
  <c r="HO98" i="7"/>
  <c r="HO90" i="7"/>
  <c r="HO109" i="7"/>
  <c r="HO92" i="7"/>
  <c r="HO80" i="7"/>
  <c r="HO72" i="7"/>
  <c r="HO64" i="7"/>
  <c r="HO87" i="7"/>
  <c r="HO83" i="7"/>
  <c r="HO75" i="7"/>
  <c r="HO67" i="7"/>
  <c r="HO114" i="7"/>
  <c r="HO112" i="7"/>
  <c r="HO113" i="7"/>
  <c r="HO117" i="7"/>
  <c r="HO107" i="7"/>
  <c r="HO101" i="7"/>
  <c r="HO93" i="7"/>
  <c r="HO89" i="7"/>
  <c r="HO86" i="7"/>
  <c r="HO82" i="7"/>
  <c r="HO74" i="7"/>
  <c r="HO66" i="7"/>
  <c r="HO94" i="7"/>
  <c r="HO68" i="7"/>
  <c r="HO95" i="7"/>
  <c r="HO79" i="7"/>
  <c r="HO81" i="7"/>
  <c r="HO78" i="7"/>
  <c r="HO77" i="7"/>
  <c r="HO76" i="7"/>
  <c r="HO106" i="7"/>
  <c r="HO99" i="7"/>
  <c r="HO97" i="7"/>
  <c r="HO73" i="7"/>
  <c r="HO70" i="7"/>
  <c r="HO60" i="7"/>
  <c r="HO52" i="7"/>
  <c r="HO44" i="7"/>
  <c r="HO36" i="7"/>
  <c r="HO28" i="7"/>
  <c r="HO65" i="7"/>
  <c r="HO55" i="7"/>
  <c r="HO47" i="7"/>
  <c r="HO39" i="7"/>
  <c r="HO31" i="7"/>
  <c r="HO69" i="7"/>
  <c r="HO84" i="7"/>
  <c r="HO85" i="7"/>
  <c r="HO63" i="7"/>
  <c r="HO62" i="7"/>
  <c r="HO54" i="7"/>
  <c r="HO46" i="7"/>
  <c r="HO38" i="7"/>
  <c r="HO50" i="7"/>
  <c r="HO43" i="7"/>
  <c r="HO61" i="7"/>
  <c r="HO42" i="7"/>
  <c r="HO35" i="7"/>
  <c r="HO71" i="7"/>
  <c r="HO48" i="7"/>
  <c r="HO33" i="7"/>
  <c r="HO23" i="7"/>
  <c r="HO19" i="7"/>
  <c r="HO11" i="7"/>
  <c r="HO3" i="7"/>
  <c r="HO57" i="7"/>
  <c r="HO56" i="7"/>
  <c r="HO45" i="7"/>
  <c r="HO34" i="7"/>
  <c r="HO32" i="7"/>
  <c r="HO22" i="7"/>
  <c r="HO14" i="7"/>
  <c r="HO6" i="7"/>
  <c r="HO58" i="7"/>
  <c r="HO59" i="7"/>
  <c r="HO49" i="7"/>
  <c r="HO37" i="7"/>
  <c r="HO53" i="7"/>
  <c r="HO51" i="7"/>
  <c r="HO40" i="7"/>
  <c r="HO27" i="7"/>
  <c r="HO21" i="7"/>
  <c r="HO13" i="7"/>
  <c r="HO5" i="7"/>
  <c r="HO17" i="7"/>
  <c r="HO10" i="7"/>
  <c r="HO25" i="7"/>
  <c r="HO9" i="7"/>
  <c r="HO2" i="7"/>
  <c r="HO41" i="7"/>
  <c r="HO29" i="7"/>
  <c r="HO20" i="7"/>
  <c r="HO26" i="7"/>
  <c r="HO24" i="7"/>
  <c r="HO16" i="7"/>
  <c r="HO12" i="7"/>
  <c r="HO8" i="7"/>
  <c r="HO4" i="7"/>
  <c r="HO15" i="7"/>
  <c r="HO30" i="7"/>
  <c r="HO7" i="7"/>
  <c r="HW52" i="9"/>
  <c r="HW1" i="9"/>
  <c r="HW52" i="8"/>
  <c r="HW148" i="7"/>
  <c r="HW140" i="7"/>
  <c r="HW143" i="7"/>
  <c r="HW142" i="7"/>
  <c r="HW137" i="7"/>
  <c r="HW135" i="7"/>
  <c r="HW134" i="7"/>
  <c r="HW126" i="7"/>
  <c r="HW118" i="7"/>
  <c r="HW138" i="7"/>
  <c r="HW129" i="7"/>
  <c r="HW121" i="7"/>
  <c r="HW128" i="7"/>
  <c r="HW141" i="7"/>
  <c r="HW116" i="7"/>
  <c r="HW108" i="7"/>
  <c r="HW100" i="7"/>
  <c r="HW133" i="7"/>
  <c r="HW125" i="7"/>
  <c r="HW111" i="7"/>
  <c r="HW103" i="7"/>
  <c r="HW144" i="7"/>
  <c r="HW1" i="8"/>
  <c r="HW139" i="7"/>
  <c r="HW124" i="7"/>
  <c r="HW120" i="7"/>
  <c r="HW110" i="7"/>
  <c r="HW102" i="7"/>
  <c r="HW131" i="7"/>
  <c r="HW113" i="7"/>
  <c r="HW109" i="7"/>
  <c r="HW99" i="7"/>
  <c r="HW96" i="7"/>
  <c r="HW88" i="7"/>
  <c r="HW117" i="7"/>
  <c r="HW105" i="7"/>
  <c r="HW91" i="7"/>
  <c r="HW122" i="7"/>
  <c r="HW119" i="7"/>
  <c r="HW136" i="7"/>
  <c r="HW123" i="7"/>
  <c r="HW106" i="7"/>
  <c r="HW98" i="7"/>
  <c r="HW90" i="7"/>
  <c r="HW114" i="7"/>
  <c r="HW97" i="7"/>
  <c r="HW86" i="7"/>
  <c r="HW80" i="7"/>
  <c r="HW72" i="7"/>
  <c r="HW64" i="7"/>
  <c r="HW127" i="7"/>
  <c r="HW115" i="7"/>
  <c r="HW104" i="7"/>
  <c r="HW93" i="7"/>
  <c r="HW89" i="7"/>
  <c r="HW83" i="7"/>
  <c r="HW75" i="7"/>
  <c r="HW67" i="7"/>
  <c r="HW132" i="7"/>
  <c r="HW107" i="7"/>
  <c r="HW130" i="7"/>
  <c r="HW112" i="7"/>
  <c r="HW94" i="7"/>
  <c r="HW82" i="7"/>
  <c r="HW74" i="7"/>
  <c r="HW66" i="7"/>
  <c r="HW77" i="7"/>
  <c r="HW73" i="7"/>
  <c r="HW84" i="7"/>
  <c r="HW69" i="7"/>
  <c r="HW65" i="7"/>
  <c r="HW92" i="7"/>
  <c r="HW79" i="7"/>
  <c r="HW85" i="7"/>
  <c r="HW68" i="7"/>
  <c r="HW101" i="7"/>
  <c r="HW87" i="7"/>
  <c r="HW81" i="7"/>
  <c r="HW95" i="7"/>
  <c r="HW60" i="7"/>
  <c r="HW52" i="7"/>
  <c r="HW44" i="7"/>
  <c r="HW36" i="7"/>
  <c r="HW28" i="7"/>
  <c r="HW55" i="7"/>
  <c r="HW47" i="7"/>
  <c r="HW39" i="7"/>
  <c r="HW31" i="7"/>
  <c r="HW78" i="7"/>
  <c r="HW71" i="7"/>
  <c r="HW76" i="7"/>
  <c r="HW70" i="7"/>
  <c r="HW62" i="7"/>
  <c r="HW54" i="7"/>
  <c r="HW46" i="7"/>
  <c r="HW38" i="7"/>
  <c r="HW48" i="7"/>
  <c r="HW59" i="7"/>
  <c r="HW40" i="7"/>
  <c r="HW63" i="7"/>
  <c r="HW57" i="7"/>
  <c r="HW53" i="7"/>
  <c r="HW34" i="7"/>
  <c r="HW35" i="7"/>
  <c r="HW27" i="7"/>
  <c r="HW24" i="7"/>
  <c r="HW19" i="7"/>
  <c r="HW11" i="7"/>
  <c r="HW3" i="7"/>
  <c r="HW50" i="7"/>
  <c r="HW49" i="7"/>
  <c r="HW37" i="7"/>
  <c r="HW23" i="7"/>
  <c r="HW22" i="7"/>
  <c r="HW14" i="7"/>
  <c r="HW6" i="7"/>
  <c r="HW51" i="7"/>
  <c r="HW42" i="7"/>
  <c r="HW41" i="7"/>
  <c r="HW43" i="7"/>
  <c r="HW58" i="7"/>
  <c r="HW56" i="7"/>
  <c r="HW45" i="7"/>
  <c r="HW21" i="7"/>
  <c r="HW13" i="7"/>
  <c r="HW5" i="7"/>
  <c r="HW61" i="7"/>
  <c r="HW26" i="7"/>
  <c r="HW15" i="7"/>
  <c r="HW7" i="7"/>
  <c r="HW33" i="7"/>
  <c r="HW30" i="7"/>
  <c r="HW18" i="7"/>
  <c r="HW17" i="7"/>
  <c r="HW10" i="7"/>
  <c r="HW9" i="7"/>
  <c r="HW20" i="7"/>
  <c r="HW32" i="7"/>
  <c r="HW25" i="7"/>
  <c r="HW16" i="7"/>
  <c r="HW12" i="7"/>
  <c r="IE52" i="9"/>
  <c r="IE1" i="9"/>
  <c r="IE52" i="8"/>
  <c r="IE148" i="7"/>
  <c r="IE140" i="7"/>
  <c r="IE143" i="7"/>
  <c r="IE142" i="7"/>
  <c r="IE141" i="7"/>
  <c r="IE134" i="7"/>
  <c r="IE126" i="7"/>
  <c r="IE118" i="7"/>
  <c r="IE135" i="7"/>
  <c r="IE129" i="7"/>
  <c r="IE121" i="7"/>
  <c r="IE128" i="7"/>
  <c r="IE131" i="7"/>
  <c r="IE124" i="7"/>
  <c r="IE120" i="7"/>
  <c r="IE116" i="7"/>
  <c r="IE108" i="7"/>
  <c r="IE100" i="7"/>
  <c r="IE136" i="7"/>
  <c r="IE111" i="7"/>
  <c r="IE103" i="7"/>
  <c r="IE137" i="7"/>
  <c r="IE139" i="7"/>
  <c r="IE133" i="7"/>
  <c r="IE1" i="8"/>
  <c r="IE138" i="7"/>
  <c r="IE144" i="7"/>
  <c r="IE110" i="7"/>
  <c r="IE102" i="7"/>
  <c r="IE119" i="7"/>
  <c r="IE114" i="7"/>
  <c r="IE107" i="7"/>
  <c r="IE96" i="7"/>
  <c r="IE88" i="7"/>
  <c r="IE106" i="7"/>
  <c r="IE101" i="7"/>
  <c r="IE99" i="7"/>
  <c r="IE91" i="7"/>
  <c r="IE123" i="7"/>
  <c r="IE130" i="7"/>
  <c r="IE127" i="7"/>
  <c r="IE132" i="7"/>
  <c r="IE125" i="7"/>
  <c r="IE104" i="7"/>
  <c r="IE98" i="7"/>
  <c r="IE90" i="7"/>
  <c r="IE95" i="7"/>
  <c r="IE80" i="7"/>
  <c r="IE72" i="7"/>
  <c r="IE64" i="7"/>
  <c r="IE109" i="7"/>
  <c r="IE94" i="7"/>
  <c r="IE85" i="7"/>
  <c r="IE83" i="7"/>
  <c r="IE75" i="7"/>
  <c r="IE67" i="7"/>
  <c r="IE117" i="7"/>
  <c r="IE122" i="7"/>
  <c r="IE113" i="7"/>
  <c r="IE112" i="7"/>
  <c r="IE115" i="7"/>
  <c r="IE92" i="7"/>
  <c r="IE82" i="7"/>
  <c r="IE74" i="7"/>
  <c r="IE66" i="7"/>
  <c r="IE86" i="7"/>
  <c r="IE78" i="7"/>
  <c r="IE71" i="7"/>
  <c r="IE70" i="7"/>
  <c r="IE105" i="7"/>
  <c r="IE97" i="7"/>
  <c r="IE87" i="7"/>
  <c r="IE84" i="7"/>
  <c r="IE69" i="7"/>
  <c r="IE73" i="7"/>
  <c r="IE76" i="7"/>
  <c r="IE60" i="7"/>
  <c r="IE52" i="7"/>
  <c r="IE44" i="7"/>
  <c r="IE36" i="7"/>
  <c r="IE28" i="7"/>
  <c r="IE65" i="7"/>
  <c r="IE63" i="7"/>
  <c r="IE55" i="7"/>
  <c r="IE47" i="7"/>
  <c r="IE39" i="7"/>
  <c r="IE31" i="7"/>
  <c r="IE89" i="7"/>
  <c r="IE79" i="7"/>
  <c r="IE93" i="7"/>
  <c r="IE77" i="7"/>
  <c r="IE68" i="7"/>
  <c r="IE62" i="7"/>
  <c r="IE54" i="7"/>
  <c r="IE46" i="7"/>
  <c r="IE38" i="7"/>
  <c r="IE81" i="7"/>
  <c r="IE57" i="7"/>
  <c r="IE53" i="7"/>
  <c r="IE34" i="7"/>
  <c r="IE33" i="7"/>
  <c r="IE49" i="7"/>
  <c r="IE45" i="7"/>
  <c r="IE58" i="7"/>
  <c r="IE51" i="7"/>
  <c r="IE41" i="7"/>
  <c r="IE40" i="7"/>
  <c r="IE19" i="7"/>
  <c r="IE11" i="7"/>
  <c r="IE3" i="7"/>
  <c r="IE42" i="7"/>
  <c r="IE30" i="7"/>
  <c r="IE24" i="7"/>
  <c r="IE22" i="7"/>
  <c r="IE14" i="7"/>
  <c r="IE6" i="7"/>
  <c r="IE56" i="7"/>
  <c r="IE43" i="7"/>
  <c r="IE61" i="7"/>
  <c r="IE59" i="7"/>
  <c r="IE48" i="7"/>
  <c r="IE37" i="7"/>
  <c r="IE50" i="7"/>
  <c r="IE29" i="7"/>
  <c r="IE25" i="7"/>
  <c r="IE21" i="7"/>
  <c r="IE13" i="7"/>
  <c r="IE5" i="7"/>
  <c r="IE35" i="7"/>
  <c r="IE20" i="7"/>
  <c r="IE16" i="7"/>
  <c r="IE12" i="7"/>
  <c r="IE8" i="7"/>
  <c r="IE4" i="7"/>
  <c r="IE32" i="7"/>
  <c r="IE15" i="7"/>
  <c r="IE26" i="7"/>
  <c r="IE7" i="7"/>
  <c r="IE23" i="7"/>
  <c r="IE18" i="7"/>
  <c r="IE27" i="7"/>
  <c r="IE17" i="7"/>
  <c r="IE10" i="7"/>
  <c r="IM52" i="9"/>
  <c r="IM1" i="9"/>
  <c r="IM148" i="7"/>
  <c r="IM140" i="7"/>
  <c r="IM143" i="7"/>
  <c r="IM52" i="8"/>
  <c r="IM1" i="8"/>
  <c r="IM142" i="7"/>
  <c r="IM139" i="7"/>
  <c r="IM134" i="7"/>
  <c r="IM126" i="7"/>
  <c r="IM118" i="7"/>
  <c r="IM136" i="7"/>
  <c r="IM129" i="7"/>
  <c r="IM121" i="7"/>
  <c r="IM128" i="7"/>
  <c r="IM137" i="7"/>
  <c r="IM132" i="7"/>
  <c r="IM116" i="7"/>
  <c r="IM108" i="7"/>
  <c r="IM100" i="7"/>
  <c r="IM141" i="7"/>
  <c r="IM127" i="7"/>
  <c r="IM123" i="7"/>
  <c r="IM111" i="7"/>
  <c r="IM103" i="7"/>
  <c r="IM138" i="7"/>
  <c r="IM144" i="7"/>
  <c r="IM135" i="7"/>
  <c r="IM122" i="7"/>
  <c r="IM110" i="7"/>
  <c r="IM102" i="7"/>
  <c r="IM112" i="7"/>
  <c r="IM96" i="7"/>
  <c r="IM88" i="7"/>
  <c r="IM133" i="7"/>
  <c r="IM131" i="7"/>
  <c r="IM130" i="7"/>
  <c r="IM117" i="7"/>
  <c r="IM104" i="7"/>
  <c r="IM91" i="7"/>
  <c r="IM125" i="7"/>
  <c r="IM119" i="7"/>
  <c r="IM120" i="7"/>
  <c r="IM113" i="7"/>
  <c r="IM109" i="7"/>
  <c r="IM98" i="7"/>
  <c r="IM90" i="7"/>
  <c r="IM80" i="7"/>
  <c r="IM72" i="7"/>
  <c r="IM64" i="7"/>
  <c r="IM114" i="7"/>
  <c r="IM92" i="7"/>
  <c r="IM83" i="7"/>
  <c r="IM75" i="7"/>
  <c r="IM67" i="7"/>
  <c r="IM124" i="7"/>
  <c r="IM115" i="7"/>
  <c r="IM106" i="7"/>
  <c r="IM105" i="7"/>
  <c r="IM97" i="7"/>
  <c r="IM82" i="7"/>
  <c r="IM74" i="7"/>
  <c r="IM66" i="7"/>
  <c r="IM95" i="7"/>
  <c r="IM87" i="7"/>
  <c r="IM76" i="7"/>
  <c r="IM107" i="7"/>
  <c r="IM68" i="7"/>
  <c r="IM89" i="7"/>
  <c r="IM70" i="7"/>
  <c r="IM78" i="7"/>
  <c r="IM77" i="7"/>
  <c r="IM79" i="7"/>
  <c r="IM81" i="7"/>
  <c r="IM99" i="7"/>
  <c r="IM60" i="7"/>
  <c r="IM52" i="7"/>
  <c r="IM44" i="7"/>
  <c r="IM36" i="7"/>
  <c r="IM28" i="7"/>
  <c r="IM94" i="7"/>
  <c r="IM55" i="7"/>
  <c r="IM47" i="7"/>
  <c r="IM39" i="7"/>
  <c r="IM31" i="7"/>
  <c r="IM73" i="7"/>
  <c r="IM69" i="7"/>
  <c r="IM101" i="7"/>
  <c r="IM63" i="7"/>
  <c r="IM93" i="7"/>
  <c r="IM86" i="7"/>
  <c r="IM84" i="7"/>
  <c r="IM65" i="7"/>
  <c r="IM54" i="7"/>
  <c r="IM46" i="7"/>
  <c r="IM38" i="7"/>
  <c r="IM58" i="7"/>
  <c r="IM51" i="7"/>
  <c r="IM62" i="7"/>
  <c r="IM50" i="7"/>
  <c r="IM43" i="7"/>
  <c r="IM71" i="7"/>
  <c r="IM61" i="7"/>
  <c r="IM56" i="7"/>
  <c r="IM41" i="7"/>
  <c r="IM37" i="7"/>
  <c r="IM57" i="7"/>
  <c r="IM45" i="7"/>
  <c r="IM34" i="7"/>
  <c r="IM29" i="7"/>
  <c r="IM25" i="7"/>
  <c r="IM19" i="7"/>
  <c r="IM11" i="7"/>
  <c r="IM3" i="7"/>
  <c r="IM35" i="7"/>
  <c r="IM26" i="7"/>
  <c r="IM22" i="7"/>
  <c r="IM14" i="7"/>
  <c r="IM6" i="7"/>
  <c r="IM59" i="7"/>
  <c r="IM48" i="7"/>
  <c r="IM49" i="7"/>
  <c r="IM53" i="7"/>
  <c r="IM42" i="7"/>
  <c r="IM40" i="7"/>
  <c r="IM21" i="7"/>
  <c r="IM13" i="7"/>
  <c r="IM5" i="7"/>
  <c r="IM85" i="7"/>
  <c r="IM18" i="7"/>
  <c r="IM23" i="7"/>
  <c r="IM17" i="7"/>
  <c r="IM10" i="7"/>
  <c r="IM30" i="7"/>
  <c r="IM9" i="7"/>
  <c r="IM33" i="7"/>
  <c r="IM27" i="7"/>
  <c r="IM20" i="7"/>
  <c r="IM16" i="7"/>
  <c r="IM12" i="7"/>
  <c r="IM24" i="7"/>
  <c r="IM15" i="7"/>
  <c r="IU52" i="9"/>
  <c r="IU52" i="8"/>
  <c r="IU1" i="9"/>
  <c r="IU1" i="8"/>
  <c r="IU148" i="7"/>
  <c r="IU140" i="7"/>
  <c r="IU143" i="7"/>
  <c r="IU142" i="7"/>
  <c r="IU144" i="7"/>
  <c r="IU134" i="7"/>
  <c r="IU126" i="7"/>
  <c r="IU118" i="7"/>
  <c r="IU129" i="7"/>
  <c r="IU121" i="7"/>
  <c r="IU141" i="7"/>
  <c r="IU137" i="7"/>
  <c r="IU128" i="7"/>
  <c r="IU130" i="7"/>
  <c r="IU122" i="7"/>
  <c r="IU116" i="7"/>
  <c r="IU108" i="7"/>
  <c r="IU100" i="7"/>
  <c r="IU136" i="7"/>
  <c r="IU119" i="7"/>
  <c r="IU111" i="7"/>
  <c r="IU103" i="7"/>
  <c r="IU135" i="7"/>
  <c r="IU133" i="7"/>
  <c r="IU139" i="7"/>
  <c r="IU138" i="7"/>
  <c r="IU131" i="7"/>
  <c r="IU117" i="7"/>
  <c r="IU110" i="7"/>
  <c r="IU102" i="7"/>
  <c r="IU96" i="7"/>
  <c r="IU88" i="7"/>
  <c r="IU113" i="7"/>
  <c r="IU109" i="7"/>
  <c r="IU91" i="7"/>
  <c r="IU123" i="7"/>
  <c r="IU127" i="7"/>
  <c r="IU120" i="7"/>
  <c r="IU124" i="7"/>
  <c r="IU132" i="7"/>
  <c r="IU114" i="7"/>
  <c r="IU107" i="7"/>
  <c r="IU98" i="7"/>
  <c r="IU90" i="7"/>
  <c r="IU115" i="7"/>
  <c r="IU105" i="7"/>
  <c r="IU104" i="7"/>
  <c r="IU80" i="7"/>
  <c r="IU72" i="7"/>
  <c r="IU64" i="7"/>
  <c r="IU125" i="7"/>
  <c r="IU106" i="7"/>
  <c r="IU97" i="7"/>
  <c r="IU87" i="7"/>
  <c r="IU83" i="7"/>
  <c r="IU75" i="7"/>
  <c r="IU67" i="7"/>
  <c r="IU95" i="7"/>
  <c r="IU86" i="7"/>
  <c r="IU82" i="7"/>
  <c r="IU74" i="7"/>
  <c r="IU66" i="7"/>
  <c r="IU89" i="7"/>
  <c r="IU85" i="7"/>
  <c r="IU81" i="7"/>
  <c r="IU77" i="7"/>
  <c r="IU73" i="7"/>
  <c r="IU101" i="7"/>
  <c r="IU94" i="7"/>
  <c r="IU68" i="7"/>
  <c r="IU70" i="7"/>
  <c r="IU112" i="7"/>
  <c r="IU93" i="7"/>
  <c r="IU84" i="7"/>
  <c r="IU99" i="7"/>
  <c r="IU62" i="7"/>
  <c r="IU60" i="7"/>
  <c r="IU52" i="7"/>
  <c r="IU44" i="7"/>
  <c r="IU36" i="7"/>
  <c r="IU28" i="7"/>
  <c r="IU65" i="7"/>
  <c r="IU55" i="7"/>
  <c r="IU47" i="7"/>
  <c r="IU39" i="7"/>
  <c r="IU31" i="7"/>
  <c r="IU78" i="7"/>
  <c r="IU71" i="7"/>
  <c r="IU63" i="7"/>
  <c r="IU54" i="7"/>
  <c r="IU46" i="7"/>
  <c r="IU38" i="7"/>
  <c r="IU56" i="7"/>
  <c r="IU41" i="7"/>
  <c r="IU37" i="7"/>
  <c r="IU79" i="7"/>
  <c r="IU48" i="7"/>
  <c r="IU69" i="7"/>
  <c r="IU76" i="7"/>
  <c r="IU61" i="7"/>
  <c r="IU42" i="7"/>
  <c r="IU35" i="7"/>
  <c r="IU50" i="7"/>
  <c r="IU49" i="7"/>
  <c r="IU19" i="7"/>
  <c r="IU11" i="7"/>
  <c r="IU3" i="7"/>
  <c r="IU51" i="7"/>
  <c r="IU40" i="7"/>
  <c r="IU32" i="7"/>
  <c r="IU22" i="7"/>
  <c r="IU14" i="7"/>
  <c r="IU6" i="7"/>
  <c r="IU53" i="7"/>
  <c r="IU43" i="7"/>
  <c r="IU58" i="7"/>
  <c r="IU57" i="7"/>
  <c r="IU45" i="7"/>
  <c r="IU59" i="7"/>
  <c r="IU33" i="7"/>
  <c r="IU27" i="7"/>
  <c r="IU21" i="7"/>
  <c r="IU13" i="7"/>
  <c r="IU5" i="7"/>
  <c r="IU92" i="7"/>
  <c r="IU8" i="7"/>
  <c r="IU4" i="7"/>
  <c r="IU34" i="7"/>
  <c r="IU24" i="7"/>
  <c r="IU15" i="7"/>
  <c r="IU25" i="7"/>
  <c r="IU7" i="7"/>
  <c r="IU29" i="7"/>
  <c r="IU18" i="7"/>
  <c r="IU26" i="7"/>
  <c r="IU17" i="7"/>
  <c r="IU10" i="7"/>
  <c r="IU23" i="7"/>
  <c r="IU9" i="7"/>
  <c r="IU20" i="7"/>
  <c r="JC52" i="9"/>
  <c r="JC1" i="9"/>
  <c r="JC52" i="8"/>
  <c r="JC148" i="7"/>
  <c r="JC140" i="7"/>
  <c r="JC143" i="7"/>
  <c r="JC142" i="7"/>
  <c r="JC137" i="7"/>
  <c r="JC134" i="7"/>
  <c r="JC126" i="7"/>
  <c r="JC118" i="7"/>
  <c r="JC141" i="7"/>
  <c r="JC138" i="7"/>
  <c r="JC129" i="7"/>
  <c r="JC121" i="7"/>
  <c r="JC139" i="7"/>
  <c r="JC128" i="7"/>
  <c r="JC116" i="7"/>
  <c r="JC108" i="7"/>
  <c r="JC100" i="7"/>
  <c r="JC131" i="7"/>
  <c r="JC125" i="7"/>
  <c r="JC111" i="7"/>
  <c r="JC103" i="7"/>
  <c r="JC1" i="8"/>
  <c r="JC144" i="7"/>
  <c r="JC136" i="7"/>
  <c r="JC135" i="7"/>
  <c r="JC132" i="7"/>
  <c r="JC124" i="7"/>
  <c r="JC120" i="7"/>
  <c r="JC110" i="7"/>
  <c r="JC102" i="7"/>
  <c r="JC127" i="7"/>
  <c r="JC117" i="7"/>
  <c r="JC115" i="7"/>
  <c r="JC96" i="7"/>
  <c r="JC88" i="7"/>
  <c r="JC114" i="7"/>
  <c r="JC107" i="7"/>
  <c r="JC91" i="7"/>
  <c r="JC130" i="7"/>
  <c r="JC122" i="7"/>
  <c r="JC119" i="7"/>
  <c r="JC133" i="7"/>
  <c r="JC112" i="7"/>
  <c r="JC98" i="7"/>
  <c r="JC90" i="7"/>
  <c r="JC109" i="7"/>
  <c r="JC86" i="7"/>
  <c r="JC80" i="7"/>
  <c r="JC72" i="7"/>
  <c r="JC64" i="7"/>
  <c r="JC95" i="7"/>
  <c r="JC83" i="7"/>
  <c r="JC75" i="7"/>
  <c r="JC67" i="7"/>
  <c r="JC123" i="7"/>
  <c r="JC113" i="7"/>
  <c r="JC105" i="7"/>
  <c r="JC82" i="7"/>
  <c r="JC74" i="7"/>
  <c r="JC66" i="7"/>
  <c r="JC94" i="7"/>
  <c r="JC92" i="7"/>
  <c r="JC87" i="7"/>
  <c r="JC79" i="7"/>
  <c r="JC101" i="7"/>
  <c r="JC99" i="7"/>
  <c r="JC93" i="7"/>
  <c r="JC78" i="7"/>
  <c r="JC71" i="7"/>
  <c r="JC106" i="7"/>
  <c r="JC104" i="7"/>
  <c r="JC85" i="7"/>
  <c r="JC77" i="7"/>
  <c r="JC73" i="7"/>
  <c r="JC97" i="7"/>
  <c r="JC76" i="7"/>
  <c r="JC89" i="7"/>
  <c r="JC60" i="7"/>
  <c r="JC52" i="7"/>
  <c r="JC44" i="7"/>
  <c r="JC36" i="7"/>
  <c r="JC28" i="7"/>
  <c r="JC84" i="7"/>
  <c r="JC81" i="7"/>
  <c r="JC62" i="7"/>
  <c r="JC55" i="7"/>
  <c r="JC47" i="7"/>
  <c r="JC39" i="7"/>
  <c r="JC31" i="7"/>
  <c r="JC70" i="7"/>
  <c r="JC69" i="7"/>
  <c r="JC68" i="7"/>
  <c r="JC65" i="7"/>
  <c r="JC54" i="7"/>
  <c r="JC46" i="7"/>
  <c r="JC38" i="7"/>
  <c r="JC61" i="7"/>
  <c r="JC42" i="7"/>
  <c r="JC35" i="7"/>
  <c r="JC57" i="7"/>
  <c r="JC53" i="7"/>
  <c r="JC34" i="7"/>
  <c r="JC63" i="7"/>
  <c r="JC59" i="7"/>
  <c r="JC40" i="7"/>
  <c r="JC27" i="7"/>
  <c r="JC19" i="7"/>
  <c r="JC11" i="7"/>
  <c r="JC3" i="7"/>
  <c r="JC56" i="7"/>
  <c r="JC45" i="7"/>
  <c r="JC43" i="7"/>
  <c r="JC22" i="7"/>
  <c r="JC14" i="7"/>
  <c r="JC6" i="7"/>
  <c r="JC58" i="7"/>
  <c r="JC49" i="7"/>
  <c r="JC48" i="7"/>
  <c r="JC37" i="7"/>
  <c r="JC50" i="7"/>
  <c r="JC51" i="7"/>
  <c r="JC21" i="7"/>
  <c r="JC13" i="7"/>
  <c r="JC5" i="7"/>
  <c r="JC41" i="7"/>
  <c r="JC29" i="7"/>
  <c r="JC9" i="7"/>
  <c r="JC2" i="7"/>
  <c r="JC26" i="7"/>
  <c r="JC23" i="7"/>
  <c r="JC20" i="7"/>
  <c r="JC16" i="7"/>
  <c r="JC12" i="7"/>
  <c r="JC30" i="7"/>
  <c r="JC8" i="7"/>
  <c r="JC4" i="7"/>
  <c r="JC15" i="7"/>
  <c r="JC24" i="7"/>
  <c r="JC33" i="7"/>
  <c r="JC18" i="7"/>
  <c r="JK52" i="9"/>
  <c r="JK1" i="9"/>
  <c r="JK52" i="8"/>
  <c r="JK148" i="7"/>
  <c r="JK140" i="7"/>
  <c r="JK143" i="7"/>
  <c r="JK142" i="7"/>
  <c r="JK1" i="8"/>
  <c r="JK134" i="7"/>
  <c r="JK126" i="7"/>
  <c r="JK118" i="7"/>
  <c r="JK139" i="7"/>
  <c r="JK129" i="7"/>
  <c r="JK121" i="7"/>
  <c r="JK144" i="7"/>
  <c r="JK128" i="7"/>
  <c r="JK141" i="7"/>
  <c r="JK133" i="7"/>
  <c r="JK124" i="7"/>
  <c r="JK120" i="7"/>
  <c r="JK117" i="7"/>
  <c r="JK116" i="7"/>
  <c r="JK108" i="7"/>
  <c r="JK100" i="7"/>
  <c r="JK132" i="7"/>
  <c r="JK111" i="7"/>
  <c r="JK103" i="7"/>
  <c r="JK136" i="7"/>
  <c r="JK135" i="7"/>
  <c r="JK137" i="7"/>
  <c r="JK138" i="7"/>
  <c r="JK130" i="7"/>
  <c r="JK110" i="7"/>
  <c r="JK102" i="7"/>
  <c r="JK131" i="7"/>
  <c r="JK122" i="7"/>
  <c r="JK105" i="7"/>
  <c r="JK96" i="7"/>
  <c r="JK88" i="7"/>
  <c r="JK119" i="7"/>
  <c r="JK112" i="7"/>
  <c r="JK101" i="7"/>
  <c r="JK91" i="7"/>
  <c r="JK123" i="7"/>
  <c r="JK127" i="7"/>
  <c r="JK98" i="7"/>
  <c r="JK90" i="7"/>
  <c r="JK125" i="7"/>
  <c r="JK114" i="7"/>
  <c r="JK113" i="7"/>
  <c r="JK93" i="7"/>
  <c r="JK89" i="7"/>
  <c r="JK80" i="7"/>
  <c r="JK72" i="7"/>
  <c r="JK64" i="7"/>
  <c r="JK115" i="7"/>
  <c r="JK104" i="7"/>
  <c r="JK85" i="7"/>
  <c r="JK83" i="7"/>
  <c r="JK75" i="7"/>
  <c r="JK67" i="7"/>
  <c r="JK106" i="7"/>
  <c r="JK107" i="7"/>
  <c r="JK82" i="7"/>
  <c r="JK74" i="7"/>
  <c r="JK66" i="7"/>
  <c r="JK97" i="7"/>
  <c r="JK84" i="7"/>
  <c r="JK69" i="7"/>
  <c r="JK65" i="7"/>
  <c r="JK86" i="7"/>
  <c r="JK76" i="7"/>
  <c r="JK92" i="7"/>
  <c r="JK78" i="7"/>
  <c r="JK71" i="7"/>
  <c r="JK94" i="7"/>
  <c r="JK79" i="7"/>
  <c r="JK68" i="7"/>
  <c r="JK109" i="7"/>
  <c r="JK81" i="7"/>
  <c r="JK99" i="7"/>
  <c r="JK60" i="7"/>
  <c r="JK52" i="7"/>
  <c r="JK44" i="7"/>
  <c r="JK36" i="7"/>
  <c r="JK28" i="7"/>
  <c r="JK95" i="7"/>
  <c r="JK63" i="7"/>
  <c r="JK55" i="7"/>
  <c r="JK47" i="7"/>
  <c r="JK39" i="7"/>
  <c r="JK31" i="7"/>
  <c r="JK62" i="7"/>
  <c r="JK87" i="7"/>
  <c r="JK73" i="7"/>
  <c r="JK54" i="7"/>
  <c r="JK46" i="7"/>
  <c r="JK38" i="7"/>
  <c r="JK59" i="7"/>
  <c r="JK40" i="7"/>
  <c r="JK33" i="7"/>
  <c r="JK58" i="7"/>
  <c r="JK51" i="7"/>
  <c r="JK77" i="7"/>
  <c r="JK70" i="7"/>
  <c r="JK49" i="7"/>
  <c r="JK45" i="7"/>
  <c r="JK35" i="7"/>
  <c r="JK19" i="7"/>
  <c r="JK11" i="7"/>
  <c r="JK3" i="7"/>
  <c r="JK50" i="7"/>
  <c r="JK48" i="7"/>
  <c r="JK37" i="7"/>
  <c r="JK30" i="7"/>
  <c r="JK22" i="7"/>
  <c r="JK14" i="7"/>
  <c r="JK6" i="7"/>
  <c r="JK61" i="7"/>
  <c r="JK53" i="7"/>
  <c r="JK42" i="7"/>
  <c r="JK41" i="7"/>
  <c r="JK43" i="7"/>
  <c r="JK56" i="7"/>
  <c r="JK29" i="7"/>
  <c r="JK25" i="7"/>
  <c r="JK23" i="7"/>
  <c r="JK21" i="7"/>
  <c r="JK13" i="7"/>
  <c r="JK5" i="7"/>
  <c r="JK57" i="7"/>
  <c r="JK7" i="7"/>
  <c r="JK24" i="7"/>
  <c r="JK18" i="7"/>
  <c r="JK17" i="7"/>
  <c r="JK10" i="7"/>
  <c r="JK9" i="7"/>
  <c r="JK32" i="7"/>
  <c r="JK20" i="7"/>
  <c r="JK34" i="7"/>
  <c r="JK26" i="7"/>
  <c r="JK16" i="7"/>
  <c r="JK12" i="7"/>
  <c r="JK8" i="7"/>
  <c r="JK4" i="7"/>
  <c r="JS52" i="9"/>
  <c r="JS52" i="8"/>
  <c r="JS1" i="9"/>
  <c r="JS148" i="7"/>
  <c r="JS140" i="7"/>
  <c r="JS143" i="7"/>
  <c r="JS1" i="8"/>
  <c r="JS142" i="7"/>
  <c r="JS134" i="7"/>
  <c r="JS126" i="7"/>
  <c r="JS118" i="7"/>
  <c r="JS144" i="7"/>
  <c r="JS136" i="7"/>
  <c r="JS129" i="7"/>
  <c r="JS121" i="7"/>
  <c r="JS135" i="7"/>
  <c r="JS128" i="7"/>
  <c r="JS116" i="7"/>
  <c r="JS108" i="7"/>
  <c r="JS100" i="7"/>
  <c r="JS137" i="7"/>
  <c r="JS130" i="7"/>
  <c r="JS127" i="7"/>
  <c r="JS123" i="7"/>
  <c r="JS117" i="7"/>
  <c r="JS111" i="7"/>
  <c r="JS103" i="7"/>
  <c r="JS138" i="7"/>
  <c r="JS133" i="7"/>
  <c r="JS139" i="7"/>
  <c r="JS141" i="7"/>
  <c r="JS122" i="7"/>
  <c r="JS110" i="7"/>
  <c r="JS102" i="7"/>
  <c r="JS124" i="7"/>
  <c r="JS106" i="7"/>
  <c r="JS96" i="7"/>
  <c r="JS88" i="7"/>
  <c r="JS91" i="7"/>
  <c r="JS125" i="7"/>
  <c r="JS132" i="7"/>
  <c r="JS131" i="7"/>
  <c r="JS119" i="7"/>
  <c r="JS115" i="7"/>
  <c r="JS98" i="7"/>
  <c r="JS90" i="7"/>
  <c r="JS94" i="7"/>
  <c r="JS80" i="7"/>
  <c r="JS72" i="7"/>
  <c r="JS64" i="7"/>
  <c r="JS109" i="7"/>
  <c r="JS107" i="7"/>
  <c r="JS83" i="7"/>
  <c r="JS75" i="7"/>
  <c r="JS67" i="7"/>
  <c r="JS120" i="7"/>
  <c r="JS113" i="7"/>
  <c r="JS112" i="7"/>
  <c r="JS114" i="7"/>
  <c r="JS82" i="7"/>
  <c r="JS74" i="7"/>
  <c r="JS66" i="7"/>
  <c r="JS70" i="7"/>
  <c r="JS87" i="7"/>
  <c r="JS81" i="7"/>
  <c r="JS104" i="7"/>
  <c r="JS101" i="7"/>
  <c r="JS99" i="7"/>
  <c r="JS97" i="7"/>
  <c r="JS95" i="7"/>
  <c r="JS85" i="7"/>
  <c r="JS76" i="7"/>
  <c r="JS84" i="7"/>
  <c r="JS73" i="7"/>
  <c r="JS71" i="7"/>
  <c r="JS92" i="7"/>
  <c r="JS105" i="7"/>
  <c r="JS89" i="7"/>
  <c r="JS68" i="7"/>
  <c r="JS60" i="7"/>
  <c r="JS52" i="7"/>
  <c r="JS44" i="7"/>
  <c r="JS36" i="7"/>
  <c r="JS28" i="7"/>
  <c r="JS79" i="7"/>
  <c r="JS55" i="7"/>
  <c r="JS47" i="7"/>
  <c r="JS39" i="7"/>
  <c r="JS31" i="7"/>
  <c r="JS77" i="7"/>
  <c r="JS63" i="7"/>
  <c r="JS62" i="7"/>
  <c r="JS93" i="7"/>
  <c r="JS86" i="7"/>
  <c r="JS78" i="7"/>
  <c r="JS54" i="7"/>
  <c r="JS46" i="7"/>
  <c r="JS38" i="7"/>
  <c r="JS49" i="7"/>
  <c r="JS45" i="7"/>
  <c r="JS69" i="7"/>
  <c r="JS56" i="7"/>
  <c r="JS41" i="7"/>
  <c r="JS37" i="7"/>
  <c r="JS50" i="7"/>
  <c r="JS43" i="7"/>
  <c r="JS61" i="7"/>
  <c r="JS51" i="7"/>
  <c r="JS40" i="7"/>
  <c r="JS33" i="7"/>
  <c r="JS29" i="7"/>
  <c r="JS25" i="7"/>
  <c r="JS19" i="7"/>
  <c r="JS11" i="7"/>
  <c r="JS3" i="7"/>
  <c r="JS53" i="7"/>
  <c r="JS42" i="7"/>
  <c r="JS26" i="7"/>
  <c r="JS22" i="7"/>
  <c r="JS14" i="7"/>
  <c r="JS6" i="7"/>
  <c r="JS65" i="7"/>
  <c r="JS58" i="7"/>
  <c r="JS57" i="7"/>
  <c r="JS59" i="7"/>
  <c r="JS48" i="7"/>
  <c r="JS24" i="7"/>
  <c r="JS21" i="7"/>
  <c r="JS13" i="7"/>
  <c r="JS5" i="7"/>
  <c r="JS32" i="7"/>
  <c r="JS23" i="7"/>
  <c r="JS16" i="7"/>
  <c r="JS12" i="7"/>
  <c r="JS8" i="7"/>
  <c r="JS4" i="7"/>
  <c r="JS15" i="7"/>
  <c r="JS34" i="7"/>
  <c r="JS30" i="7"/>
  <c r="JS7" i="7"/>
  <c r="JS27" i="7"/>
  <c r="JS18" i="7"/>
  <c r="JS17" i="7"/>
  <c r="JS10" i="7"/>
  <c r="JS35" i="7"/>
  <c r="JS9" i="7"/>
  <c r="JS2" i="7"/>
  <c r="KA52" i="9"/>
  <c r="KA1" i="9"/>
  <c r="KA52" i="8"/>
  <c r="KA1" i="8"/>
  <c r="KA148" i="7"/>
  <c r="KA140" i="7"/>
  <c r="KA143" i="7"/>
  <c r="KA142" i="7"/>
  <c r="KA138" i="7"/>
  <c r="KA134" i="7"/>
  <c r="KA126" i="7"/>
  <c r="KA118" i="7"/>
  <c r="KA129" i="7"/>
  <c r="KA121" i="7"/>
  <c r="KA137" i="7"/>
  <c r="KA128" i="7"/>
  <c r="KA122" i="7"/>
  <c r="KA116" i="7"/>
  <c r="KA108" i="7"/>
  <c r="KA100" i="7"/>
  <c r="KA141" i="7"/>
  <c r="KA139" i="7"/>
  <c r="KA135" i="7"/>
  <c r="KA119" i="7"/>
  <c r="KA111" i="7"/>
  <c r="KA103" i="7"/>
  <c r="KA136" i="7"/>
  <c r="KA144" i="7"/>
  <c r="KA133" i="7"/>
  <c r="KA110" i="7"/>
  <c r="KA102" i="7"/>
  <c r="KA125" i="7"/>
  <c r="KA104" i="7"/>
  <c r="KA96" i="7"/>
  <c r="KA88" i="7"/>
  <c r="KA131" i="7"/>
  <c r="KA130" i="7"/>
  <c r="KA115" i="7"/>
  <c r="KA99" i="7"/>
  <c r="KA91" i="7"/>
  <c r="KA132" i="7"/>
  <c r="KA117" i="7"/>
  <c r="KA123" i="7"/>
  <c r="KA127" i="7"/>
  <c r="KA120" i="7"/>
  <c r="KA124" i="7"/>
  <c r="KA105" i="7"/>
  <c r="KA98" i="7"/>
  <c r="KA90" i="7"/>
  <c r="KA101" i="7"/>
  <c r="KA92" i="7"/>
  <c r="KA80" i="7"/>
  <c r="KA72" i="7"/>
  <c r="KA64" i="7"/>
  <c r="KA114" i="7"/>
  <c r="KA112" i="7"/>
  <c r="KA87" i="7"/>
  <c r="KA83" i="7"/>
  <c r="KA75" i="7"/>
  <c r="KA67" i="7"/>
  <c r="KA113" i="7"/>
  <c r="KA106" i="7"/>
  <c r="KA93" i="7"/>
  <c r="KA89" i="7"/>
  <c r="KA86" i="7"/>
  <c r="KA82" i="7"/>
  <c r="KA74" i="7"/>
  <c r="KA66" i="7"/>
  <c r="KA95" i="7"/>
  <c r="KA68" i="7"/>
  <c r="KA85" i="7"/>
  <c r="KA79" i="7"/>
  <c r="KA81" i="7"/>
  <c r="KA109" i="7"/>
  <c r="KA78" i="7"/>
  <c r="KA77" i="7"/>
  <c r="KA76" i="7"/>
  <c r="KA97" i="7"/>
  <c r="KA107" i="7"/>
  <c r="KA73" i="7"/>
  <c r="KA60" i="7"/>
  <c r="KA52" i="7"/>
  <c r="KA44" i="7"/>
  <c r="KA36" i="7"/>
  <c r="KA28" i="7"/>
  <c r="KA71" i="7"/>
  <c r="KA55" i="7"/>
  <c r="KA47" i="7"/>
  <c r="KA39" i="7"/>
  <c r="KA31" i="7"/>
  <c r="KA94" i="7"/>
  <c r="KA70" i="7"/>
  <c r="KA84" i="7"/>
  <c r="KA69" i="7"/>
  <c r="KA65" i="7"/>
  <c r="KA62" i="7"/>
  <c r="KA63" i="7"/>
  <c r="KA54" i="7"/>
  <c r="KA46" i="7"/>
  <c r="KA38" i="7"/>
  <c r="KA50" i="7"/>
  <c r="KA43" i="7"/>
  <c r="KA61" i="7"/>
  <c r="KA42" i="7"/>
  <c r="KA35" i="7"/>
  <c r="KA48" i="7"/>
  <c r="KA57" i="7"/>
  <c r="KA56" i="7"/>
  <c r="KA45" i="7"/>
  <c r="KA34" i="7"/>
  <c r="KA23" i="7"/>
  <c r="KA19" i="7"/>
  <c r="KA11" i="7"/>
  <c r="KA3" i="7"/>
  <c r="KA58" i="7"/>
  <c r="KA32" i="7"/>
  <c r="KA22" i="7"/>
  <c r="KA14" i="7"/>
  <c r="KA6" i="7"/>
  <c r="KA59" i="7"/>
  <c r="KA49" i="7"/>
  <c r="KA37" i="7"/>
  <c r="KA53" i="7"/>
  <c r="KA51" i="7"/>
  <c r="KA40" i="7"/>
  <c r="KA41" i="7"/>
  <c r="KA27" i="7"/>
  <c r="KA21" i="7"/>
  <c r="KA13" i="7"/>
  <c r="KA5" i="7"/>
  <c r="KA30" i="7"/>
  <c r="KA24" i="7"/>
  <c r="KA17" i="7"/>
  <c r="KA10" i="7"/>
  <c r="KA9" i="7"/>
  <c r="KA2" i="7"/>
  <c r="KA20" i="7"/>
  <c r="KA25" i="7"/>
  <c r="KA16" i="7"/>
  <c r="KA12" i="7"/>
  <c r="KA29" i="7"/>
  <c r="KA8" i="7"/>
  <c r="KA4" i="7"/>
  <c r="KA26" i="7"/>
  <c r="KA15" i="7"/>
  <c r="KA33" i="7"/>
  <c r="KA7" i="7"/>
  <c r="X2" i="7"/>
  <c r="AO2" i="7"/>
  <c r="BL2" i="7"/>
  <c r="CG2" i="7"/>
  <c r="CZ2" i="7"/>
  <c r="DW2" i="7"/>
  <c r="EN2" i="7"/>
  <c r="FK2" i="7"/>
  <c r="GY2" i="7"/>
  <c r="HU2" i="7"/>
  <c r="IM2" i="7"/>
  <c r="JI2" i="7"/>
  <c r="D3" i="7"/>
  <c r="X3" i="7"/>
  <c r="AS3" i="7"/>
  <c r="CG3" i="7"/>
  <c r="DC3" i="7"/>
  <c r="DU3" i="7"/>
  <c r="ER3" i="7"/>
  <c r="FI3" i="7"/>
  <c r="HE3" i="7"/>
  <c r="IF3" i="7"/>
  <c r="JF3" i="7"/>
  <c r="F4" i="7"/>
  <c r="AE4" i="7"/>
  <c r="BD4" i="7"/>
  <c r="CE4" i="7"/>
  <c r="DM4" i="7"/>
  <c r="FK4" i="7"/>
  <c r="HK4" i="7"/>
  <c r="JJ4" i="7"/>
  <c r="AI5" i="7"/>
  <c r="CJ5" i="7"/>
  <c r="EH5" i="7"/>
  <c r="GH5" i="7"/>
  <c r="F6" i="7"/>
  <c r="BG6" i="7"/>
  <c r="DE6" i="7"/>
  <c r="FE6" i="7"/>
  <c r="HD6" i="7"/>
  <c r="JB6" i="7"/>
  <c r="AD7" i="7"/>
  <c r="CB7" i="7"/>
  <c r="EB7" i="7"/>
  <c r="GA7" i="7"/>
  <c r="HY7" i="7"/>
  <c r="JZ7" i="7"/>
  <c r="AY8" i="7"/>
  <c r="CY8" i="7"/>
  <c r="EX8" i="7"/>
  <c r="IW8" i="7"/>
  <c r="AJ9" i="7"/>
  <c r="EH9" i="7"/>
  <c r="IE9" i="7"/>
  <c r="BE10" i="7"/>
  <c r="JC10" i="7"/>
  <c r="FY11" i="7"/>
  <c r="JX11" i="7"/>
  <c r="CX12" i="7"/>
  <c r="GW12" i="7"/>
  <c r="V13" i="7"/>
  <c r="DS13" i="7"/>
  <c r="HR13" i="7"/>
  <c r="AR14" i="7"/>
  <c r="EQ14" i="7"/>
  <c r="IO14" i="7"/>
  <c r="BM15" i="7"/>
  <c r="FL15" i="7"/>
  <c r="JK15" i="7"/>
  <c r="CK16" i="7"/>
  <c r="GI16" i="7"/>
  <c r="G17" i="7"/>
  <c r="DF17" i="7"/>
  <c r="HE17" i="7"/>
  <c r="AE18" i="7"/>
  <c r="EC18" i="7"/>
  <c r="AZ19" i="7"/>
  <c r="EY19" i="7"/>
  <c r="BW20" i="7"/>
  <c r="FT20" i="7"/>
  <c r="JS20" i="7"/>
  <c r="CS21" i="7"/>
  <c r="GR21" i="7"/>
  <c r="Q22" i="7"/>
  <c r="DN22" i="7"/>
  <c r="HM22" i="7"/>
  <c r="AM23" i="7"/>
  <c r="EL23" i="7"/>
  <c r="IR23" i="7"/>
  <c r="CD24" i="7"/>
  <c r="GR24" i="7"/>
  <c r="EU25" i="7"/>
  <c r="JT25" i="7"/>
  <c r="DZ26" i="7"/>
  <c r="JG26" i="7"/>
  <c r="DO27" i="7"/>
  <c r="IH28" i="7"/>
  <c r="CP29" i="7"/>
  <c r="HW29" i="7"/>
  <c r="CE30" i="7"/>
  <c r="BQ31" i="7"/>
  <c r="GX31" i="7"/>
  <c r="BH32" i="7"/>
  <c r="GO32" i="7"/>
  <c r="AV33" i="7"/>
  <c r="GK33" i="7"/>
  <c r="CQ34" i="7"/>
  <c r="BY35" i="7"/>
  <c r="BD36" i="7"/>
  <c r="AI39" i="7"/>
  <c r="GW43" i="7"/>
  <c r="CN48" i="7"/>
  <c r="JA52" i="7"/>
  <c r="BL52" i="9"/>
  <c r="BL1" i="9"/>
  <c r="BL52" i="8"/>
  <c r="BL143" i="7"/>
  <c r="BL138" i="7"/>
  <c r="BL140" i="7"/>
  <c r="BL129" i="7"/>
  <c r="BL121" i="7"/>
  <c r="BL1" i="8"/>
  <c r="BL136" i="7"/>
  <c r="BL132" i="7"/>
  <c r="BL124" i="7"/>
  <c r="BL148" i="7"/>
  <c r="BL131" i="7"/>
  <c r="BL111" i="7"/>
  <c r="BL103" i="7"/>
  <c r="BL141" i="7"/>
  <c r="BL133" i="7"/>
  <c r="BL126" i="7"/>
  <c r="BL114" i="7"/>
  <c r="BL106" i="7"/>
  <c r="BL142" i="7"/>
  <c r="BL144" i="7"/>
  <c r="BL135" i="7"/>
  <c r="BL137" i="7"/>
  <c r="BL125" i="7"/>
  <c r="BL113" i="7"/>
  <c r="BL105" i="7"/>
  <c r="BL130" i="7"/>
  <c r="BL128" i="7"/>
  <c r="BL109" i="7"/>
  <c r="BL99" i="7"/>
  <c r="BL91" i="7"/>
  <c r="BL134" i="7"/>
  <c r="BL122" i="7"/>
  <c r="BL118" i="7"/>
  <c r="BL94" i="7"/>
  <c r="BL86" i="7"/>
  <c r="BL116" i="7"/>
  <c r="BL139" i="7"/>
  <c r="BL123" i="7"/>
  <c r="BL127" i="7"/>
  <c r="BL120" i="7"/>
  <c r="BL119" i="7"/>
  <c r="BL93" i="7"/>
  <c r="BL101" i="7"/>
  <c r="BL97" i="7"/>
  <c r="BL90" i="7"/>
  <c r="BL87" i="7"/>
  <c r="BL85" i="7"/>
  <c r="BL83" i="7"/>
  <c r="BL75" i="7"/>
  <c r="BL67" i="7"/>
  <c r="BL78" i="7"/>
  <c r="BL70" i="7"/>
  <c r="BL115" i="7"/>
  <c r="BL117" i="7"/>
  <c r="BL100" i="7"/>
  <c r="BL77" i="7"/>
  <c r="BL69" i="7"/>
  <c r="BL112" i="7"/>
  <c r="BL110" i="7"/>
  <c r="BL102" i="7"/>
  <c r="BL96" i="7"/>
  <c r="BL95" i="7"/>
  <c r="BL88" i="7"/>
  <c r="BL73" i="7"/>
  <c r="BL66" i="7"/>
  <c r="BL84" i="7"/>
  <c r="BL107" i="7"/>
  <c r="BL79" i="7"/>
  <c r="BL80" i="7"/>
  <c r="BL104" i="7"/>
  <c r="BL89" i="7"/>
  <c r="BL81" i="7"/>
  <c r="BL108" i="7"/>
  <c r="BL98" i="7"/>
  <c r="BL55" i="7"/>
  <c r="BL47" i="7"/>
  <c r="BL39" i="7"/>
  <c r="BL31" i="7"/>
  <c r="BL68" i="7"/>
  <c r="BL58" i="7"/>
  <c r="BL50" i="7"/>
  <c r="BL42" i="7"/>
  <c r="BL34" i="7"/>
  <c r="BL26" i="7"/>
  <c r="BL74" i="7"/>
  <c r="BL92" i="7"/>
  <c r="BL65" i="7"/>
  <c r="BL82" i="7"/>
  <c r="BL72" i="7"/>
  <c r="BL71" i="7"/>
  <c r="BL76" i="7"/>
  <c r="BL63" i="7"/>
  <c r="BL57" i="7"/>
  <c r="BL49" i="7"/>
  <c r="BL41" i="7"/>
  <c r="BL52" i="7"/>
  <c r="BL48" i="7"/>
  <c r="BL59" i="7"/>
  <c r="BL44" i="7"/>
  <c r="BL40" i="7"/>
  <c r="BL64" i="7"/>
  <c r="BL53" i="7"/>
  <c r="BL46" i="7"/>
  <c r="BL32" i="7"/>
  <c r="BL28" i="7"/>
  <c r="BL22" i="7"/>
  <c r="BL14" i="7"/>
  <c r="BL6" i="7"/>
  <c r="BL36" i="7"/>
  <c r="BL35" i="7"/>
  <c r="BL29" i="7"/>
  <c r="BL25" i="7"/>
  <c r="BL17" i="7"/>
  <c r="BL9" i="7"/>
  <c r="BL62" i="7"/>
  <c r="BL60" i="7"/>
  <c r="BL37" i="7"/>
  <c r="BL61" i="7"/>
  <c r="BL51" i="7"/>
  <c r="BL38" i="7"/>
  <c r="BL54" i="7"/>
  <c r="BL43" i="7"/>
  <c r="BL16" i="7"/>
  <c r="BL8" i="7"/>
  <c r="BL30" i="7"/>
  <c r="BL19" i="7"/>
  <c r="BL15" i="7"/>
  <c r="BL56" i="7"/>
  <c r="BL27" i="7"/>
  <c r="BL24" i="7"/>
  <c r="BL11" i="7"/>
  <c r="BL7" i="7"/>
  <c r="BL45" i="7"/>
  <c r="BL18" i="7"/>
  <c r="BL10" i="7"/>
  <c r="BL21" i="7"/>
  <c r="BL20" i="7"/>
  <c r="BL13" i="7"/>
  <c r="BL12" i="7"/>
  <c r="BL5" i="7"/>
  <c r="FD52" i="9"/>
  <c r="FD1" i="9"/>
  <c r="FD52" i="8"/>
  <c r="FD143" i="7"/>
  <c r="FD138" i="7"/>
  <c r="FD142" i="7"/>
  <c r="FD129" i="7"/>
  <c r="FD121" i="7"/>
  <c r="FD141" i="7"/>
  <c r="FD132" i="7"/>
  <c r="FD124" i="7"/>
  <c r="FD139" i="7"/>
  <c r="FD131" i="7"/>
  <c r="FD135" i="7"/>
  <c r="FD128" i="7"/>
  <c r="FD118" i="7"/>
  <c r="FD111" i="7"/>
  <c r="FD103" i="7"/>
  <c r="FD137" i="7"/>
  <c r="FD126" i="7"/>
  <c r="FD117" i="7"/>
  <c r="FD114" i="7"/>
  <c r="FD106" i="7"/>
  <c r="FD140" i="7"/>
  <c r="FD134" i="7"/>
  <c r="FD1" i="8"/>
  <c r="FD144" i="7"/>
  <c r="FD148" i="7"/>
  <c r="FD125" i="7"/>
  <c r="FD119" i="7"/>
  <c r="FD113" i="7"/>
  <c r="FD105" i="7"/>
  <c r="FD115" i="7"/>
  <c r="FD99" i="7"/>
  <c r="FD91" i="7"/>
  <c r="FD107" i="7"/>
  <c r="FD94" i="7"/>
  <c r="FD86" i="7"/>
  <c r="FD130" i="7"/>
  <c r="FD122" i="7"/>
  <c r="FD136" i="7"/>
  <c r="FD133" i="7"/>
  <c r="FD123" i="7"/>
  <c r="FD116" i="7"/>
  <c r="FD112" i="7"/>
  <c r="FD93" i="7"/>
  <c r="FD109" i="7"/>
  <c r="FD108" i="7"/>
  <c r="FD87" i="7"/>
  <c r="FD83" i="7"/>
  <c r="FD75" i="7"/>
  <c r="FD67" i="7"/>
  <c r="FD110" i="7"/>
  <c r="FD100" i="7"/>
  <c r="FD95" i="7"/>
  <c r="FD78" i="7"/>
  <c r="FD70" i="7"/>
  <c r="FD120" i="7"/>
  <c r="FD127" i="7"/>
  <c r="FD102" i="7"/>
  <c r="FD77" i="7"/>
  <c r="FD69" i="7"/>
  <c r="FD104" i="7"/>
  <c r="FD92" i="7"/>
  <c r="FD79" i="7"/>
  <c r="FD71" i="7"/>
  <c r="FD98" i="7"/>
  <c r="FD85" i="7"/>
  <c r="FD73" i="7"/>
  <c r="FD96" i="7"/>
  <c r="FD74" i="7"/>
  <c r="FD76" i="7"/>
  <c r="FD97" i="7"/>
  <c r="FD90" i="7"/>
  <c r="FD88" i="7"/>
  <c r="FD101" i="7"/>
  <c r="FD89" i="7"/>
  <c r="FD80" i="7"/>
  <c r="FD55" i="7"/>
  <c r="FD47" i="7"/>
  <c r="FD39" i="7"/>
  <c r="FD31" i="7"/>
  <c r="FD68" i="7"/>
  <c r="FD58" i="7"/>
  <c r="FD50" i="7"/>
  <c r="FD42" i="7"/>
  <c r="FD34" i="7"/>
  <c r="FD26" i="7"/>
  <c r="FD84" i="7"/>
  <c r="FD81" i="7"/>
  <c r="FD63" i="7"/>
  <c r="FD66" i="7"/>
  <c r="FD82" i="7"/>
  <c r="FD65" i="7"/>
  <c r="FD57" i="7"/>
  <c r="FD49" i="7"/>
  <c r="FD41" i="7"/>
  <c r="FD61" i="7"/>
  <c r="FD54" i="7"/>
  <c r="FD35" i="7"/>
  <c r="FD64" i="7"/>
  <c r="FD53" i="7"/>
  <c r="FD46" i="7"/>
  <c r="FD72" i="7"/>
  <c r="FD59" i="7"/>
  <c r="FD44" i="7"/>
  <c r="FD40" i="7"/>
  <c r="FD33" i="7"/>
  <c r="FD32" i="7"/>
  <c r="FD28" i="7"/>
  <c r="FD22" i="7"/>
  <c r="FD14" i="7"/>
  <c r="FD6" i="7"/>
  <c r="FD56" i="7"/>
  <c r="FD45" i="7"/>
  <c r="FD43" i="7"/>
  <c r="FD29" i="7"/>
  <c r="FD17" i="7"/>
  <c r="FD9" i="7"/>
  <c r="FD48" i="7"/>
  <c r="FD37" i="7"/>
  <c r="FD62" i="7"/>
  <c r="FD38" i="7"/>
  <c r="FD60" i="7"/>
  <c r="FD51" i="7"/>
  <c r="FD24" i="7"/>
  <c r="FD16" i="7"/>
  <c r="FD8" i="7"/>
  <c r="FD21" i="7"/>
  <c r="FD2" i="7"/>
  <c r="FD20" i="7"/>
  <c r="FD13" i="7"/>
  <c r="FD25" i="7"/>
  <c r="FD12" i="7"/>
  <c r="FD5" i="7"/>
  <c r="FD30" i="7"/>
  <c r="FD23" i="7"/>
  <c r="FD4" i="7"/>
  <c r="FD52" i="7"/>
  <c r="FD27" i="7"/>
  <c r="FD19" i="7"/>
  <c r="FD15" i="7"/>
  <c r="FD36" i="7"/>
  <c r="FD11" i="7"/>
  <c r="FD18" i="7"/>
  <c r="FD3" i="7"/>
  <c r="HP52" i="9"/>
  <c r="HP1" i="9"/>
  <c r="HP52" i="8"/>
  <c r="HP143" i="7"/>
  <c r="HP135" i="7"/>
  <c r="HP138" i="7"/>
  <c r="HP142" i="7"/>
  <c r="HP129" i="7"/>
  <c r="HP121" i="7"/>
  <c r="HP141" i="7"/>
  <c r="HP132" i="7"/>
  <c r="HP124" i="7"/>
  <c r="HP1" i="8"/>
  <c r="HP139" i="7"/>
  <c r="HP131" i="7"/>
  <c r="HP128" i="7"/>
  <c r="HP119" i="7"/>
  <c r="HP118" i="7"/>
  <c r="HP111" i="7"/>
  <c r="HP103" i="7"/>
  <c r="HP126" i="7"/>
  <c r="HP117" i="7"/>
  <c r="HP114" i="7"/>
  <c r="HP106" i="7"/>
  <c r="HP140" i="7"/>
  <c r="HP137" i="7"/>
  <c r="HP134" i="7"/>
  <c r="HP144" i="7"/>
  <c r="HP148" i="7"/>
  <c r="HP125" i="7"/>
  <c r="HP113" i="7"/>
  <c r="HP105" i="7"/>
  <c r="HP123" i="7"/>
  <c r="HP115" i="7"/>
  <c r="HP91" i="7"/>
  <c r="HP130" i="7"/>
  <c r="HP127" i="7"/>
  <c r="HP120" i="7"/>
  <c r="HP107" i="7"/>
  <c r="HP94" i="7"/>
  <c r="HP86" i="7"/>
  <c r="HP133" i="7"/>
  <c r="HP122" i="7"/>
  <c r="HP116" i="7"/>
  <c r="HP112" i="7"/>
  <c r="HP99" i="7"/>
  <c r="HP93" i="7"/>
  <c r="HP136" i="7"/>
  <c r="HP110" i="7"/>
  <c r="HP87" i="7"/>
  <c r="HP83" i="7"/>
  <c r="HP75" i="7"/>
  <c r="HP67" i="7"/>
  <c r="HP95" i="7"/>
  <c r="HP78" i="7"/>
  <c r="HP70" i="7"/>
  <c r="HP104" i="7"/>
  <c r="HP77" i="7"/>
  <c r="HP69" i="7"/>
  <c r="HP108" i="7"/>
  <c r="HP100" i="7"/>
  <c r="HP79" i="7"/>
  <c r="HP64" i="7"/>
  <c r="HP71" i="7"/>
  <c r="HP102" i="7"/>
  <c r="HP109" i="7"/>
  <c r="HP73" i="7"/>
  <c r="HP96" i="7"/>
  <c r="HP76" i="7"/>
  <c r="HP101" i="7"/>
  <c r="HP97" i="7"/>
  <c r="HP90" i="7"/>
  <c r="HP85" i="7"/>
  <c r="HP88" i="7"/>
  <c r="HP80" i="7"/>
  <c r="HP65" i="7"/>
  <c r="HP55" i="7"/>
  <c r="HP47" i="7"/>
  <c r="HP39" i="7"/>
  <c r="HP31" i="7"/>
  <c r="HP23" i="7"/>
  <c r="HP66" i="7"/>
  <c r="HP58" i="7"/>
  <c r="HP50" i="7"/>
  <c r="HP42" i="7"/>
  <c r="HP34" i="7"/>
  <c r="HP26" i="7"/>
  <c r="HP84" i="7"/>
  <c r="HP81" i="7"/>
  <c r="HP74" i="7"/>
  <c r="HP68" i="7"/>
  <c r="HP98" i="7"/>
  <c r="HP92" i="7"/>
  <c r="HP72" i="7"/>
  <c r="HP63" i="7"/>
  <c r="HP82" i="7"/>
  <c r="HP89" i="7"/>
  <c r="HP57" i="7"/>
  <c r="HP49" i="7"/>
  <c r="HP41" i="7"/>
  <c r="HP61" i="7"/>
  <c r="HP54" i="7"/>
  <c r="HP35" i="7"/>
  <c r="HP53" i="7"/>
  <c r="HP46" i="7"/>
  <c r="HP59" i="7"/>
  <c r="HP44" i="7"/>
  <c r="HP40" i="7"/>
  <c r="HP56" i="7"/>
  <c r="HP45" i="7"/>
  <c r="HP43" i="7"/>
  <c r="HP32" i="7"/>
  <c r="HP28" i="7"/>
  <c r="HP22" i="7"/>
  <c r="HP14" i="7"/>
  <c r="HP6" i="7"/>
  <c r="HP29" i="7"/>
  <c r="HP25" i="7"/>
  <c r="HP17" i="7"/>
  <c r="HP9" i="7"/>
  <c r="HP60" i="7"/>
  <c r="HP48" i="7"/>
  <c r="HP37" i="7"/>
  <c r="HP36" i="7"/>
  <c r="HP62" i="7"/>
  <c r="HP38" i="7"/>
  <c r="HP51" i="7"/>
  <c r="HP52" i="7"/>
  <c r="HP24" i="7"/>
  <c r="HP16" i="7"/>
  <c r="HP8" i="7"/>
  <c r="HP21" i="7"/>
  <c r="HP2" i="7"/>
  <c r="HP20" i="7"/>
  <c r="HP13" i="7"/>
  <c r="HP12" i="7"/>
  <c r="HP5" i="7"/>
  <c r="HP4" i="7"/>
  <c r="HP33" i="7"/>
  <c r="HP19" i="7"/>
  <c r="HP15" i="7"/>
  <c r="HP30" i="7"/>
  <c r="HP11" i="7"/>
  <c r="HP27" i="7"/>
  <c r="HP18" i="7"/>
  <c r="HP3" i="7"/>
  <c r="Y2" i="7"/>
  <c r="AU2" i="7"/>
  <c r="BM2" i="7"/>
  <c r="CJ2" i="7"/>
  <c r="DX2" i="7"/>
  <c r="ES2" i="7"/>
  <c r="FL2" i="7"/>
  <c r="GI2" i="7"/>
  <c r="GZ2" i="7"/>
  <c r="HW2" i="7"/>
  <c r="IP2" i="7"/>
  <c r="JK2" i="7"/>
  <c r="H3" i="7"/>
  <c r="Z3" i="7"/>
  <c r="AV3" i="7"/>
  <c r="BP3" i="7"/>
  <c r="DE3" i="7"/>
  <c r="ES3" i="7"/>
  <c r="FO3" i="7"/>
  <c r="GG3" i="7"/>
  <c r="HH3" i="7"/>
  <c r="IH3" i="7"/>
  <c r="JG3" i="7"/>
  <c r="G4" i="7"/>
  <c r="AF4" i="7"/>
  <c r="BG4" i="7"/>
  <c r="DO4" i="7"/>
  <c r="FO4" i="7"/>
  <c r="HN4" i="7"/>
  <c r="JL4" i="7"/>
  <c r="CL5" i="7"/>
  <c r="EL5" i="7"/>
  <c r="GK5" i="7"/>
  <c r="II5" i="7"/>
  <c r="K6" i="7"/>
  <c r="BI6" i="7"/>
  <c r="DI6" i="7"/>
  <c r="FH6" i="7"/>
  <c r="HF6" i="7"/>
  <c r="CF7" i="7"/>
  <c r="EE7" i="7"/>
  <c r="GC7" i="7"/>
  <c r="ID7" i="7"/>
  <c r="BC8" i="7"/>
  <c r="DB8" i="7"/>
  <c r="EZ8" i="7"/>
  <c r="IY8" i="7"/>
  <c r="AU9" i="7"/>
  <c r="ET9" i="7"/>
  <c r="IS9" i="7"/>
  <c r="BS10" i="7"/>
  <c r="FQ10" i="7"/>
  <c r="JN10" i="7"/>
  <c r="CN11" i="7"/>
  <c r="M12" i="7"/>
  <c r="DK12" i="7"/>
  <c r="HH12" i="7"/>
  <c r="AH13" i="7"/>
  <c r="EG13" i="7"/>
  <c r="IF13" i="7"/>
  <c r="BE14" i="7"/>
  <c r="FB14" i="7"/>
  <c r="JA14" i="7"/>
  <c r="CA15" i="7"/>
  <c r="FZ15" i="7"/>
  <c r="JX15" i="7"/>
  <c r="GU16" i="7"/>
  <c r="U17" i="7"/>
  <c r="HR17" i="7"/>
  <c r="AP18" i="7"/>
  <c r="EO18" i="7"/>
  <c r="IN18" i="7"/>
  <c r="BN19" i="7"/>
  <c r="FL19" i="7"/>
  <c r="JI19" i="7"/>
  <c r="CI20" i="7"/>
  <c r="GH20" i="7"/>
  <c r="H21" i="7"/>
  <c r="DF21" i="7"/>
  <c r="AC22" i="7"/>
  <c r="EB22" i="7"/>
  <c r="IA22" i="7"/>
  <c r="EW23" i="7"/>
  <c r="JF23" i="7"/>
  <c r="CT24" i="7"/>
  <c r="AV25" i="7"/>
  <c r="K26" i="7"/>
  <c r="ER26" i="7"/>
  <c r="JY26" i="7"/>
  <c r="EF27" i="7"/>
  <c r="JK27" i="7"/>
  <c r="DS28" i="7"/>
  <c r="IZ28" i="7"/>
  <c r="DH29" i="7"/>
  <c r="IN29" i="7"/>
  <c r="IA30" i="7"/>
  <c r="CK31" i="7"/>
  <c r="HR31" i="7"/>
  <c r="BY32" i="7"/>
  <c r="BL33" i="7"/>
  <c r="HG33" i="7"/>
  <c r="EC34" i="7"/>
  <c r="DG35" i="7"/>
  <c r="CE36" i="7"/>
  <c r="GP39" i="7"/>
  <c r="CF44" i="7"/>
  <c r="IT48" i="7"/>
  <c r="EK53" i="7"/>
  <c r="AN52" i="9"/>
  <c r="AN1" i="9"/>
  <c r="AN52" i="8"/>
  <c r="AN143" i="7"/>
  <c r="AN1" i="8"/>
  <c r="AN138" i="7"/>
  <c r="AN129" i="7"/>
  <c r="AN121" i="7"/>
  <c r="AN139" i="7"/>
  <c r="AN132" i="7"/>
  <c r="AN124" i="7"/>
  <c r="AN144" i="7"/>
  <c r="AN136" i="7"/>
  <c r="AN131" i="7"/>
  <c r="AN133" i="7"/>
  <c r="AN125" i="7"/>
  <c r="AN111" i="7"/>
  <c r="AN103" i="7"/>
  <c r="AN137" i="7"/>
  <c r="AN122" i="7"/>
  <c r="AN118" i="7"/>
  <c r="AN114" i="7"/>
  <c r="AN106" i="7"/>
  <c r="AN141" i="7"/>
  <c r="AN140" i="7"/>
  <c r="AN142" i="7"/>
  <c r="AN135" i="7"/>
  <c r="AN148" i="7"/>
  <c r="AN134" i="7"/>
  <c r="AN130" i="7"/>
  <c r="AN113" i="7"/>
  <c r="AN105" i="7"/>
  <c r="AN127" i="7"/>
  <c r="AN120" i="7"/>
  <c r="AN99" i="7"/>
  <c r="AN91" i="7"/>
  <c r="AN116" i="7"/>
  <c r="AN112" i="7"/>
  <c r="AN102" i="7"/>
  <c r="AN94" i="7"/>
  <c r="AN86" i="7"/>
  <c r="AN119" i="7"/>
  <c r="AN128" i="7"/>
  <c r="AN126" i="7"/>
  <c r="AN117" i="7"/>
  <c r="AN110" i="7"/>
  <c r="AN101" i="7"/>
  <c r="AN93" i="7"/>
  <c r="AN83" i="7"/>
  <c r="AN75" i="7"/>
  <c r="AN67" i="7"/>
  <c r="AN78" i="7"/>
  <c r="AN70" i="7"/>
  <c r="AN115" i="7"/>
  <c r="AN108" i="7"/>
  <c r="AN107" i="7"/>
  <c r="AN98" i="7"/>
  <c r="AN89" i="7"/>
  <c r="AN85" i="7"/>
  <c r="AN77" i="7"/>
  <c r="AN69" i="7"/>
  <c r="AN123" i="7"/>
  <c r="AN87" i="7"/>
  <c r="AN84" i="7"/>
  <c r="AN65" i="7"/>
  <c r="AN96" i="7"/>
  <c r="AN95" i="7"/>
  <c r="AN80" i="7"/>
  <c r="AN76" i="7"/>
  <c r="AN104" i="7"/>
  <c r="AN88" i="7"/>
  <c r="AN71" i="7"/>
  <c r="AN66" i="7"/>
  <c r="AN109" i="7"/>
  <c r="AN79" i="7"/>
  <c r="AN97" i="7"/>
  <c r="AN74" i="7"/>
  <c r="AN55" i="7"/>
  <c r="AN47" i="7"/>
  <c r="AN39" i="7"/>
  <c r="AN31" i="7"/>
  <c r="AN64" i="7"/>
  <c r="AN58" i="7"/>
  <c r="AN50" i="7"/>
  <c r="AN42" i="7"/>
  <c r="AN34" i="7"/>
  <c r="AN26" i="7"/>
  <c r="AN82" i="7"/>
  <c r="AN68" i="7"/>
  <c r="AN100" i="7"/>
  <c r="AN63" i="7"/>
  <c r="AN72" i="7"/>
  <c r="AN92" i="7"/>
  <c r="AN73" i="7"/>
  <c r="AN57" i="7"/>
  <c r="AN49" i="7"/>
  <c r="AN41" i="7"/>
  <c r="AN59" i="7"/>
  <c r="AN44" i="7"/>
  <c r="AN40" i="7"/>
  <c r="AN51" i="7"/>
  <c r="AN36" i="7"/>
  <c r="AN62" i="7"/>
  <c r="AN90" i="7"/>
  <c r="AN45" i="7"/>
  <c r="AN38" i="7"/>
  <c r="AN56" i="7"/>
  <c r="AN22" i="7"/>
  <c r="AN14" i="7"/>
  <c r="AN6" i="7"/>
  <c r="AN17" i="7"/>
  <c r="AN9" i="7"/>
  <c r="AN61" i="7"/>
  <c r="AN46" i="7"/>
  <c r="AN60" i="7"/>
  <c r="AN48" i="7"/>
  <c r="AN37" i="7"/>
  <c r="AN81" i="7"/>
  <c r="AN53" i="7"/>
  <c r="AN52" i="7"/>
  <c r="AN30" i="7"/>
  <c r="AN25" i="7"/>
  <c r="AN16" i="7"/>
  <c r="AN8" i="7"/>
  <c r="AN29" i="7"/>
  <c r="AN11" i="7"/>
  <c r="AN7" i="7"/>
  <c r="AN18" i="7"/>
  <c r="AN3" i="7"/>
  <c r="AN10" i="7"/>
  <c r="AN33" i="7"/>
  <c r="AN21" i="7"/>
  <c r="AN27" i="7"/>
  <c r="AN20" i="7"/>
  <c r="AN13" i="7"/>
  <c r="AN12" i="7"/>
  <c r="AN54" i="7"/>
  <c r="AN28" i="7"/>
  <c r="AN23" i="7"/>
  <c r="AN4" i="7"/>
  <c r="DX52" i="9"/>
  <c r="DX1" i="9"/>
  <c r="DX52" i="8"/>
  <c r="DX143" i="7"/>
  <c r="DX138" i="7"/>
  <c r="DX140" i="7"/>
  <c r="DX129" i="7"/>
  <c r="DX121" i="7"/>
  <c r="DX132" i="7"/>
  <c r="DX124" i="7"/>
  <c r="DX148" i="7"/>
  <c r="DX131" i="7"/>
  <c r="DX141" i="7"/>
  <c r="DX137" i="7"/>
  <c r="DX111" i="7"/>
  <c r="DX103" i="7"/>
  <c r="DX142" i="7"/>
  <c r="DX133" i="7"/>
  <c r="DX126" i="7"/>
  <c r="DX114" i="7"/>
  <c r="DX106" i="7"/>
  <c r="DX144" i="7"/>
  <c r="DX136" i="7"/>
  <c r="DX135" i="7"/>
  <c r="DX1" i="8"/>
  <c r="DX139" i="7"/>
  <c r="DX125" i="7"/>
  <c r="DX113" i="7"/>
  <c r="DX105" i="7"/>
  <c r="DX109" i="7"/>
  <c r="DX99" i="7"/>
  <c r="DX91" i="7"/>
  <c r="DX119" i="7"/>
  <c r="DX94" i="7"/>
  <c r="DX86" i="7"/>
  <c r="DX117" i="7"/>
  <c r="DX116" i="7"/>
  <c r="DX122" i="7"/>
  <c r="DX123" i="7"/>
  <c r="DX128" i="7"/>
  <c r="DX127" i="7"/>
  <c r="DX120" i="7"/>
  <c r="DX118" i="7"/>
  <c r="DX93" i="7"/>
  <c r="DX100" i="7"/>
  <c r="DX97" i="7"/>
  <c r="DX90" i="7"/>
  <c r="DX87" i="7"/>
  <c r="DX85" i="7"/>
  <c r="DX83" i="7"/>
  <c r="DX75" i="7"/>
  <c r="DX67" i="7"/>
  <c r="DX115" i="7"/>
  <c r="DX104" i="7"/>
  <c r="DX78" i="7"/>
  <c r="DX70" i="7"/>
  <c r="DX130" i="7"/>
  <c r="DX134" i="7"/>
  <c r="DX108" i="7"/>
  <c r="DX107" i="7"/>
  <c r="DX112" i="7"/>
  <c r="DX110" i="7"/>
  <c r="DX77" i="7"/>
  <c r="DX69" i="7"/>
  <c r="DX101" i="7"/>
  <c r="DX73" i="7"/>
  <c r="DX66" i="7"/>
  <c r="DX98" i="7"/>
  <c r="DX84" i="7"/>
  <c r="DX65" i="7"/>
  <c r="DX92" i="7"/>
  <c r="DX89" i="7"/>
  <c r="DX79" i="7"/>
  <c r="DX96" i="7"/>
  <c r="DX80" i="7"/>
  <c r="DX68" i="7"/>
  <c r="DX81" i="7"/>
  <c r="DX82" i="7"/>
  <c r="DX95" i="7"/>
  <c r="DX88" i="7"/>
  <c r="DX55" i="7"/>
  <c r="DX47" i="7"/>
  <c r="DX39" i="7"/>
  <c r="DX31" i="7"/>
  <c r="DX58" i="7"/>
  <c r="DX50" i="7"/>
  <c r="DX42" i="7"/>
  <c r="DX34" i="7"/>
  <c r="DX26" i="7"/>
  <c r="DX74" i="7"/>
  <c r="DX102" i="7"/>
  <c r="DX76" i="7"/>
  <c r="DX63" i="7"/>
  <c r="DX57" i="7"/>
  <c r="DX49" i="7"/>
  <c r="DX41" i="7"/>
  <c r="DX52" i="7"/>
  <c r="DX48" i="7"/>
  <c r="DX59" i="7"/>
  <c r="DX44" i="7"/>
  <c r="DX40" i="7"/>
  <c r="DX72" i="7"/>
  <c r="DX53" i="7"/>
  <c r="DX46" i="7"/>
  <c r="DX71" i="7"/>
  <c r="DX36" i="7"/>
  <c r="DX35" i="7"/>
  <c r="DX32" i="7"/>
  <c r="DX28" i="7"/>
  <c r="DX22" i="7"/>
  <c r="DX14" i="7"/>
  <c r="DX6" i="7"/>
  <c r="DX60" i="7"/>
  <c r="DX37" i="7"/>
  <c r="DX29" i="7"/>
  <c r="DX25" i="7"/>
  <c r="DX17" i="7"/>
  <c r="DX9" i="7"/>
  <c r="DX51" i="7"/>
  <c r="DX38" i="7"/>
  <c r="DX54" i="7"/>
  <c r="DX43" i="7"/>
  <c r="DX62" i="7"/>
  <c r="DX56" i="7"/>
  <c r="DX45" i="7"/>
  <c r="DX16" i="7"/>
  <c r="DX8" i="7"/>
  <c r="DX64" i="7"/>
  <c r="DX61" i="7"/>
  <c r="DX19" i="7"/>
  <c r="DX15" i="7"/>
  <c r="DX11" i="7"/>
  <c r="DX7" i="7"/>
  <c r="DX30" i="7"/>
  <c r="DX18" i="7"/>
  <c r="DX33" i="7"/>
  <c r="DX27" i="7"/>
  <c r="DX10" i="7"/>
  <c r="DX21" i="7"/>
  <c r="DX20" i="7"/>
  <c r="DX13" i="7"/>
  <c r="DX24" i="7"/>
  <c r="DX12" i="7"/>
  <c r="DX5" i="7"/>
  <c r="HH52" i="9"/>
  <c r="HH1" i="9"/>
  <c r="HH52" i="8"/>
  <c r="HH143" i="7"/>
  <c r="HH135" i="7"/>
  <c r="HH138" i="7"/>
  <c r="HH144" i="7"/>
  <c r="HH136" i="7"/>
  <c r="HH129" i="7"/>
  <c r="HH121" i="7"/>
  <c r="HH140" i="7"/>
  <c r="HH132" i="7"/>
  <c r="HH124" i="7"/>
  <c r="HH141" i="7"/>
  <c r="HH131" i="7"/>
  <c r="HH134" i="7"/>
  <c r="HH130" i="7"/>
  <c r="HH127" i="7"/>
  <c r="HH123" i="7"/>
  <c r="HH117" i="7"/>
  <c r="HH111" i="7"/>
  <c r="HH103" i="7"/>
  <c r="HH148" i="7"/>
  <c r="HH120" i="7"/>
  <c r="HH114" i="7"/>
  <c r="HH106" i="7"/>
  <c r="HH133" i="7"/>
  <c r="HH1" i="8"/>
  <c r="HH139" i="7"/>
  <c r="HH137" i="7"/>
  <c r="HH119" i="7"/>
  <c r="HH113" i="7"/>
  <c r="HH105" i="7"/>
  <c r="HH110" i="7"/>
  <c r="HH91" i="7"/>
  <c r="HH125" i="7"/>
  <c r="HH109" i="7"/>
  <c r="HH102" i="7"/>
  <c r="HH100" i="7"/>
  <c r="HH94" i="7"/>
  <c r="HH86" i="7"/>
  <c r="HH142" i="7"/>
  <c r="HH122" i="7"/>
  <c r="HH116" i="7"/>
  <c r="HH128" i="7"/>
  <c r="HH126" i="7"/>
  <c r="HH118" i="7"/>
  <c r="HH107" i="7"/>
  <c r="HH93" i="7"/>
  <c r="HH101" i="7"/>
  <c r="HH98" i="7"/>
  <c r="HH83" i="7"/>
  <c r="HH75" i="7"/>
  <c r="HH67" i="7"/>
  <c r="HH99" i="7"/>
  <c r="HH97" i="7"/>
  <c r="HH90" i="7"/>
  <c r="HH88" i="7"/>
  <c r="HH78" i="7"/>
  <c r="HH70" i="7"/>
  <c r="HH108" i="7"/>
  <c r="HH112" i="7"/>
  <c r="HH95" i="7"/>
  <c r="HH87" i="7"/>
  <c r="HH77" i="7"/>
  <c r="HH69" i="7"/>
  <c r="HH104" i="7"/>
  <c r="HH81" i="7"/>
  <c r="HH74" i="7"/>
  <c r="HH85" i="7"/>
  <c r="HH73" i="7"/>
  <c r="HH66" i="7"/>
  <c r="HH115" i="7"/>
  <c r="HH72" i="7"/>
  <c r="HH68" i="7"/>
  <c r="HH92" i="7"/>
  <c r="HH84" i="7"/>
  <c r="HH82" i="7"/>
  <c r="HH71" i="7"/>
  <c r="HH89" i="7"/>
  <c r="HH96" i="7"/>
  <c r="HH79" i="7"/>
  <c r="HH76" i="7"/>
  <c r="HH55" i="7"/>
  <c r="HH47" i="7"/>
  <c r="HH39" i="7"/>
  <c r="HH31" i="7"/>
  <c r="HH23" i="7"/>
  <c r="HH58" i="7"/>
  <c r="HH50" i="7"/>
  <c r="HH42" i="7"/>
  <c r="HH34" i="7"/>
  <c r="HH26" i="7"/>
  <c r="HH63" i="7"/>
  <c r="HH80" i="7"/>
  <c r="HH65" i="7"/>
  <c r="HH64" i="7"/>
  <c r="HH57" i="7"/>
  <c r="HH49" i="7"/>
  <c r="HH41" i="7"/>
  <c r="HH62" i="7"/>
  <c r="HH60" i="7"/>
  <c r="HH56" i="7"/>
  <c r="HH37" i="7"/>
  <c r="HH52" i="7"/>
  <c r="HH48" i="7"/>
  <c r="HH33" i="7"/>
  <c r="HH61" i="7"/>
  <c r="HH54" i="7"/>
  <c r="HH35" i="7"/>
  <c r="HH51" i="7"/>
  <c r="HH40" i="7"/>
  <c r="HH38" i="7"/>
  <c r="HH22" i="7"/>
  <c r="HH14" i="7"/>
  <c r="HH6" i="7"/>
  <c r="HH53" i="7"/>
  <c r="HH17" i="7"/>
  <c r="HH9" i="7"/>
  <c r="HH44" i="7"/>
  <c r="HH43" i="7"/>
  <c r="HH45" i="7"/>
  <c r="HH59" i="7"/>
  <c r="HH46" i="7"/>
  <c r="HH36" i="7"/>
  <c r="HH32" i="7"/>
  <c r="HH28" i="7"/>
  <c r="HH16" i="7"/>
  <c r="HH8" i="7"/>
  <c r="HH30" i="7"/>
  <c r="HH4" i="7"/>
  <c r="HH27" i="7"/>
  <c r="HH19" i="7"/>
  <c r="HH15" i="7"/>
  <c r="HH11" i="7"/>
  <c r="HH7" i="7"/>
  <c r="HH18" i="7"/>
  <c r="HH10" i="7"/>
  <c r="HH25" i="7"/>
  <c r="HH21" i="7"/>
  <c r="HH29" i="7"/>
  <c r="HH20" i="7"/>
  <c r="HH13" i="7"/>
  <c r="KB52" i="9"/>
  <c r="KB1" i="9"/>
  <c r="KB52" i="8"/>
  <c r="KB143" i="7"/>
  <c r="KB135" i="7"/>
  <c r="KB138" i="7"/>
  <c r="KB1" i="8"/>
  <c r="KB142" i="7"/>
  <c r="KB129" i="7"/>
  <c r="KB121" i="7"/>
  <c r="KB141" i="7"/>
  <c r="KB132" i="7"/>
  <c r="KB124" i="7"/>
  <c r="KB139" i="7"/>
  <c r="KB131" i="7"/>
  <c r="KB128" i="7"/>
  <c r="KB119" i="7"/>
  <c r="KB118" i="7"/>
  <c r="KB111" i="7"/>
  <c r="KB103" i="7"/>
  <c r="KB140" i="7"/>
  <c r="KB136" i="7"/>
  <c r="KB126" i="7"/>
  <c r="KB117" i="7"/>
  <c r="KB114" i="7"/>
  <c r="KB106" i="7"/>
  <c r="KB144" i="7"/>
  <c r="KB134" i="7"/>
  <c r="KB148" i="7"/>
  <c r="KB137" i="7"/>
  <c r="KB125" i="7"/>
  <c r="KB113" i="7"/>
  <c r="KB105" i="7"/>
  <c r="KB130" i="7"/>
  <c r="KB122" i="7"/>
  <c r="KB115" i="7"/>
  <c r="KB99" i="7"/>
  <c r="KB91" i="7"/>
  <c r="KB107" i="7"/>
  <c r="KB94" i="7"/>
  <c r="KB86" i="7"/>
  <c r="KB133" i="7"/>
  <c r="KB123" i="7"/>
  <c r="KB127" i="7"/>
  <c r="KB120" i="7"/>
  <c r="KB116" i="7"/>
  <c r="KB112" i="7"/>
  <c r="KB93" i="7"/>
  <c r="KB87" i="7"/>
  <c r="KB83" i="7"/>
  <c r="KB75" i="7"/>
  <c r="KB67" i="7"/>
  <c r="KB95" i="7"/>
  <c r="KB78" i="7"/>
  <c r="KB70" i="7"/>
  <c r="KB104" i="7"/>
  <c r="KB109" i="7"/>
  <c r="KB108" i="7"/>
  <c r="KB77" i="7"/>
  <c r="KB69" i="7"/>
  <c r="KB85" i="7"/>
  <c r="KB79" i="7"/>
  <c r="KB64" i="7"/>
  <c r="KB97" i="7"/>
  <c r="KB96" i="7"/>
  <c r="KB71" i="7"/>
  <c r="KB110" i="7"/>
  <c r="KB102" i="7"/>
  <c r="KB89" i="7"/>
  <c r="KB73" i="7"/>
  <c r="KB100" i="7"/>
  <c r="KB65" i="7"/>
  <c r="KB101" i="7"/>
  <c r="KB90" i="7"/>
  <c r="KB81" i="7"/>
  <c r="KB80" i="7"/>
  <c r="KB76" i="7"/>
  <c r="KB55" i="7"/>
  <c r="KB47" i="7"/>
  <c r="KB39" i="7"/>
  <c r="KB31" i="7"/>
  <c r="KB23" i="7"/>
  <c r="KB72" i="7"/>
  <c r="KB58" i="7"/>
  <c r="KB50" i="7"/>
  <c r="KB42" i="7"/>
  <c r="KB34" i="7"/>
  <c r="KB26" i="7"/>
  <c r="KB92" i="7"/>
  <c r="KB84" i="7"/>
  <c r="KB74" i="7"/>
  <c r="KB62" i="7"/>
  <c r="KB88" i="7"/>
  <c r="KB63" i="7"/>
  <c r="KB82" i="7"/>
  <c r="KB68" i="7"/>
  <c r="KB98" i="7"/>
  <c r="KB57" i="7"/>
  <c r="KB49" i="7"/>
  <c r="KB41" i="7"/>
  <c r="KB66" i="7"/>
  <c r="KB61" i="7"/>
  <c r="KB54" i="7"/>
  <c r="KB35" i="7"/>
  <c r="KB53" i="7"/>
  <c r="KB46" i="7"/>
  <c r="KB59" i="7"/>
  <c r="KB44" i="7"/>
  <c r="KB40" i="7"/>
  <c r="KB32" i="7"/>
  <c r="KB28" i="7"/>
  <c r="KB22" i="7"/>
  <c r="KB14" i="7"/>
  <c r="KB6" i="7"/>
  <c r="KB29" i="7"/>
  <c r="KB25" i="7"/>
  <c r="KB17" i="7"/>
  <c r="KB9" i="7"/>
  <c r="KB48" i="7"/>
  <c r="KB37" i="7"/>
  <c r="KB36" i="7"/>
  <c r="KB38" i="7"/>
  <c r="KB51" i="7"/>
  <c r="KB52" i="7"/>
  <c r="KB60" i="7"/>
  <c r="KB24" i="7"/>
  <c r="KB16" i="7"/>
  <c r="KB8" i="7"/>
  <c r="KB27" i="7"/>
  <c r="KB21" i="7"/>
  <c r="KB2" i="7"/>
  <c r="KB20" i="7"/>
  <c r="KB13" i="7"/>
  <c r="KB12" i="7"/>
  <c r="KB5" i="7"/>
  <c r="KB43" i="7"/>
  <c r="KB4" i="7"/>
  <c r="KB19" i="7"/>
  <c r="KB15" i="7"/>
  <c r="KB33" i="7"/>
  <c r="KB11" i="7"/>
  <c r="KB56" i="7"/>
  <c r="KB18" i="7"/>
  <c r="KB3" i="7"/>
  <c r="I52" i="9"/>
  <c r="I1" i="9"/>
  <c r="I52" i="8"/>
  <c r="I1" i="8"/>
  <c r="I138" i="7"/>
  <c r="I141" i="7"/>
  <c r="I148" i="7"/>
  <c r="I140" i="7"/>
  <c r="I132" i="7"/>
  <c r="I124" i="7"/>
  <c r="I144" i="7"/>
  <c r="I136" i="7"/>
  <c r="I135" i="7"/>
  <c r="I127" i="7"/>
  <c r="I142" i="7"/>
  <c r="I137" i="7"/>
  <c r="I134" i="7"/>
  <c r="I143" i="7"/>
  <c r="I131" i="7"/>
  <c r="I122" i="7"/>
  <c r="I114" i="7"/>
  <c r="I106" i="7"/>
  <c r="I130" i="7"/>
  <c r="I117" i="7"/>
  <c r="I109" i="7"/>
  <c r="I101" i="7"/>
  <c r="I139" i="7"/>
  <c r="I128" i="7"/>
  <c r="I116" i="7"/>
  <c r="I108" i="7"/>
  <c r="I103" i="7"/>
  <c r="I102" i="7"/>
  <c r="I94" i="7"/>
  <c r="I86" i="7"/>
  <c r="I121" i="7"/>
  <c r="I110" i="7"/>
  <c r="I97" i="7"/>
  <c r="I89" i="7"/>
  <c r="I125" i="7"/>
  <c r="I119" i="7"/>
  <c r="I126" i="7"/>
  <c r="I129" i="7"/>
  <c r="I123" i="7"/>
  <c r="I120" i="7"/>
  <c r="I115" i="7"/>
  <c r="I96" i="7"/>
  <c r="I104" i="7"/>
  <c r="I100" i="7"/>
  <c r="I91" i="7"/>
  <c r="I78" i="7"/>
  <c r="I70" i="7"/>
  <c r="I105" i="7"/>
  <c r="I98" i="7"/>
  <c r="I87" i="7"/>
  <c r="I81" i="7"/>
  <c r="I73" i="7"/>
  <c r="I65" i="7"/>
  <c r="I107" i="7"/>
  <c r="I118" i="7"/>
  <c r="I113" i="7"/>
  <c r="I80" i="7"/>
  <c r="I72" i="7"/>
  <c r="I99" i="7"/>
  <c r="I82" i="7"/>
  <c r="I67" i="7"/>
  <c r="I111" i="7"/>
  <c r="I90" i="7"/>
  <c r="I74" i="7"/>
  <c r="I93" i="7"/>
  <c r="I76" i="7"/>
  <c r="I69" i="7"/>
  <c r="I133" i="7"/>
  <c r="I84" i="7"/>
  <c r="I83" i="7"/>
  <c r="I112" i="7"/>
  <c r="I95" i="7"/>
  <c r="I85" i="7"/>
  <c r="I71" i="7"/>
  <c r="I64" i="7"/>
  <c r="I58" i="7"/>
  <c r="I50" i="7"/>
  <c r="I42" i="7"/>
  <c r="I34" i="7"/>
  <c r="I26" i="7"/>
  <c r="I75" i="7"/>
  <c r="I66" i="7"/>
  <c r="I61" i="7"/>
  <c r="I53" i="7"/>
  <c r="I45" i="7"/>
  <c r="I37" i="7"/>
  <c r="I29" i="7"/>
  <c r="I92" i="7"/>
  <c r="I79" i="7"/>
  <c r="I77" i="7"/>
  <c r="I63" i="7"/>
  <c r="I60" i="7"/>
  <c r="I52" i="7"/>
  <c r="I44" i="7"/>
  <c r="I36" i="7"/>
  <c r="I88" i="7"/>
  <c r="I57" i="7"/>
  <c r="I38" i="7"/>
  <c r="I68" i="7"/>
  <c r="I56" i="7"/>
  <c r="I49" i="7"/>
  <c r="I62" i="7"/>
  <c r="I47" i="7"/>
  <c r="I43" i="7"/>
  <c r="I31" i="7"/>
  <c r="I17" i="7"/>
  <c r="I9" i="7"/>
  <c r="I51" i="7"/>
  <c r="I40" i="7"/>
  <c r="I39" i="7"/>
  <c r="I32" i="7"/>
  <c r="I28" i="7"/>
  <c r="I25" i="7"/>
  <c r="I20" i="7"/>
  <c r="I12" i="7"/>
  <c r="I4" i="7"/>
  <c r="I41" i="7"/>
  <c r="I54" i="7"/>
  <c r="I55" i="7"/>
  <c r="I59" i="7"/>
  <c r="I48" i="7"/>
  <c r="I46" i="7"/>
  <c r="I35" i="7"/>
  <c r="I27" i="7"/>
  <c r="I19" i="7"/>
  <c r="I11" i="7"/>
  <c r="I3" i="7"/>
  <c r="I5" i="7"/>
  <c r="I33" i="7"/>
  <c r="I23" i="7"/>
  <c r="I16" i="7"/>
  <c r="I30" i="7"/>
  <c r="I15" i="7"/>
  <c r="I8" i="7"/>
  <c r="I7" i="7"/>
  <c r="I22" i="7"/>
  <c r="I18" i="7"/>
  <c r="I14" i="7"/>
  <c r="I10" i="7"/>
  <c r="I21" i="7"/>
  <c r="I6" i="7"/>
  <c r="I2" i="7"/>
  <c r="DA52" i="9"/>
  <c r="DA1" i="9"/>
  <c r="DA52" i="8"/>
  <c r="DA1" i="8"/>
  <c r="DA138" i="7"/>
  <c r="DA141" i="7"/>
  <c r="DA148" i="7"/>
  <c r="DA140" i="7"/>
  <c r="DA143" i="7"/>
  <c r="DA139" i="7"/>
  <c r="DA132" i="7"/>
  <c r="DA124" i="7"/>
  <c r="DA135" i="7"/>
  <c r="DA127" i="7"/>
  <c r="DA137" i="7"/>
  <c r="DA134" i="7"/>
  <c r="DA129" i="7"/>
  <c r="DA122" i="7"/>
  <c r="DA118" i="7"/>
  <c r="DA114" i="7"/>
  <c r="DA106" i="7"/>
  <c r="DA142" i="7"/>
  <c r="DA136" i="7"/>
  <c r="DA117" i="7"/>
  <c r="DA109" i="7"/>
  <c r="DA101" i="7"/>
  <c r="DA144" i="7"/>
  <c r="DA119" i="7"/>
  <c r="DA116" i="7"/>
  <c r="DA108" i="7"/>
  <c r="DA130" i="7"/>
  <c r="DA123" i="7"/>
  <c r="DA112" i="7"/>
  <c r="DA105" i="7"/>
  <c r="DA102" i="7"/>
  <c r="DA94" i="7"/>
  <c r="DA86" i="7"/>
  <c r="DA131" i="7"/>
  <c r="DA120" i="7"/>
  <c r="DA104" i="7"/>
  <c r="DA97" i="7"/>
  <c r="DA89" i="7"/>
  <c r="DA133" i="7"/>
  <c r="DA121" i="7"/>
  <c r="DA125" i="7"/>
  <c r="DA128" i="7"/>
  <c r="DA96" i="7"/>
  <c r="DA93" i="7"/>
  <c r="DA78" i="7"/>
  <c r="DA70" i="7"/>
  <c r="DA126" i="7"/>
  <c r="DA115" i="7"/>
  <c r="DA113" i="7"/>
  <c r="DA92" i="7"/>
  <c r="DA87" i="7"/>
  <c r="DA81" i="7"/>
  <c r="DA73" i="7"/>
  <c r="DA65" i="7"/>
  <c r="DA107" i="7"/>
  <c r="DA90" i="7"/>
  <c r="DA80" i="7"/>
  <c r="DA72" i="7"/>
  <c r="DA111" i="7"/>
  <c r="DA76" i="7"/>
  <c r="DA69" i="7"/>
  <c r="DA68" i="7"/>
  <c r="DA103" i="7"/>
  <c r="DA110" i="7"/>
  <c r="DA82" i="7"/>
  <c r="DA79" i="7"/>
  <c r="DA77" i="7"/>
  <c r="DA100" i="7"/>
  <c r="DA91" i="7"/>
  <c r="DA98" i="7"/>
  <c r="DA88" i="7"/>
  <c r="DA99" i="7"/>
  <c r="DA64" i="7"/>
  <c r="DA58" i="7"/>
  <c r="DA50" i="7"/>
  <c r="DA42" i="7"/>
  <c r="DA34" i="7"/>
  <c r="DA26" i="7"/>
  <c r="DA61" i="7"/>
  <c r="DA53" i="7"/>
  <c r="DA45" i="7"/>
  <c r="DA37" i="7"/>
  <c r="DA29" i="7"/>
  <c r="DA95" i="7"/>
  <c r="DA75" i="7"/>
  <c r="DA66" i="7"/>
  <c r="DA63" i="7"/>
  <c r="DA85" i="7"/>
  <c r="DA83" i="7"/>
  <c r="DA67" i="7"/>
  <c r="DA60" i="7"/>
  <c r="DA52" i="7"/>
  <c r="DA44" i="7"/>
  <c r="DA36" i="7"/>
  <c r="DA71" i="7"/>
  <c r="DA55" i="7"/>
  <c r="DA51" i="7"/>
  <c r="DA74" i="7"/>
  <c r="DA62" i="7"/>
  <c r="DA47" i="7"/>
  <c r="DA43" i="7"/>
  <c r="DA84" i="7"/>
  <c r="DA56" i="7"/>
  <c r="DA49" i="7"/>
  <c r="DA57" i="7"/>
  <c r="DA46" i="7"/>
  <c r="DA35" i="7"/>
  <c r="DA31" i="7"/>
  <c r="DA17" i="7"/>
  <c r="DA9" i="7"/>
  <c r="DA59" i="7"/>
  <c r="DA48" i="7"/>
  <c r="DA32" i="7"/>
  <c r="DA28" i="7"/>
  <c r="DA20" i="7"/>
  <c r="DA12" i="7"/>
  <c r="DA4" i="7"/>
  <c r="DA39" i="7"/>
  <c r="DA38" i="7"/>
  <c r="DA40" i="7"/>
  <c r="DA54" i="7"/>
  <c r="DA41" i="7"/>
  <c r="DA27" i="7"/>
  <c r="DA24" i="7"/>
  <c r="DA19" i="7"/>
  <c r="DA11" i="7"/>
  <c r="DA3" i="7"/>
  <c r="DA25" i="7"/>
  <c r="DA22" i="7"/>
  <c r="DA18" i="7"/>
  <c r="DA14" i="7"/>
  <c r="DA10" i="7"/>
  <c r="DA21" i="7"/>
  <c r="DA6" i="7"/>
  <c r="DA13" i="7"/>
  <c r="DA33" i="7"/>
  <c r="DA5" i="7"/>
  <c r="DA30" i="7"/>
  <c r="DA23" i="7"/>
  <c r="DA16" i="7"/>
  <c r="DA15" i="7"/>
  <c r="DA8" i="7"/>
  <c r="FM52" i="9"/>
  <c r="FM1" i="9"/>
  <c r="FM52" i="8"/>
  <c r="FM1" i="8"/>
  <c r="FM138" i="7"/>
  <c r="FM141" i="7"/>
  <c r="FM148" i="7"/>
  <c r="FM140" i="7"/>
  <c r="FM143" i="7"/>
  <c r="FM139" i="7"/>
  <c r="FM132" i="7"/>
  <c r="FM124" i="7"/>
  <c r="FM135" i="7"/>
  <c r="FM127" i="7"/>
  <c r="FM137" i="7"/>
  <c r="FM134" i="7"/>
  <c r="FM142" i="7"/>
  <c r="FM129" i="7"/>
  <c r="FM122" i="7"/>
  <c r="FM118" i="7"/>
  <c r="FM114" i="7"/>
  <c r="FM106" i="7"/>
  <c r="FM136" i="7"/>
  <c r="FM117" i="7"/>
  <c r="FM109" i="7"/>
  <c r="FM101" i="7"/>
  <c r="FM144" i="7"/>
  <c r="FM119" i="7"/>
  <c r="FM116" i="7"/>
  <c r="FM108" i="7"/>
  <c r="FM131" i="7"/>
  <c r="FM112" i="7"/>
  <c r="FM105" i="7"/>
  <c r="FM102" i="7"/>
  <c r="FM94" i="7"/>
  <c r="FM86" i="7"/>
  <c r="FM126" i="7"/>
  <c r="FM104" i="7"/>
  <c r="FM97" i="7"/>
  <c r="FM89" i="7"/>
  <c r="FM123" i="7"/>
  <c r="FM120" i="7"/>
  <c r="FM133" i="7"/>
  <c r="FM128" i="7"/>
  <c r="FM121" i="7"/>
  <c r="FM96" i="7"/>
  <c r="FM115" i="7"/>
  <c r="FM113" i="7"/>
  <c r="FM93" i="7"/>
  <c r="FM78" i="7"/>
  <c r="FM70" i="7"/>
  <c r="FM130" i="7"/>
  <c r="FM103" i="7"/>
  <c r="FM92" i="7"/>
  <c r="FM87" i="7"/>
  <c r="FM81" i="7"/>
  <c r="FM73" i="7"/>
  <c r="FM65" i="7"/>
  <c r="FM107" i="7"/>
  <c r="FM125" i="7"/>
  <c r="FM111" i="7"/>
  <c r="FM110" i="7"/>
  <c r="FM90" i="7"/>
  <c r="FM80" i="7"/>
  <c r="FM72" i="7"/>
  <c r="FM64" i="7"/>
  <c r="FM85" i="7"/>
  <c r="FM76" i="7"/>
  <c r="FM69" i="7"/>
  <c r="FM100" i="7"/>
  <c r="FM99" i="7"/>
  <c r="FM98" i="7"/>
  <c r="FM68" i="7"/>
  <c r="FM91" i="7"/>
  <c r="FM82" i="7"/>
  <c r="FM88" i="7"/>
  <c r="FM83" i="7"/>
  <c r="FM95" i="7"/>
  <c r="FM77" i="7"/>
  <c r="FM66" i="7"/>
  <c r="FM58" i="7"/>
  <c r="FM50" i="7"/>
  <c r="FM42" i="7"/>
  <c r="FM34" i="7"/>
  <c r="FM26" i="7"/>
  <c r="FM71" i="7"/>
  <c r="FM61" i="7"/>
  <c r="FM53" i="7"/>
  <c r="FM45" i="7"/>
  <c r="FM37" i="7"/>
  <c r="FM29" i="7"/>
  <c r="FM75" i="7"/>
  <c r="FM63" i="7"/>
  <c r="FM67" i="7"/>
  <c r="FM79" i="7"/>
  <c r="FM60" i="7"/>
  <c r="FM52" i="7"/>
  <c r="FM44" i="7"/>
  <c r="FM36" i="7"/>
  <c r="FM84" i="7"/>
  <c r="FM55" i="7"/>
  <c r="FM51" i="7"/>
  <c r="FM62" i="7"/>
  <c r="FM47" i="7"/>
  <c r="FM43" i="7"/>
  <c r="FM56" i="7"/>
  <c r="FM49" i="7"/>
  <c r="FM59" i="7"/>
  <c r="FM48" i="7"/>
  <c r="FM31" i="7"/>
  <c r="FM17" i="7"/>
  <c r="FM9" i="7"/>
  <c r="FM32" i="7"/>
  <c r="FM28" i="7"/>
  <c r="FM20" i="7"/>
  <c r="FM12" i="7"/>
  <c r="FM4" i="7"/>
  <c r="FM39" i="7"/>
  <c r="FM38" i="7"/>
  <c r="FM40" i="7"/>
  <c r="FM74" i="7"/>
  <c r="FM54" i="7"/>
  <c r="FM41" i="7"/>
  <c r="FM27" i="7"/>
  <c r="FM24" i="7"/>
  <c r="FM19" i="7"/>
  <c r="FM11" i="7"/>
  <c r="FM3" i="7"/>
  <c r="FM35" i="7"/>
  <c r="FM22" i="7"/>
  <c r="FM18" i="7"/>
  <c r="FM33" i="7"/>
  <c r="FM14" i="7"/>
  <c r="FM10" i="7"/>
  <c r="FM21" i="7"/>
  <c r="FM6" i="7"/>
  <c r="FM13" i="7"/>
  <c r="FM5" i="7"/>
  <c r="FM25" i="7"/>
  <c r="FM23" i="7"/>
  <c r="FM16" i="7"/>
  <c r="FM57" i="7"/>
  <c r="FM15" i="7"/>
  <c r="FM8" i="7"/>
  <c r="IG52" i="9"/>
  <c r="IG1" i="9"/>
  <c r="IG52" i="8"/>
  <c r="IG138" i="7"/>
  <c r="IG141" i="7"/>
  <c r="IG148" i="7"/>
  <c r="IG140" i="7"/>
  <c r="IG144" i="7"/>
  <c r="IG137" i="7"/>
  <c r="IG135" i="7"/>
  <c r="IG132" i="7"/>
  <c r="IG124" i="7"/>
  <c r="IG127" i="7"/>
  <c r="IG119" i="7"/>
  <c r="IG134" i="7"/>
  <c r="IG136" i="7"/>
  <c r="IG130" i="7"/>
  <c r="IG114" i="7"/>
  <c r="IG106" i="7"/>
  <c r="IG125" i="7"/>
  <c r="IG121" i="7"/>
  <c r="IG118" i="7"/>
  <c r="IG109" i="7"/>
  <c r="IG101" i="7"/>
  <c r="IG139" i="7"/>
  <c r="IG133" i="7"/>
  <c r="IG1" i="8"/>
  <c r="IG143" i="7"/>
  <c r="IG142" i="7"/>
  <c r="IG120" i="7"/>
  <c r="IG116" i="7"/>
  <c r="IG108" i="7"/>
  <c r="IG126" i="7"/>
  <c r="IG110" i="7"/>
  <c r="IG94" i="7"/>
  <c r="IG86" i="7"/>
  <c r="IG123" i="7"/>
  <c r="IG102" i="7"/>
  <c r="IG97" i="7"/>
  <c r="IG89" i="7"/>
  <c r="IG129" i="7"/>
  <c r="IG128" i="7"/>
  <c r="IG117" i="7"/>
  <c r="IG131" i="7"/>
  <c r="IG122" i="7"/>
  <c r="IG111" i="7"/>
  <c r="IG107" i="7"/>
  <c r="IG100" i="7"/>
  <c r="IG96" i="7"/>
  <c r="IG98" i="7"/>
  <c r="IG78" i="7"/>
  <c r="IG70" i="7"/>
  <c r="IG62" i="7"/>
  <c r="IG90" i="7"/>
  <c r="IG81" i="7"/>
  <c r="IG73" i="7"/>
  <c r="IG65" i="7"/>
  <c r="IG112" i="7"/>
  <c r="IG113" i="7"/>
  <c r="IG115" i="7"/>
  <c r="IG105" i="7"/>
  <c r="IG95" i="7"/>
  <c r="IG88" i="7"/>
  <c r="IG80" i="7"/>
  <c r="IG72" i="7"/>
  <c r="IG64" i="7"/>
  <c r="IG99" i="7"/>
  <c r="IG92" i="7"/>
  <c r="IG91" i="7"/>
  <c r="IG74" i="7"/>
  <c r="IG93" i="7"/>
  <c r="IG66" i="7"/>
  <c r="IG103" i="7"/>
  <c r="IG68" i="7"/>
  <c r="IG76" i="7"/>
  <c r="IG75" i="7"/>
  <c r="IG77" i="7"/>
  <c r="IG87" i="7"/>
  <c r="IG58" i="7"/>
  <c r="IG50" i="7"/>
  <c r="IG42" i="7"/>
  <c r="IG34" i="7"/>
  <c r="IG26" i="7"/>
  <c r="IG104" i="7"/>
  <c r="IG85" i="7"/>
  <c r="IG79" i="7"/>
  <c r="IG71" i="7"/>
  <c r="IG61" i="7"/>
  <c r="IG53" i="7"/>
  <c r="IG45" i="7"/>
  <c r="IG37" i="7"/>
  <c r="IG29" i="7"/>
  <c r="IG82" i="7"/>
  <c r="IG83" i="7"/>
  <c r="IG69" i="7"/>
  <c r="IG84" i="7"/>
  <c r="IG67" i="7"/>
  <c r="IG60" i="7"/>
  <c r="IG52" i="7"/>
  <c r="IG44" i="7"/>
  <c r="IG36" i="7"/>
  <c r="IG56" i="7"/>
  <c r="IG49" i="7"/>
  <c r="IG48" i="7"/>
  <c r="IG41" i="7"/>
  <c r="IG54" i="7"/>
  <c r="IG39" i="7"/>
  <c r="IG35" i="7"/>
  <c r="IG27" i="7"/>
  <c r="IG17" i="7"/>
  <c r="IG9" i="7"/>
  <c r="IG55" i="7"/>
  <c r="IG43" i="7"/>
  <c r="IG23" i="7"/>
  <c r="IG20" i="7"/>
  <c r="IG12" i="7"/>
  <c r="IG4" i="7"/>
  <c r="IG59" i="7"/>
  <c r="IG57" i="7"/>
  <c r="IG46" i="7"/>
  <c r="IG47" i="7"/>
  <c r="IG51" i="7"/>
  <c r="IG40" i="7"/>
  <c r="IG38" i="7"/>
  <c r="IG33" i="7"/>
  <c r="IG19" i="7"/>
  <c r="IG11" i="7"/>
  <c r="IG3" i="7"/>
  <c r="IG63" i="7"/>
  <c r="IG28" i="7"/>
  <c r="IG16" i="7"/>
  <c r="IG32" i="7"/>
  <c r="IG25" i="7"/>
  <c r="IG24" i="7"/>
  <c r="IG15" i="7"/>
  <c r="IG8" i="7"/>
  <c r="IG7" i="7"/>
  <c r="IG22" i="7"/>
  <c r="IG18" i="7"/>
  <c r="IG14" i="7"/>
  <c r="IG10" i="7"/>
  <c r="IG30" i="7"/>
  <c r="IG21" i="7"/>
  <c r="IG13" i="7"/>
  <c r="H2" i="7"/>
  <c r="AW2" i="7"/>
  <c r="BN2" i="7"/>
  <c r="CK2" i="7"/>
  <c r="DG2" i="7"/>
  <c r="EV2" i="7"/>
  <c r="FM2" i="7"/>
  <c r="HX2" i="7"/>
  <c r="IU2" i="7"/>
  <c r="J3" i="7"/>
  <c r="AC3" i="7"/>
  <c r="AX3" i="7"/>
  <c r="BT3" i="7"/>
  <c r="CL3" i="7"/>
  <c r="DH3" i="7"/>
  <c r="EB3" i="7"/>
  <c r="EV3" i="7"/>
  <c r="FQ3" i="7"/>
  <c r="GN3" i="7"/>
  <c r="IN3" i="7"/>
  <c r="N4" i="7"/>
  <c r="AM4" i="7"/>
  <c r="BL4" i="7"/>
  <c r="CM4" i="7"/>
  <c r="DX4" i="7"/>
  <c r="FY4" i="7"/>
  <c r="HW4" i="7"/>
  <c r="JW4" i="7"/>
  <c r="EV5" i="7"/>
  <c r="GT5" i="7"/>
  <c r="IT5" i="7"/>
  <c r="BR6" i="7"/>
  <c r="HQ6" i="7"/>
  <c r="JP6" i="7"/>
  <c r="CP7" i="7"/>
  <c r="EN7" i="7"/>
  <c r="IM7" i="7"/>
  <c r="L8" i="7"/>
  <c r="BM8" i="7"/>
  <c r="DK8" i="7"/>
  <c r="FK8" i="7"/>
  <c r="BI9" i="7"/>
  <c r="FH9" i="7"/>
  <c r="JF9" i="7"/>
  <c r="CD10" i="7"/>
  <c r="GC10" i="7"/>
  <c r="KB10" i="7"/>
  <c r="DB11" i="7"/>
  <c r="GZ11" i="7"/>
  <c r="DW12" i="7"/>
  <c r="HV12" i="7"/>
  <c r="AV13" i="7"/>
  <c r="ET13" i="7"/>
  <c r="IQ13" i="7"/>
  <c r="BQ14" i="7"/>
  <c r="GK15" i="7"/>
  <c r="K16" i="7"/>
  <c r="DJ16" i="7"/>
  <c r="HI16" i="7"/>
  <c r="AH17" i="7"/>
  <c r="EE17" i="7"/>
  <c r="ID17" i="7"/>
  <c r="BD18" i="7"/>
  <c r="FC18" i="7"/>
  <c r="JA18" i="7"/>
  <c r="BY19" i="7"/>
  <c r="FX19" i="7"/>
  <c r="GU20" i="7"/>
  <c r="S21" i="7"/>
  <c r="AQ22" i="7"/>
  <c r="IL22" i="7"/>
  <c r="BL23" i="7"/>
  <c r="FK23" i="7"/>
  <c r="JV23" i="7"/>
  <c r="HU24" i="7"/>
  <c r="BI25" i="7"/>
  <c r="FW25" i="7"/>
  <c r="AC26" i="7"/>
  <c r="O27" i="7"/>
  <c r="EV27" i="7"/>
  <c r="D28" i="7"/>
  <c r="EK28" i="7"/>
  <c r="JQ28" i="7"/>
  <c r="DW29" i="7"/>
  <c r="DN30" i="7"/>
  <c r="IU30" i="7"/>
  <c r="IG31" i="7"/>
  <c r="CO32" i="7"/>
  <c r="HV32" i="7"/>
  <c r="IF33" i="7"/>
  <c r="FC34" i="7"/>
  <c r="EK35" i="7"/>
  <c r="BX40" i="7"/>
  <c r="S54" i="7"/>
  <c r="X52" i="9"/>
  <c r="X1" i="9"/>
  <c r="X52" i="8"/>
  <c r="X143" i="7"/>
  <c r="X138" i="7"/>
  <c r="X144" i="7"/>
  <c r="X129" i="7"/>
  <c r="X121" i="7"/>
  <c r="X140" i="7"/>
  <c r="X132" i="7"/>
  <c r="X124" i="7"/>
  <c r="X141" i="7"/>
  <c r="X131" i="7"/>
  <c r="X137" i="7"/>
  <c r="X134" i="7"/>
  <c r="X130" i="7"/>
  <c r="X127" i="7"/>
  <c r="X123" i="7"/>
  <c r="X111" i="7"/>
  <c r="X103" i="7"/>
  <c r="X120" i="7"/>
  <c r="X114" i="7"/>
  <c r="X106" i="7"/>
  <c r="X142" i="7"/>
  <c r="X1" i="8"/>
  <c r="X148" i="7"/>
  <c r="X113" i="7"/>
  <c r="X105" i="7"/>
  <c r="X136" i="7"/>
  <c r="X117" i="7"/>
  <c r="X110" i="7"/>
  <c r="X99" i="7"/>
  <c r="X91" i="7"/>
  <c r="X133" i="7"/>
  <c r="X109" i="7"/>
  <c r="X100" i="7"/>
  <c r="X94" i="7"/>
  <c r="X86" i="7"/>
  <c r="X135" i="7"/>
  <c r="X128" i="7"/>
  <c r="X125" i="7"/>
  <c r="X119" i="7"/>
  <c r="X122" i="7"/>
  <c r="X139" i="7"/>
  <c r="X126" i="7"/>
  <c r="X107" i="7"/>
  <c r="X93" i="7"/>
  <c r="X98" i="7"/>
  <c r="X83" i="7"/>
  <c r="X75" i="7"/>
  <c r="X67" i="7"/>
  <c r="X97" i="7"/>
  <c r="X90" i="7"/>
  <c r="X88" i="7"/>
  <c r="X78" i="7"/>
  <c r="X70" i="7"/>
  <c r="X118" i="7"/>
  <c r="X115" i="7"/>
  <c r="X116" i="7"/>
  <c r="X102" i="7"/>
  <c r="X95" i="7"/>
  <c r="X87" i="7"/>
  <c r="X85" i="7"/>
  <c r="X77" i="7"/>
  <c r="X69" i="7"/>
  <c r="X104" i="7"/>
  <c r="X96" i="7"/>
  <c r="X81" i="7"/>
  <c r="X74" i="7"/>
  <c r="X73" i="7"/>
  <c r="X66" i="7"/>
  <c r="X108" i="7"/>
  <c r="X112" i="7"/>
  <c r="X89" i="7"/>
  <c r="X72" i="7"/>
  <c r="X79" i="7"/>
  <c r="X80" i="7"/>
  <c r="X101" i="7"/>
  <c r="X76" i="7"/>
  <c r="X55" i="7"/>
  <c r="X47" i="7"/>
  <c r="X39" i="7"/>
  <c r="X31" i="7"/>
  <c r="X68" i="7"/>
  <c r="X65" i="7"/>
  <c r="X63" i="7"/>
  <c r="X58" i="7"/>
  <c r="X50" i="7"/>
  <c r="X42" i="7"/>
  <c r="X34" i="7"/>
  <c r="X26" i="7"/>
  <c r="X92" i="7"/>
  <c r="X84" i="7"/>
  <c r="X71" i="7"/>
  <c r="X64" i="7"/>
  <c r="X82" i="7"/>
  <c r="X57" i="7"/>
  <c r="X49" i="7"/>
  <c r="X41" i="7"/>
  <c r="X60" i="7"/>
  <c r="X56" i="7"/>
  <c r="X37" i="7"/>
  <c r="X52" i="7"/>
  <c r="X48" i="7"/>
  <c r="X61" i="7"/>
  <c r="X54" i="7"/>
  <c r="X35" i="7"/>
  <c r="X59" i="7"/>
  <c r="X46" i="7"/>
  <c r="X22" i="7"/>
  <c r="X14" i="7"/>
  <c r="X6" i="7"/>
  <c r="X36" i="7"/>
  <c r="X33" i="7"/>
  <c r="X17" i="7"/>
  <c r="X9" i="7"/>
  <c r="X51" i="7"/>
  <c r="X40" i="7"/>
  <c r="X38" i="7"/>
  <c r="X53" i="7"/>
  <c r="X44" i="7"/>
  <c r="X43" i="7"/>
  <c r="X32" i="7"/>
  <c r="X28" i="7"/>
  <c r="X16" i="7"/>
  <c r="X8" i="7"/>
  <c r="X62" i="7"/>
  <c r="X29" i="7"/>
  <c r="X24" i="7"/>
  <c r="X23" i="7"/>
  <c r="X4" i="7"/>
  <c r="X19" i="7"/>
  <c r="X15" i="7"/>
  <c r="X30" i="7"/>
  <c r="X11" i="7"/>
  <c r="X7" i="7"/>
  <c r="X27" i="7"/>
  <c r="X18" i="7"/>
  <c r="X45" i="7"/>
  <c r="X25" i="7"/>
  <c r="X10" i="7"/>
  <c r="X21" i="7"/>
  <c r="X20" i="7"/>
  <c r="X13" i="7"/>
  <c r="DP52" i="9"/>
  <c r="DP1" i="9"/>
  <c r="DP52" i="8"/>
  <c r="DP143" i="7"/>
  <c r="DP138" i="7"/>
  <c r="DP136" i="7"/>
  <c r="DP129" i="7"/>
  <c r="DP121" i="7"/>
  <c r="DP142" i="7"/>
  <c r="DP132" i="7"/>
  <c r="DP124" i="7"/>
  <c r="DP131" i="7"/>
  <c r="DP1" i="8"/>
  <c r="DP127" i="7"/>
  <c r="DP123" i="7"/>
  <c r="DP111" i="7"/>
  <c r="DP103" i="7"/>
  <c r="DP135" i="7"/>
  <c r="DP128" i="7"/>
  <c r="DP120" i="7"/>
  <c r="DP119" i="7"/>
  <c r="DP114" i="7"/>
  <c r="DP106" i="7"/>
  <c r="DP141" i="7"/>
  <c r="DP139" i="7"/>
  <c r="DP140" i="7"/>
  <c r="DP137" i="7"/>
  <c r="DP134" i="7"/>
  <c r="DP144" i="7"/>
  <c r="DP148" i="7"/>
  <c r="DP133" i="7"/>
  <c r="DP113" i="7"/>
  <c r="DP105" i="7"/>
  <c r="DP108" i="7"/>
  <c r="DP104" i="7"/>
  <c r="DP99" i="7"/>
  <c r="DP91" i="7"/>
  <c r="DP126" i="7"/>
  <c r="DP115" i="7"/>
  <c r="DP100" i="7"/>
  <c r="DP94" i="7"/>
  <c r="DP86" i="7"/>
  <c r="DP130" i="7"/>
  <c r="DP118" i="7"/>
  <c r="DP125" i="7"/>
  <c r="DP117" i="7"/>
  <c r="DP93" i="7"/>
  <c r="DP116" i="7"/>
  <c r="DP109" i="7"/>
  <c r="DP96" i="7"/>
  <c r="DP92" i="7"/>
  <c r="DP83" i="7"/>
  <c r="DP75" i="7"/>
  <c r="DP67" i="7"/>
  <c r="DP110" i="7"/>
  <c r="DP102" i="7"/>
  <c r="DP88" i="7"/>
  <c r="DP78" i="7"/>
  <c r="DP70" i="7"/>
  <c r="DP112" i="7"/>
  <c r="DP122" i="7"/>
  <c r="DP107" i="7"/>
  <c r="DP87" i="7"/>
  <c r="DP77" i="7"/>
  <c r="DP69" i="7"/>
  <c r="DP72" i="7"/>
  <c r="DP68" i="7"/>
  <c r="DP95" i="7"/>
  <c r="DP79" i="7"/>
  <c r="DP98" i="7"/>
  <c r="DP81" i="7"/>
  <c r="DP74" i="7"/>
  <c r="DP76" i="7"/>
  <c r="DP101" i="7"/>
  <c r="DP89" i="7"/>
  <c r="DP85" i="7"/>
  <c r="DP97" i="7"/>
  <c r="DP55" i="7"/>
  <c r="DP47" i="7"/>
  <c r="DP39" i="7"/>
  <c r="DP31" i="7"/>
  <c r="DP73" i="7"/>
  <c r="DP65" i="7"/>
  <c r="DP58" i="7"/>
  <c r="DP50" i="7"/>
  <c r="DP42" i="7"/>
  <c r="DP34" i="7"/>
  <c r="DP26" i="7"/>
  <c r="DP90" i="7"/>
  <c r="DP80" i="7"/>
  <c r="DP71" i="7"/>
  <c r="DP84" i="7"/>
  <c r="DP66" i="7"/>
  <c r="DP64" i="7"/>
  <c r="DP57" i="7"/>
  <c r="DP49" i="7"/>
  <c r="DP41" i="7"/>
  <c r="DP62" i="7"/>
  <c r="DP43" i="7"/>
  <c r="DP61" i="7"/>
  <c r="DP54" i="7"/>
  <c r="DP35" i="7"/>
  <c r="DP33" i="7"/>
  <c r="DP82" i="7"/>
  <c r="DP52" i="7"/>
  <c r="DP48" i="7"/>
  <c r="DP63" i="7"/>
  <c r="DP25" i="7"/>
  <c r="DP22" i="7"/>
  <c r="DP14" i="7"/>
  <c r="DP6" i="7"/>
  <c r="DP56" i="7"/>
  <c r="DP45" i="7"/>
  <c r="DP44" i="7"/>
  <c r="DP24" i="7"/>
  <c r="DP17" i="7"/>
  <c r="DP9" i="7"/>
  <c r="DP46" i="7"/>
  <c r="DP59" i="7"/>
  <c r="DP60" i="7"/>
  <c r="DP37" i="7"/>
  <c r="DP38" i="7"/>
  <c r="DP53" i="7"/>
  <c r="DP51" i="7"/>
  <c r="DP40" i="7"/>
  <c r="DP32" i="7"/>
  <c r="DP28" i="7"/>
  <c r="DP16" i="7"/>
  <c r="DP8" i="7"/>
  <c r="DP10" i="7"/>
  <c r="DP21" i="7"/>
  <c r="DP2" i="7"/>
  <c r="DP20" i="7"/>
  <c r="DP13" i="7"/>
  <c r="DP29" i="7"/>
  <c r="DP12" i="7"/>
  <c r="DP5" i="7"/>
  <c r="DP23" i="7"/>
  <c r="DP4" i="7"/>
  <c r="DP30" i="7"/>
  <c r="DP19" i="7"/>
  <c r="DP15" i="7"/>
  <c r="DP27" i="7"/>
  <c r="DP11" i="7"/>
  <c r="DP7" i="7"/>
  <c r="GJ52" i="9"/>
  <c r="GJ1" i="9"/>
  <c r="GJ52" i="8"/>
  <c r="GJ143" i="7"/>
  <c r="GJ135" i="7"/>
  <c r="GJ138" i="7"/>
  <c r="GJ140" i="7"/>
  <c r="GJ129" i="7"/>
  <c r="GJ121" i="7"/>
  <c r="GJ132" i="7"/>
  <c r="GJ124" i="7"/>
  <c r="GJ148" i="7"/>
  <c r="GJ131" i="7"/>
  <c r="GJ142" i="7"/>
  <c r="GJ111" i="7"/>
  <c r="GJ103" i="7"/>
  <c r="GJ144" i="7"/>
  <c r="GJ133" i="7"/>
  <c r="GJ126" i="7"/>
  <c r="GJ114" i="7"/>
  <c r="GJ106" i="7"/>
  <c r="GJ137" i="7"/>
  <c r="GJ1" i="8"/>
  <c r="GJ139" i="7"/>
  <c r="GJ136" i="7"/>
  <c r="GJ125" i="7"/>
  <c r="GJ113" i="7"/>
  <c r="GJ105" i="7"/>
  <c r="GJ127" i="7"/>
  <c r="GJ120" i="7"/>
  <c r="GJ109" i="7"/>
  <c r="GJ102" i="7"/>
  <c r="GJ91" i="7"/>
  <c r="GJ141" i="7"/>
  <c r="GJ94" i="7"/>
  <c r="GJ86" i="7"/>
  <c r="GJ116" i="7"/>
  <c r="GJ118" i="7"/>
  <c r="GJ134" i="7"/>
  <c r="GJ128" i="7"/>
  <c r="GJ122" i="7"/>
  <c r="GJ130" i="7"/>
  <c r="GJ119" i="7"/>
  <c r="GJ93" i="7"/>
  <c r="GJ115" i="7"/>
  <c r="GJ104" i="7"/>
  <c r="GJ97" i="7"/>
  <c r="GJ90" i="7"/>
  <c r="GJ87" i="7"/>
  <c r="GJ83" i="7"/>
  <c r="GJ75" i="7"/>
  <c r="GJ67" i="7"/>
  <c r="GJ89" i="7"/>
  <c r="GJ78" i="7"/>
  <c r="GJ70" i="7"/>
  <c r="GJ117" i="7"/>
  <c r="GJ108" i="7"/>
  <c r="GJ107" i="7"/>
  <c r="GJ123" i="7"/>
  <c r="GJ77" i="7"/>
  <c r="GJ69" i="7"/>
  <c r="GJ98" i="7"/>
  <c r="GJ73" i="7"/>
  <c r="GJ66" i="7"/>
  <c r="GJ100" i="7"/>
  <c r="GJ99" i="7"/>
  <c r="GJ84" i="7"/>
  <c r="GJ65" i="7"/>
  <c r="GJ112" i="7"/>
  <c r="GJ110" i="7"/>
  <c r="GJ88" i="7"/>
  <c r="GJ79" i="7"/>
  <c r="GJ96" i="7"/>
  <c r="GJ81" i="7"/>
  <c r="GJ82" i="7"/>
  <c r="GJ92" i="7"/>
  <c r="GJ55" i="7"/>
  <c r="GJ47" i="7"/>
  <c r="GJ39" i="7"/>
  <c r="GJ31" i="7"/>
  <c r="GJ23" i="7"/>
  <c r="GJ85" i="7"/>
  <c r="GJ80" i="7"/>
  <c r="GJ71" i="7"/>
  <c r="GJ58" i="7"/>
  <c r="GJ50" i="7"/>
  <c r="GJ42" i="7"/>
  <c r="GJ34" i="7"/>
  <c r="GJ26" i="7"/>
  <c r="GJ74" i="7"/>
  <c r="GJ64" i="7"/>
  <c r="GJ72" i="7"/>
  <c r="GJ95" i="7"/>
  <c r="GJ76" i="7"/>
  <c r="GJ68" i="7"/>
  <c r="GJ63" i="7"/>
  <c r="GJ57" i="7"/>
  <c r="GJ49" i="7"/>
  <c r="GJ41" i="7"/>
  <c r="GJ101" i="7"/>
  <c r="GJ52" i="7"/>
  <c r="GJ48" i="7"/>
  <c r="GJ59" i="7"/>
  <c r="GJ44" i="7"/>
  <c r="GJ40" i="7"/>
  <c r="GJ53" i="7"/>
  <c r="GJ46" i="7"/>
  <c r="GJ37" i="7"/>
  <c r="GJ32" i="7"/>
  <c r="GJ28" i="7"/>
  <c r="GJ22" i="7"/>
  <c r="GJ14" i="7"/>
  <c r="GJ6" i="7"/>
  <c r="GJ51" i="7"/>
  <c r="GJ38" i="7"/>
  <c r="GJ29" i="7"/>
  <c r="GJ25" i="7"/>
  <c r="GJ17" i="7"/>
  <c r="GJ9" i="7"/>
  <c r="GJ62" i="7"/>
  <c r="GJ61" i="7"/>
  <c r="GJ54" i="7"/>
  <c r="GJ43" i="7"/>
  <c r="GJ60" i="7"/>
  <c r="GJ56" i="7"/>
  <c r="GJ45" i="7"/>
  <c r="GJ16" i="7"/>
  <c r="GJ8" i="7"/>
  <c r="GJ33" i="7"/>
  <c r="GJ19" i="7"/>
  <c r="GJ15" i="7"/>
  <c r="GJ36" i="7"/>
  <c r="GJ11" i="7"/>
  <c r="GJ7" i="7"/>
  <c r="GJ18" i="7"/>
  <c r="GJ3" i="7"/>
  <c r="GJ35" i="7"/>
  <c r="GJ24" i="7"/>
  <c r="GJ10" i="7"/>
  <c r="GJ30" i="7"/>
  <c r="GJ21" i="7"/>
  <c r="GJ27" i="7"/>
  <c r="GJ20" i="7"/>
  <c r="GJ13" i="7"/>
  <c r="GJ12" i="7"/>
  <c r="GJ5" i="7"/>
  <c r="IV52" i="9"/>
  <c r="IV1" i="9"/>
  <c r="IV52" i="8"/>
  <c r="IV143" i="7"/>
  <c r="IV135" i="7"/>
  <c r="IV138" i="7"/>
  <c r="IV140" i="7"/>
  <c r="IV129" i="7"/>
  <c r="IV121" i="7"/>
  <c r="IV132" i="7"/>
  <c r="IV124" i="7"/>
  <c r="IV148" i="7"/>
  <c r="IV131" i="7"/>
  <c r="IV1" i="8"/>
  <c r="IV144" i="7"/>
  <c r="IV136" i="7"/>
  <c r="IV119" i="7"/>
  <c r="IV111" i="7"/>
  <c r="IV103" i="7"/>
  <c r="IV133" i="7"/>
  <c r="IV126" i="7"/>
  <c r="IV114" i="7"/>
  <c r="IV106" i="7"/>
  <c r="IV139" i="7"/>
  <c r="IV137" i="7"/>
  <c r="IV141" i="7"/>
  <c r="IV125" i="7"/>
  <c r="IV113" i="7"/>
  <c r="IV105" i="7"/>
  <c r="IV142" i="7"/>
  <c r="IV118" i="7"/>
  <c r="IV109" i="7"/>
  <c r="IV102" i="7"/>
  <c r="IV91" i="7"/>
  <c r="IV123" i="7"/>
  <c r="IV94" i="7"/>
  <c r="IV86" i="7"/>
  <c r="IV127" i="7"/>
  <c r="IV120" i="7"/>
  <c r="IV116" i="7"/>
  <c r="IV134" i="7"/>
  <c r="IV128" i="7"/>
  <c r="IV117" i="7"/>
  <c r="IV130" i="7"/>
  <c r="IV93" i="7"/>
  <c r="IV97" i="7"/>
  <c r="IV90" i="7"/>
  <c r="IV87" i="7"/>
  <c r="IV83" i="7"/>
  <c r="IV75" i="7"/>
  <c r="IV67" i="7"/>
  <c r="IV89" i="7"/>
  <c r="IV78" i="7"/>
  <c r="IV70" i="7"/>
  <c r="IV108" i="7"/>
  <c r="IV107" i="7"/>
  <c r="IV122" i="7"/>
  <c r="IV112" i="7"/>
  <c r="IV110" i="7"/>
  <c r="IV101" i="7"/>
  <c r="IV77" i="7"/>
  <c r="IV69" i="7"/>
  <c r="IV73" i="7"/>
  <c r="IV66" i="7"/>
  <c r="IV84" i="7"/>
  <c r="IV65" i="7"/>
  <c r="IV115" i="7"/>
  <c r="IV104" i="7"/>
  <c r="IV79" i="7"/>
  <c r="IV96" i="7"/>
  <c r="IV82" i="7"/>
  <c r="IV71" i="7"/>
  <c r="IV99" i="7"/>
  <c r="IV85" i="7"/>
  <c r="IV72" i="7"/>
  <c r="IV68" i="7"/>
  <c r="IV55" i="7"/>
  <c r="IV47" i="7"/>
  <c r="IV39" i="7"/>
  <c r="IV31" i="7"/>
  <c r="IV23" i="7"/>
  <c r="IV80" i="7"/>
  <c r="IV58" i="7"/>
  <c r="IV50" i="7"/>
  <c r="IV42" i="7"/>
  <c r="IV34" i="7"/>
  <c r="IV26" i="7"/>
  <c r="IV98" i="7"/>
  <c r="IV88" i="7"/>
  <c r="IV74" i="7"/>
  <c r="IV95" i="7"/>
  <c r="IV81" i="7"/>
  <c r="IV63" i="7"/>
  <c r="IV100" i="7"/>
  <c r="IV92" i="7"/>
  <c r="IV76" i="7"/>
  <c r="IV57" i="7"/>
  <c r="IV49" i="7"/>
  <c r="IV41" i="7"/>
  <c r="IV52" i="7"/>
  <c r="IV48" i="7"/>
  <c r="IV59" i="7"/>
  <c r="IV44" i="7"/>
  <c r="IV40" i="7"/>
  <c r="IV64" i="7"/>
  <c r="IV53" i="7"/>
  <c r="IV46" i="7"/>
  <c r="IV51" i="7"/>
  <c r="IV38" i="7"/>
  <c r="IV32" i="7"/>
  <c r="IV28" i="7"/>
  <c r="IV22" i="7"/>
  <c r="IV14" i="7"/>
  <c r="IV6" i="7"/>
  <c r="IV62" i="7"/>
  <c r="IV60" i="7"/>
  <c r="IV29" i="7"/>
  <c r="IV25" i="7"/>
  <c r="IV17" i="7"/>
  <c r="IV9" i="7"/>
  <c r="IV54" i="7"/>
  <c r="IV43" i="7"/>
  <c r="IV56" i="7"/>
  <c r="IV45" i="7"/>
  <c r="IV36" i="7"/>
  <c r="IV35" i="7"/>
  <c r="IV16" i="7"/>
  <c r="IV8" i="7"/>
  <c r="IV61" i="7"/>
  <c r="IV37" i="7"/>
  <c r="IV24" i="7"/>
  <c r="IV19" i="7"/>
  <c r="IV15" i="7"/>
  <c r="IV33" i="7"/>
  <c r="IV11" i="7"/>
  <c r="IV7" i="7"/>
  <c r="IV18" i="7"/>
  <c r="IV3" i="7"/>
  <c r="IV10" i="7"/>
  <c r="IV21" i="7"/>
  <c r="IV20" i="7"/>
  <c r="IV13" i="7"/>
  <c r="IV30" i="7"/>
  <c r="IV12" i="7"/>
  <c r="IV5" i="7"/>
  <c r="AG52" i="9"/>
  <c r="AG1" i="9"/>
  <c r="AG52" i="8"/>
  <c r="AG138" i="7"/>
  <c r="AG141" i="7"/>
  <c r="AG1" i="8"/>
  <c r="AG148" i="7"/>
  <c r="AG140" i="7"/>
  <c r="AG132" i="7"/>
  <c r="AG124" i="7"/>
  <c r="AG135" i="7"/>
  <c r="AG127" i="7"/>
  <c r="AG134" i="7"/>
  <c r="AG136" i="7"/>
  <c r="AG126" i="7"/>
  <c r="AG114" i="7"/>
  <c r="AG106" i="7"/>
  <c r="AG131" i="7"/>
  <c r="AG123" i="7"/>
  <c r="AG117" i="7"/>
  <c r="AG109" i="7"/>
  <c r="AG101" i="7"/>
  <c r="AG139" i="7"/>
  <c r="AG137" i="7"/>
  <c r="AG144" i="7"/>
  <c r="AG142" i="7"/>
  <c r="AG122" i="7"/>
  <c r="AG116" i="7"/>
  <c r="AG108" i="7"/>
  <c r="AG111" i="7"/>
  <c r="AG107" i="7"/>
  <c r="AG94" i="7"/>
  <c r="AG86" i="7"/>
  <c r="AG103" i="7"/>
  <c r="AG97" i="7"/>
  <c r="AG89" i="7"/>
  <c r="AG120" i="7"/>
  <c r="AG118" i="7"/>
  <c r="AG130" i="7"/>
  <c r="AG129" i="7"/>
  <c r="AG143" i="7"/>
  <c r="AG133" i="7"/>
  <c r="AG128" i="7"/>
  <c r="AG121" i="7"/>
  <c r="AG119" i="7"/>
  <c r="AG104" i="7"/>
  <c r="AG102" i="7"/>
  <c r="AG96" i="7"/>
  <c r="AG105" i="7"/>
  <c r="AG99" i="7"/>
  <c r="AG95" i="7"/>
  <c r="AG78" i="7"/>
  <c r="AG70" i="7"/>
  <c r="AG91" i="7"/>
  <c r="AG81" i="7"/>
  <c r="AG73" i="7"/>
  <c r="AG65" i="7"/>
  <c r="AG110" i="7"/>
  <c r="AG112" i="7"/>
  <c r="AG113" i="7"/>
  <c r="AG125" i="7"/>
  <c r="AG115" i="7"/>
  <c r="AG92" i="7"/>
  <c r="AG80" i="7"/>
  <c r="AG72" i="7"/>
  <c r="AG100" i="7"/>
  <c r="AG90" i="7"/>
  <c r="AG75" i="7"/>
  <c r="AG71" i="7"/>
  <c r="AG82" i="7"/>
  <c r="AG67" i="7"/>
  <c r="AG87" i="7"/>
  <c r="AG84" i="7"/>
  <c r="AG77" i="7"/>
  <c r="AG93" i="7"/>
  <c r="AG83" i="7"/>
  <c r="AG85" i="7"/>
  <c r="AG74" i="7"/>
  <c r="AG76" i="7"/>
  <c r="AG98" i="7"/>
  <c r="AG58" i="7"/>
  <c r="AG50" i="7"/>
  <c r="AG42" i="7"/>
  <c r="AG34" i="7"/>
  <c r="AG26" i="7"/>
  <c r="AG63" i="7"/>
  <c r="AG61" i="7"/>
  <c r="AG53" i="7"/>
  <c r="AG45" i="7"/>
  <c r="AG37" i="7"/>
  <c r="AG29" i="7"/>
  <c r="AG88" i="7"/>
  <c r="AG69" i="7"/>
  <c r="AG79" i="7"/>
  <c r="AG68" i="7"/>
  <c r="AG64" i="7"/>
  <c r="AG60" i="7"/>
  <c r="AG52" i="7"/>
  <c r="AG44" i="7"/>
  <c r="AG36" i="7"/>
  <c r="AG46" i="7"/>
  <c r="AG57" i="7"/>
  <c r="AG38" i="7"/>
  <c r="AG66" i="7"/>
  <c r="AG55" i="7"/>
  <c r="AG51" i="7"/>
  <c r="AG40" i="7"/>
  <c r="AG39" i="7"/>
  <c r="AG17" i="7"/>
  <c r="AG9" i="7"/>
  <c r="AG41" i="7"/>
  <c r="AG20" i="7"/>
  <c r="AG12" i="7"/>
  <c r="AG4" i="7"/>
  <c r="AG56" i="7"/>
  <c r="AG54" i="7"/>
  <c r="AG43" i="7"/>
  <c r="AG62" i="7"/>
  <c r="AG59" i="7"/>
  <c r="AG48" i="7"/>
  <c r="AG47" i="7"/>
  <c r="AG49" i="7"/>
  <c r="AG31" i="7"/>
  <c r="AG19" i="7"/>
  <c r="AG11" i="7"/>
  <c r="AG3" i="7"/>
  <c r="AG13" i="7"/>
  <c r="AG5" i="7"/>
  <c r="AG35" i="7"/>
  <c r="AG28" i="7"/>
  <c r="AG23" i="7"/>
  <c r="AG16" i="7"/>
  <c r="AG32" i="7"/>
  <c r="AG24" i="7"/>
  <c r="AG15" i="7"/>
  <c r="AG8" i="7"/>
  <c r="AG7" i="7"/>
  <c r="AG33" i="7"/>
  <c r="AG22" i="7"/>
  <c r="AG18" i="7"/>
  <c r="AG30" i="7"/>
  <c r="AG14" i="7"/>
  <c r="AG10" i="7"/>
  <c r="DI52" i="9"/>
  <c r="DI1" i="9"/>
  <c r="DI52" i="8"/>
  <c r="DI138" i="7"/>
  <c r="DI141" i="7"/>
  <c r="DI148" i="7"/>
  <c r="DI140" i="7"/>
  <c r="DI144" i="7"/>
  <c r="DI137" i="7"/>
  <c r="DI132" i="7"/>
  <c r="DI124" i="7"/>
  <c r="DI1" i="8"/>
  <c r="DI135" i="7"/>
  <c r="DI127" i="7"/>
  <c r="DI136" i="7"/>
  <c r="DI134" i="7"/>
  <c r="DI130" i="7"/>
  <c r="DI114" i="7"/>
  <c r="DI106" i="7"/>
  <c r="DI125" i="7"/>
  <c r="DI121" i="7"/>
  <c r="DI118" i="7"/>
  <c r="DI109" i="7"/>
  <c r="DI101" i="7"/>
  <c r="DI139" i="7"/>
  <c r="DI120" i="7"/>
  <c r="DI116" i="7"/>
  <c r="DI108" i="7"/>
  <c r="DI133" i="7"/>
  <c r="DI110" i="7"/>
  <c r="DI94" i="7"/>
  <c r="DI86" i="7"/>
  <c r="DI143" i="7"/>
  <c r="DI122" i="7"/>
  <c r="DI117" i="7"/>
  <c r="DI97" i="7"/>
  <c r="DI89" i="7"/>
  <c r="DI119" i="7"/>
  <c r="DI129" i="7"/>
  <c r="DI128" i="7"/>
  <c r="DI126" i="7"/>
  <c r="DI123" i="7"/>
  <c r="DI131" i="7"/>
  <c r="DI111" i="7"/>
  <c r="DI107" i="7"/>
  <c r="DI100" i="7"/>
  <c r="DI96" i="7"/>
  <c r="DI105" i="7"/>
  <c r="DI98" i="7"/>
  <c r="DI78" i="7"/>
  <c r="DI70" i="7"/>
  <c r="DI90" i="7"/>
  <c r="DI81" i="7"/>
  <c r="DI73" i="7"/>
  <c r="DI65" i="7"/>
  <c r="DI112" i="7"/>
  <c r="DI142" i="7"/>
  <c r="DI113" i="7"/>
  <c r="DI99" i="7"/>
  <c r="DI95" i="7"/>
  <c r="DI88" i="7"/>
  <c r="DI80" i="7"/>
  <c r="DI72" i="7"/>
  <c r="DI74" i="7"/>
  <c r="DI115" i="7"/>
  <c r="DI103" i="7"/>
  <c r="DI102" i="7"/>
  <c r="DI66" i="7"/>
  <c r="DI104" i="7"/>
  <c r="DI68" i="7"/>
  <c r="DI84" i="7"/>
  <c r="DI83" i="7"/>
  <c r="DI82" i="7"/>
  <c r="DI71" i="7"/>
  <c r="DI67" i="7"/>
  <c r="DI92" i="7"/>
  <c r="DI93" i="7"/>
  <c r="DI91" i="7"/>
  <c r="DI69" i="7"/>
  <c r="DI58" i="7"/>
  <c r="DI50" i="7"/>
  <c r="DI42" i="7"/>
  <c r="DI34" i="7"/>
  <c r="DI26" i="7"/>
  <c r="DI79" i="7"/>
  <c r="DI76" i="7"/>
  <c r="DI61" i="7"/>
  <c r="DI53" i="7"/>
  <c r="DI45" i="7"/>
  <c r="DI37" i="7"/>
  <c r="DI29" i="7"/>
  <c r="DI85" i="7"/>
  <c r="DI64" i="7"/>
  <c r="DI63" i="7"/>
  <c r="DI77" i="7"/>
  <c r="DI60" i="7"/>
  <c r="DI52" i="7"/>
  <c r="DI44" i="7"/>
  <c r="DI36" i="7"/>
  <c r="DI75" i="7"/>
  <c r="DI56" i="7"/>
  <c r="DI49" i="7"/>
  <c r="DI48" i="7"/>
  <c r="DI41" i="7"/>
  <c r="DI54" i="7"/>
  <c r="DI39" i="7"/>
  <c r="DI35" i="7"/>
  <c r="DI51" i="7"/>
  <c r="DI40" i="7"/>
  <c r="DI38" i="7"/>
  <c r="DI27" i="7"/>
  <c r="DI17" i="7"/>
  <c r="DI9" i="7"/>
  <c r="DI20" i="7"/>
  <c r="DI12" i="7"/>
  <c r="DI4" i="7"/>
  <c r="DI87" i="7"/>
  <c r="DI62" i="7"/>
  <c r="DI55" i="7"/>
  <c r="DI43" i="7"/>
  <c r="DI59" i="7"/>
  <c r="DI57" i="7"/>
  <c r="DI46" i="7"/>
  <c r="DI47" i="7"/>
  <c r="DI25" i="7"/>
  <c r="DI19" i="7"/>
  <c r="DI11" i="7"/>
  <c r="DI3" i="7"/>
  <c r="DI23" i="7"/>
  <c r="DI16" i="7"/>
  <c r="DI33" i="7"/>
  <c r="DI30" i="7"/>
  <c r="DI15" i="7"/>
  <c r="DI8" i="7"/>
  <c r="DI7" i="7"/>
  <c r="DI31" i="7"/>
  <c r="DI22" i="7"/>
  <c r="DI18" i="7"/>
  <c r="DI28" i="7"/>
  <c r="DI14" i="7"/>
  <c r="DI10" i="7"/>
  <c r="DI32" i="7"/>
  <c r="DI21" i="7"/>
  <c r="DI13" i="7"/>
  <c r="HA52" i="9"/>
  <c r="HA1" i="9"/>
  <c r="HA52" i="8"/>
  <c r="HA138" i="7"/>
  <c r="HA141" i="7"/>
  <c r="HA148" i="7"/>
  <c r="HA140" i="7"/>
  <c r="HA137" i="7"/>
  <c r="HA132" i="7"/>
  <c r="HA124" i="7"/>
  <c r="HA142" i="7"/>
  <c r="HA127" i="7"/>
  <c r="HA119" i="7"/>
  <c r="HA134" i="7"/>
  <c r="HA114" i="7"/>
  <c r="HA106" i="7"/>
  <c r="HA128" i="7"/>
  <c r="HA125" i="7"/>
  <c r="HA121" i="7"/>
  <c r="HA109" i="7"/>
  <c r="HA101" i="7"/>
  <c r="HA144" i="7"/>
  <c r="HA143" i="7"/>
  <c r="HA135" i="7"/>
  <c r="HA1" i="8"/>
  <c r="HA133" i="7"/>
  <c r="HA120" i="7"/>
  <c r="HA117" i="7"/>
  <c r="HA116" i="7"/>
  <c r="HA108" i="7"/>
  <c r="HA131" i="7"/>
  <c r="HA123" i="7"/>
  <c r="HA104" i="7"/>
  <c r="HA94" i="7"/>
  <c r="HA86" i="7"/>
  <c r="HA136" i="7"/>
  <c r="HA115" i="7"/>
  <c r="HA97" i="7"/>
  <c r="HA89" i="7"/>
  <c r="HA118" i="7"/>
  <c r="HA139" i="7"/>
  <c r="HA122" i="7"/>
  <c r="HA113" i="7"/>
  <c r="HA100" i="7"/>
  <c r="HA96" i="7"/>
  <c r="HA92" i="7"/>
  <c r="HA78" i="7"/>
  <c r="HA70" i="7"/>
  <c r="HA103" i="7"/>
  <c r="HA102" i="7"/>
  <c r="HA81" i="7"/>
  <c r="HA73" i="7"/>
  <c r="HA65" i="7"/>
  <c r="HA126" i="7"/>
  <c r="HA107" i="7"/>
  <c r="HA105" i="7"/>
  <c r="HA129" i="7"/>
  <c r="HA111" i="7"/>
  <c r="HA110" i="7"/>
  <c r="HA88" i="7"/>
  <c r="HA80" i="7"/>
  <c r="HA72" i="7"/>
  <c r="HA64" i="7"/>
  <c r="HA68" i="7"/>
  <c r="HA130" i="7"/>
  <c r="HA98" i="7"/>
  <c r="HA87" i="7"/>
  <c r="HA83" i="7"/>
  <c r="HA79" i="7"/>
  <c r="HA112" i="7"/>
  <c r="HA91" i="7"/>
  <c r="HA90" i="7"/>
  <c r="HA74" i="7"/>
  <c r="HA66" i="7"/>
  <c r="HA95" i="7"/>
  <c r="HA82" i="7"/>
  <c r="HA99" i="7"/>
  <c r="HA75" i="7"/>
  <c r="HA58" i="7"/>
  <c r="HA50" i="7"/>
  <c r="HA42" i="7"/>
  <c r="HA34" i="7"/>
  <c r="HA26" i="7"/>
  <c r="HA61" i="7"/>
  <c r="HA53" i="7"/>
  <c r="HA45" i="7"/>
  <c r="HA37" i="7"/>
  <c r="HA29" i="7"/>
  <c r="HA93" i="7"/>
  <c r="HA67" i="7"/>
  <c r="HA76" i="7"/>
  <c r="HA71" i="7"/>
  <c r="HA62" i="7"/>
  <c r="HA84" i="7"/>
  <c r="HA77" i="7"/>
  <c r="HA60" i="7"/>
  <c r="HA52" i="7"/>
  <c r="HA44" i="7"/>
  <c r="HA36" i="7"/>
  <c r="HA47" i="7"/>
  <c r="HA43" i="7"/>
  <c r="HA54" i="7"/>
  <c r="HA39" i="7"/>
  <c r="HA35" i="7"/>
  <c r="HA48" i="7"/>
  <c r="HA41" i="7"/>
  <c r="HA85" i="7"/>
  <c r="HA59" i="7"/>
  <c r="HA33" i="7"/>
  <c r="HA27" i="7"/>
  <c r="HA17" i="7"/>
  <c r="HA9" i="7"/>
  <c r="HA63" i="7"/>
  <c r="HA20" i="7"/>
  <c r="HA12" i="7"/>
  <c r="HA4" i="7"/>
  <c r="HA49" i="7"/>
  <c r="HA38" i="7"/>
  <c r="HA51" i="7"/>
  <c r="HA40" i="7"/>
  <c r="HA56" i="7"/>
  <c r="HA55" i="7"/>
  <c r="HA19" i="7"/>
  <c r="HA11" i="7"/>
  <c r="HA3" i="7"/>
  <c r="HA69" i="7"/>
  <c r="HA57" i="7"/>
  <c r="HA32" i="7"/>
  <c r="HA25" i="7"/>
  <c r="HA14" i="7"/>
  <c r="HA10" i="7"/>
  <c r="HA21" i="7"/>
  <c r="HA6" i="7"/>
  <c r="HA2" i="7"/>
  <c r="HA24" i="7"/>
  <c r="HA13" i="7"/>
  <c r="HA5" i="7"/>
  <c r="HA30" i="7"/>
  <c r="HA16" i="7"/>
  <c r="HA46" i="7"/>
  <c r="HA15" i="7"/>
  <c r="HA31" i="7"/>
  <c r="HA7" i="7"/>
  <c r="JU52" i="9"/>
  <c r="JU1" i="9"/>
  <c r="JU52" i="8"/>
  <c r="JU138" i="7"/>
  <c r="JU141" i="7"/>
  <c r="JU148" i="7"/>
  <c r="JU140" i="7"/>
  <c r="JU132" i="7"/>
  <c r="JU124" i="7"/>
  <c r="JU127" i="7"/>
  <c r="JU119" i="7"/>
  <c r="JU134" i="7"/>
  <c r="JU1" i="8"/>
  <c r="JU120" i="7"/>
  <c r="JU114" i="7"/>
  <c r="JU106" i="7"/>
  <c r="JU133" i="7"/>
  <c r="JU109" i="7"/>
  <c r="JU101" i="7"/>
  <c r="JU139" i="7"/>
  <c r="JU143" i="7"/>
  <c r="JU142" i="7"/>
  <c r="JU144" i="7"/>
  <c r="JU131" i="7"/>
  <c r="JU126" i="7"/>
  <c r="JU118" i="7"/>
  <c r="JU116" i="7"/>
  <c r="JU108" i="7"/>
  <c r="JU136" i="7"/>
  <c r="JU102" i="7"/>
  <c r="JU100" i="7"/>
  <c r="JU94" i="7"/>
  <c r="JU86" i="7"/>
  <c r="JU121" i="7"/>
  <c r="JU113" i="7"/>
  <c r="JU97" i="7"/>
  <c r="JU89" i="7"/>
  <c r="JU129" i="7"/>
  <c r="JU128" i="7"/>
  <c r="JU125" i="7"/>
  <c r="JU130" i="7"/>
  <c r="JU122" i="7"/>
  <c r="JU135" i="7"/>
  <c r="JU123" i="7"/>
  <c r="JU117" i="7"/>
  <c r="JU103" i="7"/>
  <c r="JU96" i="7"/>
  <c r="JU107" i="7"/>
  <c r="JU90" i="7"/>
  <c r="JU88" i="7"/>
  <c r="JU78" i="7"/>
  <c r="JU70" i="7"/>
  <c r="JU62" i="7"/>
  <c r="JU85" i="7"/>
  <c r="JU81" i="7"/>
  <c r="JU73" i="7"/>
  <c r="JU65" i="7"/>
  <c r="JU112" i="7"/>
  <c r="JU110" i="7"/>
  <c r="JU111" i="7"/>
  <c r="JU137" i="7"/>
  <c r="JU115" i="7"/>
  <c r="JU105" i="7"/>
  <c r="JU99" i="7"/>
  <c r="JU91" i="7"/>
  <c r="JU80" i="7"/>
  <c r="JU72" i="7"/>
  <c r="JU64" i="7"/>
  <c r="JU92" i="7"/>
  <c r="JU87" i="7"/>
  <c r="JU66" i="7"/>
  <c r="JU104" i="7"/>
  <c r="JU93" i="7"/>
  <c r="JU84" i="7"/>
  <c r="JU77" i="7"/>
  <c r="JU83" i="7"/>
  <c r="JU79" i="7"/>
  <c r="JU95" i="7"/>
  <c r="JU76" i="7"/>
  <c r="JU75" i="7"/>
  <c r="JU74" i="7"/>
  <c r="JU98" i="7"/>
  <c r="JU82" i="7"/>
  <c r="JU58" i="7"/>
  <c r="JU50" i="7"/>
  <c r="JU42" i="7"/>
  <c r="JU34" i="7"/>
  <c r="JU26" i="7"/>
  <c r="JU63" i="7"/>
  <c r="JU61" i="7"/>
  <c r="JU53" i="7"/>
  <c r="JU45" i="7"/>
  <c r="JU37" i="7"/>
  <c r="JU29" i="7"/>
  <c r="JU71" i="7"/>
  <c r="JU67" i="7"/>
  <c r="JU69" i="7"/>
  <c r="JU60" i="7"/>
  <c r="JU52" i="7"/>
  <c r="JU44" i="7"/>
  <c r="JU36" i="7"/>
  <c r="JU48" i="7"/>
  <c r="JU41" i="7"/>
  <c r="JU33" i="7"/>
  <c r="JU59" i="7"/>
  <c r="JU40" i="7"/>
  <c r="JU68" i="7"/>
  <c r="JU46" i="7"/>
  <c r="JU17" i="7"/>
  <c r="JU9" i="7"/>
  <c r="JU55" i="7"/>
  <c r="JU54" i="7"/>
  <c r="JU43" i="7"/>
  <c r="JU30" i="7"/>
  <c r="JU20" i="7"/>
  <c r="JU12" i="7"/>
  <c r="JU4" i="7"/>
  <c r="JU56" i="7"/>
  <c r="JU57" i="7"/>
  <c r="JU47" i="7"/>
  <c r="JU51" i="7"/>
  <c r="JU49" i="7"/>
  <c r="JU38" i="7"/>
  <c r="JU25" i="7"/>
  <c r="JU23" i="7"/>
  <c r="JU19" i="7"/>
  <c r="JU11" i="7"/>
  <c r="JU3" i="7"/>
  <c r="JU15" i="7"/>
  <c r="JU8" i="7"/>
  <c r="JU7" i="7"/>
  <c r="JU27" i="7"/>
  <c r="JU22" i="7"/>
  <c r="JU18" i="7"/>
  <c r="JU39" i="7"/>
  <c r="JU24" i="7"/>
  <c r="JU14" i="7"/>
  <c r="JU10" i="7"/>
  <c r="JU21" i="7"/>
  <c r="JU6" i="7"/>
  <c r="JU35" i="7"/>
  <c r="JU31" i="7"/>
  <c r="JU13" i="7"/>
  <c r="JU28" i="7"/>
  <c r="JU5" i="7"/>
  <c r="Z52" i="9"/>
  <c r="Z52" i="8"/>
  <c r="Z1" i="9"/>
  <c r="Z141" i="7"/>
  <c r="Z144" i="7"/>
  <c r="Z143" i="7"/>
  <c r="Z140" i="7"/>
  <c r="Z135" i="7"/>
  <c r="Z127" i="7"/>
  <c r="Z119" i="7"/>
  <c r="Z139" i="7"/>
  <c r="Z137" i="7"/>
  <c r="Z130" i="7"/>
  <c r="Z122" i="7"/>
  <c r="Z148" i="7"/>
  <c r="Z129" i="7"/>
  <c r="Z142" i="7"/>
  <c r="Z133" i="7"/>
  <c r="Z117" i="7"/>
  <c r="Z109" i="7"/>
  <c r="Z101" i="7"/>
  <c r="Z128" i="7"/>
  <c r="Z124" i="7"/>
  <c r="Z112" i="7"/>
  <c r="Z104" i="7"/>
  <c r="Z1" i="8"/>
  <c r="Z138" i="7"/>
  <c r="Z136" i="7"/>
  <c r="Z123" i="7"/>
  <c r="Z111" i="7"/>
  <c r="Z103" i="7"/>
  <c r="Z132" i="7"/>
  <c r="Z131" i="7"/>
  <c r="Z121" i="7"/>
  <c r="Z113" i="7"/>
  <c r="Z97" i="7"/>
  <c r="Z89" i="7"/>
  <c r="Z125" i="7"/>
  <c r="Z105" i="7"/>
  <c r="Z92" i="7"/>
  <c r="Z126" i="7"/>
  <c r="Z120" i="7"/>
  <c r="Z118" i="7"/>
  <c r="Z114" i="7"/>
  <c r="Z110" i="7"/>
  <c r="Z99" i="7"/>
  <c r="Z91" i="7"/>
  <c r="Z115" i="7"/>
  <c r="Z100" i="7"/>
  <c r="Z81" i="7"/>
  <c r="Z73" i="7"/>
  <c r="Z65" i="7"/>
  <c r="Z93" i="7"/>
  <c r="Z84" i="7"/>
  <c r="Z76" i="7"/>
  <c r="Z68" i="7"/>
  <c r="Z116" i="7"/>
  <c r="Z107" i="7"/>
  <c r="Z106" i="7"/>
  <c r="Z108" i="7"/>
  <c r="Z134" i="7"/>
  <c r="Z98" i="7"/>
  <c r="Z83" i="7"/>
  <c r="Z75" i="7"/>
  <c r="Z67" i="7"/>
  <c r="Z77" i="7"/>
  <c r="Z69" i="7"/>
  <c r="Z102" i="7"/>
  <c r="Z71" i="7"/>
  <c r="Z86" i="7"/>
  <c r="Z80" i="7"/>
  <c r="Z96" i="7"/>
  <c r="Z88" i="7"/>
  <c r="Z82" i="7"/>
  <c r="Z90" i="7"/>
  <c r="Z87" i="7"/>
  <c r="Z61" i="7"/>
  <c r="Z53" i="7"/>
  <c r="Z45" i="7"/>
  <c r="Z37" i="7"/>
  <c r="Z29" i="7"/>
  <c r="Z72" i="7"/>
  <c r="Z56" i="7"/>
  <c r="Z48" i="7"/>
  <c r="Z40" i="7"/>
  <c r="Z32" i="7"/>
  <c r="Z94" i="7"/>
  <c r="Z74" i="7"/>
  <c r="Z66" i="7"/>
  <c r="Z64" i="7"/>
  <c r="Z70" i="7"/>
  <c r="Z85" i="7"/>
  <c r="Z78" i="7"/>
  <c r="Z55" i="7"/>
  <c r="Z47" i="7"/>
  <c r="Z39" i="7"/>
  <c r="Z95" i="7"/>
  <c r="Z79" i="7"/>
  <c r="Z59" i="7"/>
  <c r="Z52" i="7"/>
  <c r="Z51" i="7"/>
  <c r="Z44" i="7"/>
  <c r="Z62" i="7"/>
  <c r="Z57" i="7"/>
  <c r="Z42" i="7"/>
  <c r="Z38" i="7"/>
  <c r="Z36" i="7"/>
  <c r="Z30" i="7"/>
  <c r="Z26" i="7"/>
  <c r="Z20" i="7"/>
  <c r="Z12" i="7"/>
  <c r="Z4" i="7"/>
  <c r="Z60" i="7"/>
  <c r="Z49" i="7"/>
  <c r="Z27" i="7"/>
  <c r="Z23" i="7"/>
  <c r="Z15" i="7"/>
  <c r="Z7" i="7"/>
  <c r="Z63" i="7"/>
  <c r="Z50" i="7"/>
  <c r="Z54" i="7"/>
  <c r="Z43" i="7"/>
  <c r="Z41" i="7"/>
  <c r="Z34" i="7"/>
  <c r="Z22" i="7"/>
  <c r="Z14" i="7"/>
  <c r="Z6" i="7"/>
  <c r="Z58" i="7"/>
  <c r="Z19" i="7"/>
  <c r="Z33" i="7"/>
  <c r="Z18" i="7"/>
  <c r="Z11" i="7"/>
  <c r="Z25" i="7"/>
  <c r="Z10" i="7"/>
  <c r="Z35" i="7"/>
  <c r="Z21" i="7"/>
  <c r="Z31" i="7"/>
  <c r="Z17" i="7"/>
  <c r="Z13" i="7"/>
  <c r="Z28" i="7"/>
  <c r="Z9" i="7"/>
  <c r="Z46" i="7"/>
  <c r="Z24" i="7"/>
  <c r="Z16" i="7"/>
  <c r="CD52" i="9"/>
  <c r="CD1" i="9"/>
  <c r="CD52" i="8"/>
  <c r="CD141" i="7"/>
  <c r="CD1" i="8"/>
  <c r="CD144" i="7"/>
  <c r="CD143" i="7"/>
  <c r="CD142" i="7"/>
  <c r="CD135" i="7"/>
  <c r="CD127" i="7"/>
  <c r="CD119" i="7"/>
  <c r="CD136" i="7"/>
  <c r="CD130" i="7"/>
  <c r="CD122" i="7"/>
  <c r="CD139" i="7"/>
  <c r="CD129" i="7"/>
  <c r="CD132" i="7"/>
  <c r="CD128" i="7"/>
  <c r="CD125" i="7"/>
  <c r="CD121" i="7"/>
  <c r="CD117" i="7"/>
  <c r="CD109" i="7"/>
  <c r="CD101" i="7"/>
  <c r="CD112" i="7"/>
  <c r="CD104" i="7"/>
  <c r="CD140" i="7"/>
  <c r="CD134" i="7"/>
  <c r="CD148" i="7"/>
  <c r="CD137" i="7"/>
  <c r="CD111" i="7"/>
  <c r="CD103" i="7"/>
  <c r="CD115" i="7"/>
  <c r="CD108" i="7"/>
  <c r="CD97" i="7"/>
  <c r="CD89" i="7"/>
  <c r="CD131" i="7"/>
  <c r="CD107" i="7"/>
  <c r="CD102" i="7"/>
  <c r="CD92" i="7"/>
  <c r="CD138" i="7"/>
  <c r="CD126" i="7"/>
  <c r="CD133" i="7"/>
  <c r="CD123" i="7"/>
  <c r="CD120" i="7"/>
  <c r="CD124" i="7"/>
  <c r="CD105" i="7"/>
  <c r="CD99" i="7"/>
  <c r="CD91" i="7"/>
  <c r="CD96" i="7"/>
  <c r="CD85" i="7"/>
  <c r="CD81" i="7"/>
  <c r="CD73" i="7"/>
  <c r="CD65" i="7"/>
  <c r="CD95" i="7"/>
  <c r="CD86" i="7"/>
  <c r="CD84" i="7"/>
  <c r="CD76" i="7"/>
  <c r="CD68" i="7"/>
  <c r="CD118" i="7"/>
  <c r="CD114" i="7"/>
  <c r="CD113" i="7"/>
  <c r="CD116" i="7"/>
  <c r="CD100" i="7"/>
  <c r="CD93" i="7"/>
  <c r="CD83" i="7"/>
  <c r="CD75" i="7"/>
  <c r="CD67" i="7"/>
  <c r="CD94" i="7"/>
  <c r="CD88" i="7"/>
  <c r="CD79" i="7"/>
  <c r="CD72" i="7"/>
  <c r="CD71" i="7"/>
  <c r="CD87" i="7"/>
  <c r="CD70" i="7"/>
  <c r="CD77" i="7"/>
  <c r="CD78" i="7"/>
  <c r="CD61" i="7"/>
  <c r="CD53" i="7"/>
  <c r="CD45" i="7"/>
  <c r="CD37" i="7"/>
  <c r="CD29" i="7"/>
  <c r="CD64" i="7"/>
  <c r="CD56" i="7"/>
  <c r="CD48" i="7"/>
  <c r="CD40" i="7"/>
  <c r="CD32" i="7"/>
  <c r="CD98" i="7"/>
  <c r="CD69" i="7"/>
  <c r="CD80" i="7"/>
  <c r="CD66" i="7"/>
  <c r="CD110" i="7"/>
  <c r="CD106" i="7"/>
  <c r="CD74" i="7"/>
  <c r="CD63" i="7"/>
  <c r="CD55" i="7"/>
  <c r="CD47" i="7"/>
  <c r="CD39" i="7"/>
  <c r="CD58" i="7"/>
  <c r="CD54" i="7"/>
  <c r="CD35" i="7"/>
  <c r="CD50" i="7"/>
  <c r="CD46" i="7"/>
  <c r="CD90" i="7"/>
  <c r="CD59" i="7"/>
  <c r="CD52" i="7"/>
  <c r="CD57" i="7"/>
  <c r="CD44" i="7"/>
  <c r="CD20" i="7"/>
  <c r="CD12" i="7"/>
  <c r="CD4" i="7"/>
  <c r="CD34" i="7"/>
  <c r="CD31" i="7"/>
  <c r="CD25" i="7"/>
  <c r="CD23" i="7"/>
  <c r="CD15" i="7"/>
  <c r="CD7" i="7"/>
  <c r="CD82" i="7"/>
  <c r="CD60" i="7"/>
  <c r="CD49" i="7"/>
  <c r="CD38" i="7"/>
  <c r="CD51" i="7"/>
  <c r="CD62" i="7"/>
  <c r="CD42" i="7"/>
  <c r="CD41" i="7"/>
  <c r="CD30" i="7"/>
  <c r="CD26" i="7"/>
  <c r="CD22" i="7"/>
  <c r="CD14" i="7"/>
  <c r="CD6" i="7"/>
  <c r="CD36" i="7"/>
  <c r="CD27" i="7"/>
  <c r="CD21" i="7"/>
  <c r="CD2" i="7"/>
  <c r="CD17" i="7"/>
  <c r="CD13" i="7"/>
  <c r="CD28" i="7"/>
  <c r="CD9" i="7"/>
  <c r="CD5" i="7"/>
  <c r="CD16" i="7"/>
  <c r="CD8" i="7"/>
  <c r="CD43" i="7"/>
  <c r="CD19" i="7"/>
  <c r="CD18" i="7"/>
  <c r="CD11" i="7"/>
  <c r="DR52" i="9"/>
  <c r="DR1" i="9"/>
  <c r="DR52" i="8"/>
  <c r="DR141" i="7"/>
  <c r="DR144" i="7"/>
  <c r="DR136" i="7"/>
  <c r="DR143" i="7"/>
  <c r="DR135" i="7"/>
  <c r="DR127" i="7"/>
  <c r="DR119" i="7"/>
  <c r="DR137" i="7"/>
  <c r="DR130" i="7"/>
  <c r="DR122" i="7"/>
  <c r="DR129" i="7"/>
  <c r="DR109" i="7"/>
  <c r="DR101" i="7"/>
  <c r="DR139" i="7"/>
  <c r="DR131" i="7"/>
  <c r="DR124" i="7"/>
  <c r="DR118" i="7"/>
  <c r="DR112" i="7"/>
  <c r="DR104" i="7"/>
  <c r="DR140" i="7"/>
  <c r="DR142" i="7"/>
  <c r="DR134" i="7"/>
  <c r="DR133" i="7"/>
  <c r="DR148" i="7"/>
  <c r="DR138" i="7"/>
  <c r="DR123" i="7"/>
  <c r="DR111" i="7"/>
  <c r="DR103" i="7"/>
  <c r="DR1" i="8"/>
  <c r="DR128" i="7"/>
  <c r="DR126" i="7"/>
  <c r="DR107" i="7"/>
  <c r="DR97" i="7"/>
  <c r="DR89" i="7"/>
  <c r="DR120" i="7"/>
  <c r="DR92" i="7"/>
  <c r="DR132" i="7"/>
  <c r="DR121" i="7"/>
  <c r="DR125" i="7"/>
  <c r="DR117" i="7"/>
  <c r="DR116" i="7"/>
  <c r="DR99" i="7"/>
  <c r="DR91" i="7"/>
  <c r="DR95" i="7"/>
  <c r="DR81" i="7"/>
  <c r="DR73" i="7"/>
  <c r="DR65" i="7"/>
  <c r="DR84" i="7"/>
  <c r="DR76" i="7"/>
  <c r="DR68" i="7"/>
  <c r="DR114" i="7"/>
  <c r="DR113" i="7"/>
  <c r="DR115" i="7"/>
  <c r="DR83" i="7"/>
  <c r="DR75" i="7"/>
  <c r="DR67" i="7"/>
  <c r="DR94" i="7"/>
  <c r="DR93" i="7"/>
  <c r="DR86" i="7"/>
  <c r="DR71" i="7"/>
  <c r="DR106" i="7"/>
  <c r="DR85" i="7"/>
  <c r="DR82" i="7"/>
  <c r="DR110" i="7"/>
  <c r="DR108" i="7"/>
  <c r="DR77" i="7"/>
  <c r="DR102" i="7"/>
  <c r="DR87" i="7"/>
  <c r="DR66" i="7"/>
  <c r="DR96" i="7"/>
  <c r="DR78" i="7"/>
  <c r="DR90" i="7"/>
  <c r="DR79" i="7"/>
  <c r="DR105" i="7"/>
  <c r="DR61" i="7"/>
  <c r="DR53" i="7"/>
  <c r="DR45" i="7"/>
  <c r="DR37" i="7"/>
  <c r="DR29" i="7"/>
  <c r="DR80" i="7"/>
  <c r="DR56" i="7"/>
  <c r="DR48" i="7"/>
  <c r="DR40" i="7"/>
  <c r="DR32" i="7"/>
  <c r="DR88" i="7"/>
  <c r="DR72" i="7"/>
  <c r="DR74" i="7"/>
  <c r="DR70" i="7"/>
  <c r="DR64" i="7"/>
  <c r="DR63" i="7"/>
  <c r="DR69" i="7"/>
  <c r="DR98" i="7"/>
  <c r="DR100" i="7"/>
  <c r="DR55" i="7"/>
  <c r="DR47" i="7"/>
  <c r="DR39" i="7"/>
  <c r="DR50" i="7"/>
  <c r="DR46" i="7"/>
  <c r="DR57" i="7"/>
  <c r="DR42" i="7"/>
  <c r="DR38" i="7"/>
  <c r="DR51" i="7"/>
  <c r="DR44" i="7"/>
  <c r="DR62" i="7"/>
  <c r="DR30" i="7"/>
  <c r="DR26" i="7"/>
  <c r="DR20" i="7"/>
  <c r="DR12" i="7"/>
  <c r="DR4" i="7"/>
  <c r="DR34" i="7"/>
  <c r="DR33" i="7"/>
  <c r="DR27" i="7"/>
  <c r="DR23" i="7"/>
  <c r="DR15" i="7"/>
  <c r="DR7" i="7"/>
  <c r="DR59" i="7"/>
  <c r="DR58" i="7"/>
  <c r="DR60" i="7"/>
  <c r="DR49" i="7"/>
  <c r="DR52" i="7"/>
  <c r="DR41" i="7"/>
  <c r="DR25" i="7"/>
  <c r="DR22" i="7"/>
  <c r="DR14" i="7"/>
  <c r="DR6" i="7"/>
  <c r="DR28" i="7"/>
  <c r="DR17" i="7"/>
  <c r="DR13" i="7"/>
  <c r="DR9" i="7"/>
  <c r="DR5" i="7"/>
  <c r="DR54" i="7"/>
  <c r="DR24" i="7"/>
  <c r="DR16" i="7"/>
  <c r="DR43" i="7"/>
  <c r="DR35" i="7"/>
  <c r="DR8" i="7"/>
  <c r="DR19" i="7"/>
  <c r="DR18" i="7"/>
  <c r="DR11" i="7"/>
  <c r="DR36" i="7"/>
  <c r="DR10" i="7"/>
  <c r="DR3" i="7"/>
  <c r="FF52" i="9"/>
  <c r="FF1" i="9"/>
  <c r="FF52" i="8"/>
  <c r="FF141" i="7"/>
  <c r="FF144" i="7"/>
  <c r="FF136" i="7"/>
  <c r="FF143" i="7"/>
  <c r="FF135" i="7"/>
  <c r="FF127" i="7"/>
  <c r="FF119" i="7"/>
  <c r="FF148" i="7"/>
  <c r="FF130" i="7"/>
  <c r="FF122" i="7"/>
  <c r="FF142" i="7"/>
  <c r="FF138" i="7"/>
  <c r="FF129" i="7"/>
  <c r="FF131" i="7"/>
  <c r="FF123" i="7"/>
  <c r="FF109" i="7"/>
  <c r="FF101" i="7"/>
  <c r="FF139" i="7"/>
  <c r="FF120" i="7"/>
  <c r="FF112" i="7"/>
  <c r="FF104" i="7"/>
  <c r="FF140" i="7"/>
  <c r="FF134" i="7"/>
  <c r="FF1" i="8"/>
  <c r="FF133" i="7"/>
  <c r="FF132" i="7"/>
  <c r="FF128" i="7"/>
  <c r="FF118" i="7"/>
  <c r="FF111" i="7"/>
  <c r="FF103" i="7"/>
  <c r="FF124" i="7"/>
  <c r="FF97" i="7"/>
  <c r="FF89" i="7"/>
  <c r="FF121" i="7"/>
  <c r="FF114" i="7"/>
  <c r="FF110" i="7"/>
  <c r="FF100" i="7"/>
  <c r="FF92" i="7"/>
  <c r="FF125" i="7"/>
  <c r="FF126" i="7"/>
  <c r="FF137" i="7"/>
  <c r="FF115" i="7"/>
  <c r="FF108" i="7"/>
  <c r="FF99" i="7"/>
  <c r="FF91" i="7"/>
  <c r="FF81" i="7"/>
  <c r="FF73" i="7"/>
  <c r="FF65" i="7"/>
  <c r="FF116" i="7"/>
  <c r="FF98" i="7"/>
  <c r="FF88" i="7"/>
  <c r="FF84" i="7"/>
  <c r="FF76" i="7"/>
  <c r="FF68" i="7"/>
  <c r="FF113" i="7"/>
  <c r="FF117" i="7"/>
  <c r="FF107" i="7"/>
  <c r="FF96" i="7"/>
  <c r="FF87" i="7"/>
  <c r="FF83" i="7"/>
  <c r="FF75" i="7"/>
  <c r="FF67" i="7"/>
  <c r="FF94" i="7"/>
  <c r="FF93" i="7"/>
  <c r="FF82" i="7"/>
  <c r="FF105" i="7"/>
  <c r="FF95" i="7"/>
  <c r="FF78" i="7"/>
  <c r="FF74" i="7"/>
  <c r="FF102" i="7"/>
  <c r="FF69" i="7"/>
  <c r="FF90" i="7"/>
  <c r="FF86" i="7"/>
  <c r="FF77" i="7"/>
  <c r="FF79" i="7"/>
  <c r="FF106" i="7"/>
  <c r="FF63" i="7"/>
  <c r="FF61" i="7"/>
  <c r="FF53" i="7"/>
  <c r="FF45" i="7"/>
  <c r="FF37" i="7"/>
  <c r="FF29" i="7"/>
  <c r="FF56" i="7"/>
  <c r="FF48" i="7"/>
  <c r="FF40" i="7"/>
  <c r="FF32" i="7"/>
  <c r="FF66" i="7"/>
  <c r="FF71" i="7"/>
  <c r="FF70" i="7"/>
  <c r="FF64" i="7"/>
  <c r="FF85" i="7"/>
  <c r="FF72" i="7"/>
  <c r="FF55" i="7"/>
  <c r="FF47" i="7"/>
  <c r="FF39" i="7"/>
  <c r="FF57" i="7"/>
  <c r="FF42" i="7"/>
  <c r="FF38" i="7"/>
  <c r="FF49" i="7"/>
  <c r="FF34" i="7"/>
  <c r="FF33" i="7"/>
  <c r="FF60" i="7"/>
  <c r="FF80" i="7"/>
  <c r="FF62" i="7"/>
  <c r="FF43" i="7"/>
  <c r="FF36" i="7"/>
  <c r="FF20" i="7"/>
  <c r="FF12" i="7"/>
  <c r="FF4" i="7"/>
  <c r="FF44" i="7"/>
  <c r="FF23" i="7"/>
  <c r="FF15" i="7"/>
  <c r="FF7" i="7"/>
  <c r="FF59" i="7"/>
  <c r="FF58" i="7"/>
  <c r="FF46" i="7"/>
  <c r="FF51" i="7"/>
  <c r="FF50" i="7"/>
  <c r="FF52" i="7"/>
  <c r="FF41" i="7"/>
  <c r="FF28" i="7"/>
  <c r="FF22" i="7"/>
  <c r="FF14" i="7"/>
  <c r="FF6" i="7"/>
  <c r="FF54" i="7"/>
  <c r="FF26" i="7"/>
  <c r="FF25" i="7"/>
  <c r="FF9" i="7"/>
  <c r="FF5" i="7"/>
  <c r="FF35" i="7"/>
  <c r="FF30" i="7"/>
  <c r="FF16" i="7"/>
  <c r="FF27" i="7"/>
  <c r="FF8" i="7"/>
  <c r="FF19" i="7"/>
  <c r="FF24" i="7"/>
  <c r="FF18" i="7"/>
  <c r="FF11" i="7"/>
  <c r="FF31" i="7"/>
  <c r="FF10" i="7"/>
  <c r="FF21" i="7"/>
  <c r="FF2" i="7"/>
  <c r="GL52" i="9"/>
  <c r="GL1" i="9"/>
  <c r="GL52" i="8"/>
  <c r="GL141" i="7"/>
  <c r="GL144" i="7"/>
  <c r="GL136" i="7"/>
  <c r="GL143" i="7"/>
  <c r="GL139" i="7"/>
  <c r="GL127" i="7"/>
  <c r="GL119" i="7"/>
  <c r="GL135" i="7"/>
  <c r="GL130" i="7"/>
  <c r="GL122" i="7"/>
  <c r="GL138" i="7"/>
  <c r="GL129" i="7"/>
  <c r="GL137" i="7"/>
  <c r="GL123" i="7"/>
  <c r="GL109" i="7"/>
  <c r="GL101" i="7"/>
  <c r="GL120" i="7"/>
  <c r="GL112" i="7"/>
  <c r="GL104" i="7"/>
  <c r="GL1" i="8"/>
  <c r="GL148" i="7"/>
  <c r="GL142" i="7"/>
  <c r="GL140" i="7"/>
  <c r="GL134" i="7"/>
  <c r="GL111" i="7"/>
  <c r="GL103" i="7"/>
  <c r="GL105" i="7"/>
  <c r="GL99" i="7"/>
  <c r="GL97" i="7"/>
  <c r="GL89" i="7"/>
  <c r="GL133" i="7"/>
  <c r="GL124" i="7"/>
  <c r="GL118" i="7"/>
  <c r="GL116" i="7"/>
  <c r="GL100" i="7"/>
  <c r="GL92" i="7"/>
  <c r="GL121" i="7"/>
  <c r="GL128" i="7"/>
  <c r="GL125" i="7"/>
  <c r="GL132" i="7"/>
  <c r="GL131" i="7"/>
  <c r="GL126" i="7"/>
  <c r="GL106" i="7"/>
  <c r="GL102" i="7"/>
  <c r="GL91" i="7"/>
  <c r="GL93" i="7"/>
  <c r="GL81" i="7"/>
  <c r="GL73" i="7"/>
  <c r="GL65" i="7"/>
  <c r="GL117" i="7"/>
  <c r="GL107" i="7"/>
  <c r="GL88" i="7"/>
  <c r="GL84" i="7"/>
  <c r="GL76" i="7"/>
  <c r="GL68" i="7"/>
  <c r="GL108" i="7"/>
  <c r="GL110" i="7"/>
  <c r="GL115" i="7"/>
  <c r="GL113" i="7"/>
  <c r="GL94" i="7"/>
  <c r="GL90" i="7"/>
  <c r="GL87" i="7"/>
  <c r="GL83" i="7"/>
  <c r="GL75" i="7"/>
  <c r="GL67" i="7"/>
  <c r="GL69" i="7"/>
  <c r="GL80" i="7"/>
  <c r="GL114" i="7"/>
  <c r="GL95" i="7"/>
  <c r="GL82" i="7"/>
  <c r="GL86" i="7"/>
  <c r="GL71" i="7"/>
  <c r="GL70" i="7"/>
  <c r="GL72" i="7"/>
  <c r="GL85" i="7"/>
  <c r="GL74" i="7"/>
  <c r="GL61" i="7"/>
  <c r="GL53" i="7"/>
  <c r="GL45" i="7"/>
  <c r="GL37" i="7"/>
  <c r="GL29" i="7"/>
  <c r="GL77" i="7"/>
  <c r="GL64" i="7"/>
  <c r="GL56" i="7"/>
  <c r="GL48" i="7"/>
  <c r="GL40" i="7"/>
  <c r="GL32" i="7"/>
  <c r="GL96" i="7"/>
  <c r="GL78" i="7"/>
  <c r="GL63" i="7"/>
  <c r="GL79" i="7"/>
  <c r="GL66" i="7"/>
  <c r="GL55" i="7"/>
  <c r="GL47" i="7"/>
  <c r="GL39" i="7"/>
  <c r="GL98" i="7"/>
  <c r="GL51" i="7"/>
  <c r="GL44" i="7"/>
  <c r="GL43" i="7"/>
  <c r="GL36" i="7"/>
  <c r="GL33" i="7"/>
  <c r="GL62" i="7"/>
  <c r="GL49" i="7"/>
  <c r="GL34" i="7"/>
  <c r="GL50" i="7"/>
  <c r="GL38" i="7"/>
  <c r="GL24" i="7"/>
  <c r="GL20" i="7"/>
  <c r="GL12" i="7"/>
  <c r="GL4" i="7"/>
  <c r="GL15" i="7"/>
  <c r="GL7" i="7"/>
  <c r="GL54" i="7"/>
  <c r="GL52" i="7"/>
  <c r="GL41" i="7"/>
  <c r="GL42" i="7"/>
  <c r="GL60" i="7"/>
  <c r="GL58" i="7"/>
  <c r="GL57" i="7"/>
  <c r="GL46" i="7"/>
  <c r="GL59" i="7"/>
  <c r="GL28" i="7"/>
  <c r="GL22" i="7"/>
  <c r="GL14" i="7"/>
  <c r="GL6" i="7"/>
  <c r="GL18" i="7"/>
  <c r="GL11" i="7"/>
  <c r="GL26" i="7"/>
  <c r="GL10" i="7"/>
  <c r="GL3" i="7"/>
  <c r="GL35" i="7"/>
  <c r="GL30" i="7"/>
  <c r="GL21" i="7"/>
  <c r="GL27" i="7"/>
  <c r="GL17" i="7"/>
  <c r="GL13" i="7"/>
  <c r="GL9" i="7"/>
  <c r="GL5" i="7"/>
  <c r="GL16" i="7"/>
  <c r="GL31" i="7"/>
  <c r="GL23" i="7"/>
  <c r="GL8" i="7"/>
  <c r="HZ52" i="9"/>
  <c r="HZ1" i="9"/>
  <c r="HZ52" i="8"/>
  <c r="HZ141" i="7"/>
  <c r="HZ144" i="7"/>
  <c r="HZ136" i="7"/>
  <c r="HZ143" i="7"/>
  <c r="HZ138" i="7"/>
  <c r="HZ127" i="7"/>
  <c r="HZ119" i="7"/>
  <c r="HZ1" i="8"/>
  <c r="HZ142" i="7"/>
  <c r="HZ130" i="7"/>
  <c r="HZ122" i="7"/>
  <c r="HZ140" i="7"/>
  <c r="HZ135" i="7"/>
  <c r="HZ129" i="7"/>
  <c r="HZ117" i="7"/>
  <c r="HZ109" i="7"/>
  <c r="HZ101" i="7"/>
  <c r="HZ132" i="7"/>
  <c r="HZ128" i="7"/>
  <c r="HZ126" i="7"/>
  <c r="HZ112" i="7"/>
  <c r="HZ104" i="7"/>
  <c r="HZ148" i="7"/>
  <c r="HZ139" i="7"/>
  <c r="HZ137" i="7"/>
  <c r="HZ133" i="7"/>
  <c r="HZ125" i="7"/>
  <c r="HZ121" i="7"/>
  <c r="HZ111" i="7"/>
  <c r="HZ103" i="7"/>
  <c r="HZ116" i="7"/>
  <c r="HZ97" i="7"/>
  <c r="HZ89" i="7"/>
  <c r="HZ115" i="7"/>
  <c r="HZ108" i="7"/>
  <c r="HZ92" i="7"/>
  <c r="HZ123" i="7"/>
  <c r="HZ120" i="7"/>
  <c r="HZ118" i="7"/>
  <c r="HZ134" i="7"/>
  <c r="HZ131" i="7"/>
  <c r="HZ113" i="7"/>
  <c r="HZ91" i="7"/>
  <c r="HZ87" i="7"/>
  <c r="HZ81" i="7"/>
  <c r="HZ73" i="7"/>
  <c r="HZ65" i="7"/>
  <c r="HZ107" i="7"/>
  <c r="HZ105" i="7"/>
  <c r="HZ96" i="7"/>
  <c r="HZ84" i="7"/>
  <c r="HZ76" i="7"/>
  <c r="HZ68" i="7"/>
  <c r="HZ106" i="7"/>
  <c r="HZ124" i="7"/>
  <c r="HZ110" i="7"/>
  <c r="HZ100" i="7"/>
  <c r="HZ83" i="7"/>
  <c r="HZ75" i="7"/>
  <c r="HZ67" i="7"/>
  <c r="HZ88" i="7"/>
  <c r="HZ80" i="7"/>
  <c r="HZ114" i="7"/>
  <c r="HZ102" i="7"/>
  <c r="HZ85" i="7"/>
  <c r="HZ79" i="7"/>
  <c r="HZ72" i="7"/>
  <c r="HZ95" i="7"/>
  <c r="HZ93" i="7"/>
  <c r="HZ86" i="7"/>
  <c r="HZ78" i="7"/>
  <c r="HZ74" i="7"/>
  <c r="HZ82" i="7"/>
  <c r="HZ71" i="7"/>
  <c r="HZ70" i="7"/>
  <c r="HZ69" i="7"/>
  <c r="HZ94" i="7"/>
  <c r="HZ98" i="7"/>
  <c r="HZ61" i="7"/>
  <c r="HZ53" i="7"/>
  <c r="HZ45" i="7"/>
  <c r="HZ37" i="7"/>
  <c r="HZ29" i="7"/>
  <c r="HZ90" i="7"/>
  <c r="HZ56" i="7"/>
  <c r="HZ48" i="7"/>
  <c r="HZ40" i="7"/>
  <c r="HZ32" i="7"/>
  <c r="HZ99" i="7"/>
  <c r="HZ64" i="7"/>
  <c r="HZ62" i="7"/>
  <c r="HZ63" i="7"/>
  <c r="HZ66" i="7"/>
  <c r="HZ55" i="7"/>
  <c r="HZ47" i="7"/>
  <c r="HZ39" i="7"/>
  <c r="HZ43" i="7"/>
  <c r="HZ36" i="7"/>
  <c r="HZ58" i="7"/>
  <c r="HZ54" i="7"/>
  <c r="HZ35" i="7"/>
  <c r="HZ77" i="7"/>
  <c r="HZ60" i="7"/>
  <c r="HZ41" i="7"/>
  <c r="HZ50" i="7"/>
  <c r="HZ49" i="7"/>
  <c r="HZ38" i="7"/>
  <c r="HZ28" i="7"/>
  <c r="HZ20" i="7"/>
  <c r="HZ12" i="7"/>
  <c r="HZ4" i="7"/>
  <c r="HZ51" i="7"/>
  <c r="HZ33" i="7"/>
  <c r="HZ25" i="7"/>
  <c r="HZ15" i="7"/>
  <c r="HZ7" i="7"/>
  <c r="HZ52" i="7"/>
  <c r="HZ42" i="7"/>
  <c r="HZ57" i="7"/>
  <c r="HZ46" i="7"/>
  <c r="HZ44" i="7"/>
  <c r="HZ59" i="7"/>
  <c r="HZ34" i="7"/>
  <c r="HZ22" i="7"/>
  <c r="HZ14" i="7"/>
  <c r="HZ6" i="7"/>
  <c r="HZ30" i="7"/>
  <c r="HZ10" i="7"/>
  <c r="HZ3" i="7"/>
  <c r="HZ27" i="7"/>
  <c r="HZ23" i="7"/>
  <c r="HZ21" i="7"/>
  <c r="HZ2" i="7"/>
  <c r="HZ17" i="7"/>
  <c r="HZ13" i="7"/>
  <c r="HZ31" i="7"/>
  <c r="HZ9" i="7"/>
  <c r="HZ5" i="7"/>
  <c r="HZ16" i="7"/>
  <c r="HZ24" i="7"/>
  <c r="HZ19" i="7"/>
  <c r="JN52" i="9"/>
  <c r="JN52" i="8"/>
  <c r="JN1" i="9"/>
  <c r="JN141" i="7"/>
  <c r="JN1" i="8"/>
  <c r="JN144" i="7"/>
  <c r="JN136" i="7"/>
  <c r="JN143" i="7"/>
  <c r="JN142" i="7"/>
  <c r="JN127" i="7"/>
  <c r="JN119" i="7"/>
  <c r="JN130" i="7"/>
  <c r="JN122" i="7"/>
  <c r="JN139" i="7"/>
  <c r="JN129" i="7"/>
  <c r="JN135" i="7"/>
  <c r="JN132" i="7"/>
  <c r="JN128" i="7"/>
  <c r="JN125" i="7"/>
  <c r="JN121" i="7"/>
  <c r="JN109" i="7"/>
  <c r="JN101" i="7"/>
  <c r="JN112" i="7"/>
  <c r="JN104" i="7"/>
  <c r="JN148" i="7"/>
  <c r="JN137" i="7"/>
  <c r="JN134" i="7"/>
  <c r="JN138" i="7"/>
  <c r="JN111" i="7"/>
  <c r="JN103" i="7"/>
  <c r="JN126" i="7"/>
  <c r="JN115" i="7"/>
  <c r="JN108" i="7"/>
  <c r="JN97" i="7"/>
  <c r="JN89" i="7"/>
  <c r="JN123" i="7"/>
  <c r="JN107" i="7"/>
  <c r="JN92" i="7"/>
  <c r="JN120" i="7"/>
  <c r="JN117" i="7"/>
  <c r="JN140" i="7"/>
  <c r="JN133" i="7"/>
  <c r="JN124" i="7"/>
  <c r="JN131" i="7"/>
  <c r="JN118" i="7"/>
  <c r="JN105" i="7"/>
  <c r="JN91" i="7"/>
  <c r="JN116" i="7"/>
  <c r="JN99" i="7"/>
  <c r="JN96" i="7"/>
  <c r="JN81" i="7"/>
  <c r="JN73" i="7"/>
  <c r="JN65" i="7"/>
  <c r="JN95" i="7"/>
  <c r="JN86" i="7"/>
  <c r="JN84" i="7"/>
  <c r="JN76" i="7"/>
  <c r="JN68" i="7"/>
  <c r="JN106" i="7"/>
  <c r="JN110" i="7"/>
  <c r="JN93" i="7"/>
  <c r="JN85" i="7"/>
  <c r="JN83" i="7"/>
  <c r="JN75" i="7"/>
  <c r="JN67" i="7"/>
  <c r="JN79" i="7"/>
  <c r="JN72" i="7"/>
  <c r="JN71" i="7"/>
  <c r="JN70" i="7"/>
  <c r="JN82" i="7"/>
  <c r="JN80" i="7"/>
  <c r="JN69" i="7"/>
  <c r="JN98" i="7"/>
  <c r="JN88" i="7"/>
  <c r="JN100" i="7"/>
  <c r="JN113" i="7"/>
  <c r="JN102" i="7"/>
  <c r="JN78" i="7"/>
  <c r="JN62" i="7"/>
  <c r="JN61" i="7"/>
  <c r="JN53" i="7"/>
  <c r="JN45" i="7"/>
  <c r="JN37" i="7"/>
  <c r="JN29" i="7"/>
  <c r="JN87" i="7"/>
  <c r="JN56" i="7"/>
  <c r="JN48" i="7"/>
  <c r="JN40" i="7"/>
  <c r="JN32" i="7"/>
  <c r="JN90" i="7"/>
  <c r="JN66" i="7"/>
  <c r="JN94" i="7"/>
  <c r="JN77" i="7"/>
  <c r="JN74" i="7"/>
  <c r="JN64" i="7"/>
  <c r="JN63" i="7"/>
  <c r="JN55" i="7"/>
  <c r="JN47" i="7"/>
  <c r="JN39" i="7"/>
  <c r="JN58" i="7"/>
  <c r="JN54" i="7"/>
  <c r="JN35" i="7"/>
  <c r="JN50" i="7"/>
  <c r="JN46" i="7"/>
  <c r="JN59" i="7"/>
  <c r="JN52" i="7"/>
  <c r="JN49" i="7"/>
  <c r="JN38" i="7"/>
  <c r="JN36" i="7"/>
  <c r="JN20" i="7"/>
  <c r="JN12" i="7"/>
  <c r="JN4" i="7"/>
  <c r="JN51" i="7"/>
  <c r="JN31" i="7"/>
  <c r="JN15" i="7"/>
  <c r="JN7" i="7"/>
  <c r="JN60" i="7"/>
  <c r="JN42" i="7"/>
  <c r="JN41" i="7"/>
  <c r="JN43" i="7"/>
  <c r="JN57" i="7"/>
  <c r="JN44" i="7"/>
  <c r="JN34" i="7"/>
  <c r="JN30" i="7"/>
  <c r="JN26" i="7"/>
  <c r="JN22" i="7"/>
  <c r="JN14" i="7"/>
  <c r="JN6" i="7"/>
  <c r="JN114" i="7"/>
  <c r="JN28" i="7"/>
  <c r="JN21" i="7"/>
  <c r="JN2" i="7"/>
  <c r="JN25" i="7"/>
  <c r="JN17" i="7"/>
  <c r="JN13" i="7"/>
  <c r="JN33" i="7"/>
  <c r="JN9" i="7"/>
  <c r="JN5" i="7"/>
  <c r="JN23" i="7"/>
  <c r="JN16" i="7"/>
  <c r="JN8" i="7"/>
  <c r="JN19" i="7"/>
  <c r="JN27" i="7"/>
  <c r="JN24" i="7"/>
  <c r="JN18" i="7"/>
  <c r="JN11" i="7"/>
  <c r="J2" i="7"/>
  <c r="AX2" i="7"/>
  <c r="CL2" i="7"/>
  <c r="DI2" i="7"/>
  <c r="EW2" i="7"/>
  <c r="FS2" i="7"/>
  <c r="GK2" i="7"/>
  <c r="HH2" i="7"/>
  <c r="IV2" i="7"/>
  <c r="JQ2" i="7"/>
  <c r="K3" i="7"/>
  <c r="AY3" i="7"/>
  <c r="BV3" i="7"/>
  <c r="CO3" i="7"/>
  <c r="DJ3" i="7"/>
  <c r="EF3" i="7"/>
  <c r="EX3" i="7"/>
  <c r="FT3" i="7"/>
  <c r="GR3" i="7"/>
  <c r="JP3" i="7"/>
  <c r="P4" i="7"/>
  <c r="BQ4" i="7"/>
  <c r="CP4" i="7"/>
  <c r="GA4" i="7"/>
  <c r="IA4" i="7"/>
  <c r="JZ4" i="7"/>
  <c r="AY5" i="7"/>
  <c r="CZ5" i="7"/>
  <c r="EX5" i="7"/>
  <c r="GX5" i="7"/>
  <c r="IW5" i="7"/>
  <c r="V6" i="7"/>
  <c r="BW6" i="7"/>
  <c r="FU6" i="7"/>
  <c r="HT6" i="7"/>
  <c r="JR6" i="7"/>
  <c r="AT7" i="7"/>
  <c r="CR7" i="7"/>
  <c r="GQ7" i="7"/>
  <c r="Q8" i="7"/>
  <c r="DO8" i="7"/>
  <c r="FN8" i="7"/>
  <c r="HL8" i="7"/>
  <c r="JM8" i="7"/>
  <c r="BV9" i="7"/>
  <c r="FS9" i="7"/>
  <c r="JR9" i="7"/>
  <c r="GQ10" i="7"/>
  <c r="DM11" i="7"/>
  <c r="HL11" i="7"/>
  <c r="AL12" i="7"/>
  <c r="BG13" i="7"/>
  <c r="FF13" i="7"/>
  <c r="GC14" i="7"/>
  <c r="JZ14" i="7"/>
  <c r="CZ15" i="7"/>
  <c r="GY15" i="7"/>
  <c r="Y16" i="7"/>
  <c r="DW16" i="7"/>
  <c r="AT17" i="7"/>
  <c r="IR17" i="7"/>
  <c r="FN18" i="7"/>
  <c r="GL19" i="7"/>
  <c r="HG20" i="7"/>
  <c r="AG21" i="7"/>
  <c r="EF21" i="7"/>
  <c r="ID21" i="7"/>
  <c r="BB22" i="7"/>
  <c r="FA22" i="7"/>
  <c r="IZ22" i="7"/>
  <c r="BZ23" i="7"/>
  <c r="I24" i="7"/>
  <c r="DW24" i="7"/>
  <c r="IK24" i="7"/>
  <c r="BY25" i="7"/>
  <c r="GL25" i="7"/>
  <c r="AG27" i="7"/>
  <c r="U28" i="7"/>
  <c r="H29" i="7"/>
  <c r="EQ29" i="7"/>
  <c r="JX29" i="7"/>
  <c r="EE30" i="7"/>
  <c r="JJ30" i="7"/>
  <c r="DR31" i="7"/>
  <c r="DG32" i="7"/>
  <c r="IM32" i="7"/>
  <c r="CS33" i="7"/>
  <c r="IZ33" i="7"/>
  <c r="GO34" i="7"/>
  <c r="EV36" i="7"/>
  <c r="IF40" i="7"/>
  <c r="DW45" i="7"/>
  <c r="M50" i="7"/>
  <c r="FZ54" i="7"/>
  <c r="P52" i="9"/>
  <c r="P1" i="9"/>
  <c r="P52" i="8"/>
  <c r="P143" i="7"/>
  <c r="P138" i="7"/>
  <c r="P139" i="7"/>
  <c r="P129" i="7"/>
  <c r="P121" i="7"/>
  <c r="P137" i="7"/>
  <c r="P132" i="7"/>
  <c r="P124" i="7"/>
  <c r="P140" i="7"/>
  <c r="P131" i="7"/>
  <c r="P111" i="7"/>
  <c r="P103" i="7"/>
  <c r="P136" i="7"/>
  <c r="P128" i="7"/>
  <c r="P114" i="7"/>
  <c r="P106" i="7"/>
  <c r="P135" i="7"/>
  <c r="P141" i="7"/>
  <c r="P142" i="7"/>
  <c r="P1" i="8"/>
  <c r="P144" i="7"/>
  <c r="P127" i="7"/>
  <c r="P123" i="7"/>
  <c r="P118" i="7"/>
  <c r="P113" i="7"/>
  <c r="P105" i="7"/>
  <c r="P134" i="7"/>
  <c r="P116" i="7"/>
  <c r="P112" i="7"/>
  <c r="P101" i="7"/>
  <c r="P99" i="7"/>
  <c r="P91" i="7"/>
  <c r="P108" i="7"/>
  <c r="P104" i="7"/>
  <c r="P94" i="7"/>
  <c r="P86" i="7"/>
  <c r="P148" i="7"/>
  <c r="P126" i="7"/>
  <c r="P130" i="7"/>
  <c r="P120" i="7"/>
  <c r="P133" i="7"/>
  <c r="P125" i="7"/>
  <c r="P109" i="7"/>
  <c r="P93" i="7"/>
  <c r="P89" i="7"/>
  <c r="P83" i="7"/>
  <c r="P75" i="7"/>
  <c r="P67" i="7"/>
  <c r="P122" i="7"/>
  <c r="P102" i="7"/>
  <c r="P96" i="7"/>
  <c r="P92" i="7"/>
  <c r="P78" i="7"/>
  <c r="P70" i="7"/>
  <c r="P110" i="7"/>
  <c r="P117" i="7"/>
  <c r="P115" i="7"/>
  <c r="P119" i="7"/>
  <c r="P97" i="7"/>
  <c r="P90" i="7"/>
  <c r="P85" i="7"/>
  <c r="P77" i="7"/>
  <c r="P69" i="7"/>
  <c r="P107" i="7"/>
  <c r="P80" i="7"/>
  <c r="P76" i="7"/>
  <c r="P72" i="7"/>
  <c r="P68" i="7"/>
  <c r="P87" i="7"/>
  <c r="P82" i="7"/>
  <c r="P98" i="7"/>
  <c r="P95" i="7"/>
  <c r="P74" i="7"/>
  <c r="P100" i="7"/>
  <c r="P79" i="7"/>
  <c r="P63" i="7"/>
  <c r="P55" i="7"/>
  <c r="P47" i="7"/>
  <c r="P39" i="7"/>
  <c r="P31" i="7"/>
  <c r="P58" i="7"/>
  <c r="P50" i="7"/>
  <c r="P42" i="7"/>
  <c r="P34" i="7"/>
  <c r="P26" i="7"/>
  <c r="P64" i="7"/>
  <c r="P81" i="7"/>
  <c r="P73" i="7"/>
  <c r="P88" i="7"/>
  <c r="P84" i="7"/>
  <c r="P71" i="7"/>
  <c r="P65" i="7"/>
  <c r="P57" i="7"/>
  <c r="P49" i="7"/>
  <c r="P41" i="7"/>
  <c r="P51" i="7"/>
  <c r="P36" i="7"/>
  <c r="P62" i="7"/>
  <c r="P43" i="7"/>
  <c r="P61" i="7"/>
  <c r="P60" i="7"/>
  <c r="P56" i="7"/>
  <c r="P37" i="7"/>
  <c r="P54" i="7"/>
  <c r="P30" i="7"/>
  <c r="P22" i="7"/>
  <c r="P14" i="7"/>
  <c r="P6" i="7"/>
  <c r="P27" i="7"/>
  <c r="P17" i="7"/>
  <c r="P9" i="7"/>
  <c r="P66" i="7"/>
  <c r="P45" i="7"/>
  <c r="P44" i="7"/>
  <c r="P46" i="7"/>
  <c r="P59" i="7"/>
  <c r="P48" i="7"/>
  <c r="P38" i="7"/>
  <c r="P16" i="7"/>
  <c r="P8" i="7"/>
  <c r="P25" i="7"/>
  <c r="P18" i="7"/>
  <c r="P3" i="7"/>
  <c r="P10" i="7"/>
  <c r="P40" i="7"/>
  <c r="P28" i="7"/>
  <c r="P21" i="7"/>
  <c r="P52" i="7"/>
  <c r="P32" i="7"/>
  <c r="P20" i="7"/>
  <c r="P13" i="7"/>
  <c r="P29" i="7"/>
  <c r="P24" i="7"/>
  <c r="P12" i="7"/>
  <c r="P5" i="7"/>
  <c r="P53" i="7"/>
  <c r="P35" i="7"/>
  <c r="P23" i="7"/>
  <c r="P33" i="7"/>
  <c r="P19" i="7"/>
  <c r="P15" i="7"/>
  <c r="DH52" i="9"/>
  <c r="DH1" i="9"/>
  <c r="DH52" i="8"/>
  <c r="DH143" i="7"/>
  <c r="DH138" i="7"/>
  <c r="DH148" i="7"/>
  <c r="DH129" i="7"/>
  <c r="DH121" i="7"/>
  <c r="DH144" i="7"/>
  <c r="DH137" i="7"/>
  <c r="DH132" i="7"/>
  <c r="DH124" i="7"/>
  <c r="DH142" i="7"/>
  <c r="DH131" i="7"/>
  <c r="DH119" i="7"/>
  <c r="DH111" i="7"/>
  <c r="DH103" i="7"/>
  <c r="DH1" i="8"/>
  <c r="DH134" i="7"/>
  <c r="DH130" i="7"/>
  <c r="DH114" i="7"/>
  <c r="DH106" i="7"/>
  <c r="DH133" i="7"/>
  <c r="DH140" i="7"/>
  <c r="DH139" i="7"/>
  <c r="DH141" i="7"/>
  <c r="DH135" i="7"/>
  <c r="DH128" i="7"/>
  <c r="DH127" i="7"/>
  <c r="DH123" i="7"/>
  <c r="DH113" i="7"/>
  <c r="DH105" i="7"/>
  <c r="DH101" i="7"/>
  <c r="DH99" i="7"/>
  <c r="DH91" i="7"/>
  <c r="DH125" i="7"/>
  <c r="DH110" i="7"/>
  <c r="DH94" i="7"/>
  <c r="DH86" i="7"/>
  <c r="DH122" i="7"/>
  <c r="DH117" i="7"/>
  <c r="DH136" i="7"/>
  <c r="DH116" i="7"/>
  <c r="DH126" i="7"/>
  <c r="DH120" i="7"/>
  <c r="DH118" i="7"/>
  <c r="DH115" i="7"/>
  <c r="DH93" i="7"/>
  <c r="DH104" i="7"/>
  <c r="DH100" i="7"/>
  <c r="DH89" i="7"/>
  <c r="DH83" i="7"/>
  <c r="DH75" i="7"/>
  <c r="DH67" i="7"/>
  <c r="DH98" i="7"/>
  <c r="DH78" i="7"/>
  <c r="DH70" i="7"/>
  <c r="DH109" i="7"/>
  <c r="DH107" i="7"/>
  <c r="DH108" i="7"/>
  <c r="DH85" i="7"/>
  <c r="DH77" i="7"/>
  <c r="DH69" i="7"/>
  <c r="DH82" i="7"/>
  <c r="DH90" i="7"/>
  <c r="DH81" i="7"/>
  <c r="DH74" i="7"/>
  <c r="DH112" i="7"/>
  <c r="DH80" i="7"/>
  <c r="DH76" i="7"/>
  <c r="DH88" i="7"/>
  <c r="DH102" i="7"/>
  <c r="DH95" i="7"/>
  <c r="DH84" i="7"/>
  <c r="DH73" i="7"/>
  <c r="DH72" i="7"/>
  <c r="DH92" i="7"/>
  <c r="DH97" i="7"/>
  <c r="DH87" i="7"/>
  <c r="DH55" i="7"/>
  <c r="DH47" i="7"/>
  <c r="DH39" i="7"/>
  <c r="DH31" i="7"/>
  <c r="DH68" i="7"/>
  <c r="DH58" i="7"/>
  <c r="DH50" i="7"/>
  <c r="DH42" i="7"/>
  <c r="DH34" i="7"/>
  <c r="DH26" i="7"/>
  <c r="DH79" i="7"/>
  <c r="DH64" i="7"/>
  <c r="DH65" i="7"/>
  <c r="DH63" i="7"/>
  <c r="DH71" i="7"/>
  <c r="DH96" i="7"/>
  <c r="DH57" i="7"/>
  <c r="DH49" i="7"/>
  <c r="DH41" i="7"/>
  <c r="DH45" i="7"/>
  <c r="DH38" i="7"/>
  <c r="DH66" i="7"/>
  <c r="DH60" i="7"/>
  <c r="DH56" i="7"/>
  <c r="DH37" i="7"/>
  <c r="DH62" i="7"/>
  <c r="DH43" i="7"/>
  <c r="DH33" i="7"/>
  <c r="DH30" i="7"/>
  <c r="DH24" i="7"/>
  <c r="DH22" i="7"/>
  <c r="DH14" i="7"/>
  <c r="DH6" i="7"/>
  <c r="DH52" i="7"/>
  <c r="DH51" i="7"/>
  <c r="DH40" i="7"/>
  <c r="DH27" i="7"/>
  <c r="DH17" i="7"/>
  <c r="DH9" i="7"/>
  <c r="DH53" i="7"/>
  <c r="DH54" i="7"/>
  <c r="DH61" i="7"/>
  <c r="DH44" i="7"/>
  <c r="DH59" i="7"/>
  <c r="DH48" i="7"/>
  <c r="DH46" i="7"/>
  <c r="DH35" i="7"/>
  <c r="DH16" i="7"/>
  <c r="DH8" i="7"/>
  <c r="DH12" i="7"/>
  <c r="DH5" i="7"/>
  <c r="DH36" i="7"/>
  <c r="DH23" i="7"/>
  <c r="DH4" i="7"/>
  <c r="DH19" i="7"/>
  <c r="DH15" i="7"/>
  <c r="DH11" i="7"/>
  <c r="DH7" i="7"/>
  <c r="DH25" i="7"/>
  <c r="DH18" i="7"/>
  <c r="DH28" i="7"/>
  <c r="DH10" i="7"/>
  <c r="DH32" i="7"/>
  <c r="DH21" i="7"/>
  <c r="DH2" i="7"/>
  <c r="FT52" i="9"/>
  <c r="FT1" i="9"/>
  <c r="FT52" i="8"/>
  <c r="FT143" i="7"/>
  <c r="FT138" i="7"/>
  <c r="FT148" i="7"/>
  <c r="FT129" i="7"/>
  <c r="FT121" i="7"/>
  <c r="FT144" i="7"/>
  <c r="FT137" i="7"/>
  <c r="FT132" i="7"/>
  <c r="FT124" i="7"/>
  <c r="FT142" i="7"/>
  <c r="FT136" i="7"/>
  <c r="FT131" i="7"/>
  <c r="FT119" i="7"/>
  <c r="FT111" i="7"/>
  <c r="FT103" i="7"/>
  <c r="FT134" i="7"/>
  <c r="FT130" i="7"/>
  <c r="FT114" i="7"/>
  <c r="FT106" i="7"/>
  <c r="FT133" i="7"/>
  <c r="FT140" i="7"/>
  <c r="FT139" i="7"/>
  <c r="FT141" i="7"/>
  <c r="FT135" i="7"/>
  <c r="FT128" i="7"/>
  <c r="FT127" i="7"/>
  <c r="FT123" i="7"/>
  <c r="FT113" i="7"/>
  <c r="FT105" i="7"/>
  <c r="FT120" i="7"/>
  <c r="FT101" i="7"/>
  <c r="FT99" i="7"/>
  <c r="FT91" i="7"/>
  <c r="FT110" i="7"/>
  <c r="FT94" i="7"/>
  <c r="FT86" i="7"/>
  <c r="FT125" i="7"/>
  <c r="FT118" i="7"/>
  <c r="FT122" i="7"/>
  <c r="FT116" i="7"/>
  <c r="FT1" i="8"/>
  <c r="FT115" i="7"/>
  <c r="FT93" i="7"/>
  <c r="FT85" i="7"/>
  <c r="FT83" i="7"/>
  <c r="FT75" i="7"/>
  <c r="FT67" i="7"/>
  <c r="FT109" i="7"/>
  <c r="FT107" i="7"/>
  <c r="FT98" i="7"/>
  <c r="FT78" i="7"/>
  <c r="FT70" i="7"/>
  <c r="FT108" i="7"/>
  <c r="FT117" i="7"/>
  <c r="FT112" i="7"/>
  <c r="FT126" i="7"/>
  <c r="FT102" i="7"/>
  <c r="FT77" i="7"/>
  <c r="FT69" i="7"/>
  <c r="FT90" i="7"/>
  <c r="FT82" i="7"/>
  <c r="FT87" i="7"/>
  <c r="FT81" i="7"/>
  <c r="FT74" i="7"/>
  <c r="FT104" i="7"/>
  <c r="FT97" i="7"/>
  <c r="FT95" i="7"/>
  <c r="FT88" i="7"/>
  <c r="FT80" i="7"/>
  <c r="FT76" i="7"/>
  <c r="FT84" i="7"/>
  <c r="FT73" i="7"/>
  <c r="FT72" i="7"/>
  <c r="FT71" i="7"/>
  <c r="FT92" i="7"/>
  <c r="FT100" i="7"/>
  <c r="FT55" i="7"/>
  <c r="FT47" i="7"/>
  <c r="FT39" i="7"/>
  <c r="FT31" i="7"/>
  <c r="FT58" i="7"/>
  <c r="FT50" i="7"/>
  <c r="FT42" i="7"/>
  <c r="FT34" i="7"/>
  <c r="FT26" i="7"/>
  <c r="FT79" i="7"/>
  <c r="FT68" i="7"/>
  <c r="FT96" i="7"/>
  <c r="FT89" i="7"/>
  <c r="FT64" i="7"/>
  <c r="FT63" i="7"/>
  <c r="FT66" i="7"/>
  <c r="FT65" i="7"/>
  <c r="FT57" i="7"/>
  <c r="FT49" i="7"/>
  <c r="FT41" i="7"/>
  <c r="FT45" i="7"/>
  <c r="FT38" i="7"/>
  <c r="FT60" i="7"/>
  <c r="FT56" i="7"/>
  <c r="FT37" i="7"/>
  <c r="FT62" i="7"/>
  <c r="FT43" i="7"/>
  <c r="FT61" i="7"/>
  <c r="FT52" i="7"/>
  <c r="FT51" i="7"/>
  <c r="FT40" i="7"/>
  <c r="FT30" i="7"/>
  <c r="FT24" i="7"/>
  <c r="FT22" i="7"/>
  <c r="FT14" i="7"/>
  <c r="FT6" i="7"/>
  <c r="FT53" i="7"/>
  <c r="FT27" i="7"/>
  <c r="FT17" i="7"/>
  <c r="FT9" i="7"/>
  <c r="FT54" i="7"/>
  <c r="FT44" i="7"/>
  <c r="FT59" i="7"/>
  <c r="FT48" i="7"/>
  <c r="FT46" i="7"/>
  <c r="FT36" i="7"/>
  <c r="FT33" i="7"/>
  <c r="FT16" i="7"/>
  <c r="FT8" i="7"/>
  <c r="FT32" i="7"/>
  <c r="FT12" i="7"/>
  <c r="FT5" i="7"/>
  <c r="FT29" i="7"/>
  <c r="FT25" i="7"/>
  <c r="FT23" i="7"/>
  <c r="FT4" i="7"/>
  <c r="FT19" i="7"/>
  <c r="FT15" i="7"/>
  <c r="FT11" i="7"/>
  <c r="FT7" i="7"/>
  <c r="FT18" i="7"/>
  <c r="FT10" i="7"/>
  <c r="FT21" i="7"/>
  <c r="FT2" i="7"/>
  <c r="JD52" i="9"/>
  <c r="JD1" i="9"/>
  <c r="JD52" i="8"/>
  <c r="JD143" i="7"/>
  <c r="JD135" i="7"/>
  <c r="JD1" i="8"/>
  <c r="JD138" i="7"/>
  <c r="JD141" i="7"/>
  <c r="JD129" i="7"/>
  <c r="JD121" i="7"/>
  <c r="JD148" i="7"/>
  <c r="JD132" i="7"/>
  <c r="JD124" i="7"/>
  <c r="JD131" i="7"/>
  <c r="JD137" i="7"/>
  <c r="JD125" i="7"/>
  <c r="JD111" i="7"/>
  <c r="JD103" i="7"/>
  <c r="JD122" i="7"/>
  <c r="JD114" i="7"/>
  <c r="JD106" i="7"/>
  <c r="JD140" i="7"/>
  <c r="JD139" i="7"/>
  <c r="JD134" i="7"/>
  <c r="JD144" i="7"/>
  <c r="JD142" i="7"/>
  <c r="JD133" i="7"/>
  <c r="JD117" i="7"/>
  <c r="JD113" i="7"/>
  <c r="JD105" i="7"/>
  <c r="JD107" i="7"/>
  <c r="JD91" i="7"/>
  <c r="JD130" i="7"/>
  <c r="JD128" i="7"/>
  <c r="JD94" i="7"/>
  <c r="JD86" i="7"/>
  <c r="JD136" i="7"/>
  <c r="JD119" i="7"/>
  <c r="JD118" i="7"/>
  <c r="JD126" i="7"/>
  <c r="JD123" i="7"/>
  <c r="JD108" i="7"/>
  <c r="JD104" i="7"/>
  <c r="JD101" i="7"/>
  <c r="JD93" i="7"/>
  <c r="JD110" i="7"/>
  <c r="JD95" i="7"/>
  <c r="JD83" i="7"/>
  <c r="JD75" i="7"/>
  <c r="JD67" i="7"/>
  <c r="JD116" i="7"/>
  <c r="JD100" i="7"/>
  <c r="JD78" i="7"/>
  <c r="JD70" i="7"/>
  <c r="JD112" i="7"/>
  <c r="JD120" i="7"/>
  <c r="JD115" i="7"/>
  <c r="JD99" i="7"/>
  <c r="JD96" i="7"/>
  <c r="JD92" i="7"/>
  <c r="JD85" i="7"/>
  <c r="JD77" i="7"/>
  <c r="JD69" i="7"/>
  <c r="JD109" i="7"/>
  <c r="JD71" i="7"/>
  <c r="JD102" i="7"/>
  <c r="JD82" i="7"/>
  <c r="JD84" i="7"/>
  <c r="JD97" i="7"/>
  <c r="JD90" i="7"/>
  <c r="JD76" i="7"/>
  <c r="JD98" i="7"/>
  <c r="JD127" i="7"/>
  <c r="JD88" i="7"/>
  <c r="JD81" i="7"/>
  <c r="JD72" i="7"/>
  <c r="JD62" i="7"/>
  <c r="JD55" i="7"/>
  <c r="JD47" i="7"/>
  <c r="JD39" i="7"/>
  <c r="JD31" i="7"/>
  <c r="JD23" i="7"/>
  <c r="JD74" i="7"/>
  <c r="JD66" i="7"/>
  <c r="JD58" i="7"/>
  <c r="JD50" i="7"/>
  <c r="JD42" i="7"/>
  <c r="JD34" i="7"/>
  <c r="JD26" i="7"/>
  <c r="JD64" i="7"/>
  <c r="JD79" i="7"/>
  <c r="JD87" i="7"/>
  <c r="JD68" i="7"/>
  <c r="JD65" i="7"/>
  <c r="JD80" i="7"/>
  <c r="JD73" i="7"/>
  <c r="JD63" i="7"/>
  <c r="JD57" i="7"/>
  <c r="JD49" i="7"/>
  <c r="JD41" i="7"/>
  <c r="JD53" i="7"/>
  <c r="JD46" i="7"/>
  <c r="JD45" i="7"/>
  <c r="JD38" i="7"/>
  <c r="JD60" i="7"/>
  <c r="JD51" i="7"/>
  <c r="JD36" i="7"/>
  <c r="JD56" i="7"/>
  <c r="JD54" i="7"/>
  <c r="JD43" i="7"/>
  <c r="JD22" i="7"/>
  <c r="JD14" i="7"/>
  <c r="JD6" i="7"/>
  <c r="JD44" i="7"/>
  <c r="JD33" i="7"/>
  <c r="JD17" i="7"/>
  <c r="JD9" i="7"/>
  <c r="JD59" i="7"/>
  <c r="JD48" i="7"/>
  <c r="JD37" i="7"/>
  <c r="JD89" i="7"/>
  <c r="JD61" i="7"/>
  <c r="JD52" i="7"/>
  <c r="JD40" i="7"/>
  <c r="JD30" i="7"/>
  <c r="JD16" i="7"/>
  <c r="JD8" i="7"/>
  <c r="JD20" i="7"/>
  <c r="JD13" i="7"/>
  <c r="JD35" i="7"/>
  <c r="JD12" i="7"/>
  <c r="JD5" i="7"/>
  <c r="JD4" i="7"/>
  <c r="JD27" i="7"/>
  <c r="JD19" i="7"/>
  <c r="JD15" i="7"/>
  <c r="JD24" i="7"/>
  <c r="JD11" i="7"/>
  <c r="JD7" i="7"/>
  <c r="JD28" i="7"/>
  <c r="JD18" i="7"/>
  <c r="JD32" i="7"/>
  <c r="JD25" i="7"/>
  <c r="JD10" i="7"/>
  <c r="AO52" i="9"/>
  <c r="AO1" i="9"/>
  <c r="AO52" i="8"/>
  <c r="AO1" i="8"/>
  <c r="AO138" i="7"/>
  <c r="AO141" i="7"/>
  <c r="AO148" i="7"/>
  <c r="AO140" i="7"/>
  <c r="AO143" i="7"/>
  <c r="AO139" i="7"/>
  <c r="AO132" i="7"/>
  <c r="AO124" i="7"/>
  <c r="AO135" i="7"/>
  <c r="AO127" i="7"/>
  <c r="AO137" i="7"/>
  <c r="AO134" i="7"/>
  <c r="AO129" i="7"/>
  <c r="AO122" i="7"/>
  <c r="AO118" i="7"/>
  <c r="AO114" i="7"/>
  <c r="AO106" i="7"/>
  <c r="AO117" i="7"/>
  <c r="AO109" i="7"/>
  <c r="AO101" i="7"/>
  <c r="AO142" i="7"/>
  <c r="AO144" i="7"/>
  <c r="AO136" i="7"/>
  <c r="AO128" i="7"/>
  <c r="AO119" i="7"/>
  <c r="AO116" i="7"/>
  <c r="AO108" i="7"/>
  <c r="AO112" i="7"/>
  <c r="AO105" i="7"/>
  <c r="AO102" i="7"/>
  <c r="AO94" i="7"/>
  <c r="AO86" i="7"/>
  <c r="AO130" i="7"/>
  <c r="AO104" i="7"/>
  <c r="AO97" i="7"/>
  <c r="AO89" i="7"/>
  <c r="AO131" i="7"/>
  <c r="AO121" i="7"/>
  <c r="AO133" i="7"/>
  <c r="AO125" i="7"/>
  <c r="AO126" i="7"/>
  <c r="AO123" i="7"/>
  <c r="AO96" i="7"/>
  <c r="AO111" i="7"/>
  <c r="AO110" i="7"/>
  <c r="AO93" i="7"/>
  <c r="AO78" i="7"/>
  <c r="AO70" i="7"/>
  <c r="AO120" i="7"/>
  <c r="AO100" i="7"/>
  <c r="AO92" i="7"/>
  <c r="AO87" i="7"/>
  <c r="AO81" i="7"/>
  <c r="AO73" i="7"/>
  <c r="AO65" i="7"/>
  <c r="AO115" i="7"/>
  <c r="AO113" i="7"/>
  <c r="AO90" i="7"/>
  <c r="AO80" i="7"/>
  <c r="AO72" i="7"/>
  <c r="AO95" i="7"/>
  <c r="AO76" i="7"/>
  <c r="AO69" i="7"/>
  <c r="AO68" i="7"/>
  <c r="AO103" i="7"/>
  <c r="AO82" i="7"/>
  <c r="AO91" i="7"/>
  <c r="AO79" i="7"/>
  <c r="AO77" i="7"/>
  <c r="AO98" i="7"/>
  <c r="AO99" i="7"/>
  <c r="AO107" i="7"/>
  <c r="AO64" i="7"/>
  <c r="AO58" i="7"/>
  <c r="AO50" i="7"/>
  <c r="AO42" i="7"/>
  <c r="AO34" i="7"/>
  <c r="AO26" i="7"/>
  <c r="AO88" i="7"/>
  <c r="AO61" i="7"/>
  <c r="AO53" i="7"/>
  <c r="AO45" i="7"/>
  <c r="AO37" i="7"/>
  <c r="AO29" i="7"/>
  <c r="AO85" i="7"/>
  <c r="AO75" i="7"/>
  <c r="AO63" i="7"/>
  <c r="AO83" i="7"/>
  <c r="AO71" i="7"/>
  <c r="AO66" i="7"/>
  <c r="AO60" i="7"/>
  <c r="AO52" i="7"/>
  <c r="AO44" i="7"/>
  <c r="AO36" i="7"/>
  <c r="AO55" i="7"/>
  <c r="AO51" i="7"/>
  <c r="AO62" i="7"/>
  <c r="AO47" i="7"/>
  <c r="AO43" i="7"/>
  <c r="AO74" i="7"/>
  <c r="AO56" i="7"/>
  <c r="AO49" i="7"/>
  <c r="AO31" i="7"/>
  <c r="AO17" i="7"/>
  <c r="AO9" i="7"/>
  <c r="AO57" i="7"/>
  <c r="AO46" i="7"/>
  <c r="AO35" i="7"/>
  <c r="AO32" i="7"/>
  <c r="AO28" i="7"/>
  <c r="AO20" i="7"/>
  <c r="AO12" i="7"/>
  <c r="AO4" i="7"/>
  <c r="AO59" i="7"/>
  <c r="AO48" i="7"/>
  <c r="AO84" i="7"/>
  <c r="AO67" i="7"/>
  <c r="AO39" i="7"/>
  <c r="AO38" i="7"/>
  <c r="AO40" i="7"/>
  <c r="AO54" i="7"/>
  <c r="AO41" i="7"/>
  <c r="AO27" i="7"/>
  <c r="AO24" i="7"/>
  <c r="AO19" i="7"/>
  <c r="AO11" i="7"/>
  <c r="AO3" i="7"/>
  <c r="AO22" i="7"/>
  <c r="AO18" i="7"/>
  <c r="AO14" i="7"/>
  <c r="AO10" i="7"/>
  <c r="AO33" i="7"/>
  <c r="AO21" i="7"/>
  <c r="AO6" i="7"/>
  <c r="AO30" i="7"/>
  <c r="AO25" i="7"/>
  <c r="AO13" i="7"/>
  <c r="AO5" i="7"/>
  <c r="AO23" i="7"/>
  <c r="AO16" i="7"/>
  <c r="AO15" i="7"/>
  <c r="AO8" i="7"/>
  <c r="DY52" i="9"/>
  <c r="DY1" i="9"/>
  <c r="DY52" i="8"/>
  <c r="DY138" i="7"/>
  <c r="DY141" i="7"/>
  <c r="DY1" i="8"/>
  <c r="DY148" i="7"/>
  <c r="DY140" i="7"/>
  <c r="DY132" i="7"/>
  <c r="DY124" i="7"/>
  <c r="DY143" i="7"/>
  <c r="DY139" i="7"/>
  <c r="DY136" i="7"/>
  <c r="DY135" i="7"/>
  <c r="DY127" i="7"/>
  <c r="DY144" i="7"/>
  <c r="DY134" i="7"/>
  <c r="DY142" i="7"/>
  <c r="DY133" i="7"/>
  <c r="DY126" i="7"/>
  <c r="DY114" i="7"/>
  <c r="DY106" i="7"/>
  <c r="DY129" i="7"/>
  <c r="DY123" i="7"/>
  <c r="DY119" i="7"/>
  <c r="DY109" i="7"/>
  <c r="DY101" i="7"/>
  <c r="DY130" i="7"/>
  <c r="DY122" i="7"/>
  <c r="DY116" i="7"/>
  <c r="DY108" i="7"/>
  <c r="DY137" i="7"/>
  <c r="DY131" i="7"/>
  <c r="DY113" i="7"/>
  <c r="DY94" i="7"/>
  <c r="DY86" i="7"/>
  <c r="DY121" i="7"/>
  <c r="DY117" i="7"/>
  <c r="DY112" i="7"/>
  <c r="DY105" i="7"/>
  <c r="DY97" i="7"/>
  <c r="DY89" i="7"/>
  <c r="DY125" i="7"/>
  <c r="DY128" i="7"/>
  <c r="DY120" i="7"/>
  <c r="DY110" i="7"/>
  <c r="DY102" i="7"/>
  <c r="DY96" i="7"/>
  <c r="DY115" i="7"/>
  <c r="DY104" i="7"/>
  <c r="DY78" i="7"/>
  <c r="DY70" i="7"/>
  <c r="DY103" i="7"/>
  <c r="DY93" i="7"/>
  <c r="DY81" i="7"/>
  <c r="DY73" i="7"/>
  <c r="DY65" i="7"/>
  <c r="DY118" i="7"/>
  <c r="DY107" i="7"/>
  <c r="DY111" i="7"/>
  <c r="DY98" i="7"/>
  <c r="DY80" i="7"/>
  <c r="DY72" i="7"/>
  <c r="DY84" i="7"/>
  <c r="DY77" i="7"/>
  <c r="DY99" i="7"/>
  <c r="DY88" i="7"/>
  <c r="DY76" i="7"/>
  <c r="DY69" i="7"/>
  <c r="DY100" i="7"/>
  <c r="DY91" i="7"/>
  <c r="DY75" i="7"/>
  <c r="DY71" i="7"/>
  <c r="DY67" i="7"/>
  <c r="DY90" i="7"/>
  <c r="DY82" i="7"/>
  <c r="DY83" i="7"/>
  <c r="DY58" i="7"/>
  <c r="DY50" i="7"/>
  <c r="DY42" i="7"/>
  <c r="DY34" i="7"/>
  <c r="DY26" i="7"/>
  <c r="DY92" i="7"/>
  <c r="DY74" i="7"/>
  <c r="DY66" i="7"/>
  <c r="DY61" i="7"/>
  <c r="DY53" i="7"/>
  <c r="DY45" i="7"/>
  <c r="DY37" i="7"/>
  <c r="DY29" i="7"/>
  <c r="DY68" i="7"/>
  <c r="DY87" i="7"/>
  <c r="DY79" i="7"/>
  <c r="DY64" i="7"/>
  <c r="DY60" i="7"/>
  <c r="DY52" i="7"/>
  <c r="DY44" i="7"/>
  <c r="DY36" i="7"/>
  <c r="DY59" i="7"/>
  <c r="DY40" i="7"/>
  <c r="DY85" i="7"/>
  <c r="DY55" i="7"/>
  <c r="DY51" i="7"/>
  <c r="DY62" i="7"/>
  <c r="DY57" i="7"/>
  <c r="DY38" i="7"/>
  <c r="DY48" i="7"/>
  <c r="DY25" i="7"/>
  <c r="DY17" i="7"/>
  <c r="DY9" i="7"/>
  <c r="DY49" i="7"/>
  <c r="DY24" i="7"/>
  <c r="DY20" i="7"/>
  <c r="DY12" i="7"/>
  <c r="DY4" i="7"/>
  <c r="DY95" i="7"/>
  <c r="DY39" i="7"/>
  <c r="DY54" i="7"/>
  <c r="DY43" i="7"/>
  <c r="DY41" i="7"/>
  <c r="DY56" i="7"/>
  <c r="DY31" i="7"/>
  <c r="DY19" i="7"/>
  <c r="DY11" i="7"/>
  <c r="DY3" i="7"/>
  <c r="DY63" i="7"/>
  <c r="DY7" i="7"/>
  <c r="DY46" i="7"/>
  <c r="DY30" i="7"/>
  <c r="DY22" i="7"/>
  <c r="DY18" i="7"/>
  <c r="DY35" i="7"/>
  <c r="DY33" i="7"/>
  <c r="DY27" i="7"/>
  <c r="DY14" i="7"/>
  <c r="DY10" i="7"/>
  <c r="DY47" i="7"/>
  <c r="DY21" i="7"/>
  <c r="DY6" i="7"/>
  <c r="DY13" i="7"/>
  <c r="DY28" i="7"/>
  <c r="DY32" i="7"/>
  <c r="DY23" i="7"/>
  <c r="DY16" i="7"/>
  <c r="GS52" i="9"/>
  <c r="GS1" i="9"/>
  <c r="GS52" i="8"/>
  <c r="GS1" i="8"/>
  <c r="GS138" i="7"/>
  <c r="GS141" i="7"/>
  <c r="GS148" i="7"/>
  <c r="GS140" i="7"/>
  <c r="GS132" i="7"/>
  <c r="GS124" i="7"/>
  <c r="GS144" i="7"/>
  <c r="GS127" i="7"/>
  <c r="GS142" i="7"/>
  <c r="GS137" i="7"/>
  <c r="GS134" i="7"/>
  <c r="GS135" i="7"/>
  <c r="GS131" i="7"/>
  <c r="GS122" i="7"/>
  <c r="GS114" i="7"/>
  <c r="GS106" i="7"/>
  <c r="GS130" i="7"/>
  <c r="GS109" i="7"/>
  <c r="GS101" i="7"/>
  <c r="GS139" i="7"/>
  <c r="GS136" i="7"/>
  <c r="GS133" i="7"/>
  <c r="GS143" i="7"/>
  <c r="GS128" i="7"/>
  <c r="GS116" i="7"/>
  <c r="GS108" i="7"/>
  <c r="GS125" i="7"/>
  <c r="GS103" i="7"/>
  <c r="GS94" i="7"/>
  <c r="GS86" i="7"/>
  <c r="GS119" i="7"/>
  <c r="GS110" i="7"/>
  <c r="GS97" i="7"/>
  <c r="GS89" i="7"/>
  <c r="GS129" i="7"/>
  <c r="GS126" i="7"/>
  <c r="GS117" i="7"/>
  <c r="GS123" i="7"/>
  <c r="GS120" i="7"/>
  <c r="GS118" i="7"/>
  <c r="GS115" i="7"/>
  <c r="GS96" i="7"/>
  <c r="GS99" i="7"/>
  <c r="GS91" i="7"/>
  <c r="GS78" i="7"/>
  <c r="GS70" i="7"/>
  <c r="GS98" i="7"/>
  <c r="GS87" i="7"/>
  <c r="GS81" i="7"/>
  <c r="GS73" i="7"/>
  <c r="GS65" i="7"/>
  <c r="GS112" i="7"/>
  <c r="GS111" i="7"/>
  <c r="GS113" i="7"/>
  <c r="GS105" i="7"/>
  <c r="GS100" i="7"/>
  <c r="GS80" i="7"/>
  <c r="GS72" i="7"/>
  <c r="GS64" i="7"/>
  <c r="GS102" i="7"/>
  <c r="GS92" i="7"/>
  <c r="GS88" i="7"/>
  <c r="GS82" i="7"/>
  <c r="GS67" i="7"/>
  <c r="GS104" i="7"/>
  <c r="GS93" i="7"/>
  <c r="GS85" i="7"/>
  <c r="GS74" i="7"/>
  <c r="GS121" i="7"/>
  <c r="GS76" i="7"/>
  <c r="GS69" i="7"/>
  <c r="GS107" i="7"/>
  <c r="GS75" i="7"/>
  <c r="GS77" i="7"/>
  <c r="GS84" i="7"/>
  <c r="GS58" i="7"/>
  <c r="GS50" i="7"/>
  <c r="GS42" i="7"/>
  <c r="GS34" i="7"/>
  <c r="GS26" i="7"/>
  <c r="GS61" i="7"/>
  <c r="GS53" i="7"/>
  <c r="GS45" i="7"/>
  <c r="GS37" i="7"/>
  <c r="GS29" i="7"/>
  <c r="GS68" i="7"/>
  <c r="GS66" i="7"/>
  <c r="GS95" i="7"/>
  <c r="GS79" i="7"/>
  <c r="GS62" i="7"/>
  <c r="GS90" i="7"/>
  <c r="GS83" i="7"/>
  <c r="GS63" i="7"/>
  <c r="GS60" i="7"/>
  <c r="GS52" i="7"/>
  <c r="GS44" i="7"/>
  <c r="GS36" i="7"/>
  <c r="GS57" i="7"/>
  <c r="GS38" i="7"/>
  <c r="GS56" i="7"/>
  <c r="GS49" i="7"/>
  <c r="GS47" i="7"/>
  <c r="GS43" i="7"/>
  <c r="GS54" i="7"/>
  <c r="GS31" i="7"/>
  <c r="GS17" i="7"/>
  <c r="GS9" i="7"/>
  <c r="GS55" i="7"/>
  <c r="GS32" i="7"/>
  <c r="GS28" i="7"/>
  <c r="GS20" i="7"/>
  <c r="GS12" i="7"/>
  <c r="GS4" i="7"/>
  <c r="GS59" i="7"/>
  <c r="GS48" i="7"/>
  <c r="GS46" i="7"/>
  <c r="GS71" i="7"/>
  <c r="GS51" i="7"/>
  <c r="GS40" i="7"/>
  <c r="GS39" i="7"/>
  <c r="GS27" i="7"/>
  <c r="GS19" i="7"/>
  <c r="GS11" i="7"/>
  <c r="GS3" i="7"/>
  <c r="GS35" i="7"/>
  <c r="GS30" i="7"/>
  <c r="GS5" i="7"/>
  <c r="GS16" i="7"/>
  <c r="GS15" i="7"/>
  <c r="GS8" i="7"/>
  <c r="GS41" i="7"/>
  <c r="GS25" i="7"/>
  <c r="GS23" i="7"/>
  <c r="GS7" i="7"/>
  <c r="GS22" i="7"/>
  <c r="GS18" i="7"/>
  <c r="GS33" i="7"/>
  <c r="GS14" i="7"/>
  <c r="GS10" i="7"/>
  <c r="GS24" i="7"/>
  <c r="GS21" i="7"/>
  <c r="GS6" i="7"/>
  <c r="GS2" i="7"/>
  <c r="JM52" i="9"/>
  <c r="JM1" i="9"/>
  <c r="JM52" i="8"/>
  <c r="JM138" i="7"/>
  <c r="JM141" i="7"/>
  <c r="JM148" i="7"/>
  <c r="JM140" i="7"/>
  <c r="JM137" i="7"/>
  <c r="JM132" i="7"/>
  <c r="JM124" i="7"/>
  <c r="JM142" i="7"/>
  <c r="JM127" i="7"/>
  <c r="JM119" i="7"/>
  <c r="JM1" i="8"/>
  <c r="JM134" i="7"/>
  <c r="JM114" i="7"/>
  <c r="JM106" i="7"/>
  <c r="JM144" i="7"/>
  <c r="JM143" i="7"/>
  <c r="JM136" i="7"/>
  <c r="JM135" i="7"/>
  <c r="JM128" i="7"/>
  <c r="JM125" i="7"/>
  <c r="JM121" i="7"/>
  <c r="JM109" i="7"/>
  <c r="JM101" i="7"/>
  <c r="JM139" i="7"/>
  <c r="JM133" i="7"/>
  <c r="JM120" i="7"/>
  <c r="JM117" i="7"/>
  <c r="JM116" i="7"/>
  <c r="JM108" i="7"/>
  <c r="JM104" i="7"/>
  <c r="JM94" i="7"/>
  <c r="JM86" i="7"/>
  <c r="JM126" i="7"/>
  <c r="JM115" i="7"/>
  <c r="JM97" i="7"/>
  <c r="JM89" i="7"/>
  <c r="JM123" i="7"/>
  <c r="JM130" i="7"/>
  <c r="JM129" i="7"/>
  <c r="JM122" i="7"/>
  <c r="JM113" i="7"/>
  <c r="JM100" i="7"/>
  <c r="JM96" i="7"/>
  <c r="JM103" i="7"/>
  <c r="JM102" i="7"/>
  <c r="JM92" i="7"/>
  <c r="JM78" i="7"/>
  <c r="JM70" i="7"/>
  <c r="JM62" i="7"/>
  <c r="JM99" i="7"/>
  <c r="JM81" i="7"/>
  <c r="JM73" i="7"/>
  <c r="JM65" i="7"/>
  <c r="JM107" i="7"/>
  <c r="JM105" i="7"/>
  <c r="JM131" i="7"/>
  <c r="JM112" i="7"/>
  <c r="JM88" i="7"/>
  <c r="JM80" i="7"/>
  <c r="JM72" i="7"/>
  <c r="JM64" i="7"/>
  <c r="JM98" i="7"/>
  <c r="JM68" i="7"/>
  <c r="JM118" i="7"/>
  <c r="JM83" i="7"/>
  <c r="JM79" i="7"/>
  <c r="JM110" i="7"/>
  <c r="JM74" i="7"/>
  <c r="JM91" i="7"/>
  <c r="JM95" i="7"/>
  <c r="JM82" i="7"/>
  <c r="JM84" i="7"/>
  <c r="JM111" i="7"/>
  <c r="JM93" i="7"/>
  <c r="JM75" i="7"/>
  <c r="JM67" i="7"/>
  <c r="JM58" i="7"/>
  <c r="JM50" i="7"/>
  <c r="JM42" i="7"/>
  <c r="JM34" i="7"/>
  <c r="JM26" i="7"/>
  <c r="JM69" i="7"/>
  <c r="JM61" i="7"/>
  <c r="JM53" i="7"/>
  <c r="JM45" i="7"/>
  <c r="JM37" i="7"/>
  <c r="JM29" i="7"/>
  <c r="JM87" i="7"/>
  <c r="JM90" i="7"/>
  <c r="JM85" i="7"/>
  <c r="JM76" i="7"/>
  <c r="JM71" i="7"/>
  <c r="JM66" i="7"/>
  <c r="JM77" i="7"/>
  <c r="JM60" i="7"/>
  <c r="JM52" i="7"/>
  <c r="JM44" i="7"/>
  <c r="JM36" i="7"/>
  <c r="JM47" i="7"/>
  <c r="JM43" i="7"/>
  <c r="JM63" i="7"/>
  <c r="JM54" i="7"/>
  <c r="JM39" i="7"/>
  <c r="JM35" i="7"/>
  <c r="JM48" i="7"/>
  <c r="JM41" i="7"/>
  <c r="JM27" i="7"/>
  <c r="JM17" i="7"/>
  <c r="JM9" i="7"/>
  <c r="JM49" i="7"/>
  <c r="JM38" i="7"/>
  <c r="JM20" i="7"/>
  <c r="JM12" i="7"/>
  <c r="JM4" i="7"/>
  <c r="JM51" i="7"/>
  <c r="JM40" i="7"/>
  <c r="JM56" i="7"/>
  <c r="JM55" i="7"/>
  <c r="JM57" i="7"/>
  <c r="JM46" i="7"/>
  <c r="JM19" i="7"/>
  <c r="JM11" i="7"/>
  <c r="JM3" i="7"/>
  <c r="JM59" i="7"/>
  <c r="JM31" i="7"/>
  <c r="JM14" i="7"/>
  <c r="JM10" i="7"/>
  <c r="JM28" i="7"/>
  <c r="JM21" i="7"/>
  <c r="JM6" i="7"/>
  <c r="JM2" i="7"/>
  <c r="JM32" i="7"/>
  <c r="JM25" i="7"/>
  <c r="JM13" i="7"/>
  <c r="JM33" i="7"/>
  <c r="JM5" i="7"/>
  <c r="JM23" i="7"/>
  <c r="JM16" i="7"/>
  <c r="JM15" i="7"/>
  <c r="JM30" i="7"/>
  <c r="JM7" i="7"/>
  <c r="AH52" i="9"/>
  <c r="AH52" i="8"/>
  <c r="AH1" i="9"/>
  <c r="AH141" i="7"/>
  <c r="AH144" i="7"/>
  <c r="AH143" i="7"/>
  <c r="AH135" i="7"/>
  <c r="AH127" i="7"/>
  <c r="AH119" i="7"/>
  <c r="AH148" i="7"/>
  <c r="AH130" i="7"/>
  <c r="AH122" i="7"/>
  <c r="AH142" i="7"/>
  <c r="AH138" i="7"/>
  <c r="AH129" i="7"/>
  <c r="AH131" i="7"/>
  <c r="AH123" i="7"/>
  <c r="AH117" i="7"/>
  <c r="AH109" i="7"/>
  <c r="AH101" i="7"/>
  <c r="AH1" i="8"/>
  <c r="AH120" i="7"/>
  <c r="AH112" i="7"/>
  <c r="AH104" i="7"/>
  <c r="AH134" i="7"/>
  <c r="AH139" i="7"/>
  <c r="AH137" i="7"/>
  <c r="AH140" i="7"/>
  <c r="AH132" i="7"/>
  <c r="AH118" i="7"/>
  <c r="AH111" i="7"/>
  <c r="AH103" i="7"/>
  <c r="AH97" i="7"/>
  <c r="AH89" i="7"/>
  <c r="AH126" i="7"/>
  <c r="AH114" i="7"/>
  <c r="AH110" i="7"/>
  <c r="AH100" i="7"/>
  <c r="AH92" i="7"/>
  <c r="AH124" i="7"/>
  <c r="AH133" i="7"/>
  <c r="AH128" i="7"/>
  <c r="AH121" i="7"/>
  <c r="AH125" i="7"/>
  <c r="AH115" i="7"/>
  <c r="AH108" i="7"/>
  <c r="AH99" i="7"/>
  <c r="AH91" i="7"/>
  <c r="AH116" i="7"/>
  <c r="AH107" i="7"/>
  <c r="AH81" i="7"/>
  <c r="AH73" i="7"/>
  <c r="AH65" i="7"/>
  <c r="AH102" i="7"/>
  <c r="AH98" i="7"/>
  <c r="AH88" i="7"/>
  <c r="AH84" i="7"/>
  <c r="AH76" i="7"/>
  <c r="AH68" i="7"/>
  <c r="AH136" i="7"/>
  <c r="AH113" i="7"/>
  <c r="AH96" i="7"/>
  <c r="AH87" i="7"/>
  <c r="AH83" i="7"/>
  <c r="AH75" i="7"/>
  <c r="AH67" i="7"/>
  <c r="AH82" i="7"/>
  <c r="AH78" i="7"/>
  <c r="AH74" i="7"/>
  <c r="AH106" i="7"/>
  <c r="AH69" i="7"/>
  <c r="AH90" i="7"/>
  <c r="AH85" i="7"/>
  <c r="AH72" i="7"/>
  <c r="AH94" i="7"/>
  <c r="AH105" i="7"/>
  <c r="AH71" i="7"/>
  <c r="AH63" i="7"/>
  <c r="AH61" i="7"/>
  <c r="AH53" i="7"/>
  <c r="AH45" i="7"/>
  <c r="AH37" i="7"/>
  <c r="AH29" i="7"/>
  <c r="AH70" i="7"/>
  <c r="AH56" i="7"/>
  <c r="AH48" i="7"/>
  <c r="AH40" i="7"/>
  <c r="AH32" i="7"/>
  <c r="AH86" i="7"/>
  <c r="AH79" i="7"/>
  <c r="AH95" i="7"/>
  <c r="AH93" i="7"/>
  <c r="AH64" i="7"/>
  <c r="AH66" i="7"/>
  <c r="AH55" i="7"/>
  <c r="AH47" i="7"/>
  <c r="AH39" i="7"/>
  <c r="AH57" i="7"/>
  <c r="AH42" i="7"/>
  <c r="AH38" i="7"/>
  <c r="AH77" i="7"/>
  <c r="AH49" i="7"/>
  <c r="AH62" i="7"/>
  <c r="AH43" i="7"/>
  <c r="AH36" i="7"/>
  <c r="AH52" i="7"/>
  <c r="AH41" i="7"/>
  <c r="AH20" i="7"/>
  <c r="AH12" i="7"/>
  <c r="AH4" i="7"/>
  <c r="AH54" i="7"/>
  <c r="AH33" i="7"/>
  <c r="AH23" i="7"/>
  <c r="AH15" i="7"/>
  <c r="AH7" i="7"/>
  <c r="AH80" i="7"/>
  <c r="AH44" i="7"/>
  <c r="AH59" i="7"/>
  <c r="AH58" i="7"/>
  <c r="AH46" i="7"/>
  <c r="AH60" i="7"/>
  <c r="AH28" i="7"/>
  <c r="AH22" i="7"/>
  <c r="AH14" i="7"/>
  <c r="AH6" i="7"/>
  <c r="AH51" i="7"/>
  <c r="AH9" i="7"/>
  <c r="AH5" i="7"/>
  <c r="AH35" i="7"/>
  <c r="AH31" i="7"/>
  <c r="AH16" i="7"/>
  <c r="AH34" i="7"/>
  <c r="AH24" i="7"/>
  <c r="AH8" i="7"/>
  <c r="AH19" i="7"/>
  <c r="AH26" i="7"/>
  <c r="AH18" i="7"/>
  <c r="AH11" i="7"/>
  <c r="AH30" i="7"/>
  <c r="AH10" i="7"/>
  <c r="AH50" i="7"/>
  <c r="AH27" i="7"/>
  <c r="AH25" i="7"/>
  <c r="AH21" i="7"/>
  <c r="AH2" i="7"/>
  <c r="CT52" i="9"/>
  <c r="CT1" i="9"/>
  <c r="CT52" i="8"/>
  <c r="CT141" i="7"/>
  <c r="CT144" i="7"/>
  <c r="CT143" i="7"/>
  <c r="CT135" i="7"/>
  <c r="CT127" i="7"/>
  <c r="CT119" i="7"/>
  <c r="CT1" i="8"/>
  <c r="CT148" i="7"/>
  <c r="CT130" i="7"/>
  <c r="CT122" i="7"/>
  <c r="CT142" i="7"/>
  <c r="CT138" i="7"/>
  <c r="CT129" i="7"/>
  <c r="CT131" i="7"/>
  <c r="CT123" i="7"/>
  <c r="CT117" i="7"/>
  <c r="CT109" i="7"/>
  <c r="CT101" i="7"/>
  <c r="CT120" i="7"/>
  <c r="CT112" i="7"/>
  <c r="CT104" i="7"/>
  <c r="CT139" i="7"/>
  <c r="CT134" i="7"/>
  <c r="CT140" i="7"/>
  <c r="CT136" i="7"/>
  <c r="CT137" i="7"/>
  <c r="CT132" i="7"/>
  <c r="CT128" i="7"/>
  <c r="CT118" i="7"/>
  <c r="CT111" i="7"/>
  <c r="CT103" i="7"/>
  <c r="CT125" i="7"/>
  <c r="CT97" i="7"/>
  <c r="CT89" i="7"/>
  <c r="CT114" i="7"/>
  <c r="CT110" i="7"/>
  <c r="CT100" i="7"/>
  <c r="CT92" i="7"/>
  <c r="CT126" i="7"/>
  <c r="CT133" i="7"/>
  <c r="CT124" i="7"/>
  <c r="CT115" i="7"/>
  <c r="CT108" i="7"/>
  <c r="CT99" i="7"/>
  <c r="CT91" i="7"/>
  <c r="CT81" i="7"/>
  <c r="CT73" i="7"/>
  <c r="CT65" i="7"/>
  <c r="CT98" i="7"/>
  <c r="CT88" i="7"/>
  <c r="CT84" i="7"/>
  <c r="CT76" i="7"/>
  <c r="CT68" i="7"/>
  <c r="CT116" i="7"/>
  <c r="CT113" i="7"/>
  <c r="CT121" i="7"/>
  <c r="CT106" i="7"/>
  <c r="CT105" i="7"/>
  <c r="CT96" i="7"/>
  <c r="CT87" i="7"/>
  <c r="CT83" i="7"/>
  <c r="CT75" i="7"/>
  <c r="CT67" i="7"/>
  <c r="CT107" i="7"/>
  <c r="CT82" i="7"/>
  <c r="CT94" i="7"/>
  <c r="CT93" i="7"/>
  <c r="CT78" i="7"/>
  <c r="CT74" i="7"/>
  <c r="CT86" i="7"/>
  <c r="CT69" i="7"/>
  <c r="CT90" i="7"/>
  <c r="CT85" i="7"/>
  <c r="CT77" i="7"/>
  <c r="CT102" i="7"/>
  <c r="CT63" i="7"/>
  <c r="CT61" i="7"/>
  <c r="CT53" i="7"/>
  <c r="CT45" i="7"/>
  <c r="CT37" i="7"/>
  <c r="CT29" i="7"/>
  <c r="CT72" i="7"/>
  <c r="CT56" i="7"/>
  <c r="CT48" i="7"/>
  <c r="CT40" i="7"/>
  <c r="CT32" i="7"/>
  <c r="CT71" i="7"/>
  <c r="CT95" i="7"/>
  <c r="CT70" i="7"/>
  <c r="CT79" i="7"/>
  <c r="CT66" i="7"/>
  <c r="CT64" i="7"/>
  <c r="CT55" i="7"/>
  <c r="CT47" i="7"/>
  <c r="CT39" i="7"/>
  <c r="CT57" i="7"/>
  <c r="CT42" i="7"/>
  <c r="CT38" i="7"/>
  <c r="CT49" i="7"/>
  <c r="CT34" i="7"/>
  <c r="CT80" i="7"/>
  <c r="CT62" i="7"/>
  <c r="CT43" i="7"/>
  <c r="CT36" i="7"/>
  <c r="CT54" i="7"/>
  <c r="CT20" i="7"/>
  <c r="CT12" i="7"/>
  <c r="CT4" i="7"/>
  <c r="CT33" i="7"/>
  <c r="CT23" i="7"/>
  <c r="CT15" i="7"/>
  <c r="CT7" i="7"/>
  <c r="CT44" i="7"/>
  <c r="CT59" i="7"/>
  <c r="CT58" i="7"/>
  <c r="CT46" i="7"/>
  <c r="CT60" i="7"/>
  <c r="CT51" i="7"/>
  <c r="CT50" i="7"/>
  <c r="CT28" i="7"/>
  <c r="CT22" i="7"/>
  <c r="CT14" i="7"/>
  <c r="CT6" i="7"/>
  <c r="CT41" i="7"/>
  <c r="CT27" i="7"/>
  <c r="CT9" i="7"/>
  <c r="CT5" i="7"/>
  <c r="CT35" i="7"/>
  <c r="CT16" i="7"/>
  <c r="CT8" i="7"/>
  <c r="CT31" i="7"/>
  <c r="CT25" i="7"/>
  <c r="CT19" i="7"/>
  <c r="CT18" i="7"/>
  <c r="CT11" i="7"/>
  <c r="CT10" i="7"/>
  <c r="CT26" i="7"/>
  <c r="CT21" i="7"/>
  <c r="CT2" i="7"/>
  <c r="EP52" i="9"/>
  <c r="EP1" i="9"/>
  <c r="EP52" i="8"/>
  <c r="EP141" i="7"/>
  <c r="EP1" i="8"/>
  <c r="EP144" i="7"/>
  <c r="EP136" i="7"/>
  <c r="EP143" i="7"/>
  <c r="EP142" i="7"/>
  <c r="EP135" i="7"/>
  <c r="EP127" i="7"/>
  <c r="EP119" i="7"/>
  <c r="EP130" i="7"/>
  <c r="EP122" i="7"/>
  <c r="EP139" i="7"/>
  <c r="EP129" i="7"/>
  <c r="EP132" i="7"/>
  <c r="EP128" i="7"/>
  <c r="EP125" i="7"/>
  <c r="EP121" i="7"/>
  <c r="EP109" i="7"/>
  <c r="EP101" i="7"/>
  <c r="EP140" i="7"/>
  <c r="EP138" i="7"/>
  <c r="EP112" i="7"/>
  <c r="EP104" i="7"/>
  <c r="EP148" i="7"/>
  <c r="EP134" i="7"/>
  <c r="EP111" i="7"/>
  <c r="EP103" i="7"/>
  <c r="EP133" i="7"/>
  <c r="EP131" i="7"/>
  <c r="EP124" i="7"/>
  <c r="EP117" i="7"/>
  <c r="EP115" i="7"/>
  <c r="EP108" i="7"/>
  <c r="EP97" i="7"/>
  <c r="EP89" i="7"/>
  <c r="EP107" i="7"/>
  <c r="EP102" i="7"/>
  <c r="EP92" i="7"/>
  <c r="EP126" i="7"/>
  <c r="EP118" i="7"/>
  <c r="EP123" i="7"/>
  <c r="EP120" i="7"/>
  <c r="EP105" i="7"/>
  <c r="EP99" i="7"/>
  <c r="EP91" i="7"/>
  <c r="EP100" i="7"/>
  <c r="EP96" i="7"/>
  <c r="EP85" i="7"/>
  <c r="EP81" i="7"/>
  <c r="EP73" i="7"/>
  <c r="EP65" i="7"/>
  <c r="EP114" i="7"/>
  <c r="EP113" i="7"/>
  <c r="EP95" i="7"/>
  <c r="EP86" i="7"/>
  <c r="EP84" i="7"/>
  <c r="EP76" i="7"/>
  <c r="EP68" i="7"/>
  <c r="EP116" i="7"/>
  <c r="EP106" i="7"/>
  <c r="EP137" i="7"/>
  <c r="EP110" i="7"/>
  <c r="EP93" i="7"/>
  <c r="EP83" i="7"/>
  <c r="EP75" i="7"/>
  <c r="EP67" i="7"/>
  <c r="EP79" i="7"/>
  <c r="EP72" i="7"/>
  <c r="EP98" i="7"/>
  <c r="EP71" i="7"/>
  <c r="EP90" i="7"/>
  <c r="EP70" i="7"/>
  <c r="EP78" i="7"/>
  <c r="EP87" i="7"/>
  <c r="EP82" i="7"/>
  <c r="EP80" i="7"/>
  <c r="EP61" i="7"/>
  <c r="EP53" i="7"/>
  <c r="EP45" i="7"/>
  <c r="EP37" i="7"/>
  <c r="EP29" i="7"/>
  <c r="EP94" i="7"/>
  <c r="EP66" i="7"/>
  <c r="EP64" i="7"/>
  <c r="EP56" i="7"/>
  <c r="EP48" i="7"/>
  <c r="EP40" i="7"/>
  <c r="EP32" i="7"/>
  <c r="EP69" i="7"/>
  <c r="EP77" i="7"/>
  <c r="EP74" i="7"/>
  <c r="EP88" i="7"/>
  <c r="EP63" i="7"/>
  <c r="EP55" i="7"/>
  <c r="EP47" i="7"/>
  <c r="EP39" i="7"/>
  <c r="EP58" i="7"/>
  <c r="EP54" i="7"/>
  <c r="EP35" i="7"/>
  <c r="EP50" i="7"/>
  <c r="EP46" i="7"/>
  <c r="EP59" i="7"/>
  <c r="EP52" i="7"/>
  <c r="EP34" i="7"/>
  <c r="EP20" i="7"/>
  <c r="EP12" i="7"/>
  <c r="EP4" i="7"/>
  <c r="EP62" i="7"/>
  <c r="EP33" i="7"/>
  <c r="EP31" i="7"/>
  <c r="EP25" i="7"/>
  <c r="EP23" i="7"/>
  <c r="EP15" i="7"/>
  <c r="EP7" i="7"/>
  <c r="EP49" i="7"/>
  <c r="EP38" i="7"/>
  <c r="EP60" i="7"/>
  <c r="EP51" i="7"/>
  <c r="EP42" i="7"/>
  <c r="EP41" i="7"/>
  <c r="EP43" i="7"/>
  <c r="EP30" i="7"/>
  <c r="EP26" i="7"/>
  <c r="EP22" i="7"/>
  <c r="EP14" i="7"/>
  <c r="EP6" i="7"/>
  <c r="EP36" i="7"/>
  <c r="EP21" i="7"/>
  <c r="EP2" i="7"/>
  <c r="EP17" i="7"/>
  <c r="EP13" i="7"/>
  <c r="EP27" i="7"/>
  <c r="EP9" i="7"/>
  <c r="EP5" i="7"/>
  <c r="EP16" i="7"/>
  <c r="EP44" i="7"/>
  <c r="EP28" i="7"/>
  <c r="EP24" i="7"/>
  <c r="EP8" i="7"/>
  <c r="EP19" i="7"/>
  <c r="EP18" i="7"/>
  <c r="EP11" i="7"/>
  <c r="FV52" i="9"/>
  <c r="FV52" i="8"/>
  <c r="FV1" i="9"/>
  <c r="FV141" i="7"/>
  <c r="FV1" i="8"/>
  <c r="FV144" i="7"/>
  <c r="FV136" i="7"/>
  <c r="FV143" i="7"/>
  <c r="FV135" i="7"/>
  <c r="FV127" i="7"/>
  <c r="FV119" i="7"/>
  <c r="FV140" i="7"/>
  <c r="FV130" i="7"/>
  <c r="FV122" i="7"/>
  <c r="FV129" i="7"/>
  <c r="FV148" i="7"/>
  <c r="FV137" i="7"/>
  <c r="FV134" i="7"/>
  <c r="FV125" i="7"/>
  <c r="FV121" i="7"/>
  <c r="FV118" i="7"/>
  <c r="FV109" i="7"/>
  <c r="FV101" i="7"/>
  <c r="FV133" i="7"/>
  <c r="FV117" i="7"/>
  <c r="FV112" i="7"/>
  <c r="FV104" i="7"/>
  <c r="FV139" i="7"/>
  <c r="FV138" i="7"/>
  <c r="FV142" i="7"/>
  <c r="FV131" i="7"/>
  <c r="FV111" i="7"/>
  <c r="FV103" i="7"/>
  <c r="FV106" i="7"/>
  <c r="FV97" i="7"/>
  <c r="FV89" i="7"/>
  <c r="FV124" i="7"/>
  <c r="FV113" i="7"/>
  <c r="FV102" i="7"/>
  <c r="FV92" i="7"/>
  <c r="FV128" i="7"/>
  <c r="FV116" i="7"/>
  <c r="FV132" i="7"/>
  <c r="FV126" i="7"/>
  <c r="FV123" i="7"/>
  <c r="FV99" i="7"/>
  <c r="FV91" i="7"/>
  <c r="FV107" i="7"/>
  <c r="FV94" i="7"/>
  <c r="FV90" i="7"/>
  <c r="FV81" i="7"/>
  <c r="FV73" i="7"/>
  <c r="FV65" i="7"/>
  <c r="FV120" i="7"/>
  <c r="FV108" i="7"/>
  <c r="FV100" i="7"/>
  <c r="FV86" i="7"/>
  <c r="FV84" i="7"/>
  <c r="FV76" i="7"/>
  <c r="FV68" i="7"/>
  <c r="FV110" i="7"/>
  <c r="FV115" i="7"/>
  <c r="FV114" i="7"/>
  <c r="FV105" i="7"/>
  <c r="FV85" i="7"/>
  <c r="FV83" i="7"/>
  <c r="FV75" i="7"/>
  <c r="FV67" i="7"/>
  <c r="FV70" i="7"/>
  <c r="FV66" i="7"/>
  <c r="FV93" i="7"/>
  <c r="FV77" i="7"/>
  <c r="FV96" i="7"/>
  <c r="FV79" i="7"/>
  <c r="FV72" i="7"/>
  <c r="FV98" i="7"/>
  <c r="FV87" i="7"/>
  <c r="FV95" i="7"/>
  <c r="FV74" i="7"/>
  <c r="FV88" i="7"/>
  <c r="FV61" i="7"/>
  <c r="FV53" i="7"/>
  <c r="FV45" i="7"/>
  <c r="FV37" i="7"/>
  <c r="FV29" i="7"/>
  <c r="FV82" i="7"/>
  <c r="FV69" i="7"/>
  <c r="FV56" i="7"/>
  <c r="FV48" i="7"/>
  <c r="FV40" i="7"/>
  <c r="FV32" i="7"/>
  <c r="FV63" i="7"/>
  <c r="FV64" i="7"/>
  <c r="FV80" i="7"/>
  <c r="FV71" i="7"/>
  <c r="FV55" i="7"/>
  <c r="FV47" i="7"/>
  <c r="FV39" i="7"/>
  <c r="FV60" i="7"/>
  <c r="FV41" i="7"/>
  <c r="FV59" i="7"/>
  <c r="FV52" i="7"/>
  <c r="FV50" i="7"/>
  <c r="FV46" i="7"/>
  <c r="FV20" i="7"/>
  <c r="FV12" i="7"/>
  <c r="FV4" i="7"/>
  <c r="FV54" i="7"/>
  <c r="FV43" i="7"/>
  <c r="FV42" i="7"/>
  <c r="FV31" i="7"/>
  <c r="FV23" i="7"/>
  <c r="FV15" i="7"/>
  <c r="FV7" i="7"/>
  <c r="FV44" i="7"/>
  <c r="FV57" i="7"/>
  <c r="FV58" i="7"/>
  <c r="FV36" i="7"/>
  <c r="FV78" i="7"/>
  <c r="FV62" i="7"/>
  <c r="FV51" i="7"/>
  <c r="FV49" i="7"/>
  <c r="FV38" i="7"/>
  <c r="FV30" i="7"/>
  <c r="FV26" i="7"/>
  <c r="FV24" i="7"/>
  <c r="FV22" i="7"/>
  <c r="FV14" i="7"/>
  <c r="FV6" i="7"/>
  <c r="FV25" i="7"/>
  <c r="FV8" i="7"/>
  <c r="FV19" i="7"/>
  <c r="FV18" i="7"/>
  <c r="FV11" i="7"/>
  <c r="FV27" i="7"/>
  <c r="FV10" i="7"/>
  <c r="FV34" i="7"/>
  <c r="FV21" i="7"/>
  <c r="FV28" i="7"/>
  <c r="FV17" i="7"/>
  <c r="FV13" i="7"/>
  <c r="FV35" i="7"/>
  <c r="FV33" i="7"/>
  <c r="FV9" i="7"/>
  <c r="FV5" i="7"/>
  <c r="HJ52" i="9"/>
  <c r="HJ52" i="8"/>
  <c r="HJ1" i="9"/>
  <c r="HJ141" i="7"/>
  <c r="HJ144" i="7"/>
  <c r="HJ136" i="7"/>
  <c r="HJ143" i="7"/>
  <c r="HJ1" i="8"/>
  <c r="HJ140" i="7"/>
  <c r="HJ127" i="7"/>
  <c r="HJ119" i="7"/>
  <c r="HJ139" i="7"/>
  <c r="HJ137" i="7"/>
  <c r="HJ130" i="7"/>
  <c r="HJ122" i="7"/>
  <c r="HJ148" i="7"/>
  <c r="HJ129" i="7"/>
  <c r="HJ138" i="7"/>
  <c r="HJ133" i="7"/>
  <c r="HJ109" i="7"/>
  <c r="HJ101" i="7"/>
  <c r="HJ124" i="7"/>
  <c r="HJ112" i="7"/>
  <c r="HJ104" i="7"/>
  <c r="HJ142" i="7"/>
  <c r="HJ123" i="7"/>
  <c r="HJ117" i="7"/>
  <c r="HJ111" i="7"/>
  <c r="HJ103" i="7"/>
  <c r="HJ113" i="7"/>
  <c r="HJ97" i="7"/>
  <c r="HJ89" i="7"/>
  <c r="HJ134" i="7"/>
  <c r="HJ105" i="7"/>
  <c r="HJ92" i="7"/>
  <c r="HJ128" i="7"/>
  <c r="HJ116" i="7"/>
  <c r="HJ126" i="7"/>
  <c r="HJ120" i="7"/>
  <c r="HJ135" i="7"/>
  <c r="HJ132" i="7"/>
  <c r="HJ131" i="7"/>
  <c r="HJ118" i="7"/>
  <c r="HJ121" i="7"/>
  <c r="HJ114" i="7"/>
  <c r="HJ110" i="7"/>
  <c r="HJ91" i="7"/>
  <c r="HJ107" i="7"/>
  <c r="HJ106" i="7"/>
  <c r="HJ85" i="7"/>
  <c r="HJ81" i="7"/>
  <c r="HJ73" i="7"/>
  <c r="HJ65" i="7"/>
  <c r="HJ108" i="7"/>
  <c r="HJ93" i="7"/>
  <c r="HJ84" i="7"/>
  <c r="HJ76" i="7"/>
  <c r="HJ68" i="7"/>
  <c r="HJ125" i="7"/>
  <c r="HJ115" i="7"/>
  <c r="HJ100" i="7"/>
  <c r="HJ98" i="7"/>
  <c r="HJ83" i="7"/>
  <c r="HJ75" i="7"/>
  <c r="HJ67" i="7"/>
  <c r="HJ99" i="7"/>
  <c r="HJ90" i="7"/>
  <c r="HJ88" i="7"/>
  <c r="HJ77" i="7"/>
  <c r="HJ69" i="7"/>
  <c r="HJ96" i="7"/>
  <c r="HJ71" i="7"/>
  <c r="HJ86" i="7"/>
  <c r="HJ72" i="7"/>
  <c r="HJ74" i="7"/>
  <c r="HJ102" i="7"/>
  <c r="HJ63" i="7"/>
  <c r="HJ61" i="7"/>
  <c r="HJ53" i="7"/>
  <c r="HJ45" i="7"/>
  <c r="HJ37" i="7"/>
  <c r="HJ29" i="7"/>
  <c r="HJ56" i="7"/>
  <c r="HJ48" i="7"/>
  <c r="HJ40" i="7"/>
  <c r="HJ32" i="7"/>
  <c r="HJ95" i="7"/>
  <c r="HJ80" i="7"/>
  <c r="HJ70" i="7"/>
  <c r="HJ62" i="7"/>
  <c r="HJ87" i="7"/>
  <c r="HJ66" i="7"/>
  <c r="HJ64" i="7"/>
  <c r="HJ94" i="7"/>
  <c r="HJ78" i="7"/>
  <c r="HJ55" i="7"/>
  <c r="HJ47" i="7"/>
  <c r="HJ39" i="7"/>
  <c r="HJ82" i="7"/>
  <c r="HJ59" i="7"/>
  <c r="HJ52" i="7"/>
  <c r="HJ51" i="7"/>
  <c r="HJ44" i="7"/>
  <c r="HJ79" i="7"/>
  <c r="HJ57" i="7"/>
  <c r="HJ42" i="7"/>
  <c r="HJ38" i="7"/>
  <c r="HJ30" i="7"/>
  <c r="HJ26" i="7"/>
  <c r="HJ20" i="7"/>
  <c r="HJ12" i="7"/>
  <c r="HJ4" i="7"/>
  <c r="HJ54" i="7"/>
  <c r="HJ43" i="7"/>
  <c r="HJ41" i="7"/>
  <c r="HJ27" i="7"/>
  <c r="HJ15" i="7"/>
  <c r="HJ7" i="7"/>
  <c r="HJ58" i="7"/>
  <c r="HJ46" i="7"/>
  <c r="HJ60" i="7"/>
  <c r="HJ36" i="7"/>
  <c r="HJ49" i="7"/>
  <c r="HJ22" i="7"/>
  <c r="HJ14" i="7"/>
  <c r="HJ6" i="7"/>
  <c r="HJ19" i="7"/>
  <c r="HJ18" i="7"/>
  <c r="HJ11" i="7"/>
  <c r="HJ34" i="7"/>
  <c r="HJ31" i="7"/>
  <c r="HJ23" i="7"/>
  <c r="HJ10" i="7"/>
  <c r="HJ3" i="7"/>
  <c r="HJ28" i="7"/>
  <c r="HJ21" i="7"/>
  <c r="HJ35" i="7"/>
  <c r="HJ25" i="7"/>
  <c r="HJ17" i="7"/>
  <c r="HJ13" i="7"/>
  <c r="HJ50" i="7"/>
  <c r="HJ24" i="7"/>
  <c r="HJ9" i="7"/>
  <c r="HJ33" i="7"/>
  <c r="HJ16" i="7"/>
  <c r="IX52" i="9"/>
  <c r="IX1" i="9"/>
  <c r="IX52" i="8"/>
  <c r="IX141" i="7"/>
  <c r="IX144" i="7"/>
  <c r="IX136" i="7"/>
  <c r="IX143" i="7"/>
  <c r="IX139" i="7"/>
  <c r="IX127" i="7"/>
  <c r="IX119" i="7"/>
  <c r="IX135" i="7"/>
  <c r="IX130" i="7"/>
  <c r="IX122" i="7"/>
  <c r="IX1" i="8"/>
  <c r="IX138" i="7"/>
  <c r="IX129" i="7"/>
  <c r="IX123" i="7"/>
  <c r="IX109" i="7"/>
  <c r="IX101" i="7"/>
  <c r="IX148" i="7"/>
  <c r="IX120" i="7"/>
  <c r="IX112" i="7"/>
  <c r="IX104" i="7"/>
  <c r="IX137" i="7"/>
  <c r="IX142" i="7"/>
  <c r="IX140" i="7"/>
  <c r="IX134" i="7"/>
  <c r="IX111" i="7"/>
  <c r="IX103" i="7"/>
  <c r="IX126" i="7"/>
  <c r="IX105" i="7"/>
  <c r="IX99" i="7"/>
  <c r="IX97" i="7"/>
  <c r="IX89" i="7"/>
  <c r="IX116" i="7"/>
  <c r="IX100" i="7"/>
  <c r="IX92" i="7"/>
  <c r="IX128" i="7"/>
  <c r="IX117" i="7"/>
  <c r="IX124" i="7"/>
  <c r="IX121" i="7"/>
  <c r="IX132" i="7"/>
  <c r="IX131" i="7"/>
  <c r="IX125" i="7"/>
  <c r="IX118" i="7"/>
  <c r="IX106" i="7"/>
  <c r="IX102" i="7"/>
  <c r="IX91" i="7"/>
  <c r="IX107" i="7"/>
  <c r="IX93" i="7"/>
  <c r="IX81" i="7"/>
  <c r="IX73" i="7"/>
  <c r="IX65" i="7"/>
  <c r="IX108" i="7"/>
  <c r="IX88" i="7"/>
  <c r="IX84" i="7"/>
  <c r="IX76" i="7"/>
  <c r="IX68" i="7"/>
  <c r="IX110" i="7"/>
  <c r="IX115" i="7"/>
  <c r="IX113" i="7"/>
  <c r="IX114" i="7"/>
  <c r="IX94" i="7"/>
  <c r="IX90" i="7"/>
  <c r="IX87" i="7"/>
  <c r="IX83" i="7"/>
  <c r="IX75" i="7"/>
  <c r="IX67" i="7"/>
  <c r="IX69" i="7"/>
  <c r="IX86" i="7"/>
  <c r="IX80" i="7"/>
  <c r="IX133" i="7"/>
  <c r="IX96" i="7"/>
  <c r="IX82" i="7"/>
  <c r="IX72" i="7"/>
  <c r="IX74" i="7"/>
  <c r="IX61" i="7"/>
  <c r="IX53" i="7"/>
  <c r="IX45" i="7"/>
  <c r="IX37" i="7"/>
  <c r="IX29" i="7"/>
  <c r="IX98" i="7"/>
  <c r="IX77" i="7"/>
  <c r="IX56" i="7"/>
  <c r="IX48" i="7"/>
  <c r="IX40" i="7"/>
  <c r="IX32" i="7"/>
  <c r="IX63" i="7"/>
  <c r="IX95" i="7"/>
  <c r="IX78" i="7"/>
  <c r="IX71" i="7"/>
  <c r="IX66" i="7"/>
  <c r="IX79" i="7"/>
  <c r="IX70" i="7"/>
  <c r="IX85" i="7"/>
  <c r="IX64" i="7"/>
  <c r="IX62" i="7"/>
  <c r="IX55" i="7"/>
  <c r="IX47" i="7"/>
  <c r="IX39" i="7"/>
  <c r="IX51" i="7"/>
  <c r="IX44" i="7"/>
  <c r="IX43" i="7"/>
  <c r="IX36" i="7"/>
  <c r="IX33" i="7"/>
  <c r="IX49" i="7"/>
  <c r="IX34" i="7"/>
  <c r="IX60" i="7"/>
  <c r="IX24" i="7"/>
  <c r="IX20" i="7"/>
  <c r="IX12" i="7"/>
  <c r="IX4" i="7"/>
  <c r="IX54" i="7"/>
  <c r="IX52" i="7"/>
  <c r="IX41" i="7"/>
  <c r="IX15" i="7"/>
  <c r="IX7" i="7"/>
  <c r="IX42" i="7"/>
  <c r="IX58" i="7"/>
  <c r="IX57" i="7"/>
  <c r="IX46" i="7"/>
  <c r="IX59" i="7"/>
  <c r="IX28" i="7"/>
  <c r="IX22" i="7"/>
  <c r="IX14" i="7"/>
  <c r="IX6" i="7"/>
  <c r="IX31" i="7"/>
  <c r="IX18" i="7"/>
  <c r="IX11" i="7"/>
  <c r="IX25" i="7"/>
  <c r="IX10" i="7"/>
  <c r="IX3" i="7"/>
  <c r="IX38" i="7"/>
  <c r="IX35" i="7"/>
  <c r="IX21" i="7"/>
  <c r="IX50" i="7"/>
  <c r="IX26" i="7"/>
  <c r="IX23" i="7"/>
  <c r="IX17" i="7"/>
  <c r="IX13" i="7"/>
  <c r="IX30" i="7"/>
  <c r="IX9" i="7"/>
  <c r="IX5" i="7"/>
  <c r="IX27" i="7"/>
  <c r="IX16" i="7"/>
  <c r="IX8" i="7"/>
  <c r="AQ52" i="9"/>
  <c r="AQ1" i="9"/>
  <c r="AQ52" i="8"/>
  <c r="AQ144" i="7"/>
  <c r="AQ136" i="7"/>
  <c r="AQ139" i="7"/>
  <c r="AQ1" i="8"/>
  <c r="AQ142" i="7"/>
  <c r="AQ130" i="7"/>
  <c r="AQ122" i="7"/>
  <c r="AQ133" i="7"/>
  <c r="AQ125" i="7"/>
  <c r="AQ132" i="7"/>
  <c r="AQ126" i="7"/>
  <c r="AQ112" i="7"/>
  <c r="AQ104" i="7"/>
  <c r="AQ141" i="7"/>
  <c r="AQ140" i="7"/>
  <c r="AQ123" i="7"/>
  <c r="AQ115" i="7"/>
  <c r="AQ107" i="7"/>
  <c r="AQ138" i="7"/>
  <c r="AQ135" i="7"/>
  <c r="AQ143" i="7"/>
  <c r="AQ148" i="7"/>
  <c r="AQ134" i="7"/>
  <c r="AQ118" i="7"/>
  <c r="AQ114" i="7"/>
  <c r="AQ106" i="7"/>
  <c r="AQ131" i="7"/>
  <c r="AQ129" i="7"/>
  <c r="AQ124" i="7"/>
  <c r="AQ108" i="7"/>
  <c r="AQ92" i="7"/>
  <c r="AQ128" i="7"/>
  <c r="AQ121" i="7"/>
  <c r="AQ119" i="7"/>
  <c r="AQ95" i="7"/>
  <c r="AQ87" i="7"/>
  <c r="AQ137" i="7"/>
  <c r="AQ120" i="7"/>
  <c r="AQ109" i="7"/>
  <c r="AQ105" i="7"/>
  <c r="AQ102" i="7"/>
  <c r="AQ94" i="7"/>
  <c r="AQ96" i="7"/>
  <c r="AQ84" i="7"/>
  <c r="AQ76" i="7"/>
  <c r="AQ68" i="7"/>
  <c r="AQ113" i="7"/>
  <c r="AQ79" i="7"/>
  <c r="AQ71" i="7"/>
  <c r="AQ127" i="7"/>
  <c r="AQ116" i="7"/>
  <c r="AQ110" i="7"/>
  <c r="AQ97" i="7"/>
  <c r="AQ93" i="7"/>
  <c r="AQ86" i="7"/>
  <c r="AQ78" i="7"/>
  <c r="AQ70" i="7"/>
  <c r="AQ72" i="7"/>
  <c r="AQ117" i="7"/>
  <c r="AQ103" i="7"/>
  <c r="AQ98" i="7"/>
  <c r="AQ88" i="7"/>
  <c r="AQ83" i="7"/>
  <c r="AQ90" i="7"/>
  <c r="AQ85" i="7"/>
  <c r="AQ101" i="7"/>
  <c r="AQ91" i="7"/>
  <c r="AQ67" i="7"/>
  <c r="AQ89" i="7"/>
  <c r="AQ82" i="7"/>
  <c r="AQ81" i="7"/>
  <c r="AQ80" i="7"/>
  <c r="AQ99" i="7"/>
  <c r="AQ111" i="7"/>
  <c r="AQ100" i="7"/>
  <c r="AQ65" i="7"/>
  <c r="AQ63" i="7"/>
  <c r="AQ56" i="7"/>
  <c r="AQ48" i="7"/>
  <c r="AQ40" i="7"/>
  <c r="AQ32" i="7"/>
  <c r="AQ24" i="7"/>
  <c r="AQ75" i="7"/>
  <c r="AQ59" i="7"/>
  <c r="AQ51" i="7"/>
  <c r="AQ43" i="7"/>
  <c r="AQ35" i="7"/>
  <c r="AQ27" i="7"/>
  <c r="AQ66" i="7"/>
  <c r="AQ73" i="7"/>
  <c r="AQ77" i="7"/>
  <c r="AQ74" i="7"/>
  <c r="AQ64" i="7"/>
  <c r="AQ58" i="7"/>
  <c r="AQ50" i="7"/>
  <c r="AQ42" i="7"/>
  <c r="AQ54" i="7"/>
  <c r="AQ47" i="7"/>
  <c r="AQ46" i="7"/>
  <c r="AQ39" i="7"/>
  <c r="AQ61" i="7"/>
  <c r="AQ69" i="7"/>
  <c r="AQ52" i="7"/>
  <c r="AQ37" i="7"/>
  <c r="AQ45" i="7"/>
  <c r="AQ23" i="7"/>
  <c r="AQ15" i="7"/>
  <c r="AQ7" i="7"/>
  <c r="AQ62" i="7"/>
  <c r="AQ18" i="7"/>
  <c r="AQ10" i="7"/>
  <c r="AQ2" i="7"/>
  <c r="AQ60" i="7"/>
  <c r="AQ49" i="7"/>
  <c r="AQ38" i="7"/>
  <c r="AQ53" i="7"/>
  <c r="AQ41" i="7"/>
  <c r="AQ31" i="7"/>
  <c r="AQ17" i="7"/>
  <c r="AQ9" i="7"/>
  <c r="AQ55" i="7"/>
  <c r="AQ34" i="7"/>
  <c r="AQ33" i="7"/>
  <c r="AQ26" i="7"/>
  <c r="AQ21" i="7"/>
  <c r="AQ14" i="7"/>
  <c r="AQ44" i="7"/>
  <c r="AQ36" i="7"/>
  <c r="AQ30" i="7"/>
  <c r="AQ25" i="7"/>
  <c r="AQ13" i="7"/>
  <c r="AQ6" i="7"/>
  <c r="AQ5" i="7"/>
  <c r="AQ20" i="7"/>
  <c r="AQ16" i="7"/>
  <c r="AQ57" i="7"/>
  <c r="AQ12" i="7"/>
  <c r="AQ8" i="7"/>
  <c r="AQ28" i="7"/>
  <c r="AQ19" i="7"/>
  <c r="AQ11" i="7"/>
  <c r="CU52" i="9"/>
  <c r="CU1" i="9"/>
  <c r="CU52" i="8"/>
  <c r="CU144" i="7"/>
  <c r="CU136" i="7"/>
  <c r="CU139" i="7"/>
  <c r="CU1" i="8"/>
  <c r="CU148" i="7"/>
  <c r="CU141" i="7"/>
  <c r="CU130" i="7"/>
  <c r="CU122" i="7"/>
  <c r="CU133" i="7"/>
  <c r="CU125" i="7"/>
  <c r="CU132" i="7"/>
  <c r="CU138" i="7"/>
  <c r="CU120" i="7"/>
  <c r="CU112" i="7"/>
  <c r="CU104" i="7"/>
  <c r="CU134" i="7"/>
  <c r="CU127" i="7"/>
  <c r="CU115" i="7"/>
  <c r="CU107" i="7"/>
  <c r="CU140" i="7"/>
  <c r="CU142" i="7"/>
  <c r="CU137" i="7"/>
  <c r="CU143" i="7"/>
  <c r="CU126" i="7"/>
  <c r="CU114" i="7"/>
  <c r="CU106" i="7"/>
  <c r="CU110" i="7"/>
  <c r="CU103" i="7"/>
  <c r="CU100" i="7"/>
  <c r="CU92" i="7"/>
  <c r="CU128" i="7"/>
  <c r="CU95" i="7"/>
  <c r="CU87" i="7"/>
  <c r="CU129" i="7"/>
  <c r="CU119" i="7"/>
  <c r="CU117" i="7"/>
  <c r="CU131" i="7"/>
  <c r="CU123" i="7"/>
  <c r="CU116" i="7"/>
  <c r="CU124" i="7"/>
  <c r="CU121" i="7"/>
  <c r="CU118" i="7"/>
  <c r="CU94" i="7"/>
  <c r="CU109" i="7"/>
  <c r="CU108" i="7"/>
  <c r="CU101" i="7"/>
  <c r="CU98" i="7"/>
  <c r="CU91" i="7"/>
  <c r="CU88" i="7"/>
  <c r="CU84" i="7"/>
  <c r="CU76" i="7"/>
  <c r="CU68" i="7"/>
  <c r="CU90" i="7"/>
  <c r="CU85" i="7"/>
  <c r="CU79" i="7"/>
  <c r="CU71" i="7"/>
  <c r="CU113" i="7"/>
  <c r="CU111" i="7"/>
  <c r="CU78" i="7"/>
  <c r="CU70" i="7"/>
  <c r="CU93" i="7"/>
  <c r="CU74" i="7"/>
  <c r="CU67" i="7"/>
  <c r="CU66" i="7"/>
  <c r="CU135" i="7"/>
  <c r="CU80" i="7"/>
  <c r="CU89" i="7"/>
  <c r="CU105" i="7"/>
  <c r="CU97" i="7"/>
  <c r="CU77" i="7"/>
  <c r="CU75" i="7"/>
  <c r="CU102" i="7"/>
  <c r="CU72" i="7"/>
  <c r="CU56" i="7"/>
  <c r="CU48" i="7"/>
  <c r="CU40" i="7"/>
  <c r="CU32" i="7"/>
  <c r="CU24" i="7"/>
  <c r="CU96" i="7"/>
  <c r="CU81" i="7"/>
  <c r="CU59" i="7"/>
  <c r="CU51" i="7"/>
  <c r="CU43" i="7"/>
  <c r="CU35" i="7"/>
  <c r="CU27" i="7"/>
  <c r="CU65" i="7"/>
  <c r="CU82" i="7"/>
  <c r="CU69" i="7"/>
  <c r="CU64" i="7"/>
  <c r="CU99" i="7"/>
  <c r="CU86" i="7"/>
  <c r="CU58" i="7"/>
  <c r="CU50" i="7"/>
  <c r="CU42" i="7"/>
  <c r="CU34" i="7"/>
  <c r="CU53" i="7"/>
  <c r="CU49" i="7"/>
  <c r="CU60" i="7"/>
  <c r="CU45" i="7"/>
  <c r="CU41" i="7"/>
  <c r="CU73" i="7"/>
  <c r="CU83" i="7"/>
  <c r="CU54" i="7"/>
  <c r="CU47" i="7"/>
  <c r="CU33" i="7"/>
  <c r="CU29" i="7"/>
  <c r="CU23" i="7"/>
  <c r="CU15" i="7"/>
  <c r="CU7" i="7"/>
  <c r="CU61" i="7"/>
  <c r="CU55" i="7"/>
  <c r="CU44" i="7"/>
  <c r="CU30" i="7"/>
  <c r="CU26" i="7"/>
  <c r="CU18" i="7"/>
  <c r="CU10" i="7"/>
  <c r="CU2" i="7"/>
  <c r="CU63" i="7"/>
  <c r="CU57" i="7"/>
  <c r="CU46" i="7"/>
  <c r="CU37" i="7"/>
  <c r="CU38" i="7"/>
  <c r="CU52" i="7"/>
  <c r="CU39" i="7"/>
  <c r="CU17" i="7"/>
  <c r="CU9" i="7"/>
  <c r="CU62" i="7"/>
  <c r="CU20" i="7"/>
  <c r="CU16" i="7"/>
  <c r="CU12" i="7"/>
  <c r="CU8" i="7"/>
  <c r="CU31" i="7"/>
  <c r="CU25" i="7"/>
  <c r="CU19" i="7"/>
  <c r="CU4" i="7"/>
  <c r="CU28" i="7"/>
  <c r="CU11" i="7"/>
  <c r="CU36" i="7"/>
  <c r="CU22" i="7"/>
  <c r="CU21" i="7"/>
  <c r="CU14" i="7"/>
  <c r="CU13" i="7"/>
  <c r="CU6" i="7"/>
  <c r="FG52" i="9"/>
  <c r="FG1" i="9"/>
  <c r="FG52" i="8"/>
  <c r="FG144" i="7"/>
  <c r="FG136" i="7"/>
  <c r="FG139" i="7"/>
  <c r="FG148" i="7"/>
  <c r="FG141" i="7"/>
  <c r="FG130" i="7"/>
  <c r="FG122" i="7"/>
  <c r="FG133" i="7"/>
  <c r="FG125" i="7"/>
  <c r="FG132" i="7"/>
  <c r="FG120" i="7"/>
  <c r="FG112" i="7"/>
  <c r="FG104" i="7"/>
  <c r="FG140" i="7"/>
  <c r="FG134" i="7"/>
  <c r="FG127" i="7"/>
  <c r="FG115" i="7"/>
  <c r="FG107" i="7"/>
  <c r="FG1" i="8"/>
  <c r="FG138" i="7"/>
  <c r="FG142" i="7"/>
  <c r="FG143" i="7"/>
  <c r="FG137" i="7"/>
  <c r="FG126" i="7"/>
  <c r="FG117" i="7"/>
  <c r="FG114" i="7"/>
  <c r="FG106" i="7"/>
  <c r="FG128" i="7"/>
  <c r="FG121" i="7"/>
  <c r="FG110" i="7"/>
  <c r="FG103" i="7"/>
  <c r="FG100" i="7"/>
  <c r="FG92" i="7"/>
  <c r="FG129" i="7"/>
  <c r="FG95" i="7"/>
  <c r="FG87" i="7"/>
  <c r="FG131" i="7"/>
  <c r="FG118" i="7"/>
  <c r="FG116" i="7"/>
  <c r="FG135" i="7"/>
  <c r="FG123" i="7"/>
  <c r="FG94" i="7"/>
  <c r="FG98" i="7"/>
  <c r="FG91" i="7"/>
  <c r="FG88" i="7"/>
  <c r="FG84" i="7"/>
  <c r="FG76" i="7"/>
  <c r="FG68" i="7"/>
  <c r="FG113" i="7"/>
  <c r="FG111" i="7"/>
  <c r="FG90" i="7"/>
  <c r="FG85" i="7"/>
  <c r="FG79" i="7"/>
  <c r="FG71" i="7"/>
  <c r="FG119" i="7"/>
  <c r="FG105" i="7"/>
  <c r="FG78" i="7"/>
  <c r="FG70" i="7"/>
  <c r="FG74" i="7"/>
  <c r="FG67" i="7"/>
  <c r="FG66" i="7"/>
  <c r="FG109" i="7"/>
  <c r="FG102" i="7"/>
  <c r="FG99" i="7"/>
  <c r="FG80" i="7"/>
  <c r="FG93" i="7"/>
  <c r="FG86" i="7"/>
  <c r="FG77" i="7"/>
  <c r="FG75" i="7"/>
  <c r="FG97" i="7"/>
  <c r="FG101" i="7"/>
  <c r="FG124" i="7"/>
  <c r="FG56" i="7"/>
  <c r="FG48" i="7"/>
  <c r="FG40" i="7"/>
  <c r="FG32" i="7"/>
  <c r="FG24" i="7"/>
  <c r="FG81" i="7"/>
  <c r="FG59" i="7"/>
  <c r="FG51" i="7"/>
  <c r="FG43" i="7"/>
  <c r="FG35" i="7"/>
  <c r="FG27" i="7"/>
  <c r="FG108" i="7"/>
  <c r="FG82" i="7"/>
  <c r="FG64" i="7"/>
  <c r="FG72" i="7"/>
  <c r="FG65" i="7"/>
  <c r="FG69" i="7"/>
  <c r="FG58" i="7"/>
  <c r="FG50" i="7"/>
  <c r="FG42" i="7"/>
  <c r="FG34" i="7"/>
  <c r="FG96" i="7"/>
  <c r="FG73" i="7"/>
  <c r="FG53" i="7"/>
  <c r="FG49" i="7"/>
  <c r="FG83" i="7"/>
  <c r="FG60" i="7"/>
  <c r="FG45" i="7"/>
  <c r="FG41" i="7"/>
  <c r="FG63" i="7"/>
  <c r="FG54" i="7"/>
  <c r="FG47" i="7"/>
  <c r="FG55" i="7"/>
  <c r="FG44" i="7"/>
  <c r="FG29" i="7"/>
  <c r="FG23" i="7"/>
  <c r="FG15" i="7"/>
  <c r="FG7" i="7"/>
  <c r="FG57" i="7"/>
  <c r="FG46" i="7"/>
  <c r="FG30" i="7"/>
  <c r="FG26" i="7"/>
  <c r="FG18" i="7"/>
  <c r="FG10" i="7"/>
  <c r="FG2" i="7"/>
  <c r="FG62" i="7"/>
  <c r="FG37" i="7"/>
  <c r="FG38" i="7"/>
  <c r="FG61" i="7"/>
  <c r="FG52" i="7"/>
  <c r="FG39" i="7"/>
  <c r="FG89" i="7"/>
  <c r="FG33" i="7"/>
  <c r="FG17" i="7"/>
  <c r="FG9" i="7"/>
  <c r="FG20" i="7"/>
  <c r="FG16" i="7"/>
  <c r="FG12" i="7"/>
  <c r="FG8" i="7"/>
  <c r="FG19" i="7"/>
  <c r="FG4" i="7"/>
  <c r="FG11" i="7"/>
  <c r="FG36" i="7"/>
  <c r="FG31" i="7"/>
  <c r="FG22" i="7"/>
  <c r="FG28" i="7"/>
  <c r="FG21" i="7"/>
  <c r="FG14" i="7"/>
  <c r="FG13" i="7"/>
  <c r="FG6" i="7"/>
  <c r="GE52" i="9"/>
  <c r="GE1" i="9"/>
  <c r="GE52" i="8"/>
  <c r="GE144" i="7"/>
  <c r="GE136" i="7"/>
  <c r="GE139" i="7"/>
  <c r="GE137" i="7"/>
  <c r="GE130" i="7"/>
  <c r="GE122" i="7"/>
  <c r="GE148" i="7"/>
  <c r="GE141" i="7"/>
  <c r="GE133" i="7"/>
  <c r="GE125" i="7"/>
  <c r="GE1" i="8"/>
  <c r="GE142" i="7"/>
  <c r="GE132" i="7"/>
  <c r="GE140" i="7"/>
  <c r="GE135" i="7"/>
  <c r="GE131" i="7"/>
  <c r="GE124" i="7"/>
  <c r="GE118" i="7"/>
  <c r="GE112" i="7"/>
  <c r="GE104" i="7"/>
  <c r="GE121" i="7"/>
  <c r="GE117" i="7"/>
  <c r="GE115" i="7"/>
  <c r="GE107" i="7"/>
  <c r="GE134" i="7"/>
  <c r="GE143" i="7"/>
  <c r="GE138" i="7"/>
  <c r="GE128" i="7"/>
  <c r="GE120" i="7"/>
  <c r="GE114" i="7"/>
  <c r="GE106" i="7"/>
  <c r="GE129" i="7"/>
  <c r="GE111" i="7"/>
  <c r="GE92" i="7"/>
  <c r="GE126" i="7"/>
  <c r="GE110" i="7"/>
  <c r="GE103" i="7"/>
  <c r="GE101" i="7"/>
  <c r="GE95" i="7"/>
  <c r="GE87" i="7"/>
  <c r="GE123" i="7"/>
  <c r="GE119" i="7"/>
  <c r="GE127" i="7"/>
  <c r="GE108" i="7"/>
  <c r="GE100" i="7"/>
  <c r="GE99" i="7"/>
  <c r="GE94" i="7"/>
  <c r="GE113" i="7"/>
  <c r="GE102" i="7"/>
  <c r="GE84" i="7"/>
  <c r="GE76" i="7"/>
  <c r="GE68" i="7"/>
  <c r="GE98" i="7"/>
  <c r="GE91" i="7"/>
  <c r="GE79" i="7"/>
  <c r="GE71" i="7"/>
  <c r="GE105" i="7"/>
  <c r="GE116" i="7"/>
  <c r="GE109" i="7"/>
  <c r="GE96" i="7"/>
  <c r="GE88" i="7"/>
  <c r="GE78" i="7"/>
  <c r="GE70" i="7"/>
  <c r="GE82" i="7"/>
  <c r="GE75" i="7"/>
  <c r="GE97" i="7"/>
  <c r="GE86" i="7"/>
  <c r="GE74" i="7"/>
  <c r="GE67" i="7"/>
  <c r="GE89" i="7"/>
  <c r="GE73" i="7"/>
  <c r="GE69" i="7"/>
  <c r="GE80" i="7"/>
  <c r="GE93" i="7"/>
  <c r="GE90" i="7"/>
  <c r="GE81" i="7"/>
  <c r="GE56" i="7"/>
  <c r="GE48" i="7"/>
  <c r="GE40" i="7"/>
  <c r="GE32" i="7"/>
  <c r="GE24" i="7"/>
  <c r="GE83" i="7"/>
  <c r="GE59" i="7"/>
  <c r="GE51" i="7"/>
  <c r="GE43" i="7"/>
  <c r="GE35" i="7"/>
  <c r="GE27" i="7"/>
  <c r="GE65" i="7"/>
  <c r="GE63" i="7"/>
  <c r="GE85" i="7"/>
  <c r="GE77" i="7"/>
  <c r="GE64" i="7"/>
  <c r="GE72" i="7"/>
  <c r="GE58" i="7"/>
  <c r="GE50" i="7"/>
  <c r="GE42" i="7"/>
  <c r="GE34" i="7"/>
  <c r="GE61" i="7"/>
  <c r="GE57" i="7"/>
  <c r="GE38" i="7"/>
  <c r="GE53" i="7"/>
  <c r="GE49" i="7"/>
  <c r="GE60" i="7"/>
  <c r="GE66" i="7"/>
  <c r="GE62" i="7"/>
  <c r="GE55" i="7"/>
  <c r="GE36" i="7"/>
  <c r="GE46" i="7"/>
  <c r="GE23" i="7"/>
  <c r="GE15" i="7"/>
  <c r="GE7" i="7"/>
  <c r="GE47" i="7"/>
  <c r="GE18" i="7"/>
  <c r="GE10" i="7"/>
  <c r="GE2" i="7"/>
  <c r="GE37" i="7"/>
  <c r="GE52" i="7"/>
  <c r="GE41" i="7"/>
  <c r="GE39" i="7"/>
  <c r="GE54" i="7"/>
  <c r="GE33" i="7"/>
  <c r="GE29" i="7"/>
  <c r="GE17" i="7"/>
  <c r="GE9" i="7"/>
  <c r="GE31" i="7"/>
  <c r="GE5" i="7"/>
  <c r="GE28" i="7"/>
  <c r="GE20" i="7"/>
  <c r="GE16" i="7"/>
  <c r="GE44" i="7"/>
  <c r="GE12" i="7"/>
  <c r="GE8" i="7"/>
  <c r="GE25" i="7"/>
  <c r="GE19" i="7"/>
  <c r="GE4" i="7"/>
  <c r="GE45" i="7"/>
  <c r="GE11" i="7"/>
  <c r="GE26" i="7"/>
  <c r="GE22" i="7"/>
  <c r="GE30" i="7"/>
  <c r="GE21" i="7"/>
  <c r="GE14" i="7"/>
  <c r="HK52" i="9"/>
  <c r="HK1" i="9"/>
  <c r="HK52" i="8"/>
  <c r="HK144" i="7"/>
  <c r="HK136" i="7"/>
  <c r="HK139" i="7"/>
  <c r="HK137" i="7"/>
  <c r="HK130" i="7"/>
  <c r="HK122" i="7"/>
  <c r="HK143" i="7"/>
  <c r="HK133" i="7"/>
  <c r="HK125" i="7"/>
  <c r="HK132" i="7"/>
  <c r="HK148" i="7"/>
  <c r="HK124" i="7"/>
  <c r="HK112" i="7"/>
  <c r="HK104" i="7"/>
  <c r="HK129" i="7"/>
  <c r="HK121" i="7"/>
  <c r="HK115" i="7"/>
  <c r="HK107" i="7"/>
  <c r="HK1" i="8"/>
  <c r="HK142" i="7"/>
  <c r="HK140" i="7"/>
  <c r="HK141" i="7"/>
  <c r="HK135" i="7"/>
  <c r="HK134" i="7"/>
  <c r="HK120" i="7"/>
  <c r="HK114" i="7"/>
  <c r="HK106" i="7"/>
  <c r="HK117" i="7"/>
  <c r="HK109" i="7"/>
  <c r="HK105" i="7"/>
  <c r="HK92" i="7"/>
  <c r="HK128" i="7"/>
  <c r="HK116" i="7"/>
  <c r="HK101" i="7"/>
  <c r="HK95" i="7"/>
  <c r="HK87" i="7"/>
  <c r="HK138" i="7"/>
  <c r="HK126" i="7"/>
  <c r="HK119" i="7"/>
  <c r="HK123" i="7"/>
  <c r="HK131" i="7"/>
  <c r="HK118" i="7"/>
  <c r="HK127" i="7"/>
  <c r="HK102" i="7"/>
  <c r="HK100" i="7"/>
  <c r="HK94" i="7"/>
  <c r="HK108" i="7"/>
  <c r="HK97" i="7"/>
  <c r="HK93" i="7"/>
  <c r="HK84" i="7"/>
  <c r="HK76" i="7"/>
  <c r="HK68" i="7"/>
  <c r="HK89" i="7"/>
  <c r="HK79" i="7"/>
  <c r="HK71" i="7"/>
  <c r="HK63" i="7"/>
  <c r="HK110" i="7"/>
  <c r="HK111" i="7"/>
  <c r="HK113" i="7"/>
  <c r="HK103" i="7"/>
  <c r="HK99" i="7"/>
  <c r="HK90" i="7"/>
  <c r="HK88" i="7"/>
  <c r="HK78" i="7"/>
  <c r="HK70" i="7"/>
  <c r="HK85" i="7"/>
  <c r="HK73" i="7"/>
  <c r="HK69" i="7"/>
  <c r="HK91" i="7"/>
  <c r="HK80" i="7"/>
  <c r="HK65" i="7"/>
  <c r="HK82" i="7"/>
  <c r="HK75" i="7"/>
  <c r="HK74" i="7"/>
  <c r="HK96" i="7"/>
  <c r="HK56" i="7"/>
  <c r="HK48" i="7"/>
  <c r="HK40" i="7"/>
  <c r="HK32" i="7"/>
  <c r="HK24" i="7"/>
  <c r="HK86" i="7"/>
  <c r="HK59" i="7"/>
  <c r="HK51" i="7"/>
  <c r="HK43" i="7"/>
  <c r="HK35" i="7"/>
  <c r="HK27" i="7"/>
  <c r="HK83" i="7"/>
  <c r="HK77" i="7"/>
  <c r="HK62" i="7"/>
  <c r="HK66" i="7"/>
  <c r="HK64" i="7"/>
  <c r="HK98" i="7"/>
  <c r="HK81" i="7"/>
  <c r="HK72" i="7"/>
  <c r="HK58" i="7"/>
  <c r="HK50" i="7"/>
  <c r="HK42" i="7"/>
  <c r="HK34" i="7"/>
  <c r="HK44" i="7"/>
  <c r="HK55" i="7"/>
  <c r="HK36" i="7"/>
  <c r="HK67" i="7"/>
  <c r="HK53" i="7"/>
  <c r="HK49" i="7"/>
  <c r="HK54" i="7"/>
  <c r="HK52" i="7"/>
  <c r="HK41" i="7"/>
  <c r="HK15" i="7"/>
  <c r="HK7" i="7"/>
  <c r="HK18" i="7"/>
  <c r="HK10" i="7"/>
  <c r="HK2" i="7"/>
  <c r="HK61" i="7"/>
  <c r="HK57" i="7"/>
  <c r="HK46" i="7"/>
  <c r="HK45" i="7"/>
  <c r="HK60" i="7"/>
  <c r="HK47" i="7"/>
  <c r="HK38" i="7"/>
  <c r="HK37" i="7"/>
  <c r="HK29" i="7"/>
  <c r="HK17" i="7"/>
  <c r="HK9" i="7"/>
  <c r="HK11" i="7"/>
  <c r="HK31" i="7"/>
  <c r="HK23" i="7"/>
  <c r="HK22" i="7"/>
  <c r="HK3" i="7"/>
  <c r="HK28" i="7"/>
  <c r="HK21" i="7"/>
  <c r="HK14" i="7"/>
  <c r="HK25" i="7"/>
  <c r="HK13" i="7"/>
  <c r="HK6" i="7"/>
  <c r="HK5" i="7"/>
  <c r="HK33" i="7"/>
  <c r="HK20" i="7"/>
  <c r="HK16" i="7"/>
  <c r="HK39" i="7"/>
  <c r="HK26" i="7"/>
  <c r="HK12" i="7"/>
  <c r="HK8" i="7"/>
  <c r="IQ52" i="9"/>
  <c r="IQ1" i="9"/>
  <c r="IQ52" i="8"/>
  <c r="IQ144" i="7"/>
  <c r="IQ136" i="7"/>
  <c r="IQ139" i="7"/>
  <c r="IQ1" i="8"/>
  <c r="IQ137" i="7"/>
  <c r="IQ130" i="7"/>
  <c r="IQ122" i="7"/>
  <c r="IQ148" i="7"/>
  <c r="IQ141" i="7"/>
  <c r="IQ133" i="7"/>
  <c r="IQ125" i="7"/>
  <c r="IQ142" i="7"/>
  <c r="IQ132" i="7"/>
  <c r="IQ138" i="7"/>
  <c r="IQ131" i="7"/>
  <c r="IQ124" i="7"/>
  <c r="IQ118" i="7"/>
  <c r="IQ112" i="7"/>
  <c r="IQ104" i="7"/>
  <c r="IQ121" i="7"/>
  <c r="IQ117" i="7"/>
  <c r="IQ115" i="7"/>
  <c r="IQ107" i="7"/>
  <c r="IQ143" i="7"/>
  <c r="IQ134" i="7"/>
  <c r="IQ128" i="7"/>
  <c r="IQ120" i="7"/>
  <c r="IQ114" i="7"/>
  <c r="IQ106" i="7"/>
  <c r="IQ135" i="7"/>
  <c r="IQ111" i="7"/>
  <c r="IQ92" i="7"/>
  <c r="IQ110" i="7"/>
  <c r="IQ103" i="7"/>
  <c r="IQ101" i="7"/>
  <c r="IQ95" i="7"/>
  <c r="IQ87" i="7"/>
  <c r="IQ126" i="7"/>
  <c r="IQ119" i="7"/>
  <c r="IQ140" i="7"/>
  <c r="IQ123" i="7"/>
  <c r="IQ127" i="7"/>
  <c r="IQ108" i="7"/>
  <c r="IQ100" i="7"/>
  <c r="IQ99" i="7"/>
  <c r="IQ94" i="7"/>
  <c r="IQ84" i="7"/>
  <c r="IQ76" i="7"/>
  <c r="IQ68" i="7"/>
  <c r="IQ98" i="7"/>
  <c r="IQ91" i="7"/>
  <c r="IQ79" i="7"/>
  <c r="IQ71" i="7"/>
  <c r="IQ63" i="7"/>
  <c r="IQ105" i="7"/>
  <c r="IQ129" i="7"/>
  <c r="IQ116" i="7"/>
  <c r="IQ96" i="7"/>
  <c r="IQ88" i="7"/>
  <c r="IQ78" i="7"/>
  <c r="IQ70" i="7"/>
  <c r="IQ97" i="7"/>
  <c r="IQ82" i="7"/>
  <c r="IQ75" i="7"/>
  <c r="IQ109" i="7"/>
  <c r="IQ85" i="7"/>
  <c r="IQ74" i="7"/>
  <c r="IQ67" i="7"/>
  <c r="IQ102" i="7"/>
  <c r="IQ73" i="7"/>
  <c r="IQ69" i="7"/>
  <c r="IQ80" i="7"/>
  <c r="IQ89" i="7"/>
  <c r="IQ81" i="7"/>
  <c r="IQ93" i="7"/>
  <c r="IQ90" i="7"/>
  <c r="IQ113" i="7"/>
  <c r="IQ56" i="7"/>
  <c r="IQ48" i="7"/>
  <c r="IQ40" i="7"/>
  <c r="IQ32" i="7"/>
  <c r="IQ24" i="7"/>
  <c r="IQ83" i="7"/>
  <c r="IQ59" i="7"/>
  <c r="IQ51" i="7"/>
  <c r="IQ43" i="7"/>
  <c r="IQ35" i="7"/>
  <c r="IQ27" i="7"/>
  <c r="IQ64" i="7"/>
  <c r="IQ86" i="7"/>
  <c r="IQ77" i="7"/>
  <c r="IQ72" i="7"/>
  <c r="IQ65" i="7"/>
  <c r="IQ62" i="7"/>
  <c r="IQ66" i="7"/>
  <c r="IQ58" i="7"/>
  <c r="IQ50" i="7"/>
  <c r="IQ42" i="7"/>
  <c r="IQ34" i="7"/>
  <c r="IQ61" i="7"/>
  <c r="IQ57" i="7"/>
  <c r="IQ38" i="7"/>
  <c r="IQ53" i="7"/>
  <c r="IQ49" i="7"/>
  <c r="IQ60" i="7"/>
  <c r="IQ55" i="7"/>
  <c r="IQ36" i="7"/>
  <c r="IQ47" i="7"/>
  <c r="IQ33" i="7"/>
  <c r="IQ23" i="7"/>
  <c r="IQ15" i="7"/>
  <c r="IQ7" i="7"/>
  <c r="IQ37" i="7"/>
  <c r="IQ18" i="7"/>
  <c r="IQ10" i="7"/>
  <c r="IQ2" i="7"/>
  <c r="IQ52" i="7"/>
  <c r="IQ41" i="7"/>
  <c r="IQ39" i="7"/>
  <c r="IQ54" i="7"/>
  <c r="IQ45" i="7"/>
  <c r="IQ44" i="7"/>
  <c r="IQ29" i="7"/>
  <c r="IQ17" i="7"/>
  <c r="IQ9" i="7"/>
  <c r="IQ30" i="7"/>
  <c r="IQ5" i="7"/>
  <c r="IQ20" i="7"/>
  <c r="IQ16" i="7"/>
  <c r="IQ31" i="7"/>
  <c r="IQ12" i="7"/>
  <c r="IQ8" i="7"/>
  <c r="IQ46" i="7"/>
  <c r="IQ28" i="7"/>
  <c r="IQ19" i="7"/>
  <c r="IQ4" i="7"/>
  <c r="IQ25" i="7"/>
  <c r="IQ11" i="7"/>
  <c r="IQ22" i="7"/>
  <c r="IQ21" i="7"/>
  <c r="IQ14" i="7"/>
  <c r="M2" i="7"/>
  <c r="AG2" i="7"/>
  <c r="FU2" i="7"/>
  <c r="GL2" i="7"/>
  <c r="HI2" i="7"/>
  <c r="IE2" i="7"/>
  <c r="IW2" i="7"/>
  <c r="JT2" i="7"/>
  <c r="BD3" i="7"/>
  <c r="CT3" i="7"/>
  <c r="DK3" i="7"/>
  <c r="EH3" i="7"/>
  <c r="FA3" i="7"/>
  <c r="FV3" i="7"/>
  <c r="GT3" i="7"/>
  <c r="HS3" i="7"/>
  <c r="JQ3" i="7"/>
  <c r="BR4" i="7"/>
  <c r="CQ4" i="7"/>
  <c r="EL4" i="7"/>
  <c r="GJ4" i="7"/>
  <c r="IK4" i="7"/>
  <c r="BJ5" i="7"/>
  <c r="DI5" i="7"/>
  <c r="FG5" i="7"/>
  <c r="HH5" i="7"/>
  <c r="AG6" i="7"/>
  <c r="ED6" i="7"/>
  <c r="GE6" i="7"/>
  <c r="BC7" i="7"/>
  <c r="DA7" i="7"/>
  <c r="FB7" i="7"/>
  <c r="IZ7" i="7"/>
  <c r="Z8" i="7"/>
  <c r="DY8" i="7"/>
  <c r="FW8" i="7"/>
  <c r="HW8" i="7"/>
  <c r="CH9" i="7"/>
  <c r="GG9" i="7"/>
  <c r="G10" i="7"/>
  <c r="HB10" i="7"/>
  <c r="AB11" i="7"/>
  <c r="EA11" i="7"/>
  <c r="HZ11" i="7"/>
  <c r="EV12" i="7"/>
  <c r="IU12" i="7"/>
  <c r="FT13" i="7"/>
  <c r="JR13" i="7"/>
  <c r="CP14" i="7"/>
  <c r="GO14" i="7"/>
  <c r="O15" i="7"/>
  <c r="DN15" i="7"/>
  <c r="FF17" i="7"/>
  <c r="JC17" i="7"/>
  <c r="CC18" i="7"/>
  <c r="KA18" i="7"/>
  <c r="CZ19" i="7"/>
  <c r="GW19" i="7"/>
  <c r="W20" i="7"/>
  <c r="DV20" i="7"/>
  <c r="AT21" i="7"/>
  <c r="JM22" i="7"/>
  <c r="GK23" i="7"/>
  <c r="EM24" i="7"/>
  <c r="BJ26" i="7"/>
  <c r="GQ26" i="7"/>
  <c r="AK28" i="7"/>
  <c r="FT28" i="7"/>
  <c r="N30" i="7"/>
  <c r="EU30" i="7"/>
  <c r="KB30" i="7"/>
  <c r="DV32" i="7"/>
  <c r="JC32" i="7"/>
  <c r="HV34" i="7"/>
  <c r="GW35" i="7"/>
  <c r="KB45" i="7"/>
  <c r="FS50" i="7"/>
  <c r="AF52" i="9"/>
  <c r="AF1" i="9"/>
  <c r="AF52" i="8"/>
  <c r="AF143" i="7"/>
  <c r="AF138" i="7"/>
  <c r="AF1" i="8"/>
  <c r="AF142" i="7"/>
  <c r="AF129" i="7"/>
  <c r="AF121" i="7"/>
  <c r="AF141" i="7"/>
  <c r="AF132" i="7"/>
  <c r="AF124" i="7"/>
  <c r="AF139" i="7"/>
  <c r="AF131" i="7"/>
  <c r="AF148" i="7"/>
  <c r="AF135" i="7"/>
  <c r="AF118" i="7"/>
  <c r="AF111" i="7"/>
  <c r="AF103" i="7"/>
  <c r="AF136" i="7"/>
  <c r="AF126" i="7"/>
  <c r="AF114" i="7"/>
  <c r="AF106" i="7"/>
  <c r="AF134" i="7"/>
  <c r="AF140" i="7"/>
  <c r="AF137" i="7"/>
  <c r="AF125" i="7"/>
  <c r="AF119" i="7"/>
  <c r="AF113" i="7"/>
  <c r="AF105" i="7"/>
  <c r="AF122" i="7"/>
  <c r="AF115" i="7"/>
  <c r="AF99" i="7"/>
  <c r="AF91" i="7"/>
  <c r="AF107" i="7"/>
  <c r="AF94" i="7"/>
  <c r="AF86" i="7"/>
  <c r="AF123" i="7"/>
  <c r="AF127" i="7"/>
  <c r="AF120" i="7"/>
  <c r="AF117" i="7"/>
  <c r="AF130" i="7"/>
  <c r="AF116" i="7"/>
  <c r="AF112" i="7"/>
  <c r="AF93" i="7"/>
  <c r="AF87" i="7"/>
  <c r="AF83" i="7"/>
  <c r="AF75" i="7"/>
  <c r="AF67" i="7"/>
  <c r="AF95" i="7"/>
  <c r="AF78" i="7"/>
  <c r="AF70" i="7"/>
  <c r="AF144" i="7"/>
  <c r="AF109" i="7"/>
  <c r="AF108" i="7"/>
  <c r="AF110" i="7"/>
  <c r="AF128" i="7"/>
  <c r="AF133" i="7"/>
  <c r="AF85" i="7"/>
  <c r="AF77" i="7"/>
  <c r="AF69" i="7"/>
  <c r="AF79" i="7"/>
  <c r="AF102" i="7"/>
  <c r="AF100" i="7"/>
  <c r="AF90" i="7"/>
  <c r="AF89" i="7"/>
  <c r="AF71" i="7"/>
  <c r="AF73" i="7"/>
  <c r="AF88" i="7"/>
  <c r="AF84" i="7"/>
  <c r="AF68" i="7"/>
  <c r="AF97" i="7"/>
  <c r="AF101" i="7"/>
  <c r="AF74" i="7"/>
  <c r="AF98" i="7"/>
  <c r="AF104" i="7"/>
  <c r="AF92" i="7"/>
  <c r="AF80" i="7"/>
  <c r="AF66" i="7"/>
  <c r="AF55" i="7"/>
  <c r="AF47" i="7"/>
  <c r="AF39" i="7"/>
  <c r="AF31" i="7"/>
  <c r="AF58" i="7"/>
  <c r="AF50" i="7"/>
  <c r="AF42" i="7"/>
  <c r="AF34" i="7"/>
  <c r="AF26" i="7"/>
  <c r="AF81" i="7"/>
  <c r="AF63" i="7"/>
  <c r="AF96" i="7"/>
  <c r="AF82" i="7"/>
  <c r="AF76" i="7"/>
  <c r="AF65" i="7"/>
  <c r="AF57" i="7"/>
  <c r="AF49" i="7"/>
  <c r="AF41" i="7"/>
  <c r="AF61" i="7"/>
  <c r="AF54" i="7"/>
  <c r="AF35" i="7"/>
  <c r="AF53" i="7"/>
  <c r="AF46" i="7"/>
  <c r="AF64" i="7"/>
  <c r="AF59" i="7"/>
  <c r="AF44" i="7"/>
  <c r="AF40" i="7"/>
  <c r="AF51" i="7"/>
  <c r="AF32" i="7"/>
  <c r="AF28" i="7"/>
  <c r="AF22" i="7"/>
  <c r="AF14" i="7"/>
  <c r="AF6" i="7"/>
  <c r="AF52" i="7"/>
  <c r="AF29" i="7"/>
  <c r="AF17" i="7"/>
  <c r="AF9" i="7"/>
  <c r="AF56" i="7"/>
  <c r="AF45" i="7"/>
  <c r="AF43" i="7"/>
  <c r="AF72" i="7"/>
  <c r="AF62" i="7"/>
  <c r="AF60" i="7"/>
  <c r="AF48" i="7"/>
  <c r="AF37" i="7"/>
  <c r="AF36" i="7"/>
  <c r="AF24" i="7"/>
  <c r="AF16" i="7"/>
  <c r="AF8" i="7"/>
  <c r="AF27" i="7"/>
  <c r="AF25" i="7"/>
  <c r="AF21" i="7"/>
  <c r="AF2" i="7"/>
  <c r="AF20" i="7"/>
  <c r="AF13" i="7"/>
  <c r="AF12" i="7"/>
  <c r="AF5" i="7"/>
  <c r="AF23" i="7"/>
  <c r="AF19" i="7"/>
  <c r="AF15" i="7"/>
  <c r="AF38" i="7"/>
  <c r="AF11" i="7"/>
  <c r="AF33" i="7"/>
  <c r="AF18" i="7"/>
  <c r="AF3" i="7"/>
  <c r="BT52" i="9"/>
  <c r="BT1" i="9"/>
  <c r="BT52" i="8"/>
  <c r="BT143" i="7"/>
  <c r="BT1" i="8"/>
  <c r="BT138" i="7"/>
  <c r="BT141" i="7"/>
  <c r="BT129" i="7"/>
  <c r="BT121" i="7"/>
  <c r="BT148" i="7"/>
  <c r="BT132" i="7"/>
  <c r="BT124" i="7"/>
  <c r="BT131" i="7"/>
  <c r="BT125" i="7"/>
  <c r="BT111" i="7"/>
  <c r="BT103" i="7"/>
  <c r="BT122" i="7"/>
  <c r="BT114" i="7"/>
  <c r="BT106" i="7"/>
  <c r="BT137" i="7"/>
  <c r="BT136" i="7"/>
  <c r="BT134" i="7"/>
  <c r="BT140" i="7"/>
  <c r="BT139" i="7"/>
  <c r="BT113" i="7"/>
  <c r="BT105" i="7"/>
  <c r="BT123" i="7"/>
  <c r="BT119" i="7"/>
  <c r="BT107" i="7"/>
  <c r="BT99" i="7"/>
  <c r="BT91" i="7"/>
  <c r="BT142" i="7"/>
  <c r="BT127" i="7"/>
  <c r="BT120" i="7"/>
  <c r="BT102" i="7"/>
  <c r="BT94" i="7"/>
  <c r="BT86" i="7"/>
  <c r="BT117" i="7"/>
  <c r="BT135" i="7"/>
  <c r="BT130" i="7"/>
  <c r="BT128" i="7"/>
  <c r="BT144" i="7"/>
  <c r="BT108" i="7"/>
  <c r="BT104" i="7"/>
  <c r="BT101" i="7"/>
  <c r="BT93" i="7"/>
  <c r="BT95" i="7"/>
  <c r="BT83" i="7"/>
  <c r="BT75" i="7"/>
  <c r="BT67" i="7"/>
  <c r="BT85" i="7"/>
  <c r="BT78" i="7"/>
  <c r="BT70" i="7"/>
  <c r="BT109" i="7"/>
  <c r="BT126" i="7"/>
  <c r="BT118" i="7"/>
  <c r="BT110" i="7"/>
  <c r="BT133" i="7"/>
  <c r="BT96" i="7"/>
  <c r="BT92" i="7"/>
  <c r="BT89" i="7"/>
  <c r="BT77" i="7"/>
  <c r="BT69" i="7"/>
  <c r="BT71" i="7"/>
  <c r="BT90" i="7"/>
  <c r="BT87" i="7"/>
  <c r="BT82" i="7"/>
  <c r="BT115" i="7"/>
  <c r="BT84" i="7"/>
  <c r="BT116" i="7"/>
  <c r="BT66" i="7"/>
  <c r="BT112" i="7"/>
  <c r="BT73" i="7"/>
  <c r="BT98" i="7"/>
  <c r="BT74" i="7"/>
  <c r="BT81" i="7"/>
  <c r="BT55" i="7"/>
  <c r="BT47" i="7"/>
  <c r="BT39" i="7"/>
  <c r="BT31" i="7"/>
  <c r="BT72" i="7"/>
  <c r="BT64" i="7"/>
  <c r="BT58" i="7"/>
  <c r="BT50" i="7"/>
  <c r="BT42" i="7"/>
  <c r="BT34" i="7"/>
  <c r="BT26" i="7"/>
  <c r="BT100" i="7"/>
  <c r="BT88" i="7"/>
  <c r="BT76" i="7"/>
  <c r="BT79" i="7"/>
  <c r="BT97" i="7"/>
  <c r="BT80" i="7"/>
  <c r="BT57" i="7"/>
  <c r="BT49" i="7"/>
  <c r="BT41" i="7"/>
  <c r="BT53" i="7"/>
  <c r="BT46" i="7"/>
  <c r="BT63" i="7"/>
  <c r="BT45" i="7"/>
  <c r="BT38" i="7"/>
  <c r="BT65" i="7"/>
  <c r="BT51" i="7"/>
  <c r="BT36" i="7"/>
  <c r="BT62" i="7"/>
  <c r="BT22" i="7"/>
  <c r="BT14" i="7"/>
  <c r="BT6" i="7"/>
  <c r="BT61" i="7"/>
  <c r="BT52" i="7"/>
  <c r="BT40" i="7"/>
  <c r="BT17" i="7"/>
  <c r="BT9" i="7"/>
  <c r="BT56" i="7"/>
  <c r="BT54" i="7"/>
  <c r="BT43" i="7"/>
  <c r="BT44" i="7"/>
  <c r="BT68" i="7"/>
  <c r="BT60" i="7"/>
  <c r="BT59" i="7"/>
  <c r="BT48" i="7"/>
  <c r="BT37" i="7"/>
  <c r="BT35" i="7"/>
  <c r="BT30" i="7"/>
  <c r="BT16" i="7"/>
  <c r="BT8" i="7"/>
  <c r="BT32" i="7"/>
  <c r="BT20" i="7"/>
  <c r="BT13" i="7"/>
  <c r="BT29" i="7"/>
  <c r="BT25" i="7"/>
  <c r="BT12" i="7"/>
  <c r="BT5" i="7"/>
  <c r="BT23" i="7"/>
  <c r="BT4" i="7"/>
  <c r="BT19" i="7"/>
  <c r="BT15" i="7"/>
  <c r="BT33" i="7"/>
  <c r="BT11" i="7"/>
  <c r="BT7" i="7"/>
  <c r="BT27" i="7"/>
  <c r="BT24" i="7"/>
  <c r="BT18" i="7"/>
  <c r="BT10" i="7"/>
  <c r="CB52" i="9"/>
  <c r="CB1" i="9"/>
  <c r="CB52" i="8"/>
  <c r="CB143" i="7"/>
  <c r="CB138" i="7"/>
  <c r="CB139" i="7"/>
  <c r="CB129" i="7"/>
  <c r="CB121" i="7"/>
  <c r="CB1" i="8"/>
  <c r="CB137" i="7"/>
  <c r="CB132" i="7"/>
  <c r="CB124" i="7"/>
  <c r="CB140" i="7"/>
  <c r="CB131" i="7"/>
  <c r="CB111" i="7"/>
  <c r="CB103" i="7"/>
  <c r="CB114" i="7"/>
  <c r="CB106" i="7"/>
  <c r="CB141" i="7"/>
  <c r="CB135" i="7"/>
  <c r="CB142" i="7"/>
  <c r="CB144" i="7"/>
  <c r="CB148" i="7"/>
  <c r="CB136" i="7"/>
  <c r="CB127" i="7"/>
  <c r="CB123" i="7"/>
  <c r="CB118" i="7"/>
  <c r="CB113" i="7"/>
  <c r="CB105" i="7"/>
  <c r="CB128" i="7"/>
  <c r="CB125" i="7"/>
  <c r="CB116" i="7"/>
  <c r="CB112" i="7"/>
  <c r="CB101" i="7"/>
  <c r="CB99" i="7"/>
  <c r="CB91" i="7"/>
  <c r="CB122" i="7"/>
  <c r="CB108" i="7"/>
  <c r="CB104" i="7"/>
  <c r="CB94" i="7"/>
  <c r="CB86" i="7"/>
  <c r="CB130" i="7"/>
  <c r="CB133" i="7"/>
  <c r="CB126" i="7"/>
  <c r="CB119" i="7"/>
  <c r="CB120" i="7"/>
  <c r="CB134" i="7"/>
  <c r="CB109" i="7"/>
  <c r="CB93" i="7"/>
  <c r="CB89" i="7"/>
  <c r="CB83" i="7"/>
  <c r="CB75" i="7"/>
  <c r="CB67" i="7"/>
  <c r="CB117" i="7"/>
  <c r="CB110" i="7"/>
  <c r="CB96" i="7"/>
  <c r="CB92" i="7"/>
  <c r="CB78" i="7"/>
  <c r="CB70" i="7"/>
  <c r="CB115" i="7"/>
  <c r="CB107" i="7"/>
  <c r="CB97" i="7"/>
  <c r="CB90" i="7"/>
  <c r="CB77" i="7"/>
  <c r="CB69" i="7"/>
  <c r="CB80" i="7"/>
  <c r="CB76" i="7"/>
  <c r="CB95" i="7"/>
  <c r="CB88" i="7"/>
  <c r="CB72" i="7"/>
  <c r="CB68" i="7"/>
  <c r="CB102" i="7"/>
  <c r="CB98" i="7"/>
  <c r="CB82" i="7"/>
  <c r="CB85" i="7"/>
  <c r="CB79" i="7"/>
  <c r="CB71" i="7"/>
  <c r="CB63" i="7"/>
  <c r="CB55" i="7"/>
  <c r="CB47" i="7"/>
  <c r="CB39" i="7"/>
  <c r="CB31" i="7"/>
  <c r="CB100" i="7"/>
  <c r="CB58" i="7"/>
  <c r="CB50" i="7"/>
  <c r="CB42" i="7"/>
  <c r="CB34" i="7"/>
  <c r="CB26" i="7"/>
  <c r="CB73" i="7"/>
  <c r="CB64" i="7"/>
  <c r="CB65" i="7"/>
  <c r="CB81" i="7"/>
  <c r="CB66" i="7"/>
  <c r="CB87" i="7"/>
  <c r="CB84" i="7"/>
  <c r="CB74" i="7"/>
  <c r="CB57" i="7"/>
  <c r="CB49" i="7"/>
  <c r="CB41" i="7"/>
  <c r="CB51" i="7"/>
  <c r="CB36" i="7"/>
  <c r="CB62" i="7"/>
  <c r="CB43" i="7"/>
  <c r="CB61" i="7"/>
  <c r="CB60" i="7"/>
  <c r="CB56" i="7"/>
  <c r="CB37" i="7"/>
  <c r="CB30" i="7"/>
  <c r="CB22" i="7"/>
  <c r="CB14" i="7"/>
  <c r="CB6" i="7"/>
  <c r="CB45" i="7"/>
  <c r="CB44" i="7"/>
  <c r="CB27" i="7"/>
  <c r="CB17" i="7"/>
  <c r="CB9" i="7"/>
  <c r="CB46" i="7"/>
  <c r="CB59" i="7"/>
  <c r="CB48" i="7"/>
  <c r="CB38" i="7"/>
  <c r="CB53" i="7"/>
  <c r="CB52" i="7"/>
  <c r="CB40" i="7"/>
  <c r="CB16" i="7"/>
  <c r="CB8" i="7"/>
  <c r="CB33" i="7"/>
  <c r="CB18" i="7"/>
  <c r="CB3" i="7"/>
  <c r="CB24" i="7"/>
  <c r="CB10" i="7"/>
  <c r="CB21" i="7"/>
  <c r="CB20" i="7"/>
  <c r="CB13" i="7"/>
  <c r="CB54" i="7"/>
  <c r="CB28" i="7"/>
  <c r="CB12" i="7"/>
  <c r="CB5" i="7"/>
  <c r="CB35" i="7"/>
  <c r="CB32" i="7"/>
  <c r="CB25" i="7"/>
  <c r="CB23" i="7"/>
  <c r="CB29" i="7"/>
  <c r="CB19" i="7"/>
  <c r="CB15" i="7"/>
  <c r="CJ52" i="9"/>
  <c r="CJ1" i="9"/>
  <c r="CJ52" i="8"/>
  <c r="CJ143" i="7"/>
  <c r="CJ138" i="7"/>
  <c r="CJ144" i="7"/>
  <c r="CJ129" i="7"/>
  <c r="CJ121" i="7"/>
  <c r="CJ140" i="7"/>
  <c r="CJ132" i="7"/>
  <c r="CJ124" i="7"/>
  <c r="CJ1" i="8"/>
  <c r="CJ141" i="7"/>
  <c r="CJ131" i="7"/>
  <c r="CJ134" i="7"/>
  <c r="CJ130" i="7"/>
  <c r="CJ127" i="7"/>
  <c r="CJ123" i="7"/>
  <c r="CJ111" i="7"/>
  <c r="CJ103" i="7"/>
  <c r="CJ142" i="7"/>
  <c r="CJ120" i="7"/>
  <c r="CJ114" i="7"/>
  <c r="CJ106" i="7"/>
  <c r="CJ137" i="7"/>
  <c r="CJ136" i="7"/>
  <c r="CJ148" i="7"/>
  <c r="CJ139" i="7"/>
  <c r="CJ113" i="7"/>
  <c r="CJ105" i="7"/>
  <c r="CJ135" i="7"/>
  <c r="CJ133" i="7"/>
  <c r="CJ126" i="7"/>
  <c r="CJ119" i="7"/>
  <c r="CJ117" i="7"/>
  <c r="CJ110" i="7"/>
  <c r="CJ99" i="7"/>
  <c r="CJ91" i="7"/>
  <c r="CJ109" i="7"/>
  <c r="CJ100" i="7"/>
  <c r="CJ94" i="7"/>
  <c r="CJ86" i="7"/>
  <c r="CJ116" i="7"/>
  <c r="CJ118" i="7"/>
  <c r="CJ125" i="7"/>
  <c r="CJ128" i="7"/>
  <c r="CJ122" i="7"/>
  <c r="CJ107" i="7"/>
  <c r="CJ93" i="7"/>
  <c r="CJ102" i="7"/>
  <c r="CJ98" i="7"/>
  <c r="CJ83" i="7"/>
  <c r="CJ75" i="7"/>
  <c r="CJ67" i="7"/>
  <c r="CJ115" i="7"/>
  <c r="CJ104" i="7"/>
  <c r="CJ97" i="7"/>
  <c r="CJ90" i="7"/>
  <c r="CJ88" i="7"/>
  <c r="CJ78" i="7"/>
  <c r="CJ70" i="7"/>
  <c r="CJ108" i="7"/>
  <c r="CJ112" i="7"/>
  <c r="CJ95" i="7"/>
  <c r="CJ87" i="7"/>
  <c r="CJ77" i="7"/>
  <c r="CJ69" i="7"/>
  <c r="CJ81" i="7"/>
  <c r="CJ74" i="7"/>
  <c r="CJ73" i="7"/>
  <c r="CJ66" i="7"/>
  <c r="CJ101" i="7"/>
  <c r="CJ92" i="7"/>
  <c r="CJ72" i="7"/>
  <c r="CJ68" i="7"/>
  <c r="CJ80" i="7"/>
  <c r="CJ96" i="7"/>
  <c r="CJ84" i="7"/>
  <c r="CJ82" i="7"/>
  <c r="CJ79" i="7"/>
  <c r="CJ76" i="7"/>
  <c r="CJ55" i="7"/>
  <c r="CJ47" i="7"/>
  <c r="CJ39" i="7"/>
  <c r="CJ31" i="7"/>
  <c r="CJ63" i="7"/>
  <c r="CJ58" i="7"/>
  <c r="CJ50" i="7"/>
  <c r="CJ42" i="7"/>
  <c r="CJ34" i="7"/>
  <c r="CJ26" i="7"/>
  <c r="CJ89" i="7"/>
  <c r="CJ71" i="7"/>
  <c r="CJ64" i="7"/>
  <c r="CJ57" i="7"/>
  <c r="CJ49" i="7"/>
  <c r="CJ41" i="7"/>
  <c r="CJ60" i="7"/>
  <c r="CJ56" i="7"/>
  <c r="CJ37" i="7"/>
  <c r="CJ52" i="7"/>
  <c r="CJ48" i="7"/>
  <c r="CJ85" i="7"/>
  <c r="CJ65" i="7"/>
  <c r="CJ61" i="7"/>
  <c r="CJ54" i="7"/>
  <c r="CJ35" i="7"/>
  <c r="CJ36" i="7"/>
  <c r="CJ22" i="7"/>
  <c r="CJ14" i="7"/>
  <c r="CJ6" i="7"/>
  <c r="CJ33" i="7"/>
  <c r="CJ17" i="7"/>
  <c r="CJ9" i="7"/>
  <c r="CJ51" i="7"/>
  <c r="CJ40" i="7"/>
  <c r="CJ38" i="7"/>
  <c r="CJ62" i="7"/>
  <c r="CJ53" i="7"/>
  <c r="CJ44" i="7"/>
  <c r="CJ43" i="7"/>
  <c r="CJ45" i="7"/>
  <c r="CJ32" i="7"/>
  <c r="CJ28" i="7"/>
  <c r="CJ16" i="7"/>
  <c r="CJ8" i="7"/>
  <c r="CJ59" i="7"/>
  <c r="CJ23" i="7"/>
  <c r="CJ4" i="7"/>
  <c r="CJ25" i="7"/>
  <c r="CJ19" i="7"/>
  <c r="CJ15" i="7"/>
  <c r="CJ29" i="7"/>
  <c r="CJ11" i="7"/>
  <c r="CJ7" i="7"/>
  <c r="CJ46" i="7"/>
  <c r="CJ18" i="7"/>
  <c r="CJ30" i="7"/>
  <c r="CJ10" i="7"/>
  <c r="CJ27" i="7"/>
  <c r="CJ24" i="7"/>
  <c r="CJ21" i="7"/>
  <c r="CJ20" i="7"/>
  <c r="CJ13" i="7"/>
  <c r="EF52" i="9"/>
  <c r="EF1" i="9"/>
  <c r="EF52" i="8"/>
  <c r="EF143" i="7"/>
  <c r="EF1" i="8"/>
  <c r="EF138" i="7"/>
  <c r="EF141" i="7"/>
  <c r="EF129" i="7"/>
  <c r="EF121" i="7"/>
  <c r="EF148" i="7"/>
  <c r="EF132" i="7"/>
  <c r="EF124" i="7"/>
  <c r="EF131" i="7"/>
  <c r="EF125" i="7"/>
  <c r="EF111" i="7"/>
  <c r="EF103" i="7"/>
  <c r="EF136" i="7"/>
  <c r="EF122" i="7"/>
  <c r="EF114" i="7"/>
  <c r="EF106" i="7"/>
  <c r="EF134" i="7"/>
  <c r="EF140" i="7"/>
  <c r="EF139" i="7"/>
  <c r="EF137" i="7"/>
  <c r="EF133" i="7"/>
  <c r="EF144" i="7"/>
  <c r="EF142" i="7"/>
  <c r="EF117" i="7"/>
  <c r="EF113" i="7"/>
  <c r="EF105" i="7"/>
  <c r="EF107" i="7"/>
  <c r="EF99" i="7"/>
  <c r="EF91" i="7"/>
  <c r="EF135" i="7"/>
  <c r="EF126" i="7"/>
  <c r="EF102" i="7"/>
  <c r="EF94" i="7"/>
  <c r="EF86" i="7"/>
  <c r="EF123" i="7"/>
  <c r="EF118" i="7"/>
  <c r="EF130" i="7"/>
  <c r="EF128" i="7"/>
  <c r="EF127" i="7"/>
  <c r="EF120" i="7"/>
  <c r="EF119" i="7"/>
  <c r="EF108" i="7"/>
  <c r="EF104" i="7"/>
  <c r="EF101" i="7"/>
  <c r="EF93" i="7"/>
  <c r="EF95" i="7"/>
  <c r="EF83" i="7"/>
  <c r="EF75" i="7"/>
  <c r="EF67" i="7"/>
  <c r="EF109" i="7"/>
  <c r="EF85" i="7"/>
  <c r="EF78" i="7"/>
  <c r="EF70" i="7"/>
  <c r="EF110" i="7"/>
  <c r="EF112" i="7"/>
  <c r="EF116" i="7"/>
  <c r="EF115" i="7"/>
  <c r="EF96" i="7"/>
  <c r="EF92" i="7"/>
  <c r="EF89" i="7"/>
  <c r="EF77" i="7"/>
  <c r="EF69" i="7"/>
  <c r="EF90" i="7"/>
  <c r="EF71" i="7"/>
  <c r="EF82" i="7"/>
  <c r="EF97" i="7"/>
  <c r="EF84" i="7"/>
  <c r="EF73" i="7"/>
  <c r="EF72" i="7"/>
  <c r="EF74" i="7"/>
  <c r="EF98" i="7"/>
  <c r="EF88" i="7"/>
  <c r="EF76" i="7"/>
  <c r="EF100" i="7"/>
  <c r="EF81" i="7"/>
  <c r="EF55" i="7"/>
  <c r="EF47" i="7"/>
  <c r="EF39" i="7"/>
  <c r="EF31" i="7"/>
  <c r="EF68" i="7"/>
  <c r="EF65" i="7"/>
  <c r="EF64" i="7"/>
  <c r="EF58" i="7"/>
  <c r="EF50" i="7"/>
  <c r="EF42" i="7"/>
  <c r="EF34" i="7"/>
  <c r="EF26" i="7"/>
  <c r="EF87" i="7"/>
  <c r="EF79" i="7"/>
  <c r="EF66" i="7"/>
  <c r="EF80" i="7"/>
  <c r="EF57" i="7"/>
  <c r="EF49" i="7"/>
  <c r="EF41" i="7"/>
  <c r="EF53" i="7"/>
  <c r="EF46" i="7"/>
  <c r="EF45" i="7"/>
  <c r="EF38" i="7"/>
  <c r="EF60" i="7"/>
  <c r="EF51" i="7"/>
  <c r="EF36" i="7"/>
  <c r="EF52" i="7"/>
  <c r="EF40" i="7"/>
  <c r="EF33" i="7"/>
  <c r="EF22" i="7"/>
  <c r="EF14" i="7"/>
  <c r="EF6" i="7"/>
  <c r="EF17" i="7"/>
  <c r="EF9" i="7"/>
  <c r="EF56" i="7"/>
  <c r="EF54" i="7"/>
  <c r="EF43" i="7"/>
  <c r="EF44" i="7"/>
  <c r="EF62" i="7"/>
  <c r="EF61" i="7"/>
  <c r="EF59" i="7"/>
  <c r="EF48" i="7"/>
  <c r="EF37" i="7"/>
  <c r="EF63" i="7"/>
  <c r="EF30" i="7"/>
  <c r="EF16" i="7"/>
  <c r="EF8" i="7"/>
  <c r="EF20" i="7"/>
  <c r="EF13" i="7"/>
  <c r="EF35" i="7"/>
  <c r="EF28" i="7"/>
  <c r="EF12" i="7"/>
  <c r="EF5" i="7"/>
  <c r="EF32" i="7"/>
  <c r="EF24" i="7"/>
  <c r="EF23" i="7"/>
  <c r="EF4" i="7"/>
  <c r="EF29" i="7"/>
  <c r="EF19" i="7"/>
  <c r="EF15" i="7"/>
  <c r="EF11" i="7"/>
  <c r="EF7" i="7"/>
  <c r="EF18" i="7"/>
  <c r="EF25" i="7"/>
  <c r="EF10" i="7"/>
  <c r="GZ52" i="9"/>
  <c r="GZ1" i="9"/>
  <c r="GZ52" i="8"/>
  <c r="GZ143" i="7"/>
  <c r="GZ135" i="7"/>
  <c r="GZ138" i="7"/>
  <c r="GZ139" i="7"/>
  <c r="GZ129" i="7"/>
  <c r="GZ121" i="7"/>
  <c r="GZ137" i="7"/>
  <c r="GZ132" i="7"/>
  <c r="GZ124" i="7"/>
  <c r="GZ140" i="7"/>
  <c r="GZ136" i="7"/>
  <c r="GZ131" i="7"/>
  <c r="GZ141" i="7"/>
  <c r="GZ111" i="7"/>
  <c r="GZ103" i="7"/>
  <c r="GZ142" i="7"/>
  <c r="GZ114" i="7"/>
  <c r="GZ106" i="7"/>
  <c r="GZ144" i="7"/>
  <c r="GZ148" i="7"/>
  <c r="GZ1" i="8"/>
  <c r="GZ127" i="7"/>
  <c r="GZ123" i="7"/>
  <c r="GZ118" i="7"/>
  <c r="GZ113" i="7"/>
  <c r="GZ105" i="7"/>
  <c r="GZ130" i="7"/>
  <c r="GZ126" i="7"/>
  <c r="GZ116" i="7"/>
  <c r="GZ112" i="7"/>
  <c r="GZ101" i="7"/>
  <c r="GZ91" i="7"/>
  <c r="GZ120" i="7"/>
  <c r="GZ108" i="7"/>
  <c r="GZ104" i="7"/>
  <c r="GZ94" i="7"/>
  <c r="GZ86" i="7"/>
  <c r="GZ134" i="7"/>
  <c r="GZ125" i="7"/>
  <c r="GZ122" i="7"/>
  <c r="GZ128" i="7"/>
  <c r="GZ119" i="7"/>
  <c r="GZ117" i="7"/>
  <c r="GZ109" i="7"/>
  <c r="GZ102" i="7"/>
  <c r="GZ93" i="7"/>
  <c r="GZ133" i="7"/>
  <c r="GZ85" i="7"/>
  <c r="GZ83" i="7"/>
  <c r="GZ75" i="7"/>
  <c r="GZ67" i="7"/>
  <c r="GZ115" i="7"/>
  <c r="GZ96" i="7"/>
  <c r="GZ92" i="7"/>
  <c r="GZ78" i="7"/>
  <c r="GZ70" i="7"/>
  <c r="GZ107" i="7"/>
  <c r="GZ97" i="7"/>
  <c r="GZ90" i="7"/>
  <c r="GZ77" i="7"/>
  <c r="GZ69" i="7"/>
  <c r="GZ80" i="7"/>
  <c r="GZ76" i="7"/>
  <c r="GZ72" i="7"/>
  <c r="GZ68" i="7"/>
  <c r="GZ110" i="7"/>
  <c r="GZ99" i="7"/>
  <c r="GZ82" i="7"/>
  <c r="GZ79" i="7"/>
  <c r="GZ98" i="7"/>
  <c r="GZ81" i="7"/>
  <c r="GZ95" i="7"/>
  <c r="GZ100" i="7"/>
  <c r="GZ66" i="7"/>
  <c r="GZ65" i="7"/>
  <c r="GZ63" i="7"/>
  <c r="GZ55" i="7"/>
  <c r="GZ47" i="7"/>
  <c r="GZ39" i="7"/>
  <c r="GZ31" i="7"/>
  <c r="GZ23" i="7"/>
  <c r="GZ64" i="7"/>
  <c r="GZ58" i="7"/>
  <c r="GZ50" i="7"/>
  <c r="GZ42" i="7"/>
  <c r="GZ34" i="7"/>
  <c r="GZ26" i="7"/>
  <c r="GZ88" i="7"/>
  <c r="GZ73" i="7"/>
  <c r="GZ71" i="7"/>
  <c r="GZ84" i="7"/>
  <c r="GZ74" i="7"/>
  <c r="GZ57" i="7"/>
  <c r="GZ49" i="7"/>
  <c r="GZ41" i="7"/>
  <c r="GZ51" i="7"/>
  <c r="GZ36" i="7"/>
  <c r="GZ43" i="7"/>
  <c r="GZ87" i="7"/>
  <c r="GZ61" i="7"/>
  <c r="GZ89" i="7"/>
  <c r="GZ60" i="7"/>
  <c r="GZ56" i="7"/>
  <c r="GZ37" i="7"/>
  <c r="GZ46" i="7"/>
  <c r="GZ35" i="7"/>
  <c r="GZ30" i="7"/>
  <c r="GZ22" i="7"/>
  <c r="GZ14" i="7"/>
  <c r="GZ6" i="7"/>
  <c r="GZ59" i="7"/>
  <c r="GZ48" i="7"/>
  <c r="GZ33" i="7"/>
  <c r="GZ27" i="7"/>
  <c r="GZ17" i="7"/>
  <c r="GZ9" i="7"/>
  <c r="GZ38" i="7"/>
  <c r="GZ53" i="7"/>
  <c r="GZ52" i="7"/>
  <c r="GZ40" i="7"/>
  <c r="GZ54" i="7"/>
  <c r="GZ62" i="7"/>
  <c r="GZ16" i="7"/>
  <c r="GZ8" i="7"/>
  <c r="GZ28" i="7"/>
  <c r="GZ18" i="7"/>
  <c r="GZ3" i="7"/>
  <c r="GZ44" i="7"/>
  <c r="GZ32" i="7"/>
  <c r="GZ25" i="7"/>
  <c r="GZ10" i="7"/>
  <c r="GZ29" i="7"/>
  <c r="GZ21" i="7"/>
  <c r="GZ45" i="7"/>
  <c r="GZ24" i="7"/>
  <c r="GZ20" i="7"/>
  <c r="GZ13" i="7"/>
  <c r="GZ12" i="7"/>
  <c r="GZ5" i="7"/>
  <c r="GZ19" i="7"/>
  <c r="GZ15" i="7"/>
  <c r="IN52" i="9"/>
  <c r="IN1" i="9"/>
  <c r="IN52" i="8"/>
  <c r="IN143" i="7"/>
  <c r="IN135" i="7"/>
  <c r="IN138" i="7"/>
  <c r="IN136" i="7"/>
  <c r="IN129" i="7"/>
  <c r="IN121" i="7"/>
  <c r="IN142" i="7"/>
  <c r="IN132" i="7"/>
  <c r="IN124" i="7"/>
  <c r="IN131" i="7"/>
  <c r="IN141" i="7"/>
  <c r="IN139" i="7"/>
  <c r="IN127" i="7"/>
  <c r="IN123" i="7"/>
  <c r="IN111" i="7"/>
  <c r="IN103" i="7"/>
  <c r="IN140" i="7"/>
  <c r="IN128" i="7"/>
  <c r="IN120" i="7"/>
  <c r="IN114" i="7"/>
  <c r="IN106" i="7"/>
  <c r="IN1" i="8"/>
  <c r="IN144" i="7"/>
  <c r="IN148" i="7"/>
  <c r="IN134" i="7"/>
  <c r="IN133" i="7"/>
  <c r="IN119" i="7"/>
  <c r="IN113" i="7"/>
  <c r="IN105" i="7"/>
  <c r="IN130" i="7"/>
  <c r="IN117" i="7"/>
  <c r="IN108" i="7"/>
  <c r="IN104" i="7"/>
  <c r="IN91" i="7"/>
  <c r="IN137" i="7"/>
  <c r="IN115" i="7"/>
  <c r="IN100" i="7"/>
  <c r="IN99" i="7"/>
  <c r="IN94" i="7"/>
  <c r="IN86" i="7"/>
  <c r="IN125" i="7"/>
  <c r="IN122" i="7"/>
  <c r="IN118" i="7"/>
  <c r="IN126" i="7"/>
  <c r="IN93" i="7"/>
  <c r="IN112" i="7"/>
  <c r="IN96" i="7"/>
  <c r="IN92" i="7"/>
  <c r="IN83" i="7"/>
  <c r="IN75" i="7"/>
  <c r="IN67" i="7"/>
  <c r="IN101" i="7"/>
  <c r="IN88" i="7"/>
  <c r="IN78" i="7"/>
  <c r="IN70" i="7"/>
  <c r="IN116" i="7"/>
  <c r="IN107" i="7"/>
  <c r="IN109" i="7"/>
  <c r="IN89" i="7"/>
  <c r="IN87" i="7"/>
  <c r="IN77" i="7"/>
  <c r="IN69" i="7"/>
  <c r="IN72" i="7"/>
  <c r="IN68" i="7"/>
  <c r="IN97" i="7"/>
  <c r="IN79" i="7"/>
  <c r="IN81" i="7"/>
  <c r="IN74" i="7"/>
  <c r="IN95" i="7"/>
  <c r="IN85" i="7"/>
  <c r="IN80" i="7"/>
  <c r="IN66" i="7"/>
  <c r="IN55" i="7"/>
  <c r="IN47" i="7"/>
  <c r="IN39" i="7"/>
  <c r="IN31" i="7"/>
  <c r="IN23" i="7"/>
  <c r="IN73" i="7"/>
  <c r="IN58" i="7"/>
  <c r="IN50" i="7"/>
  <c r="IN42" i="7"/>
  <c r="IN34" i="7"/>
  <c r="IN26" i="7"/>
  <c r="IN76" i="7"/>
  <c r="IN63" i="7"/>
  <c r="IN110" i="7"/>
  <c r="IN98" i="7"/>
  <c r="IN64" i="7"/>
  <c r="IN102" i="7"/>
  <c r="IN84" i="7"/>
  <c r="IN65" i="7"/>
  <c r="IN90" i="7"/>
  <c r="IN71" i="7"/>
  <c r="IN62" i="7"/>
  <c r="IN57" i="7"/>
  <c r="IN49" i="7"/>
  <c r="IN41" i="7"/>
  <c r="IN43" i="7"/>
  <c r="IN61" i="7"/>
  <c r="IN54" i="7"/>
  <c r="IN35" i="7"/>
  <c r="IN33" i="7"/>
  <c r="IN52" i="7"/>
  <c r="IN48" i="7"/>
  <c r="IN46" i="7"/>
  <c r="IN22" i="7"/>
  <c r="IN14" i="7"/>
  <c r="IN6" i="7"/>
  <c r="IN82" i="7"/>
  <c r="IN59" i="7"/>
  <c r="IN24" i="7"/>
  <c r="IN17" i="7"/>
  <c r="IN9" i="7"/>
  <c r="IN37" i="7"/>
  <c r="IN36" i="7"/>
  <c r="IN60" i="7"/>
  <c r="IN38" i="7"/>
  <c r="IN53" i="7"/>
  <c r="IN51" i="7"/>
  <c r="IN40" i="7"/>
  <c r="IN32" i="7"/>
  <c r="IN28" i="7"/>
  <c r="IN16" i="7"/>
  <c r="IN8" i="7"/>
  <c r="IN56" i="7"/>
  <c r="IN10" i="7"/>
  <c r="IN45" i="7"/>
  <c r="IN30" i="7"/>
  <c r="IN21" i="7"/>
  <c r="IN2" i="7"/>
  <c r="IN27" i="7"/>
  <c r="IN20" i="7"/>
  <c r="IN13" i="7"/>
  <c r="IN12" i="7"/>
  <c r="IN5" i="7"/>
  <c r="IN4" i="7"/>
  <c r="IN19" i="7"/>
  <c r="IN15" i="7"/>
  <c r="IN25" i="7"/>
  <c r="IN11" i="7"/>
  <c r="IN7" i="7"/>
  <c r="AW52" i="9"/>
  <c r="AW1" i="9"/>
  <c r="AW52" i="8"/>
  <c r="AW138" i="7"/>
  <c r="AW141" i="7"/>
  <c r="AW148" i="7"/>
  <c r="AW140" i="7"/>
  <c r="AW144" i="7"/>
  <c r="AW137" i="7"/>
  <c r="AW132" i="7"/>
  <c r="AW124" i="7"/>
  <c r="AW135" i="7"/>
  <c r="AW127" i="7"/>
  <c r="AW136" i="7"/>
  <c r="AW134" i="7"/>
  <c r="AW143" i="7"/>
  <c r="AW142" i="7"/>
  <c r="AW130" i="7"/>
  <c r="AW128" i="7"/>
  <c r="AW114" i="7"/>
  <c r="AW106" i="7"/>
  <c r="AW125" i="7"/>
  <c r="AW121" i="7"/>
  <c r="AW118" i="7"/>
  <c r="AW117" i="7"/>
  <c r="AW109" i="7"/>
  <c r="AW101" i="7"/>
  <c r="AW1" i="8"/>
  <c r="AW139" i="7"/>
  <c r="AW120" i="7"/>
  <c r="AW116" i="7"/>
  <c r="AW108" i="7"/>
  <c r="AW110" i="7"/>
  <c r="AW94" i="7"/>
  <c r="AW86" i="7"/>
  <c r="AW97" i="7"/>
  <c r="AW89" i="7"/>
  <c r="AW126" i="7"/>
  <c r="AW123" i="7"/>
  <c r="AW129" i="7"/>
  <c r="AW119" i="7"/>
  <c r="AW111" i="7"/>
  <c r="AW107" i="7"/>
  <c r="AW100" i="7"/>
  <c r="AW96" i="7"/>
  <c r="AW115" i="7"/>
  <c r="AW104" i="7"/>
  <c r="AW103" i="7"/>
  <c r="AW98" i="7"/>
  <c r="AW78" i="7"/>
  <c r="AW70" i="7"/>
  <c r="AW131" i="7"/>
  <c r="AW105" i="7"/>
  <c r="AW102" i="7"/>
  <c r="AW90" i="7"/>
  <c r="AW81" i="7"/>
  <c r="AW73" i="7"/>
  <c r="AW65" i="7"/>
  <c r="AW133" i="7"/>
  <c r="AW113" i="7"/>
  <c r="AW99" i="7"/>
  <c r="AW95" i="7"/>
  <c r="AW88" i="7"/>
  <c r="AW80" i="7"/>
  <c r="AW72" i="7"/>
  <c r="AW74" i="7"/>
  <c r="AW112" i="7"/>
  <c r="AW85" i="7"/>
  <c r="AW66" i="7"/>
  <c r="AW122" i="7"/>
  <c r="AW93" i="7"/>
  <c r="AW87" i="7"/>
  <c r="AW69" i="7"/>
  <c r="AW92" i="7"/>
  <c r="AW84" i="7"/>
  <c r="AW83" i="7"/>
  <c r="AW82" i="7"/>
  <c r="AW58" i="7"/>
  <c r="AW50" i="7"/>
  <c r="AW42" i="7"/>
  <c r="AW34" i="7"/>
  <c r="AW26" i="7"/>
  <c r="AW79" i="7"/>
  <c r="AW76" i="7"/>
  <c r="AW61" i="7"/>
  <c r="AW53" i="7"/>
  <c r="AW45" i="7"/>
  <c r="AW37" i="7"/>
  <c r="AW29" i="7"/>
  <c r="AW91" i="7"/>
  <c r="AW71" i="7"/>
  <c r="AW64" i="7"/>
  <c r="AW63" i="7"/>
  <c r="AW77" i="7"/>
  <c r="AW67" i="7"/>
  <c r="AW60" i="7"/>
  <c r="AW52" i="7"/>
  <c r="AW44" i="7"/>
  <c r="AW36" i="7"/>
  <c r="AW56" i="7"/>
  <c r="AW49" i="7"/>
  <c r="AW48" i="7"/>
  <c r="AW41" i="7"/>
  <c r="AW75" i="7"/>
  <c r="AW54" i="7"/>
  <c r="AW39" i="7"/>
  <c r="AW35" i="7"/>
  <c r="AW27" i="7"/>
  <c r="AW17" i="7"/>
  <c r="AW9" i="7"/>
  <c r="AW51" i="7"/>
  <c r="AW40" i="7"/>
  <c r="AW38" i="7"/>
  <c r="AW20" i="7"/>
  <c r="AW12" i="7"/>
  <c r="AW4" i="7"/>
  <c r="AW55" i="7"/>
  <c r="AW43" i="7"/>
  <c r="AW59" i="7"/>
  <c r="AW57" i="7"/>
  <c r="AW46" i="7"/>
  <c r="AW33" i="7"/>
  <c r="AW25" i="7"/>
  <c r="AW19" i="7"/>
  <c r="AW11" i="7"/>
  <c r="AW3" i="7"/>
  <c r="AW68" i="7"/>
  <c r="AW62" i="7"/>
  <c r="AW23" i="7"/>
  <c r="AW16" i="7"/>
  <c r="AW31" i="7"/>
  <c r="AW15" i="7"/>
  <c r="AW8" i="7"/>
  <c r="AW28" i="7"/>
  <c r="AW24" i="7"/>
  <c r="AW7" i="7"/>
  <c r="AW32" i="7"/>
  <c r="AW22" i="7"/>
  <c r="AW18" i="7"/>
  <c r="AW14" i="7"/>
  <c r="AW10" i="7"/>
  <c r="AW21" i="7"/>
  <c r="AW13" i="7"/>
  <c r="BU52" i="9"/>
  <c r="BU1" i="9"/>
  <c r="BU52" i="8"/>
  <c r="BU1" i="8"/>
  <c r="BU138" i="7"/>
  <c r="BU141" i="7"/>
  <c r="BU148" i="7"/>
  <c r="BU140" i="7"/>
  <c r="BU132" i="7"/>
  <c r="BU124" i="7"/>
  <c r="BU144" i="7"/>
  <c r="BU136" i="7"/>
  <c r="BU135" i="7"/>
  <c r="BU127" i="7"/>
  <c r="BU142" i="7"/>
  <c r="BU137" i="7"/>
  <c r="BU134" i="7"/>
  <c r="BU131" i="7"/>
  <c r="BU122" i="7"/>
  <c r="BU114" i="7"/>
  <c r="BU106" i="7"/>
  <c r="BU130" i="7"/>
  <c r="BU117" i="7"/>
  <c r="BU109" i="7"/>
  <c r="BU101" i="7"/>
  <c r="BU139" i="7"/>
  <c r="BU128" i="7"/>
  <c r="BU116" i="7"/>
  <c r="BU108" i="7"/>
  <c r="BU120" i="7"/>
  <c r="BU103" i="7"/>
  <c r="BU102" i="7"/>
  <c r="BU94" i="7"/>
  <c r="BU86" i="7"/>
  <c r="BU110" i="7"/>
  <c r="BU97" i="7"/>
  <c r="BU89" i="7"/>
  <c r="BU143" i="7"/>
  <c r="BU121" i="7"/>
  <c r="BU129" i="7"/>
  <c r="BU125" i="7"/>
  <c r="BU118" i="7"/>
  <c r="BU133" i="7"/>
  <c r="BU126" i="7"/>
  <c r="BU115" i="7"/>
  <c r="BU96" i="7"/>
  <c r="BU105" i="7"/>
  <c r="BU91" i="7"/>
  <c r="BU85" i="7"/>
  <c r="BU78" i="7"/>
  <c r="BU70" i="7"/>
  <c r="BU119" i="7"/>
  <c r="BU107" i="7"/>
  <c r="BU98" i="7"/>
  <c r="BU87" i="7"/>
  <c r="BU81" i="7"/>
  <c r="BU73" i="7"/>
  <c r="BU65" i="7"/>
  <c r="BU112" i="7"/>
  <c r="BU111" i="7"/>
  <c r="BU123" i="7"/>
  <c r="BU113" i="7"/>
  <c r="BU80" i="7"/>
  <c r="BU72" i="7"/>
  <c r="BU90" i="7"/>
  <c r="BU82" i="7"/>
  <c r="BU67" i="7"/>
  <c r="BU74" i="7"/>
  <c r="BU100" i="7"/>
  <c r="BU95" i="7"/>
  <c r="BU88" i="7"/>
  <c r="BU76" i="7"/>
  <c r="BU69" i="7"/>
  <c r="BU84" i="7"/>
  <c r="BU83" i="7"/>
  <c r="BU71" i="7"/>
  <c r="BU104" i="7"/>
  <c r="BU99" i="7"/>
  <c r="BU64" i="7"/>
  <c r="BU58" i="7"/>
  <c r="BU50" i="7"/>
  <c r="BU42" i="7"/>
  <c r="BU34" i="7"/>
  <c r="BU26" i="7"/>
  <c r="BU92" i="7"/>
  <c r="BU75" i="7"/>
  <c r="BU61" i="7"/>
  <c r="BU53" i="7"/>
  <c r="BU45" i="7"/>
  <c r="BU37" i="7"/>
  <c r="BU29" i="7"/>
  <c r="BU79" i="7"/>
  <c r="BU77" i="7"/>
  <c r="BU68" i="7"/>
  <c r="BU63" i="7"/>
  <c r="BU60" i="7"/>
  <c r="BU52" i="7"/>
  <c r="BU44" i="7"/>
  <c r="BU36" i="7"/>
  <c r="BU57" i="7"/>
  <c r="BU38" i="7"/>
  <c r="BU56" i="7"/>
  <c r="BU49" i="7"/>
  <c r="BU93" i="7"/>
  <c r="BU66" i="7"/>
  <c r="BU62" i="7"/>
  <c r="BU47" i="7"/>
  <c r="BU43" i="7"/>
  <c r="BU51" i="7"/>
  <c r="BU40" i="7"/>
  <c r="BU39" i="7"/>
  <c r="BU31" i="7"/>
  <c r="BU17" i="7"/>
  <c r="BU9" i="7"/>
  <c r="BU41" i="7"/>
  <c r="BU32" i="7"/>
  <c r="BU28" i="7"/>
  <c r="BU25" i="7"/>
  <c r="BU20" i="7"/>
  <c r="BU12" i="7"/>
  <c r="BU4" i="7"/>
  <c r="BU54" i="7"/>
  <c r="BU55" i="7"/>
  <c r="BU59" i="7"/>
  <c r="BU48" i="7"/>
  <c r="BU46" i="7"/>
  <c r="BU27" i="7"/>
  <c r="BU19" i="7"/>
  <c r="BU11" i="7"/>
  <c r="BU3" i="7"/>
  <c r="BU35" i="7"/>
  <c r="BU5" i="7"/>
  <c r="BU23" i="7"/>
  <c r="BU16" i="7"/>
  <c r="BU15" i="7"/>
  <c r="BU8" i="7"/>
  <c r="BU33" i="7"/>
  <c r="BU7" i="7"/>
  <c r="BU30" i="7"/>
  <c r="BU24" i="7"/>
  <c r="BU22" i="7"/>
  <c r="BU18" i="7"/>
  <c r="BU14" i="7"/>
  <c r="BU10" i="7"/>
  <c r="BU21" i="7"/>
  <c r="BU6" i="7"/>
  <c r="BU2" i="7"/>
  <c r="DQ52" i="9"/>
  <c r="DQ1" i="9"/>
  <c r="DQ52" i="8"/>
  <c r="DQ138" i="7"/>
  <c r="DQ141" i="7"/>
  <c r="DQ148" i="7"/>
  <c r="DQ140" i="7"/>
  <c r="DQ142" i="7"/>
  <c r="DQ132" i="7"/>
  <c r="DQ124" i="7"/>
  <c r="DQ135" i="7"/>
  <c r="DQ127" i="7"/>
  <c r="DQ1" i="8"/>
  <c r="DQ143" i="7"/>
  <c r="DQ139" i="7"/>
  <c r="DQ134" i="7"/>
  <c r="DQ136" i="7"/>
  <c r="DQ128" i="7"/>
  <c r="DQ120" i="7"/>
  <c r="DQ119" i="7"/>
  <c r="DQ114" i="7"/>
  <c r="DQ106" i="7"/>
  <c r="DQ109" i="7"/>
  <c r="DQ101" i="7"/>
  <c r="DQ137" i="7"/>
  <c r="DQ144" i="7"/>
  <c r="DQ129" i="7"/>
  <c r="DQ126" i="7"/>
  <c r="DQ116" i="7"/>
  <c r="DQ108" i="7"/>
  <c r="DQ115" i="7"/>
  <c r="DQ100" i="7"/>
  <c r="DQ94" i="7"/>
  <c r="DQ86" i="7"/>
  <c r="DQ130" i="7"/>
  <c r="DQ123" i="7"/>
  <c r="DQ118" i="7"/>
  <c r="DQ111" i="7"/>
  <c r="DQ107" i="7"/>
  <c r="DQ97" i="7"/>
  <c r="DQ89" i="7"/>
  <c r="DQ131" i="7"/>
  <c r="DQ121" i="7"/>
  <c r="DQ125" i="7"/>
  <c r="DQ133" i="7"/>
  <c r="DQ122" i="7"/>
  <c r="DQ112" i="7"/>
  <c r="DQ105" i="7"/>
  <c r="DQ96" i="7"/>
  <c r="DQ110" i="7"/>
  <c r="DQ102" i="7"/>
  <c r="DQ88" i="7"/>
  <c r="DQ78" i="7"/>
  <c r="DQ70" i="7"/>
  <c r="DQ99" i="7"/>
  <c r="DQ95" i="7"/>
  <c r="DQ81" i="7"/>
  <c r="DQ73" i="7"/>
  <c r="DQ65" i="7"/>
  <c r="DQ117" i="7"/>
  <c r="DQ113" i="7"/>
  <c r="DQ93" i="7"/>
  <c r="DQ85" i="7"/>
  <c r="DQ80" i="7"/>
  <c r="DQ72" i="7"/>
  <c r="DQ83" i="7"/>
  <c r="DQ79" i="7"/>
  <c r="DQ104" i="7"/>
  <c r="DQ75" i="7"/>
  <c r="DQ71" i="7"/>
  <c r="DQ92" i="7"/>
  <c r="DQ76" i="7"/>
  <c r="DQ87" i="7"/>
  <c r="DQ77" i="7"/>
  <c r="DQ58" i="7"/>
  <c r="DQ50" i="7"/>
  <c r="DQ42" i="7"/>
  <c r="DQ34" i="7"/>
  <c r="DQ26" i="7"/>
  <c r="DQ90" i="7"/>
  <c r="DQ61" i="7"/>
  <c r="DQ53" i="7"/>
  <c r="DQ45" i="7"/>
  <c r="DQ37" i="7"/>
  <c r="DQ29" i="7"/>
  <c r="DQ84" i="7"/>
  <c r="DQ66" i="7"/>
  <c r="DQ74" i="7"/>
  <c r="DQ64" i="7"/>
  <c r="DQ63" i="7"/>
  <c r="DQ69" i="7"/>
  <c r="DQ98" i="7"/>
  <c r="DQ91" i="7"/>
  <c r="DQ82" i="7"/>
  <c r="DQ68" i="7"/>
  <c r="DQ67" i="7"/>
  <c r="DQ60" i="7"/>
  <c r="DQ52" i="7"/>
  <c r="DQ44" i="7"/>
  <c r="DQ36" i="7"/>
  <c r="DQ54" i="7"/>
  <c r="DQ39" i="7"/>
  <c r="DQ35" i="7"/>
  <c r="DQ46" i="7"/>
  <c r="DQ103" i="7"/>
  <c r="DQ59" i="7"/>
  <c r="DQ40" i="7"/>
  <c r="DQ56" i="7"/>
  <c r="DQ55" i="7"/>
  <c r="DQ43" i="7"/>
  <c r="DQ24" i="7"/>
  <c r="DQ17" i="7"/>
  <c r="DQ9" i="7"/>
  <c r="DQ62" i="7"/>
  <c r="DQ57" i="7"/>
  <c r="DQ30" i="7"/>
  <c r="DQ20" i="7"/>
  <c r="DQ12" i="7"/>
  <c r="DQ4" i="7"/>
  <c r="DQ48" i="7"/>
  <c r="DQ47" i="7"/>
  <c r="DQ49" i="7"/>
  <c r="DQ38" i="7"/>
  <c r="DQ51" i="7"/>
  <c r="DQ19" i="7"/>
  <c r="DQ11" i="7"/>
  <c r="DQ3" i="7"/>
  <c r="DQ31" i="7"/>
  <c r="DQ21" i="7"/>
  <c r="DQ6" i="7"/>
  <c r="DQ2" i="7"/>
  <c r="DQ28" i="7"/>
  <c r="DQ13" i="7"/>
  <c r="DQ32" i="7"/>
  <c r="DQ5" i="7"/>
  <c r="DQ23" i="7"/>
  <c r="DQ16" i="7"/>
  <c r="DQ15" i="7"/>
  <c r="DQ8" i="7"/>
  <c r="DQ33" i="7"/>
  <c r="DQ27" i="7"/>
  <c r="DQ22" i="7"/>
  <c r="DQ18" i="7"/>
  <c r="GC52" i="9"/>
  <c r="GC1" i="9"/>
  <c r="GC52" i="8"/>
  <c r="GC138" i="7"/>
  <c r="GC141" i="7"/>
  <c r="GC148" i="7"/>
  <c r="GC140" i="7"/>
  <c r="GC1" i="8"/>
  <c r="GC142" i="7"/>
  <c r="GC132" i="7"/>
  <c r="GC124" i="7"/>
  <c r="GC135" i="7"/>
  <c r="GC127" i="7"/>
  <c r="GC143" i="7"/>
  <c r="GC139" i="7"/>
  <c r="GC134" i="7"/>
  <c r="GC128" i="7"/>
  <c r="GC120" i="7"/>
  <c r="GC119" i="7"/>
  <c r="GC114" i="7"/>
  <c r="GC106" i="7"/>
  <c r="GC109" i="7"/>
  <c r="GC101" i="7"/>
  <c r="GC136" i="7"/>
  <c r="GC144" i="7"/>
  <c r="GC137" i="7"/>
  <c r="GC129" i="7"/>
  <c r="GC126" i="7"/>
  <c r="GC116" i="7"/>
  <c r="GC108" i="7"/>
  <c r="GC130" i="7"/>
  <c r="GC122" i="7"/>
  <c r="GC115" i="7"/>
  <c r="GC100" i="7"/>
  <c r="GC99" i="7"/>
  <c r="GC94" i="7"/>
  <c r="GC86" i="7"/>
  <c r="GC131" i="7"/>
  <c r="GC111" i="7"/>
  <c r="GC107" i="7"/>
  <c r="GC97" i="7"/>
  <c r="GC89" i="7"/>
  <c r="GC133" i="7"/>
  <c r="GC117" i="7"/>
  <c r="GC123" i="7"/>
  <c r="GC121" i="7"/>
  <c r="GC118" i="7"/>
  <c r="GC112" i="7"/>
  <c r="GC105" i="7"/>
  <c r="GC96" i="7"/>
  <c r="GC88" i="7"/>
  <c r="GC78" i="7"/>
  <c r="GC70" i="7"/>
  <c r="GC95" i="7"/>
  <c r="GC85" i="7"/>
  <c r="GC81" i="7"/>
  <c r="GC73" i="7"/>
  <c r="GC65" i="7"/>
  <c r="GC113" i="7"/>
  <c r="GC104" i="7"/>
  <c r="GC125" i="7"/>
  <c r="GC93" i="7"/>
  <c r="GC80" i="7"/>
  <c r="GC72" i="7"/>
  <c r="GC64" i="7"/>
  <c r="GC83" i="7"/>
  <c r="GC79" i="7"/>
  <c r="GC75" i="7"/>
  <c r="GC71" i="7"/>
  <c r="GC110" i="7"/>
  <c r="GC102" i="7"/>
  <c r="GC92" i="7"/>
  <c r="GC77" i="7"/>
  <c r="GC103" i="7"/>
  <c r="GC98" i="7"/>
  <c r="GC68" i="7"/>
  <c r="GC58" i="7"/>
  <c r="GC50" i="7"/>
  <c r="GC42" i="7"/>
  <c r="GC34" i="7"/>
  <c r="GC26" i="7"/>
  <c r="GC76" i="7"/>
  <c r="GC66" i="7"/>
  <c r="GC61" i="7"/>
  <c r="GC53" i="7"/>
  <c r="GC45" i="7"/>
  <c r="GC37" i="7"/>
  <c r="GC29" i="7"/>
  <c r="GC87" i="7"/>
  <c r="GC84" i="7"/>
  <c r="GC91" i="7"/>
  <c r="GC74" i="7"/>
  <c r="GC67" i="7"/>
  <c r="GC63" i="7"/>
  <c r="GC82" i="7"/>
  <c r="GC60" i="7"/>
  <c r="GC52" i="7"/>
  <c r="GC44" i="7"/>
  <c r="GC36" i="7"/>
  <c r="GC90" i="7"/>
  <c r="GC54" i="7"/>
  <c r="GC39" i="7"/>
  <c r="GC35" i="7"/>
  <c r="GC46" i="7"/>
  <c r="GC69" i="7"/>
  <c r="GC59" i="7"/>
  <c r="GC40" i="7"/>
  <c r="GC57" i="7"/>
  <c r="GC33" i="7"/>
  <c r="GC24" i="7"/>
  <c r="GC17" i="7"/>
  <c r="GC9" i="7"/>
  <c r="GC30" i="7"/>
  <c r="GC20" i="7"/>
  <c r="GC12" i="7"/>
  <c r="GC4" i="7"/>
  <c r="GC48" i="7"/>
  <c r="GC47" i="7"/>
  <c r="GC49" i="7"/>
  <c r="GC38" i="7"/>
  <c r="GC51" i="7"/>
  <c r="GC62" i="7"/>
  <c r="GC41" i="7"/>
  <c r="GC19" i="7"/>
  <c r="GC11" i="7"/>
  <c r="GC3" i="7"/>
  <c r="GC43" i="7"/>
  <c r="GC21" i="7"/>
  <c r="GC6" i="7"/>
  <c r="GC2" i="7"/>
  <c r="GC55" i="7"/>
  <c r="GC13" i="7"/>
  <c r="GC31" i="7"/>
  <c r="GC5" i="7"/>
  <c r="GC56" i="7"/>
  <c r="GC28" i="7"/>
  <c r="GC23" i="7"/>
  <c r="GC16" i="7"/>
  <c r="GC32" i="7"/>
  <c r="GC25" i="7"/>
  <c r="GC15" i="7"/>
  <c r="GC8" i="7"/>
  <c r="GC22" i="7"/>
  <c r="GC18" i="7"/>
  <c r="HY52" i="9"/>
  <c r="HY1" i="9"/>
  <c r="HY52" i="8"/>
  <c r="HY1" i="8"/>
  <c r="HY138" i="7"/>
  <c r="HY141" i="7"/>
  <c r="HY148" i="7"/>
  <c r="HY140" i="7"/>
  <c r="HY143" i="7"/>
  <c r="HY139" i="7"/>
  <c r="HY132" i="7"/>
  <c r="HY124" i="7"/>
  <c r="HY127" i="7"/>
  <c r="HY119" i="7"/>
  <c r="HY137" i="7"/>
  <c r="HY134" i="7"/>
  <c r="HY129" i="7"/>
  <c r="HY122" i="7"/>
  <c r="HY118" i="7"/>
  <c r="HY114" i="7"/>
  <c r="HY106" i="7"/>
  <c r="HY144" i="7"/>
  <c r="HY117" i="7"/>
  <c r="HY109" i="7"/>
  <c r="HY101" i="7"/>
  <c r="HY136" i="7"/>
  <c r="HY116" i="7"/>
  <c r="HY108" i="7"/>
  <c r="HY121" i="7"/>
  <c r="HY112" i="7"/>
  <c r="HY105" i="7"/>
  <c r="HY94" i="7"/>
  <c r="HY86" i="7"/>
  <c r="HY142" i="7"/>
  <c r="HY125" i="7"/>
  <c r="HY104" i="7"/>
  <c r="HY97" i="7"/>
  <c r="HY89" i="7"/>
  <c r="HY135" i="7"/>
  <c r="HY133" i="7"/>
  <c r="HY126" i="7"/>
  <c r="HY128" i="7"/>
  <c r="HY123" i="7"/>
  <c r="HY120" i="7"/>
  <c r="HY130" i="7"/>
  <c r="HY102" i="7"/>
  <c r="HY99" i="7"/>
  <c r="HY96" i="7"/>
  <c r="HY131" i="7"/>
  <c r="HY103" i="7"/>
  <c r="HY93" i="7"/>
  <c r="HY78" i="7"/>
  <c r="HY70" i="7"/>
  <c r="HY92" i="7"/>
  <c r="HY87" i="7"/>
  <c r="HY81" i="7"/>
  <c r="HY73" i="7"/>
  <c r="HY65" i="7"/>
  <c r="HY107" i="7"/>
  <c r="HY90" i="7"/>
  <c r="HY80" i="7"/>
  <c r="HY72" i="7"/>
  <c r="HY64" i="7"/>
  <c r="HY98" i="7"/>
  <c r="HY76" i="7"/>
  <c r="HY69" i="7"/>
  <c r="HY88" i="7"/>
  <c r="HY68" i="7"/>
  <c r="HY115" i="7"/>
  <c r="HY111" i="7"/>
  <c r="HY82" i="7"/>
  <c r="HY110" i="7"/>
  <c r="HY83" i="7"/>
  <c r="HY100" i="7"/>
  <c r="HY91" i="7"/>
  <c r="HY84" i="7"/>
  <c r="HY113" i="7"/>
  <c r="HY77" i="7"/>
  <c r="HY58" i="7"/>
  <c r="HY50" i="7"/>
  <c r="HY42" i="7"/>
  <c r="HY34" i="7"/>
  <c r="HY26" i="7"/>
  <c r="HY67" i="7"/>
  <c r="HY61" i="7"/>
  <c r="HY53" i="7"/>
  <c r="HY45" i="7"/>
  <c r="HY37" i="7"/>
  <c r="HY29" i="7"/>
  <c r="HY75" i="7"/>
  <c r="HY85" i="7"/>
  <c r="HY71" i="7"/>
  <c r="HY79" i="7"/>
  <c r="HY62" i="7"/>
  <c r="HY63" i="7"/>
  <c r="HY95" i="7"/>
  <c r="HY66" i="7"/>
  <c r="HY60" i="7"/>
  <c r="HY52" i="7"/>
  <c r="HY44" i="7"/>
  <c r="HY36" i="7"/>
  <c r="HY55" i="7"/>
  <c r="HY51" i="7"/>
  <c r="HY47" i="7"/>
  <c r="HY43" i="7"/>
  <c r="HY74" i="7"/>
  <c r="HY56" i="7"/>
  <c r="HY49" i="7"/>
  <c r="HY31" i="7"/>
  <c r="HY23" i="7"/>
  <c r="HY17" i="7"/>
  <c r="HY9" i="7"/>
  <c r="HY39" i="7"/>
  <c r="HY38" i="7"/>
  <c r="HY32" i="7"/>
  <c r="HY28" i="7"/>
  <c r="HY20" i="7"/>
  <c r="HY12" i="7"/>
  <c r="HY4" i="7"/>
  <c r="HY40" i="7"/>
  <c r="HY54" i="7"/>
  <c r="HY41" i="7"/>
  <c r="HY57" i="7"/>
  <c r="HY46" i="7"/>
  <c r="HY35" i="7"/>
  <c r="HY27" i="7"/>
  <c r="HY24" i="7"/>
  <c r="HY19" i="7"/>
  <c r="HY11" i="7"/>
  <c r="HY3" i="7"/>
  <c r="HY59" i="7"/>
  <c r="HY48" i="7"/>
  <c r="HY33" i="7"/>
  <c r="HY22" i="7"/>
  <c r="HY18" i="7"/>
  <c r="HY30" i="7"/>
  <c r="HY14" i="7"/>
  <c r="HY10" i="7"/>
  <c r="HY21" i="7"/>
  <c r="HY6" i="7"/>
  <c r="HY13" i="7"/>
  <c r="HY25" i="7"/>
  <c r="HY5" i="7"/>
  <c r="HY16" i="7"/>
  <c r="HY15" i="7"/>
  <c r="HY8" i="7"/>
  <c r="JE52" i="9"/>
  <c r="JE1" i="9"/>
  <c r="JE52" i="8"/>
  <c r="JE1" i="8"/>
  <c r="JE138" i="7"/>
  <c r="JE141" i="7"/>
  <c r="JE148" i="7"/>
  <c r="JE140" i="7"/>
  <c r="JE132" i="7"/>
  <c r="JE124" i="7"/>
  <c r="JE144" i="7"/>
  <c r="JE127" i="7"/>
  <c r="JE119" i="7"/>
  <c r="JE142" i="7"/>
  <c r="JE137" i="7"/>
  <c r="JE134" i="7"/>
  <c r="JE131" i="7"/>
  <c r="JE122" i="7"/>
  <c r="JE114" i="7"/>
  <c r="JE106" i="7"/>
  <c r="JE139" i="7"/>
  <c r="JE130" i="7"/>
  <c r="JE109" i="7"/>
  <c r="JE101" i="7"/>
  <c r="JE133" i="7"/>
  <c r="JE143" i="7"/>
  <c r="JE136" i="7"/>
  <c r="JE128" i="7"/>
  <c r="JE116" i="7"/>
  <c r="JE108" i="7"/>
  <c r="JE103" i="7"/>
  <c r="JE94" i="7"/>
  <c r="JE86" i="7"/>
  <c r="JE129" i="7"/>
  <c r="JE121" i="7"/>
  <c r="JE110" i="7"/>
  <c r="JE97" i="7"/>
  <c r="JE89" i="7"/>
  <c r="JE125" i="7"/>
  <c r="JE118" i="7"/>
  <c r="JE126" i="7"/>
  <c r="JE123" i="7"/>
  <c r="JE135" i="7"/>
  <c r="JE120" i="7"/>
  <c r="JE115" i="7"/>
  <c r="JE96" i="7"/>
  <c r="JE117" i="7"/>
  <c r="JE100" i="7"/>
  <c r="JE91" i="7"/>
  <c r="JE78" i="7"/>
  <c r="JE70" i="7"/>
  <c r="JE62" i="7"/>
  <c r="JE112" i="7"/>
  <c r="JE111" i="7"/>
  <c r="JE98" i="7"/>
  <c r="JE87" i="7"/>
  <c r="JE81" i="7"/>
  <c r="JE73" i="7"/>
  <c r="JE65" i="7"/>
  <c r="JE113" i="7"/>
  <c r="JE104" i="7"/>
  <c r="JE107" i="7"/>
  <c r="JE80" i="7"/>
  <c r="JE72" i="7"/>
  <c r="JE64" i="7"/>
  <c r="JE102" i="7"/>
  <c r="JE99" i="7"/>
  <c r="JE93" i="7"/>
  <c r="JE82" i="7"/>
  <c r="JE67" i="7"/>
  <c r="JE95" i="7"/>
  <c r="JE74" i="7"/>
  <c r="JE76" i="7"/>
  <c r="JE69" i="7"/>
  <c r="JE75" i="7"/>
  <c r="JE77" i="7"/>
  <c r="JE79" i="7"/>
  <c r="JE105" i="7"/>
  <c r="JE84" i="7"/>
  <c r="JE66" i="7"/>
  <c r="JE58" i="7"/>
  <c r="JE50" i="7"/>
  <c r="JE42" i="7"/>
  <c r="JE34" i="7"/>
  <c r="JE26" i="7"/>
  <c r="JE71" i="7"/>
  <c r="JE61" i="7"/>
  <c r="JE53" i="7"/>
  <c r="JE45" i="7"/>
  <c r="JE37" i="7"/>
  <c r="JE29" i="7"/>
  <c r="JE90" i="7"/>
  <c r="JE68" i="7"/>
  <c r="JE92" i="7"/>
  <c r="JE85" i="7"/>
  <c r="JE63" i="7"/>
  <c r="JE83" i="7"/>
  <c r="JE60" i="7"/>
  <c r="JE52" i="7"/>
  <c r="JE44" i="7"/>
  <c r="JE36" i="7"/>
  <c r="JE57" i="7"/>
  <c r="JE38" i="7"/>
  <c r="JE56" i="7"/>
  <c r="JE49" i="7"/>
  <c r="JE88" i="7"/>
  <c r="JE47" i="7"/>
  <c r="JE43" i="7"/>
  <c r="JE55" i="7"/>
  <c r="JE33" i="7"/>
  <c r="JE31" i="7"/>
  <c r="JE17" i="7"/>
  <c r="JE9" i="7"/>
  <c r="JE32" i="7"/>
  <c r="JE28" i="7"/>
  <c r="JE20" i="7"/>
  <c r="JE12" i="7"/>
  <c r="JE4" i="7"/>
  <c r="JE59" i="7"/>
  <c r="JE48" i="7"/>
  <c r="JE46" i="7"/>
  <c r="JE51" i="7"/>
  <c r="JE40" i="7"/>
  <c r="JE39" i="7"/>
  <c r="JE41" i="7"/>
  <c r="JE27" i="7"/>
  <c r="JE19" i="7"/>
  <c r="JE11" i="7"/>
  <c r="JE3" i="7"/>
  <c r="JE35" i="7"/>
  <c r="JE23" i="7"/>
  <c r="JE5" i="7"/>
  <c r="JE16" i="7"/>
  <c r="JE30" i="7"/>
  <c r="JE15" i="7"/>
  <c r="JE8" i="7"/>
  <c r="JE54" i="7"/>
  <c r="JE24" i="7"/>
  <c r="JE7" i="7"/>
  <c r="JE22" i="7"/>
  <c r="JE18" i="7"/>
  <c r="JE25" i="7"/>
  <c r="JE14" i="7"/>
  <c r="JE10" i="7"/>
  <c r="JE21" i="7"/>
  <c r="JE6" i="7"/>
  <c r="JE2" i="7"/>
  <c r="R52" i="9"/>
  <c r="R52" i="8"/>
  <c r="R1" i="9"/>
  <c r="R141" i="7"/>
  <c r="R1" i="8"/>
  <c r="R144" i="7"/>
  <c r="R143" i="7"/>
  <c r="R142" i="7"/>
  <c r="R135" i="7"/>
  <c r="R127" i="7"/>
  <c r="R119" i="7"/>
  <c r="R136" i="7"/>
  <c r="R130" i="7"/>
  <c r="R122" i="7"/>
  <c r="R139" i="7"/>
  <c r="R129" i="7"/>
  <c r="R132" i="7"/>
  <c r="R125" i="7"/>
  <c r="R121" i="7"/>
  <c r="R117" i="7"/>
  <c r="R109" i="7"/>
  <c r="R101" i="7"/>
  <c r="R112" i="7"/>
  <c r="R104" i="7"/>
  <c r="R140" i="7"/>
  <c r="R137" i="7"/>
  <c r="R134" i="7"/>
  <c r="R138" i="7"/>
  <c r="R148" i="7"/>
  <c r="R111" i="7"/>
  <c r="R103" i="7"/>
  <c r="R126" i="7"/>
  <c r="R115" i="7"/>
  <c r="R108" i="7"/>
  <c r="R97" i="7"/>
  <c r="R89" i="7"/>
  <c r="R123" i="7"/>
  <c r="R107" i="7"/>
  <c r="R102" i="7"/>
  <c r="R92" i="7"/>
  <c r="R131" i="7"/>
  <c r="R120" i="7"/>
  <c r="R118" i="7"/>
  <c r="R133" i="7"/>
  <c r="R124" i="7"/>
  <c r="R128" i="7"/>
  <c r="R105" i="7"/>
  <c r="R99" i="7"/>
  <c r="R91" i="7"/>
  <c r="R110" i="7"/>
  <c r="R96" i="7"/>
  <c r="R81" i="7"/>
  <c r="R73" i="7"/>
  <c r="R65" i="7"/>
  <c r="R95" i="7"/>
  <c r="R86" i="7"/>
  <c r="R84" i="7"/>
  <c r="R76" i="7"/>
  <c r="R68" i="7"/>
  <c r="R114" i="7"/>
  <c r="R113" i="7"/>
  <c r="R116" i="7"/>
  <c r="R106" i="7"/>
  <c r="R93" i="7"/>
  <c r="R83" i="7"/>
  <c r="R75" i="7"/>
  <c r="R67" i="7"/>
  <c r="R79" i="7"/>
  <c r="R72" i="7"/>
  <c r="R94" i="7"/>
  <c r="R71" i="7"/>
  <c r="R85" i="7"/>
  <c r="R70" i="7"/>
  <c r="R100" i="7"/>
  <c r="R77" i="7"/>
  <c r="R78" i="7"/>
  <c r="R98" i="7"/>
  <c r="R69" i="7"/>
  <c r="R61" i="7"/>
  <c r="R53" i="7"/>
  <c r="R45" i="7"/>
  <c r="R37" i="7"/>
  <c r="R29" i="7"/>
  <c r="R90" i="7"/>
  <c r="R87" i="7"/>
  <c r="R64" i="7"/>
  <c r="R56" i="7"/>
  <c r="R48" i="7"/>
  <c r="R40" i="7"/>
  <c r="R32" i="7"/>
  <c r="R80" i="7"/>
  <c r="R88" i="7"/>
  <c r="R74" i="7"/>
  <c r="R66" i="7"/>
  <c r="R63" i="7"/>
  <c r="R55" i="7"/>
  <c r="R47" i="7"/>
  <c r="R39" i="7"/>
  <c r="R58" i="7"/>
  <c r="R54" i="7"/>
  <c r="R35" i="7"/>
  <c r="R34" i="7"/>
  <c r="R50" i="7"/>
  <c r="R46" i="7"/>
  <c r="R59" i="7"/>
  <c r="R52" i="7"/>
  <c r="R43" i="7"/>
  <c r="R20" i="7"/>
  <c r="R12" i="7"/>
  <c r="R4" i="7"/>
  <c r="R62" i="7"/>
  <c r="R57" i="7"/>
  <c r="R44" i="7"/>
  <c r="R31" i="7"/>
  <c r="R25" i="7"/>
  <c r="R23" i="7"/>
  <c r="R15" i="7"/>
  <c r="R7" i="7"/>
  <c r="R82" i="7"/>
  <c r="R60" i="7"/>
  <c r="R49" i="7"/>
  <c r="R38" i="7"/>
  <c r="R51" i="7"/>
  <c r="R30" i="7"/>
  <c r="R26" i="7"/>
  <c r="R22" i="7"/>
  <c r="R14" i="7"/>
  <c r="R6" i="7"/>
  <c r="R36" i="7"/>
  <c r="R28" i="7"/>
  <c r="R21" i="7"/>
  <c r="R2" i="7"/>
  <c r="R17" i="7"/>
  <c r="R13" i="7"/>
  <c r="R24" i="7"/>
  <c r="R9" i="7"/>
  <c r="R5" i="7"/>
  <c r="R16" i="7"/>
  <c r="R41" i="7"/>
  <c r="R8" i="7"/>
  <c r="R33" i="7"/>
  <c r="R19" i="7"/>
  <c r="R42" i="7"/>
  <c r="R27" i="7"/>
  <c r="R18" i="7"/>
  <c r="R11" i="7"/>
  <c r="AX52" i="9"/>
  <c r="AX52" i="8"/>
  <c r="AX1" i="9"/>
  <c r="AX141" i="7"/>
  <c r="AX1" i="8"/>
  <c r="AX144" i="7"/>
  <c r="AX143" i="7"/>
  <c r="AX135" i="7"/>
  <c r="AX127" i="7"/>
  <c r="AX119" i="7"/>
  <c r="AX140" i="7"/>
  <c r="AX130" i="7"/>
  <c r="AX122" i="7"/>
  <c r="AX129" i="7"/>
  <c r="AX134" i="7"/>
  <c r="AX125" i="7"/>
  <c r="AX121" i="7"/>
  <c r="AX118" i="7"/>
  <c r="AX117" i="7"/>
  <c r="AX109" i="7"/>
  <c r="AX101" i="7"/>
  <c r="AX133" i="7"/>
  <c r="AX112" i="7"/>
  <c r="AX104" i="7"/>
  <c r="AX148" i="7"/>
  <c r="AX139" i="7"/>
  <c r="AX137" i="7"/>
  <c r="AX138" i="7"/>
  <c r="AX131" i="7"/>
  <c r="AX111" i="7"/>
  <c r="AX103" i="7"/>
  <c r="AX106" i="7"/>
  <c r="AX97" i="7"/>
  <c r="AX89" i="7"/>
  <c r="AX126" i="7"/>
  <c r="AX113" i="7"/>
  <c r="AX102" i="7"/>
  <c r="AX92" i="7"/>
  <c r="AX142" i="7"/>
  <c r="AX123" i="7"/>
  <c r="AX120" i="7"/>
  <c r="AX116" i="7"/>
  <c r="AX136" i="7"/>
  <c r="AX124" i="7"/>
  <c r="AX128" i="7"/>
  <c r="AX99" i="7"/>
  <c r="AX91" i="7"/>
  <c r="AX105" i="7"/>
  <c r="AX94" i="7"/>
  <c r="AX90" i="7"/>
  <c r="AX81" i="7"/>
  <c r="AX73" i="7"/>
  <c r="AX65" i="7"/>
  <c r="AX86" i="7"/>
  <c r="AX84" i="7"/>
  <c r="AX76" i="7"/>
  <c r="AX68" i="7"/>
  <c r="AX107" i="7"/>
  <c r="AX132" i="7"/>
  <c r="AX108" i="7"/>
  <c r="AX110" i="7"/>
  <c r="AX83" i="7"/>
  <c r="AX75" i="7"/>
  <c r="AX67" i="7"/>
  <c r="AX85" i="7"/>
  <c r="AX70" i="7"/>
  <c r="AX66" i="7"/>
  <c r="AX77" i="7"/>
  <c r="AX114" i="7"/>
  <c r="AX115" i="7"/>
  <c r="AX100" i="7"/>
  <c r="AX79" i="7"/>
  <c r="AX72" i="7"/>
  <c r="AX98" i="7"/>
  <c r="AX95" i="7"/>
  <c r="AX82" i="7"/>
  <c r="AX71" i="7"/>
  <c r="AX61" i="7"/>
  <c r="AX53" i="7"/>
  <c r="AX45" i="7"/>
  <c r="AX37" i="7"/>
  <c r="AX29" i="7"/>
  <c r="AX93" i="7"/>
  <c r="AX64" i="7"/>
  <c r="AX56" i="7"/>
  <c r="AX48" i="7"/>
  <c r="AX40" i="7"/>
  <c r="AX32" i="7"/>
  <c r="AX63" i="7"/>
  <c r="AX87" i="7"/>
  <c r="AX80" i="7"/>
  <c r="AX74" i="7"/>
  <c r="AX69" i="7"/>
  <c r="AX55" i="7"/>
  <c r="AX47" i="7"/>
  <c r="AX39" i="7"/>
  <c r="AX78" i="7"/>
  <c r="AX60" i="7"/>
  <c r="AX41" i="7"/>
  <c r="AX34" i="7"/>
  <c r="AX59" i="7"/>
  <c r="AX52" i="7"/>
  <c r="AX96" i="7"/>
  <c r="AX50" i="7"/>
  <c r="AX46" i="7"/>
  <c r="AX51" i="7"/>
  <c r="AX49" i="7"/>
  <c r="AX38" i="7"/>
  <c r="AX20" i="7"/>
  <c r="AX12" i="7"/>
  <c r="AX4" i="7"/>
  <c r="AX31" i="7"/>
  <c r="AX23" i="7"/>
  <c r="AX15" i="7"/>
  <c r="AX7" i="7"/>
  <c r="AX88" i="7"/>
  <c r="AX54" i="7"/>
  <c r="AX43" i="7"/>
  <c r="AX42" i="7"/>
  <c r="AX44" i="7"/>
  <c r="AX57" i="7"/>
  <c r="AX62" i="7"/>
  <c r="AX58" i="7"/>
  <c r="AX35" i="7"/>
  <c r="AX30" i="7"/>
  <c r="AX26" i="7"/>
  <c r="AX24" i="7"/>
  <c r="AX22" i="7"/>
  <c r="AX14" i="7"/>
  <c r="AX6" i="7"/>
  <c r="AX36" i="7"/>
  <c r="AX8" i="7"/>
  <c r="AX28" i="7"/>
  <c r="AX19" i="7"/>
  <c r="AX18" i="7"/>
  <c r="AX11" i="7"/>
  <c r="AX10" i="7"/>
  <c r="AX21" i="7"/>
  <c r="AX17" i="7"/>
  <c r="AX13" i="7"/>
  <c r="AX33" i="7"/>
  <c r="AX25" i="7"/>
  <c r="AX9" i="7"/>
  <c r="AX5" i="7"/>
  <c r="BV52" i="9"/>
  <c r="BV52" i="8"/>
  <c r="BV1" i="9"/>
  <c r="BV141" i="7"/>
  <c r="BV144" i="7"/>
  <c r="BV143" i="7"/>
  <c r="BV148" i="7"/>
  <c r="BV138" i="7"/>
  <c r="BV136" i="7"/>
  <c r="BV135" i="7"/>
  <c r="BV127" i="7"/>
  <c r="BV119" i="7"/>
  <c r="BV130" i="7"/>
  <c r="BV122" i="7"/>
  <c r="BV129" i="7"/>
  <c r="BV117" i="7"/>
  <c r="BV109" i="7"/>
  <c r="BV101" i="7"/>
  <c r="BV137" i="7"/>
  <c r="BV134" i="7"/>
  <c r="BV126" i="7"/>
  <c r="BV112" i="7"/>
  <c r="BV104" i="7"/>
  <c r="BV139" i="7"/>
  <c r="BV140" i="7"/>
  <c r="BV1" i="8"/>
  <c r="BV142" i="7"/>
  <c r="BV125" i="7"/>
  <c r="BV121" i="7"/>
  <c r="BV111" i="7"/>
  <c r="BV103" i="7"/>
  <c r="BV114" i="7"/>
  <c r="BV110" i="7"/>
  <c r="BV97" i="7"/>
  <c r="BV89" i="7"/>
  <c r="BV106" i="7"/>
  <c r="BV92" i="7"/>
  <c r="BV124" i="7"/>
  <c r="BV128" i="7"/>
  <c r="BV118" i="7"/>
  <c r="BV116" i="7"/>
  <c r="BV133" i="7"/>
  <c r="BV131" i="7"/>
  <c r="BV132" i="7"/>
  <c r="BV123" i="7"/>
  <c r="BV107" i="7"/>
  <c r="BV99" i="7"/>
  <c r="BV91" i="7"/>
  <c r="BV98" i="7"/>
  <c r="BV87" i="7"/>
  <c r="BV81" i="7"/>
  <c r="BV73" i="7"/>
  <c r="BV65" i="7"/>
  <c r="BV100" i="7"/>
  <c r="BV94" i="7"/>
  <c r="BV90" i="7"/>
  <c r="BV84" i="7"/>
  <c r="BV76" i="7"/>
  <c r="BV68" i="7"/>
  <c r="BV108" i="7"/>
  <c r="BV113" i="7"/>
  <c r="BV115" i="7"/>
  <c r="BV102" i="7"/>
  <c r="BV95" i="7"/>
  <c r="BV83" i="7"/>
  <c r="BV75" i="7"/>
  <c r="BV67" i="7"/>
  <c r="BV78" i="7"/>
  <c r="BV74" i="7"/>
  <c r="BV70" i="7"/>
  <c r="BV66" i="7"/>
  <c r="BV105" i="7"/>
  <c r="BV80" i="7"/>
  <c r="BV72" i="7"/>
  <c r="BV120" i="7"/>
  <c r="BV85" i="7"/>
  <c r="BV61" i="7"/>
  <c r="BV53" i="7"/>
  <c r="BV45" i="7"/>
  <c r="BV37" i="7"/>
  <c r="BV29" i="7"/>
  <c r="BV56" i="7"/>
  <c r="BV48" i="7"/>
  <c r="BV40" i="7"/>
  <c r="BV32" i="7"/>
  <c r="BV88" i="7"/>
  <c r="BV79" i="7"/>
  <c r="BV71" i="7"/>
  <c r="BV86" i="7"/>
  <c r="BV82" i="7"/>
  <c r="BV96" i="7"/>
  <c r="BV77" i="7"/>
  <c r="BV69" i="7"/>
  <c r="BV93" i="7"/>
  <c r="BV55" i="7"/>
  <c r="BV47" i="7"/>
  <c r="BV39" i="7"/>
  <c r="BV63" i="7"/>
  <c r="BV49" i="7"/>
  <c r="BV34" i="7"/>
  <c r="BV64" i="7"/>
  <c r="BV60" i="7"/>
  <c r="BV41" i="7"/>
  <c r="BV58" i="7"/>
  <c r="BV54" i="7"/>
  <c r="BV35" i="7"/>
  <c r="BV52" i="7"/>
  <c r="BV28" i="7"/>
  <c r="BV25" i="7"/>
  <c r="BV20" i="7"/>
  <c r="BV12" i="7"/>
  <c r="BV4" i="7"/>
  <c r="BV24" i="7"/>
  <c r="BV23" i="7"/>
  <c r="BV15" i="7"/>
  <c r="BV7" i="7"/>
  <c r="BV43" i="7"/>
  <c r="BV42" i="7"/>
  <c r="BV44" i="7"/>
  <c r="BV59" i="7"/>
  <c r="BV57" i="7"/>
  <c r="BV46" i="7"/>
  <c r="BV36" i="7"/>
  <c r="BV22" i="7"/>
  <c r="BV14" i="7"/>
  <c r="BV6" i="7"/>
  <c r="BV62" i="7"/>
  <c r="BV16" i="7"/>
  <c r="BV8" i="7"/>
  <c r="BV33" i="7"/>
  <c r="BV26" i="7"/>
  <c r="BV19" i="7"/>
  <c r="BV38" i="7"/>
  <c r="BV30" i="7"/>
  <c r="BV18" i="7"/>
  <c r="BV11" i="7"/>
  <c r="BV50" i="7"/>
  <c r="BV27" i="7"/>
  <c r="BV10" i="7"/>
  <c r="BV21" i="7"/>
  <c r="BV51" i="7"/>
  <c r="BV31" i="7"/>
  <c r="BV17" i="7"/>
  <c r="BV13" i="7"/>
  <c r="DB52" i="9"/>
  <c r="DB1" i="9"/>
  <c r="DB52" i="8"/>
  <c r="DB141" i="7"/>
  <c r="DB144" i="7"/>
  <c r="DB143" i="7"/>
  <c r="DB138" i="7"/>
  <c r="DB135" i="7"/>
  <c r="DB127" i="7"/>
  <c r="DB119" i="7"/>
  <c r="DB142" i="7"/>
  <c r="DB130" i="7"/>
  <c r="DB122" i="7"/>
  <c r="DB140" i="7"/>
  <c r="DB129" i="7"/>
  <c r="DB136" i="7"/>
  <c r="DB117" i="7"/>
  <c r="DB109" i="7"/>
  <c r="DB101" i="7"/>
  <c r="DB132" i="7"/>
  <c r="DB128" i="7"/>
  <c r="DB126" i="7"/>
  <c r="DB112" i="7"/>
  <c r="DB104" i="7"/>
  <c r="DB137" i="7"/>
  <c r="DB1" i="8"/>
  <c r="DB148" i="7"/>
  <c r="DB133" i="7"/>
  <c r="DB125" i="7"/>
  <c r="DB121" i="7"/>
  <c r="DB111" i="7"/>
  <c r="DB103" i="7"/>
  <c r="DB131" i="7"/>
  <c r="DB120" i="7"/>
  <c r="DB116" i="7"/>
  <c r="DB97" i="7"/>
  <c r="DB89" i="7"/>
  <c r="DB139" i="7"/>
  <c r="DB115" i="7"/>
  <c r="DB108" i="7"/>
  <c r="DB92" i="7"/>
  <c r="DB134" i="7"/>
  <c r="DB118" i="7"/>
  <c r="DB124" i="7"/>
  <c r="DB113" i="7"/>
  <c r="DB99" i="7"/>
  <c r="DB91" i="7"/>
  <c r="DB87" i="7"/>
  <c r="DB81" i="7"/>
  <c r="DB73" i="7"/>
  <c r="DB65" i="7"/>
  <c r="DB114" i="7"/>
  <c r="DB96" i="7"/>
  <c r="DB84" i="7"/>
  <c r="DB76" i="7"/>
  <c r="DB68" i="7"/>
  <c r="DB123" i="7"/>
  <c r="DB107" i="7"/>
  <c r="DB105" i="7"/>
  <c r="DB106" i="7"/>
  <c r="DB110" i="7"/>
  <c r="DB83" i="7"/>
  <c r="DB75" i="7"/>
  <c r="DB67" i="7"/>
  <c r="DB86" i="7"/>
  <c r="DB80" i="7"/>
  <c r="DB98" i="7"/>
  <c r="DB85" i="7"/>
  <c r="DB79" i="7"/>
  <c r="DB72" i="7"/>
  <c r="DB102" i="7"/>
  <c r="DB90" i="7"/>
  <c r="DB88" i="7"/>
  <c r="DB78" i="7"/>
  <c r="DB74" i="7"/>
  <c r="DB100" i="7"/>
  <c r="DB66" i="7"/>
  <c r="DB94" i="7"/>
  <c r="DB95" i="7"/>
  <c r="DB82" i="7"/>
  <c r="DB70" i="7"/>
  <c r="DB61" i="7"/>
  <c r="DB53" i="7"/>
  <c r="DB45" i="7"/>
  <c r="DB37" i="7"/>
  <c r="DB29" i="7"/>
  <c r="DB63" i="7"/>
  <c r="DB56" i="7"/>
  <c r="DB48" i="7"/>
  <c r="DB40" i="7"/>
  <c r="DB32" i="7"/>
  <c r="DB93" i="7"/>
  <c r="DB69" i="7"/>
  <c r="DB71" i="7"/>
  <c r="DB55" i="7"/>
  <c r="DB47" i="7"/>
  <c r="DB39" i="7"/>
  <c r="DB62" i="7"/>
  <c r="DB43" i="7"/>
  <c r="DB36" i="7"/>
  <c r="DB58" i="7"/>
  <c r="DB54" i="7"/>
  <c r="DB35" i="7"/>
  <c r="DB60" i="7"/>
  <c r="DB41" i="7"/>
  <c r="DB64" i="7"/>
  <c r="DB59" i="7"/>
  <c r="DB34" i="7"/>
  <c r="DB28" i="7"/>
  <c r="DB20" i="7"/>
  <c r="DB12" i="7"/>
  <c r="DB4" i="7"/>
  <c r="DB23" i="7"/>
  <c r="DB15" i="7"/>
  <c r="DB7" i="7"/>
  <c r="DB50" i="7"/>
  <c r="DB49" i="7"/>
  <c r="DB38" i="7"/>
  <c r="DB77" i="7"/>
  <c r="DB51" i="7"/>
  <c r="DB52" i="7"/>
  <c r="DB42" i="7"/>
  <c r="DB22" i="7"/>
  <c r="DB14" i="7"/>
  <c r="DB6" i="7"/>
  <c r="DB10" i="7"/>
  <c r="DB3" i="7"/>
  <c r="DB57" i="7"/>
  <c r="DB21" i="7"/>
  <c r="DB2" i="7"/>
  <c r="DB46" i="7"/>
  <c r="DB17" i="7"/>
  <c r="DB13" i="7"/>
  <c r="DB33" i="7"/>
  <c r="DB26" i="7"/>
  <c r="DB24" i="7"/>
  <c r="DB9" i="7"/>
  <c r="DB5" i="7"/>
  <c r="DB30" i="7"/>
  <c r="DB16" i="7"/>
  <c r="DB27" i="7"/>
  <c r="DB44" i="7"/>
  <c r="DB19" i="7"/>
  <c r="DZ52" i="9"/>
  <c r="DZ1" i="9"/>
  <c r="DZ52" i="8"/>
  <c r="DZ141" i="7"/>
  <c r="DZ144" i="7"/>
  <c r="DZ136" i="7"/>
  <c r="DZ143" i="7"/>
  <c r="DZ139" i="7"/>
  <c r="DZ135" i="7"/>
  <c r="DZ127" i="7"/>
  <c r="DZ119" i="7"/>
  <c r="DZ130" i="7"/>
  <c r="DZ122" i="7"/>
  <c r="DZ138" i="7"/>
  <c r="DZ129" i="7"/>
  <c r="DZ123" i="7"/>
  <c r="DZ109" i="7"/>
  <c r="DZ101" i="7"/>
  <c r="DZ120" i="7"/>
  <c r="DZ112" i="7"/>
  <c r="DZ104" i="7"/>
  <c r="DZ148" i="7"/>
  <c r="DZ1" i="8"/>
  <c r="DZ137" i="7"/>
  <c r="DZ134" i="7"/>
  <c r="DZ111" i="7"/>
  <c r="DZ103" i="7"/>
  <c r="DZ121" i="7"/>
  <c r="DZ117" i="7"/>
  <c r="DZ105" i="7"/>
  <c r="DZ97" i="7"/>
  <c r="DZ89" i="7"/>
  <c r="DZ125" i="7"/>
  <c r="DZ116" i="7"/>
  <c r="DZ100" i="7"/>
  <c r="DZ92" i="7"/>
  <c r="DZ140" i="7"/>
  <c r="DZ133" i="7"/>
  <c r="DZ128" i="7"/>
  <c r="DZ126" i="7"/>
  <c r="DZ118" i="7"/>
  <c r="DZ142" i="7"/>
  <c r="DZ106" i="7"/>
  <c r="DZ99" i="7"/>
  <c r="DZ91" i="7"/>
  <c r="DZ114" i="7"/>
  <c r="DZ93" i="7"/>
  <c r="DZ81" i="7"/>
  <c r="DZ73" i="7"/>
  <c r="DZ65" i="7"/>
  <c r="DZ124" i="7"/>
  <c r="DZ88" i="7"/>
  <c r="DZ84" i="7"/>
  <c r="DZ76" i="7"/>
  <c r="DZ68" i="7"/>
  <c r="DZ107" i="7"/>
  <c r="DZ108" i="7"/>
  <c r="DZ131" i="7"/>
  <c r="DZ94" i="7"/>
  <c r="DZ90" i="7"/>
  <c r="DZ87" i="7"/>
  <c r="DZ85" i="7"/>
  <c r="DZ83" i="7"/>
  <c r="DZ75" i="7"/>
  <c r="DZ67" i="7"/>
  <c r="DZ115" i="7"/>
  <c r="DZ98" i="7"/>
  <c r="DZ69" i="7"/>
  <c r="DZ110" i="7"/>
  <c r="DZ80" i="7"/>
  <c r="DZ113" i="7"/>
  <c r="DZ82" i="7"/>
  <c r="DZ132" i="7"/>
  <c r="DZ86" i="7"/>
  <c r="DZ74" i="7"/>
  <c r="DZ70" i="7"/>
  <c r="DZ66" i="7"/>
  <c r="DZ61" i="7"/>
  <c r="DZ53" i="7"/>
  <c r="DZ45" i="7"/>
  <c r="DZ37" i="7"/>
  <c r="DZ29" i="7"/>
  <c r="DZ77" i="7"/>
  <c r="DZ56" i="7"/>
  <c r="DZ48" i="7"/>
  <c r="DZ40" i="7"/>
  <c r="DZ32" i="7"/>
  <c r="DZ102" i="7"/>
  <c r="DZ78" i="7"/>
  <c r="DZ96" i="7"/>
  <c r="DZ63" i="7"/>
  <c r="DZ79" i="7"/>
  <c r="DZ64" i="7"/>
  <c r="DZ95" i="7"/>
  <c r="DZ72" i="7"/>
  <c r="DZ71" i="7"/>
  <c r="DZ55" i="7"/>
  <c r="DZ47" i="7"/>
  <c r="DZ39" i="7"/>
  <c r="DZ51" i="7"/>
  <c r="DZ44" i="7"/>
  <c r="DZ62" i="7"/>
  <c r="DZ43" i="7"/>
  <c r="DZ36" i="7"/>
  <c r="DZ33" i="7"/>
  <c r="DZ49" i="7"/>
  <c r="DZ34" i="7"/>
  <c r="DZ60" i="7"/>
  <c r="DZ24" i="7"/>
  <c r="DZ20" i="7"/>
  <c r="DZ12" i="7"/>
  <c r="DZ4" i="7"/>
  <c r="DZ50" i="7"/>
  <c r="DZ38" i="7"/>
  <c r="DZ23" i="7"/>
  <c r="DZ15" i="7"/>
  <c r="DZ7" i="7"/>
  <c r="DZ54" i="7"/>
  <c r="DZ52" i="7"/>
  <c r="DZ41" i="7"/>
  <c r="DZ42" i="7"/>
  <c r="DZ58" i="7"/>
  <c r="DZ57" i="7"/>
  <c r="DZ46" i="7"/>
  <c r="DZ35" i="7"/>
  <c r="DZ28" i="7"/>
  <c r="DZ22" i="7"/>
  <c r="DZ14" i="7"/>
  <c r="DZ6" i="7"/>
  <c r="DZ59" i="7"/>
  <c r="DZ30" i="7"/>
  <c r="DZ18" i="7"/>
  <c r="DZ11" i="7"/>
  <c r="DZ27" i="7"/>
  <c r="DZ10" i="7"/>
  <c r="DZ3" i="7"/>
  <c r="DZ25" i="7"/>
  <c r="DZ21" i="7"/>
  <c r="DZ17" i="7"/>
  <c r="DZ13" i="7"/>
  <c r="DZ31" i="7"/>
  <c r="DZ9" i="7"/>
  <c r="DZ5" i="7"/>
  <c r="DZ16" i="7"/>
  <c r="DZ8" i="7"/>
  <c r="FN52" i="9"/>
  <c r="FN1" i="9"/>
  <c r="FN52" i="8"/>
  <c r="FN141" i="7"/>
  <c r="FN144" i="7"/>
  <c r="FN136" i="7"/>
  <c r="FN143" i="7"/>
  <c r="FN138" i="7"/>
  <c r="FN135" i="7"/>
  <c r="FN127" i="7"/>
  <c r="FN119" i="7"/>
  <c r="FN142" i="7"/>
  <c r="FN130" i="7"/>
  <c r="FN122" i="7"/>
  <c r="FN140" i="7"/>
  <c r="FN129" i="7"/>
  <c r="FN117" i="7"/>
  <c r="FN109" i="7"/>
  <c r="FN101" i="7"/>
  <c r="FN1" i="8"/>
  <c r="FN132" i="7"/>
  <c r="FN128" i="7"/>
  <c r="FN126" i="7"/>
  <c r="FN112" i="7"/>
  <c r="FN104" i="7"/>
  <c r="FN148" i="7"/>
  <c r="FN137" i="7"/>
  <c r="FN139" i="7"/>
  <c r="FN133" i="7"/>
  <c r="FN125" i="7"/>
  <c r="FN121" i="7"/>
  <c r="FN111" i="7"/>
  <c r="FN103" i="7"/>
  <c r="FN134" i="7"/>
  <c r="FN116" i="7"/>
  <c r="FN97" i="7"/>
  <c r="FN89" i="7"/>
  <c r="FN123" i="7"/>
  <c r="FN115" i="7"/>
  <c r="FN108" i="7"/>
  <c r="FN92" i="7"/>
  <c r="FN120" i="7"/>
  <c r="FN124" i="7"/>
  <c r="FN113" i="7"/>
  <c r="FN99" i="7"/>
  <c r="FN91" i="7"/>
  <c r="FN114" i="7"/>
  <c r="FN87" i="7"/>
  <c r="FN81" i="7"/>
  <c r="FN73" i="7"/>
  <c r="FN65" i="7"/>
  <c r="FN102" i="7"/>
  <c r="FN96" i="7"/>
  <c r="FN84" i="7"/>
  <c r="FN76" i="7"/>
  <c r="FN68" i="7"/>
  <c r="FN107" i="7"/>
  <c r="FN105" i="7"/>
  <c r="FN131" i="7"/>
  <c r="FN106" i="7"/>
  <c r="FN118" i="7"/>
  <c r="FN83" i="7"/>
  <c r="FN75" i="7"/>
  <c r="FN67" i="7"/>
  <c r="FN100" i="7"/>
  <c r="FN98" i="7"/>
  <c r="FN80" i="7"/>
  <c r="FN79" i="7"/>
  <c r="FN72" i="7"/>
  <c r="FN78" i="7"/>
  <c r="FN74" i="7"/>
  <c r="FN110" i="7"/>
  <c r="FN94" i="7"/>
  <c r="FN82" i="7"/>
  <c r="FN95" i="7"/>
  <c r="FN85" i="7"/>
  <c r="FN93" i="7"/>
  <c r="FN71" i="7"/>
  <c r="FN64" i="7"/>
  <c r="FN61" i="7"/>
  <c r="FN53" i="7"/>
  <c r="FN45" i="7"/>
  <c r="FN37" i="7"/>
  <c r="FN29" i="7"/>
  <c r="FN63" i="7"/>
  <c r="FN56" i="7"/>
  <c r="FN48" i="7"/>
  <c r="FN40" i="7"/>
  <c r="FN32" i="7"/>
  <c r="FN88" i="7"/>
  <c r="FN86" i="7"/>
  <c r="FN70" i="7"/>
  <c r="FN90" i="7"/>
  <c r="FN69" i="7"/>
  <c r="FN55" i="7"/>
  <c r="FN47" i="7"/>
  <c r="FN39" i="7"/>
  <c r="FN62" i="7"/>
  <c r="FN43" i="7"/>
  <c r="FN36" i="7"/>
  <c r="FN58" i="7"/>
  <c r="FN54" i="7"/>
  <c r="FN35" i="7"/>
  <c r="FN77" i="7"/>
  <c r="FN60" i="7"/>
  <c r="FN41" i="7"/>
  <c r="FN28" i="7"/>
  <c r="FN20" i="7"/>
  <c r="FN12" i="7"/>
  <c r="FN4" i="7"/>
  <c r="FN50" i="7"/>
  <c r="FN49" i="7"/>
  <c r="FN38" i="7"/>
  <c r="FN33" i="7"/>
  <c r="FN23" i="7"/>
  <c r="FN15" i="7"/>
  <c r="FN7" i="7"/>
  <c r="FN51" i="7"/>
  <c r="FN52" i="7"/>
  <c r="FN42" i="7"/>
  <c r="FN57" i="7"/>
  <c r="FN46" i="7"/>
  <c r="FN44" i="7"/>
  <c r="FN22" i="7"/>
  <c r="FN14" i="7"/>
  <c r="FN6" i="7"/>
  <c r="FN66" i="7"/>
  <c r="FN59" i="7"/>
  <c r="FN24" i="7"/>
  <c r="FN10" i="7"/>
  <c r="FN3" i="7"/>
  <c r="FN31" i="7"/>
  <c r="FN21" i="7"/>
  <c r="FN2" i="7"/>
  <c r="FN17" i="7"/>
  <c r="FN13" i="7"/>
  <c r="FN9" i="7"/>
  <c r="FN5" i="7"/>
  <c r="FN25" i="7"/>
  <c r="FN16" i="7"/>
  <c r="FN26" i="7"/>
  <c r="FN34" i="7"/>
  <c r="FN30" i="7"/>
  <c r="FN19" i="7"/>
  <c r="HB52" i="9"/>
  <c r="HB1" i="9"/>
  <c r="HB52" i="8"/>
  <c r="HB141" i="7"/>
  <c r="HB1" i="8"/>
  <c r="HB144" i="7"/>
  <c r="HB136" i="7"/>
  <c r="HB143" i="7"/>
  <c r="HB142" i="7"/>
  <c r="HB127" i="7"/>
  <c r="HB119" i="7"/>
  <c r="HB130" i="7"/>
  <c r="HB122" i="7"/>
  <c r="HB139" i="7"/>
  <c r="HB129" i="7"/>
  <c r="HB140" i="7"/>
  <c r="HB132" i="7"/>
  <c r="HB128" i="7"/>
  <c r="HB125" i="7"/>
  <c r="HB121" i="7"/>
  <c r="HB109" i="7"/>
  <c r="HB101" i="7"/>
  <c r="HB137" i="7"/>
  <c r="HB112" i="7"/>
  <c r="HB104" i="7"/>
  <c r="HB148" i="7"/>
  <c r="HB138" i="7"/>
  <c r="HB135" i="7"/>
  <c r="HB134" i="7"/>
  <c r="HB111" i="7"/>
  <c r="HB103" i="7"/>
  <c r="HB120" i="7"/>
  <c r="HB115" i="7"/>
  <c r="HB108" i="7"/>
  <c r="HB97" i="7"/>
  <c r="HB89" i="7"/>
  <c r="HB118" i="7"/>
  <c r="HB107" i="7"/>
  <c r="HB92" i="7"/>
  <c r="HB124" i="7"/>
  <c r="HB133" i="7"/>
  <c r="HB126" i="7"/>
  <c r="HB105" i="7"/>
  <c r="HB91" i="7"/>
  <c r="HB114" i="7"/>
  <c r="HB113" i="7"/>
  <c r="HB102" i="7"/>
  <c r="HB96" i="7"/>
  <c r="HB81" i="7"/>
  <c r="HB73" i="7"/>
  <c r="HB65" i="7"/>
  <c r="HB131" i="7"/>
  <c r="HB95" i="7"/>
  <c r="HB86" i="7"/>
  <c r="HB84" i="7"/>
  <c r="HB76" i="7"/>
  <c r="HB68" i="7"/>
  <c r="HB116" i="7"/>
  <c r="HB106" i="7"/>
  <c r="HB123" i="7"/>
  <c r="HB93" i="7"/>
  <c r="HB85" i="7"/>
  <c r="HB83" i="7"/>
  <c r="HB75" i="7"/>
  <c r="HB67" i="7"/>
  <c r="HB98" i="7"/>
  <c r="HB87" i="7"/>
  <c r="HB79" i="7"/>
  <c r="HB72" i="7"/>
  <c r="HB110" i="7"/>
  <c r="HB71" i="7"/>
  <c r="HB100" i="7"/>
  <c r="HB88" i="7"/>
  <c r="HB70" i="7"/>
  <c r="HB82" i="7"/>
  <c r="HB80" i="7"/>
  <c r="HB99" i="7"/>
  <c r="HB78" i="7"/>
  <c r="HB64" i="7"/>
  <c r="HB61" i="7"/>
  <c r="HB53" i="7"/>
  <c r="HB45" i="7"/>
  <c r="HB37" i="7"/>
  <c r="HB29" i="7"/>
  <c r="HB56" i="7"/>
  <c r="HB48" i="7"/>
  <c r="HB40" i="7"/>
  <c r="HB32" i="7"/>
  <c r="HB117" i="7"/>
  <c r="HB62" i="7"/>
  <c r="HB90" i="7"/>
  <c r="HB77" i="7"/>
  <c r="HB74" i="7"/>
  <c r="HB69" i="7"/>
  <c r="HB63" i="7"/>
  <c r="HB55" i="7"/>
  <c r="HB47" i="7"/>
  <c r="HB39" i="7"/>
  <c r="HB58" i="7"/>
  <c r="HB54" i="7"/>
  <c r="HB35" i="7"/>
  <c r="HB50" i="7"/>
  <c r="HB46" i="7"/>
  <c r="HB94" i="7"/>
  <c r="HB59" i="7"/>
  <c r="HB52" i="7"/>
  <c r="HB20" i="7"/>
  <c r="HB12" i="7"/>
  <c r="HB4" i="7"/>
  <c r="HB49" i="7"/>
  <c r="HB38" i="7"/>
  <c r="HB36" i="7"/>
  <c r="HB31" i="7"/>
  <c r="HB15" i="7"/>
  <c r="HB7" i="7"/>
  <c r="HB51" i="7"/>
  <c r="HB42" i="7"/>
  <c r="HB41" i="7"/>
  <c r="HB43" i="7"/>
  <c r="HB66" i="7"/>
  <c r="HB57" i="7"/>
  <c r="HB44" i="7"/>
  <c r="HB30" i="7"/>
  <c r="HB26" i="7"/>
  <c r="HB22" i="7"/>
  <c r="HB14" i="7"/>
  <c r="HB6" i="7"/>
  <c r="HB60" i="7"/>
  <c r="HB21" i="7"/>
  <c r="HB2" i="7"/>
  <c r="HB33" i="7"/>
  <c r="HB24" i="7"/>
  <c r="HB17" i="7"/>
  <c r="HB13" i="7"/>
  <c r="HB9" i="7"/>
  <c r="HB5" i="7"/>
  <c r="HB16" i="7"/>
  <c r="HB34" i="7"/>
  <c r="HB27" i="7"/>
  <c r="HB8" i="7"/>
  <c r="HB19" i="7"/>
  <c r="HB28" i="7"/>
  <c r="HB23" i="7"/>
  <c r="HB18" i="7"/>
  <c r="HB11" i="7"/>
  <c r="IH52" i="9"/>
  <c r="IH52" i="8"/>
  <c r="IH1" i="9"/>
  <c r="IH141" i="7"/>
  <c r="IH1" i="8"/>
  <c r="IH144" i="7"/>
  <c r="IH136" i="7"/>
  <c r="IH143" i="7"/>
  <c r="IH127" i="7"/>
  <c r="IH119" i="7"/>
  <c r="IH140" i="7"/>
  <c r="IH130" i="7"/>
  <c r="IH122" i="7"/>
  <c r="IH129" i="7"/>
  <c r="IH134" i="7"/>
  <c r="IH125" i="7"/>
  <c r="IH121" i="7"/>
  <c r="IH118" i="7"/>
  <c r="IH109" i="7"/>
  <c r="IH101" i="7"/>
  <c r="IH139" i="7"/>
  <c r="IH133" i="7"/>
  <c r="IH117" i="7"/>
  <c r="IH112" i="7"/>
  <c r="IH104" i="7"/>
  <c r="IH137" i="7"/>
  <c r="IH135" i="7"/>
  <c r="IH142" i="7"/>
  <c r="IH138" i="7"/>
  <c r="IH131" i="7"/>
  <c r="IH111" i="7"/>
  <c r="IH103" i="7"/>
  <c r="IH123" i="7"/>
  <c r="IH106" i="7"/>
  <c r="IH102" i="7"/>
  <c r="IH97" i="7"/>
  <c r="IH89" i="7"/>
  <c r="IH128" i="7"/>
  <c r="IH120" i="7"/>
  <c r="IH113" i="7"/>
  <c r="IH92" i="7"/>
  <c r="IH124" i="7"/>
  <c r="IH116" i="7"/>
  <c r="IH132" i="7"/>
  <c r="IH99" i="7"/>
  <c r="IH91" i="7"/>
  <c r="IH108" i="7"/>
  <c r="IH94" i="7"/>
  <c r="IH90" i="7"/>
  <c r="IH81" i="7"/>
  <c r="IH73" i="7"/>
  <c r="IH65" i="7"/>
  <c r="IH126" i="7"/>
  <c r="IH110" i="7"/>
  <c r="IH86" i="7"/>
  <c r="IH84" i="7"/>
  <c r="IH76" i="7"/>
  <c r="IH68" i="7"/>
  <c r="IH115" i="7"/>
  <c r="IH114" i="7"/>
  <c r="IH85" i="7"/>
  <c r="IH83" i="7"/>
  <c r="IH75" i="7"/>
  <c r="IH67" i="7"/>
  <c r="IH148" i="7"/>
  <c r="IH93" i="7"/>
  <c r="IH70" i="7"/>
  <c r="IH66" i="7"/>
  <c r="IH105" i="7"/>
  <c r="IH87" i="7"/>
  <c r="IH77" i="7"/>
  <c r="IH107" i="7"/>
  <c r="IH98" i="7"/>
  <c r="IH79" i="7"/>
  <c r="IH72" i="7"/>
  <c r="IH100" i="7"/>
  <c r="IH74" i="7"/>
  <c r="IH95" i="7"/>
  <c r="IH88" i="7"/>
  <c r="IH71" i="7"/>
  <c r="IH61" i="7"/>
  <c r="IH53" i="7"/>
  <c r="IH45" i="7"/>
  <c r="IH37" i="7"/>
  <c r="IH29" i="7"/>
  <c r="IH82" i="7"/>
  <c r="IH56" i="7"/>
  <c r="IH48" i="7"/>
  <c r="IH40" i="7"/>
  <c r="IH32" i="7"/>
  <c r="IH96" i="7"/>
  <c r="IH69" i="7"/>
  <c r="IH80" i="7"/>
  <c r="IH62" i="7"/>
  <c r="IH63" i="7"/>
  <c r="IH55" i="7"/>
  <c r="IH47" i="7"/>
  <c r="IH39" i="7"/>
  <c r="IH60" i="7"/>
  <c r="IH41" i="7"/>
  <c r="IH59" i="7"/>
  <c r="IH52" i="7"/>
  <c r="IH78" i="7"/>
  <c r="IH50" i="7"/>
  <c r="IH46" i="7"/>
  <c r="IH54" i="7"/>
  <c r="IH43" i="7"/>
  <c r="IH42" i="7"/>
  <c r="IH23" i="7"/>
  <c r="IH20" i="7"/>
  <c r="IH12" i="7"/>
  <c r="IH4" i="7"/>
  <c r="IH44" i="7"/>
  <c r="IH31" i="7"/>
  <c r="IH15" i="7"/>
  <c r="IH7" i="7"/>
  <c r="IH64" i="7"/>
  <c r="IH57" i="7"/>
  <c r="IH58" i="7"/>
  <c r="IH36" i="7"/>
  <c r="IH51" i="7"/>
  <c r="IH49" i="7"/>
  <c r="IH38" i="7"/>
  <c r="IH30" i="7"/>
  <c r="IH26" i="7"/>
  <c r="IH24" i="7"/>
  <c r="IH22" i="7"/>
  <c r="IH14" i="7"/>
  <c r="IH6" i="7"/>
  <c r="IH25" i="7"/>
  <c r="IH8" i="7"/>
  <c r="IH19" i="7"/>
  <c r="IH18" i="7"/>
  <c r="IH11" i="7"/>
  <c r="IH10" i="7"/>
  <c r="IH34" i="7"/>
  <c r="IH21" i="7"/>
  <c r="IH27" i="7"/>
  <c r="IH17" i="7"/>
  <c r="IH13" i="7"/>
  <c r="IH35" i="7"/>
  <c r="IH33" i="7"/>
  <c r="IH9" i="7"/>
  <c r="IH5" i="7"/>
  <c r="JV52" i="9"/>
  <c r="JV52" i="8"/>
  <c r="JV1" i="9"/>
  <c r="JV141" i="7"/>
  <c r="JV144" i="7"/>
  <c r="JV136" i="7"/>
  <c r="JV143" i="7"/>
  <c r="JV140" i="7"/>
  <c r="JV127" i="7"/>
  <c r="JV119" i="7"/>
  <c r="JV139" i="7"/>
  <c r="JV137" i="7"/>
  <c r="JV130" i="7"/>
  <c r="JV122" i="7"/>
  <c r="JV148" i="7"/>
  <c r="JV129" i="7"/>
  <c r="JV133" i="7"/>
  <c r="JV109" i="7"/>
  <c r="JV101" i="7"/>
  <c r="JV124" i="7"/>
  <c r="JV112" i="7"/>
  <c r="JV104" i="7"/>
  <c r="JV138" i="7"/>
  <c r="JV142" i="7"/>
  <c r="JV135" i="7"/>
  <c r="JV123" i="7"/>
  <c r="JV117" i="7"/>
  <c r="JV111" i="7"/>
  <c r="JV103" i="7"/>
  <c r="JV121" i="7"/>
  <c r="JV113" i="7"/>
  <c r="JV97" i="7"/>
  <c r="JV89" i="7"/>
  <c r="JV128" i="7"/>
  <c r="JV125" i="7"/>
  <c r="JV105" i="7"/>
  <c r="JV92" i="7"/>
  <c r="JV1" i="8"/>
  <c r="JV118" i="7"/>
  <c r="JV116" i="7"/>
  <c r="JV132" i="7"/>
  <c r="JV131" i="7"/>
  <c r="JV126" i="7"/>
  <c r="JV120" i="7"/>
  <c r="JV114" i="7"/>
  <c r="JV110" i="7"/>
  <c r="JV91" i="7"/>
  <c r="JV108" i="7"/>
  <c r="JV100" i="7"/>
  <c r="JV85" i="7"/>
  <c r="JV81" i="7"/>
  <c r="JV73" i="7"/>
  <c r="JV65" i="7"/>
  <c r="JV134" i="7"/>
  <c r="JV93" i="7"/>
  <c r="JV84" i="7"/>
  <c r="JV76" i="7"/>
  <c r="JV68" i="7"/>
  <c r="JV115" i="7"/>
  <c r="JV98" i="7"/>
  <c r="JV83" i="7"/>
  <c r="JV75" i="7"/>
  <c r="JV67" i="7"/>
  <c r="JV77" i="7"/>
  <c r="JV69" i="7"/>
  <c r="JV106" i="7"/>
  <c r="JV71" i="7"/>
  <c r="JV74" i="7"/>
  <c r="JV102" i="7"/>
  <c r="JV96" i="7"/>
  <c r="JV87" i="7"/>
  <c r="JV95" i="7"/>
  <c r="JV63" i="7"/>
  <c r="JV61" i="7"/>
  <c r="JV53" i="7"/>
  <c r="JV45" i="7"/>
  <c r="JV37" i="7"/>
  <c r="JV29" i="7"/>
  <c r="JV90" i="7"/>
  <c r="JV64" i="7"/>
  <c r="JV62" i="7"/>
  <c r="JV56" i="7"/>
  <c r="JV48" i="7"/>
  <c r="JV40" i="7"/>
  <c r="JV32" i="7"/>
  <c r="JV80" i="7"/>
  <c r="JV66" i="7"/>
  <c r="JV94" i="7"/>
  <c r="JV72" i="7"/>
  <c r="JV107" i="7"/>
  <c r="JV88" i="7"/>
  <c r="JV86" i="7"/>
  <c r="JV78" i="7"/>
  <c r="JV70" i="7"/>
  <c r="JV99" i="7"/>
  <c r="JV55" i="7"/>
  <c r="JV47" i="7"/>
  <c r="JV39" i="7"/>
  <c r="JV79" i="7"/>
  <c r="JV59" i="7"/>
  <c r="JV52" i="7"/>
  <c r="JV51" i="7"/>
  <c r="JV44" i="7"/>
  <c r="JV57" i="7"/>
  <c r="JV42" i="7"/>
  <c r="JV38" i="7"/>
  <c r="JV82" i="7"/>
  <c r="JV54" i="7"/>
  <c r="JV43" i="7"/>
  <c r="JV41" i="7"/>
  <c r="JV30" i="7"/>
  <c r="JV26" i="7"/>
  <c r="JV20" i="7"/>
  <c r="JV12" i="7"/>
  <c r="JV4" i="7"/>
  <c r="JV60" i="7"/>
  <c r="JV27" i="7"/>
  <c r="JV15" i="7"/>
  <c r="JV7" i="7"/>
  <c r="JV58" i="7"/>
  <c r="JV46" i="7"/>
  <c r="JV36" i="7"/>
  <c r="JV49" i="7"/>
  <c r="JV50" i="7"/>
  <c r="JV22" i="7"/>
  <c r="JV14" i="7"/>
  <c r="JV6" i="7"/>
  <c r="JV33" i="7"/>
  <c r="JV19" i="7"/>
  <c r="JV18" i="7"/>
  <c r="JV11" i="7"/>
  <c r="JV34" i="7"/>
  <c r="JV24" i="7"/>
  <c r="JV10" i="7"/>
  <c r="JV3" i="7"/>
  <c r="JV21" i="7"/>
  <c r="JV35" i="7"/>
  <c r="JV31" i="7"/>
  <c r="JV17" i="7"/>
  <c r="JV13" i="7"/>
  <c r="JV28" i="7"/>
  <c r="JV9" i="7"/>
  <c r="JV25" i="7"/>
  <c r="JV16" i="7"/>
  <c r="K52" i="9"/>
  <c r="K1" i="9"/>
  <c r="K52" i="8"/>
  <c r="K144" i="7"/>
  <c r="K136" i="7"/>
  <c r="K139" i="7"/>
  <c r="K1" i="8"/>
  <c r="K130" i="7"/>
  <c r="K122" i="7"/>
  <c r="K140" i="7"/>
  <c r="K133" i="7"/>
  <c r="K125" i="7"/>
  <c r="K132" i="7"/>
  <c r="K134" i="7"/>
  <c r="K126" i="7"/>
  <c r="K112" i="7"/>
  <c r="K104" i="7"/>
  <c r="K148" i="7"/>
  <c r="K138" i="7"/>
  <c r="K123" i="7"/>
  <c r="K119" i="7"/>
  <c r="K115" i="7"/>
  <c r="K107" i="7"/>
  <c r="K142" i="7"/>
  <c r="K141" i="7"/>
  <c r="K137" i="7"/>
  <c r="K135" i="7"/>
  <c r="K131" i="7"/>
  <c r="K114" i="7"/>
  <c r="K106" i="7"/>
  <c r="K128" i="7"/>
  <c r="K121" i="7"/>
  <c r="K92" i="7"/>
  <c r="K117" i="7"/>
  <c r="K113" i="7"/>
  <c r="K95" i="7"/>
  <c r="K87" i="7"/>
  <c r="K129" i="7"/>
  <c r="K120" i="7"/>
  <c r="K143" i="7"/>
  <c r="K127" i="7"/>
  <c r="K111" i="7"/>
  <c r="K102" i="7"/>
  <c r="K94" i="7"/>
  <c r="K124" i="7"/>
  <c r="K90" i="7"/>
  <c r="K84" i="7"/>
  <c r="K76" i="7"/>
  <c r="K68" i="7"/>
  <c r="K79" i="7"/>
  <c r="K71" i="7"/>
  <c r="K109" i="7"/>
  <c r="K108" i="7"/>
  <c r="K118" i="7"/>
  <c r="K110" i="7"/>
  <c r="K100" i="7"/>
  <c r="K99" i="7"/>
  <c r="K86" i="7"/>
  <c r="K78" i="7"/>
  <c r="K70" i="7"/>
  <c r="K116" i="7"/>
  <c r="K105" i="7"/>
  <c r="K88" i="7"/>
  <c r="K85" i="7"/>
  <c r="K66" i="7"/>
  <c r="K81" i="7"/>
  <c r="K77" i="7"/>
  <c r="K103" i="7"/>
  <c r="K89" i="7"/>
  <c r="K72" i="7"/>
  <c r="K91" i="7"/>
  <c r="K83" i="7"/>
  <c r="K67" i="7"/>
  <c r="K98" i="7"/>
  <c r="K73" i="7"/>
  <c r="K74" i="7"/>
  <c r="K75" i="7"/>
  <c r="K56" i="7"/>
  <c r="K48" i="7"/>
  <c r="K40" i="7"/>
  <c r="K32" i="7"/>
  <c r="K24" i="7"/>
  <c r="K65" i="7"/>
  <c r="K59" i="7"/>
  <c r="K51" i="7"/>
  <c r="K43" i="7"/>
  <c r="K35" i="7"/>
  <c r="K27" i="7"/>
  <c r="K101" i="7"/>
  <c r="K97" i="7"/>
  <c r="K82" i="7"/>
  <c r="K69" i="7"/>
  <c r="K63" i="7"/>
  <c r="K96" i="7"/>
  <c r="K80" i="7"/>
  <c r="K64" i="7"/>
  <c r="K58" i="7"/>
  <c r="K50" i="7"/>
  <c r="K42" i="7"/>
  <c r="K60" i="7"/>
  <c r="K45" i="7"/>
  <c r="K41" i="7"/>
  <c r="K52" i="7"/>
  <c r="K37" i="7"/>
  <c r="K93" i="7"/>
  <c r="K46" i="7"/>
  <c r="K39" i="7"/>
  <c r="K23" i="7"/>
  <c r="K15" i="7"/>
  <c r="K7" i="7"/>
  <c r="K18" i="7"/>
  <c r="K10" i="7"/>
  <c r="K2" i="7"/>
  <c r="K62" i="7"/>
  <c r="K54" i="7"/>
  <c r="K53" i="7"/>
  <c r="K55" i="7"/>
  <c r="K44" i="7"/>
  <c r="K61" i="7"/>
  <c r="K57" i="7"/>
  <c r="K47" i="7"/>
  <c r="K36" i="7"/>
  <c r="K31" i="7"/>
  <c r="K17" i="7"/>
  <c r="K9" i="7"/>
  <c r="K30" i="7"/>
  <c r="K12" i="7"/>
  <c r="K8" i="7"/>
  <c r="K19" i="7"/>
  <c r="K4" i="7"/>
  <c r="K11" i="7"/>
  <c r="K34" i="7"/>
  <c r="K25" i="7"/>
  <c r="K22" i="7"/>
  <c r="K28" i="7"/>
  <c r="K21" i="7"/>
  <c r="K14" i="7"/>
  <c r="K49" i="7"/>
  <c r="K13" i="7"/>
  <c r="K38" i="7"/>
  <c r="K29" i="7"/>
  <c r="K5" i="7"/>
  <c r="AA52" i="9"/>
  <c r="AA1" i="9"/>
  <c r="AA52" i="8"/>
  <c r="AA144" i="7"/>
  <c r="AA136" i="7"/>
  <c r="AA139" i="7"/>
  <c r="AA137" i="7"/>
  <c r="AA130" i="7"/>
  <c r="AA122" i="7"/>
  <c r="AA1" i="8"/>
  <c r="AA143" i="7"/>
  <c r="AA133" i="7"/>
  <c r="AA125" i="7"/>
  <c r="AA132" i="7"/>
  <c r="AA141" i="7"/>
  <c r="AA128" i="7"/>
  <c r="AA124" i="7"/>
  <c r="AA112" i="7"/>
  <c r="AA104" i="7"/>
  <c r="AA138" i="7"/>
  <c r="AA129" i="7"/>
  <c r="AA121" i="7"/>
  <c r="AA115" i="7"/>
  <c r="AA107" i="7"/>
  <c r="AA148" i="7"/>
  <c r="AA135" i="7"/>
  <c r="AA134" i="7"/>
  <c r="AA120" i="7"/>
  <c r="AA114" i="7"/>
  <c r="AA106" i="7"/>
  <c r="AA109" i="7"/>
  <c r="AA105" i="7"/>
  <c r="AA92" i="7"/>
  <c r="AA119" i="7"/>
  <c r="AA116" i="7"/>
  <c r="AA101" i="7"/>
  <c r="AA95" i="7"/>
  <c r="AA87" i="7"/>
  <c r="AA142" i="7"/>
  <c r="AA126" i="7"/>
  <c r="AA123" i="7"/>
  <c r="AA100" i="7"/>
  <c r="AA94" i="7"/>
  <c r="AA97" i="7"/>
  <c r="AA93" i="7"/>
  <c r="AA84" i="7"/>
  <c r="AA76" i="7"/>
  <c r="AA68" i="7"/>
  <c r="AA140" i="7"/>
  <c r="AA118" i="7"/>
  <c r="AA103" i="7"/>
  <c r="AA89" i="7"/>
  <c r="AA79" i="7"/>
  <c r="AA71" i="7"/>
  <c r="AA131" i="7"/>
  <c r="AA117" i="7"/>
  <c r="AA108" i="7"/>
  <c r="AA127" i="7"/>
  <c r="AA111" i="7"/>
  <c r="AA90" i="7"/>
  <c r="AA88" i="7"/>
  <c r="AA78" i="7"/>
  <c r="AA70" i="7"/>
  <c r="AA98" i="7"/>
  <c r="AA73" i="7"/>
  <c r="AA69" i="7"/>
  <c r="AA113" i="7"/>
  <c r="AA99" i="7"/>
  <c r="AA80" i="7"/>
  <c r="AA110" i="7"/>
  <c r="AA91" i="7"/>
  <c r="AA86" i="7"/>
  <c r="AA82" i="7"/>
  <c r="AA75" i="7"/>
  <c r="AA96" i="7"/>
  <c r="AA67" i="7"/>
  <c r="AA81" i="7"/>
  <c r="AA83" i="7"/>
  <c r="AA72" i="7"/>
  <c r="AA65" i="7"/>
  <c r="AA56" i="7"/>
  <c r="AA48" i="7"/>
  <c r="AA40" i="7"/>
  <c r="AA32" i="7"/>
  <c r="AA24" i="7"/>
  <c r="AA74" i="7"/>
  <c r="AA59" i="7"/>
  <c r="AA51" i="7"/>
  <c r="AA43" i="7"/>
  <c r="AA35" i="7"/>
  <c r="AA27" i="7"/>
  <c r="AA77" i="7"/>
  <c r="AA66" i="7"/>
  <c r="AA64" i="7"/>
  <c r="AA85" i="7"/>
  <c r="AA63" i="7"/>
  <c r="AA58" i="7"/>
  <c r="AA50" i="7"/>
  <c r="AA42" i="7"/>
  <c r="AA44" i="7"/>
  <c r="AA62" i="7"/>
  <c r="AA55" i="7"/>
  <c r="AA36" i="7"/>
  <c r="AA34" i="7"/>
  <c r="AA53" i="7"/>
  <c r="AA49" i="7"/>
  <c r="AA60" i="7"/>
  <c r="AA23" i="7"/>
  <c r="AA15" i="7"/>
  <c r="AA7" i="7"/>
  <c r="AA38" i="7"/>
  <c r="AA37" i="7"/>
  <c r="AA25" i="7"/>
  <c r="AA18" i="7"/>
  <c r="AA10" i="7"/>
  <c r="AA2" i="7"/>
  <c r="AA102" i="7"/>
  <c r="AA39" i="7"/>
  <c r="AA54" i="7"/>
  <c r="AA52" i="7"/>
  <c r="AA41" i="7"/>
  <c r="AA57" i="7"/>
  <c r="AA46" i="7"/>
  <c r="AA45" i="7"/>
  <c r="AA33" i="7"/>
  <c r="AA29" i="7"/>
  <c r="AA17" i="7"/>
  <c r="AA9" i="7"/>
  <c r="AA61" i="7"/>
  <c r="AA47" i="7"/>
  <c r="AA26" i="7"/>
  <c r="AA11" i="7"/>
  <c r="AA30" i="7"/>
  <c r="AA22" i="7"/>
  <c r="AA3" i="7"/>
  <c r="AA21" i="7"/>
  <c r="AA14" i="7"/>
  <c r="AA31" i="7"/>
  <c r="AA13" i="7"/>
  <c r="AA6" i="7"/>
  <c r="AA28" i="7"/>
  <c r="AA5" i="7"/>
  <c r="AA20" i="7"/>
  <c r="AA16" i="7"/>
  <c r="AA12" i="7"/>
  <c r="AA8" i="7"/>
  <c r="AY52" i="9"/>
  <c r="AY1" i="9"/>
  <c r="AY52" i="8"/>
  <c r="AY1" i="8"/>
  <c r="AY144" i="7"/>
  <c r="AY136" i="7"/>
  <c r="AY139" i="7"/>
  <c r="AY140" i="7"/>
  <c r="AY130" i="7"/>
  <c r="AY122" i="7"/>
  <c r="AY138" i="7"/>
  <c r="AY133" i="7"/>
  <c r="AY125" i="7"/>
  <c r="AY148" i="7"/>
  <c r="AY141" i="7"/>
  <c r="AY137" i="7"/>
  <c r="AY132" i="7"/>
  <c r="AY112" i="7"/>
  <c r="AY104" i="7"/>
  <c r="AY115" i="7"/>
  <c r="AY107" i="7"/>
  <c r="AY142" i="7"/>
  <c r="AY128" i="7"/>
  <c r="AY124" i="7"/>
  <c r="AY119" i="7"/>
  <c r="AY114" i="7"/>
  <c r="AY106" i="7"/>
  <c r="AY126" i="7"/>
  <c r="AY118" i="7"/>
  <c r="AY117" i="7"/>
  <c r="AY113" i="7"/>
  <c r="AY102" i="7"/>
  <c r="AY92" i="7"/>
  <c r="AY123" i="7"/>
  <c r="AY109" i="7"/>
  <c r="AY105" i="7"/>
  <c r="AY95" i="7"/>
  <c r="AY87" i="7"/>
  <c r="AY120" i="7"/>
  <c r="AY134" i="7"/>
  <c r="AY143" i="7"/>
  <c r="AY129" i="7"/>
  <c r="AY127" i="7"/>
  <c r="AY121" i="7"/>
  <c r="AY135" i="7"/>
  <c r="AY131" i="7"/>
  <c r="AY110" i="7"/>
  <c r="AY103" i="7"/>
  <c r="AY94" i="7"/>
  <c r="AY86" i="7"/>
  <c r="AY84" i="7"/>
  <c r="AY76" i="7"/>
  <c r="AY68" i="7"/>
  <c r="AY97" i="7"/>
  <c r="AY93" i="7"/>
  <c r="AY79" i="7"/>
  <c r="AY71" i="7"/>
  <c r="AY108" i="7"/>
  <c r="AY116" i="7"/>
  <c r="AY98" i="7"/>
  <c r="AY91" i="7"/>
  <c r="AY78" i="7"/>
  <c r="AY70" i="7"/>
  <c r="AY101" i="7"/>
  <c r="AY99" i="7"/>
  <c r="AY81" i="7"/>
  <c r="AY77" i="7"/>
  <c r="AY90" i="7"/>
  <c r="AY89" i="7"/>
  <c r="AY73" i="7"/>
  <c r="AY69" i="7"/>
  <c r="AY83" i="7"/>
  <c r="AY96" i="7"/>
  <c r="AY88" i="7"/>
  <c r="AY85" i="7"/>
  <c r="AY74" i="7"/>
  <c r="AY111" i="7"/>
  <c r="AY100" i="7"/>
  <c r="AY82" i="7"/>
  <c r="AY72" i="7"/>
  <c r="AY66" i="7"/>
  <c r="AY64" i="7"/>
  <c r="AY56" i="7"/>
  <c r="AY48" i="7"/>
  <c r="AY40" i="7"/>
  <c r="AY32" i="7"/>
  <c r="AY24" i="7"/>
  <c r="AY63" i="7"/>
  <c r="AY59" i="7"/>
  <c r="AY51" i="7"/>
  <c r="AY43" i="7"/>
  <c r="AY35" i="7"/>
  <c r="AY27" i="7"/>
  <c r="AY80" i="7"/>
  <c r="AY65" i="7"/>
  <c r="AY67" i="7"/>
  <c r="AY75" i="7"/>
  <c r="AY58" i="7"/>
  <c r="AY50" i="7"/>
  <c r="AY42" i="7"/>
  <c r="AY52" i="7"/>
  <c r="AY37" i="7"/>
  <c r="AY44" i="7"/>
  <c r="AY62" i="7"/>
  <c r="AY61" i="7"/>
  <c r="AY57" i="7"/>
  <c r="AY38" i="7"/>
  <c r="AY31" i="7"/>
  <c r="AY23" i="7"/>
  <c r="AY15" i="7"/>
  <c r="AY7" i="7"/>
  <c r="AY39" i="7"/>
  <c r="AY34" i="7"/>
  <c r="AY28" i="7"/>
  <c r="AY18" i="7"/>
  <c r="AY10" i="7"/>
  <c r="AY2" i="7"/>
  <c r="AY54" i="7"/>
  <c r="AY53" i="7"/>
  <c r="AY41" i="7"/>
  <c r="AY55" i="7"/>
  <c r="AY46" i="7"/>
  <c r="AY45" i="7"/>
  <c r="AY47" i="7"/>
  <c r="AY36" i="7"/>
  <c r="AY17" i="7"/>
  <c r="AY9" i="7"/>
  <c r="AY60" i="7"/>
  <c r="AY19" i="7"/>
  <c r="AY4" i="7"/>
  <c r="AY11" i="7"/>
  <c r="AY22" i="7"/>
  <c r="AY49" i="7"/>
  <c r="AY21" i="7"/>
  <c r="AY14" i="7"/>
  <c r="AY29" i="7"/>
  <c r="AY13" i="7"/>
  <c r="AY6" i="7"/>
  <c r="AY33" i="7"/>
  <c r="AY26" i="7"/>
  <c r="AY25" i="7"/>
  <c r="AY30" i="7"/>
  <c r="AY20" i="7"/>
  <c r="AY16" i="7"/>
  <c r="BO52" i="9"/>
  <c r="BO1" i="9"/>
  <c r="BO52" i="8"/>
  <c r="BO144" i="7"/>
  <c r="BO136" i="7"/>
  <c r="BO139" i="7"/>
  <c r="BO143" i="7"/>
  <c r="BO130" i="7"/>
  <c r="BO122" i="7"/>
  <c r="BO142" i="7"/>
  <c r="BO133" i="7"/>
  <c r="BO125" i="7"/>
  <c r="BO140" i="7"/>
  <c r="BO132" i="7"/>
  <c r="BO141" i="7"/>
  <c r="BO129" i="7"/>
  <c r="BO120" i="7"/>
  <c r="BO119" i="7"/>
  <c r="BO112" i="7"/>
  <c r="BO104" i="7"/>
  <c r="BO127" i="7"/>
  <c r="BO118" i="7"/>
  <c r="BO115" i="7"/>
  <c r="BO107" i="7"/>
  <c r="BO148" i="7"/>
  <c r="BO137" i="7"/>
  <c r="BO135" i="7"/>
  <c r="BO126" i="7"/>
  <c r="BO114" i="7"/>
  <c r="BO106" i="7"/>
  <c r="BO134" i="7"/>
  <c r="BO116" i="7"/>
  <c r="BO100" i="7"/>
  <c r="BO92" i="7"/>
  <c r="BO108" i="7"/>
  <c r="BO95" i="7"/>
  <c r="BO87" i="7"/>
  <c r="BO1" i="8"/>
  <c r="BO123" i="7"/>
  <c r="BO138" i="7"/>
  <c r="BO124" i="7"/>
  <c r="BO128" i="7"/>
  <c r="BO121" i="7"/>
  <c r="BO117" i="7"/>
  <c r="BO113" i="7"/>
  <c r="BO94" i="7"/>
  <c r="BO131" i="7"/>
  <c r="BO88" i="7"/>
  <c r="BO84" i="7"/>
  <c r="BO76" i="7"/>
  <c r="BO68" i="7"/>
  <c r="BO103" i="7"/>
  <c r="BO102" i="7"/>
  <c r="BO96" i="7"/>
  <c r="BO79" i="7"/>
  <c r="BO71" i="7"/>
  <c r="BO105" i="7"/>
  <c r="BO111" i="7"/>
  <c r="BO78" i="7"/>
  <c r="BO70" i="7"/>
  <c r="BO98" i="7"/>
  <c r="BO97" i="7"/>
  <c r="BO80" i="7"/>
  <c r="BO65" i="7"/>
  <c r="BO99" i="7"/>
  <c r="BO89" i="7"/>
  <c r="BO72" i="7"/>
  <c r="BO109" i="7"/>
  <c r="BO91" i="7"/>
  <c r="BO74" i="7"/>
  <c r="BO90" i="7"/>
  <c r="BO82" i="7"/>
  <c r="BO81" i="7"/>
  <c r="BO83" i="7"/>
  <c r="BO101" i="7"/>
  <c r="BO93" i="7"/>
  <c r="BO77" i="7"/>
  <c r="BO56" i="7"/>
  <c r="BO48" i="7"/>
  <c r="BO40" i="7"/>
  <c r="BO32" i="7"/>
  <c r="BO24" i="7"/>
  <c r="BO66" i="7"/>
  <c r="BO59" i="7"/>
  <c r="BO51" i="7"/>
  <c r="BO43" i="7"/>
  <c r="BO35" i="7"/>
  <c r="BO27" i="7"/>
  <c r="BO75" i="7"/>
  <c r="BO63" i="7"/>
  <c r="BO86" i="7"/>
  <c r="BO85" i="7"/>
  <c r="BO64" i="7"/>
  <c r="BO110" i="7"/>
  <c r="BO67" i="7"/>
  <c r="BO73" i="7"/>
  <c r="BO58" i="7"/>
  <c r="BO50" i="7"/>
  <c r="BO42" i="7"/>
  <c r="BO34" i="7"/>
  <c r="BO62" i="7"/>
  <c r="BO55" i="7"/>
  <c r="BO36" i="7"/>
  <c r="BO54" i="7"/>
  <c r="BO47" i="7"/>
  <c r="BO69" i="7"/>
  <c r="BO60" i="7"/>
  <c r="BO45" i="7"/>
  <c r="BO41" i="7"/>
  <c r="BO33" i="7"/>
  <c r="BO29" i="7"/>
  <c r="BO23" i="7"/>
  <c r="BO15" i="7"/>
  <c r="BO7" i="7"/>
  <c r="BO49" i="7"/>
  <c r="BO38" i="7"/>
  <c r="BO37" i="7"/>
  <c r="BO30" i="7"/>
  <c r="BO26" i="7"/>
  <c r="BO18" i="7"/>
  <c r="BO10" i="7"/>
  <c r="BO2" i="7"/>
  <c r="BO61" i="7"/>
  <c r="BO39" i="7"/>
  <c r="BO52" i="7"/>
  <c r="BO53" i="7"/>
  <c r="BO57" i="7"/>
  <c r="BO46" i="7"/>
  <c r="BO44" i="7"/>
  <c r="BO25" i="7"/>
  <c r="BO17" i="7"/>
  <c r="BO9" i="7"/>
  <c r="BO22" i="7"/>
  <c r="BO3" i="7"/>
  <c r="BO31" i="7"/>
  <c r="BO21" i="7"/>
  <c r="BO14" i="7"/>
  <c r="BO28" i="7"/>
  <c r="BO13" i="7"/>
  <c r="BO6" i="7"/>
  <c r="BO5" i="7"/>
  <c r="BO20" i="7"/>
  <c r="BO16" i="7"/>
  <c r="BO12" i="7"/>
  <c r="BO19" i="7"/>
  <c r="BO4" i="7"/>
  <c r="CE52" i="9"/>
  <c r="CE1" i="9"/>
  <c r="CE52" i="8"/>
  <c r="CE1" i="8"/>
  <c r="CE144" i="7"/>
  <c r="CE136" i="7"/>
  <c r="CE139" i="7"/>
  <c r="CE130" i="7"/>
  <c r="CE122" i="7"/>
  <c r="CE138" i="7"/>
  <c r="CE133" i="7"/>
  <c r="CE125" i="7"/>
  <c r="CE143" i="7"/>
  <c r="CE137" i="7"/>
  <c r="CE132" i="7"/>
  <c r="CE112" i="7"/>
  <c r="CE104" i="7"/>
  <c r="CE141" i="7"/>
  <c r="CE140" i="7"/>
  <c r="CE135" i="7"/>
  <c r="CE131" i="7"/>
  <c r="CE115" i="7"/>
  <c r="CE107" i="7"/>
  <c r="CE142" i="7"/>
  <c r="CE134" i="7"/>
  <c r="CE148" i="7"/>
  <c r="CE129" i="7"/>
  <c r="CE124" i="7"/>
  <c r="CE114" i="7"/>
  <c r="CE106" i="7"/>
  <c r="CE102" i="7"/>
  <c r="CE92" i="7"/>
  <c r="CE126" i="7"/>
  <c r="CE111" i="7"/>
  <c r="CE95" i="7"/>
  <c r="CE87" i="7"/>
  <c r="CE123" i="7"/>
  <c r="CE119" i="7"/>
  <c r="CE120" i="7"/>
  <c r="CE117" i="7"/>
  <c r="CE127" i="7"/>
  <c r="CE121" i="7"/>
  <c r="CE118" i="7"/>
  <c r="CE116" i="7"/>
  <c r="CE94" i="7"/>
  <c r="CE101" i="7"/>
  <c r="CE86" i="7"/>
  <c r="CE84" i="7"/>
  <c r="CE76" i="7"/>
  <c r="CE68" i="7"/>
  <c r="CE128" i="7"/>
  <c r="CE113" i="7"/>
  <c r="CE99" i="7"/>
  <c r="CE79" i="7"/>
  <c r="CE71" i="7"/>
  <c r="CE105" i="7"/>
  <c r="CE110" i="7"/>
  <c r="CE108" i="7"/>
  <c r="CE78" i="7"/>
  <c r="CE70" i="7"/>
  <c r="CE83" i="7"/>
  <c r="CE98" i="7"/>
  <c r="CE96" i="7"/>
  <c r="CE82" i="7"/>
  <c r="CE75" i="7"/>
  <c r="CE109" i="7"/>
  <c r="CE90" i="7"/>
  <c r="CE81" i="7"/>
  <c r="CE77" i="7"/>
  <c r="CE88" i="7"/>
  <c r="CE80" i="7"/>
  <c r="CE103" i="7"/>
  <c r="CE100" i="7"/>
  <c r="CE64" i="7"/>
  <c r="CE56" i="7"/>
  <c r="CE48" i="7"/>
  <c r="CE40" i="7"/>
  <c r="CE32" i="7"/>
  <c r="CE24" i="7"/>
  <c r="CE85" i="7"/>
  <c r="CE69" i="7"/>
  <c r="CE59" i="7"/>
  <c r="CE51" i="7"/>
  <c r="CE43" i="7"/>
  <c r="CE35" i="7"/>
  <c r="CE27" i="7"/>
  <c r="CE73" i="7"/>
  <c r="CE66" i="7"/>
  <c r="CE97" i="7"/>
  <c r="CE65" i="7"/>
  <c r="CE91" i="7"/>
  <c r="CE74" i="7"/>
  <c r="CE93" i="7"/>
  <c r="CE89" i="7"/>
  <c r="CE72" i="7"/>
  <c r="CE67" i="7"/>
  <c r="CE58" i="7"/>
  <c r="CE50" i="7"/>
  <c r="CE42" i="7"/>
  <c r="CE34" i="7"/>
  <c r="CE46" i="7"/>
  <c r="CE39" i="7"/>
  <c r="CE61" i="7"/>
  <c r="CE57" i="7"/>
  <c r="CE38" i="7"/>
  <c r="CE44" i="7"/>
  <c r="CE45" i="7"/>
  <c r="CE31" i="7"/>
  <c r="CE25" i="7"/>
  <c r="CE23" i="7"/>
  <c r="CE15" i="7"/>
  <c r="CE7" i="7"/>
  <c r="CE28" i="7"/>
  <c r="CE18" i="7"/>
  <c r="CE10" i="7"/>
  <c r="CE2" i="7"/>
  <c r="CE60" i="7"/>
  <c r="CE49" i="7"/>
  <c r="CE47" i="7"/>
  <c r="CE37" i="7"/>
  <c r="CE63" i="7"/>
  <c r="CE62" i="7"/>
  <c r="CE53" i="7"/>
  <c r="CE52" i="7"/>
  <c r="CE41" i="7"/>
  <c r="CE54" i="7"/>
  <c r="CE17" i="7"/>
  <c r="CE9" i="7"/>
  <c r="CE13" i="7"/>
  <c r="CE6" i="7"/>
  <c r="CE5" i="7"/>
  <c r="CE20" i="7"/>
  <c r="CE16" i="7"/>
  <c r="CE12" i="7"/>
  <c r="CE8" i="7"/>
  <c r="CE19" i="7"/>
  <c r="CE29" i="7"/>
  <c r="CE11" i="7"/>
  <c r="CE55" i="7"/>
  <c r="CE33" i="7"/>
  <c r="CE26" i="7"/>
  <c r="CE22" i="7"/>
  <c r="CE3" i="7"/>
  <c r="DC52" i="9"/>
  <c r="DC1" i="9"/>
  <c r="DC52" i="8"/>
  <c r="DC144" i="7"/>
  <c r="DC136" i="7"/>
  <c r="DC139" i="7"/>
  <c r="DC1" i="8"/>
  <c r="DC142" i="7"/>
  <c r="DC130" i="7"/>
  <c r="DC122" i="7"/>
  <c r="DC133" i="7"/>
  <c r="DC125" i="7"/>
  <c r="DC132" i="7"/>
  <c r="DC141" i="7"/>
  <c r="DC140" i="7"/>
  <c r="DC128" i="7"/>
  <c r="DC126" i="7"/>
  <c r="DC112" i="7"/>
  <c r="DC104" i="7"/>
  <c r="DC137" i="7"/>
  <c r="DC123" i="7"/>
  <c r="DC115" i="7"/>
  <c r="DC107" i="7"/>
  <c r="DC143" i="7"/>
  <c r="DC135" i="7"/>
  <c r="DC148" i="7"/>
  <c r="DC138" i="7"/>
  <c r="DC134" i="7"/>
  <c r="DC118" i="7"/>
  <c r="DC114" i="7"/>
  <c r="DC106" i="7"/>
  <c r="DC108" i="7"/>
  <c r="DC92" i="7"/>
  <c r="DC127" i="7"/>
  <c r="DC95" i="7"/>
  <c r="DC87" i="7"/>
  <c r="DC124" i="7"/>
  <c r="DC121" i="7"/>
  <c r="DC119" i="7"/>
  <c r="DC109" i="7"/>
  <c r="DC105" i="7"/>
  <c r="DC102" i="7"/>
  <c r="DC94" i="7"/>
  <c r="DC113" i="7"/>
  <c r="DC96" i="7"/>
  <c r="DC84" i="7"/>
  <c r="DC76" i="7"/>
  <c r="DC68" i="7"/>
  <c r="DC103" i="7"/>
  <c r="DC100" i="7"/>
  <c r="DC79" i="7"/>
  <c r="DC71" i="7"/>
  <c r="DC129" i="7"/>
  <c r="DC116" i="7"/>
  <c r="DC120" i="7"/>
  <c r="DC117" i="7"/>
  <c r="DC131" i="7"/>
  <c r="DC111" i="7"/>
  <c r="DC97" i="7"/>
  <c r="DC93" i="7"/>
  <c r="DC86" i="7"/>
  <c r="DC78" i="7"/>
  <c r="DC70" i="7"/>
  <c r="DC101" i="7"/>
  <c r="DC98" i="7"/>
  <c r="DC85" i="7"/>
  <c r="DC72" i="7"/>
  <c r="DC99" i="7"/>
  <c r="DC83" i="7"/>
  <c r="DC110" i="7"/>
  <c r="DC91" i="7"/>
  <c r="DC88" i="7"/>
  <c r="DC82" i="7"/>
  <c r="DC81" i="7"/>
  <c r="DC80" i="7"/>
  <c r="DC65" i="7"/>
  <c r="DC63" i="7"/>
  <c r="DC56" i="7"/>
  <c r="DC48" i="7"/>
  <c r="DC40" i="7"/>
  <c r="DC32" i="7"/>
  <c r="DC24" i="7"/>
  <c r="DC75" i="7"/>
  <c r="DC69" i="7"/>
  <c r="DC66" i="7"/>
  <c r="DC59" i="7"/>
  <c r="DC51" i="7"/>
  <c r="DC43" i="7"/>
  <c r="DC35" i="7"/>
  <c r="DC27" i="7"/>
  <c r="DC89" i="7"/>
  <c r="DC90" i="7"/>
  <c r="DC73" i="7"/>
  <c r="DC67" i="7"/>
  <c r="DC77" i="7"/>
  <c r="DC74" i="7"/>
  <c r="DC64" i="7"/>
  <c r="DC58" i="7"/>
  <c r="DC50" i="7"/>
  <c r="DC42" i="7"/>
  <c r="DC34" i="7"/>
  <c r="DC54" i="7"/>
  <c r="DC47" i="7"/>
  <c r="DC46" i="7"/>
  <c r="DC39" i="7"/>
  <c r="DC61" i="7"/>
  <c r="DC52" i="7"/>
  <c r="DC37" i="7"/>
  <c r="DC23" i="7"/>
  <c r="DC15" i="7"/>
  <c r="DC7" i="7"/>
  <c r="DC60" i="7"/>
  <c r="DC49" i="7"/>
  <c r="DC38" i="7"/>
  <c r="DC36" i="7"/>
  <c r="DC18" i="7"/>
  <c r="DC10" i="7"/>
  <c r="DC2" i="7"/>
  <c r="DC53" i="7"/>
  <c r="DC41" i="7"/>
  <c r="DC62" i="7"/>
  <c r="DC57" i="7"/>
  <c r="DC55" i="7"/>
  <c r="DC44" i="7"/>
  <c r="DC31" i="7"/>
  <c r="DC17" i="7"/>
  <c r="DC9" i="7"/>
  <c r="DC45" i="7"/>
  <c r="DC21" i="7"/>
  <c r="DC14" i="7"/>
  <c r="DC29" i="7"/>
  <c r="DC13" i="7"/>
  <c r="DC6" i="7"/>
  <c r="DC33" i="7"/>
  <c r="DC26" i="7"/>
  <c r="DC5" i="7"/>
  <c r="DC30" i="7"/>
  <c r="DC20" i="7"/>
  <c r="DC16" i="7"/>
  <c r="DC12" i="7"/>
  <c r="DC8" i="7"/>
  <c r="DC19" i="7"/>
  <c r="DC25" i="7"/>
  <c r="DC11" i="7"/>
  <c r="DS52" i="9"/>
  <c r="DS1" i="9"/>
  <c r="DS52" i="8"/>
  <c r="DS144" i="7"/>
  <c r="DS136" i="7"/>
  <c r="DS139" i="7"/>
  <c r="DS137" i="7"/>
  <c r="DS130" i="7"/>
  <c r="DS122" i="7"/>
  <c r="DS148" i="7"/>
  <c r="DS141" i="7"/>
  <c r="DS133" i="7"/>
  <c r="DS125" i="7"/>
  <c r="DS142" i="7"/>
  <c r="DS132" i="7"/>
  <c r="DS135" i="7"/>
  <c r="DS131" i="7"/>
  <c r="DS124" i="7"/>
  <c r="DS118" i="7"/>
  <c r="DS112" i="7"/>
  <c r="DS104" i="7"/>
  <c r="DS140" i="7"/>
  <c r="DS121" i="7"/>
  <c r="DS117" i="7"/>
  <c r="DS115" i="7"/>
  <c r="DS107" i="7"/>
  <c r="DS134" i="7"/>
  <c r="DS143" i="7"/>
  <c r="DS138" i="7"/>
  <c r="DS1" i="8"/>
  <c r="DS128" i="7"/>
  <c r="DS120" i="7"/>
  <c r="DS114" i="7"/>
  <c r="DS106" i="7"/>
  <c r="DS123" i="7"/>
  <c r="DS111" i="7"/>
  <c r="DS92" i="7"/>
  <c r="DS129" i="7"/>
  <c r="DS110" i="7"/>
  <c r="DS103" i="7"/>
  <c r="DS101" i="7"/>
  <c r="DS95" i="7"/>
  <c r="DS87" i="7"/>
  <c r="DS127" i="7"/>
  <c r="DS119" i="7"/>
  <c r="DS108" i="7"/>
  <c r="DS100" i="7"/>
  <c r="DS94" i="7"/>
  <c r="DS126" i="7"/>
  <c r="DS99" i="7"/>
  <c r="DS84" i="7"/>
  <c r="DS76" i="7"/>
  <c r="DS68" i="7"/>
  <c r="DS113" i="7"/>
  <c r="DS98" i="7"/>
  <c r="DS91" i="7"/>
  <c r="DS89" i="7"/>
  <c r="DS79" i="7"/>
  <c r="DS71" i="7"/>
  <c r="DS105" i="7"/>
  <c r="DS102" i="7"/>
  <c r="DS96" i="7"/>
  <c r="DS88" i="7"/>
  <c r="DS78" i="7"/>
  <c r="DS70" i="7"/>
  <c r="DS85" i="7"/>
  <c r="DS82" i="7"/>
  <c r="DS75" i="7"/>
  <c r="DS74" i="7"/>
  <c r="DS67" i="7"/>
  <c r="DS90" i="7"/>
  <c r="DS73" i="7"/>
  <c r="DS69" i="7"/>
  <c r="DS77" i="7"/>
  <c r="DS93" i="7"/>
  <c r="DS80" i="7"/>
  <c r="DS97" i="7"/>
  <c r="DS109" i="7"/>
  <c r="DS65" i="7"/>
  <c r="DS56" i="7"/>
  <c r="DS48" i="7"/>
  <c r="DS40" i="7"/>
  <c r="DS32" i="7"/>
  <c r="DS24" i="7"/>
  <c r="DS83" i="7"/>
  <c r="DS72" i="7"/>
  <c r="DS59" i="7"/>
  <c r="DS51" i="7"/>
  <c r="DS43" i="7"/>
  <c r="DS35" i="7"/>
  <c r="DS27" i="7"/>
  <c r="DS86" i="7"/>
  <c r="DS66" i="7"/>
  <c r="DS64" i="7"/>
  <c r="DS63" i="7"/>
  <c r="DS81" i="7"/>
  <c r="DS116" i="7"/>
  <c r="DS58" i="7"/>
  <c r="DS50" i="7"/>
  <c r="DS42" i="7"/>
  <c r="DS34" i="7"/>
  <c r="DS61" i="7"/>
  <c r="DS57" i="7"/>
  <c r="DS38" i="7"/>
  <c r="DS53" i="7"/>
  <c r="DS49" i="7"/>
  <c r="DS62" i="7"/>
  <c r="DS55" i="7"/>
  <c r="DS36" i="7"/>
  <c r="DS45" i="7"/>
  <c r="DS44" i="7"/>
  <c r="DS33" i="7"/>
  <c r="DS23" i="7"/>
  <c r="DS15" i="7"/>
  <c r="DS7" i="7"/>
  <c r="DS46" i="7"/>
  <c r="DS18" i="7"/>
  <c r="DS10" i="7"/>
  <c r="DS2" i="7"/>
  <c r="DS60" i="7"/>
  <c r="DS47" i="7"/>
  <c r="DS37" i="7"/>
  <c r="DS52" i="7"/>
  <c r="DS41" i="7"/>
  <c r="DS39" i="7"/>
  <c r="DS54" i="7"/>
  <c r="DS29" i="7"/>
  <c r="DS17" i="7"/>
  <c r="DS9" i="7"/>
  <c r="DS5" i="7"/>
  <c r="DS20" i="7"/>
  <c r="DS16" i="7"/>
  <c r="DS12" i="7"/>
  <c r="DS8" i="7"/>
  <c r="DS26" i="7"/>
  <c r="DS19" i="7"/>
  <c r="DS4" i="7"/>
  <c r="DS30" i="7"/>
  <c r="DS11" i="7"/>
  <c r="DS22" i="7"/>
  <c r="DS31" i="7"/>
  <c r="DS25" i="7"/>
  <c r="DS21" i="7"/>
  <c r="DS14" i="7"/>
  <c r="EI52" i="9"/>
  <c r="EI1" i="9"/>
  <c r="EI52" i="8"/>
  <c r="EI144" i="7"/>
  <c r="EI136" i="7"/>
  <c r="EI139" i="7"/>
  <c r="EI1" i="8"/>
  <c r="EI130" i="7"/>
  <c r="EI122" i="7"/>
  <c r="EI140" i="7"/>
  <c r="EI133" i="7"/>
  <c r="EI125" i="7"/>
  <c r="EI132" i="7"/>
  <c r="EI134" i="7"/>
  <c r="EI126" i="7"/>
  <c r="EI112" i="7"/>
  <c r="EI104" i="7"/>
  <c r="EI123" i="7"/>
  <c r="EI119" i="7"/>
  <c r="EI115" i="7"/>
  <c r="EI107" i="7"/>
  <c r="EI137" i="7"/>
  <c r="EI142" i="7"/>
  <c r="EI141" i="7"/>
  <c r="EI143" i="7"/>
  <c r="EI138" i="7"/>
  <c r="EI135" i="7"/>
  <c r="EI131" i="7"/>
  <c r="EI114" i="7"/>
  <c r="EI106" i="7"/>
  <c r="EI120" i="7"/>
  <c r="EI92" i="7"/>
  <c r="EI128" i="7"/>
  <c r="EI113" i="7"/>
  <c r="EI95" i="7"/>
  <c r="EI87" i="7"/>
  <c r="EI129" i="7"/>
  <c r="EI127" i="7"/>
  <c r="EI124" i="7"/>
  <c r="EI117" i="7"/>
  <c r="EI116" i="7"/>
  <c r="EI148" i="7"/>
  <c r="EI121" i="7"/>
  <c r="EI111" i="7"/>
  <c r="EI102" i="7"/>
  <c r="EI94" i="7"/>
  <c r="EI109" i="7"/>
  <c r="EI108" i="7"/>
  <c r="EI90" i="7"/>
  <c r="EI84" i="7"/>
  <c r="EI76" i="7"/>
  <c r="EI68" i="7"/>
  <c r="EI110" i="7"/>
  <c r="EI79" i="7"/>
  <c r="EI71" i="7"/>
  <c r="EI118" i="7"/>
  <c r="EI101" i="7"/>
  <c r="EI99" i="7"/>
  <c r="EI86" i="7"/>
  <c r="EI85" i="7"/>
  <c r="EI78" i="7"/>
  <c r="EI70" i="7"/>
  <c r="EI100" i="7"/>
  <c r="EI93" i="7"/>
  <c r="EI91" i="7"/>
  <c r="EI89" i="7"/>
  <c r="EI66" i="7"/>
  <c r="EI81" i="7"/>
  <c r="EI77" i="7"/>
  <c r="EI105" i="7"/>
  <c r="EI103" i="7"/>
  <c r="EI98" i="7"/>
  <c r="EI88" i="7"/>
  <c r="EI72" i="7"/>
  <c r="EI74" i="7"/>
  <c r="EI75" i="7"/>
  <c r="EI67" i="7"/>
  <c r="EI65" i="7"/>
  <c r="EI56" i="7"/>
  <c r="EI48" i="7"/>
  <c r="EI40" i="7"/>
  <c r="EI32" i="7"/>
  <c r="EI24" i="7"/>
  <c r="EI59" i="7"/>
  <c r="EI51" i="7"/>
  <c r="EI43" i="7"/>
  <c r="EI35" i="7"/>
  <c r="EI27" i="7"/>
  <c r="EI96" i="7"/>
  <c r="EI82" i="7"/>
  <c r="EI63" i="7"/>
  <c r="EI83" i="7"/>
  <c r="EI80" i="7"/>
  <c r="EI73" i="7"/>
  <c r="EI69" i="7"/>
  <c r="EI64" i="7"/>
  <c r="EI58" i="7"/>
  <c r="EI50" i="7"/>
  <c r="EI42" i="7"/>
  <c r="EI34" i="7"/>
  <c r="EI60" i="7"/>
  <c r="EI45" i="7"/>
  <c r="EI41" i="7"/>
  <c r="EI52" i="7"/>
  <c r="EI37" i="7"/>
  <c r="EI46" i="7"/>
  <c r="EI39" i="7"/>
  <c r="EI54" i="7"/>
  <c r="EI53" i="7"/>
  <c r="EI23" i="7"/>
  <c r="EI15" i="7"/>
  <c r="EI7" i="7"/>
  <c r="EI55" i="7"/>
  <c r="EI44" i="7"/>
  <c r="EI18" i="7"/>
  <c r="EI10" i="7"/>
  <c r="EI2" i="7"/>
  <c r="EI62" i="7"/>
  <c r="EI57" i="7"/>
  <c r="EI61" i="7"/>
  <c r="EI47" i="7"/>
  <c r="EI49" i="7"/>
  <c r="EI38" i="7"/>
  <c r="EI97" i="7"/>
  <c r="EI31" i="7"/>
  <c r="EI17" i="7"/>
  <c r="EI9" i="7"/>
  <c r="EI28" i="7"/>
  <c r="EI12" i="7"/>
  <c r="EI8" i="7"/>
  <c r="EI19" i="7"/>
  <c r="EI4" i="7"/>
  <c r="EI36" i="7"/>
  <c r="EI29" i="7"/>
  <c r="EI11" i="7"/>
  <c r="EI26" i="7"/>
  <c r="EI22" i="7"/>
  <c r="EI30" i="7"/>
  <c r="EI21" i="7"/>
  <c r="EI14" i="7"/>
  <c r="EI25" i="7"/>
  <c r="EI13" i="7"/>
  <c r="EI33" i="7"/>
  <c r="EI5" i="7"/>
  <c r="EQ52" i="9"/>
  <c r="EQ1" i="9"/>
  <c r="EQ52" i="8"/>
  <c r="EQ1" i="8"/>
  <c r="EQ144" i="7"/>
  <c r="EQ136" i="7"/>
  <c r="EQ139" i="7"/>
  <c r="EQ130" i="7"/>
  <c r="EQ122" i="7"/>
  <c r="EQ138" i="7"/>
  <c r="EQ133" i="7"/>
  <c r="EQ125" i="7"/>
  <c r="EQ143" i="7"/>
  <c r="EQ137" i="7"/>
  <c r="EQ132" i="7"/>
  <c r="EQ141" i="7"/>
  <c r="EQ140" i="7"/>
  <c r="EQ112" i="7"/>
  <c r="EQ104" i="7"/>
  <c r="EQ142" i="7"/>
  <c r="EQ135" i="7"/>
  <c r="EQ131" i="7"/>
  <c r="EQ115" i="7"/>
  <c r="EQ107" i="7"/>
  <c r="EQ148" i="7"/>
  <c r="EQ134" i="7"/>
  <c r="EQ129" i="7"/>
  <c r="EQ124" i="7"/>
  <c r="EQ114" i="7"/>
  <c r="EQ106" i="7"/>
  <c r="EQ121" i="7"/>
  <c r="EQ102" i="7"/>
  <c r="EQ92" i="7"/>
  <c r="EQ111" i="7"/>
  <c r="EQ95" i="7"/>
  <c r="EQ87" i="7"/>
  <c r="EQ126" i="7"/>
  <c r="EQ118" i="7"/>
  <c r="EQ123" i="7"/>
  <c r="EQ120" i="7"/>
  <c r="EQ128" i="7"/>
  <c r="EQ116" i="7"/>
  <c r="EQ94" i="7"/>
  <c r="EQ117" i="7"/>
  <c r="EQ113" i="7"/>
  <c r="EQ86" i="7"/>
  <c r="EQ84" i="7"/>
  <c r="EQ76" i="7"/>
  <c r="EQ68" i="7"/>
  <c r="EQ103" i="7"/>
  <c r="EQ99" i="7"/>
  <c r="EQ79" i="7"/>
  <c r="EQ71" i="7"/>
  <c r="EQ105" i="7"/>
  <c r="EQ119" i="7"/>
  <c r="EQ127" i="7"/>
  <c r="EQ109" i="7"/>
  <c r="EQ78" i="7"/>
  <c r="EQ70" i="7"/>
  <c r="EQ98" i="7"/>
  <c r="EQ96" i="7"/>
  <c r="EQ83" i="7"/>
  <c r="EQ97" i="7"/>
  <c r="EQ88" i="7"/>
  <c r="EQ82" i="7"/>
  <c r="EQ75" i="7"/>
  <c r="EQ101" i="7"/>
  <c r="EQ91" i="7"/>
  <c r="EQ89" i="7"/>
  <c r="EQ81" i="7"/>
  <c r="EQ77" i="7"/>
  <c r="EQ108" i="7"/>
  <c r="EQ85" i="7"/>
  <c r="EQ80" i="7"/>
  <c r="EQ100" i="7"/>
  <c r="EQ110" i="7"/>
  <c r="EQ66" i="7"/>
  <c r="EQ64" i="7"/>
  <c r="EQ56" i="7"/>
  <c r="EQ48" i="7"/>
  <c r="EQ40" i="7"/>
  <c r="EQ32" i="7"/>
  <c r="EQ24" i="7"/>
  <c r="EQ59" i="7"/>
  <c r="EQ51" i="7"/>
  <c r="EQ43" i="7"/>
  <c r="EQ35" i="7"/>
  <c r="EQ27" i="7"/>
  <c r="EQ73" i="7"/>
  <c r="EQ72" i="7"/>
  <c r="EQ93" i="7"/>
  <c r="EQ69" i="7"/>
  <c r="EQ74" i="7"/>
  <c r="EQ67" i="7"/>
  <c r="EQ90" i="7"/>
  <c r="EQ65" i="7"/>
  <c r="EQ58" i="7"/>
  <c r="EQ50" i="7"/>
  <c r="EQ42" i="7"/>
  <c r="EQ34" i="7"/>
  <c r="EQ63" i="7"/>
  <c r="EQ46" i="7"/>
  <c r="EQ39" i="7"/>
  <c r="EQ61" i="7"/>
  <c r="EQ57" i="7"/>
  <c r="EQ38" i="7"/>
  <c r="EQ44" i="7"/>
  <c r="EQ62" i="7"/>
  <c r="EQ33" i="7"/>
  <c r="EQ31" i="7"/>
  <c r="EQ25" i="7"/>
  <c r="EQ23" i="7"/>
  <c r="EQ15" i="7"/>
  <c r="EQ7" i="7"/>
  <c r="EQ49" i="7"/>
  <c r="EQ47" i="7"/>
  <c r="EQ36" i="7"/>
  <c r="EQ28" i="7"/>
  <c r="EQ18" i="7"/>
  <c r="EQ10" i="7"/>
  <c r="EQ2" i="7"/>
  <c r="EQ60" i="7"/>
  <c r="EQ37" i="7"/>
  <c r="EQ53" i="7"/>
  <c r="EQ52" i="7"/>
  <c r="EQ41" i="7"/>
  <c r="EQ54" i="7"/>
  <c r="EQ55" i="7"/>
  <c r="EQ17" i="7"/>
  <c r="EQ9" i="7"/>
  <c r="EQ26" i="7"/>
  <c r="EQ13" i="7"/>
  <c r="EQ6" i="7"/>
  <c r="EQ30" i="7"/>
  <c r="EQ5" i="7"/>
  <c r="EQ20" i="7"/>
  <c r="EQ16" i="7"/>
  <c r="EQ12" i="7"/>
  <c r="EQ8" i="7"/>
  <c r="EQ19" i="7"/>
  <c r="EQ4" i="7"/>
  <c r="EQ11" i="7"/>
  <c r="EQ45" i="7"/>
  <c r="EQ22" i="7"/>
  <c r="EQ3" i="7"/>
  <c r="FO52" i="9"/>
  <c r="FO1" i="9"/>
  <c r="FO52" i="8"/>
  <c r="FO144" i="7"/>
  <c r="FO136" i="7"/>
  <c r="FO139" i="7"/>
  <c r="FO1" i="8"/>
  <c r="FO142" i="7"/>
  <c r="FO130" i="7"/>
  <c r="FO122" i="7"/>
  <c r="FO133" i="7"/>
  <c r="FO125" i="7"/>
  <c r="FO132" i="7"/>
  <c r="FO128" i="7"/>
  <c r="FO126" i="7"/>
  <c r="FO112" i="7"/>
  <c r="FO104" i="7"/>
  <c r="FO143" i="7"/>
  <c r="FO123" i="7"/>
  <c r="FO115" i="7"/>
  <c r="FO107" i="7"/>
  <c r="FO148" i="7"/>
  <c r="FO135" i="7"/>
  <c r="FO137" i="7"/>
  <c r="FO134" i="7"/>
  <c r="FO138" i="7"/>
  <c r="FO118" i="7"/>
  <c r="FO114" i="7"/>
  <c r="FO106" i="7"/>
  <c r="FO140" i="7"/>
  <c r="FO108" i="7"/>
  <c r="FO92" i="7"/>
  <c r="FO120" i="7"/>
  <c r="FO95" i="7"/>
  <c r="FO87" i="7"/>
  <c r="FO141" i="7"/>
  <c r="FO117" i="7"/>
  <c r="FO127" i="7"/>
  <c r="FO119" i="7"/>
  <c r="FO124" i="7"/>
  <c r="FO121" i="7"/>
  <c r="FO131" i="7"/>
  <c r="FO129" i="7"/>
  <c r="FO109" i="7"/>
  <c r="FO105" i="7"/>
  <c r="FO102" i="7"/>
  <c r="FO94" i="7"/>
  <c r="FO116" i="7"/>
  <c r="FO103" i="7"/>
  <c r="FO96" i="7"/>
  <c r="FO84" i="7"/>
  <c r="FO76" i="7"/>
  <c r="FO68" i="7"/>
  <c r="FO79" i="7"/>
  <c r="FO71" i="7"/>
  <c r="FO110" i="7"/>
  <c r="FO97" i="7"/>
  <c r="FO93" i="7"/>
  <c r="FO86" i="7"/>
  <c r="FO78" i="7"/>
  <c r="FO70" i="7"/>
  <c r="FO99" i="7"/>
  <c r="FO72" i="7"/>
  <c r="FO111" i="7"/>
  <c r="FO83" i="7"/>
  <c r="FO113" i="7"/>
  <c r="FO82" i="7"/>
  <c r="FO81" i="7"/>
  <c r="FO80" i="7"/>
  <c r="FO69" i="7"/>
  <c r="FO91" i="7"/>
  <c r="FO85" i="7"/>
  <c r="FO101" i="7"/>
  <c r="FO98" i="7"/>
  <c r="FO63" i="7"/>
  <c r="FO56" i="7"/>
  <c r="FO48" i="7"/>
  <c r="FO40" i="7"/>
  <c r="FO32" i="7"/>
  <c r="FO24" i="7"/>
  <c r="FO88" i="7"/>
  <c r="FO75" i="7"/>
  <c r="FO59" i="7"/>
  <c r="FO51" i="7"/>
  <c r="FO43" i="7"/>
  <c r="FO35" i="7"/>
  <c r="FO27" i="7"/>
  <c r="FO100" i="7"/>
  <c r="FO90" i="7"/>
  <c r="FO67" i="7"/>
  <c r="FO65" i="7"/>
  <c r="FO73" i="7"/>
  <c r="FO89" i="7"/>
  <c r="FO77" i="7"/>
  <c r="FO74" i="7"/>
  <c r="FO66" i="7"/>
  <c r="FO58" i="7"/>
  <c r="FO50" i="7"/>
  <c r="FO42" i="7"/>
  <c r="FO34" i="7"/>
  <c r="FO64" i="7"/>
  <c r="FO54" i="7"/>
  <c r="FO47" i="7"/>
  <c r="FO46" i="7"/>
  <c r="FO39" i="7"/>
  <c r="FO61" i="7"/>
  <c r="FO52" i="7"/>
  <c r="FO37" i="7"/>
  <c r="FO49" i="7"/>
  <c r="FO38" i="7"/>
  <c r="FO36" i="7"/>
  <c r="FO33" i="7"/>
  <c r="FO23" i="7"/>
  <c r="FO15" i="7"/>
  <c r="FO7" i="7"/>
  <c r="FO62" i="7"/>
  <c r="FO18" i="7"/>
  <c r="FO10" i="7"/>
  <c r="FO2" i="7"/>
  <c r="FO60" i="7"/>
  <c r="FO53" i="7"/>
  <c r="FO41" i="7"/>
  <c r="FO57" i="7"/>
  <c r="FO55" i="7"/>
  <c r="FO44" i="7"/>
  <c r="FO45" i="7"/>
  <c r="FO31" i="7"/>
  <c r="FO17" i="7"/>
  <c r="FO9" i="7"/>
  <c r="FO21" i="7"/>
  <c r="FO14" i="7"/>
  <c r="FO28" i="7"/>
  <c r="FO13" i="7"/>
  <c r="FO6" i="7"/>
  <c r="FO5" i="7"/>
  <c r="FO29" i="7"/>
  <c r="FO25" i="7"/>
  <c r="FO20" i="7"/>
  <c r="FO16" i="7"/>
  <c r="FO26" i="7"/>
  <c r="FO12" i="7"/>
  <c r="FO8" i="7"/>
  <c r="FO30" i="7"/>
  <c r="FO19" i="7"/>
  <c r="FO11" i="7"/>
  <c r="GM52" i="9"/>
  <c r="GM1" i="9"/>
  <c r="GM52" i="8"/>
  <c r="GM144" i="7"/>
  <c r="GM136" i="7"/>
  <c r="GM139" i="7"/>
  <c r="GM143" i="7"/>
  <c r="GM135" i="7"/>
  <c r="GM130" i="7"/>
  <c r="GM122" i="7"/>
  <c r="GM142" i="7"/>
  <c r="GM133" i="7"/>
  <c r="GM125" i="7"/>
  <c r="GM140" i="7"/>
  <c r="GM132" i="7"/>
  <c r="GM129" i="7"/>
  <c r="GM120" i="7"/>
  <c r="GM119" i="7"/>
  <c r="GM112" i="7"/>
  <c r="GM104" i="7"/>
  <c r="GM1" i="8"/>
  <c r="GM148" i="7"/>
  <c r="GM128" i="7"/>
  <c r="GM127" i="7"/>
  <c r="GM118" i="7"/>
  <c r="GM115" i="7"/>
  <c r="GM107" i="7"/>
  <c r="GM138" i="7"/>
  <c r="GM141" i="7"/>
  <c r="GM126" i="7"/>
  <c r="GM114" i="7"/>
  <c r="GM106" i="7"/>
  <c r="GM124" i="7"/>
  <c r="GM116" i="7"/>
  <c r="GM100" i="7"/>
  <c r="GM92" i="7"/>
  <c r="GM121" i="7"/>
  <c r="GM108" i="7"/>
  <c r="GM95" i="7"/>
  <c r="GM87" i="7"/>
  <c r="GM137" i="7"/>
  <c r="GM134" i="7"/>
  <c r="GM117" i="7"/>
  <c r="GM131" i="7"/>
  <c r="GM123" i="7"/>
  <c r="GM113" i="7"/>
  <c r="GM94" i="7"/>
  <c r="GM105" i="7"/>
  <c r="GM89" i="7"/>
  <c r="GM88" i="7"/>
  <c r="GM84" i="7"/>
  <c r="GM76" i="7"/>
  <c r="GM68" i="7"/>
  <c r="GM96" i="7"/>
  <c r="GM85" i="7"/>
  <c r="GM79" i="7"/>
  <c r="GM71" i="7"/>
  <c r="GM110" i="7"/>
  <c r="GM109" i="7"/>
  <c r="GM111" i="7"/>
  <c r="GM102" i="7"/>
  <c r="GM78" i="7"/>
  <c r="GM70" i="7"/>
  <c r="GM99" i="7"/>
  <c r="GM80" i="7"/>
  <c r="GM65" i="7"/>
  <c r="GM90" i="7"/>
  <c r="GM72" i="7"/>
  <c r="GM74" i="7"/>
  <c r="GM103" i="7"/>
  <c r="GM93" i="7"/>
  <c r="GM83" i="7"/>
  <c r="GM97" i="7"/>
  <c r="GM73" i="7"/>
  <c r="GM98" i="7"/>
  <c r="GM77" i="7"/>
  <c r="GM67" i="7"/>
  <c r="GM64" i="7"/>
  <c r="GM56" i="7"/>
  <c r="GM48" i="7"/>
  <c r="GM40" i="7"/>
  <c r="GM32" i="7"/>
  <c r="GM24" i="7"/>
  <c r="GM59" i="7"/>
  <c r="GM51" i="7"/>
  <c r="GM43" i="7"/>
  <c r="GM35" i="7"/>
  <c r="GM27" i="7"/>
  <c r="GM91" i="7"/>
  <c r="GM81" i="7"/>
  <c r="GM75" i="7"/>
  <c r="GM63" i="7"/>
  <c r="GM69" i="7"/>
  <c r="GM82" i="7"/>
  <c r="GM66" i="7"/>
  <c r="GM101" i="7"/>
  <c r="GM86" i="7"/>
  <c r="GM58" i="7"/>
  <c r="GM50" i="7"/>
  <c r="GM42" i="7"/>
  <c r="GM34" i="7"/>
  <c r="GM55" i="7"/>
  <c r="GM36" i="7"/>
  <c r="GM62" i="7"/>
  <c r="GM54" i="7"/>
  <c r="GM47" i="7"/>
  <c r="GM60" i="7"/>
  <c r="GM45" i="7"/>
  <c r="GM41" i="7"/>
  <c r="GM39" i="7"/>
  <c r="GM29" i="7"/>
  <c r="GM15" i="7"/>
  <c r="GM7" i="7"/>
  <c r="GM52" i="7"/>
  <c r="GM33" i="7"/>
  <c r="GM30" i="7"/>
  <c r="GM26" i="7"/>
  <c r="GM23" i="7"/>
  <c r="GM18" i="7"/>
  <c r="GM10" i="7"/>
  <c r="GM2" i="7"/>
  <c r="GM61" i="7"/>
  <c r="GM53" i="7"/>
  <c r="GM57" i="7"/>
  <c r="GM46" i="7"/>
  <c r="GM44" i="7"/>
  <c r="GM25" i="7"/>
  <c r="GM17" i="7"/>
  <c r="GM9" i="7"/>
  <c r="GM22" i="7"/>
  <c r="GM3" i="7"/>
  <c r="GM21" i="7"/>
  <c r="GM14" i="7"/>
  <c r="GM13" i="7"/>
  <c r="GM6" i="7"/>
  <c r="GM37" i="7"/>
  <c r="GM5" i="7"/>
  <c r="GM49" i="7"/>
  <c r="GM20" i="7"/>
  <c r="GM16" i="7"/>
  <c r="GM38" i="7"/>
  <c r="GM31" i="7"/>
  <c r="GM12" i="7"/>
  <c r="GM28" i="7"/>
  <c r="GM19" i="7"/>
  <c r="GM4" i="7"/>
  <c r="HC52" i="9"/>
  <c r="HC1" i="9"/>
  <c r="HC52" i="8"/>
  <c r="HC1" i="8"/>
  <c r="HC144" i="7"/>
  <c r="HC136" i="7"/>
  <c r="HC139" i="7"/>
  <c r="HC130" i="7"/>
  <c r="HC122" i="7"/>
  <c r="HC138" i="7"/>
  <c r="HC133" i="7"/>
  <c r="HC125" i="7"/>
  <c r="HC143" i="7"/>
  <c r="HC137" i="7"/>
  <c r="HC132" i="7"/>
  <c r="HC142" i="7"/>
  <c r="HC112" i="7"/>
  <c r="HC104" i="7"/>
  <c r="HC131" i="7"/>
  <c r="HC115" i="7"/>
  <c r="HC107" i="7"/>
  <c r="HC148" i="7"/>
  <c r="HC135" i="7"/>
  <c r="HC134" i="7"/>
  <c r="HC129" i="7"/>
  <c r="HC124" i="7"/>
  <c r="HC114" i="7"/>
  <c r="HC106" i="7"/>
  <c r="HC141" i="7"/>
  <c r="HC118" i="7"/>
  <c r="HC92" i="7"/>
  <c r="HC127" i="7"/>
  <c r="HC111" i="7"/>
  <c r="HC99" i="7"/>
  <c r="HC95" i="7"/>
  <c r="HC87" i="7"/>
  <c r="HC121" i="7"/>
  <c r="HC117" i="7"/>
  <c r="HC128" i="7"/>
  <c r="HC126" i="7"/>
  <c r="HC119" i="7"/>
  <c r="HC140" i="7"/>
  <c r="HC123" i="7"/>
  <c r="HC116" i="7"/>
  <c r="HC94" i="7"/>
  <c r="HC103" i="7"/>
  <c r="HC86" i="7"/>
  <c r="HC84" i="7"/>
  <c r="HC76" i="7"/>
  <c r="HC68" i="7"/>
  <c r="HC100" i="7"/>
  <c r="HC79" i="7"/>
  <c r="HC71" i="7"/>
  <c r="HC63" i="7"/>
  <c r="HC105" i="7"/>
  <c r="HC110" i="7"/>
  <c r="HC108" i="7"/>
  <c r="HC89" i="7"/>
  <c r="HC78" i="7"/>
  <c r="HC70" i="7"/>
  <c r="HC113" i="7"/>
  <c r="HC97" i="7"/>
  <c r="HC83" i="7"/>
  <c r="HC64" i="7"/>
  <c r="HC101" i="7"/>
  <c r="HC82" i="7"/>
  <c r="HC75" i="7"/>
  <c r="HC85" i="7"/>
  <c r="HC81" i="7"/>
  <c r="HC77" i="7"/>
  <c r="HC98" i="7"/>
  <c r="HC80" i="7"/>
  <c r="HC69" i="7"/>
  <c r="HC120" i="7"/>
  <c r="HC109" i="7"/>
  <c r="HC102" i="7"/>
  <c r="HC56" i="7"/>
  <c r="HC48" i="7"/>
  <c r="HC40" i="7"/>
  <c r="HC32" i="7"/>
  <c r="HC24" i="7"/>
  <c r="HC93" i="7"/>
  <c r="HC91" i="7"/>
  <c r="HC88" i="7"/>
  <c r="HC67" i="7"/>
  <c r="HC59" i="7"/>
  <c r="HC51" i="7"/>
  <c r="HC43" i="7"/>
  <c r="HC35" i="7"/>
  <c r="HC27" i="7"/>
  <c r="HC73" i="7"/>
  <c r="HC90" i="7"/>
  <c r="HC74" i="7"/>
  <c r="HC66" i="7"/>
  <c r="HC58" i="7"/>
  <c r="HC50" i="7"/>
  <c r="HC42" i="7"/>
  <c r="HC34" i="7"/>
  <c r="HC72" i="7"/>
  <c r="HC46" i="7"/>
  <c r="HC39" i="7"/>
  <c r="HC61" i="7"/>
  <c r="HC57" i="7"/>
  <c r="HC38" i="7"/>
  <c r="HC62" i="7"/>
  <c r="HC65" i="7"/>
  <c r="HC44" i="7"/>
  <c r="HC96" i="7"/>
  <c r="HC49" i="7"/>
  <c r="HC47" i="7"/>
  <c r="HC36" i="7"/>
  <c r="HC31" i="7"/>
  <c r="HC15" i="7"/>
  <c r="HC7" i="7"/>
  <c r="HC37" i="7"/>
  <c r="HC28" i="7"/>
  <c r="HC18" i="7"/>
  <c r="HC10" i="7"/>
  <c r="HC2" i="7"/>
  <c r="HC53" i="7"/>
  <c r="HC52" i="7"/>
  <c r="HC41" i="7"/>
  <c r="HC54" i="7"/>
  <c r="HC55" i="7"/>
  <c r="HC60" i="7"/>
  <c r="HC45" i="7"/>
  <c r="HC33" i="7"/>
  <c r="HC17" i="7"/>
  <c r="HC9" i="7"/>
  <c r="HC13" i="7"/>
  <c r="HC6" i="7"/>
  <c r="HC29" i="7"/>
  <c r="HC5" i="7"/>
  <c r="HC26" i="7"/>
  <c r="HC20" i="7"/>
  <c r="HC16" i="7"/>
  <c r="HC30" i="7"/>
  <c r="HC12" i="7"/>
  <c r="HC8" i="7"/>
  <c r="HC19" i="7"/>
  <c r="HC4" i="7"/>
  <c r="HC23" i="7"/>
  <c r="HC11" i="7"/>
  <c r="HC25" i="7"/>
  <c r="HC22" i="7"/>
  <c r="HC3" i="7"/>
  <c r="IA52" i="9"/>
  <c r="IA1" i="9"/>
  <c r="IA52" i="8"/>
  <c r="IA144" i="7"/>
  <c r="IA136" i="7"/>
  <c r="IA139" i="7"/>
  <c r="IA1" i="8"/>
  <c r="IA142" i="7"/>
  <c r="IA130" i="7"/>
  <c r="IA122" i="7"/>
  <c r="IA133" i="7"/>
  <c r="IA125" i="7"/>
  <c r="IA132" i="7"/>
  <c r="IA143" i="7"/>
  <c r="IA138" i="7"/>
  <c r="IA128" i="7"/>
  <c r="IA126" i="7"/>
  <c r="IA112" i="7"/>
  <c r="IA104" i="7"/>
  <c r="IA148" i="7"/>
  <c r="IA123" i="7"/>
  <c r="IA119" i="7"/>
  <c r="IA115" i="7"/>
  <c r="IA107" i="7"/>
  <c r="IA134" i="7"/>
  <c r="IA137" i="7"/>
  <c r="IA141" i="7"/>
  <c r="IA140" i="7"/>
  <c r="IA135" i="7"/>
  <c r="IA118" i="7"/>
  <c r="IA114" i="7"/>
  <c r="IA106" i="7"/>
  <c r="IA108" i="7"/>
  <c r="IA92" i="7"/>
  <c r="IA95" i="7"/>
  <c r="IA87" i="7"/>
  <c r="IA120" i="7"/>
  <c r="IA131" i="7"/>
  <c r="IA129" i="7"/>
  <c r="IA127" i="7"/>
  <c r="IA124" i="7"/>
  <c r="IA109" i="7"/>
  <c r="IA105" i="7"/>
  <c r="IA94" i="7"/>
  <c r="IA96" i="7"/>
  <c r="IA84" i="7"/>
  <c r="IA76" i="7"/>
  <c r="IA68" i="7"/>
  <c r="IA101" i="7"/>
  <c r="IA79" i="7"/>
  <c r="IA71" i="7"/>
  <c r="IA63" i="7"/>
  <c r="IA110" i="7"/>
  <c r="IA117" i="7"/>
  <c r="IA111" i="7"/>
  <c r="IA121" i="7"/>
  <c r="IA116" i="7"/>
  <c r="IA113" i="7"/>
  <c r="IA102" i="7"/>
  <c r="IA99" i="7"/>
  <c r="IA97" i="7"/>
  <c r="IA93" i="7"/>
  <c r="IA86" i="7"/>
  <c r="IA78" i="7"/>
  <c r="IA70" i="7"/>
  <c r="IA85" i="7"/>
  <c r="IA72" i="7"/>
  <c r="IA90" i="7"/>
  <c r="IA89" i="7"/>
  <c r="IA83" i="7"/>
  <c r="IA103" i="7"/>
  <c r="IA100" i="7"/>
  <c r="IA91" i="7"/>
  <c r="IA98" i="7"/>
  <c r="IA74" i="7"/>
  <c r="IA73" i="7"/>
  <c r="IA67" i="7"/>
  <c r="IA56" i="7"/>
  <c r="IA48" i="7"/>
  <c r="IA40" i="7"/>
  <c r="IA32" i="7"/>
  <c r="IA24" i="7"/>
  <c r="IA81" i="7"/>
  <c r="IA75" i="7"/>
  <c r="IA59" i="7"/>
  <c r="IA51" i="7"/>
  <c r="IA43" i="7"/>
  <c r="IA35" i="7"/>
  <c r="IA27" i="7"/>
  <c r="IA64" i="7"/>
  <c r="IA62" i="7"/>
  <c r="IA82" i="7"/>
  <c r="IA66" i="7"/>
  <c r="IA65" i="7"/>
  <c r="IA88" i="7"/>
  <c r="IA77" i="7"/>
  <c r="IA69" i="7"/>
  <c r="IA58" i="7"/>
  <c r="IA50" i="7"/>
  <c r="IA42" i="7"/>
  <c r="IA34" i="7"/>
  <c r="IA54" i="7"/>
  <c r="IA47" i="7"/>
  <c r="IA80" i="7"/>
  <c r="IA46" i="7"/>
  <c r="IA39" i="7"/>
  <c r="IA61" i="7"/>
  <c r="IA52" i="7"/>
  <c r="IA37" i="7"/>
  <c r="IA33" i="7"/>
  <c r="IA25" i="7"/>
  <c r="IA15" i="7"/>
  <c r="IA7" i="7"/>
  <c r="IA18" i="7"/>
  <c r="IA10" i="7"/>
  <c r="IA2" i="7"/>
  <c r="IA53" i="7"/>
  <c r="IA41" i="7"/>
  <c r="IA57" i="7"/>
  <c r="IA55" i="7"/>
  <c r="IA44" i="7"/>
  <c r="IA45" i="7"/>
  <c r="IA31" i="7"/>
  <c r="IA23" i="7"/>
  <c r="IA17" i="7"/>
  <c r="IA9" i="7"/>
  <c r="IA60" i="7"/>
  <c r="IA21" i="7"/>
  <c r="IA14" i="7"/>
  <c r="IA13" i="7"/>
  <c r="IA6" i="7"/>
  <c r="IA49" i="7"/>
  <c r="IA5" i="7"/>
  <c r="IA38" i="7"/>
  <c r="IA28" i="7"/>
  <c r="IA20" i="7"/>
  <c r="IA16" i="7"/>
  <c r="IA12" i="7"/>
  <c r="IA8" i="7"/>
  <c r="IA29" i="7"/>
  <c r="IA19" i="7"/>
  <c r="IA26" i="7"/>
  <c r="IA11" i="7"/>
  <c r="IY52" i="9"/>
  <c r="IY1" i="9"/>
  <c r="IY52" i="8"/>
  <c r="IY144" i="7"/>
  <c r="IY136" i="7"/>
  <c r="IY139" i="7"/>
  <c r="IY143" i="7"/>
  <c r="IY135" i="7"/>
  <c r="IY130" i="7"/>
  <c r="IY122" i="7"/>
  <c r="IY142" i="7"/>
  <c r="IY133" i="7"/>
  <c r="IY125" i="7"/>
  <c r="IY140" i="7"/>
  <c r="IY132" i="7"/>
  <c r="IY148" i="7"/>
  <c r="IY129" i="7"/>
  <c r="IY120" i="7"/>
  <c r="IY112" i="7"/>
  <c r="IY104" i="7"/>
  <c r="IY137" i="7"/>
  <c r="IY128" i="7"/>
  <c r="IY127" i="7"/>
  <c r="IY118" i="7"/>
  <c r="IY115" i="7"/>
  <c r="IY107" i="7"/>
  <c r="IY141" i="7"/>
  <c r="IY138" i="7"/>
  <c r="IY126" i="7"/>
  <c r="IY114" i="7"/>
  <c r="IY106" i="7"/>
  <c r="IY123" i="7"/>
  <c r="IY116" i="7"/>
  <c r="IY100" i="7"/>
  <c r="IY92" i="7"/>
  <c r="IY117" i="7"/>
  <c r="IY108" i="7"/>
  <c r="IY95" i="7"/>
  <c r="IY87" i="7"/>
  <c r="IY134" i="7"/>
  <c r="IY124" i="7"/>
  <c r="IY1" i="8"/>
  <c r="IY121" i="7"/>
  <c r="IY131" i="7"/>
  <c r="IY113" i="7"/>
  <c r="IY94" i="7"/>
  <c r="IY89" i="7"/>
  <c r="IY88" i="7"/>
  <c r="IY84" i="7"/>
  <c r="IY76" i="7"/>
  <c r="IY68" i="7"/>
  <c r="IY99" i="7"/>
  <c r="IY96" i="7"/>
  <c r="IY85" i="7"/>
  <c r="IY79" i="7"/>
  <c r="IY71" i="7"/>
  <c r="IY63" i="7"/>
  <c r="IY110" i="7"/>
  <c r="IY109" i="7"/>
  <c r="IY111" i="7"/>
  <c r="IY119" i="7"/>
  <c r="IY103" i="7"/>
  <c r="IY78" i="7"/>
  <c r="IY70" i="7"/>
  <c r="IY105" i="7"/>
  <c r="IY90" i="7"/>
  <c r="IY86" i="7"/>
  <c r="IY80" i="7"/>
  <c r="IY65" i="7"/>
  <c r="IY91" i="7"/>
  <c r="IY72" i="7"/>
  <c r="IY102" i="7"/>
  <c r="IY101" i="7"/>
  <c r="IY74" i="7"/>
  <c r="IY93" i="7"/>
  <c r="IY66" i="7"/>
  <c r="IY73" i="7"/>
  <c r="IY97" i="7"/>
  <c r="IY75" i="7"/>
  <c r="IY98" i="7"/>
  <c r="IY83" i="7"/>
  <c r="IY77" i="7"/>
  <c r="IY56" i="7"/>
  <c r="IY48" i="7"/>
  <c r="IY40" i="7"/>
  <c r="IY32" i="7"/>
  <c r="IY24" i="7"/>
  <c r="IY59" i="7"/>
  <c r="IY51" i="7"/>
  <c r="IY43" i="7"/>
  <c r="IY35" i="7"/>
  <c r="IY27" i="7"/>
  <c r="IY81" i="7"/>
  <c r="IY82" i="7"/>
  <c r="IY64" i="7"/>
  <c r="IY69" i="7"/>
  <c r="IY67" i="7"/>
  <c r="IY58" i="7"/>
  <c r="IY50" i="7"/>
  <c r="IY42" i="7"/>
  <c r="IY34" i="7"/>
  <c r="IY55" i="7"/>
  <c r="IY36" i="7"/>
  <c r="IY33" i="7"/>
  <c r="IY54" i="7"/>
  <c r="IY47" i="7"/>
  <c r="IY60" i="7"/>
  <c r="IY45" i="7"/>
  <c r="IY41" i="7"/>
  <c r="IY62" i="7"/>
  <c r="IY52" i="7"/>
  <c r="IY29" i="7"/>
  <c r="IY15" i="7"/>
  <c r="IY7" i="7"/>
  <c r="IY53" i="7"/>
  <c r="IY30" i="7"/>
  <c r="IY26" i="7"/>
  <c r="IY23" i="7"/>
  <c r="IY18" i="7"/>
  <c r="IY10" i="7"/>
  <c r="IY2" i="7"/>
  <c r="IY57" i="7"/>
  <c r="IY46" i="7"/>
  <c r="IY44" i="7"/>
  <c r="IY61" i="7"/>
  <c r="IY49" i="7"/>
  <c r="IY38" i="7"/>
  <c r="IY37" i="7"/>
  <c r="IY25" i="7"/>
  <c r="IY17" i="7"/>
  <c r="IY9" i="7"/>
  <c r="IY28" i="7"/>
  <c r="IY22" i="7"/>
  <c r="IY3" i="7"/>
  <c r="IY21" i="7"/>
  <c r="IY14" i="7"/>
  <c r="IY13" i="7"/>
  <c r="IY6" i="7"/>
  <c r="IY5" i="7"/>
  <c r="IY39" i="7"/>
  <c r="IY20" i="7"/>
  <c r="IY16" i="7"/>
  <c r="IY12" i="7"/>
  <c r="IY19" i="7"/>
  <c r="IY4" i="7"/>
  <c r="JG52" i="9"/>
  <c r="JG1" i="9"/>
  <c r="JG52" i="8"/>
  <c r="JG144" i="7"/>
  <c r="JG136" i="7"/>
  <c r="JG139" i="7"/>
  <c r="JG1" i="8"/>
  <c r="JG130" i="7"/>
  <c r="JG122" i="7"/>
  <c r="JG140" i="7"/>
  <c r="JG135" i="7"/>
  <c r="JG133" i="7"/>
  <c r="JG125" i="7"/>
  <c r="JG132" i="7"/>
  <c r="JG134" i="7"/>
  <c r="JG126" i="7"/>
  <c r="JG112" i="7"/>
  <c r="JG104" i="7"/>
  <c r="JG138" i="7"/>
  <c r="JG123" i="7"/>
  <c r="JG119" i="7"/>
  <c r="JG115" i="7"/>
  <c r="JG107" i="7"/>
  <c r="JG142" i="7"/>
  <c r="JG141" i="7"/>
  <c r="JG143" i="7"/>
  <c r="JG148" i="7"/>
  <c r="JG137" i="7"/>
  <c r="JG131" i="7"/>
  <c r="JG114" i="7"/>
  <c r="JG106" i="7"/>
  <c r="JG129" i="7"/>
  <c r="JG121" i="7"/>
  <c r="JG102" i="7"/>
  <c r="JG99" i="7"/>
  <c r="JG92" i="7"/>
  <c r="JG118" i="7"/>
  <c r="JG113" i="7"/>
  <c r="JG95" i="7"/>
  <c r="JG87" i="7"/>
  <c r="JG116" i="7"/>
  <c r="JG120" i="7"/>
  <c r="JG127" i="7"/>
  <c r="JG111" i="7"/>
  <c r="JG94" i="7"/>
  <c r="JG128" i="7"/>
  <c r="JG90" i="7"/>
  <c r="JG84" i="7"/>
  <c r="JG76" i="7"/>
  <c r="JG68" i="7"/>
  <c r="JG124" i="7"/>
  <c r="JG79" i="7"/>
  <c r="JG71" i="7"/>
  <c r="JG63" i="7"/>
  <c r="JG105" i="7"/>
  <c r="JG109" i="7"/>
  <c r="JG108" i="7"/>
  <c r="JG100" i="7"/>
  <c r="JG86" i="7"/>
  <c r="JG78" i="7"/>
  <c r="JG70" i="7"/>
  <c r="JG101" i="7"/>
  <c r="JG88" i="7"/>
  <c r="JG66" i="7"/>
  <c r="JG97" i="7"/>
  <c r="JG96" i="7"/>
  <c r="JG85" i="7"/>
  <c r="JG81" i="7"/>
  <c r="JG77" i="7"/>
  <c r="JG103" i="7"/>
  <c r="JG110" i="7"/>
  <c r="JG89" i="7"/>
  <c r="JG72" i="7"/>
  <c r="JG67" i="7"/>
  <c r="JG98" i="7"/>
  <c r="JG91" i="7"/>
  <c r="JG80" i="7"/>
  <c r="JG117" i="7"/>
  <c r="JG74" i="7"/>
  <c r="JG56" i="7"/>
  <c r="JG48" i="7"/>
  <c r="JG40" i="7"/>
  <c r="JG32" i="7"/>
  <c r="JG24" i="7"/>
  <c r="JG93" i="7"/>
  <c r="JG64" i="7"/>
  <c r="JG59" i="7"/>
  <c r="JG51" i="7"/>
  <c r="JG43" i="7"/>
  <c r="JG35" i="7"/>
  <c r="JG27" i="7"/>
  <c r="JG82" i="7"/>
  <c r="JG69" i="7"/>
  <c r="JG75" i="7"/>
  <c r="JG65" i="7"/>
  <c r="JG83" i="7"/>
  <c r="JG73" i="7"/>
  <c r="JG62" i="7"/>
  <c r="JG58" i="7"/>
  <c r="JG50" i="7"/>
  <c r="JG42" i="7"/>
  <c r="JG34" i="7"/>
  <c r="JG60" i="7"/>
  <c r="JG45" i="7"/>
  <c r="JG41" i="7"/>
  <c r="JG52" i="7"/>
  <c r="JG37" i="7"/>
  <c r="JG46" i="7"/>
  <c r="JG39" i="7"/>
  <c r="JG57" i="7"/>
  <c r="JG25" i="7"/>
  <c r="JG15" i="7"/>
  <c r="JG7" i="7"/>
  <c r="JG18" i="7"/>
  <c r="JG10" i="7"/>
  <c r="JG2" i="7"/>
  <c r="JG47" i="7"/>
  <c r="JG36" i="7"/>
  <c r="JG49" i="7"/>
  <c r="JG38" i="7"/>
  <c r="JG61" i="7"/>
  <c r="JG54" i="7"/>
  <c r="JG53" i="7"/>
  <c r="JG33" i="7"/>
  <c r="JG31" i="7"/>
  <c r="JG17" i="7"/>
  <c r="JG9" i="7"/>
  <c r="JG30" i="7"/>
  <c r="JG12" i="7"/>
  <c r="JG8" i="7"/>
  <c r="JG19" i="7"/>
  <c r="JG4" i="7"/>
  <c r="JG11" i="7"/>
  <c r="JG22" i="7"/>
  <c r="JG28" i="7"/>
  <c r="JG21" i="7"/>
  <c r="JG14" i="7"/>
  <c r="JG55" i="7"/>
  <c r="JG13" i="7"/>
  <c r="JG44" i="7"/>
  <c r="JG29" i="7"/>
  <c r="JG23" i="7"/>
  <c r="JG5" i="7"/>
  <c r="JW52" i="9"/>
  <c r="JW1" i="9"/>
  <c r="JW52" i="8"/>
  <c r="JW144" i="7"/>
  <c r="JW136" i="7"/>
  <c r="JW139" i="7"/>
  <c r="JW138" i="7"/>
  <c r="JW137" i="7"/>
  <c r="JW130" i="7"/>
  <c r="JW122" i="7"/>
  <c r="JW1" i="8"/>
  <c r="JW143" i="7"/>
  <c r="JW133" i="7"/>
  <c r="JW125" i="7"/>
  <c r="JW132" i="7"/>
  <c r="JW124" i="7"/>
  <c r="JW112" i="7"/>
  <c r="JW104" i="7"/>
  <c r="JW129" i="7"/>
  <c r="JW121" i="7"/>
  <c r="JW115" i="7"/>
  <c r="JW107" i="7"/>
  <c r="JW99" i="7"/>
  <c r="JW142" i="7"/>
  <c r="JW140" i="7"/>
  <c r="JW135" i="7"/>
  <c r="JW141" i="7"/>
  <c r="JW134" i="7"/>
  <c r="JW120" i="7"/>
  <c r="JW114" i="7"/>
  <c r="JW106" i="7"/>
  <c r="JW128" i="7"/>
  <c r="JW109" i="7"/>
  <c r="JW105" i="7"/>
  <c r="JW92" i="7"/>
  <c r="JW118" i="7"/>
  <c r="JW116" i="7"/>
  <c r="JW101" i="7"/>
  <c r="JW95" i="7"/>
  <c r="JW87" i="7"/>
  <c r="JW131" i="7"/>
  <c r="JW126" i="7"/>
  <c r="JW119" i="7"/>
  <c r="JW148" i="7"/>
  <c r="JW123" i="7"/>
  <c r="JW102" i="7"/>
  <c r="JW100" i="7"/>
  <c r="JW94" i="7"/>
  <c r="JW97" i="7"/>
  <c r="JW93" i="7"/>
  <c r="JW84" i="7"/>
  <c r="JW76" i="7"/>
  <c r="JW68" i="7"/>
  <c r="JW110" i="7"/>
  <c r="JW89" i="7"/>
  <c r="JW79" i="7"/>
  <c r="JW71" i="7"/>
  <c r="JW63" i="7"/>
  <c r="JW111" i="7"/>
  <c r="JW113" i="7"/>
  <c r="JW117" i="7"/>
  <c r="JW127" i="7"/>
  <c r="JW90" i="7"/>
  <c r="JW88" i="7"/>
  <c r="JW78" i="7"/>
  <c r="JW70" i="7"/>
  <c r="JW103" i="7"/>
  <c r="JW91" i="7"/>
  <c r="JW73" i="7"/>
  <c r="JW69" i="7"/>
  <c r="JW80" i="7"/>
  <c r="JW65" i="7"/>
  <c r="JW108" i="7"/>
  <c r="JW98" i="7"/>
  <c r="JW86" i="7"/>
  <c r="JW82" i="7"/>
  <c r="JW75" i="7"/>
  <c r="JW85" i="7"/>
  <c r="JW67" i="7"/>
  <c r="JW96" i="7"/>
  <c r="JW77" i="7"/>
  <c r="JW64" i="7"/>
  <c r="JW62" i="7"/>
  <c r="JW56" i="7"/>
  <c r="JW48" i="7"/>
  <c r="JW40" i="7"/>
  <c r="JW32" i="7"/>
  <c r="JW24" i="7"/>
  <c r="JW66" i="7"/>
  <c r="JW59" i="7"/>
  <c r="JW51" i="7"/>
  <c r="JW43" i="7"/>
  <c r="JW35" i="7"/>
  <c r="JW27" i="7"/>
  <c r="JW83" i="7"/>
  <c r="JW72" i="7"/>
  <c r="JW74" i="7"/>
  <c r="JW81" i="7"/>
  <c r="JW58" i="7"/>
  <c r="JW50" i="7"/>
  <c r="JW42" i="7"/>
  <c r="JW34" i="7"/>
  <c r="JW44" i="7"/>
  <c r="JW55" i="7"/>
  <c r="JW36" i="7"/>
  <c r="JW53" i="7"/>
  <c r="JW49" i="7"/>
  <c r="JW60" i="7"/>
  <c r="JW15" i="7"/>
  <c r="JW7" i="7"/>
  <c r="JW18" i="7"/>
  <c r="JW10" i="7"/>
  <c r="JW2" i="7"/>
  <c r="JW57" i="7"/>
  <c r="JW46" i="7"/>
  <c r="JW45" i="7"/>
  <c r="JW47" i="7"/>
  <c r="JW38" i="7"/>
  <c r="JW37" i="7"/>
  <c r="JW39" i="7"/>
  <c r="JW33" i="7"/>
  <c r="JW29" i="7"/>
  <c r="JW17" i="7"/>
  <c r="JW9" i="7"/>
  <c r="JW61" i="7"/>
  <c r="JW26" i="7"/>
  <c r="JW11" i="7"/>
  <c r="JW30" i="7"/>
  <c r="JW22" i="7"/>
  <c r="JW3" i="7"/>
  <c r="JW54" i="7"/>
  <c r="JW21" i="7"/>
  <c r="JW14" i="7"/>
  <c r="JW31" i="7"/>
  <c r="JW13" i="7"/>
  <c r="JW6" i="7"/>
  <c r="JW28" i="7"/>
  <c r="JW5" i="7"/>
  <c r="JW25" i="7"/>
  <c r="JW20" i="7"/>
  <c r="JW16" i="7"/>
  <c r="JW52" i="7"/>
  <c r="JW23" i="7"/>
  <c r="JW12" i="7"/>
  <c r="JW8" i="7"/>
  <c r="D139" i="7"/>
  <c r="D142" i="7"/>
  <c r="D141" i="7"/>
  <c r="D133" i="7"/>
  <c r="D125" i="7"/>
  <c r="D137" i="7"/>
  <c r="D128" i="7"/>
  <c r="D120" i="7"/>
  <c r="D136" i="7"/>
  <c r="D135" i="7"/>
  <c r="D140" i="7"/>
  <c r="D127" i="7"/>
  <c r="D118" i="7"/>
  <c r="D115" i="7"/>
  <c r="D107" i="7"/>
  <c r="D132" i="7"/>
  <c r="D124" i="7"/>
  <c r="D110" i="7"/>
  <c r="D102" i="7"/>
  <c r="D143" i="7"/>
  <c r="D144" i="7"/>
  <c r="D138" i="7"/>
  <c r="D134" i="7"/>
  <c r="D123" i="7"/>
  <c r="D117" i="7"/>
  <c r="D109" i="7"/>
  <c r="D130" i="7"/>
  <c r="D112" i="7"/>
  <c r="D108" i="7"/>
  <c r="D95" i="7"/>
  <c r="D87" i="7"/>
  <c r="D104" i="7"/>
  <c r="D98" i="7"/>
  <c r="D90" i="7"/>
  <c r="D121" i="7"/>
  <c r="D122" i="7"/>
  <c r="D119" i="7"/>
  <c r="D105" i="7"/>
  <c r="D97" i="7"/>
  <c r="D113" i="7"/>
  <c r="D96" i="7"/>
  <c r="D79" i="7"/>
  <c r="D71" i="7"/>
  <c r="D63" i="7"/>
  <c r="D114" i="7"/>
  <c r="D103" i="7"/>
  <c r="D92" i="7"/>
  <c r="D82" i="7"/>
  <c r="D74" i="7"/>
  <c r="D66" i="7"/>
  <c r="D116" i="7"/>
  <c r="D131" i="7"/>
  <c r="D106" i="7"/>
  <c r="D111" i="7"/>
  <c r="D93" i="7"/>
  <c r="D81" i="7"/>
  <c r="D73" i="7"/>
  <c r="D65" i="7"/>
  <c r="D100" i="7"/>
  <c r="D76" i="7"/>
  <c r="D72" i="7"/>
  <c r="D99" i="7"/>
  <c r="D83" i="7"/>
  <c r="D68" i="7"/>
  <c r="D126" i="7"/>
  <c r="D129" i="7"/>
  <c r="D91" i="7"/>
  <c r="D88" i="7"/>
  <c r="D85" i="7"/>
  <c r="D78" i="7"/>
  <c r="D80" i="7"/>
  <c r="D94" i="7"/>
  <c r="D84" i="7"/>
  <c r="D59" i="7"/>
  <c r="D51" i="7"/>
  <c r="D43" i="7"/>
  <c r="D35" i="7"/>
  <c r="D27" i="7"/>
  <c r="D86" i="7"/>
  <c r="D62" i="7"/>
  <c r="D54" i="7"/>
  <c r="D46" i="7"/>
  <c r="D38" i="7"/>
  <c r="D30" i="7"/>
  <c r="D75" i="7"/>
  <c r="D101" i="7"/>
  <c r="D89" i="7"/>
  <c r="D70" i="7"/>
  <c r="D64" i="7"/>
  <c r="D69" i="7"/>
  <c r="D67" i="7"/>
  <c r="D61" i="7"/>
  <c r="D53" i="7"/>
  <c r="D45" i="7"/>
  <c r="D37" i="7"/>
  <c r="D47" i="7"/>
  <c r="D58" i="7"/>
  <c r="D39" i="7"/>
  <c r="D77" i="7"/>
  <c r="D56" i="7"/>
  <c r="D52" i="7"/>
  <c r="D26" i="7"/>
  <c r="D18" i="7"/>
  <c r="D10" i="7"/>
  <c r="D2" i="7"/>
  <c r="D60" i="7"/>
  <c r="D49" i="7"/>
  <c r="D48" i="7"/>
  <c r="D36" i="7"/>
  <c r="D21" i="7"/>
  <c r="D13" i="7"/>
  <c r="D5" i="7"/>
  <c r="D50" i="7"/>
  <c r="D41" i="7"/>
  <c r="D40" i="7"/>
  <c r="D42" i="7"/>
  <c r="D57" i="7"/>
  <c r="D55" i="7"/>
  <c r="D44" i="7"/>
  <c r="D32" i="7"/>
  <c r="D20" i="7"/>
  <c r="D12" i="7"/>
  <c r="D4" i="7"/>
  <c r="D14" i="7"/>
  <c r="D6" i="7"/>
  <c r="D29" i="7"/>
  <c r="D17" i="7"/>
  <c r="D33" i="7"/>
  <c r="D24" i="7"/>
  <c r="D16" i="7"/>
  <c r="D9" i="7"/>
  <c r="D34" i="7"/>
  <c r="D8" i="7"/>
  <c r="D23" i="7"/>
  <c r="D19" i="7"/>
  <c r="D31" i="7"/>
  <c r="D15" i="7"/>
  <c r="D11" i="7"/>
  <c r="L52" i="9"/>
  <c r="L52" i="8"/>
  <c r="L1" i="9"/>
  <c r="L1" i="8"/>
  <c r="L139" i="7"/>
  <c r="L142" i="7"/>
  <c r="L141" i="7"/>
  <c r="L144" i="7"/>
  <c r="L140" i="7"/>
  <c r="L133" i="7"/>
  <c r="L125" i="7"/>
  <c r="L128" i="7"/>
  <c r="L120" i="7"/>
  <c r="L148" i="7"/>
  <c r="L138" i="7"/>
  <c r="L135" i="7"/>
  <c r="L130" i="7"/>
  <c r="L123" i="7"/>
  <c r="L119" i="7"/>
  <c r="L115" i="7"/>
  <c r="L107" i="7"/>
  <c r="L118" i="7"/>
  <c r="L110" i="7"/>
  <c r="L102" i="7"/>
  <c r="L136" i="7"/>
  <c r="L137" i="7"/>
  <c r="L143" i="7"/>
  <c r="L117" i="7"/>
  <c r="L109" i="7"/>
  <c r="L113" i="7"/>
  <c r="L106" i="7"/>
  <c r="L95" i="7"/>
  <c r="L87" i="7"/>
  <c r="L134" i="7"/>
  <c r="L105" i="7"/>
  <c r="L100" i="7"/>
  <c r="L98" i="7"/>
  <c r="L90" i="7"/>
  <c r="L122" i="7"/>
  <c r="L129" i="7"/>
  <c r="L126" i="7"/>
  <c r="L131" i="7"/>
  <c r="L127" i="7"/>
  <c r="L132" i="7"/>
  <c r="L124" i="7"/>
  <c r="L103" i="7"/>
  <c r="L97" i="7"/>
  <c r="L94" i="7"/>
  <c r="L79" i="7"/>
  <c r="L71" i="7"/>
  <c r="L63" i="7"/>
  <c r="L108" i="7"/>
  <c r="L101" i="7"/>
  <c r="L93" i="7"/>
  <c r="L88" i="7"/>
  <c r="L82" i="7"/>
  <c r="L74" i="7"/>
  <c r="L66" i="7"/>
  <c r="L121" i="7"/>
  <c r="L112" i="7"/>
  <c r="L111" i="7"/>
  <c r="L116" i="7"/>
  <c r="L114" i="7"/>
  <c r="L91" i="7"/>
  <c r="L81" i="7"/>
  <c r="L73" i="7"/>
  <c r="L65" i="7"/>
  <c r="L77" i="7"/>
  <c r="L70" i="7"/>
  <c r="L69" i="7"/>
  <c r="L104" i="7"/>
  <c r="L96" i="7"/>
  <c r="L86" i="7"/>
  <c r="L83" i="7"/>
  <c r="L84" i="7"/>
  <c r="L72" i="7"/>
  <c r="L85" i="7"/>
  <c r="L92" i="7"/>
  <c r="L89" i="7"/>
  <c r="L75" i="7"/>
  <c r="L99" i="7"/>
  <c r="L78" i="7"/>
  <c r="L59" i="7"/>
  <c r="L51" i="7"/>
  <c r="L43" i="7"/>
  <c r="L35" i="7"/>
  <c r="L27" i="7"/>
  <c r="L62" i="7"/>
  <c r="L54" i="7"/>
  <c r="L46" i="7"/>
  <c r="L38" i="7"/>
  <c r="L30" i="7"/>
  <c r="L76" i="7"/>
  <c r="L80" i="7"/>
  <c r="L67" i="7"/>
  <c r="L64" i="7"/>
  <c r="L68" i="7"/>
  <c r="L61" i="7"/>
  <c r="L53" i="7"/>
  <c r="L45" i="7"/>
  <c r="L37" i="7"/>
  <c r="L56" i="7"/>
  <c r="L52" i="7"/>
  <c r="L48" i="7"/>
  <c r="L44" i="7"/>
  <c r="L57" i="7"/>
  <c r="L50" i="7"/>
  <c r="L40" i="7"/>
  <c r="L39" i="7"/>
  <c r="L32" i="7"/>
  <c r="L24" i="7"/>
  <c r="L18" i="7"/>
  <c r="L10" i="7"/>
  <c r="L2" i="7"/>
  <c r="L41" i="7"/>
  <c r="L33" i="7"/>
  <c r="L29" i="7"/>
  <c r="L21" i="7"/>
  <c r="L13" i="7"/>
  <c r="L5" i="7"/>
  <c r="L55" i="7"/>
  <c r="L42" i="7"/>
  <c r="L58" i="7"/>
  <c r="L47" i="7"/>
  <c r="L60" i="7"/>
  <c r="L49" i="7"/>
  <c r="L34" i="7"/>
  <c r="L28" i="7"/>
  <c r="L25" i="7"/>
  <c r="L20" i="7"/>
  <c r="L12" i="7"/>
  <c r="L4" i="7"/>
  <c r="L23" i="7"/>
  <c r="L19" i="7"/>
  <c r="L36" i="7"/>
  <c r="L15" i="7"/>
  <c r="L11" i="7"/>
  <c r="L22" i="7"/>
  <c r="L7" i="7"/>
  <c r="L31" i="7"/>
  <c r="L14" i="7"/>
  <c r="L6" i="7"/>
  <c r="L17" i="7"/>
  <c r="L26" i="7"/>
  <c r="L16" i="7"/>
  <c r="L9" i="7"/>
  <c r="T52" i="9"/>
  <c r="T1" i="9"/>
  <c r="T52" i="8"/>
  <c r="T1" i="8"/>
  <c r="T139" i="7"/>
  <c r="T142" i="7"/>
  <c r="T141" i="7"/>
  <c r="T138" i="7"/>
  <c r="T136" i="7"/>
  <c r="T133" i="7"/>
  <c r="T125" i="7"/>
  <c r="T148" i="7"/>
  <c r="T128" i="7"/>
  <c r="T120" i="7"/>
  <c r="T135" i="7"/>
  <c r="T131" i="7"/>
  <c r="T115" i="7"/>
  <c r="T107" i="7"/>
  <c r="T140" i="7"/>
  <c r="T126" i="7"/>
  <c r="T122" i="7"/>
  <c r="T119" i="7"/>
  <c r="T110" i="7"/>
  <c r="T102" i="7"/>
  <c r="T137" i="7"/>
  <c r="T134" i="7"/>
  <c r="T144" i="7"/>
  <c r="T143" i="7"/>
  <c r="T121" i="7"/>
  <c r="T117" i="7"/>
  <c r="T109" i="7"/>
  <c r="T118" i="7"/>
  <c r="T111" i="7"/>
  <c r="T95" i="7"/>
  <c r="T87" i="7"/>
  <c r="T130" i="7"/>
  <c r="T129" i="7"/>
  <c r="T103" i="7"/>
  <c r="T98" i="7"/>
  <c r="T90" i="7"/>
  <c r="T127" i="7"/>
  <c r="T132" i="7"/>
  <c r="T124" i="7"/>
  <c r="T112" i="7"/>
  <c r="T108" i="7"/>
  <c r="T101" i="7"/>
  <c r="T97" i="7"/>
  <c r="T123" i="7"/>
  <c r="T99" i="7"/>
  <c r="T79" i="7"/>
  <c r="T71" i="7"/>
  <c r="T63" i="7"/>
  <c r="T113" i="7"/>
  <c r="T91" i="7"/>
  <c r="T82" i="7"/>
  <c r="T74" i="7"/>
  <c r="T66" i="7"/>
  <c r="T114" i="7"/>
  <c r="T116" i="7"/>
  <c r="T105" i="7"/>
  <c r="T96" i="7"/>
  <c r="T89" i="7"/>
  <c r="T81" i="7"/>
  <c r="T73" i="7"/>
  <c r="T65" i="7"/>
  <c r="T94" i="7"/>
  <c r="T86" i="7"/>
  <c r="T75" i="7"/>
  <c r="T67" i="7"/>
  <c r="T104" i="7"/>
  <c r="T106" i="7"/>
  <c r="T88" i="7"/>
  <c r="T69" i="7"/>
  <c r="T100" i="7"/>
  <c r="T77" i="7"/>
  <c r="T76" i="7"/>
  <c r="T92" i="7"/>
  <c r="T78" i="7"/>
  <c r="T80" i="7"/>
  <c r="T59" i="7"/>
  <c r="T51" i="7"/>
  <c r="T43" i="7"/>
  <c r="T35" i="7"/>
  <c r="T27" i="7"/>
  <c r="T62" i="7"/>
  <c r="T54" i="7"/>
  <c r="T46" i="7"/>
  <c r="T38" i="7"/>
  <c r="T30" i="7"/>
  <c r="T83" i="7"/>
  <c r="T72" i="7"/>
  <c r="T84" i="7"/>
  <c r="T68" i="7"/>
  <c r="T93" i="7"/>
  <c r="T85" i="7"/>
  <c r="T70" i="7"/>
  <c r="T61" i="7"/>
  <c r="T53" i="7"/>
  <c r="T45" i="7"/>
  <c r="T37" i="7"/>
  <c r="T57" i="7"/>
  <c r="T50" i="7"/>
  <c r="T49" i="7"/>
  <c r="T42" i="7"/>
  <c r="T55" i="7"/>
  <c r="T40" i="7"/>
  <c r="T36" i="7"/>
  <c r="T56" i="7"/>
  <c r="T44" i="7"/>
  <c r="T28" i="7"/>
  <c r="T18" i="7"/>
  <c r="T10" i="7"/>
  <c r="T2" i="7"/>
  <c r="T24" i="7"/>
  <c r="T21" i="7"/>
  <c r="T13" i="7"/>
  <c r="T5" i="7"/>
  <c r="T60" i="7"/>
  <c r="T58" i="7"/>
  <c r="T47" i="7"/>
  <c r="T48" i="7"/>
  <c r="T64" i="7"/>
  <c r="T52" i="7"/>
  <c r="T41" i="7"/>
  <c r="T39" i="7"/>
  <c r="T20" i="7"/>
  <c r="T12" i="7"/>
  <c r="T4" i="7"/>
  <c r="T17" i="7"/>
  <c r="T32" i="7"/>
  <c r="T16" i="7"/>
  <c r="T9" i="7"/>
  <c r="T29" i="7"/>
  <c r="T8" i="7"/>
  <c r="T33" i="7"/>
  <c r="T26" i="7"/>
  <c r="T23" i="7"/>
  <c r="T19" i="7"/>
  <c r="T15" i="7"/>
  <c r="T11" i="7"/>
  <c r="T22" i="7"/>
  <c r="T25" i="7"/>
  <c r="T14" i="7"/>
  <c r="AB52" i="9"/>
  <c r="AB1" i="9"/>
  <c r="AB1" i="8"/>
  <c r="AB52" i="8"/>
  <c r="AB139" i="7"/>
  <c r="AB142" i="7"/>
  <c r="AB141" i="7"/>
  <c r="AB143" i="7"/>
  <c r="AB133" i="7"/>
  <c r="AB125" i="7"/>
  <c r="AB136" i="7"/>
  <c r="AB128" i="7"/>
  <c r="AB120" i="7"/>
  <c r="AB144" i="7"/>
  <c r="AB140" i="7"/>
  <c r="AB135" i="7"/>
  <c r="AB138" i="7"/>
  <c r="AB129" i="7"/>
  <c r="AB121" i="7"/>
  <c r="AB115" i="7"/>
  <c r="AB107" i="7"/>
  <c r="AB110" i="7"/>
  <c r="AB102" i="7"/>
  <c r="AB148" i="7"/>
  <c r="AB137" i="7"/>
  <c r="AB130" i="7"/>
  <c r="AB127" i="7"/>
  <c r="AB117" i="7"/>
  <c r="AB109" i="7"/>
  <c r="AB119" i="7"/>
  <c r="AB116" i="7"/>
  <c r="AB101" i="7"/>
  <c r="AB95" i="7"/>
  <c r="AB87" i="7"/>
  <c r="AB112" i="7"/>
  <c r="AB108" i="7"/>
  <c r="AB98" i="7"/>
  <c r="AB90" i="7"/>
  <c r="AB122" i="7"/>
  <c r="AB126" i="7"/>
  <c r="AB123" i="7"/>
  <c r="AB118" i="7"/>
  <c r="AB134" i="7"/>
  <c r="AB131" i="7"/>
  <c r="AB113" i="7"/>
  <c r="AB106" i="7"/>
  <c r="AB97" i="7"/>
  <c r="AB114" i="7"/>
  <c r="AB104" i="7"/>
  <c r="AB103" i="7"/>
  <c r="AB89" i="7"/>
  <c r="AB79" i="7"/>
  <c r="AB71" i="7"/>
  <c r="AB63" i="7"/>
  <c r="AB105" i="7"/>
  <c r="AB96" i="7"/>
  <c r="AB86" i="7"/>
  <c r="AB82" i="7"/>
  <c r="AB74" i="7"/>
  <c r="AB66" i="7"/>
  <c r="AB132" i="7"/>
  <c r="AB94" i="7"/>
  <c r="AB81" i="7"/>
  <c r="AB73" i="7"/>
  <c r="AB65" i="7"/>
  <c r="AB99" i="7"/>
  <c r="AB84" i="7"/>
  <c r="AB80" i="7"/>
  <c r="AB88" i="7"/>
  <c r="AB76" i="7"/>
  <c r="AB72" i="7"/>
  <c r="AB93" i="7"/>
  <c r="AB69" i="7"/>
  <c r="AB83" i="7"/>
  <c r="AB85" i="7"/>
  <c r="AB59" i="7"/>
  <c r="AB51" i="7"/>
  <c r="AB43" i="7"/>
  <c r="AB35" i="7"/>
  <c r="AB27" i="7"/>
  <c r="AB124" i="7"/>
  <c r="AB111" i="7"/>
  <c r="AB92" i="7"/>
  <c r="AB77" i="7"/>
  <c r="AB64" i="7"/>
  <c r="AB62" i="7"/>
  <c r="AB54" i="7"/>
  <c r="AB46" i="7"/>
  <c r="AB38" i="7"/>
  <c r="AB30" i="7"/>
  <c r="AB70" i="7"/>
  <c r="AB91" i="7"/>
  <c r="AB78" i="7"/>
  <c r="AB75" i="7"/>
  <c r="AB100" i="7"/>
  <c r="AB67" i="7"/>
  <c r="AB61" i="7"/>
  <c r="AB53" i="7"/>
  <c r="AB45" i="7"/>
  <c r="AB37" i="7"/>
  <c r="AB68" i="7"/>
  <c r="AB55" i="7"/>
  <c r="AB40" i="7"/>
  <c r="AB36" i="7"/>
  <c r="AB34" i="7"/>
  <c r="AB47" i="7"/>
  <c r="AB60" i="7"/>
  <c r="AB41" i="7"/>
  <c r="AB49" i="7"/>
  <c r="AB48" i="7"/>
  <c r="AB25" i="7"/>
  <c r="AB18" i="7"/>
  <c r="AB10" i="7"/>
  <c r="AB2" i="7"/>
  <c r="AB50" i="7"/>
  <c r="AB39" i="7"/>
  <c r="AB31" i="7"/>
  <c r="AB21" i="7"/>
  <c r="AB13" i="7"/>
  <c r="AB5" i="7"/>
  <c r="AB52" i="7"/>
  <c r="AB42" i="7"/>
  <c r="AB57" i="7"/>
  <c r="AB56" i="7"/>
  <c r="AB44" i="7"/>
  <c r="AB58" i="7"/>
  <c r="AB26" i="7"/>
  <c r="AB20" i="7"/>
  <c r="AB12" i="7"/>
  <c r="AB4" i="7"/>
  <c r="AB33" i="7"/>
  <c r="AB22" i="7"/>
  <c r="AB7" i="7"/>
  <c r="AB3" i="7"/>
  <c r="AB14" i="7"/>
  <c r="AB6" i="7"/>
  <c r="AB28" i="7"/>
  <c r="AB17" i="7"/>
  <c r="AB16" i="7"/>
  <c r="AB9" i="7"/>
  <c r="AB24" i="7"/>
  <c r="AB32" i="7"/>
  <c r="AB23" i="7"/>
  <c r="AB19" i="7"/>
  <c r="AJ52" i="9"/>
  <c r="AJ1" i="9"/>
  <c r="AJ1" i="8"/>
  <c r="AJ52" i="8"/>
  <c r="AJ139" i="7"/>
  <c r="AJ142" i="7"/>
  <c r="AJ141" i="7"/>
  <c r="AJ133" i="7"/>
  <c r="AJ125" i="7"/>
  <c r="AJ144" i="7"/>
  <c r="AJ140" i="7"/>
  <c r="AJ137" i="7"/>
  <c r="AJ128" i="7"/>
  <c r="AJ120" i="7"/>
  <c r="AJ135" i="7"/>
  <c r="AJ134" i="7"/>
  <c r="AJ127" i="7"/>
  <c r="AJ115" i="7"/>
  <c r="AJ107" i="7"/>
  <c r="AJ130" i="7"/>
  <c r="AJ124" i="7"/>
  <c r="AJ110" i="7"/>
  <c r="AJ102" i="7"/>
  <c r="AJ143" i="7"/>
  <c r="AJ138" i="7"/>
  <c r="AJ136" i="7"/>
  <c r="AJ131" i="7"/>
  <c r="AJ123" i="7"/>
  <c r="AJ117" i="7"/>
  <c r="AJ109" i="7"/>
  <c r="AJ126" i="7"/>
  <c r="AJ118" i="7"/>
  <c r="AJ114" i="7"/>
  <c r="AJ95" i="7"/>
  <c r="AJ87" i="7"/>
  <c r="AJ148" i="7"/>
  <c r="AJ113" i="7"/>
  <c r="AJ106" i="7"/>
  <c r="AJ98" i="7"/>
  <c r="AJ90" i="7"/>
  <c r="AJ129" i="7"/>
  <c r="AJ121" i="7"/>
  <c r="AJ119" i="7"/>
  <c r="AJ132" i="7"/>
  <c r="AJ111" i="7"/>
  <c r="AJ97" i="7"/>
  <c r="AJ122" i="7"/>
  <c r="AJ108" i="7"/>
  <c r="AJ79" i="7"/>
  <c r="AJ71" i="7"/>
  <c r="AJ63" i="7"/>
  <c r="AJ94" i="7"/>
  <c r="AJ82" i="7"/>
  <c r="AJ74" i="7"/>
  <c r="AJ66" i="7"/>
  <c r="AJ112" i="7"/>
  <c r="AJ104" i="7"/>
  <c r="AJ99" i="7"/>
  <c r="AJ81" i="7"/>
  <c r="AJ73" i="7"/>
  <c r="AJ65" i="7"/>
  <c r="AJ93" i="7"/>
  <c r="AJ91" i="7"/>
  <c r="AJ86" i="7"/>
  <c r="AJ85" i="7"/>
  <c r="AJ78" i="7"/>
  <c r="AJ92" i="7"/>
  <c r="AJ77" i="7"/>
  <c r="AJ70" i="7"/>
  <c r="AJ103" i="7"/>
  <c r="AJ101" i="7"/>
  <c r="AJ76" i="7"/>
  <c r="AJ72" i="7"/>
  <c r="AJ116" i="7"/>
  <c r="AJ75" i="7"/>
  <c r="AJ105" i="7"/>
  <c r="AJ59" i="7"/>
  <c r="AJ51" i="7"/>
  <c r="AJ43" i="7"/>
  <c r="AJ35" i="7"/>
  <c r="AJ27" i="7"/>
  <c r="AJ84" i="7"/>
  <c r="AJ69" i="7"/>
  <c r="AJ62" i="7"/>
  <c r="AJ54" i="7"/>
  <c r="AJ46" i="7"/>
  <c r="AJ38" i="7"/>
  <c r="AJ30" i="7"/>
  <c r="AJ96" i="7"/>
  <c r="AJ88" i="7"/>
  <c r="AJ67" i="7"/>
  <c r="AJ64" i="7"/>
  <c r="AJ100" i="7"/>
  <c r="AJ89" i="7"/>
  <c r="AJ68" i="7"/>
  <c r="AJ83" i="7"/>
  <c r="AJ80" i="7"/>
  <c r="AJ61" i="7"/>
  <c r="AJ53" i="7"/>
  <c r="AJ45" i="7"/>
  <c r="AJ37" i="7"/>
  <c r="AJ60" i="7"/>
  <c r="AJ41" i="7"/>
  <c r="AJ56" i="7"/>
  <c r="AJ52" i="7"/>
  <c r="AJ58" i="7"/>
  <c r="AJ39" i="7"/>
  <c r="AJ34" i="7"/>
  <c r="AJ26" i="7"/>
  <c r="AJ18" i="7"/>
  <c r="AJ10" i="7"/>
  <c r="AJ2" i="7"/>
  <c r="AJ55" i="7"/>
  <c r="AJ44" i="7"/>
  <c r="AJ42" i="7"/>
  <c r="AJ25" i="7"/>
  <c r="AJ21" i="7"/>
  <c r="AJ13" i="7"/>
  <c r="AJ5" i="7"/>
  <c r="AJ57" i="7"/>
  <c r="AJ48" i="7"/>
  <c r="AJ47" i="7"/>
  <c r="AJ49" i="7"/>
  <c r="AJ50" i="7"/>
  <c r="AJ32" i="7"/>
  <c r="AJ20" i="7"/>
  <c r="AJ12" i="7"/>
  <c r="AJ4" i="7"/>
  <c r="AJ28" i="7"/>
  <c r="AJ8" i="7"/>
  <c r="AJ40" i="7"/>
  <c r="AJ24" i="7"/>
  <c r="AJ23" i="7"/>
  <c r="AJ19" i="7"/>
  <c r="AJ15" i="7"/>
  <c r="AJ11" i="7"/>
  <c r="AJ36" i="7"/>
  <c r="AJ29" i="7"/>
  <c r="AJ22" i="7"/>
  <c r="AJ7" i="7"/>
  <c r="AJ33" i="7"/>
  <c r="AJ14" i="7"/>
  <c r="AJ17" i="7"/>
  <c r="AR52" i="9"/>
  <c r="AR1" i="9"/>
  <c r="AR52" i="8"/>
  <c r="AR1" i="8"/>
  <c r="AR139" i="7"/>
  <c r="AR142" i="7"/>
  <c r="AR141" i="7"/>
  <c r="AR133" i="7"/>
  <c r="AR125" i="7"/>
  <c r="AR128" i="7"/>
  <c r="AR120" i="7"/>
  <c r="AR143" i="7"/>
  <c r="AR138" i="7"/>
  <c r="AR135" i="7"/>
  <c r="AR140" i="7"/>
  <c r="AR132" i="7"/>
  <c r="AR123" i="7"/>
  <c r="AR115" i="7"/>
  <c r="AR107" i="7"/>
  <c r="AR131" i="7"/>
  <c r="AR110" i="7"/>
  <c r="AR102" i="7"/>
  <c r="AR136" i="7"/>
  <c r="AR148" i="7"/>
  <c r="AR144" i="7"/>
  <c r="AR134" i="7"/>
  <c r="AR137" i="7"/>
  <c r="AR129" i="7"/>
  <c r="AR117" i="7"/>
  <c r="AR109" i="7"/>
  <c r="AR130" i="7"/>
  <c r="AR121" i="7"/>
  <c r="AR119" i="7"/>
  <c r="AR104" i="7"/>
  <c r="AR95" i="7"/>
  <c r="AR87" i="7"/>
  <c r="AR111" i="7"/>
  <c r="AR100" i="7"/>
  <c r="AR98" i="7"/>
  <c r="AR90" i="7"/>
  <c r="AR122" i="7"/>
  <c r="AR126" i="7"/>
  <c r="AR118" i="7"/>
  <c r="AR127" i="7"/>
  <c r="AR116" i="7"/>
  <c r="AR97" i="7"/>
  <c r="AR113" i="7"/>
  <c r="AR112" i="7"/>
  <c r="AR92" i="7"/>
  <c r="AR79" i="7"/>
  <c r="AR71" i="7"/>
  <c r="AR63" i="7"/>
  <c r="AR114" i="7"/>
  <c r="AR103" i="7"/>
  <c r="AR99" i="7"/>
  <c r="AR88" i="7"/>
  <c r="AR82" i="7"/>
  <c r="AR74" i="7"/>
  <c r="AR66" i="7"/>
  <c r="AR105" i="7"/>
  <c r="AR106" i="7"/>
  <c r="AR124" i="7"/>
  <c r="AR81" i="7"/>
  <c r="AR73" i="7"/>
  <c r="AR65" i="7"/>
  <c r="AR96" i="7"/>
  <c r="AR83" i="7"/>
  <c r="AR68" i="7"/>
  <c r="AR108" i="7"/>
  <c r="AR101" i="7"/>
  <c r="AR75" i="7"/>
  <c r="AR91" i="7"/>
  <c r="AR89" i="7"/>
  <c r="AR77" i="7"/>
  <c r="AR70" i="7"/>
  <c r="AR94" i="7"/>
  <c r="AR78" i="7"/>
  <c r="AR80" i="7"/>
  <c r="AR86" i="7"/>
  <c r="AR85" i="7"/>
  <c r="AR59" i="7"/>
  <c r="AR51" i="7"/>
  <c r="AR43" i="7"/>
  <c r="AR35" i="7"/>
  <c r="AR27" i="7"/>
  <c r="AR62" i="7"/>
  <c r="AR54" i="7"/>
  <c r="AR46" i="7"/>
  <c r="AR38" i="7"/>
  <c r="AR30" i="7"/>
  <c r="AR93" i="7"/>
  <c r="AR72" i="7"/>
  <c r="AR76" i="7"/>
  <c r="AR64" i="7"/>
  <c r="AR84" i="7"/>
  <c r="AR69" i="7"/>
  <c r="AR67" i="7"/>
  <c r="AR61" i="7"/>
  <c r="AR53" i="7"/>
  <c r="AR45" i="7"/>
  <c r="AR37" i="7"/>
  <c r="AR58" i="7"/>
  <c r="AR39" i="7"/>
  <c r="AR57" i="7"/>
  <c r="AR50" i="7"/>
  <c r="AR48" i="7"/>
  <c r="AR44" i="7"/>
  <c r="AR32" i="7"/>
  <c r="AR18" i="7"/>
  <c r="AR10" i="7"/>
  <c r="AR2" i="7"/>
  <c r="AR60" i="7"/>
  <c r="AR49" i="7"/>
  <c r="AR47" i="7"/>
  <c r="AR36" i="7"/>
  <c r="AR33" i="7"/>
  <c r="AR29" i="7"/>
  <c r="AR21" i="7"/>
  <c r="AR13" i="7"/>
  <c r="AR5" i="7"/>
  <c r="AR52" i="7"/>
  <c r="AR41" i="7"/>
  <c r="AR40" i="7"/>
  <c r="AR42" i="7"/>
  <c r="AR55" i="7"/>
  <c r="AR28" i="7"/>
  <c r="AR20" i="7"/>
  <c r="AR12" i="7"/>
  <c r="AR4" i="7"/>
  <c r="AR25" i="7"/>
  <c r="AR6" i="7"/>
  <c r="AR17" i="7"/>
  <c r="AR56" i="7"/>
  <c r="AR16" i="7"/>
  <c r="AR9" i="7"/>
  <c r="AR8" i="7"/>
  <c r="AR31" i="7"/>
  <c r="AR23" i="7"/>
  <c r="AR19" i="7"/>
  <c r="AR24" i="7"/>
  <c r="AR15" i="7"/>
  <c r="AR11" i="7"/>
  <c r="AR22" i="7"/>
  <c r="AR7" i="7"/>
  <c r="AR3" i="7"/>
  <c r="AZ52" i="9"/>
  <c r="AZ52" i="8"/>
  <c r="AZ1" i="9"/>
  <c r="AZ1" i="8"/>
  <c r="AZ139" i="7"/>
  <c r="AZ142" i="7"/>
  <c r="AZ141" i="7"/>
  <c r="AZ138" i="7"/>
  <c r="AZ133" i="7"/>
  <c r="AZ125" i="7"/>
  <c r="AZ143" i="7"/>
  <c r="AZ128" i="7"/>
  <c r="AZ120" i="7"/>
  <c r="AZ135" i="7"/>
  <c r="AZ144" i="7"/>
  <c r="AZ115" i="7"/>
  <c r="AZ107" i="7"/>
  <c r="AZ148" i="7"/>
  <c r="AZ129" i="7"/>
  <c r="AZ126" i="7"/>
  <c r="AZ122" i="7"/>
  <c r="AZ110" i="7"/>
  <c r="AZ102" i="7"/>
  <c r="AZ137" i="7"/>
  <c r="AZ140" i="7"/>
  <c r="AZ136" i="7"/>
  <c r="AZ134" i="7"/>
  <c r="AZ121" i="7"/>
  <c r="AZ118" i="7"/>
  <c r="AZ117" i="7"/>
  <c r="AZ109" i="7"/>
  <c r="AZ123" i="7"/>
  <c r="AZ105" i="7"/>
  <c r="AZ95" i="7"/>
  <c r="AZ87" i="7"/>
  <c r="AZ116" i="7"/>
  <c r="AZ98" i="7"/>
  <c r="AZ90" i="7"/>
  <c r="AZ127" i="7"/>
  <c r="AZ124" i="7"/>
  <c r="AZ119" i="7"/>
  <c r="AZ131" i="7"/>
  <c r="AZ130" i="7"/>
  <c r="AZ132" i="7"/>
  <c r="AZ114" i="7"/>
  <c r="AZ101" i="7"/>
  <c r="AZ97" i="7"/>
  <c r="AZ93" i="7"/>
  <c r="AZ79" i="7"/>
  <c r="AZ71" i="7"/>
  <c r="AZ63" i="7"/>
  <c r="AZ108" i="7"/>
  <c r="AZ106" i="7"/>
  <c r="AZ82" i="7"/>
  <c r="AZ74" i="7"/>
  <c r="AZ66" i="7"/>
  <c r="AZ112" i="7"/>
  <c r="AZ111" i="7"/>
  <c r="AZ113" i="7"/>
  <c r="AZ89" i="7"/>
  <c r="AZ81" i="7"/>
  <c r="AZ73" i="7"/>
  <c r="AZ65" i="7"/>
  <c r="AZ103" i="7"/>
  <c r="AZ69" i="7"/>
  <c r="AZ86" i="7"/>
  <c r="AZ84" i="7"/>
  <c r="AZ80" i="7"/>
  <c r="AZ104" i="7"/>
  <c r="AZ96" i="7"/>
  <c r="AZ94" i="7"/>
  <c r="AZ75" i="7"/>
  <c r="AZ92" i="7"/>
  <c r="AZ83" i="7"/>
  <c r="AZ72" i="7"/>
  <c r="AZ70" i="7"/>
  <c r="AZ88" i="7"/>
  <c r="AZ85" i="7"/>
  <c r="AZ100" i="7"/>
  <c r="AZ99" i="7"/>
  <c r="AZ76" i="7"/>
  <c r="AZ59" i="7"/>
  <c r="AZ51" i="7"/>
  <c r="AZ43" i="7"/>
  <c r="AZ35" i="7"/>
  <c r="AZ27" i="7"/>
  <c r="AZ91" i="7"/>
  <c r="AZ62" i="7"/>
  <c r="AZ54" i="7"/>
  <c r="AZ46" i="7"/>
  <c r="AZ38" i="7"/>
  <c r="AZ30" i="7"/>
  <c r="AZ77" i="7"/>
  <c r="AZ67" i="7"/>
  <c r="AZ78" i="7"/>
  <c r="AZ68" i="7"/>
  <c r="AZ61" i="7"/>
  <c r="AZ53" i="7"/>
  <c r="AZ45" i="7"/>
  <c r="AZ37" i="7"/>
  <c r="AZ48" i="7"/>
  <c r="AZ44" i="7"/>
  <c r="AZ55" i="7"/>
  <c r="AZ40" i="7"/>
  <c r="AZ36" i="7"/>
  <c r="AZ49" i="7"/>
  <c r="AZ42" i="7"/>
  <c r="AZ50" i="7"/>
  <c r="AZ39" i="7"/>
  <c r="AZ34" i="7"/>
  <c r="AZ28" i="7"/>
  <c r="AZ18" i="7"/>
  <c r="AZ10" i="7"/>
  <c r="AZ2" i="7"/>
  <c r="AZ52" i="7"/>
  <c r="AZ41" i="7"/>
  <c r="AZ21" i="7"/>
  <c r="AZ13" i="7"/>
  <c r="AZ5" i="7"/>
  <c r="AZ64" i="7"/>
  <c r="AZ57" i="7"/>
  <c r="AZ56" i="7"/>
  <c r="AZ58" i="7"/>
  <c r="AZ47" i="7"/>
  <c r="AZ60" i="7"/>
  <c r="AZ20" i="7"/>
  <c r="AZ12" i="7"/>
  <c r="AZ4" i="7"/>
  <c r="AZ31" i="7"/>
  <c r="AZ15" i="7"/>
  <c r="AZ11" i="7"/>
  <c r="AZ24" i="7"/>
  <c r="AZ22" i="7"/>
  <c r="AZ7" i="7"/>
  <c r="AZ3" i="7"/>
  <c r="AZ32" i="7"/>
  <c r="AZ14" i="7"/>
  <c r="AZ29" i="7"/>
  <c r="AZ6" i="7"/>
  <c r="AZ33" i="7"/>
  <c r="AZ26" i="7"/>
  <c r="AZ25" i="7"/>
  <c r="AZ17" i="7"/>
  <c r="AZ16" i="7"/>
  <c r="AZ9" i="7"/>
  <c r="AZ8" i="7"/>
  <c r="BH52" i="9"/>
  <c r="BH1" i="9"/>
  <c r="BH52" i="8"/>
  <c r="BH1" i="8"/>
  <c r="BH139" i="7"/>
  <c r="BH142" i="7"/>
  <c r="BH141" i="7"/>
  <c r="BH148" i="7"/>
  <c r="BH133" i="7"/>
  <c r="BH125" i="7"/>
  <c r="BH128" i="7"/>
  <c r="BH120" i="7"/>
  <c r="BH135" i="7"/>
  <c r="BH121" i="7"/>
  <c r="BH115" i="7"/>
  <c r="BH107" i="7"/>
  <c r="BH140" i="7"/>
  <c r="BH138" i="7"/>
  <c r="BH134" i="7"/>
  <c r="BH110" i="7"/>
  <c r="BH102" i="7"/>
  <c r="BH136" i="7"/>
  <c r="BH144" i="7"/>
  <c r="BH143" i="7"/>
  <c r="BH132" i="7"/>
  <c r="BH127" i="7"/>
  <c r="BH119" i="7"/>
  <c r="BH117" i="7"/>
  <c r="BH109" i="7"/>
  <c r="BH124" i="7"/>
  <c r="BH103" i="7"/>
  <c r="BH101" i="7"/>
  <c r="BH95" i="7"/>
  <c r="BH87" i="7"/>
  <c r="BH130" i="7"/>
  <c r="BH129" i="7"/>
  <c r="BH114" i="7"/>
  <c r="BH98" i="7"/>
  <c r="BH90" i="7"/>
  <c r="BH131" i="7"/>
  <c r="BH122" i="7"/>
  <c r="BH118" i="7"/>
  <c r="BH137" i="7"/>
  <c r="BH126" i="7"/>
  <c r="BH116" i="7"/>
  <c r="BH123" i="7"/>
  <c r="BH104" i="7"/>
  <c r="BH97" i="7"/>
  <c r="BH100" i="7"/>
  <c r="BH91" i="7"/>
  <c r="BH89" i="7"/>
  <c r="BH79" i="7"/>
  <c r="BH71" i="7"/>
  <c r="BH63" i="7"/>
  <c r="BH113" i="7"/>
  <c r="BH111" i="7"/>
  <c r="BH86" i="7"/>
  <c r="BH82" i="7"/>
  <c r="BH74" i="7"/>
  <c r="BH66" i="7"/>
  <c r="BH112" i="7"/>
  <c r="BH105" i="7"/>
  <c r="BH92" i="7"/>
  <c r="BH81" i="7"/>
  <c r="BH73" i="7"/>
  <c r="BH65" i="7"/>
  <c r="BH108" i="7"/>
  <c r="BH94" i="7"/>
  <c r="BH67" i="7"/>
  <c r="BH78" i="7"/>
  <c r="BH99" i="7"/>
  <c r="BH84" i="7"/>
  <c r="BH80" i="7"/>
  <c r="BH106" i="7"/>
  <c r="BH96" i="7"/>
  <c r="BH77" i="7"/>
  <c r="BH76" i="7"/>
  <c r="BH75" i="7"/>
  <c r="BH93" i="7"/>
  <c r="BH83" i="7"/>
  <c r="BH70" i="7"/>
  <c r="BH59" i="7"/>
  <c r="BH51" i="7"/>
  <c r="BH43" i="7"/>
  <c r="BH35" i="7"/>
  <c r="BH27" i="7"/>
  <c r="BH69" i="7"/>
  <c r="BH64" i="7"/>
  <c r="BH62" i="7"/>
  <c r="BH54" i="7"/>
  <c r="BH46" i="7"/>
  <c r="BH38" i="7"/>
  <c r="BH30" i="7"/>
  <c r="BH68" i="7"/>
  <c r="BH85" i="7"/>
  <c r="BH72" i="7"/>
  <c r="BH88" i="7"/>
  <c r="BH61" i="7"/>
  <c r="BH53" i="7"/>
  <c r="BH45" i="7"/>
  <c r="BH37" i="7"/>
  <c r="BH49" i="7"/>
  <c r="BH42" i="7"/>
  <c r="BH60" i="7"/>
  <c r="BH41" i="7"/>
  <c r="BH34" i="7"/>
  <c r="BH47" i="7"/>
  <c r="BH56" i="7"/>
  <c r="BH55" i="7"/>
  <c r="BH44" i="7"/>
  <c r="BH18" i="7"/>
  <c r="BH10" i="7"/>
  <c r="BH2" i="7"/>
  <c r="BH57" i="7"/>
  <c r="BH31" i="7"/>
  <c r="BH21" i="7"/>
  <c r="BH13" i="7"/>
  <c r="BH5" i="7"/>
  <c r="BH58" i="7"/>
  <c r="BH48" i="7"/>
  <c r="BH52" i="7"/>
  <c r="BH50" i="7"/>
  <c r="BH39" i="7"/>
  <c r="BH40" i="7"/>
  <c r="BH26" i="7"/>
  <c r="BH24" i="7"/>
  <c r="BH20" i="7"/>
  <c r="BH12" i="7"/>
  <c r="BH4" i="7"/>
  <c r="BH29" i="7"/>
  <c r="BH25" i="7"/>
  <c r="BH16" i="7"/>
  <c r="BH9" i="7"/>
  <c r="BH33" i="7"/>
  <c r="BH8" i="7"/>
  <c r="BH23" i="7"/>
  <c r="BH19" i="7"/>
  <c r="BH15" i="7"/>
  <c r="BH11" i="7"/>
  <c r="BH28" i="7"/>
  <c r="BH22" i="7"/>
  <c r="BH7" i="7"/>
  <c r="BH36" i="7"/>
  <c r="BH14" i="7"/>
  <c r="BH6" i="7"/>
  <c r="BP52" i="9"/>
  <c r="BP1" i="9"/>
  <c r="BP52" i="8"/>
  <c r="BP1" i="8"/>
  <c r="BP139" i="7"/>
  <c r="BP142" i="7"/>
  <c r="BP141" i="7"/>
  <c r="BP133" i="7"/>
  <c r="BP125" i="7"/>
  <c r="BP137" i="7"/>
  <c r="BP128" i="7"/>
  <c r="BP120" i="7"/>
  <c r="BP136" i="7"/>
  <c r="BP135" i="7"/>
  <c r="BP127" i="7"/>
  <c r="BP118" i="7"/>
  <c r="BP115" i="7"/>
  <c r="BP107" i="7"/>
  <c r="BP143" i="7"/>
  <c r="BP132" i="7"/>
  <c r="BP124" i="7"/>
  <c r="BP110" i="7"/>
  <c r="BP102" i="7"/>
  <c r="BP148" i="7"/>
  <c r="BP144" i="7"/>
  <c r="BP134" i="7"/>
  <c r="BP138" i="7"/>
  <c r="BP123" i="7"/>
  <c r="BP117" i="7"/>
  <c r="BP109" i="7"/>
  <c r="BP122" i="7"/>
  <c r="BP112" i="7"/>
  <c r="BP108" i="7"/>
  <c r="BP95" i="7"/>
  <c r="BP87" i="7"/>
  <c r="BP126" i="7"/>
  <c r="BP104" i="7"/>
  <c r="BP98" i="7"/>
  <c r="BP90" i="7"/>
  <c r="BP119" i="7"/>
  <c r="BP121" i="7"/>
  <c r="BP140" i="7"/>
  <c r="BP131" i="7"/>
  <c r="BP129" i="7"/>
  <c r="BP105" i="7"/>
  <c r="BP97" i="7"/>
  <c r="BP116" i="7"/>
  <c r="BP114" i="7"/>
  <c r="BP103" i="7"/>
  <c r="BP96" i="7"/>
  <c r="BP79" i="7"/>
  <c r="BP71" i="7"/>
  <c r="BP63" i="7"/>
  <c r="BP92" i="7"/>
  <c r="BP82" i="7"/>
  <c r="BP74" i="7"/>
  <c r="BP66" i="7"/>
  <c r="BP106" i="7"/>
  <c r="BP130" i="7"/>
  <c r="BP101" i="7"/>
  <c r="BP93" i="7"/>
  <c r="BP81" i="7"/>
  <c r="BP73" i="7"/>
  <c r="BP65" i="7"/>
  <c r="BP99" i="7"/>
  <c r="BP89" i="7"/>
  <c r="BP76" i="7"/>
  <c r="BP72" i="7"/>
  <c r="BP86" i="7"/>
  <c r="BP83" i="7"/>
  <c r="BP68" i="7"/>
  <c r="BP111" i="7"/>
  <c r="BP78" i="7"/>
  <c r="BP113" i="7"/>
  <c r="BP100" i="7"/>
  <c r="BP80" i="7"/>
  <c r="BP69" i="7"/>
  <c r="BP94" i="7"/>
  <c r="BP91" i="7"/>
  <c r="BP84" i="7"/>
  <c r="BP59" i="7"/>
  <c r="BP51" i="7"/>
  <c r="BP43" i="7"/>
  <c r="BP35" i="7"/>
  <c r="BP27" i="7"/>
  <c r="BP62" i="7"/>
  <c r="BP54" i="7"/>
  <c r="BP46" i="7"/>
  <c r="BP38" i="7"/>
  <c r="BP30" i="7"/>
  <c r="BP75" i="7"/>
  <c r="BP85" i="7"/>
  <c r="BP64" i="7"/>
  <c r="BP88" i="7"/>
  <c r="BP67" i="7"/>
  <c r="BP70" i="7"/>
  <c r="BP61" i="7"/>
  <c r="BP53" i="7"/>
  <c r="BP45" i="7"/>
  <c r="BP37" i="7"/>
  <c r="BP77" i="7"/>
  <c r="BP47" i="7"/>
  <c r="BP58" i="7"/>
  <c r="BP39" i="7"/>
  <c r="BP56" i="7"/>
  <c r="BP52" i="7"/>
  <c r="BP60" i="7"/>
  <c r="BP49" i="7"/>
  <c r="BP48" i="7"/>
  <c r="BP36" i="7"/>
  <c r="BP34" i="7"/>
  <c r="BP26" i="7"/>
  <c r="BP18" i="7"/>
  <c r="BP10" i="7"/>
  <c r="BP2" i="7"/>
  <c r="BP50" i="7"/>
  <c r="BP21" i="7"/>
  <c r="BP13" i="7"/>
  <c r="BP5" i="7"/>
  <c r="BP41" i="7"/>
  <c r="BP40" i="7"/>
  <c r="BP42" i="7"/>
  <c r="BP57" i="7"/>
  <c r="BP55" i="7"/>
  <c r="BP44" i="7"/>
  <c r="BP32" i="7"/>
  <c r="BP20" i="7"/>
  <c r="BP12" i="7"/>
  <c r="BP4" i="7"/>
  <c r="BP31" i="7"/>
  <c r="BP24" i="7"/>
  <c r="BP14" i="7"/>
  <c r="BP28" i="7"/>
  <c r="BP6" i="7"/>
  <c r="BP17" i="7"/>
  <c r="BP16" i="7"/>
  <c r="BP9" i="7"/>
  <c r="BP29" i="7"/>
  <c r="BP25" i="7"/>
  <c r="BP8" i="7"/>
  <c r="BP33" i="7"/>
  <c r="BP23" i="7"/>
  <c r="BP19" i="7"/>
  <c r="BP15" i="7"/>
  <c r="BP11" i="7"/>
  <c r="BX52" i="9"/>
  <c r="BX52" i="8"/>
  <c r="BX1" i="9"/>
  <c r="BX1" i="8"/>
  <c r="BX139" i="7"/>
  <c r="BX142" i="7"/>
  <c r="BX141" i="7"/>
  <c r="BX144" i="7"/>
  <c r="BX140" i="7"/>
  <c r="BX133" i="7"/>
  <c r="BX125" i="7"/>
  <c r="BX128" i="7"/>
  <c r="BX120" i="7"/>
  <c r="BX148" i="7"/>
  <c r="BX138" i="7"/>
  <c r="BX135" i="7"/>
  <c r="BX130" i="7"/>
  <c r="BX123" i="7"/>
  <c r="BX119" i="7"/>
  <c r="BX115" i="7"/>
  <c r="BX107" i="7"/>
  <c r="BX136" i="7"/>
  <c r="BX118" i="7"/>
  <c r="BX110" i="7"/>
  <c r="BX102" i="7"/>
  <c r="BX143" i="7"/>
  <c r="BX117" i="7"/>
  <c r="BX109" i="7"/>
  <c r="BX124" i="7"/>
  <c r="BX113" i="7"/>
  <c r="BX106" i="7"/>
  <c r="BX95" i="7"/>
  <c r="BX87" i="7"/>
  <c r="BX121" i="7"/>
  <c r="BX105" i="7"/>
  <c r="BX100" i="7"/>
  <c r="BX98" i="7"/>
  <c r="BX90" i="7"/>
  <c r="BX129" i="7"/>
  <c r="BX116" i="7"/>
  <c r="BX137" i="7"/>
  <c r="BX131" i="7"/>
  <c r="BX122" i="7"/>
  <c r="BX132" i="7"/>
  <c r="BX126" i="7"/>
  <c r="BX103" i="7"/>
  <c r="BX97" i="7"/>
  <c r="BX108" i="7"/>
  <c r="BX94" i="7"/>
  <c r="BX79" i="7"/>
  <c r="BX71" i="7"/>
  <c r="BX63" i="7"/>
  <c r="BX93" i="7"/>
  <c r="BX88" i="7"/>
  <c r="BX82" i="7"/>
  <c r="BX74" i="7"/>
  <c r="BX66" i="7"/>
  <c r="BX127" i="7"/>
  <c r="BX112" i="7"/>
  <c r="BX111" i="7"/>
  <c r="BX134" i="7"/>
  <c r="BX114" i="7"/>
  <c r="BX104" i="7"/>
  <c r="BX91" i="7"/>
  <c r="BX81" i="7"/>
  <c r="BX73" i="7"/>
  <c r="BX65" i="7"/>
  <c r="BX101" i="7"/>
  <c r="BX77" i="7"/>
  <c r="BX70" i="7"/>
  <c r="BX92" i="7"/>
  <c r="BX69" i="7"/>
  <c r="BX83" i="7"/>
  <c r="BX68" i="7"/>
  <c r="BX85" i="7"/>
  <c r="BX75" i="7"/>
  <c r="BX86" i="7"/>
  <c r="BX76" i="7"/>
  <c r="BX99" i="7"/>
  <c r="BX78" i="7"/>
  <c r="BX72" i="7"/>
  <c r="BX59" i="7"/>
  <c r="BX51" i="7"/>
  <c r="BX43" i="7"/>
  <c r="BX35" i="7"/>
  <c r="BX27" i="7"/>
  <c r="BX67" i="7"/>
  <c r="BX62" i="7"/>
  <c r="BX54" i="7"/>
  <c r="BX46" i="7"/>
  <c r="BX38" i="7"/>
  <c r="BX30" i="7"/>
  <c r="BX96" i="7"/>
  <c r="BX80" i="7"/>
  <c r="BX64" i="7"/>
  <c r="BX61" i="7"/>
  <c r="BX53" i="7"/>
  <c r="BX45" i="7"/>
  <c r="BX37" i="7"/>
  <c r="BX89" i="7"/>
  <c r="BX56" i="7"/>
  <c r="BX52" i="7"/>
  <c r="BX48" i="7"/>
  <c r="BX44" i="7"/>
  <c r="BX84" i="7"/>
  <c r="BX57" i="7"/>
  <c r="BX50" i="7"/>
  <c r="BX41" i="7"/>
  <c r="BX32" i="7"/>
  <c r="BX24" i="7"/>
  <c r="BX18" i="7"/>
  <c r="BX10" i="7"/>
  <c r="BX2" i="7"/>
  <c r="BX55" i="7"/>
  <c r="BX42" i="7"/>
  <c r="BX33" i="7"/>
  <c r="BX29" i="7"/>
  <c r="BX21" i="7"/>
  <c r="BX13" i="7"/>
  <c r="BX5" i="7"/>
  <c r="BX58" i="7"/>
  <c r="BX47" i="7"/>
  <c r="BX60" i="7"/>
  <c r="BX49" i="7"/>
  <c r="BX28" i="7"/>
  <c r="BX25" i="7"/>
  <c r="BX20" i="7"/>
  <c r="BX12" i="7"/>
  <c r="BX4" i="7"/>
  <c r="BX26" i="7"/>
  <c r="BX23" i="7"/>
  <c r="BX19" i="7"/>
  <c r="BX36" i="7"/>
  <c r="BX15" i="7"/>
  <c r="BX11" i="7"/>
  <c r="BX22" i="7"/>
  <c r="BX7" i="7"/>
  <c r="BX14" i="7"/>
  <c r="BX6" i="7"/>
  <c r="BX39" i="7"/>
  <c r="BX31" i="7"/>
  <c r="BX17" i="7"/>
  <c r="BX34" i="7"/>
  <c r="BX16" i="7"/>
  <c r="BX9" i="7"/>
  <c r="CF52" i="9"/>
  <c r="CF1" i="9"/>
  <c r="CF1" i="8"/>
  <c r="CF139" i="7"/>
  <c r="CF142" i="7"/>
  <c r="CF52" i="8"/>
  <c r="CF141" i="7"/>
  <c r="CF138" i="7"/>
  <c r="CF136" i="7"/>
  <c r="CF133" i="7"/>
  <c r="CF125" i="7"/>
  <c r="CF148" i="7"/>
  <c r="CF128" i="7"/>
  <c r="CF120" i="7"/>
  <c r="CF135" i="7"/>
  <c r="CF140" i="7"/>
  <c r="CF131" i="7"/>
  <c r="CF115" i="7"/>
  <c r="CF107" i="7"/>
  <c r="CF126" i="7"/>
  <c r="CF122" i="7"/>
  <c r="CF119" i="7"/>
  <c r="CF110" i="7"/>
  <c r="CF102" i="7"/>
  <c r="CF134" i="7"/>
  <c r="CF144" i="7"/>
  <c r="CF143" i="7"/>
  <c r="CF137" i="7"/>
  <c r="CF121" i="7"/>
  <c r="CF117" i="7"/>
  <c r="CF109" i="7"/>
  <c r="CF130" i="7"/>
  <c r="CF129" i="7"/>
  <c r="CF111" i="7"/>
  <c r="CF95" i="7"/>
  <c r="CF87" i="7"/>
  <c r="CF123" i="7"/>
  <c r="CF103" i="7"/>
  <c r="CF98" i="7"/>
  <c r="CF90" i="7"/>
  <c r="CF132" i="7"/>
  <c r="CF127" i="7"/>
  <c r="CF124" i="7"/>
  <c r="CF112" i="7"/>
  <c r="CF108" i="7"/>
  <c r="CF101" i="7"/>
  <c r="CF97" i="7"/>
  <c r="CF113" i="7"/>
  <c r="CF99" i="7"/>
  <c r="CF79" i="7"/>
  <c r="CF71" i="7"/>
  <c r="CF63" i="7"/>
  <c r="CF118" i="7"/>
  <c r="CF114" i="7"/>
  <c r="CF91" i="7"/>
  <c r="CF82" i="7"/>
  <c r="CF74" i="7"/>
  <c r="CF66" i="7"/>
  <c r="CF105" i="7"/>
  <c r="CF106" i="7"/>
  <c r="CF116" i="7"/>
  <c r="CF96" i="7"/>
  <c r="CF89" i="7"/>
  <c r="CF85" i="7"/>
  <c r="CF81" i="7"/>
  <c r="CF73" i="7"/>
  <c r="CF65" i="7"/>
  <c r="CF75" i="7"/>
  <c r="CF100" i="7"/>
  <c r="CF67" i="7"/>
  <c r="CF104" i="7"/>
  <c r="CF69" i="7"/>
  <c r="CF88" i="7"/>
  <c r="CF78" i="7"/>
  <c r="CF92" i="7"/>
  <c r="CF80" i="7"/>
  <c r="CF70" i="7"/>
  <c r="CF59" i="7"/>
  <c r="CF51" i="7"/>
  <c r="CF43" i="7"/>
  <c r="CF35" i="7"/>
  <c r="CF27" i="7"/>
  <c r="CF62" i="7"/>
  <c r="CF54" i="7"/>
  <c r="CF46" i="7"/>
  <c r="CF38" i="7"/>
  <c r="CF30" i="7"/>
  <c r="CF94" i="7"/>
  <c r="CF86" i="7"/>
  <c r="CF83" i="7"/>
  <c r="CF76" i="7"/>
  <c r="CF68" i="7"/>
  <c r="CF93" i="7"/>
  <c r="CF84" i="7"/>
  <c r="CF77" i="7"/>
  <c r="CF72" i="7"/>
  <c r="CF61" i="7"/>
  <c r="CF53" i="7"/>
  <c r="CF45" i="7"/>
  <c r="CF37" i="7"/>
  <c r="CF64" i="7"/>
  <c r="CF57" i="7"/>
  <c r="CF50" i="7"/>
  <c r="CF49" i="7"/>
  <c r="CF42" i="7"/>
  <c r="CF55" i="7"/>
  <c r="CF40" i="7"/>
  <c r="CF36" i="7"/>
  <c r="CF34" i="7"/>
  <c r="CF28" i="7"/>
  <c r="CF18" i="7"/>
  <c r="CF10" i="7"/>
  <c r="CF2" i="7"/>
  <c r="CF60" i="7"/>
  <c r="CF58" i="7"/>
  <c r="CF47" i="7"/>
  <c r="CF24" i="7"/>
  <c r="CF21" i="7"/>
  <c r="CF13" i="7"/>
  <c r="CF5" i="7"/>
  <c r="CF48" i="7"/>
  <c r="CF52" i="7"/>
  <c r="CF41" i="7"/>
  <c r="CF39" i="7"/>
  <c r="CF20" i="7"/>
  <c r="CF12" i="7"/>
  <c r="CF4" i="7"/>
  <c r="CF56" i="7"/>
  <c r="CF17" i="7"/>
  <c r="CF31" i="7"/>
  <c r="CF16" i="7"/>
  <c r="CF9" i="7"/>
  <c r="CF8" i="7"/>
  <c r="CF32" i="7"/>
  <c r="CF25" i="7"/>
  <c r="CF23" i="7"/>
  <c r="CF19" i="7"/>
  <c r="CF29" i="7"/>
  <c r="CF15" i="7"/>
  <c r="CF11" i="7"/>
  <c r="CF33" i="7"/>
  <c r="CF26" i="7"/>
  <c r="CF22" i="7"/>
  <c r="CF14" i="7"/>
  <c r="CN52" i="9"/>
  <c r="CN1" i="9"/>
  <c r="CN1" i="8"/>
  <c r="CN52" i="8"/>
  <c r="CN139" i="7"/>
  <c r="CN142" i="7"/>
  <c r="CN141" i="7"/>
  <c r="CN143" i="7"/>
  <c r="CN133" i="7"/>
  <c r="CN125" i="7"/>
  <c r="CN136" i="7"/>
  <c r="CN128" i="7"/>
  <c r="CN120" i="7"/>
  <c r="CN144" i="7"/>
  <c r="CN140" i="7"/>
  <c r="CN135" i="7"/>
  <c r="CN137" i="7"/>
  <c r="CN129" i="7"/>
  <c r="CN121" i="7"/>
  <c r="CN115" i="7"/>
  <c r="CN107" i="7"/>
  <c r="CN148" i="7"/>
  <c r="CN110" i="7"/>
  <c r="CN102" i="7"/>
  <c r="CN138" i="7"/>
  <c r="CN130" i="7"/>
  <c r="CN127" i="7"/>
  <c r="CN117" i="7"/>
  <c r="CN109" i="7"/>
  <c r="CN116" i="7"/>
  <c r="CN101" i="7"/>
  <c r="CN95" i="7"/>
  <c r="CN87" i="7"/>
  <c r="CN124" i="7"/>
  <c r="CN118" i="7"/>
  <c r="CN112" i="7"/>
  <c r="CN108" i="7"/>
  <c r="CN98" i="7"/>
  <c r="CN90" i="7"/>
  <c r="CN134" i="7"/>
  <c r="CN122" i="7"/>
  <c r="CN131" i="7"/>
  <c r="CN126" i="7"/>
  <c r="CN119" i="7"/>
  <c r="CN132" i="7"/>
  <c r="CN123" i="7"/>
  <c r="CN113" i="7"/>
  <c r="CN106" i="7"/>
  <c r="CN97" i="7"/>
  <c r="CN105" i="7"/>
  <c r="CN89" i="7"/>
  <c r="CN79" i="7"/>
  <c r="CN71" i="7"/>
  <c r="CN63" i="7"/>
  <c r="CN100" i="7"/>
  <c r="CN96" i="7"/>
  <c r="CN86" i="7"/>
  <c r="CN82" i="7"/>
  <c r="CN74" i="7"/>
  <c r="CN66" i="7"/>
  <c r="CN111" i="7"/>
  <c r="CN94" i="7"/>
  <c r="CN81" i="7"/>
  <c r="CN73" i="7"/>
  <c r="CN65" i="7"/>
  <c r="CN114" i="7"/>
  <c r="CN104" i="7"/>
  <c r="CN84" i="7"/>
  <c r="CN80" i="7"/>
  <c r="CN85" i="7"/>
  <c r="CN76" i="7"/>
  <c r="CN72" i="7"/>
  <c r="CN99" i="7"/>
  <c r="CN83" i="7"/>
  <c r="CN70" i="7"/>
  <c r="CN93" i="7"/>
  <c r="CN103" i="7"/>
  <c r="CN88" i="7"/>
  <c r="CN68" i="7"/>
  <c r="CN59" i="7"/>
  <c r="CN51" i="7"/>
  <c r="CN43" i="7"/>
  <c r="CN35" i="7"/>
  <c r="CN27" i="7"/>
  <c r="CN77" i="7"/>
  <c r="CN64" i="7"/>
  <c r="CN62" i="7"/>
  <c r="CN54" i="7"/>
  <c r="CN46" i="7"/>
  <c r="CN38" i="7"/>
  <c r="CN30" i="7"/>
  <c r="CN91" i="7"/>
  <c r="CN67" i="7"/>
  <c r="CN78" i="7"/>
  <c r="CN75" i="7"/>
  <c r="CN61" i="7"/>
  <c r="CN53" i="7"/>
  <c r="CN45" i="7"/>
  <c r="CN37" i="7"/>
  <c r="CN55" i="7"/>
  <c r="CN40" i="7"/>
  <c r="CN36" i="7"/>
  <c r="CN69" i="7"/>
  <c r="CN47" i="7"/>
  <c r="CN60" i="7"/>
  <c r="CN41" i="7"/>
  <c r="CN34" i="7"/>
  <c r="CN50" i="7"/>
  <c r="CN39" i="7"/>
  <c r="CN25" i="7"/>
  <c r="CN18" i="7"/>
  <c r="CN10" i="7"/>
  <c r="CN2" i="7"/>
  <c r="CN92" i="7"/>
  <c r="CN52" i="7"/>
  <c r="CN31" i="7"/>
  <c r="CN21" i="7"/>
  <c r="CN13" i="7"/>
  <c r="CN5" i="7"/>
  <c r="CN42" i="7"/>
  <c r="CN57" i="7"/>
  <c r="CN56" i="7"/>
  <c r="CN44" i="7"/>
  <c r="CN58" i="7"/>
  <c r="CN26" i="7"/>
  <c r="CN20" i="7"/>
  <c r="CN12" i="7"/>
  <c r="CN4" i="7"/>
  <c r="CN32" i="7"/>
  <c r="CN22" i="7"/>
  <c r="CN7" i="7"/>
  <c r="CN3" i="7"/>
  <c r="CN49" i="7"/>
  <c r="CN29" i="7"/>
  <c r="CN14" i="7"/>
  <c r="CN33" i="7"/>
  <c r="CN24" i="7"/>
  <c r="CN6" i="7"/>
  <c r="CN17" i="7"/>
  <c r="CN16" i="7"/>
  <c r="CN9" i="7"/>
  <c r="CN28" i="7"/>
  <c r="CN23" i="7"/>
  <c r="CN19" i="7"/>
  <c r="CV52" i="9"/>
  <c r="CV1" i="9"/>
  <c r="CV52" i="8"/>
  <c r="CV1" i="8"/>
  <c r="CV139" i="7"/>
  <c r="CV142" i="7"/>
  <c r="CV141" i="7"/>
  <c r="CV133" i="7"/>
  <c r="CV125" i="7"/>
  <c r="CV144" i="7"/>
  <c r="CV140" i="7"/>
  <c r="CV137" i="7"/>
  <c r="CV128" i="7"/>
  <c r="CV120" i="7"/>
  <c r="CV135" i="7"/>
  <c r="CV134" i="7"/>
  <c r="CV127" i="7"/>
  <c r="CV115" i="7"/>
  <c r="CV107" i="7"/>
  <c r="CV130" i="7"/>
  <c r="CV124" i="7"/>
  <c r="CV110" i="7"/>
  <c r="CV102" i="7"/>
  <c r="CV136" i="7"/>
  <c r="CV143" i="7"/>
  <c r="CV148" i="7"/>
  <c r="CV131" i="7"/>
  <c r="CV123" i="7"/>
  <c r="CV117" i="7"/>
  <c r="CV109" i="7"/>
  <c r="CV114" i="7"/>
  <c r="CV95" i="7"/>
  <c r="CV87" i="7"/>
  <c r="CV138" i="7"/>
  <c r="CV129" i="7"/>
  <c r="CV122" i="7"/>
  <c r="CV119" i="7"/>
  <c r="CV113" i="7"/>
  <c r="CV106" i="7"/>
  <c r="CV98" i="7"/>
  <c r="CV90" i="7"/>
  <c r="CV126" i="7"/>
  <c r="CV116" i="7"/>
  <c r="CV132" i="7"/>
  <c r="CV121" i="7"/>
  <c r="CV111" i="7"/>
  <c r="CV97" i="7"/>
  <c r="CV85" i="7"/>
  <c r="CV79" i="7"/>
  <c r="CV71" i="7"/>
  <c r="CV63" i="7"/>
  <c r="CV94" i="7"/>
  <c r="CV82" i="7"/>
  <c r="CV74" i="7"/>
  <c r="CV66" i="7"/>
  <c r="CV112" i="7"/>
  <c r="CV105" i="7"/>
  <c r="CV99" i="7"/>
  <c r="CV81" i="7"/>
  <c r="CV73" i="7"/>
  <c r="CV65" i="7"/>
  <c r="CV92" i="7"/>
  <c r="CV78" i="7"/>
  <c r="CV101" i="7"/>
  <c r="CV89" i="7"/>
  <c r="CV77" i="7"/>
  <c r="CV70" i="7"/>
  <c r="CV118" i="7"/>
  <c r="CV108" i="7"/>
  <c r="CV103" i="7"/>
  <c r="CV76" i="7"/>
  <c r="CV72" i="7"/>
  <c r="CV104" i="7"/>
  <c r="CV75" i="7"/>
  <c r="CV100" i="7"/>
  <c r="CV86" i="7"/>
  <c r="CV96" i="7"/>
  <c r="CV67" i="7"/>
  <c r="CV59" i="7"/>
  <c r="CV51" i="7"/>
  <c r="CV43" i="7"/>
  <c r="CV35" i="7"/>
  <c r="CV27" i="7"/>
  <c r="CV91" i="7"/>
  <c r="CV84" i="7"/>
  <c r="CV62" i="7"/>
  <c r="CV54" i="7"/>
  <c r="CV46" i="7"/>
  <c r="CV38" i="7"/>
  <c r="CV30" i="7"/>
  <c r="CV93" i="7"/>
  <c r="CV69" i="7"/>
  <c r="CV64" i="7"/>
  <c r="CV68" i="7"/>
  <c r="CV88" i="7"/>
  <c r="CV83" i="7"/>
  <c r="CV80" i="7"/>
  <c r="CV61" i="7"/>
  <c r="CV53" i="7"/>
  <c r="CV45" i="7"/>
  <c r="CV37" i="7"/>
  <c r="CV60" i="7"/>
  <c r="CV41" i="7"/>
  <c r="CV34" i="7"/>
  <c r="CV56" i="7"/>
  <c r="CV52" i="7"/>
  <c r="CV58" i="7"/>
  <c r="CV39" i="7"/>
  <c r="CV55" i="7"/>
  <c r="CV44" i="7"/>
  <c r="CV42" i="7"/>
  <c r="CV26" i="7"/>
  <c r="CV18" i="7"/>
  <c r="CV10" i="7"/>
  <c r="CV2" i="7"/>
  <c r="CV57" i="7"/>
  <c r="CV25" i="7"/>
  <c r="CV21" i="7"/>
  <c r="CV13" i="7"/>
  <c r="CV5" i="7"/>
  <c r="CV48" i="7"/>
  <c r="CV47" i="7"/>
  <c r="CV49" i="7"/>
  <c r="CV50" i="7"/>
  <c r="CV40" i="7"/>
  <c r="CV32" i="7"/>
  <c r="CV20" i="7"/>
  <c r="CV12" i="7"/>
  <c r="CV4" i="7"/>
  <c r="CV8" i="7"/>
  <c r="CV31" i="7"/>
  <c r="CV23" i="7"/>
  <c r="CV19" i="7"/>
  <c r="CV28" i="7"/>
  <c r="CV15" i="7"/>
  <c r="CV11" i="7"/>
  <c r="CV36" i="7"/>
  <c r="CV22" i="7"/>
  <c r="CV7" i="7"/>
  <c r="CV14" i="7"/>
  <c r="CV29" i="7"/>
  <c r="CV33" i="7"/>
  <c r="CV24" i="7"/>
  <c r="CV17" i="7"/>
  <c r="DD52" i="9"/>
  <c r="DD1" i="9"/>
  <c r="DD52" i="8"/>
  <c r="DD1" i="8"/>
  <c r="DD139" i="7"/>
  <c r="DD142" i="7"/>
  <c r="DD141" i="7"/>
  <c r="DD133" i="7"/>
  <c r="DD125" i="7"/>
  <c r="DD117" i="7"/>
  <c r="DD128" i="7"/>
  <c r="DD120" i="7"/>
  <c r="DD143" i="7"/>
  <c r="DD138" i="7"/>
  <c r="DD135" i="7"/>
  <c r="DD137" i="7"/>
  <c r="DD132" i="7"/>
  <c r="DD123" i="7"/>
  <c r="DD115" i="7"/>
  <c r="DD107" i="7"/>
  <c r="DD131" i="7"/>
  <c r="DD110" i="7"/>
  <c r="DD102" i="7"/>
  <c r="DD148" i="7"/>
  <c r="DD144" i="7"/>
  <c r="DD134" i="7"/>
  <c r="DD129" i="7"/>
  <c r="DD109" i="7"/>
  <c r="DD127" i="7"/>
  <c r="DD104" i="7"/>
  <c r="DD95" i="7"/>
  <c r="DD87" i="7"/>
  <c r="DD124" i="7"/>
  <c r="DD118" i="7"/>
  <c r="DD111" i="7"/>
  <c r="DD100" i="7"/>
  <c r="DD98" i="7"/>
  <c r="DD90" i="7"/>
  <c r="DD121" i="7"/>
  <c r="DD140" i="7"/>
  <c r="DD136" i="7"/>
  <c r="DD122" i="7"/>
  <c r="DD119" i="7"/>
  <c r="DD126" i="7"/>
  <c r="DD116" i="7"/>
  <c r="DD97" i="7"/>
  <c r="DD114" i="7"/>
  <c r="DD103" i="7"/>
  <c r="DD92" i="7"/>
  <c r="DD79" i="7"/>
  <c r="DD71" i="7"/>
  <c r="DD63" i="7"/>
  <c r="DD99" i="7"/>
  <c r="DD88" i="7"/>
  <c r="DD85" i="7"/>
  <c r="DD82" i="7"/>
  <c r="DD74" i="7"/>
  <c r="DD66" i="7"/>
  <c r="DD105" i="7"/>
  <c r="DD106" i="7"/>
  <c r="DD130" i="7"/>
  <c r="DD108" i="7"/>
  <c r="DD81" i="7"/>
  <c r="DD73" i="7"/>
  <c r="DD65" i="7"/>
  <c r="DD83" i="7"/>
  <c r="DD68" i="7"/>
  <c r="DD75" i="7"/>
  <c r="DD112" i="7"/>
  <c r="DD77" i="7"/>
  <c r="DD70" i="7"/>
  <c r="DD94" i="7"/>
  <c r="DD91" i="7"/>
  <c r="DD80" i="7"/>
  <c r="DD69" i="7"/>
  <c r="DD86" i="7"/>
  <c r="DD59" i="7"/>
  <c r="DD51" i="7"/>
  <c r="DD43" i="7"/>
  <c r="DD35" i="7"/>
  <c r="DD27" i="7"/>
  <c r="DD113" i="7"/>
  <c r="DD93" i="7"/>
  <c r="DD89" i="7"/>
  <c r="DD78" i="7"/>
  <c r="DD62" i="7"/>
  <c r="DD54" i="7"/>
  <c r="DD46" i="7"/>
  <c r="DD38" i="7"/>
  <c r="DD30" i="7"/>
  <c r="DD101" i="7"/>
  <c r="DD67" i="7"/>
  <c r="DD76" i="7"/>
  <c r="DD72" i="7"/>
  <c r="DD64" i="7"/>
  <c r="DD84" i="7"/>
  <c r="DD61" i="7"/>
  <c r="DD53" i="7"/>
  <c r="DD45" i="7"/>
  <c r="DD37" i="7"/>
  <c r="DD58" i="7"/>
  <c r="DD39" i="7"/>
  <c r="DD96" i="7"/>
  <c r="DD57" i="7"/>
  <c r="DD50" i="7"/>
  <c r="DD33" i="7"/>
  <c r="DD48" i="7"/>
  <c r="DD44" i="7"/>
  <c r="DD60" i="7"/>
  <c r="DD49" i="7"/>
  <c r="DD47" i="7"/>
  <c r="DD36" i="7"/>
  <c r="DD32" i="7"/>
  <c r="DD18" i="7"/>
  <c r="DD10" i="7"/>
  <c r="DD2" i="7"/>
  <c r="DD29" i="7"/>
  <c r="DD21" i="7"/>
  <c r="DD13" i="7"/>
  <c r="DD5" i="7"/>
  <c r="DD52" i="7"/>
  <c r="DD41" i="7"/>
  <c r="DD40" i="7"/>
  <c r="DD42" i="7"/>
  <c r="DD55" i="7"/>
  <c r="DD56" i="7"/>
  <c r="DD28" i="7"/>
  <c r="DD20" i="7"/>
  <c r="DD12" i="7"/>
  <c r="DD4" i="7"/>
  <c r="DD6" i="7"/>
  <c r="DD26" i="7"/>
  <c r="DD17" i="7"/>
  <c r="DD24" i="7"/>
  <c r="DD16" i="7"/>
  <c r="DD9" i="7"/>
  <c r="DD8" i="7"/>
  <c r="DD23" i="7"/>
  <c r="DD19" i="7"/>
  <c r="DD34" i="7"/>
  <c r="DD25" i="7"/>
  <c r="DD15" i="7"/>
  <c r="DD11" i="7"/>
  <c r="DD31" i="7"/>
  <c r="DD22" i="7"/>
  <c r="DD7" i="7"/>
  <c r="DD3" i="7"/>
  <c r="DL52" i="9"/>
  <c r="DL52" i="8"/>
  <c r="DL1" i="9"/>
  <c r="DL1" i="8"/>
  <c r="DL139" i="7"/>
  <c r="DL142" i="7"/>
  <c r="DL141" i="7"/>
  <c r="DL138" i="7"/>
  <c r="DL133" i="7"/>
  <c r="DL125" i="7"/>
  <c r="DL117" i="7"/>
  <c r="DL143" i="7"/>
  <c r="DL128" i="7"/>
  <c r="DL120" i="7"/>
  <c r="DL135" i="7"/>
  <c r="DL148" i="7"/>
  <c r="DL115" i="7"/>
  <c r="DL107" i="7"/>
  <c r="DL129" i="7"/>
  <c r="DL126" i="7"/>
  <c r="DL122" i="7"/>
  <c r="DL110" i="7"/>
  <c r="DL102" i="7"/>
  <c r="DL136" i="7"/>
  <c r="DL140" i="7"/>
  <c r="DL137" i="7"/>
  <c r="DL134" i="7"/>
  <c r="DL121" i="7"/>
  <c r="DL118" i="7"/>
  <c r="DL109" i="7"/>
  <c r="DL105" i="7"/>
  <c r="DL95" i="7"/>
  <c r="DL87" i="7"/>
  <c r="DL119" i="7"/>
  <c r="DL116" i="7"/>
  <c r="DL98" i="7"/>
  <c r="DL90" i="7"/>
  <c r="DL123" i="7"/>
  <c r="DL144" i="7"/>
  <c r="DL131" i="7"/>
  <c r="DL130" i="7"/>
  <c r="DL132" i="7"/>
  <c r="DL127" i="7"/>
  <c r="DL124" i="7"/>
  <c r="DL114" i="7"/>
  <c r="DL101" i="7"/>
  <c r="DL97" i="7"/>
  <c r="DL108" i="7"/>
  <c r="DL106" i="7"/>
  <c r="DL93" i="7"/>
  <c r="DL79" i="7"/>
  <c r="DL71" i="7"/>
  <c r="DL63" i="7"/>
  <c r="DL82" i="7"/>
  <c r="DL74" i="7"/>
  <c r="DL66" i="7"/>
  <c r="DL112" i="7"/>
  <c r="DL111" i="7"/>
  <c r="DL113" i="7"/>
  <c r="DL104" i="7"/>
  <c r="DL103" i="7"/>
  <c r="DL89" i="7"/>
  <c r="DL81" i="7"/>
  <c r="DL73" i="7"/>
  <c r="DL65" i="7"/>
  <c r="DL100" i="7"/>
  <c r="DL69" i="7"/>
  <c r="DL92" i="7"/>
  <c r="DL91" i="7"/>
  <c r="DL84" i="7"/>
  <c r="DL80" i="7"/>
  <c r="DL75" i="7"/>
  <c r="DL99" i="7"/>
  <c r="DL96" i="7"/>
  <c r="DL76" i="7"/>
  <c r="DL85" i="7"/>
  <c r="DL68" i="7"/>
  <c r="DL59" i="7"/>
  <c r="DL51" i="7"/>
  <c r="DL43" i="7"/>
  <c r="DL35" i="7"/>
  <c r="DL27" i="7"/>
  <c r="DL67" i="7"/>
  <c r="DL62" i="7"/>
  <c r="DL54" i="7"/>
  <c r="DL46" i="7"/>
  <c r="DL38" i="7"/>
  <c r="DL30" i="7"/>
  <c r="DL83" i="7"/>
  <c r="DL77" i="7"/>
  <c r="DL72" i="7"/>
  <c r="DL88" i="7"/>
  <c r="DL86" i="7"/>
  <c r="DL94" i="7"/>
  <c r="DL78" i="7"/>
  <c r="DL70" i="7"/>
  <c r="DL61" i="7"/>
  <c r="DL53" i="7"/>
  <c r="DL45" i="7"/>
  <c r="DL37" i="7"/>
  <c r="DL48" i="7"/>
  <c r="DL44" i="7"/>
  <c r="DL55" i="7"/>
  <c r="DL40" i="7"/>
  <c r="DL36" i="7"/>
  <c r="DL64" i="7"/>
  <c r="DL49" i="7"/>
  <c r="DL42" i="7"/>
  <c r="DL52" i="7"/>
  <c r="DL41" i="7"/>
  <c r="DL28" i="7"/>
  <c r="DL18" i="7"/>
  <c r="DL10" i="7"/>
  <c r="DL2" i="7"/>
  <c r="DL21" i="7"/>
  <c r="DL13" i="7"/>
  <c r="DL5" i="7"/>
  <c r="DL57" i="7"/>
  <c r="DL56" i="7"/>
  <c r="DL58" i="7"/>
  <c r="DL47" i="7"/>
  <c r="DL60" i="7"/>
  <c r="DL20" i="7"/>
  <c r="DL12" i="7"/>
  <c r="DL4" i="7"/>
  <c r="DL15" i="7"/>
  <c r="DL11" i="7"/>
  <c r="DL25" i="7"/>
  <c r="DL22" i="7"/>
  <c r="DL7" i="7"/>
  <c r="DL3" i="7"/>
  <c r="DL50" i="7"/>
  <c r="DL31" i="7"/>
  <c r="DL14" i="7"/>
  <c r="DL39" i="7"/>
  <c r="DL34" i="7"/>
  <c r="DL6" i="7"/>
  <c r="DL32" i="7"/>
  <c r="DL17" i="7"/>
  <c r="DL29" i="7"/>
  <c r="DL16" i="7"/>
  <c r="DL9" i="7"/>
  <c r="DL26" i="7"/>
  <c r="DL24" i="7"/>
  <c r="DL8" i="7"/>
  <c r="DT52" i="9"/>
  <c r="DT1" i="9"/>
  <c r="DT1" i="8"/>
  <c r="DT52" i="8"/>
  <c r="DT139" i="7"/>
  <c r="DT142" i="7"/>
  <c r="DT141" i="7"/>
  <c r="DT148" i="7"/>
  <c r="DT133" i="7"/>
  <c r="DT125" i="7"/>
  <c r="DT117" i="7"/>
  <c r="DT128" i="7"/>
  <c r="DT120" i="7"/>
  <c r="DT136" i="7"/>
  <c r="DT135" i="7"/>
  <c r="DT140" i="7"/>
  <c r="DT121" i="7"/>
  <c r="DT115" i="7"/>
  <c r="DT107" i="7"/>
  <c r="DT137" i="7"/>
  <c r="DT134" i="7"/>
  <c r="DT110" i="7"/>
  <c r="DT102" i="7"/>
  <c r="DT144" i="7"/>
  <c r="DT143" i="7"/>
  <c r="DT138" i="7"/>
  <c r="DT132" i="7"/>
  <c r="DT127" i="7"/>
  <c r="DT119" i="7"/>
  <c r="DT109" i="7"/>
  <c r="DT130" i="7"/>
  <c r="DT129" i="7"/>
  <c r="DT118" i="7"/>
  <c r="DT103" i="7"/>
  <c r="DT101" i="7"/>
  <c r="DT95" i="7"/>
  <c r="DT87" i="7"/>
  <c r="DT131" i="7"/>
  <c r="DT114" i="7"/>
  <c r="DT98" i="7"/>
  <c r="DT90" i="7"/>
  <c r="DT124" i="7"/>
  <c r="DT116" i="7"/>
  <c r="DT122" i="7"/>
  <c r="DT126" i="7"/>
  <c r="DT104" i="7"/>
  <c r="DT97" i="7"/>
  <c r="DT113" i="7"/>
  <c r="DT111" i="7"/>
  <c r="DT91" i="7"/>
  <c r="DT89" i="7"/>
  <c r="DT79" i="7"/>
  <c r="DT71" i="7"/>
  <c r="DT63" i="7"/>
  <c r="DT112" i="7"/>
  <c r="DT86" i="7"/>
  <c r="DT82" i="7"/>
  <c r="DT74" i="7"/>
  <c r="DT66" i="7"/>
  <c r="DT123" i="7"/>
  <c r="DT105" i="7"/>
  <c r="DT106" i="7"/>
  <c r="DT108" i="7"/>
  <c r="DT92" i="7"/>
  <c r="DT81" i="7"/>
  <c r="DT73" i="7"/>
  <c r="DT65" i="7"/>
  <c r="DT67" i="7"/>
  <c r="DT96" i="7"/>
  <c r="DT78" i="7"/>
  <c r="DT88" i="7"/>
  <c r="DT84" i="7"/>
  <c r="DT80" i="7"/>
  <c r="DT99" i="7"/>
  <c r="DT93" i="7"/>
  <c r="DT85" i="7"/>
  <c r="DT83" i="7"/>
  <c r="DT76" i="7"/>
  <c r="DT72" i="7"/>
  <c r="DT59" i="7"/>
  <c r="DT51" i="7"/>
  <c r="DT43" i="7"/>
  <c r="DT35" i="7"/>
  <c r="DT27" i="7"/>
  <c r="DT64" i="7"/>
  <c r="DT62" i="7"/>
  <c r="DT54" i="7"/>
  <c r="DT46" i="7"/>
  <c r="DT38" i="7"/>
  <c r="DT30" i="7"/>
  <c r="DT77" i="7"/>
  <c r="DT70" i="7"/>
  <c r="DT94" i="7"/>
  <c r="DT69" i="7"/>
  <c r="DT100" i="7"/>
  <c r="DT68" i="7"/>
  <c r="DT75" i="7"/>
  <c r="DT61" i="7"/>
  <c r="DT53" i="7"/>
  <c r="DT45" i="7"/>
  <c r="DT37" i="7"/>
  <c r="DT49" i="7"/>
  <c r="DT42" i="7"/>
  <c r="DT60" i="7"/>
  <c r="DT41" i="7"/>
  <c r="DT34" i="7"/>
  <c r="DT47" i="7"/>
  <c r="DT57" i="7"/>
  <c r="DT18" i="7"/>
  <c r="DT10" i="7"/>
  <c r="DT2" i="7"/>
  <c r="DT58" i="7"/>
  <c r="DT31" i="7"/>
  <c r="DT21" i="7"/>
  <c r="DT13" i="7"/>
  <c r="DT5" i="7"/>
  <c r="DT48" i="7"/>
  <c r="DT52" i="7"/>
  <c r="DT50" i="7"/>
  <c r="DT39" i="7"/>
  <c r="DT40" i="7"/>
  <c r="DT26" i="7"/>
  <c r="DT24" i="7"/>
  <c r="DT20" i="7"/>
  <c r="DT12" i="7"/>
  <c r="DT4" i="7"/>
  <c r="DT16" i="7"/>
  <c r="DT9" i="7"/>
  <c r="DT32" i="7"/>
  <c r="DT8" i="7"/>
  <c r="DT29" i="7"/>
  <c r="DT23" i="7"/>
  <c r="DT19" i="7"/>
  <c r="DT15" i="7"/>
  <c r="DT11" i="7"/>
  <c r="DT55" i="7"/>
  <c r="DT33" i="7"/>
  <c r="DT22" i="7"/>
  <c r="DT7" i="7"/>
  <c r="DT44" i="7"/>
  <c r="DT36" i="7"/>
  <c r="DT25" i="7"/>
  <c r="DT14" i="7"/>
  <c r="DT56" i="7"/>
  <c r="DT28" i="7"/>
  <c r="DT6" i="7"/>
  <c r="EB52" i="9"/>
  <c r="EB1" i="9"/>
  <c r="EB52" i="8"/>
  <c r="EB1" i="8"/>
  <c r="EB139" i="7"/>
  <c r="EB142" i="7"/>
  <c r="EB141" i="7"/>
  <c r="EB136" i="7"/>
  <c r="EB133" i="7"/>
  <c r="EB125" i="7"/>
  <c r="EB117" i="7"/>
  <c r="EB137" i="7"/>
  <c r="EB128" i="7"/>
  <c r="EB120" i="7"/>
  <c r="EB135" i="7"/>
  <c r="EB143" i="7"/>
  <c r="EB138" i="7"/>
  <c r="EB127" i="7"/>
  <c r="EB118" i="7"/>
  <c r="EB115" i="7"/>
  <c r="EB107" i="7"/>
  <c r="EB148" i="7"/>
  <c r="EB144" i="7"/>
  <c r="EB132" i="7"/>
  <c r="EB124" i="7"/>
  <c r="EB110" i="7"/>
  <c r="EB102" i="7"/>
  <c r="EB134" i="7"/>
  <c r="EB140" i="7"/>
  <c r="EB123" i="7"/>
  <c r="EB109" i="7"/>
  <c r="EB119" i="7"/>
  <c r="EB112" i="7"/>
  <c r="EB108" i="7"/>
  <c r="EB95" i="7"/>
  <c r="EB87" i="7"/>
  <c r="EB104" i="7"/>
  <c r="EB98" i="7"/>
  <c r="EB90" i="7"/>
  <c r="EB122" i="7"/>
  <c r="EB126" i="7"/>
  <c r="EB131" i="7"/>
  <c r="EB129" i="7"/>
  <c r="EB130" i="7"/>
  <c r="EB121" i="7"/>
  <c r="EB105" i="7"/>
  <c r="EB97" i="7"/>
  <c r="EB101" i="7"/>
  <c r="EB96" i="7"/>
  <c r="EB79" i="7"/>
  <c r="EB71" i="7"/>
  <c r="EB63" i="7"/>
  <c r="EB92" i="7"/>
  <c r="EB82" i="7"/>
  <c r="EB74" i="7"/>
  <c r="EB66" i="7"/>
  <c r="EB106" i="7"/>
  <c r="EB111" i="7"/>
  <c r="EB116" i="7"/>
  <c r="EB113" i="7"/>
  <c r="EB100" i="7"/>
  <c r="EB93" i="7"/>
  <c r="EB81" i="7"/>
  <c r="EB73" i="7"/>
  <c r="EB65" i="7"/>
  <c r="EB88" i="7"/>
  <c r="EB76" i="7"/>
  <c r="EB72" i="7"/>
  <c r="EB83" i="7"/>
  <c r="EB68" i="7"/>
  <c r="EB103" i="7"/>
  <c r="EB78" i="7"/>
  <c r="EB70" i="7"/>
  <c r="EB114" i="7"/>
  <c r="EB86" i="7"/>
  <c r="EB94" i="7"/>
  <c r="EB91" i="7"/>
  <c r="EB84" i="7"/>
  <c r="EB80" i="7"/>
  <c r="EB59" i="7"/>
  <c r="EB51" i="7"/>
  <c r="EB43" i="7"/>
  <c r="EB35" i="7"/>
  <c r="EB27" i="7"/>
  <c r="EB69" i="7"/>
  <c r="EB62" i="7"/>
  <c r="EB54" i="7"/>
  <c r="EB46" i="7"/>
  <c r="EB38" i="7"/>
  <c r="EB30" i="7"/>
  <c r="EB75" i="7"/>
  <c r="EB67" i="7"/>
  <c r="EB99" i="7"/>
  <c r="EB64" i="7"/>
  <c r="EB89" i="7"/>
  <c r="EB85" i="7"/>
  <c r="EB61" i="7"/>
  <c r="EB53" i="7"/>
  <c r="EB45" i="7"/>
  <c r="EB37" i="7"/>
  <c r="EB47" i="7"/>
  <c r="EB58" i="7"/>
  <c r="EB39" i="7"/>
  <c r="EB56" i="7"/>
  <c r="EB52" i="7"/>
  <c r="EB50" i="7"/>
  <c r="EB26" i="7"/>
  <c r="EB18" i="7"/>
  <c r="EB10" i="7"/>
  <c r="EB2" i="7"/>
  <c r="EB21" i="7"/>
  <c r="EB13" i="7"/>
  <c r="EB5" i="7"/>
  <c r="EB77" i="7"/>
  <c r="EB41" i="7"/>
  <c r="EB40" i="7"/>
  <c r="EB42" i="7"/>
  <c r="EB57" i="7"/>
  <c r="EB55" i="7"/>
  <c r="EB44" i="7"/>
  <c r="EB34" i="7"/>
  <c r="EB32" i="7"/>
  <c r="EB20" i="7"/>
  <c r="EB12" i="7"/>
  <c r="EB4" i="7"/>
  <c r="EB60" i="7"/>
  <c r="EB33" i="7"/>
  <c r="EB14" i="7"/>
  <c r="EB25" i="7"/>
  <c r="EB6" i="7"/>
  <c r="EB31" i="7"/>
  <c r="EB17" i="7"/>
  <c r="EB28" i="7"/>
  <c r="EB16" i="7"/>
  <c r="EB9" i="7"/>
  <c r="EB36" i="7"/>
  <c r="EB8" i="7"/>
  <c r="EB48" i="7"/>
  <c r="EB24" i="7"/>
  <c r="EB23" i="7"/>
  <c r="EB19" i="7"/>
  <c r="EB29" i="7"/>
  <c r="EB15" i="7"/>
  <c r="EB11" i="7"/>
  <c r="EJ52" i="9"/>
  <c r="EJ52" i="8"/>
  <c r="EJ1" i="9"/>
  <c r="EJ1" i="8"/>
  <c r="EJ139" i="7"/>
  <c r="EJ142" i="7"/>
  <c r="EJ141" i="7"/>
  <c r="EJ144" i="7"/>
  <c r="EJ140" i="7"/>
  <c r="EJ133" i="7"/>
  <c r="EJ125" i="7"/>
  <c r="EJ117" i="7"/>
  <c r="EJ128" i="7"/>
  <c r="EJ120" i="7"/>
  <c r="EJ148" i="7"/>
  <c r="EJ138" i="7"/>
  <c r="EJ135" i="7"/>
  <c r="EJ130" i="7"/>
  <c r="EJ123" i="7"/>
  <c r="EJ119" i="7"/>
  <c r="EJ115" i="7"/>
  <c r="EJ107" i="7"/>
  <c r="EJ137" i="7"/>
  <c r="EJ118" i="7"/>
  <c r="EJ110" i="7"/>
  <c r="EJ102" i="7"/>
  <c r="EJ143" i="7"/>
  <c r="EJ109" i="7"/>
  <c r="EJ113" i="7"/>
  <c r="EJ106" i="7"/>
  <c r="EJ95" i="7"/>
  <c r="EJ87" i="7"/>
  <c r="EJ136" i="7"/>
  <c r="EJ129" i="7"/>
  <c r="EJ127" i="7"/>
  <c r="EJ105" i="7"/>
  <c r="EJ100" i="7"/>
  <c r="EJ98" i="7"/>
  <c r="EJ90" i="7"/>
  <c r="EJ124" i="7"/>
  <c r="EJ116" i="7"/>
  <c r="EJ131" i="7"/>
  <c r="EJ121" i="7"/>
  <c r="EJ132" i="7"/>
  <c r="EJ134" i="7"/>
  <c r="EJ122" i="7"/>
  <c r="EJ103" i="7"/>
  <c r="EJ97" i="7"/>
  <c r="EJ94" i="7"/>
  <c r="EJ79" i="7"/>
  <c r="EJ71" i="7"/>
  <c r="EJ63" i="7"/>
  <c r="EJ93" i="7"/>
  <c r="EJ88" i="7"/>
  <c r="EJ82" i="7"/>
  <c r="EJ74" i="7"/>
  <c r="EJ66" i="7"/>
  <c r="EJ112" i="7"/>
  <c r="EJ111" i="7"/>
  <c r="EJ114" i="7"/>
  <c r="EJ91" i="7"/>
  <c r="EJ81" i="7"/>
  <c r="EJ73" i="7"/>
  <c r="EJ65" i="7"/>
  <c r="EJ108" i="7"/>
  <c r="EJ92" i="7"/>
  <c r="EJ86" i="7"/>
  <c r="EJ77" i="7"/>
  <c r="EJ70" i="7"/>
  <c r="EJ126" i="7"/>
  <c r="EJ69" i="7"/>
  <c r="EJ83" i="7"/>
  <c r="EJ68" i="7"/>
  <c r="EJ75" i="7"/>
  <c r="EJ76" i="7"/>
  <c r="EJ104" i="7"/>
  <c r="EJ99" i="7"/>
  <c r="EJ78" i="7"/>
  <c r="EJ59" i="7"/>
  <c r="EJ51" i="7"/>
  <c r="EJ43" i="7"/>
  <c r="EJ35" i="7"/>
  <c r="EJ27" i="7"/>
  <c r="EJ96" i="7"/>
  <c r="EJ62" i="7"/>
  <c r="EJ54" i="7"/>
  <c r="EJ46" i="7"/>
  <c r="EJ38" i="7"/>
  <c r="EJ30" i="7"/>
  <c r="EJ101" i="7"/>
  <c r="EJ89" i="7"/>
  <c r="EJ85" i="7"/>
  <c r="EJ80" i="7"/>
  <c r="EJ72" i="7"/>
  <c r="EJ64" i="7"/>
  <c r="EJ61" i="7"/>
  <c r="EJ53" i="7"/>
  <c r="EJ45" i="7"/>
  <c r="EJ37" i="7"/>
  <c r="EJ56" i="7"/>
  <c r="EJ52" i="7"/>
  <c r="EJ84" i="7"/>
  <c r="EJ67" i="7"/>
  <c r="EJ48" i="7"/>
  <c r="EJ44" i="7"/>
  <c r="EJ33" i="7"/>
  <c r="EJ57" i="7"/>
  <c r="EJ50" i="7"/>
  <c r="EJ55" i="7"/>
  <c r="EJ42" i="7"/>
  <c r="EJ32" i="7"/>
  <c r="EJ24" i="7"/>
  <c r="EJ18" i="7"/>
  <c r="EJ10" i="7"/>
  <c r="EJ2" i="7"/>
  <c r="EJ29" i="7"/>
  <c r="EJ21" i="7"/>
  <c r="EJ13" i="7"/>
  <c r="EJ5" i="7"/>
  <c r="EJ58" i="7"/>
  <c r="EJ47" i="7"/>
  <c r="EJ49" i="7"/>
  <c r="EJ60" i="7"/>
  <c r="EJ40" i="7"/>
  <c r="EJ39" i="7"/>
  <c r="EJ28" i="7"/>
  <c r="EJ25" i="7"/>
  <c r="EJ20" i="7"/>
  <c r="EJ12" i="7"/>
  <c r="EJ4" i="7"/>
  <c r="EJ23" i="7"/>
  <c r="EJ19" i="7"/>
  <c r="EJ36" i="7"/>
  <c r="EJ15" i="7"/>
  <c r="EJ11" i="7"/>
  <c r="EJ26" i="7"/>
  <c r="EJ22" i="7"/>
  <c r="EJ7" i="7"/>
  <c r="EJ14" i="7"/>
  <c r="EJ6" i="7"/>
  <c r="EJ34" i="7"/>
  <c r="EJ17" i="7"/>
  <c r="EJ41" i="7"/>
  <c r="EJ16" i="7"/>
  <c r="EJ9" i="7"/>
  <c r="ER52" i="9"/>
  <c r="ER1" i="9"/>
  <c r="ER1" i="8"/>
  <c r="ER52" i="8"/>
  <c r="ER139" i="7"/>
  <c r="ER142" i="7"/>
  <c r="ER141" i="7"/>
  <c r="ER138" i="7"/>
  <c r="ER133" i="7"/>
  <c r="ER125" i="7"/>
  <c r="ER117" i="7"/>
  <c r="ER148" i="7"/>
  <c r="ER128" i="7"/>
  <c r="ER120" i="7"/>
  <c r="ER135" i="7"/>
  <c r="ER131" i="7"/>
  <c r="ER115" i="7"/>
  <c r="ER107" i="7"/>
  <c r="ER126" i="7"/>
  <c r="ER122" i="7"/>
  <c r="ER119" i="7"/>
  <c r="ER110" i="7"/>
  <c r="ER102" i="7"/>
  <c r="ER144" i="7"/>
  <c r="ER143" i="7"/>
  <c r="ER134" i="7"/>
  <c r="ER136" i="7"/>
  <c r="ER137" i="7"/>
  <c r="ER121" i="7"/>
  <c r="ER109" i="7"/>
  <c r="ER111" i="7"/>
  <c r="ER95" i="7"/>
  <c r="ER87" i="7"/>
  <c r="ER140" i="7"/>
  <c r="ER132" i="7"/>
  <c r="ER103" i="7"/>
  <c r="ER98" i="7"/>
  <c r="ER90" i="7"/>
  <c r="ER118" i="7"/>
  <c r="ER123" i="7"/>
  <c r="ER127" i="7"/>
  <c r="ER112" i="7"/>
  <c r="ER108" i="7"/>
  <c r="ER101" i="7"/>
  <c r="ER97" i="7"/>
  <c r="ER129" i="7"/>
  <c r="ER124" i="7"/>
  <c r="ER114" i="7"/>
  <c r="ER99" i="7"/>
  <c r="ER79" i="7"/>
  <c r="ER71" i="7"/>
  <c r="ER63" i="7"/>
  <c r="ER91" i="7"/>
  <c r="ER82" i="7"/>
  <c r="ER74" i="7"/>
  <c r="ER66" i="7"/>
  <c r="ER130" i="7"/>
  <c r="ER105" i="7"/>
  <c r="ER116" i="7"/>
  <c r="ER106" i="7"/>
  <c r="ER100" i="7"/>
  <c r="ER96" i="7"/>
  <c r="ER89" i="7"/>
  <c r="ER85" i="7"/>
  <c r="ER81" i="7"/>
  <c r="ER73" i="7"/>
  <c r="ER65" i="7"/>
  <c r="ER88" i="7"/>
  <c r="ER75" i="7"/>
  <c r="ER67" i="7"/>
  <c r="ER104" i="7"/>
  <c r="ER113" i="7"/>
  <c r="ER86" i="7"/>
  <c r="ER69" i="7"/>
  <c r="ER80" i="7"/>
  <c r="ER92" i="7"/>
  <c r="ER94" i="7"/>
  <c r="ER59" i="7"/>
  <c r="ER51" i="7"/>
  <c r="ER43" i="7"/>
  <c r="ER35" i="7"/>
  <c r="ER27" i="7"/>
  <c r="ER72" i="7"/>
  <c r="ER62" i="7"/>
  <c r="ER54" i="7"/>
  <c r="ER46" i="7"/>
  <c r="ER38" i="7"/>
  <c r="ER30" i="7"/>
  <c r="ER93" i="7"/>
  <c r="ER83" i="7"/>
  <c r="ER76" i="7"/>
  <c r="ER70" i="7"/>
  <c r="ER84" i="7"/>
  <c r="ER77" i="7"/>
  <c r="ER68" i="7"/>
  <c r="ER61" i="7"/>
  <c r="ER53" i="7"/>
  <c r="ER45" i="7"/>
  <c r="ER37" i="7"/>
  <c r="ER57" i="7"/>
  <c r="ER50" i="7"/>
  <c r="ER49" i="7"/>
  <c r="ER42" i="7"/>
  <c r="ER64" i="7"/>
  <c r="ER60" i="7"/>
  <c r="ER78" i="7"/>
  <c r="ER55" i="7"/>
  <c r="ER40" i="7"/>
  <c r="ER36" i="7"/>
  <c r="ER58" i="7"/>
  <c r="ER47" i="7"/>
  <c r="ER28" i="7"/>
  <c r="ER18" i="7"/>
  <c r="ER10" i="7"/>
  <c r="ER2" i="7"/>
  <c r="ER48" i="7"/>
  <c r="ER24" i="7"/>
  <c r="ER21" i="7"/>
  <c r="ER13" i="7"/>
  <c r="ER5" i="7"/>
  <c r="ER52" i="7"/>
  <c r="ER41" i="7"/>
  <c r="ER39" i="7"/>
  <c r="ER56" i="7"/>
  <c r="ER44" i="7"/>
  <c r="ER20" i="7"/>
  <c r="ER12" i="7"/>
  <c r="ER4" i="7"/>
  <c r="ER25" i="7"/>
  <c r="ER17" i="7"/>
  <c r="ER16" i="7"/>
  <c r="ER9" i="7"/>
  <c r="ER33" i="7"/>
  <c r="ER8" i="7"/>
  <c r="ER34" i="7"/>
  <c r="ER31" i="7"/>
  <c r="ER23" i="7"/>
  <c r="ER19" i="7"/>
  <c r="ER15" i="7"/>
  <c r="ER11" i="7"/>
  <c r="ER32" i="7"/>
  <c r="ER22" i="7"/>
  <c r="ER29" i="7"/>
  <c r="ER14" i="7"/>
  <c r="EZ52" i="9"/>
  <c r="EZ1" i="9"/>
  <c r="EZ52" i="8"/>
  <c r="EZ1" i="8"/>
  <c r="EZ139" i="7"/>
  <c r="EZ142" i="7"/>
  <c r="EZ141" i="7"/>
  <c r="EZ143" i="7"/>
  <c r="EZ133" i="7"/>
  <c r="EZ125" i="7"/>
  <c r="EZ117" i="7"/>
  <c r="EZ128" i="7"/>
  <c r="EZ120" i="7"/>
  <c r="EZ144" i="7"/>
  <c r="EZ140" i="7"/>
  <c r="EZ136" i="7"/>
  <c r="EZ135" i="7"/>
  <c r="EZ148" i="7"/>
  <c r="EZ129" i="7"/>
  <c r="EZ121" i="7"/>
  <c r="EZ115" i="7"/>
  <c r="EZ107" i="7"/>
  <c r="EZ110" i="7"/>
  <c r="EZ102" i="7"/>
  <c r="EZ137" i="7"/>
  <c r="EZ138" i="7"/>
  <c r="EZ130" i="7"/>
  <c r="EZ127" i="7"/>
  <c r="EZ109" i="7"/>
  <c r="EZ123" i="7"/>
  <c r="EZ116" i="7"/>
  <c r="EZ101" i="7"/>
  <c r="EZ95" i="7"/>
  <c r="EZ87" i="7"/>
  <c r="EZ112" i="7"/>
  <c r="EZ108" i="7"/>
  <c r="EZ98" i="7"/>
  <c r="EZ90" i="7"/>
  <c r="EZ134" i="7"/>
  <c r="EZ119" i="7"/>
  <c r="EZ124" i="7"/>
  <c r="EZ131" i="7"/>
  <c r="EZ132" i="7"/>
  <c r="EZ122" i="7"/>
  <c r="EZ118" i="7"/>
  <c r="EZ113" i="7"/>
  <c r="EZ106" i="7"/>
  <c r="EZ97" i="7"/>
  <c r="EZ89" i="7"/>
  <c r="EZ79" i="7"/>
  <c r="EZ71" i="7"/>
  <c r="EZ63" i="7"/>
  <c r="EZ96" i="7"/>
  <c r="EZ86" i="7"/>
  <c r="EZ82" i="7"/>
  <c r="EZ74" i="7"/>
  <c r="EZ66" i="7"/>
  <c r="EZ111" i="7"/>
  <c r="EZ126" i="7"/>
  <c r="EZ114" i="7"/>
  <c r="EZ104" i="7"/>
  <c r="EZ103" i="7"/>
  <c r="EZ94" i="7"/>
  <c r="EZ81" i="7"/>
  <c r="EZ73" i="7"/>
  <c r="EZ65" i="7"/>
  <c r="EZ84" i="7"/>
  <c r="EZ80" i="7"/>
  <c r="EZ92" i="7"/>
  <c r="EZ91" i="7"/>
  <c r="EZ76" i="7"/>
  <c r="EZ72" i="7"/>
  <c r="EZ105" i="7"/>
  <c r="EZ100" i="7"/>
  <c r="EZ99" i="7"/>
  <c r="EZ93" i="7"/>
  <c r="EZ75" i="7"/>
  <c r="EZ70" i="7"/>
  <c r="EZ67" i="7"/>
  <c r="EZ59" i="7"/>
  <c r="EZ51" i="7"/>
  <c r="EZ43" i="7"/>
  <c r="EZ35" i="7"/>
  <c r="EZ27" i="7"/>
  <c r="EZ85" i="7"/>
  <c r="EZ83" i="7"/>
  <c r="EZ77" i="7"/>
  <c r="EZ69" i="7"/>
  <c r="EZ64" i="7"/>
  <c r="EZ62" i="7"/>
  <c r="EZ54" i="7"/>
  <c r="EZ46" i="7"/>
  <c r="EZ38" i="7"/>
  <c r="EZ30" i="7"/>
  <c r="EZ68" i="7"/>
  <c r="EZ88" i="7"/>
  <c r="EZ78" i="7"/>
  <c r="EZ61" i="7"/>
  <c r="EZ53" i="7"/>
  <c r="EZ45" i="7"/>
  <c r="EZ37" i="7"/>
  <c r="EZ55" i="7"/>
  <c r="EZ40" i="7"/>
  <c r="EZ36" i="7"/>
  <c r="EZ47" i="7"/>
  <c r="EZ60" i="7"/>
  <c r="EZ41" i="7"/>
  <c r="EZ34" i="7"/>
  <c r="EZ52" i="7"/>
  <c r="EZ25" i="7"/>
  <c r="EZ18" i="7"/>
  <c r="EZ10" i="7"/>
  <c r="EZ2" i="7"/>
  <c r="EZ31" i="7"/>
  <c r="EZ21" i="7"/>
  <c r="EZ13" i="7"/>
  <c r="EZ5" i="7"/>
  <c r="EZ42" i="7"/>
  <c r="EZ57" i="7"/>
  <c r="EZ56" i="7"/>
  <c r="EZ44" i="7"/>
  <c r="EZ58" i="7"/>
  <c r="EZ49" i="7"/>
  <c r="EZ48" i="7"/>
  <c r="EZ26" i="7"/>
  <c r="EZ20" i="7"/>
  <c r="EZ12" i="7"/>
  <c r="EZ4" i="7"/>
  <c r="EZ50" i="7"/>
  <c r="EZ22" i="7"/>
  <c r="EZ7" i="7"/>
  <c r="EZ3" i="7"/>
  <c r="EZ39" i="7"/>
  <c r="EZ14" i="7"/>
  <c r="EZ32" i="7"/>
  <c r="EZ6" i="7"/>
  <c r="EZ29" i="7"/>
  <c r="EZ17" i="7"/>
  <c r="EZ16" i="7"/>
  <c r="EZ9" i="7"/>
  <c r="EZ33" i="7"/>
  <c r="EZ23" i="7"/>
  <c r="EZ19" i="7"/>
  <c r="FH52" i="9"/>
  <c r="FH1" i="9"/>
  <c r="FH1" i="8"/>
  <c r="FH52" i="8"/>
  <c r="FH139" i="7"/>
  <c r="FH142" i="7"/>
  <c r="FH141" i="7"/>
  <c r="FH136" i="7"/>
  <c r="FH133" i="7"/>
  <c r="FH125" i="7"/>
  <c r="FH117" i="7"/>
  <c r="FH144" i="7"/>
  <c r="FH140" i="7"/>
  <c r="FH137" i="7"/>
  <c r="FH128" i="7"/>
  <c r="FH120" i="7"/>
  <c r="FH135" i="7"/>
  <c r="FH134" i="7"/>
  <c r="FH127" i="7"/>
  <c r="FH115" i="7"/>
  <c r="FH107" i="7"/>
  <c r="FH138" i="7"/>
  <c r="FH130" i="7"/>
  <c r="FH124" i="7"/>
  <c r="FH110" i="7"/>
  <c r="FH102" i="7"/>
  <c r="FH143" i="7"/>
  <c r="FH148" i="7"/>
  <c r="FH131" i="7"/>
  <c r="FH123" i="7"/>
  <c r="FH109" i="7"/>
  <c r="FH129" i="7"/>
  <c r="FH114" i="7"/>
  <c r="FH95" i="7"/>
  <c r="FH87" i="7"/>
  <c r="FH113" i="7"/>
  <c r="FH106" i="7"/>
  <c r="FH98" i="7"/>
  <c r="FH90" i="7"/>
  <c r="FH118" i="7"/>
  <c r="FH132" i="7"/>
  <c r="FH122" i="7"/>
  <c r="FH116" i="7"/>
  <c r="FH126" i="7"/>
  <c r="FH119" i="7"/>
  <c r="FH111" i="7"/>
  <c r="FH97" i="7"/>
  <c r="FH89" i="7"/>
  <c r="FH85" i="7"/>
  <c r="FH79" i="7"/>
  <c r="FH71" i="7"/>
  <c r="FH63" i="7"/>
  <c r="FH121" i="7"/>
  <c r="FH112" i="7"/>
  <c r="FH101" i="7"/>
  <c r="FH94" i="7"/>
  <c r="FH82" i="7"/>
  <c r="FH74" i="7"/>
  <c r="FH66" i="7"/>
  <c r="FH105" i="7"/>
  <c r="FH108" i="7"/>
  <c r="FH99" i="7"/>
  <c r="FH81" i="7"/>
  <c r="FH73" i="7"/>
  <c r="FH65" i="7"/>
  <c r="FH78" i="7"/>
  <c r="FH96" i="7"/>
  <c r="FH88" i="7"/>
  <c r="FH77" i="7"/>
  <c r="FH70" i="7"/>
  <c r="FH103" i="7"/>
  <c r="FH86" i="7"/>
  <c r="FH76" i="7"/>
  <c r="FH72" i="7"/>
  <c r="FH67" i="7"/>
  <c r="FH104" i="7"/>
  <c r="FH80" i="7"/>
  <c r="FH59" i="7"/>
  <c r="FH51" i="7"/>
  <c r="FH43" i="7"/>
  <c r="FH35" i="7"/>
  <c r="FH27" i="7"/>
  <c r="FH93" i="7"/>
  <c r="FH84" i="7"/>
  <c r="FH62" i="7"/>
  <c r="FH54" i="7"/>
  <c r="FH46" i="7"/>
  <c r="FH38" i="7"/>
  <c r="FH30" i="7"/>
  <c r="FH100" i="7"/>
  <c r="FH64" i="7"/>
  <c r="FH75" i="7"/>
  <c r="FH92" i="7"/>
  <c r="FH69" i="7"/>
  <c r="FH83" i="7"/>
  <c r="FH61" i="7"/>
  <c r="FH53" i="7"/>
  <c r="FH45" i="7"/>
  <c r="FH37" i="7"/>
  <c r="FH60" i="7"/>
  <c r="FH41" i="7"/>
  <c r="FH34" i="7"/>
  <c r="FH56" i="7"/>
  <c r="FH52" i="7"/>
  <c r="FH68" i="7"/>
  <c r="FH91" i="7"/>
  <c r="FH58" i="7"/>
  <c r="FH39" i="7"/>
  <c r="FH57" i="7"/>
  <c r="FH26" i="7"/>
  <c r="FH18" i="7"/>
  <c r="FH10" i="7"/>
  <c r="FH2" i="7"/>
  <c r="FH25" i="7"/>
  <c r="FH21" i="7"/>
  <c r="FH13" i="7"/>
  <c r="FH5" i="7"/>
  <c r="FH48" i="7"/>
  <c r="FH47" i="7"/>
  <c r="FH49" i="7"/>
  <c r="FH50" i="7"/>
  <c r="FH40" i="7"/>
  <c r="FH32" i="7"/>
  <c r="FH20" i="7"/>
  <c r="FH12" i="7"/>
  <c r="FH4" i="7"/>
  <c r="FH8" i="7"/>
  <c r="FH23" i="7"/>
  <c r="FH19" i="7"/>
  <c r="FH55" i="7"/>
  <c r="FH15" i="7"/>
  <c r="FH11" i="7"/>
  <c r="FH44" i="7"/>
  <c r="FH36" i="7"/>
  <c r="FH31" i="7"/>
  <c r="FH24" i="7"/>
  <c r="FH22" i="7"/>
  <c r="FH7" i="7"/>
  <c r="FH33" i="7"/>
  <c r="FH28" i="7"/>
  <c r="FH14" i="7"/>
  <c r="FH17" i="7"/>
  <c r="FP52" i="9"/>
  <c r="FP52" i="8"/>
  <c r="FP1" i="8"/>
  <c r="FP1" i="9"/>
  <c r="FP139" i="7"/>
  <c r="FP142" i="7"/>
  <c r="FP141" i="7"/>
  <c r="FP133" i="7"/>
  <c r="FP125" i="7"/>
  <c r="FP117" i="7"/>
  <c r="FP128" i="7"/>
  <c r="FP120" i="7"/>
  <c r="FP143" i="7"/>
  <c r="FP138" i="7"/>
  <c r="FP135" i="7"/>
  <c r="FP136" i="7"/>
  <c r="FP132" i="7"/>
  <c r="FP123" i="7"/>
  <c r="FP115" i="7"/>
  <c r="FP107" i="7"/>
  <c r="FP148" i="7"/>
  <c r="FP144" i="7"/>
  <c r="FP131" i="7"/>
  <c r="FP110" i="7"/>
  <c r="FP102" i="7"/>
  <c r="FP137" i="7"/>
  <c r="FP134" i="7"/>
  <c r="FP140" i="7"/>
  <c r="FP129" i="7"/>
  <c r="FP109" i="7"/>
  <c r="FP126" i="7"/>
  <c r="FP104" i="7"/>
  <c r="FP95" i="7"/>
  <c r="FP87" i="7"/>
  <c r="FP111" i="7"/>
  <c r="FP100" i="7"/>
  <c r="FP98" i="7"/>
  <c r="FP90" i="7"/>
  <c r="FP127" i="7"/>
  <c r="FP119" i="7"/>
  <c r="FP124" i="7"/>
  <c r="FP121" i="7"/>
  <c r="FP130" i="7"/>
  <c r="FP118" i="7"/>
  <c r="FP116" i="7"/>
  <c r="FP97" i="7"/>
  <c r="FP89" i="7"/>
  <c r="FP122" i="7"/>
  <c r="FP92" i="7"/>
  <c r="FP79" i="7"/>
  <c r="FP71" i="7"/>
  <c r="FP63" i="7"/>
  <c r="FP105" i="7"/>
  <c r="FP99" i="7"/>
  <c r="FP88" i="7"/>
  <c r="FP82" i="7"/>
  <c r="FP74" i="7"/>
  <c r="FP66" i="7"/>
  <c r="FP106" i="7"/>
  <c r="FP108" i="7"/>
  <c r="FP113" i="7"/>
  <c r="FP112" i="7"/>
  <c r="FP101" i="7"/>
  <c r="FP81" i="7"/>
  <c r="FP73" i="7"/>
  <c r="FP65" i="7"/>
  <c r="FP83" i="7"/>
  <c r="FP68" i="7"/>
  <c r="FP86" i="7"/>
  <c r="FP75" i="7"/>
  <c r="FP103" i="7"/>
  <c r="FP114" i="7"/>
  <c r="FP93" i="7"/>
  <c r="FP77" i="7"/>
  <c r="FP70" i="7"/>
  <c r="FP94" i="7"/>
  <c r="FP91" i="7"/>
  <c r="FP85" i="7"/>
  <c r="FP84" i="7"/>
  <c r="FP59" i="7"/>
  <c r="FP51" i="7"/>
  <c r="FP43" i="7"/>
  <c r="FP35" i="7"/>
  <c r="FP27" i="7"/>
  <c r="FP78" i="7"/>
  <c r="FP67" i="7"/>
  <c r="FP62" i="7"/>
  <c r="FP54" i="7"/>
  <c r="FP46" i="7"/>
  <c r="FP38" i="7"/>
  <c r="FP30" i="7"/>
  <c r="FP72" i="7"/>
  <c r="FP69" i="7"/>
  <c r="FP76" i="7"/>
  <c r="FP96" i="7"/>
  <c r="FP80" i="7"/>
  <c r="FP64" i="7"/>
  <c r="FP61" i="7"/>
  <c r="FP53" i="7"/>
  <c r="FP45" i="7"/>
  <c r="FP37" i="7"/>
  <c r="FP58" i="7"/>
  <c r="FP39" i="7"/>
  <c r="FP57" i="7"/>
  <c r="FP50" i="7"/>
  <c r="FP33" i="7"/>
  <c r="FP48" i="7"/>
  <c r="FP44" i="7"/>
  <c r="FP32" i="7"/>
  <c r="FP18" i="7"/>
  <c r="FP10" i="7"/>
  <c r="FP2" i="7"/>
  <c r="FP29" i="7"/>
  <c r="FP21" i="7"/>
  <c r="FP13" i="7"/>
  <c r="FP5" i="7"/>
  <c r="FP60" i="7"/>
  <c r="FP52" i="7"/>
  <c r="FP41" i="7"/>
  <c r="FP40" i="7"/>
  <c r="FP42" i="7"/>
  <c r="FP55" i="7"/>
  <c r="FP56" i="7"/>
  <c r="FP34" i="7"/>
  <c r="FP28" i="7"/>
  <c r="FP20" i="7"/>
  <c r="FP12" i="7"/>
  <c r="FP4" i="7"/>
  <c r="FP31" i="7"/>
  <c r="FP6" i="7"/>
  <c r="FP47" i="7"/>
  <c r="FP17" i="7"/>
  <c r="FP36" i="7"/>
  <c r="FP25" i="7"/>
  <c r="FP16" i="7"/>
  <c r="FP9" i="7"/>
  <c r="FP26" i="7"/>
  <c r="FP8" i="7"/>
  <c r="FP23" i="7"/>
  <c r="FP19" i="7"/>
  <c r="FP49" i="7"/>
  <c r="FP15" i="7"/>
  <c r="FP11" i="7"/>
  <c r="FP22" i="7"/>
  <c r="FP7" i="7"/>
  <c r="FP3" i="7"/>
  <c r="FX52" i="9"/>
  <c r="FX52" i="8"/>
  <c r="FX1" i="9"/>
  <c r="FX1" i="8"/>
  <c r="FX139" i="7"/>
  <c r="FX142" i="7"/>
  <c r="FX141" i="7"/>
  <c r="FX138" i="7"/>
  <c r="FX133" i="7"/>
  <c r="FX125" i="7"/>
  <c r="FX117" i="7"/>
  <c r="FX143" i="7"/>
  <c r="FX128" i="7"/>
  <c r="FX120" i="7"/>
  <c r="FX135" i="7"/>
  <c r="FX115" i="7"/>
  <c r="FX107" i="7"/>
  <c r="FX99" i="7"/>
  <c r="FX129" i="7"/>
  <c r="FX126" i="7"/>
  <c r="FX122" i="7"/>
  <c r="FX110" i="7"/>
  <c r="FX102" i="7"/>
  <c r="FX140" i="7"/>
  <c r="FX144" i="7"/>
  <c r="FX134" i="7"/>
  <c r="FX121" i="7"/>
  <c r="FX118" i="7"/>
  <c r="FX109" i="7"/>
  <c r="FX124" i="7"/>
  <c r="FX105" i="7"/>
  <c r="FX95" i="7"/>
  <c r="FX87" i="7"/>
  <c r="FX116" i="7"/>
  <c r="FX98" i="7"/>
  <c r="FX90" i="7"/>
  <c r="FX148" i="7"/>
  <c r="FX131" i="7"/>
  <c r="FX130" i="7"/>
  <c r="FX136" i="7"/>
  <c r="FX132" i="7"/>
  <c r="FX123" i="7"/>
  <c r="FX137" i="7"/>
  <c r="FX119" i="7"/>
  <c r="FX114" i="7"/>
  <c r="FX101" i="7"/>
  <c r="FX97" i="7"/>
  <c r="FX89" i="7"/>
  <c r="FX93" i="7"/>
  <c r="FX79" i="7"/>
  <c r="FX71" i="7"/>
  <c r="FX63" i="7"/>
  <c r="FX82" i="7"/>
  <c r="FX74" i="7"/>
  <c r="FX66" i="7"/>
  <c r="FX112" i="7"/>
  <c r="FX111" i="7"/>
  <c r="FX113" i="7"/>
  <c r="FX127" i="7"/>
  <c r="FX81" i="7"/>
  <c r="FX73" i="7"/>
  <c r="FX65" i="7"/>
  <c r="FX92" i="7"/>
  <c r="FX91" i="7"/>
  <c r="FX69" i="7"/>
  <c r="FX103" i="7"/>
  <c r="FX88" i="7"/>
  <c r="FX84" i="7"/>
  <c r="FX80" i="7"/>
  <c r="FX104" i="7"/>
  <c r="FX108" i="7"/>
  <c r="FX106" i="7"/>
  <c r="FX75" i="7"/>
  <c r="FX67" i="7"/>
  <c r="FX76" i="7"/>
  <c r="FX96" i="7"/>
  <c r="FX77" i="7"/>
  <c r="FX100" i="7"/>
  <c r="FX72" i="7"/>
  <c r="FX70" i="7"/>
  <c r="FX59" i="7"/>
  <c r="FX51" i="7"/>
  <c r="FX43" i="7"/>
  <c r="FX35" i="7"/>
  <c r="FX27" i="7"/>
  <c r="FX64" i="7"/>
  <c r="FX62" i="7"/>
  <c r="FX54" i="7"/>
  <c r="FX46" i="7"/>
  <c r="FX38" i="7"/>
  <c r="FX30" i="7"/>
  <c r="FX68" i="7"/>
  <c r="FX94" i="7"/>
  <c r="FX83" i="7"/>
  <c r="FX85" i="7"/>
  <c r="FX78" i="7"/>
  <c r="FX61" i="7"/>
  <c r="FX53" i="7"/>
  <c r="FX45" i="7"/>
  <c r="FX37" i="7"/>
  <c r="FX48" i="7"/>
  <c r="FX44" i="7"/>
  <c r="FX86" i="7"/>
  <c r="FX55" i="7"/>
  <c r="FX40" i="7"/>
  <c r="FX36" i="7"/>
  <c r="FX49" i="7"/>
  <c r="FX42" i="7"/>
  <c r="FX60" i="7"/>
  <c r="FX28" i="7"/>
  <c r="FX18" i="7"/>
  <c r="FX10" i="7"/>
  <c r="FX2" i="7"/>
  <c r="FX21" i="7"/>
  <c r="FX13" i="7"/>
  <c r="FX5" i="7"/>
  <c r="FX57" i="7"/>
  <c r="FX56" i="7"/>
  <c r="FX58" i="7"/>
  <c r="FX47" i="7"/>
  <c r="FX50" i="7"/>
  <c r="FX39" i="7"/>
  <c r="FX20" i="7"/>
  <c r="FX12" i="7"/>
  <c r="FX4" i="7"/>
  <c r="FX26" i="7"/>
  <c r="FX15" i="7"/>
  <c r="FX11" i="7"/>
  <c r="FX22" i="7"/>
  <c r="FX7" i="7"/>
  <c r="FX3" i="7"/>
  <c r="FX14" i="7"/>
  <c r="FX52" i="7"/>
  <c r="FX34" i="7"/>
  <c r="FX24" i="7"/>
  <c r="FX6" i="7"/>
  <c r="FX41" i="7"/>
  <c r="FX33" i="7"/>
  <c r="FX31" i="7"/>
  <c r="FX17" i="7"/>
  <c r="FX16" i="7"/>
  <c r="FX9" i="7"/>
  <c r="FX32" i="7"/>
  <c r="FX25" i="7"/>
  <c r="FX8" i="7"/>
  <c r="GF52" i="9"/>
  <c r="GF1" i="9"/>
  <c r="GF1" i="8"/>
  <c r="GF52" i="8"/>
  <c r="GF139" i="7"/>
  <c r="GF142" i="7"/>
  <c r="GF141" i="7"/>
  <c r="GF148" i="7"/>
  <c r="GF133" i="7"/>
  <c r="GF125" i="7"/>
  <c r="GF117" i="7"/>
  <c r="GF128" i="7"/>
  <c r="GF120" i="7"/>
  <c r="GF136" i="7"/>
  <c r="GF135" i="7"/>
  <c r="GF121" i="7"/>
  <c r="GF115" i="7"/>
  <c r="GF107" i="7"/>
  <c r="GF99" i="7"/>
  <c r="GF134" i="7"/>
  <c r="GF110" i="7"/>
  <c r="GF102" i="7"/>
  <c r="GF144" i="7"/>
  <c r="GF143" i="7"/>
  <c r="GF137" i="7"/>
  <c r="GF138" i="7"/>
  <c r="GF132" i="7"/>
  <c r="GF127" i="7"/>
  <c r="GF119" i="7"/>
  <c r="GF109" i="7"/>
  <c r="GF131" i="7"/>
  <c r="GF126" i="7"/>
  <c r="GF103" i="7"/>
  <c r="GF101" i="7"/>
  <c r="GF95" i="7"/>
  <c r="GF87" i="7"/>
  <c r="GF123" i="7"/>
  <c r="GF114" i="7"/>
  <c r="GF98" i="7"/>
  <c r="GF90" i="7"/>
  <c r="GF124" i="7"/>
  <c r="GF116" i="7"/>
  <c r="GF118" i="7"/>
  <c r="GF104" i="7"/>
  <c r="GF97" i="7"/>
  <c r="GF89" i="7"/>
  <c r="GF140" i="7"/>
  <c r="GF130" i="7"/>
  <c r="GF112" i="7"/>
  <c r="GF91" i="7"/>
  <c r="GF79" i="7"/>
  <c r="GF71" i="7"/>
  <c r="GF63" i="7"/>
  <c r="GF86" i="7"/>
  <c r="GF82" i="7"/>
  <c r="GF74" i="7"/>
  <c r="GF66" i="7"/>
  <c r="GF105" i="7"/>
  <c r="GF106" i="7"/>
  <c r="GF129" i="7"/>
  <c r="GF92" i="7"/>
  <c r="GF85" i="7"/>
  <c r="GF81" i="7"/>
  <c r="GF73" i="7"/>
  <c r="GF65" i="7"/>
  <c r="GF111" i="7"/>
  <c r="GF96" i="7"/>
  <c r="GF67" i="7"/>
  <c r="GF122" i="7"/>
  <c r="GF113" i="7"/>
  <c r="GF78" i="7"/>
  <c r="GF108" i="7"/>
  <c r="GF84" i="7"/>
  <c r="GF80" i="7"/>
  <c r="GF93" i="7"/>
  <c r="GF100" i="7"/>
  <c r="GF88" i="7"/>
  <c r="GF83" i="7"/>
  <c r="GF76" i="7"/>
  <c r="GF59" i="7"/>
  <c r="GF51" i="7"/>
  <c r="GF43" i="7"/>
  <c r="GF35" i="7"/>
  <c r="GF27" i="7"/>
  <c r="GF94" i="7"/>
  <c r="GF62" i="7"/>
  <c r="GF54" i="7"/>
  <c r="GF46" i="7"/>
  <c r="GF38" i="7"/>
  <c r="GF30" i="7"/>
  <c r="GF77" i="7"/>
  <c r="GF70" i="7"/>
  <c r="GF64" i="7"/>
  <c r="GF72" i="7"/>
  <c r="GF69" i="7"/>
  <c r="GF75" i="7"/>
  <c r="GF61" i="7"/>
  <c r="GF53" i="7"/>
  <c r="GF45" i="7"/>
  <c r="GF37" i="7"/>
  <c r="GF49" i="7"/>
  <c r="GF42" i="7"/>
  <c r="GF68" i="7"/>
  <c r="GF60" i="7"/>
  <c r="GF41" i="7"/>
  <c r="GF34" i="7"/>
  <c r="GF47" i="7"/>
  <c r="GF58" i="7"/>
  <c r="GF18" i="7"/>
  <c r="GF10" i="7"/>
  <c r="GF2" i="7"/>
  <c r="GF48" i="7"/>
  <c r="GF36" i="7"/>
  <c r="GF31" i="7"/>
  <c r="GF21" i="7"/>
  <c r="GF13" i="7"/>
  <c r="GF5" i="7"/>
  <c r="GF52" i="7"/>
  <c r="GF50" i="7"/>
  <c r="GF39" i="7"/>
  <c r="GF40" i="7"/>
  <c r="GF56" i="7"/>
  <c r="GF55" i="7"/>
  <c r="GF44" i="7"/>
  <c r="GF26" i="7"/>
  <c r="GF24" i="7"/>
  <c r="GF20" i="7"/>
  <c r="GF12" i="7"/>
  <c r="GF4" i="7"/>
  <c r="GF57" i="7"/>
  <c r="GF28" i="7"/>
  <c r="GF16" i="7"/>
  <c r="GF9" i="7"/>
  <c r="GF8" i="7"/>
  <c r="GF33" i="7"/>
  <c r="GF25" i="7"/>
  <c r="GF23" i="7"/>
  <c r="GF19" i="7"/>
  <c r="GF32" i="7"/>
  <c r="GF15" i="7"/>
  <c r="GF11" i="7"/>
  <c r="GF29" i="7"/>
  <c r="GF22" i="7"/>
  <c r="GF7" i="7"/>
  <c r="GF14" i="7"/>
  <c r="GF6" i="7"/>
  <c r="GN52" i="9"/>
  <c r="GN1" i="9"/>
  <c r="GN52" i="8"/>
  <c r="GN1" i="8"/>
  <c r="GN139" i="7"/>
  <c r="GN142" i="7"/>
  <c r="GN141" i="7"/>
  <c r="GN136" i="7"/>
  <c r="GN133" i="7"/>
  <c r="GN125" i="7"/>
  <c r="GN117" i="7"/>
  <c r="GN137" i="7"/>
  <c r="GN128" i="7"/>
  <c r="GN120" i="7"/>
  <c r="GN148" i="7"/>
  <c r="GN144" i="7"/>
  <c r="GN127" i="7"/>
  <c r="GN118" i="7"/>
  <c r="GN115" i="7"/>
  <c r="GN107" i="7"/>
  <c r="GN99" i="7"/>
  <c r="GN132" i="7"/>
  <c r="GN124" i="7"/>
  <c r="GN110" i="7"/>
  <c r="GN102" i="7"/>
  <c r="GN138" i="7"/>
  <c r="GN135" i="7"/>
  <c r="GN134" i="7"/>
  <c r="GN140" i="7"/>
  <c r="GN123" i="7"/>
  <c r="GN109" i="7"/>
  <c r="GN121" i="7"/>
  <c r="GN112" i="7"/>
  <c r="GN108" i="7"/>
  <c r="GN95" i="7"/>
  <c r="GN87" i="7"/>
  <c r="GN104" i="7"/>
  <c r="GN98" i="7"/>
  <c r="GN90" i="7"/>
  <c r="GN131" i="7"/>
  <c r="GN129" i="7"/>
  <c r="GN122" i="7"/>
  <c r="GN143" i="7"/>
  <c r="GN130" i="7"/>
  <c r="GN126" i="7"/>
  <c r="GN119" i="7"/>
  <c r="GN105" i="7"/>
  <c r="GN97" i="7"/>
  <c r="GN89" i="7"/>
  <c r="GN100" i="7"/>
  <c r="GN96" i="7"/>
  <c r="GN85" i="7"/>
  <c r="GN79" i="7"/>
  <c r="GN71" i="7"/>
  <c r="GN63" i="7"/>
  <c r="GN106" i="7"/>
  <c r="GN92" i="7"/>
  <c r="GN82" i="7"/>
  <c r="GN74" i="7"/>
  <c r="GN66" i="7"/>
  <c r="GN111" i="7"/>
  <c r="GN116" i="7"/>
  <c r="GN113" i="7"/>
  <c r="GN114" i="7"/>
  <c r="GN103" i="7"/>
  <c r="GN93" i="7"/>
  <c r="GN81" i="7"/>
  <c r="GN73" i="7"/>
  <c r="GN65" i="7"/>
  <c r="GN76" i="7"/>
  <c r="GN72" i="7"/>
  <c r="GN91" i="7"/>
  <c r="GN83" i="7"/>
  <c r="GN68" i="7"/>
  <c r="GN101" i="7"/>
  <c r="GN94" i="7"/>
  <c r="GN78" i="7"/>
  <c r="GN67" i="7"/>
  <c r="GN84" i="7"/>
  <c r="GN75" i="7"/>
  <c r="GN80" i="7"/>
  <c r="GN59" i="7"/>
  <c r="GN51" i="7"/>
  <c r="GN43" i="7"/>
  <c r="GN35" i="7"/>
  <c r="GN27" i="7"/>
  <c r="GN62" i="7"/>
  <c r="GN54" i="7"/>
  <c r="GN46" i="7"/>
  <c r="GN38" i="7"/>
  <c r="GN30" i="7"/>
  <c r="GN70" i="7"/>
  <c r="GN69" i="7"/>
  <c r="GN88" i="7"/>
  <c r="GN86" i="7"/>
  <c r="GN61" i="7"/>
  <c r="GN53" i="7"/>
  <c r="GN45" i="7"/>
  <c r="GN37" i="7"/>
  <c r="GN47" i="7"/>
  <c r="GN58" i="7"/>
  <c r="GN39" i="7"/>
  <c r="GN56" i="7"/>
  <c r="GN52" i="7"/>
  <c r="GN33" i="7"/>
  <c r="GN26" i="7"/>
  <c r="GN23" i="7"/>
  <c r="GN18" i="7"/>
  <c r="GN10" i="7"/>
  <c r="GN2" i="7"/>
  <c r="GN77" i="7"/>
  <c r="GN41" i="7"/>
  <c r="GN40" i="7"/>
  <c r="GN21" i="7"/>
  <c r="GN13" i="7"/>
  <c r="GN5" i="7"/>
  <c r="GN42" i="7"/>
  <c r="GN60" i="7"/>
  <c r="GN57" i="7"/>
  <c r="GN55" i="7"/>
  <c r="GN44" i="7"/>
  <c r="GN64" i="7"/>
  <c r="GN49" i="7"/>
  <c r="GN48" i="7"/>
  <c r="GN36" i="7"/>
  <c r="GN32" i="7"/>
  <c r="GN20" i="7"/>
  <c r="GN12" i="7"/>
  <c r="GN4" i="7"/>
  <c r="GN34" i="7"/>
  <c r="GN29" i="7"/>
  <c r="GN14" i="7"/>
  <c r="GN6" i="7"/>
  <c r="GN24" i="7"/>
  <c r="GN17" i="7"/>
  <c r="GN16" i="7"/>
  <c r="GN9" i="7"/>
  <c r="GN31" i="7"/>
  <c r="GN8" i="7"/>
  <c r="GN28" i="7"/>
  <c r="GN19" i="7"/>
  <c r="GN50" i="7"/>
  <c r="GN25" i="7"/>
  <c r="GN15" i="7"/>
  <c r="GN11" i="7"/>
  <c r="GV52" i="9"/>
  <c r="GV52" i="8"/>
  <c r="GV1" i="9"/>
  <c r="GV1" i="8"/>
  <c r="GV139" i="7"/>
  <c r="GV142" i="7"/>
  <c r="GV141" i="7"/>
  <c r="GV144" i="7"/>
  <c r="GV140" i="7"/>
  <c r="GV135" i="7"/>
  <c r="GV133" i="7"/>
  <c r="GV125" i="7"/>
  <c r="GV117" i="7"/>
  <c r="GV128" i="7"/>
  <c r="GV120" i="7"/>
  <c r="GV148" i="7"/>
  <c r="GV138" i="7"/>
  <c r="GV130" i="7"/>
  <c r="GV123" i="7"/>
  <c r="GV119" i="7"/>
  <c r="GV115" i="7"/>
  <c r="GV107" i="7"/>
  <c r="GV99" i="7"/>
  <c r="GV136" i="7"/>
  <c r="GV118" i="7"/>
  <c r="GV110" i="7"/>
  <c r="GV102" i="7"/>
  <c r="GV143" i="7"/>
  <c r="GV137" i="7"/>
  <c r="GV109" i="7"/>
  <c r="GV129" i="7"/>
  <c r="GV122" i="7"/>
  <c r="GV113" i="7"/>
  <c r="GV106" i="7"/>
  <c r="GV95" i="7"/>
  <c r="GV87" i="7"/>
  <c r="GV126" i="7"/>
  <c r="GV105" i="7"/>
  <c r="GV100" i="7"/>
  <c r="GV98" i="7"/>
  <c r="GV90" i="7"/>
  <c r="GV131" i="7"/>
  <c r="GV116" i="7"/>
  <c r="GV134" i="7"/>
  <c r="GV132" i="7"/>
  <c r="GV127" i="7"/>
  <c r="GV124" i="7"/>
  <c r="GV121" i="7"/>
  <c r="GV103" i="7"/>
  <c r="GV97" i="7"/>
  <c r="GV89" i="7"/>
  <c r="GV94" i="7"/>
  <c r="GV79" i="7"/>
  <c r="GV71" i="7"/>
  <c r="GV63" i="7"/>
  <c r="GV112" i="7"/>
  <c r="GV111" i="7"/>
  <c r="GV93" i="7"/>
  <c r="GV88" i="7"/>
  <c r="GV82" i="7"/>
  <c r="GV74" i="7"/>
  <c r="GV66" i="7"/>
  <c r="GV114" i="7"/>
  <c r="GV104" i="7"/>
  <c r="GV108" i="7"/>
  <c r="GV91" i="7"/>
  <c r="GV81" i="7"/>
  <c r="GV73" i="7"/>
  <c r="GV65" i="7"/>
  <c r="GV77" i="7"/>
  <c r="GV70" i="7"/>
  <c r="GV96" i="7"/>
  <c r="GV69" i="7"/>
  <c r="GV101" i="7"/>
  <c r="GV83" i="7"/>
  <c r="GV68" i="7"/>
  <c r="GV76" i="7"/>
  <c r="GV80" i="7"/>
  <c r="GV78" i="7"/>
  <c r="GV85" i="7"/>
  <c r="GV59" i="7"/>
  <c r="GV51" i="7"/>
  <c r="GV43" i="7"/>
  <c r="GV35" i="7"/>
  <c r="GV27" i="7"/>
  <c r="GV72" i="7"/>
  <c r="GV62" i="7"/>
  <c r="GV54" i="7"/>
  <c r="GV46" i="7"/>
  <c r="GV38" i="7"/>
  <c r="GV30" i="7"/>
  <c r="GV75" i="7"/>
  <c r="GV86" i="7"/>
  <c r="GV64" i="7"/>
  <c r="GV67" i="7"/>
  <c r="GV92" i="7"/>
  <c r="GV61" i="7"/>
  <c r="GV53" i="7"/>
  <c r="GV45" i="7"/>
  <c r="GV37" i="7"/>
  <c r="GV56" i="7"/>
  <c r="GV52" i="7"/>
  <c r="GV48" i="7"/>
  <c r="GV44" i="7"/>
  <c r="GV33" i="7"/>
  <c r="GV57" i="7"/>
  <c r="GV50" i="7"/>
  <c r="GV32" i="7"/>
  <c r="GV24" i="7"/>
  <c r="GV18" i="7"/>
  <c r="GV10" i="7"/>
  <c r="GV2" i="7"/>
  <c r="GV60" i="7"/>
  <c r="GV29" i="7"/>
  <c r="GV23" i="7"/>
  <c r="GV21" i="7"/>
  <c r="GV13" i="7"/>
  <c r="GV5" i="7"/>
  <c r="GV58" i="7"/>
  <c r="GV47" i="7"/>
  <c r="GV36" i="7"/>
  <c r="GV84" i="7"/>
  <c r="GV49" i="7"/>
  <c r="GV40" i="7"/>
  <c r="GV39" i="7"/>
  <c r="GV41" i="7"/>
  <c r="GV28" i="7"/>
  <c r="GV20" i="7"/>
  <c r="GV12" i="7"/>
  <c r="GV4" i="7"/>
  <c r="GV55" i="7"/>
  <c r="GV19" i="7"/>
  <c r="GV31" i="7"/>
  <c r="GV15" i="7"/>
  <c r="GV11" i="7"/>
  <c r="GV25" i="7"/>
  <c r="GV22" i="7"/>
  <c r="GV7" i="7"/>
  <c r="GV3" i="7"/>
  <c r="GV14" i="7"/>
  <c r="GV26" i="7"/>
  <c r="GV6" i="7"/>
  <c r="GV42" i="7"/>
  <c r="GV34" i="7"/>
  <c r="GV17" i="7"/>
  <c r="GV16" i="7"/>
  <c r="GV9" i="7"/>
  <c r="HD52" i="9"/>
  <c r="HD1" i="9"/>
  <c r="HD1" i="8"/>
  <c r="HD139" i="7"/>
  <c r="HD142" i="7"/>
  <c r="HD52" i="8"/>
  <c r="HD141" i="7"/>
  <c r="HD138" i="7"/>
  <c r="HD133" i="7"/>
  <c r="HD125" i="7"/>
  <c r="HD117" i="7"/>
  <c r="HD148" i="7"/>
  <c r="HD135" i="7"/>
  <c r="HD128" i="7"/>
  <c r="HD120" i="7"/>
  <c r="HD137" i="7"/>
  <c r="HD131" i="7"/>
  <c r="HD115" i="7"/>
  <c r="HD107" i="7"/>
  <c r="HD99" i="7"/>
  <c r="HD144" i="7"/>
  <c r="HD143" i="7"/>
  <c r="HD126" i="7"/>
  <c r="HD122" i="7"/>
  <c r="HD110" i="7"/>
  <c r="HD102" i="7"/>
  <c r="HD134" i="7"/>
  <c r="HD140" i="7"/>
  <c r="HD136" i="7"/>
  <c r="HD121" i="7"/>
  <c r="HD109" i="7"/>
  <c r="HD132" i="7"/>
  <c r="HD127" i="7"/>
  <c r="HD111" i="7"/>
  <c r="HD95" i="7"/>
  <c r="HD87" i="7"/>
  <c r="HD124" i="7"/>
  <c r="HD103" i="7"/>
  <c r="HD98" i="7"/>
  <c r="HD90" i="7"/>
  <c r="HD119" i="7"/>
  <c r="HD123" i="7"/>
  <c r="HD130" i="7"/>
  <c r="HD129" i="7"/>
  <c r="HD112" i="7"/>
  <c r="HD108" i="7"/>
  <c r="HD101" i="7"/>
  <c r="HD97" i="7"/>
  <c r="HD89" i="7"/>
  <c r="HD100" i="7"/>
  <c r="HD79" i="7"/>
  <c r="HD71" i="7"/>
  <c r="HD63" i="7"/>
  <c r="HD116" i="7"/>
  <c r="HD105" i="7"/>
  <c r="HD104" i="7"/>
  <c r="HD91" i="7"/>
  <c r="HD82" i="7"/>
  <c r="HD74" i="7"/>
  <c r="HD66" i="7"/>
  <c r="HD106" i="7"/>
  <c r="HD118" i="7"/>
  <c r="HD113" i="7"/>
  <c r="HD96" i="7"/>
  <c r="HD81" i="7"/>
  <c r="HD73" i="7"/>
  <c r="HD65" i="7"/>
  <c r="HD75" i="7"/>
  <c r="HD67" i="7"/>
  <c r="HD114" i="7"/>
  <c r="HD93" i="7"/>
  <c r="HD92" i="7"/>
  <c r="HD69" i="7"/>
  <c r="HD68" i="7"/>
  <c r="HD88" i="7"/>
  <c r="HD86" i="7"/>
  <c r="HD84" i="7"/>
  <c r="HD83" i="7"/>
  <c r="HD59" i="7"/>
  <c r="HD51" i="7"/>
  <c r="HD43" i="7"/>
  <c r="HD35" i="7"/>
  <c r="HD27" i="7"/>
  <c r="HD62" i="7"/>
  <c r="HD54" i="7"/>
  <c r="HD46" i="7"/>
  <c r="HD38" i="7"/>
  <c r="HD30" i="7"/>
  <c r="HD76" i="7"/>
  <c r="HD80" i="7"/>
  <c r="HD77" i="7"/>
  <c r="HD70" i="7"/>
  <c r="HD94" i="7"/>
  <c r="HD85" i="7"/>
  <c r="HD72" i="7"/>
  <c r="HD61" i="7"/>
  <c r="HD53" i="7"/>
  <c r="HD45" i="7"/>
  <c r="HD37" i="7"/>
  <c r="HD57" i="7"/>
  <c r="HD50" i="7"/>
  <c r="HD49" i="7"/>
  <c r="HD42" i="7"/>
  <c r="HD60" i="7"/>
  <c r="HD78" i="7"/>
  <c r="HD64" i="7"/>
  <c r="HD55" i="7"/>
  <c r="HD40" i="7"/>
  <c r="HD36" i="7"/>
  <c r="HD48" i="7"/>
  <c r="HD28" i="7"/>
  <c r="HD18" i="7"/>
  <c r="HD10" i="7"/>
  <c r="HD2" i="7"/>
  <c r="HD25" i="7"/>
  <c r="HD24" i="7"/>
  <c r="HD21" i="7"/>
  <c r="HD13" i="7"/>
  <c r="HD5" i="7"/>
  <c r="HD52" i="7"/>
  <c r="HD41" i="7"/>
  <c r="HD39" i="7"/>
  <c r="HD56" i="7"/>
  <c r="HD44" i="7"/>
  <c r="HD34" i="7"/>
  <c r="HD20" i="7"/>
  <c r="HD12" i="7"/>
  <c r="HD4" i="7"/>
  <c r="HD58" i="7"/>
  <c r="HD33" i="7"/>
  <c r="HD29" i="7"/>
  <c r="HD17" i="7"/>
  <c r="HD26" i="7"/>
  <c r="HD16" i="7"/>
  <c r="HD9" i="7"/>
  <c r="HD8" i="7"/>
  <c r="HD19" i="7"/>
  <c r="HD23" i="7"/>
  <c r="HD15" i="7"/>
  <c r="HD11" i="7"/>
  <c r="HD31" i="7"/>
  <c r="HD22" i="7"/>
  <c r="HD14" i="7"/>
  <c r="HL52" i="9"/>
  <c r="HL1" i="9"/>
  <c r="HL52" i="8"/>
  <c r="HL1" i="8"/>
  <c r="HL139" i="7"/>
  <c r="HL142" i="7"/>
  <c r="HL141" i="7"/>
  <c r="HL143" i="7"/>
  <c r="HL133" i="7"/>
  <c r="HL125" i="7"/>
  <c r="HL117" i="7"/>
  <c r="HL128" i="7"/>
  <c r="HL120" i="7"/>
  <c r="HL144" i="7"/>
  <c r="HL140" i="7"/>
  <c r="HL136" i="7"/>
  <c r="HL129" i="7"/>
  <c r="HL121" i="7"/>
  <c r="HL115" i="7"/>
  <c r="HL107" i="7"/>
  <c r="HL99" i="7"/>
  <c r="HL110" i="7"/>
  <c r="HL102" i="7"/>
  <c r="HL137" i="7"/>
  <c r="HL138" i="7"/>
  <c r="HL130" i="7"/>
  <c r="HL127" i="7"/>
  <c r="HL109" i="7"/>
  <c r="HL148" i="7"/>
  <c r="HL134" i="7"/>
  <c r="HL122" i="7"/>
  <c r="HL116" i="7"/>
  <c r="HL101" i="7"/>
  <c r="HL95" i="7"/>
  <c r="HL87" i="7"/>
  <c r="HL126" i="7"/>
  <c r="HL119" i="7"/>
  <c r="HL112" i="7"/>
  <c r="HL108" i="7"/>
  <c r="HL98" i="7"/>
  <c r="HL90" i="7"/>
  <c r="HL123" i="7"/>
  <c r="HL131" i="7"/>
  <c r="HL118" i="7"/>
  <c r="HL135" i="7"/>
  <c r="HL132" i="7"/>
  <c r="HL124" i="7"/>
  <c r="HL113" i="7"/>
  <c r="HL106" i="7"/>
  <c r="HL97" i="7"/>
  <c r="HL89" i="7"/>
  <c r="HL79" i="7"/>
  <c r="HL71" i="7"/>
  <c r="HL63" i="7"/>
  <c r="HL96" i="7"/>
  <c r="HL86" i="7"/>
  <c r="HL82" i="7"/>
  <c r="HL74" i="7"/>
  <c r="HL66" i="7"/>
  <c r="HL111" i="7"/>
  <c r="HL114" i="7"/>
  <c r="HL105" i="7"/>
  <c r="HL94" i="7"/>
  <c r="HL85" i="7"/>
  <c r="HL81" i="7"/>
  <c r="HL73" i="7"/>
  <c r="HL65" i="7"/>
  <c r="HL92" i="7"/>
  <c r="HL91" i="7"/>
  <c r="HL84" i="7"/>
  <c r="HL80" i="7"/>
  <c r="HL93" i="7"/>
  <c r="HL76" i="7"/>
  <c r="HL72" i="7"/>
  <c r="HL88" i="7"/>
  <c r="HL75" i="7"/>
  <c r="HL77" i="7"/>
  <c r="HL100" i="7"/>
  <c r="HL59" i="7"/>
  <c r="HL51" i="7"/>
  <c r="HL43" i="7"/>
  <c r="HL35" i="7"/>
  <c r="HL27" i="7"/>
  <c r="HL83" i="7"/>
  <c r="HL62" i="7"/>
  <c r="HL54" i="7"/>
  <c r="HL46" i="7"/>
  <c r="HL38" i="7"/>
  <c r="HL30" i="7"/>
  <c r="HL70" i="7"/>
  <c r="HL64" i="7"/>
  <c r="HL104" i="7"/>
  <c r="HL69" i="7"/>
  <c r="HL103" i="7"/>
  <c r="HL78" i="7"/>
  <c r="HL68" i="7"/>
  <c r="HL67" i="7"/>
  <c r="HL61" i="7"/>
  <c r="HL53" i="7"/>
  <c r="HL45" i="7"/>
  <c r="HL37" i="7"/>
  <c r="HL55" i="7"/>
  <c r="HL40" i="7"/>
  <c r="HL36" i="7"/>
  <c r="HL47" i="7"/>
  <c r="HL60" i="7"/>
  <c r="HL41" i="7"/>
  <c r="HL34" i="7"/>
  <c r="HL18" i="7"/>
  <c r="HL10" i="7"/>
  <c r="HL2" i="7"/>
  <c r="HL42" i="7"/>
  <c r="HL33" i="7"/>
  <c r="HL31" i="7"/>
  <c r="HL21" i="7"/>
  <c r="HL13" i="7"/>
  <c r="HL5" i="7"/>
  <c r="HL57" i="7"/>
  <c r="HL56" i="7"/>
  <c r="HL44" i="7"/>
  <c r="HL58" i="7"/>
  <c r="HL49" i="7"/>
  <c r="HL48" i="7"/>
  <c r="HL50" i="7"/>
  <c r="HL39" i="7"/>
  <c r="HL26" i="7"/>
  <c r="HL20" i="7"/>
  <c r="HL12" i="7"/>
  <c r="HL4" i="7"/>
  <c r="HL23" i="7"/>
  <c r="HL22" i="7"/>
  <c r="HL7" i="7"/>
  <c r="HL3" i="7"/>
  <c r="HL52" i="7"/>
  <c r="HL28" i="7"/>
  <c r="HL14" i="7"/>
  <c r="HL25" i="7"/>
  <c r="HL6" i="7"/>
  <c r="HL17" i="7"/>
  <c r="HL32" i="7"/>
  <c r="HL24" i="7"/>
  <c r="HL16" i="7"/>
  <c r="HL9" i="7"/>
  <c r="HL29" i="7"/>
  <c r="HL19" i="7"/>
  <c r="HT52" i="9"/>
  <c r="HT1" i="9"/>
  <c r="HT1" i="8"/>
  <c r="HT52" i="8"/>
  <c r="HT139" i="7"/>
  <c r="HT142" i="7"/>
  <c r="HT141" i="7"/>
  <c r="HT136" i="7"/>
  <c r="HT133" i="7"/>
  <c r="HT125" i="7"/>
  <c r="HT117" i="7"/>
  <c r="HT144" i="7"/>
  <c r="HT140" i="7"/>
  <c r="HT137" i="7"/>
  <c r="HT128" i="7"/>
  <c r="HT120" i="7"/>
  <c r="HT134" i="7"/>
  <c r="HT127" i="7"/>
  <c r="HT115" i="7"/>
  <c r="HT107" i="7"/>
  <c r="HT99" i="7"/>
  <c r="HT135" i="7"/>
  <c r="HT130" i="7"/>
  <c r="HT124" i="7"/>
  <c r="HT110" i="7"/>
  <c r="HT102" i="7"/>
  <c r="HT143" i="7"/>
  <c r="HT138" i="7"/>
  <c r="HT148" i="7"/>
  <c r="HT131" i="7"/>
  <c r="HT123" i="7"/>
  <c r="HT119" i="7"/>
  <c r="HT109" i="7"/>
  <c r="HT114" i="7"/>
  <c r="HT95" i="7"/>
  <c r="HT87" i="7"/>
  <c r="HT121" i="7"/>
  <c r="HT113" i="7"/>
  <c r="HT106" i="7"/>
  <c r="HT98" i="7"/>
  <c r="HT90" i="7"/>
  <c r="HT132" i="7"/>
  <c r="HT116" i="7"/>
  <c r="HT122" i="7"/>
  <c r="HT126" i="7"/>
  <c r="HT111" i="7"/>
  <c r="HT97" i="7"/>
  <c r="HT89" i="7"/>
  <c r="HT112" i="7"/>
  <c r="HT85" i="7"/>
  <c r="HT79" i="7"/>
  <c r="HT71" i="7"/>
  <c r="HT63" i="7"/>
  <c r="HT100" i="7"/>
  <c r="HT94" i="7"/>
  <c r="HT82" i="7"/>
  <c r="HT74" i="7"/>
  <c r="HT66" i="7"/>
  <c r="HT118" i="7"/>
  <c r="HT105" i="7"/>
  <c r="HT104" i="7"/>
  <c r="HT129" i="7"/>
  <c r="HT81" i="7"/>
  <c r="HT73" i="7"/>
  <c r="HT65" i="7"/>
  <c r="HT96" i="7"/>
  <c r="HT78" i="7"/>
  <c r="HT77" i="7"/>
  <c r="HT70" i="7"/>
  <c r="HT101" i="7"/>
  <c r="HT103" i="7"/>
  <c r="HT76" i="7"/>
  <c r="HT72" i="7"/>
  <c r="HT80" i="7"/>
  <c r="HT59" i="7"/>
  <c r="HT51" i="7"/>
  <c r="HT43" i="7"/>
  <c r="HT35" i="7"/>
  <c r="HT27" i="7"/>
  <c r="HT84" i="7"/>
  <c r="HT68" i="7"/>
  <c r="HT62" i="7"/>
  <c r="HT54" i="7"/>
  <c r="HT46" i="7"/>
  <c r="HT38" i="7"/>
  <c r="HT30" i="7"/>
  <c r="HT108" i="7"/>
  <c r="HT92" i="7"/>
  <c r="HT67" i="7"/>
  <c r="HT75" i="7"/>
  <c r="HT91" i="7"/>
  <c r="HT83" i="7"/>
  <c r="HT64" i="7"/>
  <c r="HT61" i="7"/>
  <c r="HT53" i="7"/>
  <c r="HT45" i="7"/>
  <c r="HT37" i="7"/>
  <c r="HT86" i="7"/>
  <c r="HT60" i="7"/>
  <c r="HT41" i="7"/>
  <c r="HT34" i="7"/>
  <c r="HT56" i="7"/>
  <c r="HT52" i="7"/>
  <c r="HT88" i="7"/>
  <c r="HT69" i="7"/>
  <c r="HT58" i="7"/>
  <c r="HT39" i="7"/>
  <c r="HT26" i="7"/>
  <c r="HT18" i="7"/>
  <c r="HT10" i="7"/>
  <c r="HT2" i="7"/>
  <c r="HT48" i="7"/>
  <c r="HT47" i="7"/>
  <c r="HT36" i="7"/>
  <c r="HT21" i="7"/>
  <c r="HT13" i="7"/>
  <c r="HT5" i="7"/>
  <c r="HT49" i="7"/>
  <c r="HT50" i="7"/>
  <c r="HT40" i="7"/>
  <c r="HT93" i="7"/>
  <c r="HT55" i="7"/>
  <c r="HT44" i="7"/>
  <c r="HT42" i="7"/>
  <c r="HT32" i="7"/>
  <c r="HT20" i="7"/>
  <c r="HT12" i="7"/>
  <c r="HT4" i="7"/>
  <c r="HT57" i="7"/>
  <c r="HT24" i="7"/>
  <c r="HT8" i="7"/>
  <c r="HT29" i="7"/>
  <c r="HT19" i="7"/>
  <c r="HT15" i="7"/>
  <c r="HT11" i="7"/>
  <c r="HT33" i="7"/>
  <c r="HT22" i="7"/>
  <c r="HT7" i="7"/>
  <c r="HT23" i="7"/>
  <c r="HT14" i="7"/>
  <c r="HT31" i="7"/>
  <c r="HT28" i="7"/>
  <c r="HT17" i="7"/>
  <c r="IB52" i="9"/>
  <c r="IB1" i="9"/>
  <c r="IB52" i="8"/>
  <c r="IB1" i="8"/>
  <c r="IB139" i="7"/>
  <c r="IB142" i="7"/>
  <c r="IB141" i="7"/>
  <c r="IB133" i="7"/>
  <c r="IB125" i="7"/>
  <c r="IB117" i="7"/>
  <c r="IB128" i="7"/>
  <c r="IB120" i="7"/>
  <c r="IB143" i="7"/>
  <c r="IB138" i="7"/>
  <c r="IB148" i="7"/>
  <c r="IB144" i="7"/>
  <c r="IB132" i="7"/>
  <c r="IB123" i="7"/>
  <c r="IB119" i="7"/>
  <c r="IB115" i="7"/>
  <c r="IB107" i="7"/>
  <c r="IB99" i="7"/>
  <c r="IB131" i="7"/>
  <c r="IB110" i="7"/>
  <c r="IB102" i="7"/>
  <c r="IB136" i="7"/>
  <c r="IB134" i="7"/>
  <c r="IB137" i="7"/>
  <c r="IB140" i="7"/>
  <c r="IB129" i="7"/>
  <c r="IB109" i="7"/>
  <c r="IB104" i="7"/>
  <c r="IB95" i="7"/>
  <c r="IB87" i="7"/>
  <c r="IB122" i="7"/>
  <c r="IB111" i="7"/>
  <c r="IB100" i="7"/>
  <c r="IB98" i="7"/>
  <c r="IB90" i="7"/>
  <c r="IB135" i="7"/>
  <c r="IB126" i="7"/>
  <c r="IB118" i="7"/>
  <c r="IB127" i="7"/>
  <c r="IB130" i="7"/>
  <c r="IB124" i="7"/>
  <c r="IB121" i="7"/>
  <c r="IB116" i="7"/>
  <c r="IB97" i="7"/>
  <c r="IB89" i="7"/>
  <c r="IB105" i="7"/>
  <c r="IB101" i="7"/>
  <c r="IB92" i="7"/>
  <c r="IB79" i="7"/>
  <c r="IB71" i="7"/>
  <c r="IB63" i="7"/>
  <c r="IB106" i="7"/>
  <c r="IB88" i="7"/>
  <c r="IB82" i="7"/>
  <c r="IB74" i="7"/>
  <c r="IB66" i="7"/>
  <c r="IB108" i="7"/>
  <c r="IB113" i="7"/>
  <c r="IB114" i="7"/>
  <c r="IB103" i="7"/>
  <c r="IB81" i="7"/>
  <c r="IB73" i="7"/>
  <c r="IB65" i="7"/>
  <c r="IB83" i="7"/>
  <c r="IB68" i="7"/>
  <c r="IB64" i="7"/>
  <c r="IB91" i="7"/>
  <c r="IB75" i="7"/>
  <c r="IB94" i="7"/>
  <c r="IB77" i="7"/>
  <c r="IB70" i="7"/>
  <c r="IB84" i="7"/>
  <c r="IB72" i="7"/>
  <c r="IB112" i="7"/>
  <c r="IB59" i="7"/>
  <c r="IB51" i="7"/>
  <c r="IB43" i="7"/>
  <c r="IB35" i="7"/>
  <c r="IB27" i="7"/>
  <c r="IB78" i="7"/>
  <c r="IB62" i="7"/>
  <c r="IB54" i="7"/>
  <c r="IB46" i="7"/>
  <c r="IB38" i="7"/>
  <c r="IB30" i="7"/>
  <c r="IB85" i="7"/>
  <c r="IB96" i="7"/>
  <c r="IB76" i="7"/>
  <c r="IB86" i="7"/>
  <c r="IB69" i="7"/>
  <c r="IB93" i="7"/>
  <c r="IB80" i="7"/>
  <c r="IB61" i="7"/>
  <c r="IB53" i="7"/>
  <c r="IB45" i="7"/>
  <c r="IB37" i="7"/>
  <c r="IB58" i="7"/>
  <c r="IB39" i="7"/>
  <c r="IB57" i="7"/>
  <c r="IB50" i="7"/>
  <c r="IB33" i="7"/>
  <c r="IB48" i="7"/>
  <c r="IB44" i="7"/>
  <c r="IB67" i="7"/>
  <c r="IB32" i="7"/>
  <c r="IB18" i="7"/>
  <c r="IB10" i="7"/>
  <c r="IB2" i="7"/>
  <c r="IB52" i="7"/>
  <c r="IB41" i="7"/>
  <c r="IB40" i="7"/>
  <c r="IB29" i="7"/>
  <c r="IB21" i="7"/>
  <c r="IB13" i="7"/>
  <c r="IB5" i="7"/>
  <c r="IB42" i="7"/>
  <c r="IB55" i="7"/>
  <c r="IB56" i="7"/>
  <c r="IB60" i="7"/>
  <c r="IB49" i="7"/>
  <c r="IB47" i="7"/>
  <c r="IB36" i="7"/>
  <c r="IB28" i="7"/>
  <c r="IB20" i="7"/>
  <c r="IB12" i="7"/>
  <c r="IB4" i="7"/>
  <c r="IB23" i="7"/>
  <c r="IB6" i="7"/>
  <c r="IB17" i="7"/>
  <c r="IB31" i="7"/>
  <c r="IB16" i="7"/>
  <c r="IB9" i="7"/>
  <c r="IB25" i="7"/>
  <c r="IB8" i="7"/>
  <c r="IB24" i="7"/>
  <c r="IB19" i="7"/>
  <c r="IB26" i="7"/>
  <c r="IB15" i="7"/>
  <c r="IB11" i="7"/>
  <c r="IB34" i="7"/>
  <c r="IB22" i="7"/>
  <c r="IB7" i="7"/>
  <c r="IB3" i="7"/>
  <c r="IJ52" i="9"/>
  <c r="IJ52" i="8"/>
  <c r="IJ1" i="9"/>
  <c r="IJ1" i="8"/>
  <c r="IJ139" i="7"/>
  <c r="IJ142" i="7"/>
  <c r="IJ141" i="7"/>
  <c r="IJ138" i="7"/>
  <c r="IJ133" i="7"/>
  <c r="IJ125" i="7"/>
  <c r="IJ117" i="7"/>
  <c r="IJ143" i="7"/>
  <c r="IJ128" i="7"/>
  <c r="IJ120" i="7"/>
  <c r="IJ115" i="7"/>
  <c r="IJ107" i="7"/>
  <c r="IJ99" i="7"/>
  <c r="IJ137" i="7"/>
  <c r="IJ135" i="7"/>
  <c r="IJ129" i="7"/>
  <c r="IJ126" i="7"/>
  <c r="IJ122" i="7"/>
  <c r="IJ110" i="7"/>
  <c r="IJ102" i="7"/>
  <c r="IJ140" i="7"/>
  <c r="IJ144" i="7"/>
  <c r="IJ148" i="7"/>
  <c r="IJ134" i="7"/>
  <c r="IJ121" i="7"/>
  <c r="IJ118" i="7"/>
  <c r="IJ109" i="7"/>
  <c r="IJ105" i="7"/>
  <c r="IJ95" i="7"/>
  <c r="IJ87" i="7"/>
  <c r="IJ127" i="7"/>
  <c r="IJ116" i="7"/>
  <c r="IJ98" i="7"/>
  <c r="IJ90" i="7"/>
  <c r="IJ131" i="7"/>
  <c r="IJ130" i="7"/>
  <c r="IJ124" i="7"/>
  <c r="IJ132" i="7"/>
  <c r="IJ136" i="7"/>
  <c r="IJ119" i="7"/>
  <c r="IJ123" i="7"/>
  <c r="IJ114" i="7"/>
  <c r="IJ101" i="7"/>
  <c r="IJ97" i="7"/>
  <c r="IJ89" i="7"/>
  <c r="IJ93" i="7"/>
  <c r="IJ79" i="7"/>
  <c r="IJ71" i="7"/>
  <c r="IJ63" i="7"/>
  <c r="IJ112" i="7"/>
  <c r="IJ111" i="7"/>
  <c r="IJ100" i="7"/>
  <c r="IJ82" i="7"/>
  <c r="IJ74" i="7"/>
  <c r="IJ66" i="7"/>
  <c r="IJ113" i="7"/>
  <c r="IJ104" i="7"/>
  <c r="IJ108" i="7"/>
  <c r="IJ106" i="7"/>
  <c r="IJ81" i="7"/>
  <c r="IJ73" i="7"/>
  <c r="IJ65" i="7"/>
  <c r="IJ69" i="7"/>
  <c r="IJ103" i="7"/>
  <c r="IJ96" i="7"/>
  <c r="IJ94" i="7"/>
  <c r="IJ84" i="7"/>
  <c r="IJ80" i="7"/>
  <c r="IJ85" i="7"/>
  <c r="IJ75" i="7"/>
  <c r="IJ91" i="7"/>
  <c r="IJ76" i="7"/>
  <c r="IJ88" i="7"/>
  <c r="IJ86" i="7"/>
  <c r="IJ77" i="7"/>
  <c r="IJ92" i="7"/>
  <c r="IJ78" i="7"/>
  <c r="IJ59" i="7"/>
  <c r="IJ51" i="7"/>
  <c r="IJ43" i="7"/>
  <c r="IJ35" i="7"/>
  <c r="IJ27" i="7"/>
  <c r="IJ54" i="7"/>
  <c r="IJ46" i="7"/>
  <c r="IJ38" i="7"/>
  <c r="IJ30" i="7"/>
  <c r="IJ70" i="7"/>
  <c r="IJ62" i="7"/>
  <c r="IJ83" i="7"/>
  <c r="IJ68" i="7"/>
  <c r="IJ67" i="7"/>
  <c r="IJ72" i="7"/>
  <c r="IJ64" i="7"/>
  <c r="IJ61" i="7"/>
  <c r="IJ53" i="7"/>
  <c r="IJ45" i="7"/>
  <c r="IJ37" i="7"/>
  <c r="IJ48" i="7"/>
  <c r="IJ44" i="7"/>
  <c r="IJ55" i="7"/>
  <c r="IJ40" i="7"/>
  <c r="IJ36" i="7"/>
  <c r="IJ49" i="7"/>
  <c r="IJ42" i="7"/>
  <c r="IJ28" i="7"/>
  <c r="IJ18" i="7"/>
  <c r="IJ10" i="7"/>
  <c r="IJ2" i="7"/>
  <c r="IJ57" i="7"/>
  <c r="IJ56" i="7"/>
  <c r="IJ25" i="7"/>
  <c r="IJ21" i="7"/>
  <c r="IJ13" i="7"/>
  <c r="IJ5" i="7"/>
  <c r="IJ58" i="7"/>
  <c r="IJ47" i="7"/>
  <c r="IJ60" i="7"/>
  <c r="IJ50" i="7"/>
  <c r="IJ39" i="7"/>
  <c r="IJ52" i="7"/>
  <c r="IJ41" i="7"/>
  <c r="IJ23" i="7"/>
  <c r="IJ20" i="7"/>
  <c r="IJ12" i="7"/>
  <c r="IJ4" i="7"/>
  <c r="IJ32" i="7"/>
  <c r="IJ24" i="7"/>
  <c r="IJ15" i="7"/>
  <c r="IJ11" i="7"/>
  <c r="IJ29" i="7"/>
  <c r="IJ22" i="7"/>
  <c r="IJ7" i="7"/>
  <c r="IJ3" i="7"/>
  <c r="IJ26" i="7"/>
  <c r="IJ14" i="7"/>
  <c r="IJ34" i="7"/>
  <c r="IJ6" i="7"/>
  <c r="IJ33" i="7"/>
  <c r="IJ17" i="7"/>
  <c r="IJ16" i="7"/>
  <c r="IJ9" i="7"/>
  <c r="IJ31" i="7"/>
  <c r="IJ8" i="7"/>
  <c r="IR52" i="9"/>
  <c r="IR1" i="9"/>
  <c r="IR1" i="8"/>
  <c r="IR52" i="8"/>
  <c r="IR139" i="7"/>
  <c r="IR142" i="7"/>
  <c r="IR141" i="7"/>
  <c r="IR148" i="7"/>
  <c r="IR133" i="7"/>
  <c r="IR125" i="7"/>
  <c r="IR117" i="7"/>
  <c r="IR128" i="7"/>
  <c r="IR120" i="7"/>
  <c r="IR136" i="7"/>
  <c r="IR135" i="7"/>
  <c r="IR121" i="7"/>
  <c r="IR115" i="7"/>
  <c r="IR107" i="7"/>
  <c r="IR99" i="7"/>
  <c r="IR144" i="7"/>
  <c r="IR143" i="7"/>
  <c r="IR134" i="7"/>
  <c r="IR110" i="7"/>
  <c r="IR102" i="7"/>
  <c r="IR137" i="7"/>
  <c r="IR140" i="7"/>
  <c r="IR132" i="7"/>
  <c r="IR127" i="7"/>
  <c r="IR109" i="7"/>
  <c r="IR138" i="7"/>
  <c r="IR103" i="7"/>
  <c r="IR101" i="7"/>
  <c r="IR95" i="7"/>
  <c r="IR87" i="7"/>
  <c r="IR122" i="7"/>
  <c r="IR114" i="7"/>
  <c r="IR98" i="7"/>
  <c r="IR90" i="7"/>
  <c r="IR126" i="7"/>
  <c r="IR119" i="7"/>
  <c r="IR118" i="7"/>
  <c r="IR123" i="7"/>
  <c r="IR116" i="7"/>
  <c r="IR130" i="7"/>
  <c r="IR129" i="7"/>
  <c r="IR124" i="7"/>
  <c r="IR104" i="7"/>
  <c r="IR97" i="7"/>
  <c r="IR89" i="7"/>
  <c r="IR91" i="7"/>
  <c r="IR79" i="7"/>
  <c r="IR71" i="7"/>
  <c r="IR63" i="7"/>
  <c r="IR105" i="7"/>
  <c r="IR86" i="7"/>
  <c r="IR82" i="7"/>
  <c r="IR74" i="7"/>
  <c r="IR66" i="7"/>
  <c r="IR106" i="7"/>
  <c r="IR108" i="7"/>
  <c r="IR113" i="7"/>
  <c r="IR111" i="7"/>
  <c r="IR100" i="7"/>
  <c r="IR92" i="7"/>
  <c r="IR85" i="7"/>
  <c r="IR81" i="7"/>
  <c r="IR73" i="7"/>
  <c r="IR65" i="7"/>
  <c r="IR88" i="7"/>
  <c r="IR67" i="7"/>
  <c r="IR78" i="7"/>
  <c r="IR93" i="7"/>
  <c r="IR84" i="7"/>
  <c r="IR80" i="7"/>
  <c r="IR69" i="7"/>
  <c r="IR68" i="7"/>
  <c r="IR131" i="7"/>
  <c r="IR112" i="7"/>
  <c r="IR96" i="7"/>
  <c r="IR83" i="7"/>
  <c r="IR76" i="7"/>
  <c r="IR59" i="7"/>
  <c r="IR51" i="7"/>
  <c r="IR43" i="7"/>
  <c r="IR35" i="7"/>
  <c r="IR27" i="7"/>
  <c r="IR64" i="7"/>
  <c r="IR54" i="7"/>
  <c r="IR46" i="7"/>
  <c r="IR38" i="7"/>
  <c r="IR30" i="7"/>
  <c r="IR77" i="7"/>
  <c r="IR72" i="7"/>
  <c r="IR62" i="7"/>
  <c r="IR75" i="7"/>
  <c r="IR70" i="7"/>
  <c r="IR61" i="7"/>
  <c r="IR53" i="7"/>
  <c r="IR45" i="7"/>
  <c r="IR37" i="7"/>
  <c r="IR49" i="7"/>
  <c r="IR42" i="7"/>
  <c r="IR94" i="7"/>
  <c r="IR60" i="7"/>
  <c r="IR41" i="7"/>
  <c r="IR34" i="7"/>
  <c r="IR47" i="7"/>
  <c r="IR48" i="7"/>
  <c r="IR36" i="7"/>
  <c r="IR18" i="7"/>
  <c r="IR10" i="7"/>
  <c r="IR2" i="7"/>
  <c r="IR31" i="7"/>
  <c r="IR21" i="7"/>
  <c r="IR13" i="7"/>
  <c r="IR5" i="7"/>
  <c r="IR52" i="7"/>
  <c r="IR50" i="7"/>
  <c r="IR39" i="7"/>
  <c r="IR40" i="7"/>
  <c r="IR56" i="7"/>
  <c r="IR55" i="7"/>
  <c r="IR44" i="7"/>
  <c r="IR57" i="7"/>
  <c r="IR26" i="7"/>
  <c r="IR24" i="7"/>
  <c r="IR20" i="7"/>
  <c r="IR12" i="7"/>
  <c r="IR4" i="7"/>
  <c r="IR58" i="7"/>
  <c r="IR16" i="7"/>
  <c r="IR9" i="7"/>
  <c r="IR8" i="7"/>
  <c r="IR33" i="7"/>
  <c r="IR28" i="7"/>
  <c r="IR19" i="7"/>
  <c r="IR25" i="7"/>
  <c r="IR15" i="7"/>
  <c r="IR11" i="7"/>
  <c r="IR22" i="7"/>
  <c r="IR7" i="7"/>
  <c r="IR32" i="7"/>
  <c r="IR14" i="7"/>
  <c r="IR29" i="7"/>
  <c r="IR6" i="7"/>
  <c r="IZ52" i="9"/>
  <c r="IZ1" i="9"/>
  <c r="IZ52" i="8"/>
  <c r="IZ1" i="8"/>
  <c r="IZ139" i="7"/>
  <c r="IZ142" i="7"/>
  <c r="IZ141" i="7"/>
  <c r="IZ136" i="7"/>
  <c r="IZ133" i="7"/>
  <c r="IZ125" i="7"/>
  <c r="IZ117" i="7"/>
  <c r="IZ137" i="7"/>
  <c r="IZ128" i="7"/>
  <c r="IZ120" i="7"/>
  <c r="IZ135" i="7"/>
  <c r="IZ127" i="7"/>
  <c r="IZ118" i="7"/>
  <c r="IZ115" i="7"/>
  <c r="IZ107" i="7"/>
  <c r="IZ99" i="7"/>
  <c r="IZ132" i="7"/>
  <c r="IZ124" i="7"/>
  <c r="IZ110" i="7"/>
  <c r="IZ102" i="7"/>
  <c r="IZ140" i="7"/>
  <c r="IZ138" i="7"/>
  <c r="IZ134" i="7"/>
  <c r="IZ143" i="7"/>
  <c r="IZ123" i="7"/>
  <c r="IZ119" i="7"/>
  <c r="IZ109" i="7"/>
  <c r="IZ112" i="7"/>
  <c r="IZ108" i="7"/>
  <c r="IZ95" i="7"/>
  <c r="IZ87" i="7"/>
  <c r="IZ104" i="7"/>
  <c r="IZ98" i="7"/>
  <c r="IZ90" i="7"/>
  <c r="IZ121" i="7"/>
  <c r="IZ131" i="7"/>
  <c r="IZ129" i="7"/>
  <c r="IZ144" i="7"/>
  <c r="IZ130" i="7"/>
  <c r="IZ148" i="7"/>
  <c r="IZ122" i="7"/>
  <c r="IZ105" i="7"/>
  <c r="IZ97" i="7"/>
  <c r="IZ89" i="7"/>
  <c r="IZ126" i="7"/>
  <c r="IZ106" i="7"/>
  <c r="IZ96" i="7"/>
  <c r="IZ85" i="7"/>
  <c r="IZ79" i="7"/>
  <c r="IZ71" i="7"/>
  <c r="IZ63" i="7"/>
  <c r="IZ92" i="7"/>
  <c r="IZ82" i="7"/>
  <c r="IZ74" i="7"/>
  <c r="IZ66" i="7"/>
  <c r="IZ116" i="7"/>
  <c r="IZ111" i="7"/>
  <c r="IZ113" i="7"/>
  <c r="IZ114" i="7"/>
  <c r="IZ93" i="7"/>
  <c r="IZ81" i="7"/>
  <c r="IZ73" i="7"/>
  <c r="IZ65" i="7"/>
  <c r="IZ91" i="7"/>
  <c r="IZ76" i="7"/>
  <c r="IZ72" i="7"/>
  <c r="IZ83" i="7"/>
  <c r="IZ68" i="7"/>
  <c r="IZ88" i="7"/>
  <c r="IZ78" i="7"/>
  <c r="IZ84" i="7"/>
  <c r="IZ75" i="7"/>
  <c r="IZ103" i="7"/>
  <c r="IZ77" i="7"/>
  <c r="IZ100" i="7"/>
  <c r="IZ80" i="7"/>
  <c r="IZ59" i="7"/>
  <c r="IZ51" i="7"/>
  <c r="IZ43" i="7"/>
  <c r="IZ35" i="7"/>
  <c r="IZ27" i="7"/>
  <c r="IZ86" i="7"/>
  <c r="IZ54" i="7"/>
  <c r="IZ46" i="7"/>
  <c r="IZ38" i="7"/>
  <c r="IZ30" i="7"/>
  <c r="IZ101" i="7"/>
  <c r="IZ70" i="7"/>
  <c r="IZ64" i="7"/>
  <c r="IZ62" i="7"/>
  <c r="IZ69" i="7"/>
  <c r="IZ67" i="7"/>
  <c r="IZ94" i="7"/>
  <c r="IZ61" i="7"/>
  <c r="IZ53" i="7"/>
  <c r="IZ45" i="7"/>
  <c r="IZ37" i="7"/>
  <c r="IZ47" i="7"/>
  <c r="IZ58" i="7"/>
  <c r="IZ39" i="7"/>
  <c r="IZ56" i="7"/>
  <c r="IZ52" i="7"/>
  <c r="IZ41" i="7"/>
  <c r="IZ40" i="7"/>
  <c r="IZ26" i="7"/>
  <c r="IZ23" i="7"/>
  <c r="IZ18" i="7"/>
  <c r="IZ10" i="7"/>
  <c r="IZ2" i="7"/>
  <c r="IZ42" i="7"/>
  <c r="IZ21" i="7"/>
  <c r="IZ13" i="7"/>
  <c r="IZ5" i="7"/>
  <c r="IZ57" i="7"/>
  <c r="IZ55" i="7"/>
  <c r="IZ44" i="7"/>
  <c r="IZ49" i="7"/>
  <c r="IZ48" i="7"/>
  <c r="IZ36" i="7"/>
  <c r="IZ50" i="7"/>
  <c r="IZ32" i="7"/>
  <c r="IZ20" i="7"/>
  <c r="IZ12" i="7"/>
  <c r="IZ4" i="7"/>
  <c r="IZ60" i="7"/>
  <c r="IZ34" i="7"/>
  <c r="IZ25" i="7"/>
  <c r="IZ14" i="7"/>
  <c r="IZ6" i="7"/>
  <c r="IZ29" i="7"/>
  <c r="IZ17" i="7"/>
  <c r="IZ16" i="7"/>
  <c r="IZ9" i="7"/>
  <c r="IZ8" i="7"/>
  <c r="IZ19" i="7"/>
  <c r="IZ31" i="7"/>
  <c r="IZ15" i="7"/>
  <c r="IZ11" i="7"/>
  <c r="JH52" i="9"/>
  <c r="JH52" i="8"/>
  <c r="JH1" i="9"/>
  <c r="JH1" i="8"/>
  <c r="JH139" i="7"/>
  <c r="JH142" i="7"/>
  <c r="JH141" i="7"/>
  <c r="JH144" i="7"/>
  <c r="JH140" i="7"/>
  <c r="JH135" i="7"/>
  <c r="JH133" i="7"/>
  <c r="JH125" i="7"/>
  <c r="JH117" i="7"/>
  <c r="JH128" i="7"/>
  <c r="JH120" i="7"/>
  <c r="JH148" i="7"/>
  <c r="JH138" i="7"/>
  <c r="JH130" i="7"/>
  <c r="JH123" i="7"/>
  <c r="JH119" i="7"/>
  <c r="JH115" i="7"/>
  <c r="JH107" i="7"/>
  <c r="JH99" i="7"/>
  <c r="JH118" i="7"/>
  <c r="JH110" i="7"/>
  <c r="JH102" i="7"/>
  <c r="JH143" i="7"/>
  <c r="JH136" i="7"/>
  <c r="JH137" i="7"/>
  <c r="JH109" i="7"/>
  <c r="JH113" i="7"/>
  <c r="JH106" i="7"/>
  <c r="JH95" i="7"/>
  <c r="JH87" i="7"/>
  <c r="JH134" i="7"/>
  <c r="JH131" i="7"/>
  <c r="JH105" i="7"/>
  <c r="JH100" i="7"/>
  <c r="JH98" i="7"/>
  <c r="JH90" i="7"/>
  <c r="JH132" i="7"/>
  <c r="JH122" i="7"/>
  <c r="JH116" i="7"/>
  <c r="JH126" i="7"/>
  <c r="JH127" i="7"/>
  <c r="JH124" i="7"/>
  <c r="JH103" i="7"/>
  <c r="JH97" i="7"/>
  <c r="JH89" i="7"/>
  <c r="JH112" i="7"/>
  <c r="JH111" i="7"/>
  <c r="JH94" i="7"/>
  <c r="JH79" i="7"/>
  <c r="JH71" i="7"/>
  <c r="JH63" i="7"/>
  <c r="JH101" i="7"/>
  <c r="JH93" i="7"/>
  <c r="JH88" i="7"/>
  <c r="JH82" i="7"/>
  <c r="JH74" i="7"/>
  <c r="JH66" i="7"/>
  <c r="JH129" i="7"/>
  <c r="JH114" i="7"/>
  <c r="JH121" i="7"/>
  <c r="JH104" i="7"/>
  <c r="JH91" i="7"/>
  <c r="JH81" i="7"/>
  <c r="JH73" i="7"/>
  <c r="JH65" i="7"/>
  <c r="JH96" i="7"/>
  <c r="JH85" i="7"/>
  <c r="JH77" i="7"/>
  <c r="JH70" i="7"/>
  <c r="JH69" i="7"/>
  <c r="JH108" i="7"/>
  <c r="JH86" i="7"/>
  <c r="JH83" i="7"/>
  <c r="JH68" i="7"/>
  <c r="JH80" i="7"/>
  <c r="JH78" i="7"/>
  <c r="JH64" i="7"/>
  <c r="JH59" i="7"/>
  <c r="JH51" i="7"/>
  <c r="JH43" i="7"/>
  <c r="JH35" i="7"/>
  <c r="JH27" i="7"/>
  <c r="JH54" i="7"/>
  <c r="JH46" i="7"/>
  <c r="JH38" i="7"/>
  <c r="JH30" i="7"/>
  <c r="JH75" i="7"/>
  <c r="JH67" i="7"/>
  <c r="JH92" i="7"/>
  <c r="JH76" i="7"/>
  <c r="JH72" i="7"/>
  <c r="JH61" i="7"/>
  <c r="JH53" i="7"/>
  <c r="JH45" i="7"/>
  <c r="JH37" i="7"/>
  <c r="JH56" i="7"/>
  <c r="JH52" i="7"/>
  <c r="JH48" i="7"/>
  <c r="JH44" i="7"/>
  <c r="JH33" i="7"/>
  <c r="JH84" i="7"/>
  <c r="JH57" i="7"/>
  <c r="JH50" i="7"/>
  <c r="JH32" i="7"/>
  <c r="JH24" i="7"/>
  <c r="JH18" i="7"/>
  <c r="JH10" i="7"/>
  <c r="JH2" i="7"/>
  <c r="JH58" i="7"/>
  <c r="JH47" i="7"/>
  <c r="JH36" i="7"/>
  <c r="JH34" i="7"/>
  <c r="JH29" i="7"/>
  <c r="JH23" i="7"/>
  <c r="JH21" i="7"/>
  <c r="JH13" i="7"/>
  <c r="JH5" i="7"/>
  <c r="JH49" i="7"/>
  <c r="JH40" i="7"/>
  <c r="JH39" i="7"/>
  <c r="JH60" i="7"/>
  <c r="JH41" i="7"/>
  <c r="JH55" i="7"/>
  <c r="JH42" i="7"/>
  <c r="JH28" i="7"/>
  <c r="JH20" i="7"/>
  <c r="JH12" i="7"/>
  <c r="JH4" i="7"/>
  <c r="JH62" i="7"/>
  <c r="JH19" i="7"/>
  <c r="JH15" i="7"/>
  <c r="JH11" i="7"/>
  <c r="JH22" i="7"/>
  <c r="JH7" i="7"/>
  <c r="JH3" i="7"/>
  <c r="JH31" i="7"/>
  <c r="JH14" i="7"/>
  <c r="JH25" i="7"/>
  <c r="JH6" i="7"/>
  <c r="JH17" i="7"/>
  <c r="JH26" i="7"/>
  <c r="JH16" i="7"/>
  <c r="JH9" i="7"/>
  <c r="JP52" i="9"/>
  <c r="JP1" i="9"/>
  <c r="JP1" i="8"/>
  <c r="JP139" i="7"/>
  <c r="JP142" i="7"/>
  <c r="JP52" i="8"/>
  <c r="JP141" i="7"/>
  <c r="JP138" i="7"/>
  <c r="JP133" i="7"/>
  <c r="JP125" i="7"/>
  <c r="JP117" i="7"/>
  <c r="JP148" i="7"/>
  <c r="JP135" i="7"/>
  <c r="JP128" i="7"/>
  <c r="JP120" i="7"/>
  <c r="JP144" i="7"/>
  <c r="JP143" i="7"/>
  <c r="JP136" i="7"/>
  <c r="JP131" i="7"/>
  <c r="JP115" i="7"/>
  <c r="JP107" i="7"/>
  <c r="JP99" i="7"/>
  <c r="JP126" i="7"/>
  <c r="JP122" i="7"/>
  <c r="JP110" i="7"/>
  <c r="JP102" i="7"/>
  <c r="JP137" i="7"/>
  <c r="JP134" i="7"/>
  <c r="JP140" i="7"/>
  <c r="JP121" i="7"/>
  <c r="JP109" i="7"/>
  <c r="JP111" i="7"/>
  <c r="JP95" i="7"/>
  <c r="JP87" i="7"/>
  <c r="JP103" i="7"/>
  <c r="JP98" i="7"/>
  <c r="JP90" i="7"/>
  <c r="JP127" i="7"/>
  <c r="JP124" i="7"/>
  <c r="JP118" i="7"/>
  <c r="JP130" i="7"/>
  <c r="JP129" i="7"/>
  <c r="JP119" i="7"/>
  <c r="JP112" i="7"/>
  <c r="JP108" i="7"/>
  <c r="JP101" i="7"/>
  <c r="JP97" i="7"/>
  <c r="JP89" i="7"/>
  <c r="JP132" i="7"/>
  <c r="JP105" i="7"/>
  <c r="JP104" i="7"/>
  <c r="JP79" i="7"/>
  <c r="JP71" i="7"/>
  <c r="JP63" i="7"/>
  <c r="JP123" i="7"/>
  <c r="JP106" i="7"/>
  <c r="JP91" i="7"/>
  <c r="JP82" i="7"/>
  <c r="JP74" i="7"/>
  <c r="JP66" i="7"/>
  <c r="JP113" i="7"/>
  <c r="JP114" i="7"/>
  <c r="JP96" i="7"/>
  <c r="JP81" i="7"/>
  <c r="JP73" i="7"/>
  <c r="JP65" i="7"/>
  <c r="JP100" i="7"/>
  <c r="JP86" i="7"/>
  <c r="JP75" i="7"/>
  <c r="JP67" i="7"/>
  <c r="JP116" i="7"/>
  <c r="JP94" i="7"/>
  <c r="JP88" i="7"/>
  <c r="JP69" i="7"/>
  <c r="JP70" i="7"/>
  <c r="JP84" i="7"/>
  <c r="JP83" i="7"/>
  <c r="JP72" i="7"/>
  <c r="JP92" i="7"/>
  <c r="JP85" i="7"/>
  <c r="JP59" i="7"/>
  <c r="JP51" i="7"/>
  <c r="JP43" i="7"/>
  <c r="JP35" i="7"/>
  <c r="JP27" i="7"/>
  <c r="JP54" i="7"/>
  <c r="JP46" i="7"/>
  <c r="JP38" i="7"/>
  <c r="JP30" i="7"/>
  <c r="JP76" i="7"/>
  <c r="JP68" i="7"/>
  <c r="JP80" i="7"/>
  <c r="JP77" i="7"/>
  <c r="JP64" i="7"/>
  <c r="JP62" i="7"/>
  <c r="JP61" i="7"/>
  <c r="JP53" i="7"/>
  <c r="JP45" i="7"/>
  <c r="JP37" i="7"/>
  <c r="JP57" i="7"/>
  <c r="JP50" i="7"/>
  <c r="JP78" i="7"/>
  <c r="JP49" i="7"/>
  <c r="JP42" i="7"/>
  <c r="JP60" i="7"/>
  <c r="JP55" i="7"/>
  <c r="JP40" i="7"/>
  <c r="JP36" i="7"/>
  <c r="JP28" i="7"/>
  <c r="JP18" i="7"/>
  <c r="JP10" i="7"/>
  <c r="JP2" i="7"/>
  <c r="JP52" i="7"/>
  <c r="JP41" i="7"/>
  <c r="JP39" i="7"/>
  <c r="JP33" i="7"/>
  <c r="JP25" i="7"/>
  <c r="JP24" i="7"/>
  <c r="JP21" i="7"/>
  <c r="JP13" i="7"/>
  <c r="JP5" i="7"/>
  <c r="JP56" i="7"/>
  <c r="JP44" i="7"/>
  <c r="JP93" i="7"/>
  <c r="JP58" i="7"/>
  <c r="JP47" i="7"/>
  <c r="JP20" i="7"/>
  <c r="JP12" i="7"/>
  <c r="JP4" i="7"/>
  <c r="JP17" i="7"/>
  <c r="JP32" i="7"/>
  <c r="JP23" i="7"/>
  <c r="JP16" i="7"/>
  <c r="JP9" i="7"/>
  <c r="JP29" i="7"/>
  <c r="JP8" i="7"/>
  <c r="JP26" i="7"/>
  <c r="JP19" i="7"/>
  <c r="JP34" i="7"/>
  <c r="JP15" i="7"/>
  <c r="JP11" i="7"/>
  <c r="JP22" i="7"/>
  <c r="JP48" i="7"/>
  <c r="JP14" i="7"/>
  <c r="JX52" i="9"/>
  <c r="JX1" i="9"/>
  <c r="JX1" i="8"/>
  <c r="JX52" i="8"/>
  <c r="JX139" i="7"/>
  <c r="JX142" i="7"/>
  <c r="JX141" i="7"/>
  <c r="JX143" i="7"/>
  <c r="JX133" i="7"/>
  <c r="JX125" i="7"/>
  <c r="JX117" i="7"/>
  <c r="JX128" i="7"/>
  <c r="JX120" i="7"/>
  <c r="JX144" i="7"/>
  <c r="JX140" i="7"/>
  <c r="JX136" i="7"/>
  <c r="JX129" i="7"/>
  <c r="JX121" i="7"/>
  <c r="JX115" i="7"/>
  <c r="JX107" i="7"/>
  <c r="JX99" i="7"/>
  <c r="JX138" i="7"/>
  <c r="JX110" i="7"/>
  <c r="JX102" i="7"/>
  <c r="JX135" i="7"/>
  <c r="JX148" i="7"/>
  <c r="JX137" i="7"/>
  <c r="JX130" i="7"/>
  <c r="JX127" i="7"/>
  <c r="JX109" i="7"/>
  <c r="JX118" i="7"/>
  <c r="JX116" i="7"/>
  <c r="JX101" i="7"/>
  <c r="JX95" i="7"/>
  <c r="JX87" i="7"/>
  <c r="JX112" i="7"/>
  <c r="JX108" i="7"/>
  <c r="JX98" i="7"/>
  <c r="JX90" i="7"/>
  <c r="JX131" i="7"/>
  <c r="JX122" i="7"/>
  <c r="JX132" i="7"/>
  <c r="JX126" i="7"/>
  <c r="JX119" i="7"/>
  <c r="JX123" i="7"/>
  <c r="JX134" i="7"/>
  <c r="JX113" i="7"/>
  <c r="JX106" i="7"/>
  <c r="JX97" i="7"/>
  <c r="JX89" i="7"/>
  <c r="JX124" i="7"/>
  <c r="JX79" i="7"/>
  <c r="JX71" i="7"/>
  <c r="JX63" i="7"/>
  <c r="JX111" i="7"/>
  <c r="JX96" i="7"/>
  <c r="JX86" i="7"/>
  <c r="JX82" i="7"/>
  <c r="JX74" i="7"/>
  <c r="JX66" i="7"/>
  <c r="JX114" i="7"/>
  <c r="JX104" i="7"/>
  <c r="JX94" i="7"/>
  <c r="JX85" i="7"/>
  <c r="JX81" i="7"/>
  <c r="JX73" i="7"/>
  <c r="JX65" i="7"/>
  <c r="JX93" i="7"/>
  <c r="JX84" i="7"/>
  <c r="JX80" i="7"/>
  <c r="JX88" i="7"/>
  <c r="JX76" i="7"/>
  <c r="JX72" i="7"/>
  <c r="JX92" i="7"/>
  <c r="JX75" i="7"/>
  <c r="JX105" i="7"/>
  <c r="JX103" i="7"/>
  <c r="JX100" i="7"/>
  <c r="JX77" i="7"/>
  <c r="JX78" i="7"/>
  <c r="JX59" i="7"/>
  <c r="JX51" i="7"/>
  <c r="JX43" i="7"/>
  <c r="JX35" i="7"/>
  <c r="JX27" i="7"/>
  <c r="JX83" i="7"/>
  <c r="JX54" i="7"/>
  <c r="JX46" i="7"/>
  <c r="JX38" i="7"/>
  <c r="JX30" i="7"/>
  <c r="JX70" i="7"/>
  <c r="JX67" i="7"/>
  <c r="JX69" i="7"/>
  <c r="JX91" i="7"/>
  <c r="JX68" i="7"/>
  <c r="JX61" i="7"/>
  <c r="JX53" i="7"/>
  <c r="JX45" i="7"/>
  <c r="JX37" i="7"/>
  <c r="JX64" i="7"/>
  <c r="JX55" i="7"/>
  <c r="JX40" i="7"/>
  <c r="JX36" i="7"/>
  <c r="JX62" i="7"/>
  <c r="JX47" i="7"/>
  <c r="JX60" i="7"/>
  <c r="JX41" i="7"/>
  <c r="JX34" i="7"/>
  <c r="JX42" i="7"/>
  <c r="JX18" i="7"/>
  <c r="JX10" i="7"/>
  <c r="JX2" i="7"/>
  <c r="JX57" i="7"/>
  <c r="JX56" i="7"/>
  <c r="JX44" i="7"/>
  <c r="JX31" i="7"/>
  <c r="JX21" i="7"/>
  <c r="JX13" i="7"/>
  <c r="JX5" i="7"/>
  <c r="JX58" i="7"/>
  <c r="JX49" i="7"/>
  <c r="JX48" i="7"/>
  <c r="JX50" i="7"/>
  <c r="JX39" i="7"/>
  <c r="JX52" i="7"/>
  <c r="JX26" i="7"/>
  <c r="JX20" i="7"/>
  <c r="JX12" i="7"/>
  <c r="JX4" i="7"/>
  <c r="JX22" i="7"/>
  <c r="JX7" i="7"/>
  <c r="JX3" i="7"/>
  <c r="JX24" i="7"/>
  <c r="JX14" i="7"/>
  <c r="JX6" i="7"/>
  <c r="JX28" i="7"/>
  <c r="JX17" i="7"/>
  <c r="JX25" i="7"/>
  <c r="JX16" i="7"/>
  <c r="JX9" i="7"/>
  <c r="JX23" i="7"/>
  <c r="JX32" i="7"/>
  <c r="JX19" i="7"/>
  <c r="O2" i="7"/>
  <c r="AK2" i="7"/>
  <c r="BC2" i="7"/>
  <c r="CS2" i="7"/>
  <c r="FV2" i="7"/>
  <c r="GR2" i="7"/>
  <c r="HJ2" i="7"/>
  <c r="IG2" i="7"/>
  <c r="IX2" i="7"/>
  <c r="JU2" i="7"/>
  <c r="R3" i="7"/>
  <c r="AJ3" i="7"/>
  <c r="BX3" i="7"/>
  <c r="CU3" i="7"/>
  <c r="DP3" i="7"/>
  <c r="EI3" i="7"/>
  <c r="FF3" i="7"/>
  <c r="HT3" i="7"/>
  <c r="JT3" i="7"/>
  <c r="AT4" i="7"/>
  <c r="BS4" i="7"/>
  <c r="CY4" i="7"/>
  <c r="EN4" i="7"/>
  <c r="GO4" i="7"/>
  <c r="IM4" i="7"/>
  <c r="N5" i="7"/>
  <c r="FL5" i="7"/>
  <c r="HJ5" i="7"/>
  <c r="JJ5" i="7"/>
  <c r="AJ6" i="7"/>
  <c r="CH6" i="7"/>
  <c r="EI6" i="7"/>
  <c r="IG6" i="7"/>
  <c r="G7" i="7"/>
  <c r="BE7" i="7"/>
  <c r="DF7" i="7"/>
  <c r="FD7" i="7"/>
  <c r="HD7" i="7"/>
  <c r="JC7" i="7"/>
  <c r="AB8" i="7"/>
  <c r="CC8" i="7"/>
  <c r="GA8" i="7"/>
  <c r="HZ8" i="7"/>
  <c r="JX8" i="7"/>
  <c r="CV9" i="7"/>
  <c r="R10" i="7"/>
  <c r="DQ10" i="7"/>
  <c r="HP10" i="7"/>
  <c r="EN11" i="7"/>
  <c r="BK12" i="7"/>
  <c r="FJ12" i="7"/>
  <c r="CH13" i="7"/>
  <c r="GE13" i="7"/>
  <c r="DD14" i="7"/>
  <c r="HC14" i="7"/>
  <c r="AB15" i="7"/>
  <c r="DY15" i="7"/>
  <c r="AX16" i="7"/>
  <c r="EW16" i="7"/>
  <c r="IU16" i="7"/>
  <c r="BS17" i="7"/>
  <c r="FR17" i="7"/>
  <c r="CQ18" i="7"/>
  <c r="DL19" i="7"/>
  <c r="HK19" i="7"/>
  <c r="EI20" i="7"/>
  <c r="IF20" i="7"/>
  <c r="FE21" i="7"/>
  <c r="JD21" i="7"/>
  <c r="CC22" i="7"/>
  <c r="FZ22" i="7"/>
  <c r="CY23" i="7"/>
  <c r="HA23" i="7"/>
  <c r="AN24" i="7"/>
  <c r="EZ24" i="7"/>
  <c r="JM24" i="7"/>
  <c r="DB25" i="7"/>
  <c r="HT25" i="7"/>
  <c r="CA26" i="7"/>
  <c r="HF26" i="7"/>
  <c r="BE28" i="7"/>
  <c r="AQ29" i="7"/>
  <c r="FX29" i="7"/>
  <c r="AF30" i="7"/>
  <c r="FM30" i="7"/>
  <c r="T31" i="7"/>
  <c r="G32" i="7"/>
  <c r="JU32" i="7"/>
  <c r="EG33" i="7"/>
  <c r="T34" i="7"/>
  <c r="IF35" i="7"/>
  <c r="DG37" i="7"/>
  <c r="JW41" i="7"/>
  <c r="FM46" i="7"/>
  <c r="BD52" i="9"/>
  <c r="BD1" i="9"/>
  <c r="BD52" i="8"/>
  <c r="BD143" i="7"/>
  <c r="BD138" i="7"/>
  <c r="BD136" i="7"/>
  <c r="BD129" i="7"/>
  <c r="BD121" i="7"/>
  <c r="BD142" i="7"/>
  <c r="BD132" i="7"/>
  <c r="BD124" i="7"/>
  <c r="BD131" i="7"/>
  <c r="BD127" i="7"/>
  <c r="BD123" i="7"/>
  <c r="BD111" i="7"/>
  <c r="BD103" i="7"/>
  <c r="BD137" i="7"/>
  <c r="BD135" i="7"/>
  <c r="BD120" i="7"/>
  <c r="BD119" i="7"/>
  <c r="BD114" i="7"/>
  <c r="BD106" i="7"/>
  <c r="BD1" i="8"/>
  <c r="BD141" i="7"/>
  <c r="BD139" i="7"/>
  <c r="BD140" i="7"/>
  <c r="BD134" i="7"/>
  <c r="BD144" i="7"/>
  <c r="BD133" i="7"/>
  <c r="BD113" i="7"/>
  <c r="BD105" i="7"/>
  <c r="BD148" i="7"/>
  <c r="BD108" i="7"/>
  <c r="BD104" i="7"/>
  <c r="BD99" i="7"/>
  <c r="BD91" i="7"/>
  <c r="BD115" i="7"/>
  <c r="BD100" i="7"/>
  <c r="BD94" i="7"/>
  <c r="BD86" i="7"/>
  <c r="BD130" i="7"/>
  <c r="BD128" i="7"/>
  <c r="BD125" i="7"/>
  <c r="BD117" i="7"/>
  <c r="BD122" i="7"/>
  <c r="BD93" i="7"/>
  <c r="BD96" i="7"/>
  <c r="BD92" i="7"/>
  <c r="BD83" i="7"/>
  <c r="BD75" i="7"/>
  <c r="BD67" i="7"/>
  <c r="BD109" i="7"/>
  <c r="BD88" i="7"/>
  <c r="BD78" i="7"/>
  <c r="BD70" i="7"/>
  <c r="BD116" i="7"/>
  <c r="BD110" i="7"/>
  <c r="BD112" i="7"/>
  <c r="BD126" i="7"/>
  <c r="BD118" i="7"/>
  <c r="BD87" i="7"/>
  <c r="BD77" i="7"/>
  <c r="BD69" i="7"/>
  <c r="BD90" i="7"/>
  <c r="BD72" i="7"/>
  <c r="BD68" i="7"/>
  <c r="BD79" i="7"/>
  <c r="BD102" i="7"/>
  <c r="BD107" i="7"/>
  <c r="BD97" i="7"/>
  <c r="BD81" i="7"/>
  <c r="BD74" i="7"/>
  <c r="BD85" i="7"/>
  <c r="BD66" i="7"/>
  <c r="BD76" i="7"/>
  <c r="BD71" i="7"/>
  <c r="BD65" i="7"/>
  <c r="BD55" i="7"/>
  <c r="BD47" i="7"/>
  <c r="BD39" i="7"/>
  <c r="BD31" i="7"/>
  <c r="BD89" i="7"/>
  <c r="BD73" i="7"/>
  <c r="BD58" i="7"/>
  <c r="BD50" i="7"/>
  <c r="BD42" i="7"/>
  <c r="BD34" i="7"/>
  <c r="BD26" i="7"/>
  <c r="BD95" i="7"/>
  <c r="BD80" i="7"/>
  <c r="BD98" i="7"/>
  <c r="BD84" i="7"/>
  <c r="BD64" i="7"/>
  <c r="BD101" i="7"/>
  <c r="BD57" i="7"/>
  <c r="BD49" i="7"/>
  <c r="BD41" i="7"/>
  <c r="BD62" i="7"/>
  <c r="BD43" i="7"/>
  <c r="BD61" i="7"/>
  <c r="BD54" i="7"/>
  <c r="BD35" i="7"/>
  <c r="BD82" i="7"/>
  <c r="BD52" i="7"/>
  <c r="BD48" i="7"/>
  <c r="BD25" i="7"/>
  <c r="BD22" i="7"/>
  <c r="BD14" i="7"/>
  <c r="BD6" i="7"/>
  <c r="BD33" i="7"/>
  <c r="BD24" i="7"/>
  <c r="BD17" i="7"/>
  <c r="BD9" i="7"/>
  <c r="BD56" i="7"/>
  <c r="BD45" i="7"/>
  <c r="BD44" i="7"/>
  <c r="BD46" i="7"/>
  <c r="BD59" i="7"/>
  <c r="BD60" i="7"/>
  <c r="BD37" i="7"/>
  <c r="BD38" i="7"/>
  <c r="BD32" i="7"/>
  <c r="BD28" i="7"/>
  <c r="BD16" i="7"/>
  <c r="BD8" i="7"/>
  <c r="BD63" i="7"/>
  <c r="BD40" i="7"/>
  <c r="BD10" i="7"/>
  <c r="BD29" i="7"/>
  <c r="BD21" i="7"/>
  <c r="BD2" i="7"/>
  <c r="BD20" i="7"/>
  <c r="BD13" i="7"/>
  <c r="BD53" i="7"/>
  <c r="BD30" i="7"/>
  <c r="BD12" i="7"/>
  <c r="BD5" i="7"/>
  <c r="BD27" i="7"/>
  <c r="BD23" i="7"/>
  <c r="BD19" i="7"/>
  <c r="BD15" i="7"/>
  <c r="BD11" i="7"/>
  <c r="BD7" i="7"/>
  <c r="CR52" i="9"/>
  <c r="CR1" i="9"/>
  <c r="CR52" i="8"/>
  <c r="CR143" i="7"/>
  <c r="CR138" i="7"/>
  <c r="CR142" i="7"/>
  <c r="CR129" i="7"/>
  <c r="CR121" i="7"/>
  <c r="CR141" i="7"/>
  <c r="CR132" i="7"/>
  <c r="CR124" i="7"/>
  <c r="CR139" i="7"/>
  <c r="CR131" i="7"/>
  <c r="CR135" i="7"/>
  <c r="CR128" i="7"/>
  <c r="CR118" i="7"/>
  <c r="CR111" i="7"/>
  <c r="CR103" i="7"/>
  <c r="CR126" i="7"/>
  <c r="CR114" i="7"/>
  <c r="CR106" i="7"/>
  <c r="CR134" i="7"/>
  <c r="CR140" i="7"/>
  <c r="CR1" i="8"/>
  <c r="CR144" i="7"/>
  <c r="CR136" i="7"/>
  <c r="CR125" i="7"/>
  <c r="CR119" i="7"/>
  <c r="CR113" i="7"/>
  <c r="CR105" i="7"/>
  <c r="CR115" i="7"/>
  <c r="CR99" i="7"/>
  <c r="CR91" i="7"/>
  <c r="CR107" i="7"/>
  <c r="CR94" i="7"/>
  <c r="CR86" i="7"/>
  <c r="CR137" i="7"/>
  <c r="CR122" i="7"/>
  <c r="CR130" i="7"/>
  <c r="CR117" i="7"/>
  <c r="CR123" i="7"/>
  <c r="CR127" i="7"/>
  <c r="CR120" i="7"/>
  <c r="CR148" i="7"/>
  <c r="CR133" i="7"/>
  <c r="CR116" i="7"/>
  <c r="CR112" i="7"/>
  <c r="CR93" i="7"/>
  <c r="CR87" i="7"/>
  <c r="CR83" i="7"/>
  <c r="CR75" i="7"/>
  <c r="CR67" i="7"/>
  <c r="CR109" i="7"/>
  <c r="CR108" i="7"/>
  <c r="CR101" i="7"/>
  <c r="CR95" i="7"/>
  <c r="CR78" i="7"/>
  <c r="CR70" i="7"/>
  <c r="CR110" i="7"/>
  <c r="CR104" i="7"/>
  <c r="CR77" i="7"/>
  <c r="CR69" i="7"/>
  <c r="CR90" i="7"/>
  <c r="CR79" i="7"/>
  <c r="CR92" i="7"/>
  <c r="CR88" i="7"/>
  <c r="CR71" i="7"/>
  <c r="CR97" i="7"/>
  <c r="CR96" i="7"/>
  <c r="CR73" i="7"/>
  <c r="CR72" i="7"/>
  <c r="CR89" i="7"/>
  <c r="CR74" i="7"/>
  <c r="CR76" i="7"/>
  <c r="CR100" i="7"/>
  <c r="CR102" i="7"/>
  <c r="CR98" i="7"/>
  <c r="CR80" i="7"/>
  <c r="CR55" i="7"/>
  <c r="CR47" i="7"/>
  <c r="CR39" i="7"/>
  <c r="CR31" i="7"/>
  <c r="CR58" i="7"/>
  <c r="CR50" i="7"/>
  <c r="CR42" i="7"/>
  <c r="CR34" i="7"/>
  <c r="CR26" i="7"/>
  <c r="CR84" i="7"/>
  <c r="CR81" i="7"/>
  <c r="CR63" i="7"/>
  <c r="CR65" i="7"/>
  <c r="CR85" i="7"/>
  <c r="CR82" i="7"/>
  <c r="CR66" i="7"/>
  <c r="CR57" i="7"/>
  <c r="CR49" i="7"/>
  <c r="CR41" i="7"/>
  <c r="CR61" i="7"/>
  <c r="CR54" i="7"/>
  <c r="CR35" i="7"/>
  <c r="CR53" i="7"/>
  <c r="CR46" i="7"/>
  <c r="CR68" i="7"/>
  <c r="CR59" i="7"/>
  <c r="CR44" i="7"/>
  <c r="CR40" i="7"/>
  <c r="CR52" i="7"/>
  <c r="CR32" i="7"/>
  <c r="CR28" i="7"/>
  <c r="CR22" i="7"/>
  <c r="CR14" i="7"/>
  <c r="CR6" i="7"/>
  <c r="CR64" i="7"/>
  <c r="CR62" i="7"/>
  <c r="CR29" i="7"/>
  <c r="CR17" i="7"/>
  <c r="CR9" i="7"/>
  <c r="CR56" i="7"/>
  <c r="CR45" i="7"/>
  <c r="CR43" i="7"/>
  <c r="CR60" i="7"/>
  <c r="CR48" i="7"/>
  <c r="CR37" i="7"/>
  <c r="CR38" i="7"/>
  <c r="CR24" i="7"/>
  <c r="CR16" i="7"/>
  <c r="CR8" i="7"/>
  <c r="CR33" i="7"/>
  <c r="CR21" i="7"/>
  <c r="CR2" i="7"/>
  <c r="CR30" i="7"/>
  <c r="CR20" i="7"/>
  <c r="CR13" i="7"/>
  <c r="CR27" i="7"/>
  <c r="CR12" i="7"/>
  <c r="CR5" i="7"/>
  <c r="CR23" i="7"/>
  <c r="CR4" i="7"/>
  <c r="CR19" i="7"/>
  <c r="CR15" i="7"/>
  <c r="CR51" i="7"/>
  <c r="CR36" i="7"/>
  <c r="CR25" i="7"/>
  <c r="CR11" i="7"/>
  <c r="CR18" i="7"/>
  <c r="CR3" i="7"/>
  <c r="EN52" i="9"/>
  <c r="EN1" i="9"/>
  <c r="EN52" i="8"/>
  <c r="EN143" i="7"/>
  <c r="EN138" i="7"/>
  <c r="EN139" i="7"/>
  <c r="EN129" i="7"/>
  <c r="EN121" i="7"/>
  <c r="EN137" i="7"/>
  <c r="EN132" i="7"/>
  <c r="EN124" i="7"/>
  <c r="EN140" i="7"/>
  <c r="EN136" i="7"/>
  <c r="EN131" i="7"/>
  <c r="EN1" i="8"/>
  <c r="EN111" i="7"/>
  <c r="EN103" i="7"/>
  <c r="EN141" i="7"/>
  <c r="EN114" i="7"/>
  <c r="EN106" i="7"/>
  <c r="EN142" i="7"/>
  <c r="EN135" i="7"/>
  <c r="EN144" i="7"/>
  <c r="EN148" i="7"/>
  <c r="EN127" i="7"/>
  <c r="EN123" i="7"/>
  <c r="EN118" i="7"/>
  <c r="EN113" i="7"/>
  <c r="EN105" i="7"/>
  <c r="EN116" i="7"/>
  <c r="EN112" i="7"/>
  <c r="EN101" i="7"/>
  <c r="EN99" i="7"/>
  <c r="EN91" i="7"/>
  <c r="EN133" i="7"/>
  <c r="EN130" i="7"/>
  <c r="EN119" i="7"/>
  <c r="EN117" i="7"/>
  <c r="EN108" i="7"/>
  <c r="EN104" i="7"/>
  <c r="EN94" i="7"/>
  <c r="EN86" i="7"/>
  <c r="EN125" i="7"/>
  <c r="EN122" i="7"/>
  <c r="EN134" i="7"/>
  <c r="EN126" i="7"/>
  <c r="EN109" i="7"/>
  <c r="EN93" i="7"/>
  <c r="EN110" i="7"/>
  <c r="EN89" i="7"/>
  <c r="EN83" i="7"/>
  <c r="EN75" i="7"/>
  <c r="EN67" i="7"/>
  <c r="EN100" i="7"/>
  <c r="EN96" i="7"/>
  <c r="EN92" i="7"/>
  <c r="EN78" i="7"/>
  <c r="EN70" i="7"/>
  <c r="EN115" i="7"/>
  <c r="EN120" i="7"/>
  <c r="EN128" i="7"/>
  <c r="EN97" i="7"/>
  <c r="EN90" i="7"/>
  <c r="EN77" i="7"/>
  <c r="EN69" i="7"/>
  <c r="EN95" i="7"/>
  <c r="EN87" i="7"/>
  <c r="EN80" i="7"/>
  <c r="EN76" i="7"/>
  <c r="EN102" i="7"/>
  <c r="EN72" i="7"/>
  <c r="EN68" i="7"/>
  <c r="EN107" i="7"/>
  <c r="EN85" i="7"/>
  <c r="EN82" i="7"/>
  <c r="EN98" i="7"/>
  <c r="EN79" i="7"/>
  <c r="EN81" i="7"/>
  <c r="EN63" i="7"/>
  <c r="EN55" i="7"/>
  <c r="EN47" i="7"/>
  <c r="EN39" i="7"/>
  <c r="EN31" i="7"/>
  <c r="EN58" i="7"/>
  <c r="EN50" i="7"/>
  <c r="EN42" i="7"/>
  <c r="EN34" i="7"/>
  <c r="EN26" i="7"/>
  <c r="EN71" i="7"/>
  <c r="EN73" i="7"/>
  <c r="EN66" i="7"/>
  <c r="EN64" i="7"/>
  <c r="EN84" i="7"/>
  <c r="EN74" i="7"/>
  <c r="EN65" i="7"/>
  <c r="EN57" i="7"/>
  <c r="EN49" i="7"/>
  <c r="EN41" i="7"/>
  <c r="EN51" i="7"/>
  <c r="EN36" i="7"/>
  <c r="EN62" i="7"/>
  <c r="EN43" i="7"/>
  <c r="EN61" i="7"/>
  <c r="EN88" i="7"/>
  <c r="EN60" i="7"/>
  <c r="EN56" i="7"/>
  <c r="EN37" i="7"/>
  <c r="EN45" i="7"/>
  <c r="EN44" i="7"/>
  <c r="EN30" i="7"/>
  <c r="EN22" i="7"/>
  <c r="EN14" i="7"/>
  <c r="EN6" i="7"/>
  <c r="EN46" i="7"/>
  <c r="EN35" i="7"/>
  <c r="EN27" i="7"/>
  <c r="EN17" i="7"/>
  <c r="EN9" i="7"/>
  <c r="EN59" i="7"/>
  <c r="EN48" i="7"/>
  <c r="EN38" i="7"/>
  <c r="EN53" i="7"/>
  <c r="EN52" i="7"/>
  <c r="EN40" i="7"/>
  <c r="EN54" i="7"/>
  <c r="EN16" i="7"/>
  <c r="EN8" i="7"/>
  <c r="EN29" i="7"/>
  <c r="EN18" i="7"/>
  <c r="EN3" i="7"/>
  <c r="EN10" i="7"/>
  <c r="EN25" i="7"/>
  <c r="EN21" i="7"/>
  <c r="EN20" i="7"/>
  <c r="EN13" i="7"/>
  <c r="EN33" i="7"/>
  <c r="EN12" i="7"/>
  <c r="EN5" i="7"/>
  <c r="EN23" i="7"/>
  <c r="EN28" i="7"/>
  <c r="EN24" i="7"/>
  <c r="EN19" i="7"/>
  <c r="EN15" i="7"/>
  <c r="GB52" i="9"/>
  <c r="GB1" i="9"/>
  <c r="GB52" i="8"/>
  <c r="GB143" i="7"/>
  <c r="GB138" i="7"/>
  <c r="GB136" i="7"/>
  <c r="GB129" i="7"/>
  <c r="GB121" i="7"/>
  <c r="GB1" i="8"/>
  <c r="GB142" i="7"/>
  <c r="GB132" i="7"/>
  <c r="GB124" i="7"/>
  <c r="GB131" i="7"/>
  <c r="GB127" i="7"/>
  <c r="GB123" i="7"/>
  <c r="GB111" i="7"/>
  <c r="GB103" i="7"/>
  <c r="GB141" i="7"/>
  <c r="GB139" i="7"/>
  <c r="GB135" i="7"/>
  <c r="GB128" i="7"/>
  <c r="GB120" i="7"/>
  <c r="GB119" i="7"/>
  <c r="GB114" i="7"/>
  <c r="GB106" i="7"/>
  <c r="GB140" i="7"/>
  <c r="GB144" i="7"/>
  <c r="GB134" i="7"/>
  <c r="GB148" i="7"/>
  <c r="GB137" i="7"/>
  <c r="GB133" i="7"/>
  <c r="GB113" i="7"/>
  <c r="GB105" i="7"/>
  <c r="GB125" i="7"/>
  <c r="GB108" i="7"/>
  <c r="GB104" i="7"/>
  <c r="GB91" i="7"/>
  <c r="GB130" i="7"/>
  <c r="GB122" i="7"/>
  <c r="GB115" i="7"/>
  <c r="GB100" i="7"/>
  <c r="GB99" i="7"/>
  <c r="GB94" i="7"/>
  <c r="GB86" i="7"/>
  <c r="GB126" i="7"/>
  <c r="GB117" i="7"/>
  <c r="GB93" i="7"/>
  <c r="GB110" i="7"/>
  <c r="GB96" i="7"/>
  <c r="GB92" i="7"/>
  <c r="GB83" i="7"/>
  <c r="GB75" i="7"/>
  <c r="GB67" i="7"/>
  <c r="GB112" i="7"/>
  <c r="GB88" i="7"/>
  <c r="GB78" i="7"/>
  <c r="GB70" i="7"/>
  <c r="GB118" i="7"/>
  <c r="GB116" i="7"/>
  <c r="GB89" i="7"/>
  <c r="GB87" i="7"/>
  <c r="GB77" i="7"/>
  <c r="GB69" i="7"/>
  <c r="GB109" i="7"/>
  <c r="GB101" i="7"/>
  <c r="GB95" i="7"/>
  <c r="GB85" i="7"/>
  <c r="GB72" i="7"/>
  <c r="GB68" i="7"/>
  <c r="GB79" i="7"/>
  <c r="GB81" i="7"/>
  <c r="GB74" i="7"/>
  <c r="GB76" i="7"/>
  <c r="GB107" i="7"/>
  <c r="GB97" i="7"/>
  <c r="GB90" i="7"/>
  <c r="GB55" i="7"/>
  <c r="GB47" i="7"/>
  <c r="GB39" i="7"/>
  <c r="GB31" i="7"/>
  <c r="GB98" i="7"/>
  <c r="GB73" i="7"/>
  <c r="GB58" i="7"/>
  <c r="GB50" i="7"/>
  <c r="GB42" i="7"/>
  <c r="GB34" i="7"/>
  <c r="GB26" i="7"/>
  <c r="GB80" i="7"/>
  <c r="GB66" i="7"/>
  <c r="GB65" i="7"/>
  <c r="GB84" i="7"/>
  <c r="GB71" i="7"/>
  <c r="GB63" i="7"/>
  <c r="GB57" i="7"/>
  <c r="GB49" i="7"/>
  <c r="GB41" i="7"/>
  <c r="GB62" i="7"/>
  <c r="GB43" i="7"/>
  <c r="GB82" i="7"/>
  <c r="GB61" i="7"/>
  <c r="GB54" i="7"/>
  <c r="GB35" i="7"/>
  <c r="GB33" i="7"/>
  <c r="GB52" i="7"/>
  <c r="GB48" i="7"/>
  <c r="GB56" i="7"/>
  <c r="GB45" i="7"/>
  <c r="GB44" i="7"/>
  <c r="GB25" i="7"/>
  <c r="GB22" i="7"/>
  <c r="GB14" i="7"/>
  <c r="GB6" i="7"/>
  <c r="GB102" i="7"/>
  <c r="GB46" i="7"/>
  <c r="GB24" i="7"/>
  <c r="GB17" i="7"/>
  <c r="GB9" i="7"/>
  <c r="GB59" i="7"/>
  <c r="GB37" i="7"/>
  <c r="GB36" i="7"/>
  <c r="GB38" i="7"/>
  <c r="GB64" i="7"/>
  <c r="GB53" i="7"/>
  <c r="GB51" i="7"/>
  <c r="GB40" i="7"/>
  <c r="GB32" i="7"/>
  <c r="GB28" i="7"/>
  <c r="GB16" i="7"/>
  <c r="GB8" i="7"/>
  <c r="GB60" i="7"/>
  <c r="GB27" i="7"/>
  <c r="GB10" i="7"/>
  <c r="GB21" i="7"/>
  <c r="GB2" i="7"/>
  <c r="GB20" i="7"/>
  <c r="GB13" i="7"/>
  <c r="GB12" i="7"/>
  <c r="GB5" i="7"/>
  <c r="GB23" i="7"/>
  <c r="GB4" i="7"/>
  <c r="GB29" i="7"/>
  <c r="GB19" i="7"/>
  <c r="GB15" i="7"/>
  <c r="GB11" i="7"/>
  <c r="GB7" i="7"/>
  <c r="HX52" i="9"/>
  <c r="HX1" i="9"/>
  <c r="HX52" i="8"/>
  <c r="HX143" i="7"/>
  <c r="HX135" i="7"/>
  <c r="HX1" i="8"/>
  <c r="HX138" i="7"/>
  <c r="HX129" i="7"/>
  <c r="HX121" i="7"/>
  <c r="HX139" i="7"/>
  <c r="HX132" i="7"/>
  <c r="HX124" i="7"/>
  <c r="HX144" i="7"/>
  <c r="HX131" i="7"/>
  <c r="HX142" i="7"/>
  <c r="HX133" i="7"/>
  <c r="HX125" i="7"/>
  <c r="HX111" i="7"/>
  <c r="HX103" i="7"/>
  <c r="HX122" i="7"/>
  <c r="HX118" i="7"/>
  <c r="HX114" i="7"/>
  <c r="HX106" i="7"/>
  <c r="HX148" i="7"/>
  <c r="HX136" i="7"/>
  <c r="HX134" i="7"/>
  <c r="HX130" i="7"/>
  <c r="HX113" i="7"/>
  <c r="HX105" i="7"/>
  <c r="HX117" i="7"/>
  <c r="HX91" i="7"/>
  <c r="HX116" i="7"/>
  <c r="HX112" i="7"/>
  <c r="HX94" i="7"/>
  <c r="HX86" i="7"/>
  <c r="HX137" i="7"/>
  <c r="HX119" i="7"/>
  <c r="HX126" i="7"/>
  <c r="HX140" i="7"/>
  <c r="HX128" i="7"/>
  <c r="HX123" i="7"/>
  <c r="HX127" i="7"/>
  <c r="HX120" i="7"/>
  <c r="HX110" i="7"/>
  <c r="HX101" i="7"/>
  <c r="HX93" i="7"/>
  <c r="HX115" i="7"/>
  <c r="HX104" i="7"/>
  <c r="HX102" i="7"/>
  <c r="HX100" i="7"/>
  <c r="HX99" i="7"/>
  <c r="HX89" i="7"/>
  <c r="HX83" i="7"/>
  <c r="HX75" i="7"/>
  <c r="HX67" i="7"/>
  <c r="HX78" i="7"/>
  <c r="HX70" i="7"/>
  <c r="HX108" i="7"/>
  <c r="HX107" i="7"/>
  <c r="HX109" i="7"/>
  <c r="HX141" i="7"/>
  <c r="HX98" i="7"/>
  <c r="HX85" i="7"/>
  <c r="HX77" i="7"/>
  <c r="HX69" i="7"/>
  <c r="HX84" i="7"/>
  <c r="HX65" i="7"/>
  <c r="HX80" i="7"/>
  <c r="HX76" i="7"/>
  <c r="HX71" i="7"/>
  <c r="HX90" i="7"/>
  <c r="HX87" i="7"/>
  <c r="HX81" i="7"/>
  <c r="HX97" i="7"/>
  <c r="HX82" i="7"/>
  <c r="HX74" i="7"/>
  <c r="HX72" i="7"/>
  <c r="HX68" i="7"/>
  <c r="HX55" i="7"/>
  <c r="HX47" i="7"/>
  <c r="HX39" i="7"/>
  <c r="HX31" i="7"/>
  <c r="HX23" i="7"/>
  <c r="HX92" i="7"/>
  <c r="HX58" i="7"/>
  <c r="HX50" i="7"/>
  <c r="HX42" i="7"/>
  <c r="HX34" i="7"/>
  <c r="HX26" i="7"/>
  <c r="HX96" i="7"/>
  <c r="HX64" i="7"/>
  <c r="HX79" i="7"/>
  <c r="HX73" i="7"/>
  <c r="HX88" i="7"/>
  <c r="HX63" i="7"/>
  <c r="HX57" i="7"/>
  <c r="HX49" i="7"/>
  <c r="HX41" i="7"/>
  <c r="HX59" i="7"/>
  <c r="HX44" i="7"/>
  <c r="HX40" i="7"/>
  <c r="HX51" i="7"/>
  <c r="HX36" i="7"/>
  <c r="HX66" i="7"/>
  <c r="HX45" i="7"/>
  <c r="HX38" i="7"/>
  <c r="HX60" i="7"/>
  <c r="HX48" i="7"/>
  <c r="HX37" i="7"/>
  <c r="HX22" i="7"/>
  <c r="HX14" i="7"/>
  <c r="HX6" i="7"/>
  <c r="HX95" i="7"/>
  <c r="HX17" i="7"/>
  <c r="HX9" i="7"/>
  <c r="HX62" i="7"/>
  <c r="HX53" i="7"/>
  <c r="HX52" i="7"/>
  <c r="HX54" i="7"/>
  <c r="HX43" i="7"/>
  <c r="HX56" i="7"/>
  <c r="HX61" i="7"/>
  <c r="HX30" i="7"/>
  <c r="HX16" i="7"/>
  <c r="HX8" i="7"/>
  <c r="HX11" i="7"/>
  <c r="HX7" i="7"/>
  <c r="HX35" i="7"/>
  <c r="HX33" i="7"/>
  <c r="HX18" i="7"/>
  <c r="HX3" i="7"/>
  <c r="HX27" i="7"/>
  <c r="HX10" i="7"/>
  <c r="HX21" i="7"/>
  <c r="HX46" i="7"/>
  <c r="HX28" i="7"/>
  <c r="HX20" i="7"/>
  <c r="HX13" i="7"/>
  <c r="HX32" i="7"/>
  <c r="HX25" i="7"/>
  <c r="HX12" i="7"/>
  <c r="HX29" i="7"/>
  <c r="HX24" i="7"/>
  <c r="HX4" i="7"/>
  <c r="JL52" i="9"/>
  <c r="JL1" i="9"/>
  <c r="JL52" i="8"/>
  <c r="JL143" i="7"/>
  <c r="JL135" i="7"/>
  <c r="JL138" i="7"/>
  <c r="JL139" i="7"/>
  <c r="JL129" i="7"/>
  <c r="JL121" i="7"/>
  <c r="JL137" i="7"/>
  <c r="JL132" i="7"/>
  <c r="JL124" i="7"/>
  <c r="JL140" i="7"/>
  <c r="JL136" i="7"/>
  <c r="JL131" i="7"/>
  <c r="JL142" i="7"/>
  <c r="JL111" i="7"/>
  <c r="JL103" i="7"/>
  <c r="JL114" i="7"/>
  <c r="JL106" i="7"/>
  <c r="JL144" i="7"/>
  <c r="JL1" i="8"/>
  <c r="JL148" i="7"/>
  <c r="JL127" i="7"/>
  <c r="JL123" i="7"/>
  <c r="JL118" i="7"/>
  <c r="JL113" i="7"/>
  <c r="JL105" i="7"/>
  <c r="JL134" i="7"/>
  <c r="JL119" i="7"/>
  <c r="JL116" i="7"/>
  <c r="JL112" i="7"/>
  <c r="JL101" i="7"/>
  <c r="JL91" i="7"/>
  <c r="JL108" i="7"/>
  <c r="JL104" i="7"/>
  <c r="JL94" i="7"/>
  <c r="JL86" i="7"/>
  <c r="JL126" i="7"/>
  <c r="JL120" i="7"/>
  <c r="JL117" i="7"/>
  <c r="JL141" i="7"/>
  <c r="JL133" i="7"/>
  <c r="JL128" i="7"/>
  <c r="JL125" i="7"/>
  <c r="JL109" i="7"/>
  <c r="JL102" i="7"/>
  <c r="JL93" i="7"/>
  <c r="JL115" i="7"/>
  <c r="JL85" i="7"/>
  <c r="JL83" i="7"/>
  <c r="JL75" i="7"/>
  <c r="JL67" i="7"/>
  <c r="JL96" i="7"/>
  <c r="JL92" i="7"/>
  <c r="JL78" i="7"/>
  <c r="JL70" i="7"/>
  <c r="JL122" i="7"/>
  <c r="JL107" i="7"/>
  <c r="JL130" i="7"/>
  <c r="JL110" i="7"/>
  <c r="JL97" i="7"/>
  <c r="JL90" i="7"/>
  <c r="JL77" i="7"/>
  <c r="JL69" i="7"/>
  <c r="JL80" i="7"/>
  <c r="JL76" i="7"/>
  <c r="JL98" i="7"/>
  <c r="JL72" i="7"/>
  <c r="JL68" i="7"/>
  <c r="JL87" i="7"/>
  <c r="JL82" i="7"/>
  <c r="JL81" i="7"/>
  <c r="JL65" i="7"/>
  <c r="JL95" i="7"/>
  <c r="JL88" i="7"/>
  <c r="JL100" i="7"/>
  <c r="JL63" i="7"/>
  <c r="JL55" i="7"/>
  <c r="JL47" i="7"/>
  <c r="JL39" i="7"/>
  <c r="JL31" i="7"/>
  <c r="JL23" i="7"/>
  <c r="JL62" i="7"/>
  <c r="JL58" i="7"/>
  <c r="JL50" i="7"/>
  <c r="JL42" i="7"/>
  <c r="JL34" i="7"/>
  <c r="JL26" i="7"/>
  <c r="JL79" i="7"/>
  <c r="JL73" i="7"/>
  <c r="JL89" i="7"/>
  <c r="JL84" i="7"/>
  <c r="JL74" i="7"/>
  <c r="JL71" i="7"/>
  <c r="JL66" i="7"/>
  <c r="JL64" i="7"/>
  <c r="JL57" i="7"/>
  <c r="JL49" i="7"/>
  <c r="JL41" i="7"/>
  <c r="JL51" i="7"/>
  <c r="JL36" i="7"/>
  <c r="JL43" i="7"/>
  <c r="JL61" i="7"/>
  <c r="JL60" i="7"/>
  <c r="JL56" i="7"/>
  <c r="JL37" i="7"/>
  <c r="JL59" i="7"/>
  <c r="JL48" i="7"/>
  <c r="JL30" i="7"/>
  <c r="JL22" i="7"/>
  <c r="JL14" i="7"/>
  <c r="JL6" i="7"/>
  <c r="JL27" i="7"/>
  <c r="JL17" i="7"/>
  <c r="JL9" i="7"/>
  <c r="JL38" i="7"/>
  <c r="JL99" i="7"/>
  <c r="JL53" i="7"/>
  <c r="JL52" i="7"/>
  <c r="JL40" i="7"/>
  <c r="JL54" i="7"/>
  <c r="JL45" i="7"/>
  <c r="JL44" i="7"/>
  <c r="JL16" i="7"/>
  <c r="JL8" i="7"/>
  <c r="JL24" i="7"/>
  <c r="JL18" i="7"/>
  <c r="JL3" i="7"/>
  <c r="JL10" i="7"/>
  <c r="JL46" i="7"/>
  <c r="JL28" i="7"/>
  <c r="JL21" i="7"/>
  <c r="JL32" i="7"/>
  <c r="JL25" i="7"/>
  <c r="JL20" i="7"/>
  <c r="JL13" i="7"/>
  <c r="JL33" i="7"/>
  <c r="JL29" i="7"/>
  <c r="JL12" i="7"/>
  <c r="JL5" i="7"/>
  <c r="JL19" i="7"/>
  <c r="JL15" i="7"/>
  <c r="Y52" i="9"/>
  <c r="Y1" i="9"/>
  <c r="Y52" i="8"/>
  <c r="Y138" i="7"/>
  <c r="Y141" i="7"/>
  <c r="Y148" i="7"/>
  <c r="Y140" i="7"/>
  <c r="Y132" i="7"/>
  <c r="Y124" i="7"/>
  <c r="Y135" i="7"/>
  <c r="Y127" i="7"/>
  <c r="Y134" i="7"/>
  <c r="Y120" i="7"/>
  <c r="Y114" i="7"/>
  <c r="Y106" i="7"/>
  <c r="Y143" i="7"/>
  <c r="Y142" i="7"/>
  <c r="Y133" i="7"/>
  <c r="Y117" i="7"/>
  <c r="Y109" i="7"/>
  <c r="Y101" i="7"/>
  <c r="Y144" i="7"/>
  <c r="Y1" i="8"/>
  <c r="Y136" i="7"/>
  <c r="Y139" i="7"/>
  <c r="Y131" i="7"/>
  <c r="Y126" i="7"/>
  <c r="Y118" i="7"/>
  <c r="Y116" i="7"/>
  <c r="Y108" i="7"/>
  <c r="Y100" i="7"/>
  <c r="Y94" i="7"/>
  <c r="Y86" i="7"/>
  <c r="Y128" i="7"/>
  <c r="Y121" i="7"/>
  <c r="Y113" i="7"/>
  <c r="Y97" i="7"/>
  <c r="Y89" i="7"/>
  <c r="Y125" i="7"/>
  <c r="Y119" i="7"/>
  <c r="Y122" i="7"/>
  <c r="Y137" i="7"/>
  <c r="Y129" i="7"/>
  <c r="Y123" i="7"/>
  <c r="Y103" i="7"/>
  <c r="Y96" i="7"/>
  <c r="Y130" i="7"/>
  <c r="Y90" i="7"/>
  <c r="Y88" i="7"/>
  <c r="Y78" i="7"/>
  <c r="Y70" i="7"/>
  <c r="Y115" i="7"/>
  <c r="Y104" i="7"/>
  <c r="Y81" i="7"/>
  <c r="Y73" i="7"/>
  <c r="Y65" i="7"/>
  <c r="Y105" i="7"/>
  <c r="Y107" i="7"/>
  <c r="Y112" i="7"/>
  <c r="Y110" i="7"/>
  <c r="Y91" i="7"/>
  <c r="Y80" i="7"/>
  <c r="Y72" i="7"/>
  <c r="Y111" i="7"/>
  <c r="Y87" i="7"/>
  <c r="Y85" i="7"/>
  <c r="Y66" i="7"/>
  <c r="Y98" i="7"/>
  <c r="Y84" i="7"/>
  <c r="Y77" i="7"/>
  <c r="Y102" i="7"/>
  <c r="Y92" i="7"/>
  <c r="Y83" i="7"/>
  <c r="Y79" i="7"/>
  <c r="Y99" i="7"/>
  <c r="Y93" i="7"/>
  <c r="Y82" i="7"/>
  <c r="Y95" i="7"/>
  <c r="Y68" i="7"/>
  <c r="Y63" i="7"/>
  <c r="Y58" i="7"/>
  <c r="Y50" i="7"/>
  <c r="Y42" i="7"/>
  <c r="Y34" i="7"/>
  <c r="Y26" i="7"/>
  <c r="Y61" i="7"/>
  <c r="Y53" i="7"/>
  <c r="Y45" i="7"/>
  <c r="Y37" i="7"/>
  <c r="Y29" i="7"/>
  <c r="Y71" i="7"/>
  <c r="Y74" i="7"/>
  <c r="Y64" i="7"/>
  <c r="Y75" i="7"/>
  <c r="Y69" i="7"/>
  <c r="Y67" i="7"/>
  <c r="Y60" i="7"/>
  <c r="Y52" i="7"/>
  <c r="Y44" i="7"/>
  <c r="Y36" i="7"/>
  <c r="Y48" i="7"/>
  <c r="Y41" i="7"/>
  <c r="Y59" i="7"/>
  <c r="Y40" i="7"/>
  <c r="Y76" i="7"/>
  <c r="Y46" i="7"/>
  <c r="Y47" i="7"/>
  <c r="Y35" i="7"/>
  <c r="Y33" i="7"/>
  <c r="Y17" i="7"/>
  <c r="Y9" i="7"/>
  <c r="Y30" i="7"/>
  <c r="Y20" i="7"/>
  <c r="Y12" i="7"/>
  <c r="Y4" i="7"/>
  <c r="Y51" i="7"/>
  <c r="Y49" i="7"/>
  <c r="Y38" i="7"/>
  <c r="Y39" i="7"/>
  <c r="Y55" i="7"/>
  <c r="Y54" i="7"/>
  <c r="Y43" i="7"/>
  <c r="Y62" i="7"/>
  <c r="Y56" i="7"/>
  <c r="Y19" i="7"/>
  <c r="Y11" i="7"/>
  <c r="Y3" i="7"/>
  <c r="Y15" i="7"/>
  <c r="Y8" i="7"/>
  <c r="Y7" i="7"/>
  <c r="Y27" i="7"/>
  <c r="Y22" i="7"/>
  <c r="Y18" i="7"/>
  <c r="Y25" i="7"/>
  <c r="Y14" i="7"/>
  <c r="Y10" i="7"/>
  <c r="Y21" i="7"/>
  <c r="Y6" i="7"/>
  <c r="Y57" i="7"/>
  <c r="Y31" i="7"/>
  <c r="Y13" i="7"/>
  <c r="Y28" i="7"/>
  <c r="Y5" i="7"/>
  <c r="BM52" i="9"/>
  <c r="BM1" i="9"/>
  <c r="BM52" i="8"/>
  <c r="BM138" i="7"/>
  <c r="BM141" i="7"/>
  <c r="BM1" i="8"/>
  <c r="BM148" i="7"/>
  <c r="BM140" i="7"/>
  <c r="BM136" i="7"/>
  <c r="BM132" i="7"/>
  <c r="BM124" i="7"/>
  <c r="BM143" i="7"/>
  <c r="BM139" i="7"/>
  <c r="BM135" i="7"/>
  <c r="BM127" i="7"/>
  <c r="BM144" i="7"/>
  <c r="BM134" i="7"/>
  <c r="BM133" i="7"/>
  <c r="BM126" i="7"/>
  <c r="BM114" i="7"/>
  <c r="BM106" i="7"/>
  <c r="BM142" i="7"/>
  <c r="BM129" i="7"/>
  <c r="BM123" i="7"/>
  <c r="BM119" i="7"/>
  <c r="BM117" i="7"/>
  <c r="BM109" i="7"/>
  <c r="BM101" i="7"/>
  <c r="BM137" i="7"/>
  <c r="BM130" i="7"/>
  <c r="BM122" i="7"/>
  <c r="BM116" i="7"/>
  <c r="BM108" i="7"/>
  <c r="BM125" i="7"/>
  <c r="BM118" i="7"/>
  <c r="BM113" i="7"/>
  <c r="BM94" i="7"/>
  <c r="BM86" i="7"/>
  <c r="BM131" i="7"/>
  <c r="BM112" i="7"/>
  <c r="BM105" i="7"/>
  <c r="BM97" i="7"/>
  <c r="BM89" i="7"/>
  <c r="BM120" i="7"/>
  <c r="BM110" i="7"/>
  <c r="BM102" i="7"/>
  <c r="BM96" i="7"/>
  <c r="BM78" i="7"/>
  <c r="BM70" i="7"/>
  <c r="BM115" i="7"/>
  <c r="BM104" i="7"/>
  <c r="BM93" i="7"/>
  <c r="BM81" i="7"/>
  <c r="BM73" i="7"/>
  <c r="BM65" i="7"/>
  <c r="BM128" i="7"/>
  <c r="BM107" i="7"/>
  <c r="BM98" i="7"/>
  <c r="BM80" i="7"/>
  <c r="BM72" i="7"/>
  <c r="BM85" i="7"/>
  <c r="BM84" i="7"/>
  <c r="BM77" i="7"/>
  <c r="BM76" i="7"/>
  <c r="BM69" i="7"/>
  <c r="BM121" i="7"/>
  <c r="BM111" i="7"/>
  <c r="BM103" i="7"/>
  <c r="BM92" i="7"/>
  <c r="BM90" i="7"/>
  <c r="BM75" i="7"/>
  <c r="BM71" i="7"/>
  <c r="BM79" i="7"/>
  <c r="BM68" i="7"/>
  <c r="BM100" i="7"/>
  <c r="BM87" i="7"/>
  <c r="BM82" i="7"/>
  <c r="BM58" i="7"/>
  <c r="BM50" i="7"/>
  <c r="BM42" i="7"/>
  <c r="BM34" i="7"/>
  <c r="BM26" i="7"/>
  <c r="BM99" i="7"/>
  <c r="BM95" i="7"/>
  <c r="BM74" i="7"/>
  <c r="BM61" i="7"/>
  <c r="BM53" i="7"/>
  <c r="BM45" i="7"/>
  <c r="BM37" i="7"/>
  <c r="BM29" i="7"/>
  <c r="BM66" i="7"/>
  <c r="BM88" i="7"/>
  <c r="BM91" i="7"/>
  <c r="BM83" i="7"/>
  <c r="BM67" i="7"/>
  <c r="BM64" i="7"/>
  <c r="BM60" i="7"/>
  <c r="BM52" i="7"/>
  <c r="BM44" i="7"/>
  <c r="BM36" i="7"/>
  <c r="BM59" i="7"/>
  <c r="BM40" i="7"/>
  <c r="BM55" i="7"/>
  <c r="BM51" i="7"/>
  <c r="BM63" i="7"/>
  <c r="BM62" i="7"/>
  <c r="BM57" i="7"/>
  <c r="BM38" i="7"/>
  <c r="BM47" i="7"/>
  <c r="BM46" i="7"/>
  <c r="BM35" i="7"/>
  <c r="BM25" i="7"/>
  <c r="BM17" i="7"/>
  <c r="BM9" i="7"/>
  <c r="BM48" i="7"/>
  <c r="BM24" i="7"/>
  <c r="BM20" i="7"/>
  <c r="BM12" i="7"/>
  <c r="BM4" i="7"/>
  <c r="BM49" i="7"/>
  <c r="BM39" i="7"/>
  <c r="BM54" i="7"/>
  <c r="BM43" i="7"/>
  <c r="BM41" i="7"/>
  <c r="BM56" i="7"/>
  <c r="BM31" i="7"/>
  <c r="BM19" i="7"/>
  <c r="BM11" i="7"/>
  <c r="BM3" i="7"/>
  <c r="BM27" i="7"/>
  <c r="BM7" i="7"/>
  <c r="BM22" i="7"/>
  <c r="BM18" i="7"/>
  <c r="BM14" i="7"/>
  <c r="BM10" i="7"/>
  <c r="BM28" i="7"/>
  <c r="BM21" i="7"/>
  <c r="BM6" i="7"/>
  <c r="BM32" i="7"/>
  <c r="BM13" i="7"/>
  <c r="BM33" i="7"/>
  <c r="BM23" i="7"/>
  <c r="BM16" i="7"/>
  <c r="CK52" i="9"/>
  <c r="CK1" i="9"/>
  <c r="CK52" i="8"/>
  <c r="CK138" i="7"/>
  <c r="CK141" i="7"/>
  <c r="CK148" i="7"/>
  <c r="CK140" i="7"/>
  <c r="CK132" i="7"/>
  <c r="CK124" i="7"/>
  <c r="CK135" i="7"/>
  <c r="CK127" i="7"/>
  <c r="CK134" i="7"/>
  <c r="CK143" i="7"/>
  <c r="CK142" i="7"/>
  <c r="CK120" i="7"/>
  <c r="CK114" i="7"/>
  <c r="CK106" i="7"/>
  <c r="CK1" i="8"/>
  <c r="CK144" i="7"/>
  <c r="CK137" i="7"/>
  <c r="CK136" i="7"/>
  <c r="CK133" i="7"/>
  <c r="CK117" i="7"/>
  <c r="CK109" i="7"/>
  <c r="CK101" i="7"/>
  <c r="CK139" i="7"/>
  <c r="CK131" i="7"/>
  <c r="CK126" i="7"/>
  <c r="CK118" i="7"/>
  <c r="CK116" i="7"/>
  <c r="CK108" i="7"/>
  <c r="CK123" i="7"/>
  <c r="CK100" i="7"/>
  <c r="CK94" i="7"/>
  <c r="CK86" i="7"/>
  <c r="CK113" i="7"/>
  <c r="CK97" i="7"/>
  <c r="CK89" i="7"/>
  <c r="CK121" i="7"/>
  <c r="CK125" i="7"/>
  <c r="CK129" i="7"/>
  <c r="CK128" i="7"/>
  <c r="CK122" i="7"/>
  <c r="CK130" i="7"/>
  <c r="CK103" i="7"/>
  <c r="CK96" i="7"/>
  <c r="CK119" i="7"/>
  <c r="CK115" i="7"/>
  <c r="CK104" i="7"/>
  <c r="CK90" i="7"/>
  <c r="CK88" i="7"/>
  <c r="CK78" i="7"/>
  <c r="CK70" i="7"/>
  <c r="CK105" i="7"/>
  <c r="CK81" i="7"/>
  <c r="CK73" i="7"/>
  <c r="CK65" i="7"/>
  <c r="CK107" i="7"/>
  <c r="CK111" i="7"/>
  <c r="CK91" i="7"/>
  <c r="CK80" i="7"/>
  <c r="CK72" i="7"/>
  <c r="CK98" i="7"/>
  <c r="CK66" i="7"/>
  <c r="CK102" i="7"/>
  <c r="CK99" i="7"/>
  <c r="CK84" i="7"/>
  <c r="CK77" i="7"/>
  <c r="CK93" i="7"/>
  <c r="CK83" i="7"/>
  <c r="CK79" i="7"/>
  <c r="CK69" i="7"/>
  <c r="CK82" i="7"/>
  <c r="CK87" i="7"/>
  <c r="CK110" i="7"/>
  <c r="CK92" i="7"/>
  <c r="CK63" i="7"/>
  <c r="CK58" i="7"/>
  <c r="CK50" i="7"/>
  <c r="CK42" i="7"/>
  <c r="CK34" i="7"/>
  <c r="CK26" i="7"/>
  <c r="CK68" i="7"/>
  <c r="CK61" i="7"/>
  <c r="CK53" i="7"/>
  <c r="CK45" i="7"/>
  <c r="CK37" i="7"/>
  <c r="CK29" i="7"/>
  <c r="CK74" i="7"/>
  <c r="CK71" i="7"/>
  <c r="CK67" i="7"/>
  <c r="CK64" i="7"/>
  <c r="CK112" i="7"/>
  <c r="CK75" i="7"/>
  <c r="CK95" i="7"/>
  <c r="CK85" i="7"/>
  <c r="CK60" i="7"/>
  <c r="CK52" i="7"/>
  <c r="CK44" i="7"/>
  <c r="CK36" i="7"/>
  <c r="CK76" i="7"/>
  <c r="CK48" i="7"/>
  <c r="CK41" i="7"/>
  <c r="CK59" i="7"/>
  <c r="CK40" i="7"/>
  <c r="CK46" i="7"/>
  <c r="CK33" i="7"/>
  <c r="CK17" i="7"/>
  <c r="CK9" i="7"/>
  <c r="CK51" i="7"/>
  <c r="CK49" i="7"/>
  <c r="CK38" i="7"/>
  <c r="CK30" i="7"/>
  <c r="CK20" i="7"/>
  <c r="CK12" i="7"/>
  <c r="CK4" i="7"/>
  <c r="CK62" i="7"/>
  <c r="CK39" i="7"/>
  <c r="CK55" i="7"/>
  <c r="CK54" i="7"/>
  <c r="CK43" i="7"/>
  <c r="CK56" i="7"/>
  <c r="CK57" i="7"/>
  <c r="CK19" i="7"/>
  <c r="CK11" i="7"/>
  <c r="CK3" i="7"/>
  <c r="CK28" i="7"/>
  <c r="CK25" i="7"/>
  <c r="CK15" i="7"/>
  <c r="CK8" i="7"/>
  <c r="CK32" i="7"/>
  <c r="CK7" i="7"/>
  <c r="CK22" i="7"/>
  <c r="CK18" i="7"/>
  <c r="CK14" i="7"/>
  <c r="CK10" i="7"/>
  <c r="CK35" i="7"/>
  <c r="CK27" i="7"/>
  <c r="CK24" i="7"/>
  <c r="CK21" i="7"/>
  <c r="CK6" i="7"/>
  <c r="CK47" i="7"/>
  <c r="CK13" i="7"/>
  <c r="CK5" i="7"/>
  <c r="EO52" i="9"/>
  <c r="EO1" i="9"/>
  <c r="EO52" i="8"/>
  <c r="EO138" i="7"/>
  <c r="EO141" i="7"/>
  <c r="EO148" i="7"/>
  <c r="EO140" i="7"/>
  <c r="EO137" i="7"/>
  <c r="EO132" i="7"/>
  <c r="EO124" i="7"/>
  <c r="EO142" i="7"/>
  <c r="EO135" i="7"/>
  <c r="EO127" i="7"/>
  <c r="EO134" i="7"/>
  <c r="EO139" i="7"/>
  <c r="EO114" i="7"/>
  <c r="EO106" i="7"/>
  <c r="EO128" i="7"/>
  <c r="EO125" i="7"/>
  <c r="EO121" i="7"/>
  <c r="EO109" i="7"/>
  <c r="EO101" i="7"/>
  <c r="EO144" i="7"/>
  <c r="EO143" i="7"/>
  <c r="EO133" i="7"/>
  <c r="EO120" i="7"/>
  <c r="EO117" i="7"/>
  <c r="EO116" i="7"/>
  <c r="EO108" i="7"/>
  <c r="EO136" i="7"/>
  <c r="EO130" i="7"/>
  <c r="EO129" i="7"/>
  <c r="EO119" i="7"/>
  <c r="EO104" i="7"/>
  <c r="EO94" i="7"/>
  <c r="EO86" i="7"/>
  <c r="EO131" i="7"/>
  <c r="EO115" i="7"/>
  <c r="EO97" i="7"/>
  <c r="EO89" i="7"/>
  <c r="EO122" i="7"/>
  <c r="EO126" i="7"/>
  <c r="EO123" i="7"/>
  <c r="EO113" i="7"/>
  <c r="EO100" i="7"/>
  <c r="EO96" i="7"/>
  <c r="EO112" i="7"/>
  <c r="EO92" i="7"/>
  <c r="EO78" i="7"/>
  <c r="EO70" i="7"/>
  <c r="EO1" i="8"/>
  <c r="EO118" i="7"/>
  <c r="EO85" i="7"/>
  <c r="EO81" i="7"/>
  <c r="EO73" i="7"/>
  <c r="EO65" i="7"/>
  <c r="EO107" i="7"/>
  <c r="EO105" i="7"/>
  <c r="EO88" i="7"/>
  <c r="EO80" i="7"/>
  <c r="EO72" i="7"/>
  <c r="EO110" i="7"/>
  <c r="EO103" i="7"/>
  <c r="EO102" i="7"/>
  <c r="EO68" i="7"/>
  <c r="EO83" i="7"/>
  <c r="EO79" i="7"/>
  <c r="EO111" i="7"/>
  <c r="EO74" i="7"/>
  <c r="EO98" i="7"/>
  <c r="EO77" i="7"/>
  <c r="EO67" i="7"/>
  <c r="EO95" i="7"/>
  <c r="EO99" i="7"/>
  <c r="EO87" i="7"/>
  <c r="EO82" i="7"/>
  <c r="EO75" i="7"/>
  <c r="EO58" i="7"/>
  <c r="EO50" i="7"/>
  <c r="EO42" i="7"/>
  <c r="EO34" i="7"/>
  <c r="EO26" i="7"/>
  <c r="EO71" i="7"/>
  <c r="EO61" i="7"/>
  <c r="EO53" i="7"/>
  <c r="EO45" i="7"/>
  <c r="EO37" i="7"/>
  <c r="EO29" i="7"/>
  <c r="EO66" i="7"/>
  <c r="EO64" i="7"/>
  <c r="EO91" i="7"/>
  <c r="EO76" i="7"/>
  <c r="EO93" i="7"/>
  <c r="EO84" i="7"/>
  <c r="EO69" i="7"/>
  <c r="EO90" i="7"/>
  <c r="EO60" i="7"/>
  <c r="EO52" i="7"/>
  <c r="EO44" i="7"/>
  <c r="EO36" i="7"/>
  <c r="EO62" i="7"/>
  <c r="EO47" i="7"/>
  <c r="EO43" i="7"/>
  <c r="EO63" i="7"/>
  <c r="EO54" i="7"/>
  <c r="EO39" i="7"/>
  <c r="EO35" i="7"/>
  <c r="EO48" i="7"/>
  <c r="EO41" i="7"/>
  <c r="EO57" i="7"/>
  <c r="EO46" i="7"/>
  <c r="EO27" i="7"/>
  <c r="EO17" i="7"/>
  <c r="EO9" i="7"/>
  <c r="EO59" i="7"/>
  <c r="EO20" i="7"/>
  <c r="EO12" i="7"/>
  <c r="EO4" i="7"/>
  <c r="EO49" i="7"/>
  <c r="EO38" i="7"/>
  <c r="EO51" i="7"/>
  <c r="EO40" i="7"/>
  <c r="EO19" i="7"/>
  <c r="EO11" i="7"/>
  <c r="EO3" i="7"/>
  <c r="EO14" i="7"/>
  <c r="EO10" i="7"/>
  <c r="EO25" i="7"/>
  <c r="EO21" i="7"/>
  <c r="EO6" i="7"/>
  <c r="EO2" i="7"/>
  <c r="EO30" i="7"/>
  <c r="EO13" i="7"/>
  <c r="EO55" i="7"/>
  <c r="EO33" i="7"/>
  <c r="EO5" i="7"/>
  <c r="EO31" i="7"/>
  <c r="EO23" i="7"/>
  <c r="EO16" i="7"/>
  <c r="EO56" i="7"/>
  <c r="EO28" i="7"/>
  <c r="EO24" i="7"/>
  <c r="EO15" i="7"/>
  <c r="EO32" i="7"/>
  <c r="EO7" i="7"/>
  <c r="GK52" i="9"/>
  <c r="GK1" i="9"/>
  <c r="GK52" i="8"/>
  <c r="GK138" i="7"/>
  <c r="GK141" i="7"/>
  <c r="GK1" i="8"/>
  <c r="GK148" i="7"/>
  <c r="GK140" i="7"/>
  <c r="GK132" i="7"/>
  <c r="GK124" i="7"/>
  <c r="GK143" i="7"/>
  <c r="GK139" i="7"/>
  <c r="GK136" i="7"/>
  <c r="GK127" i="7"/>
  <c r="GK144" i="7"/>
  <c r="GK134" i="7"/>
  <c r="GK133" i="7"/>
  <c r="GK126" i="7"/>
  <c r="GK114" i="7"/>
  <c r="GK106" i="7"/>
  <c r="GK137" i="7"/>
  <c r="GK129" i="7"/>
  <c r="GK123" i="7"/>
  <c r="GK119" i="7"/>
  <c r="GK109" i="7"/>
  <c r="GK101" i="7"/>
  <c r="GK135" i="7"/>
  <c r="GK130" i="7"/>
  <c r="GK122" i="7"/>
  <c r="GK116" i="7"/>
  <c r="GK108" i="7"/>
  <c r="GK113" i="7"/>
  <c r="GK94" i="7"/>
  <c r="GK86" i="7"/>
  <c r="GK112" i="7"/>
  <c r="GK105" i="7"/>
  <c r="GK99" i="7"/>
  <c r="GK97" i="7"/>
  <c r="GK89" i="7"/>
  <c r="GK118" i="7"/>
  <c r="GK142" i="7"/>
  <c r="GK121" i="7"/>
  <c r="GK128" i="7"/>
  <c r="GK125" i="7"/>
  <c r="GK117" i="7"/>
  <c r="GK110" i="7"/>
  <c r="GK96" i="7"/>
  <c r="GK120" i="7"/>
  <c r="GK103" i="7"/>
  <c r="GK78" i="7"/>
  <c r="GK70" i="7"/>
  <c r="GK100" i="7"/>
  <c r="GK93" i="7"/>
  <c r="GK81" i="7"/>
  <c r="GK73" i="7"/>
  <c r="GK65" i="7"/>
  <c r="GK131" i="7"/>
  <c r="GK107" i="7"/>
  <c r="GK98" i="7"/>
  <c r="GK80" i="7"/>
  <c r="GK72" i="7"/>
  <c r="GK64" i="7"/>
  <c r="GK84" i="7"/>
  <c r="GK77" i="7"/>
  <c r="GK87" i="7"/>
  <c r="GK76" i="7"/>
  <c r="GK69" i="7"/>
  <c r="GK104" i="7"/>
  <c r="GK102" i="7"/>
  <c r="GK85" i="7"/>
  <c r="GK75" i="7"/>
  <c r="GK71" i="7"/>
  <c r="GK88" i="7"/>
  <c r="GK82" i="7"/>
  <c r="GK66" i="7"/>
  <c r="GK90" i="7"/>
  <c r="GK83" i="7"/>
  <c r="GK115" i="7"/>
  <c r="GK111" i="7"/>
  <c r="GK58" i="7"/>
  <c r="GK50" i="7"/>
  <c r="GK42" i="7"/>
  <c r="GK34" i="7"/>
  <c r="GK26" i="7"/>
  <c r="GK74" i="7"/>
  <c r="GK67" i="7"/>
  <c r="GK61" i="7"/>
  <c r="GK53" i="7"/>
  <c r="GK45" i="7"/>
  <c r="GK37" i="7"/>
  <c r="GK29" i="7"/>
  <c r="GK91" i="7"/>
  <c r="GK62" i="7"/>
  <c r="GK95" i="7"/>
  <c r="GK68" i="7"/>
  <c r="GK63" i="7"/>
  <c r="GK79" i="7"/>
  <c r="GK60" i="7"/>
  <c r="GK52" i="7"/>
  <c r="GK44" i="7"/>
  <c r="GK36" i="7"/>
  <c r="GK59" i="7"/>
  <c r="GK40" i="7"/>
  <c r="GK55" i="7"/>
  <c r="GK51" i="7"/>
  <c r="GK92" i="7"/>
  <c r="GK57" i="7"/>
  <c r="GK38" i="7"/>
  <c r="GK49" i="7"/>
  <c r="GK25" i="7"/>
  <c r="GK17" i="7"/>
  <c r="GK9" i="7"/>
  <c r="GK39" i="7"/>
  <c r="GK24" i="7"/>
  <c r="GK20" i="7"/>
  <c r="GK12" i="7"/>
  <c r="GK4" i="7"/>
  <c r="GK54" i="7"/>
  <c r="GK43" i="7"/>
  <c r="GK41" i="7"/>
  <c r="GK56" i="7"/>
  <c r="GK47" i="7"/>
  <c r="GK46" i="7"/>
  <c r="GK35" i="7"/>
  <c r="GK31" i="7"/>
  <c r="GK19" i="7"/>
  <c r="GK11" i="7"/>
  <c r="GK3" i="7"/>
  <c r="GK32" i="7"/>
  <c r="GK7" i="7"/>
  <c r="GK22" i="7"/>
  <c r="GK18" i="7"/>
  <c r="GK48" i="7"/>
  <c r="GK14" i="7"/>
  <c r="GK10" i="7"/>
  <c r="GK30" i="7"/>
  <c r="GK21" i="7"/>
  <c r="GK6" i="7"/>
  <c r="GK27" i="7"/>
  <c r="GK13" i="7"/>
  <c r="GK16" i="7"/>
  <c r="HQ52" i="9"/>
  <c r="HQ1" i="9"/>
  <c r="HQ52" i="8"/>
  <c r="HQ138" i="7"/>
  <c r="HQ141" i="7"/>
  <c r="HQ1" i="8"/>
  <c r="HQ148" i="7"/>
  <c r="HQ140" i="7"/>
  <c r="HQ132" i="7"/>
  <c r="HQ124" i="7"/>
  <c r="HQ136" i="7"/>
  <c r="HQ127" i="7"/>
  <c r="HQ119" i="7"/>
  <c r="HQ135" i="7"/>
  <c r="HQ134" i="7"/>
  <c r="HQ126" i="7"/>
  <c r="HQ117" i="7"/>
  <c r="HQ114" i="7"/>
  <c r="HQ106" i="7"/>
  <c r="HQ139" i="7"/>
  <c r="HQ131" i="7"/>
  <c r="HQ123" i="7"/>
  <c r="HQ109" i="7"/>
  <c r="HQ101" i="7"/>
  <c r="HQ137" i="7"/>
  <c r="HQ144" i="7"/>
  <c r="HQ142" i="7"/>
  <c r="HQ143" i="7"/>
  <c r="HQ133" i="7"/>
  <c r="HQ122" i="7"/>
  <c r="HQ116" i="7"/>
  <c r="HQ108" i="7"/>
  <c r="HQ130" i="7"/>
  <c r="HQ128" i="7"/>
  <c r="HQ120" i="7"/>
  <c r="HQ111" i="7"/>
  <c r="HQ107" i="7"/>
  <c r="HQ94" i="7"/>
  <c r="HQ86" i="7"/>
  <c r="HQ129" i="7"/>
  <c r="HQ118" i="7"/>
  <c r="HQ103" i="7"/>
  <c r="HQ97" i="7"/>
  <c r="HQ89" i="7"/>
  <c r="HQ121" i="7"/>
  <c r="HQ125" i="7"/>
  <c r="HQ104" i="7"/>
  <c r="HQ96" i="7"/>
  <c r="HQ95" i="7"/>
  <c r="HQ78" i="7"/>
  <c r="HQ70" i="7"/>
  <c r="HQ112" i="7"/>
  <c r="HQ91" i="7"/>
  <c r="HQ81" i="7"/>
  <c r="HQ73" i="7"/>
  <c r="HQ65" i="7"/>
  <c r="HQ113" i="7"/>
  <c r="HQ115" i="7"/>
  <c r="HQ92" i="7"/>
  <c r="HQ80" i="7"/>
  <c r="HQ72" i="7"/>
  <c r="HQ64" i="7"/>
  <c r="HQ110" i="7"/>
  <c r="HQ93" i="7"/>
  <c r="HQ75" i="7"/>
  <c r="HQ71" i="7"/>
  <c r="HQ82" i="7"/>
  <c r="HQ67" i="7"/>
  <c r="HQ105" i="7"/>
  <c r="HQ88" i="7"/>
  <c r="HQ84" i="7"/>
  <c r="HQ77" i="7"/>
  <c r="HQ66" i="7"/>
  <c r="HQ102" i="7"/>
  <c r="HQ99" i="7"/>
  <c r="HQ90" i="7"/>
  <c r="HQ85" i="7"/>
  <c r="HQ87" i="7"/>
  <c r="HQ79" i="7"/>
  <c r="HQ100" i="7"/>
  <c r="HQ98" i="7"/>
  <c r="HQ83" i="7"/>
  <c r="HQ58" i="7"/>
  <c r="HQ50" i="7"/>
  <c r="HQ42" i="7"/>
  <c r="HQ34" i="7"/>
  <c r="HQ26" i="7"/>
  <c r="HQ69" i="7"/>
  <c r="HQ61" i="7"/>
  <c r="HQ53" i="7"/>
  <c r="HQ45" i="7"/>
  <c r="HQ37" i="7"/>
  <c r="HQ29" i="7"/>
  <c r="HQ74" i="7"/>
  <c r="HQ68" i="7"/>
  <c r="HQ63" i="7"/>
  <c r="HQ62" i="7"/>
  <c r="HQ60" i="7"/>
  <c r="HQ52" i="7"/>
  <c r="HQ44" i="7"/>
  <c r="HQ36" i="7"/>
  <c r="HQ46" i="7"/>
  <c r="HQ57" i="7"/>
  <c r="HQ38" i="7"/>
  <c r="HQ55" i="7"/>
  <c r="HQ51" i="7"/>
  <c r="HQ25" i="7"/>
  <c r="HQ17" i="7"/>
  <c r="HQ9" i="7"/>
  <c r="HQ20" i="7"/>
  <c r="HQ12" i="7"/>
  <c r="HQ4" i="7"/>
  <c r="HQ59" i="7"/>
  <c r="HQ48" i="7"/>
  <c r="HQ47" i="7"/>
  <c r="HQ49" i="7"/>
  <c r="HQ76" i="7"/>
  <c r="HQ40" i="7"/>
  <c r="HQ39" i="7"/>
  <c r="HQ41" i="7"/>
  <c r="HQ33" i="7"/>
  <c r="HQ31" i="7"/>
  <c r="HQ19" i="7"/>
  <c r="HQ11" i="7"/>
  <c r="HQ3" i="7"/>
  <c r="HQ28" i="7"/>
  <c r="HQ13" i="7"/>
  <c r="HQ56" i="7"/>
  <c r="HQ32" i="7"/>
  <c r="HQ5" i="7"/>
  <c r="HQ35" i="7"/>
  <c r="HQ24" i="7"/>
  <c r="HQ16" i="7"/>
  <c r="HQ15" i="7"/>
  <c r="HQ8" i="7"/>
  <c r="HQ30" i="7"/>
  <c r="HQ7" i="7"/>
  <c r="HQ54" i="7"/>
  <c r="HQ27" i="7"/>
  <c r="HQ22" i="7"/>
  <c r="HQ18" i="7"/>
  <c r="HQ43" i="7"/>
  <c r="HQ23" i="7"/>
  <c r="HQ14" i="7"/>
  <c r="HQ10" i="7"/>
  <c r="IO52" i="9"/>
  <c r="IO1" i="9"/>
  <c r="IO52" i="8"/>
  <c r="IO138" i="7"/>
  <c r="IO141" i="7"/>
  <c r="IO148" i="7"/>
  <c r="IO140" i="7"/>
  <c r="IO142" i="7"/>
  <c r="IO132" i="7"/>
  <c r="IO124" i="7"/>
  <c r="IO135" i="7"/>
  <c r="IO127" i="7"/>
  <c r="IO119" i="7"/>
  <c r="IO143" i="7"/>
  <c r="IO139" i="7"/>
  <c r="IO134" i="7"/>
  <c r="IO128" i="7"/>
  <c r="IO120" i="7"/>
  <c r="IO114" i="7"/>
  <c r="IO106" i="7"/>
  <c r="IO1" i="8"/>
  <c r="IO109" i="7"/>
  <c r="IO101" i="7"/>
  <c r="IO144" i="7"/>
  <c r="IO136" i="7"/>
  <c r="IO137" i="7"/>
  <c r="IO129" i="7"/>
  <c r="IO126" i="7"/>
  <c r="IO116" i="7"/>
  <c r="IO108" i="7"/>
  <c r="IO133" i="7"/>
  <c r="IO131" i="7"/>
  <c r="IO121" i="7"/>
  <c r="IO115" i="7"/>
  <c r="IO100" i="7"/>
  <c r="IO99" i="7"/>
  <c r="IO94" i="7"/>
  <c r="IO86" i="7"/>
  <c r="IO125" i="7"/>
  <c r="IO111" i="7"/>
  <c r="IO107" i="7"/>
  <c r="IO97" i="7"/>
  <c r="IO89" i="7"/>
  <c r="IO122" i="7"/>
  <c r="IO118" i="7"/>
  <c r="IO123" i="7"/>
  <c r="IO112" i="7"/>
  <c r="IO105" i="7"/>
  <c r="IO96" i="7"/>
  <c r="IO88" i="7"/>
  <c r="IO78" i="7"/>
  <c r="IO70" i="7"/>
  <c r="IO62" i="7"/>
  <c r="IO113" i="7"/>
  <c r="IO103" i="7"/>
  <c r="IO102" i="7"/>
  <c r="IO95" i="7"/>
  <c r="IO85" i="7"/>
  <c r="IO81" i="7"/>
  <c r="IO73" i="7"/>
  <c r="IO65" i="7"/>
  <c r="IO117" i="7"/>
  <c r="IO104" i="7"/>
  <c r="IO130" i="7"/>
  <c r="IO110" i="7"/>
  <c r="IO93" i="7"/>
  <c r="IO80" i="7"/>
  <c r="IO72" i="7"/>
  <c r="IO64" i="7"/>
  <c r="IO83" i="7"/>
  <c r="IO79" i="7"/>
  <c r="IO98" i="7"/>
  <c r="IO75" i="7"/>
  <c r="IO71" i="7"/>
  <c r="IO91" i="7"/>
  <c r="IO90" i="7"/>
  <c r="IO92" i="7"/>
  <c r="IO82" i="7"/>
  <c r="IO58" i="7"/>
  <c r="IO50" i="7"/>
  <c r="IO42" i="7"/>
  <c r="IO34" i="7"/>
  <c r="IO26" i="7"/>
  <c r="IO76" i="7"/>
  <c r="IO69" i="7"/>
  <c r="IO63" i="7"/>
  <c r="IO61" i="7"/>
  <c r="IO53" i="7"/>
  <c r="IO45" i="7"/>
  <c r="IO37" i="7"/>
  <c r="IO29" i="7"/>
  <c r="IO68" i="7"/>
  <c r="IO67" i="7"/>
  <c r="IO84" i="7"/>
  <c r="IO77" i="7"/>
  <c r="IO74" i="7"/>
  <c r="IO60" i="7"/>
  <c r="IO52" i="7"/>
  <c r="IO44" i="7"/>
  <c r="IO36" i="7"/>
  <c r="IO54" i="7"/>
  <c r="IO39" i="7"/>
  <c r="IO35" i="7"/>
  <c r="IO33" i="7"/>
  <c r="IO87" i="7"/>
  <c r="IO46" i="7"/>
  <c r="IO66" i="7"/>
  <c r="IO59" i="7"/>
  <c r="IO40" i="7"/>
  <c r="IO24" i="7"/>
  <c r="IO17" i="7"/>
  <c r="IO9" i="7"/>
  <c r="IO48" i="7"/>
  <c r="IO47" i="7"/>
  <c r="IO30" i="7"/>
  <c r="IO20" i="7"/>
  <c r="IO12" i="7"/>
  <c r="IO4" i="7"/>
  <c r="IO49" i="7"/>
  <c r="IO38" i="7"/>
  <c r="IO51" i="7"/>
  <c r="IO41" i="7"/>
  <c r="IO56" i="7"/>
  <c r="IO55" i="7"/>
  <c r="IO43" i="7"/>
  <c r="IO25" i="7"/>
  <c r="IO19" i="7"/>
  <c r="IO11" i="7"/>
  <c r="IO3" i="7"/>
  <c r="IO57" i="7"/>
  <c r="IO23" i="7"/>
  <c r="IO21" i="7"/>
  <c r="IO6" i="7"/>
  <c r="IO2" i="7"/>
  <c r="IO27" i="7"/>
  <c r="IO13" i="7"/>
  <c r="IO5" i="7"/>
  <c r="IO16" i="7"/>
  <c r="IO31" i="7"/>
  <c r="IO15" i="7"/>
  <c r="IO8" i="7"/>
  <c r="IO28" i="7"/>
  <c r="IO32" i="7"/>
  <c r="IO22" i="7"/>
  <c r="IO18" i="7"/>
  <c r="J52" i="9"/>
  <c r="J1" i="9"/>
  <c r="J52" i="8"/>
  <c r="J141" i="7"/>
  <c r="J144" i="7"/>
  <c r="J143" i="7"/>
  <c r="J148" i="7"/>
  <c r="J138" i="7"/>
  <c r="J136" i="7"/>
  <c r="J135" i="7"/>
  <c r="J127" i="7"/>
  <c r="J119" i="7"/>
  <c r="J130" i="7"/>
  <c r="J122" i="7"/>
  <c r="J129" i="7"/>
  <c r="J117" i="7"/>
  <c r="J109" i="7"/>
  <c r="J101" i="7"/>
  <c r="J134" i="7"/>
  <c r="J126" i="7"/>
  <c r="J112" i="7"/>
  <c r="J104" i="7"/>
  <c r="J139" i="7"/>
  <c r="J140" i="7"/>
  <c r="J125" i="7"/>
  <c r="J121" i="7"/>
  <c r="J111" i="7"/>
  <c r="J103" i="7"/>
  <c r="J124" i="7"/>
  <c r="J114" i="7"/>
  <c r="J110" i="7"/>
  <c r="J97" i="7"/>
  <c r="J89" i="7"/>
  <c r="J128" i="7"/>
  <c r="J106" i="7"/>
  <c r="J92" i="7"/>
  <c r="J1" i="8"/>
  <c r="J142" i="7"/>
  <c r="J123" i="7"/>
  <c r="J120" i="7"/>
  <c r="J133" i="7"/>
  <c r="J131" i="7"/>
  <c r="J118" i="7"/>
  <c r="J107" i="7"/>
  <c r="J99" i="7"/>
  <c r="J91" i="7"/>
  <c r="J116" i="7"/>
  <c r="J105" i="7"/>
  <c r="J98" i="7"/>
  <c r="J87" i="7"/>
  <c r="J81" i="7"/>
  <c r="J73" i="7"/>
  <c r="J65" i="7"/>
  <c r="J94" i="7"/>
  <c r="J90" i="7"/>
  <c r="J84" i="7"/>
  <c r="J76" i="7"/>
  <c r="J68" i="7"/>
  <c r="J108" i="7"/>
  <c r="J132" i="7"/>
  <c r="J113" i="7"/>
  <c r="J95" i="7"/>
  <c r="J83" i="7"/>
  <c r="J75" i="7"/>
  <c r="J67" i="7"/>
  <c r="J102" i="7"/>
  <c r="J78" i="7"/>
  <c r="J74" i="7"/>
  <c r="J88" i="7"/>
  <c r="J85" i="7"/>
  <c r="J70" i="7"/>
  <c r="J66" i="7"/>
  <c r="J137" i="7"/>
  <c r="J80" i="7"/>
  <c r="J82" i="7"/>
  <c r="J71" i="7"/>
  <c r="J100" i="7"/>
  <c r="J93" i="7"/>
  <c r="J61" i="7"/>
  <c r="J53" i="7"/>
  <c r="J45" i="7"/>
  <c r="J37" i="7"/>
  <c r="J29" i="7"/>
  <c r="J56" i="7"/>
  <c r="J48" i="7"/>
  <c r="J40" i="7"/>
  <c r="J32" i="7"/>
  <c r="J79" i="7"/>
  <c r="J69" i="7"/>
  <c r="J77" i="7"/>
  <c r="J115" i="7"/>
  <c r="J96" i="7"/>
  <c r="J72" i="7"/>
  <c r="J55" i="7"/>
  <c r="J47" i="7"/>
  <c r="J39" i="7"/>
  <c r="J49" i="7"/>
  <c r="J60" i="7"/>
  <c r="J41" i="7"/>
  <c r="J86" i="7"/>
  <c r="J58" i="7"/>
  <c r="J54" i="7"/>
  <c r="J35" i="7"/>
  <c r="J51" i="7"/>
  <c r="J50" i="7"/>
  <c r="J38" i="7"/>
  <c r="J34" i="7"/>
  <c r="J28" i="7"/>
  <c r="J25" i="7"/>
  <c r="J20" i="7"/>
  <c r="J12" i="7"/>
  <c r="J4" i="7"/>
  <c r="J52" i="7"/>
  <c r="J24" i="7"/>
  <c r="J23" i="7"/>
  <c r="J15" i="7"/>
  <c r="J7" i="7"/>
  <c r="J62" i="7"/>
  <c r="J43" i="7"/>
  <c r="J42" i="7"/>
  <c r="J63" i="7"/>
  <c r="J44" i="7"/>
  <c r="J64" i="7"/>
  <c r="J59" i="7"/>
  <c r="J57" i="7"/>
  <c r="J46" i="7"/>
  <c r="J22" i="7"/>
  <c r="J14" i="7"/>
  <c r="J6" i="7"/>
  <c r="J33" i="7"/>
  <c r="J26" i="7"/>
  <c r="J16" i="7"/>
  <c r="J30" i="7"/>
  <c r="J8" i="7"/>
  <c r="J36" i="7"/>
  <c r="J27" i="7"/>
  <c r="J19" i="7"/>
  <c r="J18" i="7"/>
  <c r="J11" i="7"/>
  <c r="J31" i="7"/>
  <c r="J10" i="7"/>
  <c r="J21" i="7"/>
  <c r="J17" i="7"/>
  <c r="J13" i="7"/>
  <c r="AP52" i="9"/>
  <c r="AP1" i="9"/>
  <c r="AP52" i="8"/>
  <c r="AP141" i="7"/>
  <c r="AP144" i="7"/>
  <c r="AP143" i="7"/>
  <c r="AP138" i="7"/>
  <c r="AP135" i="7"/>
  <c r="AP127" i="7"/>
  <c r="AP119" i="7"/>
  <c r="AP142" i="7"/>
  <c r="AP130" i="7"/>
  <c r="AP122" i="7"/>
  <c r="AP140" i="7"/>
  <c r="AP129" i="7"/>
  <c r="AP139" i="7"/>
  <c r="AP137" i="7"/>
  <c r="AP117" i="7"/>
  <c r="AP109" i="7"/>
  <c r="AP101" i="7"/>
  <c r="AP132" i="7"/>
  <c r="AP126" i="7"/>
  <c r="AP112" i="7"/>
  <c r="AP104" i="7"/>
  <c r="AP136" i="7"/>
  <c r="AP148" i="7"/>
  <c r="AP1" i="8"/>
  <c r="AP133" i="7"/>
  <c r="AP125" i="7"/>
  <c r="AP121" i="7"/>
  <c r="AP111" i="7"/>
  <c r="AP103" i="7"/>
  <c r="AP116" i="7"/>
  <c r="AP97" i="7"/>
  <c r="AP89" i="7"/>
  <c r="AP131" i="7"/>
  <c r="AP124" i="7"/>
  <c r="AP115" i="7"/>
  <c r="AP108" i="7"/>
  <c r="AP92" i="7"/>
  <c r="AP128" i="7"/>
  <c r="AP134" i="7"/>
  <c r="AP123" i="7"/>
  <c r="AP120" i="7"/>
  <c r="AP113" i="7"/>
  <c r="AP99" i="7"/>
  <c r="AP91" i="7"/>
  <c r="AP100" i="7"/>
  <c r="AP87" i="7"/>
  <c r="AP81" i="7"/>
  <c r="AP73" i="7"/>
  <c r="AP65" i="7"/>
  <c r="AP96" i="7"/>
  <c r="AP84" i="7"/>
  <c r="AP76" i="7"/>
  <c r="AP68" i="7"/>
  <c r="AP114" i="7"/>
  <c r="AP107" i="7"/>
  <c r="AP105" i="7"/>
  <c r="AP83" i="7"/>
  <c r="AP75" i="7"/>
  <c r="AP67" i="7"/>
  <c r="AP94" i="7"/>
  <c r="AP80" i="7"/>
  <c r="AP106" i="7"/>
  <c r="AP79" i="7"/>
  <c r="AP72" i="7"/>
  <c r="AP110" i="7"/>
  <c r="AP118" i="7"/>
  <c r="AP78" i="7"/>
  <c r="AP74" i="7"/>
  <c r="AP77" i="7"/>
  <c r="AP98" i="7"/>
  <c r="AP95" i="7"/>
  <c r="AP102" i="7"/>
  <c r="AP88" i="7"/>
  <c r="AP69" i="7"/>
  <c r="AP61" i="7"/>
  <c r="AP53" i="7"/>
  <c r="AP45" i="7"/>
  <c r="AP37" i="7"/>
  <c r="AP29" i="7"/>
  <c r="AP86" i="7"/>
  <c r="AP85" i="7"/>
  <c r="AP82" i="7"/>
  <c r="AP63" i="7"/>
  <c r="AP56" i="7"/>
  <c r="AP48" i="7"/>
  <c r="AP40" i="7"/>
  <c r="AP32" i="7"/>
  <c r="AP93" i="7"/>
  <c r="AP71" i="7"/>
  <c r="AP66" i="7"/>
  <c r="AP90" i="7"/>
  <c r="AP70" i="7"/>
  <c r="AP55" i="7"/>
  <c r="AP47" i="7"/>
  <c r="AP39" i="7"/>
  <c r="AP62" i="7"/>
  <c r="AP43" i="7"/>
  <c r="AP36" i="7"/>
  <c r="AP58" i="7"/>
  <c r="AP54" i="7"/>
  <c r="AP35" i="7"/>
  <c r="AP60" i="7"/>
  <c r="AP41" i="7"/>
  <c r="AP57" i="7"/>
  <c r="AP46" i="7"/>
  <c r="AP44" i="7"/>
  <c r="AP28" i="7"/>
  <c r="AP20" i="7"/>
  <c r="AP12" i="7"/>
  <c r="AP4" i="7"/>
  <c r="AP59" i="7"/>
  <c r="AP23" i="7"/>
  <c r="AP15" i="7"/>
  <c r="AP7" i="7"/>
  <c r="AP64" i="7"/>
  <c r="AP50" i="7"/>
  <c r="AP49" i="7"/>
  <c r="AP38" i="7"/>
  <c r="AP51" i="7"/>
  <c r="AP52" i="7"/>
  <c r="AP42" i="7"/>
  <c r="AP34" i="7"/>
  <c r="AP22" i="7"/>
  <c r="AP14" i="7"/>
  <c r="AP6" i="7"/>
  <c r="AP10" i="7"/>
  <c r="AP3" i="7"/>
  <c r="AP33" i="7"/>
  <c r="AP26" i="7"/>
  <c r="AP21" i="7"/>
  <c r="AP2" i="7"/>
  <c r="AP30" i="7"/>
  <c r="AP25" i="7"/>
  <c r="AP17" i="7"/>
  <c r="AP13" i="7"/>
  <c r="AP27" i="7"/>
  <c r="AP9" i="7"/>
  <c r="AP5" i="7"/>
  <c r="AP16" i="7"/>
  <c r="AP31" i="7"/>
  <c r="AP24" i="7"/>
  <c r="AP19" i="7"/>
  <c r="BF52" i="9"/>
  <c r="BF1" i="9"/>
  <c r="BF52" i="8"/>
  <c r="BF141" i="7"/>
  <c r="BF144" i="7"/>
  <c r="BF143" i="7"/>
  <c r="BF135" i="7"/>
  <c r="BF127" i="7"/>
  <c r="BF119" i="7"/>
  <c r="BF137" i="7"/>
  <c r="BF130" i="7"/>
  <c r="BF122" i="7"/>
  <c r="BF136" i="7"/>
  <c r="BF129" i="7"/>
  <c r="BF117" i="7"/>
  <c r="BF109" i="7"/>
  <c r="BF101" i="7"/>
  <c r="BF1" i="8"/>
  <c r="BF131" i="7"/>
  <c r="BF128" i="7"/>
  <c r="BF124" i="7"/>
  <c r="BF118" i="7"/>
  <c r="BF112" i="7"/>
  <c r="BF104" i="7"/>
  <c r="BF139" i="7"/>
  <c r="BF140" i="7"/>
  <c r="BF138" i="7"/>
  <c r="BF134" i="7"/>
  <c r="BF142" i="7"/>
  <c r="BF148" i="7"/>
  <c r="BF123" i="7"/>
  <c r="BF111" i="7"/>
  <c r="BF103" i="7"/>
  <c r="BF107" i="7"/>
  <c r="BF97" i="7"/>
  <c r="BF89" i="7"/>
  <c r="BF121" i="7"/>
  <c r="BF92" i="7"/>
  <c r="BF125" i="7"/>
  <c r="BF133" i="7"/>
  <c r="BF132" i="7"/>
  <c r="BF126" i="7"/>
  <c r="BF116" i="7"/>
  <c r="BF99" i="7"/>
  <c r="BF91" i="7"/>
  <c r="BF120" i="7"/>
  <c r="BF110" i="7"/>
  <c r="BF108" i="7"/>
  <c r="BF95" i="7"/>
  <c r="BF81" i="7"/>
  <c r="BF73" i="7"/>
  <c r="BF65" i="7"/>
  <c r="BF100" i="7"/>
  <c r="BF84" i="7"/>
  <c r="BF76" i="7"/>
  <c r="BF68" i="7"/>
  <c r="BF114" i="7"/>
  <c r="BF113" i="7"/>
  <c r="BF115" i="7"/>
  <c r="BF106" i="7"/>
  <c r="BF105" i="7"/>
  <c r="BF83" i="7"/>
  <c r="BF75" i="7"/>
  <c r="BF67" i="7"/>
  <c r="BF87" i="7"/>
  <c r="BF71" i="7"/>
  <c r="BF94" i="7"/>
  <c r="BF93" i="7"/>
  <c r="BF82" i="7"/>
  <c r="BF85" i="7"/>
  <c r="BF77" i="7"/>
  <c r="BF88" i="7"/>
  <c r="BF102" i="7"/>
  <c r="BF96" i="7"/>
  <c r="BF90" i="7"/>
  <c r="BF78" i="7"/>
  <c r="BF61" i="7"/>
  <c r="BF53" i="7"/>
  <c r="BF45" i="7"/>
  <c r="BF37" i="7"/>
  <c r="BF29" i="7"/>
  <c r="BF80" i="7"/>
  <c r="BF70" i="7"/>
  <c r="BF56" i="7"/>
  <c r="BF48" i="7"/>
  <c r="BF40" i="7"/>
  <c r="BF32" i="7"/>
  <c r="BF69" i="7"/>
  <c r="BF98" i="7"/>
  <c r="BF74" i="7"/>
  <c r="BF64" i="7"/>
  <c r="BF63" i="7"/>
  <c r="BF66" i="7"/>
  <c r="BF79" i="7"/>
  <c r="BF55" i="7"/>
  <c r="BF47" i="7"/>
  <c r="BF39" i="7"/>
  <c r="BF50" i="7"/>
  <c r="BF46" i="7"/>
  <c r="BF57" i="7"/>
  <c r="BF42" i="7"/>
  <c r="BF38" i="7"/>
  <c r="BF51" i="7"/>
  <c r="BF44" i="7"/>
  <c r="BF54" i="7"/>
  <c r="BF43" i="7"/>
  <c r="BF30" i="7"/>
  <c r="BF26" i="7"/>
  <c r="BF20" i="7"/>
  <c r="BF12" i="7"/>
  <c r="BF4" i="7"/>
  <c r="BF27" i="7"/>
  <c r="BF23" i="7"/>
  <c r="BF15" i="7"/>
  <c r="BF7" i="7"/>
  <c r="BF59" i="7"/>
  <c r="BF58" i="7"/>
  <c r="BF72" i="7"/>
  <c r="BF62" i="7"/>
  <c r="BF60" i="7"/>
  <c r="BF49" i="7"/>
  <c r="BF86" i="7"/>
  <c r="BF25" i="7"/>
  <c r="BF22" i="7"/>
  <c r="BF14" i="7"/>
  <c r="BF6" i="7"/>
  <c r="BF17" i="7"/>
  <c r="BF13" i="7"/>
  <c r="BF52" i="7"/>
  <c r="BF9" i="7"/>
  <c r="BF5" i="7"/>
  <c r="BF41" i="7"/>
  <c r="BF34" i="7"/>
  <c r="BF33" i="7"/>
  <c r="BF16" i="7"/>
  <c r="BF35" i="7"/>
  <c r="BF8" i="7"/>
  <c r="BF19" i="7"/>
  <c r="BF31" i="7"/>
  <c r="BF24" i="7"/>
  <c r="BF18" i="7"/>
  <c r="BF11" i="7"/>
  <c r="BF36" i="7"/>
  <c r="BF28" i="7"/>
  <c r="BF10" i="7"/>
  <c r="BF3" i="7"/>
  <c r="BN52" i="9"/>
  <c r="BN1" i="9"/>
  <c r="BN52" i="8"/>
  <c r="BN141" i="7"/>
  <c r="BN144" i="7"/>
  <c r="BN143" i="7"/>
  <c r="BN1" i="8"/>
  <c r="BN139" i="7"/>
  <c r="BN135" i="7"/>
  <c r="BN127" i="7"/>
  <c r="BN119" i="7"/>
  <c r="BN130" i="7"/>
  <c r="BN122" i="7"/>
  <c r="BN138" i="7"/>
  <c r="BN129" i="7"/>
  <c r="BN142" i="7"/>
  <c r="BN140" i="7"/>
  <c r="BN123" i="7"/>
  <c r="BN117" i="7"/>
  <c r="BN109" i="7"/>
  <c r="BN101" i="7"/>
  <c r="BN120" i="7"/>
  <c r="BN112" i="7"/>
  <c r="BN104" i="7"/>
  <c r="BN148" i="7"/>
  <c r="BN137" i="7"/>
  <c r="BN136" i="7"/>
  <c r="BN134" i="7"/>
  <c r="BN111" i="7"/>
  <c r="BN103" i="7"/>
  <c r="BN132" i="7"/>
  <c r="BN131" i="7"/>
  <c r="BN105" i="7"/>
  <c r="BN97" i="7"/>
  <c r="BN89" i="7"/>
  <c r="BN133" i="7"/>
  <c r="BN116" i="7"/>
  <c r="BN100" i="7"/>
  <c r="BN92" i="7"/>
  <c r="BN126" i="7"/>
  <c r="BN124" i="7"/>
  <c r="BN128" i="7"/>
  <c r="BN121" i="7"/>
  <c r="BN106" i="7"/>
  <c r="BN99" i="7"/>
  <c r="BN91" i="7"/>
  <c r="BN115" i="7"/>
  <c r="BN113" i="7"/>
  <c r="BN93" i="7"/>
  <c r="BN81" i="7"/>
  <c r="BN73" i="7"/>
  <c r="BN65" i="7"/>
  <c r="BN114" i="7"/>
  <c r="BN88" i="7"/>
  <c r="BN84" i="7"/>
  <c r="BN76" i="7"/>
  <c r="BN68" i="7"/>
  <c r="BN107" i="7"/>
  <c r="BN125" i="7"/>
  <c r="BN118" i="7"/>
  <c r="BN108" i="7"/>
  <c r="BN110" i="7"/>
  <c r="BN94" i="7"/>
  <c r="BN90" i="7"/>
  <c r="BN87" i="7"/>
  <c r="BN85" i="7"/>
  <c r="BN83" i="7"/>
  <c r="BN75" i="7"/>
  <c r="BN67" i="7"/>
  <c r="BN69" i="7"/>
  <c r="BN98" i="7"/>
  <c r="BN80" i="7"/>
  <c r="BN82" i="7"/>
  <c r="BN102" i="7"/>
  <c r="BN95" i="7"/>
  <c r="BN74" i="7"/>
  <c r="BN61" i="7"/>
  <c r="BN53" i="7"/>
  <c r="BN45" i="7"/>
  <c r="BN37" i="7"/>
  <c r="BN29" i="7"/>
  <c r="BN77" i="7"/>
  <c r="BN56" i="7"/>
  <c r="BN48" i="7"/>
  <c r="BN40" i="7"/>
  <c r="BN32" i="7"/>
  <c r="BN66" i="7"/>
  <c r="BN78" i="7"/>
  <c r="BN72" i="7"/>
  <c r="BN71" i="7"/>
  <c r="BN63" i="7"/>
  <c r="BN86" i="7"/>
  <c r="BN79" i="7"/>
  <c r="BN64" i="7"/>
  <c r="BN96" i="7"/>
  <c r="BN70" i="7"/>
  <c r="BN55" i="7"/>
  <c r="BN47" i="7"/>
  <c r="BN39" i="7"/>
  <c r="BN51" i="7"/>
  <c r="BN44" i="7"/>
  <c r="BN62" i="7"/>
  <c r="BN43" i="7"/>
  <c r="BN36" i="7"/>
  <c r="BN49" i="7"/>
  <c r="BN59" i="7"/>
  <c r="BN24" i="7"/>
  <c r="BN20" i="7"/>
  <c r="BN12" i="7"/>
  <c r="BN4" i="7"/>
  <c r="BN60" i="7"/>
  <c r="BN34" i="7"/>
  <c r="BN33" i="7"/>
  <c r="BN23" i="7"/>
  <c r="BN15" i="7"/>
  <c r="BN7" i="7"/>
  <c r="BN50" i="7"/>
  <c r="BN38" i="7"/>
  <c r="BN54" i="7"/>
  <c r="BN52" i="7"/>
  <c r="BN41" i="7"/>
  <c r="BN42" i="7"/>
  <c r="BN28" i="7"/>
  <c r="BN22" i="7"/>
  <c r="BN14" i="7"/>
  <c r="BN6" i="7"/>
  <c r="BN58" i="7"/>
  <c r="BN18" i="7"/>
  <c r="BN11" i="7"/>
  <c r="BN35" i="7"/>
  <c r="BN10" i="7"/>
  <c r="BN3" i="7"/>
  <c r="BN31" i="7"/>
  <c r="BN21" i="7"/>
  <c r="BN57" i="7"/>
  <c r="BN17" i="7"/>
  <c r="BN13" i="7"/>
  <c r="BN46" i="7"/>
  <c r="BN9" i="7"/>
  <c r="BN5" i="7"/>
  <c r="BN26" i="7"/>
  <c r="BN25" i="7"/>
  <c r="BN16" i="7"/>
  <c r="BN30" i="7"/>
  <c r="BN8" i="7"/>
  <c r="CL52" i="9"/>
  <c r="CL52" i="8"/>
  <c r="CL1" i="9"/>
  <c r="CL141" i="7"/>
  <c r="CL144" i="7"/>
  <c r="CL143" i="7"/>
  <c r="CL140" i="7"/>
  <c r="CL135" i="7"/>
  <c r="CL127" i="7"/>
  <c r="CL119" i="7"/>
  <c r="CL139" i="7"/>
  <c r="CL137" i="7"/>
  <c r="CL130" i="7"/>
  <c r="CL122" i="7"/>
  <c r="CL148" i="7"/>
  <c r="CL129" i="7"/>
  <c r="CL1" i="8"/>
  <c r="CL136" i="7"/>
  <c r="CL133" i="7"/>
  <c r="CL117" i="7"/>
  <c r="CL109" i="7"/>
  <c r="CL101" i="7"/>
  <c r="CL124" i="7"/>
  <c r="CL112" i="7"/>
  <c r="CL104" i="7"/>
  <c r="CL138" i="7"/>
  <c r="CL123" i="7"/>
  <c r="CL111" i="7"/>
  <c r="CL103" i="7"/>
  <c r="CL142" i="7"/>
  <c r="CL120" i="7"/>
  <c r="CL113" i="7"/>
  <c r="CL97" i="7"/>
  <c r="CL89" i="7"/>
  <c r="CL105" i="7"/>
  <c r="CL92" i="7"/>
  <c r="CL121" i="7"/>
  <c r="CL116" i="7"/>
  <c r="CL125" i="7"/>
  <c r="CL118" i="7"/>
  <c r="CL128" i="7"/>
  <c r="CL134" i="7"/>
  <c r="CL114" i="7"/>
  <c r="CL110" i="7"/>
  <c r="CL99" i="7"/>
  <c r="CL91" i="7"/>
  <c r="CL81" i="7"/>
  <c r="CL73" i="7"/>
  <c r="CL65" i="7"/>
  <c r="CL132" i="7"/>
  <c r="CL93" i="7"/>
  <c r="CL85" i="7"/>
  <c r="CL84" i="7"/>
  <c r="CL76" i="7"/>
  <c r="CL68" i="7"/>
  <c r="CL126" i="7"/>
  <c r="CL107" i="7"/>
  <c r="CL106" i="7"/>
  <c r="CL108" i="7"/>
  <c r="CL102" i="7"/>
  <c r="CL98" i="7"/>
  <c r="CL83" i="7"/>
  <c r="CL75" i="7"/>
  <c r="CL67" i="7"/>
  <c r="CL131" i="7"/>
  <c r="CL77" i="7"/>
  <c r="CL87" i="7"/>
  <c r="CL69" i="7"/>
  <c r="CL115" i="7"/>
  <c r="CL88" i="7"/>
  <c r="CL71" i="7"/>
  <c r="CL82" i="7"/>
  <c r="CL66" i="7"/>
  <c r="CL96" i="7"/>
  <c r="CL90" i="7"/>
  <c r="CL100" i="7"/>
  <c r="CL94" i="7"/>
  <c r="CL61" i="7"/>
  <c r="CL53" i="7"/>
  <c r="CL45" i="7"/>
  <c r="CL37" i="7"/>
  <c r="CL29" i="7"/>
  <c r="CL86" i="7"/>
  <c r="CL56" i="7"/>
  <c r="CL48" i="7"/>
  <c r="CL40" i="7"/>
  <c r="CL32" i="7"/>
  <c r="CL80" i="7"/>
  <c r="CL74" i="7"/>
  <c r="CL72" i="7"/>
  <c r="CL64" i="7"/>
  <c r="CL95" i="7"/>
  <c r="CL78" i="7"/>
  <c r="CL70" i="7"/>
  <c r="CL55" i="7"/>
  <c r="CL47" i="7"/>
  <c r="CL39" i="7"/>
  <c r="CL59" i="7"/>
  <c r="CL52" i="7"/>
  <c r="CL51" i="7"/>
  <c r="CL44" i="7"/>
  <c r="CL62" i="7"/>
  <c r="CL63" i="7"/>
  <c r="CL57" i="7"/>
  <c r="CL42" i="7"/>
  <c r="CL38" i="7"/>
  <c r="CL60" i="7"/>
  <c r="CL49" i="7"/>
  <c r="CL30" i="7"/>
  <c r="CL26" i="7"/>
  <c r="CL20" i="7"/>
  <c r="CL12" i="7"/>
  <c r="CL4" i="7"/>
  <c r="CL50" i="7"/>
  <c r="CL27" i="7"/>
  <c r="CL23" i="7"/>
  <c r="CL15" i="7"/>
  <c r="CL7" i="7"/>
  <c r="CL54" i="7"/>
  <c r="CL43" i="7"/>
  <c r="CL41" i="7"/>
  <c r="CL79" i="7"/>
  <c r="CL58" i="7"/>
  <c r="CL46" i="7"/>
  <c r="CL35" i="7"/>
  <c r="CL34" i="7"/>
  <c r="CL22" i="7"/>
  <c r="CL14" i="7"/>
  <c r="CL6" i="7"/>
  <c r="CL19" i="7"/>
  <c r="CL18" i="7"/>
  <c r="CL11" i="7"/>
  <c r="CL10" i="7"/>
  <c r="CL33" i="7"/>
  <c r="CL24" i="7"/>
  <c r="CL21" i="7"/>
  <c r="CL17" i="7"/>
  <c r="CL13" i="7"/>
  <c r="CL9" i="7"/>
  <c r="CL36" i="7"/>
  <c r="CL31" i="7"/>
  <c r="CL16" i="7"/>
  <c r="DJ52" i="9"/>
  <c r="DJ52" i="8"/>
  <c r="DJ1" i="9"/>
  <c r="DJ141" i="7"/>
  <c r="DJ1" i="8"/>
  <c r="DJ144" i="7"/>
  <c r="DJ143" i="7"/>
  <c r="DJ135" i="7"/>
  <c r="DJ127" i="7"/>
  <c r="DJ119" i="7"/>
  <c r="DJ140" i="7"/>
  <c r="DJ130" i="7"/>
  <c r="DJ122" i="7"/>
  <c r="DJ129" i="7"/>
  <c r="DJ138" i="7"/>
  <c r="DJ134" i="7"/>
  <c r="DJ125" i="7"/>
  <c r="DJ121" i="7"/>
  <c r="DJ118" i="7"/>
  <c r="DJ109" i="7"/>
  <c r="DJ101" i="7"/>
  <c r="DJ148" i="7"/>
  <c r="DJ133" i="7"/>
  <c r="DJ117" i="7"/>
  <c r="DJ112" i="7"/>
  <c r="DJ104" i="7"/>
  <c r="DJ139" i="7"/>
  <c r="DJ136" i="7"/>
  <c r="DJ142" i="7"/>
  <c r="DJ137" i="7"/>
  <c r="DJ131" i="7"/>
  <c r="DJ111" i="7"/>
  <c r="DJ103" i="7"/>
  <c r="DJ106" i="7"/>
  <c r="DJ97" i="7"/>
  <c r="DJ89" i="7"/>
  <c r="DJ113" i="7"/>
  <c r="DJ102" i="7"/>
  <c r="DJ92" i="7"/>
  <c r="DJ128" i="7"/>
  <c r="DJ126" i="7"/>
  <c r="DJ116" i="7"/>
  <c r="DJ123" i="7"/>
  <c r="DJ120" i="7"/>
  <c r="DJ132" i="7"/>
  <c r="DJ99" i="7"/>
  <c r="DJ91" i="7"/>
  <c r="DJ94" i="7"/>
  <c r="DJ90" i="7"/>
  <c r="DJ81" i="7"/>
  <c r="DJ73" i="7"/>
  <c r="DJ65" i="7"/>
  <c r="DJ107" i="7"/>
  <c r="DJ86" i="7"/>
  <c r="DJ84" i="7"/>
  <c r="DJ76" i="7"/>
  <c r="DJ68" i="7"/>
  <c r="DJ124" i="7"/>
  <c r="DJ108" i="7"/>
  <c r="DJ110" i="7"/>
  <c r="DJ115" i="7"/>
  <c r="DJ114" i="7"/>
  <c r="DJ83" i="7"/>
  <c r="DJ75" i="7"/>
  <c r="DJ67" i="7"/>
  <c r="DJ70" i="7"/>
  <c r="DJ66" i="7"/>
  <c r="DJ100" i="7"/>
  <c r="DJ88" i="7"/>
  <c r="DJ77" i="7"/>
  <c r="DJ95" i="7"/>
  <c r="DJ79" i="7"/>
  <c r="DJ72" i="7"/>
  <c r="DJ105" i="7"/>
  <c r="DJ98" i="7"/>
  <c r="DJ87" i="7"/>
  <c r="DJ74" i="7"/>
  <c r="DJ61" i="7"/>
  <c r="DJ53" i="7"/>
  <c r="DJ45" i="7"/>
  <c r="DJ37" i="7"/>
  <c r="DJ29" i="7"/>
  <c r="DJ85" i="7"/>
  <c r="DJ82" i="7"/>
  <c r="DJ64" i="7"/>
  <c r="DJ56" i="7"/>
  <c r="DJ48" i="7"/>
  <c r="DJ40" i="7"/>
  <c r="DJ32" i="7"/>
  <c r="DJ63" i="7"/>
  <c r="DJ80" i="7"/>
  <c r="DJ71" i="7"/>
  <c r="DJ96" i="7"/>
  <c r="DJ55" i="7"/>
  <c r="DJ47" i="7"/>
  <c r="DJ39" i="7"/>
  <c r="DJ69" i="7"/>
  <c r="DJ60" i="7"/>
  <c r="DJ41" i="7"/>
  <c r="DJ93" i="7"/>
  <c r="DJ59" i="7"/>
  <c r="DJ52" i="7"/>
  <c r="DJ50" i="7"/>
  <c r="DJ46" i="7"/>
  <c r="DJ20" i="7"/>
  <c r="DJ12" i="7"/>
  <c r="DJ4" i="7"/>
  <c r="DJ31" i="7"/>
  <c r="DJ23" i="7"/>
  <c r="DJ15" i="7"/>
  <c r="DJ7" i="7"/>
  <c r="DJ62" i="7"/>
  <c r="DJ54" i="7"/>
  <c r="DJ43" i="7"/>
  <c r="DJ42" i="7"/>
  <c r="DJ44" i="7"/>
  <c r="DJ57" i="7"/>
  <c r="DJ58" i="7"/>
  <c r="DJ36" i="7"/>
  <c r="DJ33" i="7"/>
  <c r="DJ30" i="7"/>
  <c r="DJ26" i="7"/>
  <c r="DJ24" i="7"/>
  <c r="DJ22" i="7"/>
  <c r="DJ14" i="7"/>
  <c r="DJ6" i="7"/>
  <c r="DJ78" i="7"/>
  <c r="DJ49" i="7"/>
  <c r="DJ8" i="7"/>
  <c r="DJ38" i="7"/>
  <c r="DJ27" i="7"/>
  <c r="DJ19" i="7"/>
  <c r="DJ18" i="7"/>
  <c r="DJ11" i="7"/>
  <c r="DJ28" i="7"/>
  <c r="DJ25" i="7"/>
  <c r="DJ10" i="7"/>
  <c r="DJ51" i="7"/>
  <c r="DJ34" i="7"/>
  <c r="DJ21" i="7"/>
  <c r="DJ17" i="7"/>
  <c r="DJ13" i="7"/>
  <c r="DJ35" i="7"/>
  <c r="DJ9" i="7"/>
  <c r="DJ5" i="7"/>
  <c r="EH52" i="9"/>
  <c r="EH1" i="9"/>
  <c r="EH52" i="8"/>
  <c r="EH141" i="7"/>
  <c r="EH144" i="7"/>
  <c r="EH136" i="7"/>
  <c r="EH143" i="7"/>
  <c r="EH148" i="7"/>
  <c r="EH138" i="7"/>
  <c r="EH135" i="7"/>
  <c r="EH127" i="7"/>
  <c r="EH119" i="7"/>
  <c r="EH130" i="7"/>
  <c r="EH122" i="7"/>
  <c r="EH1" i="8"/>
  <c r="EH129" i="7"/>
  <c r="EH109" i="7"/>
  <c r="EH101" i="7"/>
  <c r="EH134" i="7"/>
  <c r="EH126" i="7"/>
  <c r="EH112" i="7"/>
  <c r="EH104" i="7"/>
  <c r="EH139" i="7"/>
  <c r="EH140" i="7"/>
  <c r="EH137" i="7"/>
  <c r="EH142" i="7"/>
  <c r="EH125" i="7"/>
  <c r="EH121" i="7"/>
  <c r="EH111" i="7"/>
  <c r="EH103" i="7"/>
  <c r="EH123" i="7"/>
  <c r="EH118" i="7"/>
  <c r="EH114" i="7"/>
  <c r="EH110" i="7"/>
  <c r="EH97" i="7"/>
  <c r="EH89" i="7"/>
  <c r="EH120" i="7"/>
  <c r="EH106" i="7"/>
  <c r="EH92" i="7"/>
  <c r="EH133" i="7"/>
  <c r="EH128" i="7"/>
  <c r="EH131" i="7"/>
  <c r="EH124" i="7"/>
  <c r="EH117" i="7"/>
  <c r="EH116" i="7"/>
  <c r="EH132" i="7"/>
  <c r="EH107" i="7"/>
  <c r="EH99" i="7"/>
  <c r="EH91" i="7"/>
  <c r="EH102" i="7"/>
  <c r="EH98" i="7"/>
  <c r="EH87" i="7"/>
  <c r="EH81" i="7"/>
  <c r="EH73" i="7"/>
  <c r="EH65" i="7"/>
  <c r="EH108" i="7"/>
  <c r="EH94" i="7"/>
  <c r="EH90" i="7"/>
  <c r="EH84" i="7"/>
  <c r="EH76" i="7"/>
  <c r="EH68" i="7"/>
  <c r="EH113" i="7"/>
  <c r="EH115" i="7"/>
  <c r="EH105" i="7"/>
  <c r="EH95" i="7"/>
  <c r="EH83" i="7"/>
  <c r="EH75" i="7"/>
  <c r="EH67" i="7"/>
  <c r="EH85" i="7"/>
  <c r="EH78" i="7"/>
  <c r="EH74" i="7"/>
  <c r="EH100" i="7"/>
  <c r="EH93" i="7"/>
  <c r="EH86" i="7"/>
  <c r="EH70" i="7"/>
  <c r="EH66" i="7"/>
  <c r="EH96" i="7"/>
  <c r="EH80" i="7"/>
  <c r="EH88" i="7"/>
  <c r="EH77" i="7"/>
  <c r="EH61" i="7"/>
  <c r="EH53" i="7"/>
  <c r="EH45" i="7"/>
  <c r="EH37" i="7"/>
  <c r="EH29" i="7"/>
  <c r="EH56" i="7"/>
  <c r="EH48" i="7"/>
  <c r="EH40" i="7"/>
  <c r="EH32" i="7"/>
  <c r="EH79" i="7"/>
  <c r="EH82" i="7"/>
  <c r="EH71" i="7"/>
  <c r="EH72" i="7"/>
  <c r="EH55" i="7"/>
  <c r="EH47" i="7"/>
  <c r="EH39" i="7"/>
  <c r="EH49" i="7"/>
  <c r="EH34" i="7"/>
  <c r="EH60" i="7"/>
  <c r="EH41" i="7"/>
  <c r="EH63" i="7"/>
  <c r="EH58" i="7"/>
  <c r="EH54" i="7"/>
  <c r="EH35" i="7"/>
  <c r="EH28" i="7"/>
  <c r="EH25" i="7"/>
  <c r="EH20" i="7"/>
  <c r="EH12" i="7"/>
  <c r="EH4" i="7"/>
  <c r="EH69" i="7"/>
  <c r="EH43" i="7"/>
  <c r="EH42" i="7"/>
  <c r="EH24" i="7"/>
  <c r="EH23" i="7"/>
  <c r="EH15" i="7"/>
  <c r="EH7" i="7"/>
  <c r="EH44" i="7"/>
  <c r="EH62" i="7"/>
  <c r="EH59" i="7"/>
  <c r="EH57" i="7"/>
  <c r="EH46" i="7"/>
  <c r="EH64" i="7"/>
  <c r="EH51" i="7"/>
  <c r="EH50" i="7"/>
  <c r="EH38" i="7"/>
  <c r="EH33" i="7"/>
  <c r="EH22" i="7"/>
  <c r="EH14" i="7"/>
  <c r="EH6" i="7"/>
  <c r="EH31" i="7"/>
  <c r="EH16" i="7"/>
  <c r="EH8" i="7"/>
  <c r="EH19" i="7"/>
  <c r="EH36" i="7"/>
  <c r="EH18" i="7"/>
  <c r="EH11" i="7"/>
  <c r="EH26" i="7"/>
  <c r="EH10" i="7"/>
  <c r="EH52" i="7"/>
  <c r="EH30" i="7"/>
  <c r="EH21" i="7"/>
  <c r="EH27" i="7"/>
  <c r="EH17" i="7"/>
  <c r="EH13" i="7"/>
  <c r="EX52" i="9"/>
  <c r="EX52" i="8"/>
  <c r="EX1" i="9"/>
  <c r="EX141" i="7"/>
  <c r="EX144" i="7"/>
  <c r="EX136" i="7"/>
  <c r="EX143" i="7"/>
  <c r="EX140" i="7"/>
  <c r="EX135" i="7"/>
  <c r="EX127" i="7"/>
  <c r="EX119" i="7"/>
  <c r="EX139" i="7"/>
  <c r="EX137" i="7"/>
  <c r="EX130" i="7"/>
  <c r="EX122" i="7"/>
  <c r="EX1" i="8"/>
  <c r="EX148" i="7"/>
  <c r="EX129" i="7"/>
  <c r="EX133" i="7"/>
  <c r="EX109" i="7"/>
  <c r="EX101" i="7"/>
  <c r="EX124" i="7"/>
  <c r="EX112" i="7"/>
  <c r="EX104" i="7"/>
  <c r="EX142" i="7"/>
  <c r="EX138" i="7"/>
  <c r="EX123" i="7"/>
  <c r="EX117" i="7"/>
  <c r="EX111" i="7"/>
  <c r="EX103" i="7"/>
  <c r="EX118" i="7"/>
  <c r="EX113" i="7"/>
  <c r="EX97" i="7"/>
  <c r="EX89" i="7"/>
  <c r="EX126" i="7"/>
  <c r="EX105" i="7"/>
  <c r="EX92" i="7"/>
  <c r="EX120" i="7"/>
  <c r="EX116" i="7"/>
  <c r="EX134" i="7"/>
  <c r="EX128" i="7"/>
  <c r="EX121" i="7"/>
  <c r="EX125" i="7"/>
  <c r="EX132" i="7"/>
  <c r="EX131" i="7"/>
  <c r="EX114" i="7"/>
  <c r="EX110" i="7"/>
  <c r="EX99" i="7"/>
  <c r="EX91" i="7"/>
  <c r="EX102" i="7"/>
  <c r="EX81" i="7"/>
  <c r="EX73" i="7"/>
  <c r="EX65" i="7"/>
  <c r="EX107" i="7"/>
  <c r="EX106" i="7"/>
  <c r="EX93" i="7"/>
  <c r="EX85" i="7"/>
  <c r="EX84" i="7"/>
  <c r="EX76" i="7"/>
  <c r="EX68" i="7"/>
  <c r="EX108" i="7"/>
  <c r="EX115" i="7"/>
  <c r="EX98" i="7"/>
  <c r="EX83" i="7"/>
  <c r="EX75" i="7"/>
  <c r="EX67" i="7"/>
  <c r="EX77" i="7"/>
  <c r="EX90" i="7"/>
  <c r="EX86" i="7"/>
  <c r="EX69" i="7"/>
  <c r="EX95" i="7"/>
  <c r="EX94" i="7"/>
  <c r="EX71" i="7"/>
  <c r="EX100" i="7"/>
  <c r="EX70" i="7"/>
  <c r="EX96" i="7"/>
  <c r="EX72" i="7"/>
  <c r="EX74" i="7"/>
  <c r="EX61" i="7"/>
  <c r="EX53" i="7"/>
  <c r="EX45" i="7"/>
  <c r="EX37" i="7"/>
  <c r="EX29" i="7"/>
  <c r="EX87" i="7"/>
  <c r="EX56" i="7"/>
  <c r="EX48" i="7"/>
  <c r="EX40" i="7"/>
  <c r="EX32" i="7"/>
  <c r="EX80" i="7"/>
  <c r="EX64" i="7"/>
  <c r="EX88" i="7"/>
  <c r="EX78" i="7"/>
  <c r="EX66" i="7"/>
  <c r="EX55" i="7"/>
  <c r="EX47" i="7"/>
  <c r="EX39" i="7"/>
  <c r="EX59" i="7"/>
  <c r="EX52" i="7"/>
  <c r="EX51" i="7"/>
  <c r="EX44" i="7"/>
  <c r="EX82" i="7"/>
  <c r="EX62" i="7"/>
  <c r="EX57" i="7"/>
  <c r="EX42" i="7"/>
  <c r="EX38" i="7"/>
  <c r="EX50" i="7"/>
  <c r="EX30" i="7"/>
  <c r="EX26" i="7"/>
  <c r="EX20" i="7"/>
  <c r="EX12" i="7"/>
  <c r="EX4" i="7"/>
  <c r="EX60" i="7"/>
  <c r="EX27" i="7"/>
  <c r="EX23" i="7"/>
  <c r="EX15" i="7"/>
  <c r="EX7" i="7"/>
  <c r="EX54" i="7"/>
  <c r="EX43" i="7"/>
  <c r="EX41" i="7"/>
  <c r="EX79" i="7"/>
  <c r="EX63" i="7"/>
  <c r="EX58" i="7"/>
  <c r="EX46" i="7"/>
  <c r="EX36" i="7"/>
  <c r="EX22" i="7"/>
  <c r="EX14" i="7"/>
  <c r="EX6" i="7"/>
  <c r="EX33" i="7"/>
  <c r="EX31" i="7"/>
  <c r="EX24" i="7"/>
  <c r="EX19" i="7"/>
  <c r="EX28" i="7"/>
  <c r="EX18" i="7"/>
  <c r="EX11" i="7"/>
  <c r="EX34" i="7"/>
  <c r="EX10" i="7"/>
  <c r="EX21" i="7"/>
  <c r="EX35" i="7"/>
  <c r="EX25" i="7"/>
  <c r="EX17" i="7"/>
  <c r="EX13" i="7"/>
  <c r="EX9" i="7"/>
  <c r="EX49" i="7"/>
  <c r="EX16" i="7"/>
  <c r="GD52" i="9"/>
  <c r="GD1" i="9"/>
  <c r="GD52" i="8"/>
  <c r="GD141" i="7"/>
  <c r="GD144" i="7"/>
  <c r="GD136" i="7"/>
  <c r="GD143" i="7"/>
  <c r="GD135" i="7"/>
  <c r="GD127" i="7"/>
  <c r="GD119" i="7"/>
  <c r="GD137" i="7"/>
  <c r="GD130" i="7"/>
  <c r="GD122" i="7"/>
  <c r="GD129" i="7"/>
  <c r="GD139" i="7"/>
  <c r="GD109" i="7"/>
  <c r="GD101" i="7"/>
  <c r="GD140" i="7"/>
  <c r="GD131" i="7"/>
  <c r="GD124" i="7"/>
  <c r="GD118" i="7"/>
  <c r="GD112" i="7"/>
  <c r="GD104" i="7"/>
  <c r="GD142" i="7"/>
  <c r="GD134" i="7"/>
  <c r="GD1" i="8"/>
  <c r="GD148" i="7"/>
  <c r="GD133" i="7"/>
  <c r="GD123" i="7"/>
  <c r="GD111" i="7"/>
  <c r="GD103" i="7"/>
  <c r="GD107" i="7"/>
  <c r="GD97" i="7"/>
  <c r="GD89" i="7"/>
  <c r="GD117" i="7"/>
  <c r="GD92" i="7"/>
  <c r="GD132" i="7"/>
  <c r="GD126" i="7"/>
  <c r="GD120" i="7"/>
  <c r="GD138" i="7"/>
  <c r="GD121" i="7"/>
  <c r="GD125" i="7"/>
  <c r="GD116" i="7"/>
  <c r="GD91" i="7"/>
  <c r="GD95" i="7"/>
  <c r="GD85" i="7"/>
  <c r="GD81" i="7"/>
  <c r="GD73" i="7"/>
  <c r="GD65" i="7"/>
  <c r="GD114" i="7"/>
  <c r="GD113" i="7"/>
  <c r="GD102" i="7"/>
  <c r="GD99" i="7"/>
  <c r="GD84" i="7"/>
  <c r="GD76" i="7"/>
  <c r="GD68" i="7"/>
  <c r="GD115" i="7"/>
  <c r="GD128" i="7"/>
  <c r="GD106" i="7"/>
  <c r="GD105" i="7"/>
  <c r="GD110" i="7"/>
  <c r="GD108" i="7"/>
  <c r="GD83" i="7"/>
  <c r="GD75" i="7"/>
  <c r="GD67" i="7"/>
  <c r="GD71" i="7"/>
  <c r="GD98" i="7"/>
  <c r="GD96" i="7"/>
  <c r="GD82" i="7"/>
  <c r="GD100" i="7"/>
  <c r="GD90" i="7"/>
  <c r="GD87" i="7"/>
  <c r="GD77" i="7"/>
  <c r="GD78" i="7"/>
  <c r="GD86" i="7"/>
  <c r="GD79" i="7"/>
  <c r="GD80" i="7"/>
  <c r="GD66" i="7"/>
  <c r="GD61" i="7"/>
  <c r="GD53" i="7"/>
  <c r="GD45" i="7"/>
  <c r="GD37" i="7"/>
  <c r="GD29" i="7"/>
  <c r="GD56" i="7"/>
  <c r="GD48" i="7"/>
  <c r="GD40" i="7"/>
  <c r="GD32" i="7"/>
  <c r="GD94" i="7"/>
  <c r="GD74" i="7"/>
  <c r="GD63" i="7"/>
  <c r="GD93" i="7"/>
  <c r="GD70" i="7"/>
  <c r="GD88" i="7"/>
  <c r="GD69" i="7"/>
  <c r="GD64" i="7"/>
  <c r="GD55" i="7"/>
  <c r="GD47" i="7"/>
  <c r="GD39" i="7"/>
  <c r="GD50" i="7"/>
  <c r="GD46" i="7"/>
  <c r="GD72" i="7"/>
  <c r="GD57" i="7"/>
  <c r="GD42" i="7"/>
  <c r="GD38" i="7"/>
  <c r="GD51" i="7"/>
  <c r="GD44" i="7"/>
  <c r="GD34" i="7"/>
  <c r="GD30" i="7"/>
  <c r="GD26" i="7"/>
  <c r="GD20" i="7"/>
  <c r="GD12" i="7"/>
  <c r="GD4" i="7"/>
  <c r="GD59" i="7"/>
  <c r="GD58" i="7"/>
  <c r="GD35" i="7"/>
  <c r="GD27" i="7"/>
  <c r="GD23" i="7"/>
  <c r="GD15" i="7"/>
  <c r="GD7" i="7"/>
  <c r="GD49" i="7"/>
  <c r="GD36" i="7"/>
  <c r="GD62" i="7"/>
  <c r="GD52" i="7"/>
  <c r="GD41" i="7"/>
  <c r="GD60" i="7"/>
  <c r="GD54" i="7"/>
  <c r="GD43" i="7"/>
  <c r="GD25" i="7"/>
  <c r="GD22" i="7"/>
  <c r="GD14" i="7"/>
  <c r="GD6" i="7"/>
  <c r="GD17" i="7"/>
  <c r="GD13" i="7"/>
  <c r="GD31" i="7"/>
  <c r="GD9" i="7"/>
  <c r="GD5" i="7"/>
  <c r="GD28" i="7"/>
  <c r="GD16" i="7"/>
  <c r="GD33" i="7"/>
  <c r="GD8" i="7"/>
  <c r="GD19" i="7"/>
  <c r="GD18" i="7"/>
  <c r="GD11" i="7"/>
  <c r="GD10" i="7"/>
  <c r="GD3" i="7"/>
  <c r="GT52" i="9"/>
  <c r="GT1" i="9"/>
  <c r="GT52" i="8"/>
  <c r="GT141" i="7"/>
  <c r="GT144" i="7"/>
  <c r="GT136" i="7"/>
  <c r="GT143" i="7"/>
  <c r="GT1" i="8"/>
  <c r="GT148" i="7"/>
  <c r="GT138" i="7"/>
  <c r="GT127" i="7"/>
  <c r="GT119" i="7"/>
  <c r="GT130" i="7"/>
  <c r="GT122" i="7"/>
  <c r="GT129" i="7"/>
  <c r="GT109" i="7"/>
  <c r="GT101" i="7"/>
  <c r="GT139" i="7"/>
  <c r="GT134" i="7"/>
  <c r="GT126" i="7"/>
  <c r="GT112" i="7"/>
  <c r="GT104" i="7"/>
  <c r="GT140" i="7"/>
  <c r="GT133" i="7"/>
  <c r="GT142" i="7"/>
  <c r="GT137" i="7"/>
  <c r="GT125" i="7"/>
  <c r="GT121" i="7"/>
  <c r="GT111" i="7"/>
  <c r="GT103" i="7"/>
  <c r="GT114" i="7"/>
  <c r="GT110" i="7"/>
  <c r="GT97" i="7"/>
  <c r="GT89" i="7"/>
  <c r="GT128" i="7"/>
  <c r="GT117" i="7"/>
  <c r="GT106" i="7"/>
  <c r="GT102" i="7"/>
  <c r="GT99" i="7"/>
  <c r="GT92" i="7"/>
  <c r="GT123" i="7"/>
  <c r="GT131" i="7"/>
  <c r="GT120" i="7"/>
  <c r="GT132" i="7"/>
  <c r="GT116" i="7"/>
  <c r="GT118" i="7"/>
  <c r="GT124" i="7"/>
  <c r="GT107" i="7"/>
  <c r="GT91" i="7"/>
  <c r="GT108" i="7"/>
  <c r="GT98" i="7"/>
  <c r="GT87" i="7"/>
  <c r="GT81" i="7"/>
  <c r="GT73" i="7"/>
  <c r="GT65" i="7"/>
  <c r="GT94" i="7"/>
  <c r="GT90" i="7"/>
  <c r="GT84" i="7"/>
  <c r="GT76" i="7"/>
  <c r="GT68" i="7"/>
  <c r="GT113" i="7"/>
  <c r="GT115" i="7"/>
  <c r="GT135" i="7"/>
  <c r="GT95" i="7"/>
  <c r="GT83" i="7"/>
  <c r="GT75" i="7"/>
  <c r="GT67" i="7"/>
  <c r="GT93" i="7"/>
  <c r="GT85" i="7"/>
  <c r="GT78" i="7"/>
  <c r="GT74" i="7"/>
  <c r="GT70" i="7"/>
  <c r="GT66" i="7"/>
  <c r="GT80" i="7"/>
  <c r="GT100" i="7"/>
  <c r="GT77" i="7"/>
  <c r="GT79" i="7"/>
  <c r="GT105" i="7"/>
  <c r="GT61" i="7"/>
  <c r="GT53" i="7"/>
  <c r="GT45" i="7"/>
  <c r="GT37" i="7"/>
  <c r="GT29" i="7"/>
  <c r="GT96" i="7"/>
  <c r="GT69" i="7"/>
  <c r="GT56" i="7"/>
  <c r="GT48" i="7"/>
  <c r="GT40" i="7"/>
  <c r="GT32" i="7"/>
  <c r="GT72" i="7"/>
  <c r="GT82" i="7"/>
  <c r="GT88" i="7"/>
  <c r="GT86" i="7"/>
  <c r="GT64" i="7"/>
  <c r="GT63" i="7"/>
  <c r="GT71" i="7"/>
  <c r="GT55" i="7"/>
  <c r="GT47" i="7"/>
  <c r="GT39" i="7"/>
  <c r="GT49" i="7"/>
  <c r="GT34" i="7"/>
  <c r="GT60" i="7"/>
  <c r="GT41" i="7"/>
  <c r="GT58" i="7"/>
  <c r="GT54" i="7"/>
  <c r="GT35" i="7"/>
  <c r="GT62" i="7"/>
  <c r="GT43" i="7"/>
  <c r="GT42" i="7"/>
  <c r="GT28" i="7"/>
  <c r="GT20" i="7"/>
  <c r="GT12" i="7"/>
  <c r="GT4" i="7"/>
  <c r="GT44" i="7"/>
  <c r="GT25" i="7"/>
  <c r="GT24" i="7"/>
  <c r="GT15" i="7"/>
  <c r="GT7" i="7"/>
  <c r="GT59" i="7"/>
  <c r="GT57" i="7"/>
  <c r="GT46" i="7"/>
  <c r="GT36" i="7"/>
  <c r="GT51" i="7"/>
  <c r="GT50" i="7"/>
  <c r="GT38" i="7"/>
  <c r="GT52" i="7"/>
  <c r="GT22" i="7"/>
  <c r="GT14" i="7"/>
  <c r="GT6" i="7"/>
  <c r="GT27" i="7"/>
  <c r="GT16" i="7"/>
  <c r="GT8" i="7"/>
  <c r="GT31" i="7"/>
  <c r="GT23" i="7"/>
  <c r="GT19" i="7"/>
  <c r="GT18" i="7"/>
  <c r="GT11" i="7"/>
  <c r="GT33" i="7"/>
  <c r="GT10" i="7"/>
  <c r="GT21" i="7"/>
  <c r="GT26" i="7"/>
  <c r="GT17" i="7"/>
  <c r="GT13" i="7"/>
  <c r="HR52" i="9"/>
  <c r="HR1" i="9"/>
  <c r="HR52" i="8"/>
  <c r="HR141" i="7"/>
  <c r="HR144" i="7"/>
  <c r="HR136" i="7"/>
  <c r="HR143" i="7"/>
  <c r="HR127" i="7"/>
  <c r="HR119" i="7"/>
  <c r="HR148" i="7"/>
  <c r="HR130" i="7"/>
  <c r="HR122" i="7"/>
  <c r="HR142" i="7"/>
  <c r="HR138" i="7"/>
  <c r="HR129" i="7"/>
  <c r="HR139" i="7"/>
  <c r="HR131" i="7"/>
  <c r="HR123" i="7"/>
  <c r="HR109" i="7"/>
  <c r="HR101" i="7"/>
  <c r="HR1" i="8"/>
  <c r="HR140" i="7"/>
  <c r="HR137" i="7"/>
  <c r="HR120" i="7"/>
  <c r="HR112" i="7"/>
  <c r="HR104" i="7"/>
  <c r="HR134" i="7"/>
  <c r="HR135" i="7"/>
  <c r="HR133" i="7"/>
  <c r="HR132" i="7"/>
  <c r="HR128" i="7"/>
  <c r="HR118" i="7"/>
  <c r="HR111" i="7"/>
  <c r="HR103" i="7"/>
  <c r="HR97" i="7"/>
  <c r="HR89" i="7"/>
  <c r="HR114" i="7"/>
  <c r="HR110" i="7"/>
  <c r="HR100" i="7"/>
  <c r="HR92" i="7"/>
  <c r="HR124" i="7"/>
  <c r="HR121" i="7"/>
  <c r="HR125" i="7"/>
  <c r="HR117" i="7"/>
  <c r="HR115" i="7"/>
  <c r="HR108" i="7"/>
  <c r="HR91" i="7"/>
  <c r="HR81" i="7"/>
  <c r="HR73" i="7"/>
  <c r="HR65" i="7"/>
  <c r="HR113" i="7"/>
  <c r="HR102" i="7"/>
  <c r="HR98" i="7"/>
  <c r="HR88" i="7"/>
  <c r="HR84" i="7"/>
  <c r="HR76" i="7"/>
  <c r="HR68" i="7"/>
  <c r="HR126" i="7"/>
  <c r="HR106" i="7"/>
  <c r="HR105" i="7"/>
  <c r="HR96" i="7"/>
  <c r="HR87" i="7"/>
  <c r="HR83" i="7"/>
  <c r="HR75" i="7"/>
  <c r="HR67" i="7"/>
  <c r="HR95" i="7"/>
  <c r="HR86" i="7"/>
  <c r="HR82" i="7"/>
  <c r="HR78" i="7"/>
  <c r="HR74" i="7"/>
  <c r="HR116" i="7"/>
  <c r="HR107" i="7"/>
  <c r="HR90" i="7"/>
  <c r="HR85" i="7"/>
  <c r="HR69" i="7"/>
  <c r="HR99" i="7"/>
  <c r="HR77" i="7"/>
  <c r="HR93" i="7"/>
  <c r="HR79" i="7"/>
  <c r="HR80" i="7"/>
  <c r="HR66" i="7"/>
  <c r="HR64" i="7"/>
  <c r="HR61" i="7"/>
  <c r="HR53" i="7"/>
  <c r="HR45" i="7"/>
  <c r="HR37" i="7"/>
  <c r="HR29" i="7"/>
  <c r="HR56" i="7"/>
  <c r="HR48" i="7"/>
  <c r="HR40" i="7"/>
  <c r="HR32" i="7"/>
  <c r="HR63" i="7"/>
  <c r="HR94" i="7"/>
  <c r="HR72" i="7"/>
  <c r="HR62" i="7"/>
  <c r="HR71" i="7"/>
  <c r="HR55" i="7"/>
  <c r="HR47" i="7"/>
  <c r="HR39" i="7"/>
  <c r="HR57" i="7"/>
  <c r="HR42" i="7"/>
  <c r="HR38" i="7"/>
  <c r="HR49" i="7"/>
  <c r="HR34" i="7"/>
  <c r="HR33" i="7"/>
  <c r="HR60" i="7"/>
  <c r="HR43" i="7"/>
  <c r="HR36" i="7"/>
  <c r="HR44" i="7"/>
  <c r="HR20" i="7"/>
  <c r="HR12" i="7"/>
  <c r="HR4" i="7"/>
  <c r="HR59" i="7"/>
  <c r="HR58" i="7"/>
  <c r="HR46" i="7"/>
  <c r="HR35" i="7"/>
  <c r="HR15" i="7"/>
  <c r="HR7" i="7"/>
  <c r="HR70" i="7"/>
  <c r="HR51" i="7"/>
  <c r="HR50" i="7"/>
  <c r="HR52" i="7"/>
  <c r="HR41" i="7"/>
  <c r="HR54" i="7"/>
  <c r="HR28" i="7"/>
  <c r="HR23" i="7"/>
  <c r="HR22" i="7"/>
  <c r="HR14" i="7"/>
  <c r="HR6" i="7"/>
  <c r="HR25" i="7"/>
  <c r="HR9" i="7"/>
  <c r="HR5" i="7"/>
  <c r="HR24" i="7"/>
  <c r="HR16" i="7"/>
  <c r="HR26" i="7"/>
  <c r="HR8" i="7"/>
  <c r="HR30" i="7"/>
  <c r="HR19" i="7"/>
  <c r="HR27" i="7"/>
  <c r="HR18" i="7"/>
  <c r="HR11" i="7"/>
  <c r="HR10" i="7"/>
  <c r="HR21" i="7"/>
  <c r="HR2" i="7"/>
  <c r="IP52" i="9"/>
  <c r="IP1" i="9"/>
  <c r="IP52" i="8"/>
  <c r="IP141" i="7"/>
  <c r="IP144" i="7"/>
  <c r="IP136" i="7"/>
  <c r="IP143" i="7"/>
  <c r="IP135" i="7"/>
  <c r="IP127" i="7"/>
  <c r="IP119" i="7"/>
  <c r="IP1" i="8"/>
  <c r="IP137" i="7"/>
  <c r="IP130" i="7"/>
  <c r="IP122" i="7"/>
  <c r="IP129" i="7"/>
  <c r="IP140" i="7"/>
  <c r="IP109" i="7"/>
  <c r="IP101" i="7"/>
  <c r="IP142" i="7"/>
  <c r="IP138" i="7"/>
  <c r="IP131" i="7"/>
  <c r="IP124" i="7"/>
  <c r="IP118" i="7"/>
  <c r="IP112" i="7"/>
  <c r="IP104" i="7"/>
  <c r="IP148" i="7"/>
  <c r="IP134" i="7"/>
  <c r="IP133" i="7"/>
  <c r="IP123" i="7"/>
  <c r="IP111" i="7"/>
  <c r="IP103" i="7"/>
  <c r="IP125" i="7"/>
  <c r="IP107" i="7"/>
  <c r="IP97" i="7"/>
  <c r="IP89" i="7"/>
  <c r="IP132" i="7"/>
  <c r="IP92" i="7"/>
  <c r="IP139" i="7"/>
  <c r="IP126" i="7"/>
  <c r="IP120" i="7"/>
  <c r="IP128" i="7"/>
  <c r="IP117" i="7"/>
  <c r="IP116" i="7"/>
  <c r="IP91" i="7"/>
  <c r="IP114" i="7"/>
  <c r="IP113" i="7"/>
  <c r="IP102" i="7"/>
  <c r="IP95" i="7"/>
  <c r="IP85" i="7"/>
  <c r="IP81" i="7"/>
  <c r="IP73" i="7"/>
  <c r="IP65" i="7"/>
  <c r="IP115" i="7"/>
  <c r="IP84" i="7"/>
  <c r="IP76" i="7"/>
  <c r="IP68" i="7"/>
  <c r="IP106" i="7"/>
  <c r="IP105" i="7"/>
  <c r="IP121" i="7"/>
  <c r="IP99" i="7"/>
  <c r="IP83" i="7"/>
  <c r="IP75" i="7"/>
  <c r="IP67" i="7"/>
  <c r="IP98" i="7"/>
  <c r="IP96" i="7"/>
  <c r="IP71" i="7"/>
  <c r="IP64" i="7"/>
  <c r="IP100" i="7"/>
  <c r="IP88" i="7"/>
  <c r="IP82" i="7"/>
  <c r="IP86" i="7"/>
  <c r="IP77" i="7"/>
  <c r="IP79" i="7"/>
  <c r="IP80" i="7"/>
  <c r="IP108" i="7"/>
  <c r="IP94" i="7"/>
  <c r="IP69" i="7"/>
  <c r="IP63" i="7"/>
  <c r="IP61" i="7"/>
  <c r="IP53" i="7"/>
  <c r="IP45" i="7"/>
  <c r="IP37" i="7"/>
  <c r="IP29" i="7"/>
  <c r="IP56" i="7"/>
  <c r="IP48" i="7"/>
  <c r="IP40" i="7"/>
  <c r="IP32" i="7"/>
  <c r="IP110" i="7"/>
  <c r="IP93" i="7"/>
  <c r="IP74" i="7"/>
  <c r="IP72" i="7"/>
  <c r="IP90" i="7"/>
  <c r="IP87" i="7"/>
  <c r="IP78" i="7"/>
  <c r="IP66" i="7"/>
  <c r="IP55" i="7"/>
  <c r="IP47" i="7"/>
  <c r="IP39" i="7"/>
  <c r="IP62" i="7"/>
  <c r="IP50" i="7"/>
  <c r="IP46" i="7"/>
  <c r="IP57" i="7"/>
  <c r="IP42" i="7"/>
  <c r="IP38" i="7"/>
  <c r="IP51" i="7"/>
  <c r="IP44" i="7"/>
  <c r="IP59" i="7"/>
  <c r="IP58" i="7"/>
  <c r="IP35" i="7"/>
  <c r="IP30" i="7"/>
  <c r="IP26" i="7"/>
  <c r="IP20" i="7"/>
  <c r="IP12" i="7"/>
  <c r="IP4" i="7"/>
  <c r="IP49" i="7"/>
  <c r="IP36" i="7"/>
  <c r="IP33" i="7"/>
  <c r="IP27" i="7"/>
  <c r="IP23" i="7"/>
  <c r="IP15" i="7"/>
  <c r="IP7" i="7"/>
  <c r="IP70" i="7"/>
  <c r="IP60" i="7"/>
  <c r="IP52" i="7"/>
  <c r="IP41" i="7"/>
  <c r="IP54" i="7"/>
  <c r="IP43" i="7"/>
  <c r="IP22" i="7"/>
  <c r="IP14" i="7"/>
  <c r="IP6" i="7"/>
  <c r="IP17" i="7"/>
  <c r="IP13" i="7"/>
  <c r="IP9" i="7"/>
  <c r="IP5" i="7"/>
  <c r="IP34" i="7"/>
  <c r="IP16" i="7"/>
  <c r="IP31" i="7"/>
  <c r="IP8" i="7"/>
  <c r="IP28" i="7"/>
  <c r="IP24" i="7"/>
  <c r="IP19" i="7"/>
  <c r="IP25" i="7"/>
  <c r="IP18" i="7"/>
  <c r="IP11" i="7"/>
  <c r="IP10" i="7"/>
  <c r="IP3" i="7"/>
  <c r="JF52" i="9"/>
  <c r="JF1" i="9"/>
  <c r="JF52" i="8"/>
  <c r="JF141" i="7"/>
  <c r="JF144" i="7"/>
  <c r="JF136" i="7"/>
  <c r="JF143" i="7"/>
  <c r="JF148" i="7"/>
  <c r="JF138" i="7"/>
  <c r="JF127" i="7"/>
  <c r="JF119" i="7"/>
  <c r="JF130" i="7"/>
  <c r="JF122" i="7"/>
  <c r="JF129" i="7"/>
  <c r="JF139" i="7"/>
  <c r="JF109" i="7"/>
  <c r="JF101" i="7"/>
  <c r="JF140" i="7"/>
  <c r="JF134" i="7"/>
  <c r="JF126" i="7"/>
  <c r="JF112" i="7"/>
  <c r="JF104" i="7"/>
  <c r="JF133" i="7"/>
  <c r="JF142" i="7"/>
  <c r="JF1" i="8"/>
  <c r="JF135" i="7"/>
  <c r="JF125" i="7"/>
  <c r="JF121" i="7"/>
  <c r="JF111" i="7"/>
  <c r="JF103" i="7"/>
  <c r="JF137" i="7"/>
  <c r="JF128" i="7"/>
  <c r="JF124" i="7"/>
  <c r="JF114" i="7"/>
  <c r="JF110" i="7"/>
  <c r="JF97" i="7"/>
  <c r="JF89" i="7"/>
  <c r="JF106" i="7"/>
  <c r="JF102" i="7"/>
  <c r="JF99" i="7"/>
  <c r="JF92" i="7"/>
  <c r="JF131" i="7"/>
  <c r="JF118" i="7"/>
  <c r="JF132" i="7"/>
  <c r="JF123" i="7"/>
  <c r="JF116" i="7"/>
  <c r="JF120" i="7"/>
  <c r="JF117" i="7"/>
  <c r="JF107" i="7"/>
  <c r="JF91" i="7"/>
  <c r="JF98" i="7"/>
  <c r="JF87" i="7"/>
  <c r="JF81" i="7"/>
  <c r="JF73" i="7"/>
  <c r="JF65" i="7"/>
  <c r="JF113" i="7"/>
  <c r="JF94" i="7"/>
  <c r="JF90" i="7"/>
  <c r="JF84" i="7"/>
  <c r="JF76" i="7"/>
  <c r="JF68" i="7"/>
  <c r="JF115" i="7"/>
  <c r="JF105" i="7"/>
  <c r="JF95" i="7"/>
  <c r="JF83" i="7"/>
  <c r="JF75" i="7"/>
  <c r="JF67" i="7"/>
  <c r="JF78" i="7"/>
  <c r="JF74" i="7"/>
  <c r="JF88" i="7"/>
  <c r="JF70" i="7"/>
  <c r="JF66" i="7"/>
  <c r="JF108" i="7"/>
  <c r="JF100" i="7"/>
  <c r="JF80" i="7"/>
  <c r="JF77" i="7"/>
  <c r="JF79" i="7"/>
  <c r="JF86" i="7"/>
  <c r="JF71" i="7"/>
  <c r="JF61" i="7"/>
  <c r="JF53" i="7"/>
  <c r="JF45" i="7"/>
  <c r="JF37" i="7"/>
  <c r="JF29" i="7"/>
  <c r="JF56" i="7"/>
  <c r="JF48" i="7"/>
  <c r="JF40" i="7"/>
  <c r="JF32" i="7"/>
  <c r="JF93" i="7"/>
  <c r="JF64" i="7"/>
  <c r="JF82" i="7"/>
  <c r="JF69" i="7"/>
  <c r="JF85" i="7"/>
  <c r="JF63" i="7"/>
  <c r="JF55" i="7"/>
  <c r="JF47" i="7"/>
  <c r="JF39" i="7"/>
  <c r="JF49" i="7"/>
  <c r="JF34" i="7"/>
  <c r="JF60" i="7"/>
  <c r="JF41" i="7"/>
  <c r="JF62" i="7"/>
  <c r="JF58" i="7"/>
  <c r="JF54" i="7"/>
  <c r="JF35" i="7"/>
  <c r="JF44" i="7"/>
  <c r="JF28" i="7"/>
  <c r="JF20" i="7"/>
  <c r="JF12" i="7"/>
  <c r="JF4" i="7"/>
  <c r="JF72" i="7"/>
  <c r="JF59" i="7"/>
  <c r="JF57" i="7"/>
  <c r="JF46" i="7"/>
  <c r="JF25" i="7"/>
  <c r="JF24" i="7"/>
  <c r="JF15" i="7"/>
  <c r="JF7" i="7"/>
  <c r="JF36" i="7"/>
  <c r="JF51" i="7"/>
  <c r="JF50" i="7"/>
  <c r="JF38" i="7"/>
  <c r="JF52" i="7"/>
  <c r="JF22" i="7"/>
  <c r="JF14" i="7"/>
  <c r="JF6" i="7"/>
  <c r="JF96" i="7"/>
  <c r="JF26" i="7"/>
  <c r="JF16" i="7"/>
  <c r="JF30" i="7"/>
  <c r="JF8" i="7"/>
  <c r="JF42" i="7"/>
  <c r="JF27" i="7"/>
  <c r="JF19" i="7"/>
  <c r="JF18" i="7"/>
  <c r="JF11" i="7"/>
  <c r="JF43" i="7"/>
  <c r="JF31" i="7"/>
  <c r="JF10" i="7"/>
  <c r="JF33" i="7"/>
  <c r="JF21" i="7"/>
  <c r="JF17" i="7"/>
  <c r="JF13" i="7"/>
  <c r="S52" i="9"/>
  <c r="S1" i="9"/>
  <c r="S1" i="8"/>
  <c r="S144" i="7"/>
  <c r="S136" i="7"/>
  <c r="S139" i="7"/>
  <c r="S52" i="8"/>
  <c r="S130" i="7"/>
  <c r="S122" i="7"/>
  <c r="S138" i="7"/>
  <c r="S133" i="7"/>
  <c r="S125" i="7"/>
  <c r="S143" i="7"/>
  <c r="S137" i="7"/>
  <c r="S132" i="7"/>
  <c r="S112" i="7"/>
  <c r="S104" i="7"/>
  <c r="S135" i="7"/>
  <c r="S131" i="7"/>
  <c r="S115" i="7"/>
  <c r="S107" i="7"/>
  <c r="S141" i="7"/>
  <c r="S140" i="7"/>
  <c r="S142" i="7"/>
  <c r="S134" i="7"/>
  <c r="S148" i="7"/>
  <c r="S129" i="7"/>
  <c r="S128" i="7"/>
  <c r="S124" i="7"/>
  <c r="S114" i="7"/>
  <c r="S106" i="7"/>
  <c r="S123" i="7"/>
  <c r="S102" i="7"/>
  <c r="S92" i="7"/>
  <c r="S120" i="7"/>
  <c r="S118" i="7"/>
  <c r="S111" i="7"/>
  <c r="S95" i="7"/>
  <c r="S87" i="7"/>
  <c r="S127" i="7"/>
  <c r="S121" i="7"/>
  <c r="S117" i="7"/>
  <c r="S119" i="7"/>
  <c r="S116" i="7"/>
  <c r="S94" i="7"/>
  <c r="S109" i="7"/>
  <c r="S86" i="7"/>
  <c r="S84" i="7"/>
  <c r="S76" i="7"/>
  <c r="S68" i="7"/>
  <c r="S99" i="7"/>
  <c r="S79" i="7"/>
  <c r="S71" i="7"/>
  <c r="S113" i="7"/>
  <c r="S126" i="7"/>
  <c r="S101" i="7"/>
  <c r="S78" i="7"/>
  <c r="S70" i="7"/>
  <c r="S93" i="7"/>
  <c r="S89" i="7"/>
  <c r="S83" i="7"/>
  <c r="S82" i="7"/>
  <c r="S75" i="7"/>
  <c r="S110" i="7"/>
  <c r="S108" i="7"/>
  <c r="S100" i="7"/>
  <c r="S81" i="7"/>
  <c r="S77" i="7"/>
  <c r="S66" i="7"/>
  <c r="S103" i="7"/>
  <c r="S96" i="7"/>
  <c r="S105" i="7"/>
  <c r="S90" i="7"/>
  <c r="S67" i="7"/>
  <c r="S64" i="7"/>
  <c r="S56" i="7"/>
  <c r="S48" i="7"/>
  <c r="S40" i="7"/>
  <c r="S32" i="7"/>
  <c r="S24" i="7"/>
  <c r="S97" i="7"/>
  <c r="S59" i="7"/>
  <c r="S51" i="7"/>
  <c r="S43" i="7"/>
  <c r="S35" i="7"/>
  <c r="S27" i="7"/>
  <c r="S80" i="7"/>
  <c r="S88" i="7"/>
  <c r="S74" i="7"/>
  <c r="S73" i="7"/>
  <c r="S72" i="7"/>
  <c r="S65" i="7"/>
  <c r="S91" i="7"/>
  <c r="S58" i="7"/>
  <c r="S50" i="7"/>
  <c r="S42" i="7"/>
  <c r="S46" i="7"/>
  <c r="S39" i="7"/>
  <c r="S61" i="7"/>
  <c r="S57" i="7"/>
  <c r="S38" i="7"/>
  <c r="S98" i="7"/>
  <c r="S44" i="7"/>
  <c r="S62" i="7"/>
  <c r="S55" i="7"/>
  <c r="S31" i="7"/>
  <c r="S25" i="7"/>
  <c r="S23" i="7"/>
  <c r="S15" i="7"/>
  <c r="S7" i="7"/>
  <c r="S85" i="7"/>
  <c r="S45" i="7"/>
  <c r="S28" i="7"/>
  <c r="S18" i="7"/>
  <c r="S10" i="7"/>
  <c r="S2" i="7"/>
  <c r="S69" i="7"/>
  <c r="S63" i="7"/>
  <c r="S60" i="7"/>
  <c r="S49" i="7"/>
  <c r="S47" i="7"/>
  <c r="S37" i="7"/>
  <c r="S53" i="7"/>
  <c r="S52" i="7"/>
  <c r="S41" i="7"/>
  <c r="S17" i="7"/>
  <c r="S9" i="7"/>
  <c r="S34" i="7"/>
  <c r="S13" i="7"/>
  <c r="S6" i="7"/>
  <c r="S5" i="7"/>
  <c r="S20" i="7"/>
  <c r="S16" i="7"/>
  <c r="S29" i="7"/>
  <c r="S12" i="7"/>
  <c r="S8" i="7"/>
  <c r="S33" i="7"/>
  <c r="S26" i="7"/>
  <c r="S19" i="7"/>
  <c r="S30" i="7"/>
  <c r="S11" i="7"/>
  <c r="S22" i="7"/>
  <c r="S3" i="7"/>
  <c r="AI52" i="9"/>
  <c r="AI1" i="9"/>
  <c r="AI52" i="8"/>
  <c r="AI144" i="7"/>
  <c r="AI136" i="7"/>
  <c r="AI139" i="7"/>
  <c r="AI148" i="7"/>
  <c r="AI141" i="7"/>
  <c r="AI130" i="7"/>
  <c r="AI122" i="7"/>
  <c r="AI133" i="7"/>
  <c r="AI125" i="7"/>
  <c r="AI1" i="8"/>
  <c r="AI132" i="7"/>
  <c r="AI120" i="7"/>
  <c r="AI112" i="7"/>
  <c r="AI104" i="7"/>
  <c r="AI134" i="7"/>
  <c r="AI127" i="7"/>
  <c r="AI115" i="7"/>
  <c r="AI107" i="7"/>
  <c r="AI137" i="7"/>
  <c r="AI140" i="7"/>
  <c r="AI142" i="7"/>
  <c r="AI143" i="7"/>
  <c r="AI138" i="7"/>
  <c r="AI126" i="7"/>
  <c r="AI114" i="7"/>
  <c r="AI106" i="7"/>
  <c r="AI110" i="7"/>
  <c r="AI103" i="7"/>
  <c r="AI100" i="7"/>
  <c r="AI92" i="7"/>
  <c r="AI135" i="7"/>
  <c r="AI123" i="7"/>
  <c r="AI118" i="7"/>
  <c r="AI95" i="7"/>
  <c r="AI87" i="7"/>
  <c r="AI117" i="7"/>
  <c r="AI129" i="7"/>
  <c r="AI124" i="7"/>
  <c r="AI131" i="7"/>
  <c r="AI128" i="7"/>
  <c r="AI121" i="7"/>
  <c r="AI116" i="7"/>
  <c r="AI119" i="7"/>
  <c r="AI94" i="7"/>
  <c r="AI102" i="7"/>
  <c r="AI98" i="7"/>
  <c r="AI91" i="7"/>
  <c r="AI88" i="7"/>
  <c r="AI84" i="7"/>
  <c r="AI76" i="7"/>
  <c r="AI68" i="7"/>
  <c r="AI109" i="7"/>
  <c r="AI108" i="7"/>
  <c r="AI90" i="7"/>
  <c r="AI79" i="7"/>
  <c r="AI71" i="7"/>
  <c r="AI113" i="7"/>
  <c r="AI111" i="7"/>
  <c r="AI105" i="7"/>
  <c r="AI101" i="7"/>
  <c r="AI78" i="7"/>
  <c r="AI70" i="7"/>
  <c r="AI89" i="7"/>
  <c r="AI74" i="7"/>
  <c r="AI67" i="7"/>
  <c r="AI93" i="7"/>
  <c r="AI86" i="7"/>
  <c r="AI85" i="7"/>
  <c r="AI66" i="7"/>
  <c r="AI97" i="7"/>
  <c r="AI96" i="7"/>
  <c r="AI80" i="7"/>
  <c r="AI73" i="7"/>
  <c r="AI77" i="7"/>
  <c r="AI75" i="7"/>
  <c r="AI56" i="7"/>
  <c r="AI48" i="7"/>
  <c r="AI40" i="7"/>
  <c r="AI32" i="7"/>
  <c r="AI24" i="7"/>
  <c r="AI81" i="7"/>
  <c r="AI59" i="7"/>
  <c r="AI51" i="7"/>
  <c r="AI43" i="7"/>
  <c r="AI35" i="7"/>
  <c r="AI27" i="7"/>
  <c r="AI69" i="7"/>
  <c r="AI99" i="7"/>
  <c r="AI82" i="7"/>
  <c r="AI65" i="7"/>
  <c r="AI64" i="7"/>
  <c r="AI72" i="7"/>
  <c r="AI58" i="7"/>
  <c r="AI50" i="7"/>
  <c r="AI42" i="7"/>
  <c r="AI53" i="7"/>
  <c r="AI49" i="7"/>
  <c r="AI63" i="7"/>
  <c r="AI60" i="7"/>
  <c r="AI45" i="7"/>
  <c r="AI41" i="7"/>
  <c r="AI83" i="7"/>
  <c r="AI54" i="7"/>
  <c r="AI47" i="7"/>
  <c r="AI33" i="7"/>
  <c r="AI29" i="7"/>
  <c r="AI23" i="7"/>
  <c r="AI15" i="7"/>
  <c r="AI7" i="7"/>
  <c r="AI34" i="7"/>
  <c r="AI30" i="7"/>
  <c r="AI26" i="7"/>
  <c r="AI18" i="7"/>
  <c r="AI10" i="7"/>
  <c r="AI2" i="7"/>
  <c r="AI55" i="7"/>
  <c r="AI44" i="7"/>
  <c r="AI62" i="7"/>
  <c r="AI57" i="7"/>
  <c r="AI46" i="7"/>
  <c r="AI61" i="7"/>
  <c r="AI37" i="7"/>
  <c r="AI38" i="7"/>
  <c r="AI17" i="7"/>
  <c r="AI9" i="7"/>
  <c r="AI31" i="7"/>
  <c r="AI20" i="7"/>
  <c r="AI16" i="7"/>
  <c r="AI28" i="7"/>
  <c r="AI12" i="7"/>
  <c r="AI8" i="7"/>
  <c r="AI52" i="7"/>
  <c r="AI19" i="7"/>
  <c r="AI4" i="7"/>
  <c r="AI11" i="7"/>
  <c r="AI36" i="7"/>
  <c r="AI22" i="7"/>
  <c r="AI25" i="7"/>
  <c r="AI21" i="7"/>
  <c r="AI14" i="7"/>
  <c r="AI13" i="7"/>
  <c r="AI6" i="7"/>
  <c r="BG52" i="9"/>
  <c r="BG1" i="9"/>
  <c r="BG52" i="8"/>
  <c r="BG144" i="7"/>
  <c r="BG136" i="7"/>
  <c r="BG139" i="7"/>
  <c r="BG137" i="7"/>
  <c r="BG130" i="7"/>
  <c r="BG122" i="7"/>
  <c r="BG148" i="7"/>
  <c r="BG141" i="7"/>
  <c r="BG133" i="7"/>
  <c r="BG125" i="7"/>
  <c r="BG142" i="7"/>
  <c r="BG132" i="7"/>
  <c r="BG1" i="8"/>
  <c r="BG135" i="7"/>
  <c r="BG131" i="7"/>
  <c r="BG128" i="7"/>
  <c r="BG124" i="7"/>
  <c r="BG118" i="7"/>
  <c r="BG112" i="7"/>
  <c r="BG104" i="7"/>
  <c r="BG121" i="7"/>
  <c r="BG115" i="7"/>
  <c r="BG107" i="7"/>
  <c r="BG140" i="7"/>
  <c r="BG138" i="7"/>
  <c r="BG134" i="7"/>
  <c r="BG143" i="7"/>
  <c r="BG120" i="7"/>
  <c r="BG114" i="7"/>
  <c r="BG106" i="7"/>
  <c r="BG127" i="7"/>
  <c r="BG119" i="7"/>
  <c r="BG111" i="7"/>
  <c r="BG92" i="7"/>
  <c r="BG110" i="7"/>
  <c r="BG103" i="7"/>
  <c r="BG101" i="7"/>
  <c r="BG95" i="7"/>
  <c r="BG87" i="7"/>
  <c r="BG129" i="7"/>
  <c r="BG117" i="7"/>
  <c r="BG126" i="7"/>
  <c r="BG123" i="7"/>
  <c r="BG108" i="7"/>
  <c r="BG100" i="7"/>
  <c r="BG94" i="7"/>
  <c r="BG109" i="7"/>
  <c r="BG99" i="7"/>
  <c r="BG84" i="7"/>
  <c r="BG76" i="7"/>
  <c r="BG68" i="7"/>
  <c r="BG116" i="7"/>
  <c r="BG98" i="7"/>
  <c r="BG91" i="7"/>
  <c r="BG89" i="7"/>
  <c r="BG79" i="7"/>
  <c r="BG71" i="7"/>
  <c r="BG113" i="7"/>
  <c r="BG96" i="7"/>
  <c r="BG88" i="7"/>
  <c r="BG78" i="7"/>
  <c r="BG70" i="7"/>
  <c r="BG93" i="7"/>
  <c r="BG82" i="7"/>
  <c r="BG75" i="7"/>
  <c r="BG102" i="7"/>
  <c r="BG74" i="7"/>
  <c r="BG67" i="7"/>
  <c r="BG105" i="7"/>
  <c r="BG73" i="7"/>
  <c r="BG69" i="7"/>
  <c r="BG90" i="7"/>
  <c r="BG77" i="7"/>
  <c r="BG97" i="7"/>
  <c r="BG80" i="7"/>
  <c r="BG56" i="7"/>
  <c r="BG48" i="7"/>
  <c r="BG40" i="7"/>
  <c r="BG32" i="7"/>
  <c r="BG24" i="7"/>
  <c r="BG83" i="7"/>
  <c r="BG59" i="7"/>
  <c r="BG51" i="7"/>
  <c r="BG43" i="7"/>
  <c r="BG35" i="7"/>
  <c r="BG27" i="7"/>
  <c r="BG64" i="7"/>
  <c r="BG63" i="7"/>
  <c r="BG81" i="7"/>
  <c r="BG66" i="7"/>
  <c r="BG86" i="7"/>
  <c r="BG85" i="7"/>
  <c r="BG72" i="7"/>
  <c r="BG58" i="7"/>
  <c r="BG50" i="7"/>
  <c r="BG42" i="7"/>
  <c r="BG34" i="7"/>
  <c r="BG61" i="7"/>
  <c r="BG57" i="7"/>
  <c r="BG38" i="7"/>
  <c r="BG53" i="7"/>
  <c r="BG49" i="7"/>
  <c r="BG62" i="7"/>
  <c r="BG55" i="7"/>
  <c r="BG36" i="7"/>
  <c r="BG23" i="7"/>
  <c r="BG15" i="7"/>
  <c r="BG7" i="7"/>
  <c r="BG45" i="7"/>
  <c r="BG44" i="7"/>
  <c r="BG18" i="7"/>
  <c r="BG10" i="7"/>
  <c r="BG2" i="7"/>
  <c r="BG46" i="7"/>
  <c r="BG60" i="7"/>
  <c r="BG47" i="7"/>
  <c r="BG37" i="7"/>
  <c r="BG52" i="7"/>
  <c r="BG41" i="7"/>
  <c r="BG39" i="7"/>
  <c r="BG33" i="7"/>
  <c r="BG29" i="7"/>
  <c r="BG17" i="7"/>
  <c r="BG9" i="7"/>
  <c r="BG65" i="7"/>
  <c r="BG5" i="7"/>
  <c r="BG26" i="7"/>
  <c r="BG25" i="7"/>
  <c r="BG20" i="7"/>
  <c r="BG16" i="7"/>
  <c r="BG30" i="7"/>
  <c r="BG12" i="7"/>
  <c r="BG8" i="7"/>
  <c r="BG19" i="7"/>
  <c r="BG31" i="7"/>
  <c r="BG11" i="7"/>
  <c r="BG54" i="7"/>
  <c r="BG28" i="7"/>
  <c r="BG22" i="7"/>
  <c r="BG21" i="7"/>
  <c r="BG14" i="7"/>
  <c r="BW52" i="9"/>
  <c r="BW1" i="9"/>
  <c r="BW52" i="8"/>
  <c r="BW144" i="7"/>
  <c r="BW136" i="7"/>
  <c r="BW139" i="7"/>
  <c r="BW1" i="8"/>
  <c r="BW130" i="7"/>
  <c r="BW122" i="7"/>
  <c r="BW140" i="7"/>
  <c r="BW133" i="7"/>
  <c r="BW125" i="7"/>
  <c r="BW132" i="7"/>
  <c r="BW148" i="7"/>
  <c r="BW137" i="7"/>
  <c r="BW134" i="7"/>
  <c r="BW126" i="7"/>
  <c r="BW112" i="7"/>
  <c r="BW104" i="7"/>
  <c r="BW123" i="7"/>
  <c r="BW119" i="7"/>
  <c r="BW115" i="7"/>
  <c r="BW107" i="7"/>
  <c r="BW138" i="7"/>
  <c r="BW142" i="7"/>
  <c r="BW141" i="7"/>
  <c r="BW143" i="7"/>
  <c r="BW135" i="7"/>
  <c r="BW131" i="7"/>
  <c r="BW114" i="7"/>
  <c r="BW106" i="7"/>
  <c r="BW127" i="7"/>
  <c r="BW92" i="7"/>
  <c r="BW124" i="7"/>
  <c r="BW117" i="7"/>
  <c r="BW113" i="7"/>
  <c r="BW95" i="7"/>
  <c r="BW87" i="7"/>
  <c r="BW128" i="7"/>
  <c r="BW121" i="7"/>
  <c r="BW118" i="7"/>
  <c r="BW129" i="7"/>
  <c r="BW116" i="7"/>
  <c r="BW120" i="7"/>
  <c r="BW111" i="7"/>
  <c r="BW102" i="7"/>
  <c r="BW94" i="7"/>
  <c r="BW100" i="7"/>
  <c r="BW90" i="7"/>
  <c r="BW84" i="7"/>
  <c r="BW76" i="7"/>
  <c r="BW68" i="7"/>
  <c r="BW109" i="7"/>
  <c r="BW108" i="7"/>
  <c r="BW79" i="7"/>
  <c r="BW71" i="7"/>
  <c r="BW110" i="7"/>
  <c r="BW105" i="7"/>
  <c r="BW103" i="7"/>
  <c r="BW99" i="7"/>
  <c r="BW86" i="7"/>
  <c r="BW85" i="7"/>
  <c r="BW78" i="7"/>
  <c r="BW70" i="7"/>
  <c r="BW66" i="7"/>
  <c r="BW101" i="7"/>
  <c r="BW93" i="7"/>
  <c r="BW91" i="7"/>
  <c r="BW81" i="7"/>
  <c r="BW77" i="7"/>
  <c r="BW97" i="7"/>
  <c r="BW96" i="7"/>
  <c r="BW72" i="7"/>
  <c r="BW89" i="7"/>
  <c r="BW73" i="7"/>
  <c r="BW98" i="7"/>
  <c r="BW74" i="7"/>
  <c r="BW88" i="7"/>
  <c r="BW75" i="7"/>
  <c r="BW56" i="7"/>
  <c r="BW48" i="7"/>
  <c r="BW40" i="7"/>
  <c r="BW32" i="7"/>
  <c r="BW24" i="7"/>
  <c r="BW59" i="7"/>
  <c r="BW51" i="7"/>
  <c r="BW43" i="7"/>
  <c r="BW35" i="7"/>
  <c r="BW27" i="7"/>
  <c r="BW82" i="7"/>
  <c r="BW67" i="7"/>
  <c r="BW69" i="7"/>
  <c r="BW63" i="7"/>
  <c r="BW83" i="7"/>
  <c r="BW80" i="7"/>
  <c r="BW65" i="7"/>
  <c r="BW64" i="7"/>
  <c r="BW58" i="7"/>
  <c r="BW50" i="7"/>
  <c r="BW42" i="7"/>
  <c r="BW34" i="7"/>
  <c r="BW60" i="7"/>
  <c r="BW45" i="7"/>
  <c r="BW41" i="7"/>
  <c r="BW52" i="7"/>
  <c r="BW37" i="7"/>
  <c r="BW46" i="7"/>
  <c r="BW39" i="7"/>
  <c r="BW61" i="7"/>
  <c r="BW23" i="7"/>
  <c r="BW15" i="7"/>
  <c r="BW7" i="7"/>
  <c r="BW54" i="7"/>
  <c r="BW53" i="7"/>
  <c r="BW18" i="7"/>
  <c r="BW10" i="7"/>
  <c r="BW2" i="7"/>
  <c r="BW55" i="7"/>
  <c r="BW44" i="7"/>
  <c r="BW57" i="7"/>
  <c r="BW47" i="7"/>
  <c r="BW62" i="7"/>
  <c r="BW49" i="7"/>
  <c r="BW38" i="7"/>
  <c r="BW31" i="7"/>
  <c r="BW17" i="7"/>
  <c r="BW9" i="7"/>
  <c r="BW29" i="7"/>
  <c r="BW25" i="7"/>
  <c r="BW12" i="7"/>
  <c r="BW8" i="7"/>
  <c r="BW33" i="7"/>
  <c r="BW26" i="7"/>
  <c r="BW19" i="7"/>
  <c r="BW4" i="7"/>
  <c r="BW36" i="7"/>
  <c r="BW30" i="7"/>
  <c r="BW11" i="7"/>
  <c r="BW22" i="7"/>
  <c r="BW21" i="7"/>
  <c r="BW14" i="7"/>
  <c r="BW13" i="7"/>
  <c r="BW28" i="7"/>
  <c r="BW5" i="7"/>
  <c r="CM52" i="9"/>
  <c r="CM1" i="9"/>
  <c r="CM52" i="8"/>
  <c r="CM144" i="7"/>
  <c r="CM136" i="7"/>
  <c r="CM139" i="7"/>
  <c r="CM137" i="7"/>
  <c r="CM130" i="7"/>
  <c r="CM122" i="7"/>
  <c r="CM143" i="7"/>
  <c r="CM133" i="7"/>
  <c r="CM125" i="7"/>
  <c r="CM132" i="7"/>
  <c r="CM124" i="7"/>
  <c r="CM112" i="7"/>
  <c r="CM104" i="7"/>
  <c r="CM129" i="7"/>
  <c r="CM121" i="7"/>
  <c r="CM115" i="7"/>
  <c r="CM107" i="7"/>
  <c r="CM148" i="7"/>
  <c r="CM138" i="7"/>
  <c r="CM135" i="7"/>
  <c r="CM142" i="7"/>
  <c r="CM140" i="7"/>
  <c r="CM134" i="7"/>
  <c r="CM120" i="7"/>
  <c r="CM114" i="7"/>
  <c r="CM106" i="7"/>
  <c r="CM109" i="7"/>
  <c r="CM105" i="7"/>
  <c r="CM92" i="7"/>
  <c r="CM1" i="8"/>
  <c r="CM127" i="7"/>
  <c r="CM116" i="7"/>
  <c r="CM101" i="7"/>
  <c r="CM95" i="7"/>
  <c r="CM87" i="7"/>
  <c r="CM118" i="7"/>
  <c r="CM128" i="7"/>
  <c r="CM141" i="7"/>
  <c r="CM131" i="7"/>
  <c r="CM126" i="7"/>
  <c r="CM119" i="7"/>
  <c r="CM100" i="7"/>
  <c r="CM94" i="7"/>
  <c r="CM117" i="7"/>
  <c r="CM103" i="7"/>
  <c r="CM97" i="7"/>
  <c r="CM93" i="7"/>
  <c r="CM85" i="7"/>
  <c r="CM84" i="7"/>
  <c r="CM76" i="7"/>
  <c r="CM68" i="7"/>
  <c r="CM89" i="7"/>
  <c r="CM79" i="7"/>
  <c r="CM71" i="7"/>
  <c r="CM108" i="7"/>
  <c r="CM123" i="7"/>
  <c r="CM110" i="7"/>
  <c r="CM113" i="7"/>
  <c r="CM90" i="7"/>
  <c r="CM88" i="7"/>
  <c r="CM78" i="7"/>
  <c r="CM70" i="7"/>
  <c r="CM102" i="7"/>
  <c r="CM99" i="7"/>
  <c r="CM73" i="7"/>
  <c r="CM69" i="7"/>
  <c r="CM111" i="7"/>
  <c r="CM80" i="7"/>
  <c r="CM65" i="7"/>
  <c r="CM82" i="7"/>
  <c r="CM75" i="7"/>
  <c r="CM96" i="7"/>
  <c r="CM81" i="7"/>
  <c r="CM83" i="7"/>
  <c r="CM74" i="7"/>
  <c r="CM86" i="7"/>
  <c r="CM66" i="7"/>
  <c r="CM56" i="7"/>
  <c r="CM48" i="7"/>
  <c r="CM40" i="7"/>
  <c r="CM32" i="7"/>
  <c r="CM24" i="7"/>
  <c r="CM98" i="7"/>
  <c r="CM59" i="7"/>
  <c r="CM51" i="7"/>
  <c r="CM43" i="7"/>
  <c r="CM35" i="7"/>
  <c r="CM27" i="7"/>
  <c r="CM77" i="7"/>
  <c r="CM72" i="7"/>
  <c r="CM64" i="7"/>
  <c r="CM91" i="7"/>
  <c r="CM67" i="7"/>
  <c r="CM63" i="7"/>
  <c r="CM58" i="7"/>
  <c r="CM50" i="7"/>
  <c r="CM42" i="7"/>
  <c r="CM34" i="7"/>
  <c r="CM44" i="7"/>
  <c r="CM62" i="7"/>
  <c r="CM55" i="7"/>
  <c r="CM36" i="7"/>
  <c r="CM53" i="7"/>
  <c r="CM49" i="7"/>
  <c r="CM38" i="7"/>
  <c r="CM37" i="7"/>
  <c r="CM23" i="7"/>
  <c r="CM15" i="7"/>
  <c r="CM7" i="7"/>
  <c r="CM39" i="7"/>
  <c r="CM25" i="7"/>
  <c r="CM18" i="7"/>
  <c r="CM10" i="7"/>
  <c r="CM2" i="7"/>
  <c r="CM54" i="7"/>
  <c r="CM52" i="7"/>
  <c r="CM41" i="7"/>
  <c r="CM61" i="7"/>
  <c r="CM57" i="7"/>
  <c r="CM46" i="7"/>
  <c r="CM45" i="7"/>
  <c r="CM47" i="7"/>
  <c r="CM33" i="7"/>
  <c r="CM29" i="7"/>
  <c r="CM17" i="7"/>
  <c r="CM9" i="7"/>
  <c r="CM60" i="7"/>
  <c r="CM11" i="7"/>
  <c r="CM22" i="7"/>
  <c r="CM3" i="7"/>
  <c r="CM26" i="7"/>
  <c r="CM21" i="7"/>
  <c r="CM14" i="7"/>
  <c r="CM30" i="7"/>
  <c r="CM13" i="7"/>
  <c r="CM6" i="7"/>
  <c r="CM5" i="7"/>
  <c r="CM31" i="7"/>
  <c r="CM20" i="7"/>
  <c r="CM16" i="7"/>
  <c r="CM28" i="7"/>
  <c r="CM12" i="7"/>
  <c r="CM8" i="7"/>
  <c r="DK52" i="9"/>
  <c r="DK1" i="9"/>
  <c r="DK52" i="8"/>
  <c r="DK1" i="8"/>
  <c r="DK144" i="7"/>
  <c r="DK136" i="7"/>
  <c r="DK139" i="7"/>
  <c r="DK140" i="7"/>
  <c r="DK130" i="7"/>
  <c r="DK122" i="7"/>
  <c r="DK138" i="7"/>
  <c r="DK133" i="7"/>
  <c r="DK125" i="7"/>
  <c r="DK148" i="7"/>
  <c r="DK141" i="7"/>
  <c r="DK137" i="7"/>
  <c r="DK132" i="7"/>
  <c r="DK117" i="7"/>
  <c r="DK112" i="7"/>
  <c r="DK104" i="7"/>
  <c r="DK115" i="7"/>
  <c r="DK107" i="7"/>
  <c r="DK142" i="7"/>
  <c r="DK143" i="7"/>
  <c r="DK124" i="7"/>
  <c r="DK119" i="7"/>
  <c r="DK114" i="7"/>
  <c r="DK106" i="7"/>
  <c r="DK113" i="7"/>
  <c r="DK102" i="7"/>
  <c r="DK92" i="7"/>
  <c r="DK134" i="7"/>
  <c r="DK109" i="7"/>
  <c r="DK105" i="7"/>
  <c r="DK95" i="7"/>
  <c r="DK87" i="7"/>
  <c r="DK128" i="7"/>
  <c r="DK126" i="7"/>
  <c r="DK116" i="7"/>
  <c r="DK129" i="7"/>
  <c r="DK123" i="7"/>
  <c r="DK135" i="7"/>
  <c r="DK120" i="7"/>
  <c r="DK131" i="7"/>
  <c r="DK127" i="7"/>
  <c r="DK110" i="7"/>
  <c r="DK103" i="7"/>
  <c r="DK94" i="7"/>
  <c r="DK86" i="7"/>
  <c r="DK84" i="7"/>
  <c r="DK76" i="7"/>
  <c r="DK68" i="7"/>
  <c r="DK108" i="7"/>
  <c r="DK101" i="7"/>
  <c r="DK97" i="7"/>
  <c r="DK93" i="7"/>
  <c r="DK79" i="7"/>
  <c r="DK71" i="7"/>
  <c r="DK121" i="7"/>
  <c r="DK111" i="7"/>
  <c r="DK118" i="7"/>
  <c r="DK100" i="7"/>
  <c r="DK98" i="7"/>
  <c r="DK91" i="7"/>
  <c r="DK78" i="7"/>
  <c r="DK70" i="7"/>
  <c r="DK90" i="7"/>
  <c r="DK88" i="7"/>
  <c r="DK81" i="7"/>
  <c r="DK77" i="7"/>
  <c r="DK73" i="7"/>
  <c r="DK69" i="7"/>
  <c r="DK96" i="7"/>
  <c r="DK85" i="7"/>
  <c r="DK83" i="7"/>
  <c r="DK72" i="7"/>
  <c r="DK74" i="7"/>
  <c r="DK75" i="7"/>
  <c r="DK99" i="7"/>
  <c r="DK82" i="7"/>
  <c r="DK64" i="7"/>
  <c r="DK56" i="7"/>
  <c r="DK48" i="7"/>
  <c r="DK40" i="7"/>
  <c r="DK32" i="7"/>
  <c r="DK24" i="7"/>
  <c r="DK63" i="7"/>
  <c r="DK59" i="7"/>
  <c r="DK51" i="7"/>
  <c r="DK43" i="7"/>
  <c r="DK35" i="7"/>
  <c r="DK27" i="7"/>
  <c r="DK67" i="7"/>
  <c r="DK80" i="7"/>
  <c r="DK65" i="7"/>
  <c r="DK66" i="7"/>
  <c r="DK58" i="7"/>
  <c r="DK50" i="7"/>
  <c r="DK42" i="7"/>
  <c r="DK34" i="7"/>
  <c r="DK52" i="7"/>
  <c r="DK37" i="7"/>
  <c r="DK44" i="7"/>
  <c r="DK62" i="7"/>
  <c r="DK61" i="7"/>
  <c r="DK57" i="7"/>
  <c r="DK38" i="7"/>
  <c r="DK39" i="7"/>
  <c r="DK31" i="7"/>
  <c r="DK23" i="7"/>
  <c r="DK15" i="7"/>
  <c r="DK7" i="7"/>
  <c r="DK54" i="7"/>
  <c r="DK53" i="7"/>
  <c r="DK41" i="7"/>
  <c r="DK28" i="7"/>
  <c r="DK18" i="7"/>
  <c r="DK10" i="7"/>
  <c r="DK2" i="7"/>
  <c r="DK55" i="7"/>
  <c r="DK46" i="7"/>
  <c r="DK45" i="7"/>
  <c r="DK47" i="7"/>
  <c r="DK60" i="7"/>
  <c r="DK49" i="7"/>
  <c r="DK17" i="7"/>
  <c r="DK9" i="7"/>
  <c r="DK89" i="7"/>
  <c r="DK36" i="7"/>
  <c r="DK33" i="7"/>
  <c r="DK30" i="7"/>
  <c r="DK19" i="7"/>
  <c r="DK4" i="7"/>
  <c r="DK11" i="7"/>
  <c r="DK25" i="7"/>
  <c r="DK22" i="7"/>
  <c r="DK21" i="7"/>
  <c r="DK14" i="7"/>
  <c r="DK13" i="7"/>
  <c r="DK6" i="7"/>
  <c r="DK29" i="7"/>
  <c r="DK20" i="7"/>
  <c r="DK16" i="7"/>
  <c r="EA52" i="9"/>
  <c r="EA1" i="9"/>
  <c r="EA52" i="8"/>
  <c r="EA144" i="7"/>
  <c r="EA136" i="7"/>
  <c r="EA139" i="7"/>
  <c r="EA143" i="7"/>
  <c r="EA130" i="7"/>
  <c r="EA122" i="7"/>
  <c r="EA1" i="8"/>
  <c r="EA142" i="7"/>
  <c r="EA133" i="7"/>
  <c r="EA125" i="7"/>
  <c r="EA140" i="7"/>
  <c r="EA132" i="7"/>
  <c r="EA129" i="7"/>
  <c r="EA120" i="7"/>
  <c r="EA119" i="7"/>
  <c r="EA112" i="7"/>
  <c r="EA104" i="7"/>
  <c r="EA138" i="7"/>
  <c r="EA128" i="7"/>
  <c r="EA127" i="7"/>
  <c r="EA118" i="7"/>
  <c r="EA115" i="7"/>
  <c r="EA107" i="7"/>
  <c r="EA148" i="7"/>
  <c r="EA135" i="7"/>
  <c r="EA137" i="7"/>
  <c r="EA126" i="7"/>
  <c r="EA114" i="7"/>
  <c r="EA106" i="7"/>
  <c r="EA116" i="7"/>
  <c r="EA100" i="7"/>
  <c r="EA92" i="7"/>
  <c r="EA108" i="7"/>
  <c r="EA95" i="7"/>
  <c r="EA87" i="7"/>
  <c r="EA141" i="7"/>
  <c r="EA123" i="7"/>
  <c r="EA134" i="7"/>
  <c r="EA131" i="7"/>
  <c r="EA124" i="7"/>
  <c r="EA113" i="7"/>
  <c r="EA94" i="7"/>
  <c r="EA103" i="7"/>
  <c r="EA88" i="7"/>
  <c r="EA84" i="7"/>
  <c r="EA76" i="7"/>
  <c r="EA68" i="7"/>
  <c r="EA105" i="7"/>
  <c r="EA101" i="7"/>
  <c r="EA96" i="7"/>
  <c r="EA79" i="7"/>
  <c r="EA71" i="7"/>
  <c r="EA117" i="7"/>
  <c r="EA121" i="7"/>
  <c r="EA110" i="7"/>
  <c r="EA109" i="7"/>
  <c r="EA78" i="7"/>
  <c r="EA70" i="7"/>
  <c r="EA99" i="7"/>
  <c r="EA80" i="7"/>
  <c r="EA65" i="7"/>
  <c r="EA72" i="7"/>
  <c r="EA102" i="7"/>
  <c r="EA93" i="7"/>
  <c r="EA86" i="7"/>
  <c r="EA85" i="7"/>
  <c r="EA74" i="7"/>
  <c r="EA111" i="7"/>
  <c r="EA90" i="7"/>
  <c r="EA82" i="7"/>
  <c r="EA81" i="7"/>
  <c r="EA69" i="7"/>
  <c r="EA83" i="7"/>
  <c r="EA97" i="7"/>
  <c r="EA98" i="7"/>
  <c r="EA77" i="7"/>
  <c r="EA56" i="7"/>
  <c r="EA48" i="7"/>
  <c r="EA40" i="7"/>
  <c r="EA32" i="7"/>
  <c r="EA24" i="7"/>
  <c r="EA59" i="7"/>
  <c r="EA51" i="7"/>
  <c r="EA43" i="7"/>
  <c r="EA35" i="7"/>
  <c r="EA27" i="7"/>
  <c r="EA75" i="7"/>
  <c r="EA67" i="7"/>
  <c r="EA63" i="7"/>
  <c r="EA91" i="7"/>
  <c r="EA64" i="7"/>
  <c r="EA89" i="7"/>
  <c r="EA73" i="7"/>
  <c r="EA58" i="7"/>
  <c r="EA50" i="7"/>
  <c r="EA42" i="7"/>
  <c r="EA34" i="7"/>
  <c r="EA66" i="7"/>
  <c r="EA62" i="7"/>
  <c r="EA55" i="7"/>
  <c r="EA36" i="7"/>
  <c r="EA54" i="7"/>
  <c r="EA47" i="7"/>
  <c r="EA60" i="7"/>
  <c r="EA45" i="7"/>
  <c r="EA41" i="7"/>
  <c r="EA49" i="7"/>
  <c r="EA38" i="7"/>
  <c r="EA37" i="7"/>
  <c r="EA29" i="7"/>
  <c r="EA23" i="7"/>
  <c r="EA15" i="7"/>
  <c r="EA7" i="7"/>
  <c r="EA39" i="7"/>
  <c r="EA30" i="7"/>
  <c r="EA26" i="7"/>
  <c r="EA18" i="7"/>
  <c r="EA10" i="7"/>
  <c r="EA2" i="7"/>
  <c r="EA52" i="7"/>
  <c r="EA53" i="7"/>
  <c r="EA57" i="7"/>
  <c r="EA46" i="7"/>
  <c r="EA44" i="7"/>
  <c r="EA61" i="7"/>
  <c r="EA25" i="7"/>
  <c r="EA17" i="7"/>
  <c r="EA9" i="7"/>
  <c r="EA22" i="7"/>
  <c r="EA3" i="7"/>
  <c r="EA33" i="7"/>
  <c r="EA21" i="7"/>
  <c r="EA14" i="7"/>
  <c r="EA13" i="7"/>
  <c r="EA6" i="7"/>
  <c r="EA31" i="7"/>
  <c r="EA5" i="7"/>
  <c r="EA28" i="7"/>
  <c r="EA20" i="7"/>
  <c r="EA16" i="7"/>
  <c r="EA12" i="7"/>
  <c r="EA19" i="7"/>
  <c r="EA4" i="7"/>
  <c r="EY52" i="9"/>
  <c r="EY1" i="9"/>
  <c r="EY52" i="8"/>
  <c r="EY144" i="7"/>
  <c r="EY136" i="7"/>
  <c r="EY139" i="7"/>
  <c r="EY137" i="7"/>
  <c r="EY130" i="7"/>
  <c r="EY122" i="7"/>
  <c r="EY143" i="7"/>
  <c r="EY133" i="7"/>
  <c r="EY125" i="7"/>
  <c r="EY132" i="7"/>
  <c r="EY124" i="7"/>
  <c r="EY112" i="7"/>
  <c r="EY104" i="7"/>
  <c r="EY148" i="7"/>
  <c r="EY129" i="7"/>
  <c r="EY121" i="7"/>
  <c r="EY115" i="7"/>
  <c r="EY107" i="7"/>
  <c r="EY135" i="7"/>
  <c r="EY1" i="8"/>
  <c r="EY142" i="7"/>
  <c r="EY140" i="7"/>
  <c r="EY138" i="7"/>
  <c r="EY141" i="7"/>
  <c r="EY134" i="7"/>
  <c r="EY120" i="7"/>
  <c r="EY114" i="7"/>
  <c r="EY106" i="7"/>
  <c r="EY126" i="7"/>
  <c r="EY109" i="7"/>
  <c r="EY105" i="7"/>
  <c r="EY92" i="7"/>
  <c r="EY123" i="7"/>
  <c r="EY116" i="7"/>
  <c r="EY101" i="7"/>
  <c r="EY95" i="7"/>
  <c r="EY87" i="7"/>
  <c r="EY128" i="7"/>
  <c r="EY127" i="7"/>
  <c r="EY119" i="7"/>
  <c r="EY117" i="7"/>
  <c r="EY131" i="7"/>
  <c r="EY100" i="7"/>
  <c r="EY94" i="7"/>
  <c r="EY118" i="7"/>
  <c r="EY97" i="7"/>
  <c r="EY93" i="7"/>
  <c r="EY85" i="7"/>
  <c r="EY84" i="7"/>
  <c r="EY76" i="7"/>
  <c r="EY68" i="7"/>
  <c r="EY108" i="7"/>
  <c r="EY89" i="7"/>
  <c r="EY79" i="7"/>
  <c r="EY71" i="7"/>
  <c r="EY110" i="7"/>
  <c r="EY111" i="7"/>
  <c r="EY113" i="7"/>
  <c r="EY90" i="7"/>
  <c r="EY88" i="7"/>
  <c r="EY78" i="7"/>
  <c r="EY70" i="7"/>
  <c r="EY86" i="7"/>
  <c r="EY73" i="7"/>
  <c r="EY69" i="7"/>
  <c r="EY80" i="7"/>
  <c r="EY65" i="7"/>
  <c r="EY96" i="7"/>
  <c r="EY82" i="7"/>
  <c r="EY75" i="7"/>
  <c r="EY83" i="7"/>
  <c r="EY72" i="7"/>
  <c r="EY99" i="7"/>
  <c r="EY74" i="7"/>
  <c r="EY102" i="7"/>
  <c r="EY56" i="7"/>
  <c r="EY48" i="7"/>
  <c r="EY40" i="7"/>
  <c r="EY32" i="7"/>
  <c r="EY24" i="7"/>
  <c r="EY91" i="7"/>
  <c r="EY67" i="7"/>
  <c r="EY59" i="7"/>
  <c r="EY51" i="7"/>
  <c r="EY43" i="7"/>
  <c r="EY35" i="7"/>
  <c r="EY27" i="7"/>
  <c r="EY77" i="7"/>
  <c r="EY64" i="7"/>
  <c r="EY98" i="7"/>
  <c r="EY103" i="7"/>
  <c r="EY81" i="7"/>
  <c r="EY66" i="7"/>
  <c r="EY63" i="7"/>
  <c r="EY58" i="7"/>
  <c r="EY50" i="7"/>
  <c r="EY42" i="7"/>
  <c r="EY34" i="7"/>
  <c r="EY44" i="7"/>
  <c r="EY62" i="7"/>
  <c r="EY55" i="7"/>
  <c r="EY36" i="7"/>
  <c r="EY53" i="7"/>
  <c r="EY49" i="7"/>
  <c r="EY60" i="7"/>
  <c r="EY39" i="7"/>
  <c r="EY23" i="7"/>
  <c r="EY15" i="7"/>
  <c r="EY7" i="7"/>
  <c r="EY54" i="7"/>
  <c r="EY52" i="7"/>
  <c r="EY41" i="7"/>
  <c r="EY25" i="7"/>
  <c r="EY18" i="7"/>
  <c r="EY10" i="7"/>
  <c r="EY2" i="7"/>
  <c r="EY57" i="7"/>
  <c r="EY46" i="7"/>
  <c r="EY45" i="7"/>
  <c r="EY47" i="7"/>
  <c r="EY29" i="7"/>
  <c r="EY17" i="7"/>
  <c r="EY9" i="7"/>
  <c r="EY61" i="7"/>
  <c r="EY28" i="7"/>
  <c r="EY11" i="7"/>
  <c r="EY22" i="7"/>
  <c r="EY3" i="7"/>
  <c r="EY21" i="7"/>
  <c r="EY14" i="7"/>
  <c r="EY13" i="7"/>
  <c r="EY6" i="7"/>
  <c r="EY26" i="7"/>
  <c r="EY5" i="7"/>
  <c r="EY37" i="7"/>
  <c r="EY30" i="7"/>
  <c r="EY20" i="7"/>
  <c r="EY16" i="7"/>
  <c r="EY12" i="7"/>
  <c r="EY8" i="7"/>
  <c r="FW52" i="9"/>
  <c r="FW1" i="9"/>
  <c r="FW52" i="8"/>
  <c r="FW1" i="8"/>
  <c r="FW144" i="7"/>
  <c r="FW136" i="7"/>
  <c r="FW139" i="7"/>
  <c r="FW140" i="7"/>
  <c r="FW130" i="7"/>
  <c r="FW122" i="7"/>
  <c r="FW138" i="7"/>
  <c r="FW133" i="7"/>
  <c r="FW125" i="7"/>
  <c r="FW148" i="7"/>
  <c r="FW141" i="7"/>
  <c r="FW137" i="7"/>
  <c r="FW132" i="7"/>
  <c r="FW117" i="7"/>
  <c r="FW112" i="7"/>
  <c r="FW104" i="7"/>
  <c r="FW115" i="7"/>
  <c r="FW107" i="7"/>
  <c r="FW142" i="7"/>
  <c r="FW143" i="7"/>
  <c r="FW124" i="7"/>
  <c r="FW119" i="7"/>
  <c r="FW114" i="7"/>
  <c r="FW106" i="7"/>
  <c r="FW127" i="7"/>
  <c r="FW113" i="7"/>
  <c r="FW102" i="7"/>
  <c r="FW92" i="7"/>
  <c r="FW128" i="7"/>
  <c r="FW121" i="7"/>
  <c r="FW109" i="7"/>
  <c r="FW105" i="7"/>
  <c r="FW95" i="7"/>
  <c r="FW87" i="7"/>
  <c r="FW135" i="7"/>
  <c r="FW129" i="7"/>
  <c r="FW118" i="7"/>
  <c r="FW116" i="7"/>
  <c r="FW131" i="7"/>
  <c r="FW126" i="7"/>
  <c r="FW123" i="7"/>
  <c r="FW120" i="7"/>
  <c r="FW110" i="7"/>
  <c r="FW103" i="7"/>
  <c r="FW94" i="7"/>
  <c r="FW108" i="7"/>
  <c r="FW100" i="7"/>
  <c r="FW86" i="7"/>
  <c r="FW84" i="7"/>
  <c r="FW76" i="7"/>
  <c r="FW68" i="7"/>
  <c r="FW97" i="7"/>
  <c r="FW93" i="7"/>
  <c r="FW79" i="7"/>
  <c r="FW71" i="7"/>
  <c r="FW134" i="7"/>
  <c r="FW111" i="7"/>
  <c r="FW98" i="7"/>
  <c r="FW91" i="7"/>
  <c r="FW78" i="7"/>
  <c r="FW70" i="7"/>
  <c r="FW81" i="7"/>
  <c r="FW77" i="7"/>
  <c r="FW73" i="7"/>
  <c r="FW69" i="7"/>
  <c r="FW83" i="7"/>
  <c r="FW74" i="7"/>
  <c r="FW101" i="7"/>
  <c r="FW75" i="7"/>
  <c r="FW89" i="7"/>
  <c r="FW99" i="7"/>
  <c r="FW82" i="7"/>
  <c r="FW56" i="7"/>
  <c r="FW48" i="7"/>
  <c r="FW40" i="7"/>
  <c r="FW32" i="7"/>
  <c r="FW24" i="7"/>
  <c r="FW90" i="7"/>
  <c r="FW72" i="7"/>
  <c r="FW63" i="7"/>
  <c r="FW59" i="7"/>
  <c r="FW51" i="7"/>
  <c r="FW43" i="7"/>
  <c r="FW35" i="7"/>
  <c r="FW27" i="7"/>
  <c r="FW64" i="7"/>
  <c r="FW96" i="7"/>
  <c r="FW80" i="7"/>
  <c r="FW66" i="7"/>
  <c r="FW85" i="7"/>
  <c r="FW65" i="7"/>
  <c r="FW58" i="7"/>
  <c r="FW50" i="7"/>
  <c r="FW42" i="7"/>
  <c r="FW34" i="7"/>
  <c r="FW52" i="7"/>
  <c r="FW37" i="7"/>
  <c r="FW44" i="7"/>
  <c r="FW62" i="7"/>
  <c r="FW61" i="7"/>
  <c r="FW57" i="7"/>
  <c r="FW38" i="7"/>
  <c r="FW88" i="7"/>
  <c r="FW54" i="7"/>
  <c r="FW53" i="7"/>
  <c r="FW41" i="7"/>
  <c r="FW31" i="7"/>
  <c r="FW23" i="7"/>
  <c r="FW15" i="7"/>
  <c r="FW7" i="7"/>
  <c r="FW60" i="7"/>
  <c r="FW55" i="7"/>
  <c r="FW28" i="7"/>
  <c r="FW18" i="7"/>
  <c r="FW10" i="7"/>
  <c r="FW2" i="7"/>
  <c r="FW67" i="7"/>
  <c r="FW46" i="7"/>
  <c r="FW45" i="7"/>
  <c r="FW47" i="7"/>
  <c r="FW36" i="7"/>
  <c r="FW49" i="7"/>
  <c r="FW17" i="7"/>
  <c r="FW9" i="7"/>
  <c r="FW39" i="7"/>
  <c r="FW29" i="7"/>
  <c r="FW19" i="7"/>
  <c r="FW4" i="7"/>
  <c r="FW26" i="7"/>
  <c r="FW11" i="7"/>
  <c r="FW30" i="7"/>
  <c r="FW22" i="7"/>
  <c r="FW21" i="7"/>
  <c r="FW14" i="7"/>
  <c r="FW13" i="7"/>
  <c r="FW6" i="7"/>
  <c r="FW33" i="7"/>
  <c r="FW20" i="7"/>
  <c r="FW16" i="7"/>
  <c r="GU52" i="9"/>
  <c r="GU1" i="9"/>
  <c r="GU52" i="8"/>
  <c r="GU144" i="7"/>
  <c r="GU136" i="7"/>
  <c r="GU139" i="7"/>
  <c r="GU1" i="8"/>
  <c r="GU130" i="7"/>
  <c r="GU122" i="7"/>
  <c r="GU140" i="7"/>
  <c r="GU135" i="7"/>
  <c r="GU133" i="7"/>
  <c r="GU125" i="7"/>
  <c r="GU132" i="7"/>
  <c r="GU134" i="7"/>
  <c r="GU126" i="7"/>
  <c r="GU112" i="7"/>
  <c r="GU104" i="7"/>
  <c r="GU123" i="7"/>
  <c r="GU119" i="7"/>
  <c r="GU115" i="7"/>
  <c r="GU107" i="7"/>
  <c r="GU142" i="7"/>
  <c r="GU141" i="7"/>
  <c r="GU143" i="7"/>
  <c r="GU137" i="7"/>
  <c r="GU148" i="7"/>
  <c r="GU131" i="7"/>
  <c r="GU114" i="7"/>
  <c r="GU106" i="7"/>
  <c r="GU128" i="7"/>
  <c r="GU117" i="7"/>
  <c r="GU102" i="7"/>
  <c r="GU99" i="7"/>
  <c r="GU92" i="7"/>
  <c r="GU129" i="7"/>
  <c r="GU113" i="7"/>
  <c r="GU95" i="7"/>
  <c r="GU87" i="7"/>
  <c r="GU120" i="7"/>
  <c r="GU138" i="7"/>
  <c r="GU116" i="7"/>
  <c r="GU127" i="7"/>
  <c r="GU118" i="7"/>
  <c r="GU124" i="7"/>
  <c r="GU121" i="7"/>
  <c r="GU111" i="7"/>
  <c r="GU94" i="7"/>
  <c r="GU110" i="7"/>
  <c r="GU101" i="7"/>
  <c r="GU90" i="7"/>
  <c r="GU84" i="7"/>
  <c r="GU76" i="7"/>
  <c r="GU68" i="7"/>
  <c r="GU79" i="7"/>
  <c r="GU71" i="7"/>
  <c r="GU105" i="7"/>
  <c r="GU86" i="7"/>
  <c r="GU78" i="7"/>
  <c r="GU70" i="7"/>
  <c r="GU66" i="7"/>
  <c r="GU81" i="7"/>
  <c r="GU77" i="7"/>
  <c r="GU108" i="7"/>
  <c r="GU103" i="7"/>
  <c r="GU72" i="7"/>
  <c r="GU85" i="7"/>
  <c r="GU75" i="7"/>
  <c r="GU98" i="7"/>
  <c r="GU91" i="7"/>
  <c r="GU109" i="7"/>
  <c r="GU96" i="7"/>
  <c r="GU89" i="7"/>
  <c r="GU74" i="7"/>
  <c r="GU69" i="7"/>
  <c r="GU56" i="7"/>
  <c r="GU48" i="7"/>
  <c r="GU40" i="7"/>
  <c r="GU32" i="7"/>
  <c r="GU24" i="7"/>
  <c r="GU100" i="7"/>
  <c r="GU97" i="7"/>
  <c r="GU59" i="7"/>
  <c r="GU51" i="7"/>
  <c r="GU43" i="7"/>
  <c r="GU35" i="7"/>
  <c r="GU27" i="7"/>
  <c r="GU82" i="7"/>
  <c r="GU65" i="7"/>
  <c r="GU93" i="7"/>
  <c r="GU88" i="7"/>
  <c r="GU64" i="7"/>
  <c r="GU63" i="7"/>
  <c r="GU83" i="7"/>
  <c r="GU80" i="7"/>
  <c r="GU73" i="7"/>
  <c r="GU67" i="7"/>
  <c r="GU58" i="7"/>
  <c r="GU50" i="7"/>
  <c r="GU42" i="7"/>
  <c r="GU34" i="7"/>
  <c r="GU60" i="7"/>
  <c r="GU45" i="7"/>
  <c r="GU41" i="7"/>
  <c r="GU52" i="7"/>
  <c r="GU37" i="7"/>
  <c r="GU62" i="7"/>
  <c r="GU46" i="7"/>
  <c r="GU39" i="7"/>
  <c r="GU61" i="7"/>
  <c r="GU55" i="7"/>
  <c r="GU44" i="7"/>
  <c r="GU25" i="7"/>
  <c r="GU15" i="7"/>
  <c r="GU7" i="7"/>
  <c r="GU57" i="7"/>
  <c r="GU18" i="7"/>
  <c r="GU10" i="7"/>
  <c r="GU2" i="7"/>
  <c r="GU47" i="7"/>
  <c r="GU36" i="7"/>
  <c r="GU49" i="7"/>
  <c r="GU38" i="7"/>
  <c r="GU31" i="7"/>
  <c r="GU17" i="7"/>
  <c r="GU9" i="7"/>
  <c r="GU12" i="7"/>
  <c r="GU8" i="7"/>
  <c r="GU23" i="7"/>
  <c r="GU19" i="7"/>
  <c r="GU4" i="7"/>
  <c r="GU28" i="7"/>
  <c r="GU11" i="7"/>
  <c r="GU33" i="7"/>
  <c r="GU22" i="7"/>
  <c r="GU53" i="7"/>
  <c r="GU29" i="7"/>
  <c r="GU21" i="7"/>
  <c r="GU14" i="7"/>
  <c r="GU26" i="7"/>
  <c r="GU13" i="7"/>
  <c r="GU54" i="7"/>
  <c r="GU30" i="7"/>
  <c r="GU5" i="7"/>
  <c r="HS52" i="9"/>
  <c r="HS1" i="9"/>
  <c r="HS52" i="8"/>
  <c r="HS144" i="7"/>
  <c r="HS136" i="7"/>
  <c r="HS139" i="7"/>
  <c r="HS148" i="7"/>
  <c r="HS141" i="7"/>
  <c r="HS130" i="7"/>
  <c r="HS122" i="7"/>
  <c r="HS133" i="7"/>
  <c r="HS125" i="7"/>
  <c r="HS132" i="7"/>
  <c r="HS1" i="8"/>
  <c r="HS140" i="7"/>
  <c r="HS137" i="7"/>
  <c r="HS120" i="7"/>
  <c r="HS112" i="7"/>
  <c r="HS104" i="7"/>
  <c r="HS134" i="7"/>
  <c r="HS127" i="7"/>
  <c r="HS115" i="7"/>
  <c r="HS107" i="7"/>
  <c r="HS142" i="7"/>
  <c r="HS135" i="7"/>
  <c r="HS143" i="7"/>
  <c r="HS138" i="7"/>
  <c r="HS126" i="7"/>
  <c r="HS117" i="7"/>
  <c r="HS114" i="7"/>
  <c r="HS106" i="7"/>
  <c r="HS129" i="7"/>
  <c r="HS118" i="7"/>
  <c r="HS110" i="7"/>
  <c r="HS103" i="7"/>
  <c r="HS100" i="7"/>
  <c r="HS92" i="7"/>
  <c r="HS131" i="7"/>
  <c r="HS124" i="7"/>
  <c r="HS102" i="7"/>
  <c r="HS95" i="7"/>
  <c r="HS87" i="7"/>
  <c r="HS121" i="7"/>
  <c r="HS116" i="7"/>
  <c r="HS119" i="7"/>
  <c r="HS94" i="7"/>
  <c r="HS113" i="7"/>
  <c r="HS111" i="7"/>
  <c r="HS98" i="7"/>
  <c r="HS91" i="7"/>
  <c r="HS88" i="7"/>
  <c r="HS84" i="7"/>
  <c r="HS76" i="7"/>
  <c r="HS68" i="7"/>
  <c r="HS90" i="7"/>
  <c r="HS85" i="7"/>
  <c r="HS79" i="7"/>
  <c r="HS71" i="7"/>
  <c r="HS63" i="7"/>
  <c r="HS128" i="7"/>
  <c r="HS105" i="7"/>
  <c r="HS123" i="7"/>
  <c r="HS109" i="7"/>
  <c r="HS108" i="7"/>
  <c r="HS78" i="7"/>
  <c r="HS70" i="7"/>
  <c r="HS74" i="7"/>
  <c r="HS67" i="7"/>
  <c r="HS97" i="7"/>
  <c r="HS96" i="7"/>
  <c r="HS66" i="7"/>
  <c r="HS101" i="7"/>
  <c r="HS99" i="7"/>
  <c r="HS89" i="7"/>
  <c r="HS80" i="7"/>
  <c r="HS93" i="7"/>
  <c r="HS81" i="7"/>
  <c r="HS86" i="7"/>
  <c r="HS69" i="7"/>
  <c r="HS56" i="7"/>
  <c r="HS48" i="7"/>
  <c r="HS40" i="7"/>
  <c r="HS32" i="7"/>
  <c r="HS24" i="7"/>
  <c r="HS77" i="7"/>
  <c r="HS59" i="7"/>
  <c r="HS51" i="7"/>
  <c r="HS43" i="7"/>
  <c r="HS35" i="7"/>
  <c r="HS27" i="7"/>
  <c r="HS72" i="7"/>
  <c r="HS62" i="7"/>
  <c r="HS82" i="7"/>
  <c r="HS75" i="7"/>
  <c r="HS58" i="7"/>
  <c r="HS50" i="7"/>
  <c r="HS42" i="7"/>
  <c r="HS34" i="7"/>
  <c r="HS53" i="7"/>
  <c r="HS49" i="7"/>
  <c r="HS33" i="7"/>
  <c r="HS60" i="7"/>
  <c r="HS45" i="7"/>
  <c r="HS41" i="7"/>
  <c r="HS65" i="7"/>
  <c r="HS54" i="7"/>
  <c r="HS47" i="7"/>
  <c r="HS57" i="7"/>
  <c r="HS46" i="7"/>
  <c r="HS29" i="7"/>
  <c r="HS15" i="7"/>
  <c r="HS7" i="7"/>
  <c r="HS61" i="7"/>
  <c r="HS30" i="7"/>
  <c r="HS26" i="7"/>
  <c r="HS18" i="7"/>
  <c r="HS10" i="7"/>
  <c r="HS2" i="7"/>
  <c r="HS37" i="7"/>
  <c r="HS36" i="7"/>
  <c r="HS64" i="7"/>
  <c r="HS38" i="7"/>
  <c r="HS52" i="7"/>
  <c r="HS39" i="7"/>
  <c r="HS83" i="7"/>
  <c r="HS73" i="7"/>
  <c r="HS25" i="7"/>
  <c r="HS17" i="7"/>
  <c r="HS9" i="7"/>
  <c r="HS44" i="7"/>
  <c r="HS20" i="7"/>
  <c r="HS16" i="7"/>
  <c r="HS12" i="7"/>
  <c r="HS8" i="7"/>
  <c r="HS19" i="7"/>
  <c r="HS4" i="7"/>
  <c r="HS11" i="7"/>
  <c r="HS22" i="7"/>
  <c r="HS23" i="7"/>
  <c r="HS21" i="7"/>
  <c r="HS14" i="7"/>
  <c r="HS31" i="7"/>
  <c r="HS13" i="7"/>
  <c r="HS6" i="7"/>
  <c r="II52" i="9"/>
  <c r="II1" i="9"/>
  <c r="II52" i="8"/>
  <c r="II1" i="8"/>
  <c r="II144" i="7"/>
  <c r="II136" i="7"/>
  <c r="II139" i="7"/>
  <c r="II140" i="7"/>
  <c r="II130" i="7"/>
  <c r="II122" i="7"/>
  <c r="II138" i="7"/>
  <c r="II133" i="7"/>
  <c r="II125" i="7"/>
  <c r="II148" i="7"/>
  <c r="II141" i="7"/>
  <c r="II137" i="7"/>
  <c r="II135" i="7"/>
  <c r="II132" i="7"/>
  <c r="II117" i="7"/>
  <c r="II112" i="7"/>
  <c r="II104" i="7"/>
  <c r="II115" i="7"/>
  <c r="II107" i="7"/>
  <c r="II142" i="7"/>
  <c r="II143" i="7"/>
  <c r="II124" i="7"/>
  <c r="II114" i="7"/>
  <c r="II106" i="7"/>
  <c r="II128" i="7"/>
  <c r="II120" i="7"/>
  <c r="II113" i="7"/>
  <c r="II92" i="7"/>
  <c r="II129" i="7"/>
  <c r="II109" i="7"/>
  <c r="II105" i="7"/>
  <c r="II95" i="7"/>
  <c r="II87" i="7"/>
  <c r="II127" i="7"/>
  <c r="II116" i="7"/>
  <c r="II131" i="7"/>
  <c r="II121" i="7"/>
  <c r="II134" i="7"/>
  <c r="II126" i="7"/>
  <c r="II119" i="7"/>
  <c r="II110" i="7"/>
  <c r="II103" i="7"/>
  <c r="II94" i="7"/>
  <c r="II86" i="7"/>
  <c r="II84" i="7"/>
  <c r="II76" i="7"/>
  <c r="II68" i="7"/>
  <c r="II118" i="7"/>
  <c r="II97" i="7"/>
  <c r="II93" i="7"/>
  <c r="II79" i="7"/>
  <c r="II71" i="7"/>
  <c r="II63" i="7"/>
  <c r="II111" i="7"/>
  <c r="II123" i="7"/>
  <c r="II98" i="7"/>
  <c r="II91" i="7"/>
  <c r="II78" i="7"/>
  <c r="II70" i="7"/>
  <c r="II101" i="7"/>
  <c r="II81" i="7"/>
  <c r="II77" i="7"/>
  <c r="II73" i="7"/>
  <c r="II69" i="7"/>
  <c r="II88" i="7"/>
  <c r="II83" i="7"/>
  <c r="II75" i="7"/>
  <c r="II66" i="7"/>
  <c r="II89" i="7"/>
  <c r="II108" i="7"/>
  <c r="II85" i="7"/>
  <c r="II82" i="7"/>
  <c r="II56" i="7"/>
  <c r="II48" i="7"/>
  <c r="II40" i="7"/>
  <c r="II32" i="7"/>
  <c r="II24" i="7"/>
  <c r="II99" i="7"/>
  <c r="II96" i="7"/>
  <c r="II59" i="7"/>
  <c r="II51" i="7"/>
  <c r="II43" i="7"/>
  <c r="II35" i="7"/>
  <c r="II27" i="7"/>
  <c r="II80" i="7"/>
  <c r="II62" i="7"/>
  <c r="II102" i="7"/>
  <c r="II67" i="7"/>
  <c r="II100" i="7"/>
  <c r="II74" i="7"/>
  <c r="II72" i="7"/>
  <c r="II64" i="7"/>
  <c r="II58" i="7"/>
  <c r="II50" i="7"/>
  <c r="II42" i="7"/>
  <c r="II34" i="7"/>
  <c r="II52" i="7"/>
  <c r="II37" i="7"/>
  <c r="II65" i="7"/>
  <c r="II44" i="7"/>
  <c r="II61" i="7"/>
  <c r="II57" i="7"/>
  <c r="II38" i="7"/>
  <c r="II55" i="7"/>
  <c r="II31" i="7"/>
  <c r="II15" i="7"/>
  <c r="II7" i="7"/>
  <c r="II28" i="7"/>
  <c r="II18" i="7"/>
  <c r="II10" i="7"/>
  <c r="II2" i="7"/>
  <c r="II46" i="7"/>
  <c r="II45" i="7"/>
  <c r="II47" i="7"/>
  <c r="II36" i="7"/>
  <c r="II90" i="7"/>
  <c r="II49" i="7"/>
  <c r="II60" i="7"/>
  <c r="II39" i="7"/>
  <c r="II17" i="7"/>
  <c r="II9" i="7"/>
  <c r="II19" i="7"/>
  <c r="II4" i="7"/>
  <c r="II41" i="7"/>
  <c r="II11" i="7"/>
  <c r="II53" i="7"/>
  <c r="II29" i="7"/>
  <c r="II22" i="7"/>
  <c r="II3" i="7"/>
  <c r="II26" i="7"/>
  <c r="II21" i="7"/>
  <c r="II14" i="7"/>
  <c r="II54" i="7"/>
  <c r="II30" i="7"/>
  <c r="II23" i="7"/>
  <c r="II13" i="7"/>
  <c r="II6" i="7"/>
  <c r="II33" i="7"/>
  <c r="II20" i="7"/>
  <c r="II16" i="7"/>
  <c r="JO52" i="9"/>
  <c r="JO1" i="9"/>
  <c r="JO52" i="8"/>
  <c r="JO1" i="8"/>
  <c r="JO144" i="7"/>
  <c r="JO136" i="7"/>
  <c r="JO139" i="7"/>
  <c r="JO130" i="7"/>
  <c r="JO122" i="7"/>
  <c r="JO138" i="7"/>
  <c r="JO133" i="7"/>
  <c r="JO125" i="7"/>
  <c r="JO143" i="7"/>
  <c r="JO137" i="7"/>
  <c r="JO132" i="7"/>
  <c r="JO112" i="7"/>
  <c r="JO104" i="7"/>
  <c r="JO148" i="7"/>
  <c r="JO131" i="7"/>
  <c r="JO115" i="7"/>
  <c r="JO107" i="7"/>
  <c r="JO99" i="7"/>
  <c r="JO134" i="7"/>
  <c r="JO141" i="7"/>
  <c r="JO140" i="7"/>
  <c r="JO129" i="7"/>
  <c r="JO124" i="7"/>
  <c r="JO114" i="7"/>
  <c r="JO106" i="7"/>
  <c r="JO123" i="7"/>
  <c r="JO92" i="7"/>
  <c r="JO120" i="7"/>
  <c r="JO117" i="7"/>
  <c r="JO111" i="7"/>
  <c r="JO95" i="7"/>
  <c r="JO87" i="7"/>
  <c r="JO127" i="7"/>
  <c r="JO128" i="7"/>
  <c r="JO121" i="7"/>
  <c r="JO135" i="7"/>
  <c r="JO118" i="7"/>
  <c r="JO116" i="7"/>
  <c r="JO94" i="7"/>
  <c r="JO86" i="7"/>
  <c r="JO84" i="7"/>
  <c r="JO76" i="7"/>
  <c r="JO68" i="7"/>
  <c r="JO105" i="7"/>
  <c r="JO79" i="7"/>
  <c r="JO71" i="7"/>
  <c r="JO63" i="7"/>
  <c r="JO110" i="7"/>
  <c r="JO108" i="7"/>
  <c r="JO142" i="7"/>
  <c r="JO119" i="7"/>
  <c r="JO109" i="7"/>
  <c r="JO113" i="7"/>
  <c r="JO102" i="7"/>
  <c r="JO101" i="7"/>
  <c r="JO89" i="7"/>
  <c r="JO78" i="7"/>
  <c r="JO70" i="7"/>
  <c r="JO126" i="7"/>
  <c r="JO83" i="7"/>
  <c r="JO64" i="7"/>
  <c r="JO103" i="7"/>
  <c r="JO100" i="7"/>
  <c r="JO90" i="7"/>
  <c r="JO82" i="7"/>
  <c r="JO75" i="7"/>
  <c r="JO93" i="7"/>
  <c r="JO81" i="7"/>
  <c r="JO77" i="7"/>
  <c r="JO98" i="7"/>
  <c r="JO88" i="7"/>
  <c r="JO66" i="7"/>
  <c r="JO74" i="7"/>
  <c r="JO73" i="7"/>
  <c r="JO69" i="7"/>
  <c r="JO56" i="7"/>
  <c r="JO48" i="7"/>
  <c r="JO40" i="7"/>
  <c r="JO32" i="7"/>
  <c r="JO24" i="7"/>
  <c r="JO59" i="7"/>
  <c r="JO51" i="7"/>
  <c r="JO43" i="7"/>
  <c r="JO35" i="7"/>
  <c r="JO27" i="7"/>
  <c r="JO85" i="7"/>
  <c r="JO65" i="7"/>
  <c r="JO97" i="7"/>
  <c r="JO72" i="7"/>
  <c r="JO96" i="7"/>
  <c r="JO80" i="7"/>
  <c r="JO58" i="7"/>
  <c r="JO50" i="7"/>
  <c r="JO42" i="7"/>
  <c r="JO34" i="7"/>
  <c r="JO46" i="7"/>
  <c r="JO39" i="7"/>
  <c r="JO91" i="7"/>
  <c r="JO61" i="7"/>
  <c r="JO57" i="7"/>
  <c r="JO38" i="7"/>
  <c r="JO67" i="7"/>
  <c r="JO44" i="7"/>
  <c r="JO37" i="7"/>
  <c r="JO31" i="7"/>
  <c r="JO15" i="7"/>
  <c r="JO7" i="7"/>
  <c r="JO28" i="7"/>
  <c r="JO18" i="7"/>
  <c r="JO10" i="7"/>
  <c r="JO2" i="7"/>
  <c r="JO60" i="7"/>
  <c r="JO53" i="7"/>
  <c r="JO52" i="7"/>
  <c r="JO41" i="7"/>
  <c r="JO54" i="7"/>
  <c r="JO55" i="7"/>
  <c r="JO45" i="7"/>
  <c r="JO62" i="7"/>
  <c r="JO17" i="7"/>
  <c r="JO9" i="7"/>
  <c r="JO49" i="7"/>
  <c r="JO25" i="7"/>
  <c r="JO13" i="7"/>
  <c r="JO6" i="7"/>
  <c r="JO33" i="7"/>
  <c r="JO5" i="7"/>
  <c r="JO23" i="7"/>
  <c r="JO20" i="7"/>
  <c r="JO16" i="7"/>
  <c r="JO29" i="7"/>
  <c r="JO12" i="7"/>
  <c r="JO8" i="7"/>
  <c r="JO47" i="7"/>
  <c r="JO26" i="7"/>
  <c r="JO19" i="7"/>
  <c r="JO4" i="7"/>
  <c r="JO36" i="7"/>
  <c r="JO30" i="7"/>
  <c r="JO11" i="7"/>
  <c r="JO22" i="7"/>
  <c r="JO3" i="7"/>
  <c r="E52" i="9"/>
  <c r="E1" i="9"/>
  <c r="E1" i="8"/>
  <c r="E52" i="8"/>
  <c r="E142" i="7"/>
  <c r="E137" i="7"/>
  <c r="E144" i="7"/>
  <c r="E128" i="7"/>
  <c r="E120" i="7"/>
  <c r="E131" i="7"/>
  <c r="E123" i="7"/>
  <c r="E143" i="7"/>
  <c r="E130" i="7"/>
  <c r="E141" i="7"/>
  <c r="E136" i="7"/>
  <c r="E132" i="7"/>
  <c r="E124" i="7"/>
  <c r="E110" i="7"/>
  <c r="E102" i="7"/>
  <c r="E121" i="7"/>
  <c r="E113" i="7"/>
  <c r="E105" i="7"/>
  <c r="E148" i="7"/>
  <c r="E135" i="7"/>
  <c r="E138" i="7"/>
  <c r="E134" i="7"/>
  <c r="E133" i="7"/>
  <c r="E129" i="7"/>
  <c r="E119" i="7"/>
  <c r="E112" i="7"/>
  <c r="E104" i="7"/>
  <c r="E140" i="7"/>
  <c r="E98" i="7"/>
  <c r="E90" i="7"/>
  <c r="E127" i="7"/>
  <c r="E118" i="7"/>
  <c r="E115" i="7"/>
  <c r="E111" i="7"/>
  <c r="E101" i="7"/>
  <c r="E93" i="7"/>
  <c r="E125" i="7"/>
  <c r="E122" i="7"/>
  <c r="E139" i="7"/>
  <c r="E126" i="7"/>
  <c r="E116" i="7"/>
  <c r="E109" i="7"/>
  <c r="E100" i="7"/>
  <c r="E92" i="7"/>
  <c r="E114" i="7"/>
  <c r="E103" i="7"/>
  <c r="E82" i="7"/>
  <c r="E74" i="7"/>
  <c r="E66" i="7"/>
  <c r="E99" i="7"/>
  <c r="E89" i="7"/>
  <c r="E85" i="7"/>
  <c r="E77" i="7"/>
  <c r="E69" i="7"/>
  <c r="E107" i="7"/>
  <c r="E106" i="7"/>
  <c r="E108" i="7"/>
  <c r="E117" i="7"/>
  <c r="E97" i="7"/>
  <c r="E88" i="7"/>
  <c r="E84" i="7"/>
  <c r="E76" i="7"/>
  <c r="E68" i="7"/>
  <c r="E83" i="7"/>
  <c r="E79" i="7"/>
  <c r="E75" i="7"/>
  <c r="E70" i="7"/>
  <c r="E80" i="7"/>
  <c r="E94" i="7"/>
  <c r="E91" i="7"/>
  <c r="E81" i="7"/>
  <c r="E86" i="7"/>
  <c r="E73" i="7"/>
  <c r="E72" i="7"/>
  <c r="E62" i="7"/>
  <c r="E54" i="7"/>
  <c r="E46" i="7"/>
  <c r="E38" i="7"/>
  <c r="E30" i="7"/>
  <c r="E95" i="7"/>
  <c r="E71" i="7"/>
  <c r="E57" i="7"/>
  <c r="E49" i="7"/>
  <c r="E41" i="7"/>
  <c r="E33" i="7"/>
  <c r="E78" i="7"/>
  <c r="E64" i="7"/>
  <c r="E63" i="7"/>
  <c r="E87" i="7"/>
  <c r="E67" i="7"/>
  <c r="E65" i="7"/>
  <c r="E56" i="7"/>
  <c r="E48" i="7"/>
  <c r="E40" i="7"/>
  <c r="E58" i="7"/>
  <c r="E43" i="7"/>
  <c r="E39" i="7"/>
  <c r="E50" i="7"/>
  <c r="E35" i="7"/>
  <c r="E34" i="7"/>
  <c r="E61" i="7"/>
  <c r="E96" i="7"/>
  <c r="E44" i="7"/>
  <c r="E37" i="7"/>
  <c r="E60" i="7"/>
  <c r="E59" i="7"/>
  <c r="E47" i="7"/>
  <c r="E36" i="7"/>
  <c r="E21" i="7"/>
  <c r="E13" i="7"/>
  <c r="E5" i="7"/>
  <c r="E16" i="7"/>
  <c r="E8" i="7"/>
  <c r="E52" i="7"/>
  <c r="E51" i="7"/>
  <c r="E53" i="7"/>
  <c r="E42" i="7"/>
  <c r="E55" i="7"/>
  <c r="E29" i="7"/>
  <c r="E24" i="7"/>
  <c r="E23" i="7"/>
  <c r="E15" i="7"/>
  <c r="E7" i="7"/>
  <c r="E10" i="7"/>
  <c r="E6" i="7"/>
  <c r="E32" i="7"/>
  <c r="E17" i="7"/>
  <c r="E2" i="7"/>
  <c r="E26" i="7"/>
  <c r="E9" i="7"/>
  <c r="E20" i="7"/>
  <c r="E27" i="7"/>
  <c r="E19" i="7"/>
  <c r="E12" i="7"/>
  <c r="E45" i="7"/>
  <c r="E31" i="7"/>
  <c r="E11" i="7"/>
  <c r="E28" i="7"/>
  <c r="E25" i="7"/>
  <c r="E22" i="7"/>
  <c r="E3" i="7"/>
  <c r="M52" i="9"/>
  <c r="M52" i="8"/>
  <c r="M1" i="9"/>
  <c r="M1" i="8"/>
  <c r="M142" i="7"/>
  <c r="M137" i="7"/>
  <c r="M144" i="7"/>
  <c r="M128" i="7"/>
  <c r="M120" i="7"/>
  <c r="M143" i="7"/>
  <c r="M131" i="7"/>
  <c r="M123" i="7"/>
  <c r="M141" i="7"/>
  <c r="M136" i="7"/>
  <c r="M130" i="7"/>
  <c r="M148" i="7"/>
  <c r="M138" i="7"/>
  <c r="M118" i="7"/>
  <c r="M110" i="7"/>
  <c r="M102" i="7"/>
  <c r="M133" i="7"/>
  <c r="M129" i="7"/>
  <c r="M127" i="7"/>
  <c r="M113" i="7"/>
  <c r="M105" i="7"/>
  <c r="M139" i="7"/>
  <c r="M140" i="7"/>
  <c r="M134" i="7"/>
  <c r="M126" i="7"/>
  <c r="M122" i="7"/>
  <c r="M112" i="7"/>
  <c r="M104" i="7"/>
  <c r="M117" i="7"/>
  <c r="M100" i="7"/>
  <c r="M98" i="7"/>
  <c r="M90" i="7"/>
  <c r="M125" i="7"/>
  <c r="M119" i="7"/>
  <c r="M116" i="7"/>
  <c r="M109" i="7"/>
  <c r="M93" i="7"/>
  <c r="M135" i="7"/>
  <c r="M132" i="7"/>
  <c r="M124" i="7"/>
  <c r="M121" i="7"/>
  <c r="M114" i="7"/>
  <c r="M92" i="7"/>
  <c r="M108" i="7"/>
  <c r="M106" i="7"/>
  <c r="M101" i="7"/>
  <c r="M88" i="7"/>
  <c r="M82" i="7"/>
  <c r="M74" i="7"/>
  <c r="M66" i="7"/>
  <c r="M107" i="7"/>
  <c r="M97" i="7"/>
  <c r="M85" i="7"/>
  <c r="M77" i="7"/>
  <c r="M69" i="7"/>
  <c r="M111" i="7"/>
  <c r="M115" i="7"/>
  <c r="M103" i="7"/>
  <c r="M84" i="7"/>
  <c r="M76" i="7"/>
  <c r="M68" i="7"/>
  <c r="M81" i="7"/>
  <c r="M91" i="7"/>
  <c r="M80" i="7"/>
  <c r="M73" i="7"/>
  <c r="M95" i="7"/>
  <c r="M79" i="7"/>
  <c r="M75" i="7"/>
  <c r="M89" i="7"/>
  <c r="M87" i="7"/>
  <c r="M99" i="7"/>
  <c r="M65" i="7"/>
  <c r="M62" i="7"/>
  <c r="M54" i="7"/>
  <c r="M46" i="7"/>
  <c r="M38" i="7"/>
  <c r="M30" i="7"/>
  <c r="M70" i="7"/>
  <c r="M57" i="7"/>
  <c r="M49" i="7"/>
  <c r="M41" i="7"/>
  <c r="M33" i="7"/>
  <c r="M67" i="7"/>
  <c r="M63" i="7"/>
  <c r="M96" i="7"/>
  <c r="M83" i="7"/>
  <c r="M64" i="7"/>
  <c r="M94" i="7"/>
  <c r="M72" i="7"/>
  <c r="M86" i="7"/>
  <c r="M56" i="7"/>
  <c r="M48" i="7"/>
  <c r="M40" i="7"/>
  <c r="M44" i="7"/>
  <c r="M37" i="7"/>
  <c r="M78" i="7"/>
  <c r="M59" i="7"/>
  <c r="M55" i="7"/>
  <c r="M36" i="7"/>
  <c r="M61" i="7"/>
  <c r="M42" i="7"/>
  <c r="M52" i="7"/>
  <c r="M29" i="7"/>
  <c r="M21" i="7"/>
  <c r="M13" i="7"/>
  <c r="M5" i="7"/>
  <c r="M71" i="7"/>
  <c r="M53" i="7"/>
  <c r="M26" i="7"/>
  <c r="M16" i="7"/>
  <c r="M8" i="7"/>
  <c r="M43" i="7"/>
  <c r="M58" i="7"/>
  <c r="M47" i="7"/>
  <c r="M45" i="7"/>
  <c r="M60" i="7"/>
  <c r="M23" i="7"/>
  <c r="M15" i="7"/>
  <c r="M7" i="7"/>
  <c r="M39" i="7"/>
  <c r="M11" i="7"/>
  <c r="M4" i="7"/>
  <c r="M51" i="7"/>
  <c r="M27" i="7"/>
  <c r="M22" i="7"/>
  <c r="M3" i="7"/>
  <c r="M34" i="7"/>
  <c r="M31" i="7"/>
  <c r="M25" i="7"/>
  <c r="M18" i="7"/>
  <c r="M14" i="7"/>
  <c r="M28" i="7"/>
  <c r="M10" i="7"/>
  <c r="M6" i="7"/>
  <c r="M17" i="7"/>
  <c r="M32" i="7"/>
  <c r="M9" i="7"/>
  <c r="M24" i="7"/>
  <c r="M20" i="7"/>
  <c r="U52" i="9"/>
  <c r="U1" i="9"/>
  <c r="U1" i="8"/>
  <c r="U52" i="8"/>
  <c r="U142" i="7"/>
  <c r="U137" i="7"/>
  <c r="U144" i="7"/>
  <c r="U148" i="7"/>
  <c r="U128" i="7"/>
  <c r="U120" i="7"/>
  <c r="U141" i="7"/>
  <c r="U131" i="7"/>
  <c r="U123" i="7"/>
  <c r="U130" i="7"/>
  <c r="U140" i="7"/>
  <c r="U135" i="7"/>
  <c r="U126" i="7"/>
  <c r="U122" i="7"/>
  <c r="U119" i="7"/>
  <c r="U110" i="7"/>
  <c r="U102" i="7"/>
  <c r="U139" i="7"/>
  <c r="U134" i="7"/>
  <c r="U118" i="7"/>
  <c r="U113" i="7"/>
  <c r="U105" i="7"/>
  <c r="U143" i="7"/>
  <c r="U138" i="7"/>
  <c r="U132" i="7"/>
  <c r="U112" i="7"/>
  <c r="U104" i="7"/>
  <c r="U129" i="7"/>
  <c r="U107" i="7"/>
  <c r="U103" i="7"/>
  <c r="U98" i="7"/>
  <c r="U90" i="7"/>
  <c r="U136" i="7"/>
  <c r="U127" i="7"/>
  <c r="U114" i="7"/>
  <c r="U93" i="7"/>
  <c r="U124" i="7"/>
  <c r="U133" i="7"/>
  <c r="U121" i="7"/>
  <c r="U117" i="7"/>
  <c r="U116" i="7"/>
  <c r="U125" i="7"/>
  <c r="U92" i="7"/>
  <c r="U111" i="7"/>
  <c r="U95" i="7"/>
  <c r="U91" i="7"/>
  <c r="U82" i="7"/>
  <c r="U74" i="7"/>
  <c r="U66" i="7"/>
  <c r="U100" i="7"/>
  <c r="U87" i="7"/>
  <c r="U85" i="7"/>
  <c r="U77" i="7"/>
  <c r="U69" i="7"/>
  <c r="U115" i="7"/>
  <c r="U106" i="7"/>
  <c r="U108" i="7"/>
  <c r="U86" i="7"/>
  <c r="U84" i="7"/>
  <c r="U76" i="7"/>
  <c r="U68" i="7"/>
  <c r="U109" i="7"/>
  <c r="U71" i="7"/>
  <c r="U67" i="7"/>
  <c r="U101" i="7"/>
  <c r="U96" i="7"/>
  <c r="U78" i="7"/>
  <c r="U80" i="7"/>
  <c r="U73" i="7"/>
  <c r="U89" i="7"/>
  <c r="U99" i="7"/>
  <c r="U88" i="7"/>
  <c r="U79" i="7"/>
  <c r="U97" i="7"/>
  <c r="U62" i="7"/>
  <c r="U54" i="7"/>
  <c r="U46" i="7"/>
  <c r="U38" i="7"/>
  <c r="U30" i="7"/>
  <c r="U83" i="7"/>
  <c r="U57" i="7"/>
  <c r="U49" i="7"/>
  <c r="U41" i="7"/>
  <c r="U33" i="7"/>
  <c r="U72" i="7"/>
  <c r="U94" i="7"/>
  <c r="U81" i="7"/>
  <c r="U65" i="7"/>
  <c r="U63" i="7"/>
  <c r="U70" i="7"/>
  <c r="U64" i="7"/>
  <c r="U56" i="7"/>
  <c r="U48" i="7"/>
  <c r="U40" i="7"/>
  <c r="U61" i="7"/>
  <c r="U42" i="7"/>
  <c r="U60" i="7"/>
  <c r="U53" i="7"/>
  <c r="U75" i="7"/>
  <c r="U51" i="7"/>
  <c r="U47" i="7"/>
  <c r="U45" i="7"/>
  <c r="U24" i="7"/>
  <c r="U21" i="7"/>
  <c r="U13" i="7"/>
  <c r="U5" i="7"/>
  <c r="U58" i="7"/>
  <c r="U34" i="7"/>
  <c r="U32" i="7"/>
  <c r="U16" i="7"/>
  <c r="U8" i="7"/>
  <c r="U59" i="7"/>
  <c r="U37" i="7"/>
  <c r="U52" i="7"/>
  <c r="U50" i="7"/>
  <c r="U39" i="7"/>
  <c r="U31" i="7"/>
  <c r="U27" i="7"/>
  <c r="U25" i="7"/>
  <c r="U23" i="7"/>
  <c r="U15" i="7"/>
  <c r="U7" i="7"/>
  <c r="U43" i="7"/>
  <c r="U9" i="7"/>
  <c r="U55" i="7"/>
  <c r="U29" i="7"/>
  <c r="U20" i="7"/>
  <c r="U44" i="7"/>
  <c r="U26" i="7"/>
  <c r="U19" i="7"/>
  <c r="U12" i="7"/>
  <c r="U11" i="7"/>
  <c r="U35" i="7"/>
  <c r="U22" i="7"/>
  <c r="U18" i="7"/>
  <c r="U14" i="7"/>
  <c r="U36" i="7"/>
  <c r="U10" i="7"/>
  <c r="U6" i="7"/>
  <c r="AC52" i="9"/>
  <c r="AC1" i="9"/>
  <c r="AC52" i="8"/>
  <c r="AC1" i="8"/>
  <c r="AC142" i="7"/>
  <c r="AC137" i="7"/>
  <c r="AC144" i="7"/>
  <c r="AC139" i="7"/>
  <c r="AC136" i="7"/>
  <c r="AC128" i="7"/>
  <c r="AC120" i="7"/>
  <c r="AC138" i="7"/>
  <c r="AC131" i="7"/>
  <c r="AC123" i="7"/>
  <c r="AC130" i="7"/>
  <c r="AC143" i="7"/>
  <c r="AC110" i="7"/>
  <c r="AC102" i="7"/>
  <c r="AC148" i="7"/>
  <c r="AC132" i="7"/>
  <c r="AC125" i="7"/>
  <c r="AC119" i="7"/>
  <c r="AC113" i="7"/>
  <c r="AC105" i="7"/>
  <c r="AC135" i="7"/>
  <c r="AC134" i="7"/>
  <c r="AC140" i="7"/>
  <c r="AC124" i="7"/>
  <c r="AC112" i="7"/>
  <c r="AC104" i="7"/>
  <c r="AC133" i="7"/>
  <c r="AC108" i="7"/>
  <c r="AC98" i="7"/>
  <c r="AC90" i="7"/>
  <c r="AC141" i="7"/>
  <c r="AC122" i="7"/>
  <c r="AC93" i="7"/>
  <c r="AC126" i="7"/>
  <c r="AC118" i="7"/>
  <c r="AC129" i="7"/>
  <c r="AC127" i="7"/>
  <c r="AC117" i="7"/>
  <c r="AC92" i="7"/>
  <c r="AC96" i="7"/>
  <c r="AC86" i="7"/>
  <c r="AC82" i="7"/>
  <c r="AC74" i="7"/>
  <c r="AC66" i="7"/>
  <c r="AC121" i="7"/>
  <c r="AC116" i="7"/>
  <c r="AC101" i="7"/>
  <c r="AC85" i="7"/>
  <c r="AC77" i="7"/>
  <c r="AC69" i="7"/>
  <c r="AC107" i="7"/>
  <c r="AC106" i="7"/>
  <c r="AC111" i="7"/>
  <c r="AC109" i="7"/>
  <c r="AC100" i="7"/>
  <c r="AC84" i="7"/>
  <c r="AC76" i="7"/>
  <c r="AC68" i="7"/>
  <c r="AC88" i="7"/>
  <c r="AC72" i="7"/>
  <c r="AC65" i="7"/>
  <c r="AC83" i="7"/>
  <c r="AC114" i="7"/>
  <c r="AC78" i="7"/>
  <c r="AC81" i="7"/>
  <c r="AC70" i="7"/>
  <c r="AC97" i="7"/>
  <c r="AC64" i="7"/>
  <c r="AC62" i="7"/>
  <c r="AC54" i="7"/>
  <c r="AC46" i="7"/>
  <c r="AC38" i="7"/>
  <c r="AC30" i="7"/>
  <c r="AC94" i="7"/>
  <c r="AC80" i="7"/>
  <c r="AC73" i="7"/>
  <c r="AC71" i="7"/>
  <c r="AC57" i="7"/>
  <c r="AC49" i="7"/>
  <c r="AC41" i="7"/>
  <c r="AC33" i="7"/>
  <c r="AC103" i="7"/>
  <c r="AC91" i="7"/>
  <c r="AC75" i="7"/>
  <c r="AC67" i="7"/>
  <c r="AC115" i="7"/>
  <c r="AC99" i="7"/>
  <c r="AC95" i="7"/>
  <c r="AC79" i="7"/>
  <c r="AC56" i="7"/>
  <c r="AC48" i="7"/>
  <c r="AC40" i="7"/>
  <c r="AC51" i="7"/>
  <c r="AC47" i="7"/>
  <c r="AC89" i="7"/>
  <c r="AC58" i="7"/>
  <c r="AC43" i="7"/>
  <c r="AC39" i="7"/>
  <c r="AC63" i="7"/>
  <c r="AC52" i="7"/>
  <c r="AC45" i="7"/>
  <c r="AC50" i="7"/>
  <c r="AC37" i="7"/>
  <c r="AC31" i="7"/>
  <c r="AC27" i="7"/>
  <c r="AC21" i="7"/>
  <c r="AC13" i="7"/>
  <c r="AC5" i="7"/>
  <c r="AC28" i="7"/>
  <c r="AC24" i="7"/>
  <c r="AC16" i="7"/>
  <c r="AC8" i="7"/>
  <c r="AC53" i="7"/>
  <c r="AC42" i="7"/>
  <c r="AC87" i="7"/>
  <c r="AC55" i="7"/>
  <c r="AC44" i="7"/>
  <c r="AC61" i="7"/>
  <c r="AC35" i="7"/>
  <c r="AC23" i="7"/>
  <c r="AC15" i="7"/>
  <c r="AC7" i="7"/>
  <c r="AC60" i="7"/>
  <c r="AC59" i="7"/>
  <c r="AC18" i="7"/>
  <c r="AC14" i="7"/>
  <c r="AC25" i="7"/>
  <c r="AC10" i="7"/>
  <c r="AC6" i="7"/>
  <c r="AC17" i="7"/>
  <c r="AC9" i="7"/>
  <c r="AC20" i="7"/>
  <c r="AC36" i="7"/>
  <c r="AC34" i="7"/>
  <c r="AC32" i="7"/>
  <c r="AC19" i="7"/>
  <c r="AC12" i="7"/>
  <c r="AC29" i="7"/>
  <c r="AC11" i="7"/>
  <c r="AC4" i="7"/>
  <c r="AK52" i="9"/>
  <c r="AK52" i="8"/>
  <c r="AK1" i="9"/>
  <c r="AK1" i="8"/>
  <c r="AK142" i="7"/>
  <c r="AK137" i="7"/>
  <c r="AK144" i="7"/>
  <c r="AK140" i="7"/>
  <c r="AK128" i="7"/>
  <c r="AK120" i="7"/>
  <c r="AK136" i="7"/>
  <c r="AK131" i="7"/>
  <c r="AK123" i="7"/>
  <c r="AK148" i="7"/>
  <c r="AK130" i="7"/>
  <c r="AK124" i="7"/>
  <c r="AK110" i="7"/>
  <c r="AK102" i="7"/>
  <c r="AK121" i="7"/>
  <c r="AK113" i="7"/>
  <c r="AK105" i="7"/>
  <c r="AK139" i="7"/>
  <c r="AK143" i="7"/>
  <c r="AK141" i="7"/>
  <c r="AK138" i="7"/>
  <c r="AK135" i="7"/>
  <c r="AK112" i="7"/>
  <c r="AK104" i="7"/>
  <c r="AK106" i="7"/>
  <c r="AK98" i="7"/>
  <c r="AK90" i="7"/>
  <c r="AK129" i="7"/>
  <c r="AK117" i="7"/>
  <c r="AK101" i="7"/>
  <c r="AK93" i="7"/>
  <c r="AK127" i="7"/>
  <c r="AK119" i="7"/>
  <c r="AK133" i="7"/>
  <c r="AK132" i="7"/>
  <c r="AK134" i="7"/>
  <c r="AK125" i="7"/>
  <c r="AK122" i="7"/>
  <c r="AK107" i="7"/>
  <c r="AK103" i="7"/>
  <c r="AK100" i="7"/>
  <c r="AK92" i="7"/>
  <c r="AK118" i="7"/>
  <c r="AK109" i="7"/>
  <c r="AK94" i="7"/>
  <c r="AK82" i="7"/>
  <c r="AK74" i="7"/>
  <c r="AK66" i="7"/>
  <c r="AK89" i="7"/>
  <c r="AK85" i="7"/>
  <c r="AK77" i="7"/>
  <c r="AK69" i="7"/>
  <c r="AK111" i="7"/>
  <c r="AK114" i="7"/>
  <c r="AK126" i="7"/>
  <c r="AK115" i="7"/>
  <c r="AK116" i="7"/>
  <c r="AK95" i="7"/>
  <c r="AK91" i="7"/>
  <c r="AK88" i="7"/>
  <c r="AK84" i="7"/>
  <c r="AK76" i="7"/>
  <c r="AK68" i="7"/>
  <c r="AK70" i="7"/>
  <c r="AK81" i="7"/>
  <c r="AK108" i="7"/>
  <c r="AK83" i="7"/>
  <c r="AK97" i="7"/>
  <c r="AK75" i="7"/>
  <c r="AK87" i="7"/>
  <c r="AK62" i="7"/>
  <c r="AK54" i="7"/>
  <c r="AK46" i="7"/>
  <c r="AK38" i="7"/>
  <c r="AK30" i="7"/>
  <c r="AK96" i="7"/>
  <c r="AK78" i="7"/>
  <c r="AK67" i="7"/>
  <c r="AK57" i="7"/>
  <c r="AK49" i="7"/>
  <c r="AK41" i="7"/>
  <c r="AK33" i="7"/>
  <c r="AK86" i="7"/>
  <c r="AK64" i="7"/>
  <c r="AK99" i="7"/>
  <c r="AK79" i="7"/>
  <c r="AK65" i="7"/>
  <c r="AK80" i="7"/>
  <c r="AK72" i="7"/>
  <c r="AK63" i="7"/>
  <c r="AK56" i="7"/>
  <c r="AK48" i="7"/>
  <c r="AK40" i="7"/>
  <c r="AK52" i="7"/>
  <c r="AK45" i="7"/>
  <c r="AK44" i="7"/>
  <c r="AK37" i="7"/>
  <c r="AK34" i="7"/>
  <c r="AK71" i="7"/>
  <c r="AK50" i="7"/>
  <c r="AK35" i="7"/>
  <c r="AK73" i="7"/>
  <c r="AK55" i="7"/>
  <c r="AK53" i="7"/>
  <c r="AK42" i="7"/>
  <c r="AK25" i="7"/>
  <c r="AK21" i="7"/>
  <c r="AK13" i="7"/>
  <c r="AK5" i="7"/>
  <c r="AK43" i="7"/>
  <c r="AK16" i="7"/>
  <c r="AK8" i="7"/>
  <c r="AK59" i="7"/>
  <c r="AK58" i="7"/>
  <c r="AK47" i="7"/>
  <c r="AK61" i="7"/>
  <c r="AK60" i="7"/>
  <c r="AK51" i="7"/>
  <c r="AK39" i="7"/>
  <c r="AK29" i="7"/>
  <c r="AK23" i="7"/>
  <c r="AK15" i="7"/>
  <c r="AK7" i="7"/>
  <c r="AK24" i="7"/>
  <c r="AK19" i="7"/>
  <c r="AK12" i="7"/>
  <c r="AK11" i="7"/>
  <c r="AK4" i="7"/>
  <c r="AK36" i="7"/>
  <c r="AK32" i="7"/>
  <c r="AK22" i="7"/>
  <c r="AK26" i="7"/>
  <c r="AK18" i="7"/>
  <c r="AK14" i="7"/>
  <c r="AK10" i="7"/>
  <c r="AK6" i="7"/>
  <c r="AK27" i="7"/>
  <c r="AK17" i="7"/>
  <c r="AK31" i="7"/>
  <c r="AK9" i="7"/>
  <c r="AS52" i="9"/>
  <c r="AS1" i="9"/>
  <c r="AS52" i="8"/>
  <c r="AS1" i="8"/>
  <c r="AS142" i="7"/>
  <c r="AS137" i="7"/>
  <c r="AS144" i="7"/>
  <c r="AS128" i="7"/>
  <c r="AS120" i="7"/>
  <c r="AS148" i="7"/>
  <c r="AS131" i="7"/>
  <c r="AS123" i="7"/>
  <c r="AS139" i="7"/>
  <c r="AS130" i="7"/>
  <c r="AS141" i="7"/>
  <c r="AS110" i="7"/>
  <c r="AS102" i="7"/>
  <c r="AS138" i="7"/>
  <c r="AS136" i="7"/>
  <c r="AS135" i="7"/>
  <c r="AS127" i="7"/>
  <c r="AS113" i="7"/>
  <c r="AS105" i="7"/>
  <c r="AS143" i="7"/>
  <c r="AS134" i="7"/>
  <c r="AS126" i="7"/>
  <c r="AS122" i="7"/>
  <c r="AS112" i="7"/>
  <c r="AS104" i="7"/>
  <c r="AS115" i="7"/>
  <c r="AS111" i="7"/>
  <c r="AS100" i="7"/>
  <c r="AS98" i="7"/>
  <c r="AS90" i="7"/>
  <c r="AS132" i="7"/>
  <c r="AS107" i="7"/>
  <c r="AS103" i="7"/>
  <c r="AS93" i="7"/>
  <c r="AS133" i="7"/>
  <c r="AS125" i="7"/>
  <c r="AS118" i="7"/>
  <c r="AS117" i="7"/>
  <c r="AS140" i="7"/>
  <c r="AS124" i="7"/>
  <c r="AS108" i="7"/>
  <c r="AS92" i="7"/>
  <c r="AS121" i="7"/>
  <c r="AS114" i="7"/>
  <c r="AS99" i="7"/>
  <c r="AS88" i="7"/>
  <c r="AS82" i="7"/>
  <c r="AS74" i="7"/>
  <c r="AS66" i="7"/>
  <c r="AS101" i="7"/>
  <c r="AS95" i="7"/>
  <c r="AS91" i="7"/>
  <c r="AS85" i="7"/>
  <c r="AS77" i="7"/>
  <c r="AS69" i="7"/>
  <c r="AS119" i="7"/>
  <c r="AS106" i="7"/>
  <c r="AS116" i="7"/>
  <c r="AS129" i="7"/>
  <c r="AS109" i="7"/>
  <c r="AS96" i="7"/>
  <c r="AS84" i="7"/>
  <c r="AS76" i="7"/>
  <c r="AS68" i="7"/>
  <c r="AS79" i="7"/>
  <c r="AS75" i="7"/>
  <c r="AS97" i="7"/>
  <c r="AS71" i="7"/>
  <c r="AS67" i="7"/>
  <c r="AS86" i="7"/>
  <c r="AS81" i="7"/>
  <c r="AS89" i="7"/>
  <c r="AS87" i="7"/>
  <c r="AS80" i="7"/>
  <c r="AS94" i="7"/>
  <c r="AS78" i="7"/>
  <c r="AS62" i="7"/>
  <c r="AS54" i="7"/>
  <c r="AS46" i="7"/>
  <c r="AS38" i="7"/>
  <c r="AS30" i="7"/>
  <c r="AS57" i="7"/>
  <c r="AS49" i="7"/>
  <c r="AS41" i="7"/>
  <c r="AS33" i="7"/>
  <c r="AS72" i="7"/>
  <c r="AS83" i="7"/>
  <c r="AS73" i="7"/>
  <c r="AS64" i="7"/>
  <c r="AS70" i="7"/>
  <c r="AS56" i="7"/>
  <c r="AS48" i="7"/>
  <c r="AS40" i="7"/>
  <c r="AS50" i="7"/>
  <c r="AS35" i="7"/>
  <c r="AS61" i="7"/>
  <c r="AS42" i="7"/>
  <c r="AS65" i="7"/>
  <c r="AS59" i="7"/>
  <c r="AS55" i="7"/>
  <c r="AS36" i="7"/>
  <c r="AS60" i="7"/>
  <c r="AS58" i="7"/>
  <c r="AS47" i="7"/>
  <c r="AS29" i="7"/>
  <c r="AS21" i="7"/>
  <c r="AS13" i="7"/>
  <c r="AS5" i="7"/>
  <c r="AS63" i="7"/>
  <c r="AS26" i="7"/>
  <c r="AS25" i="7"/>
  <c r="AS16" i="7"/>
  <c r="AS8" i="7"/>
  <c r="AS37" i="7"/>
  <c r="AS52" i="7"/>
  <c r="AS51" i="7"/>
  <c r="AS39" i="7"/>
  <c r="AS53" i="7"/>
  <c r="AS44" i="7"/>
  <c r="AS43" i="7"/>
  <c r="AS23" i="7"/>
  <c r="AS15" i="7"/>
  <c r="AS7" i="7"/>
  <c r="AS17" i="7"/>
  <c r="AS2" i="7"/>
  <c r="AS9" i="7"/>
  <c r="AS27" i="7"/>
  <c r="AS20" i="7"/>
  <c r="AS45" i="7"/>
  <c r="AS31" i="7"/>
  <c r="AS19" i="7"/>
  <c r="AS12" i="7"/>
  <c r="AS28" i="7"/>
  <c r="AS24" i="7"/>
  <c r="AS11" i="7"/>
  <c r="AS22" i="7"/>
  <c r="AS34" i="7"/>
  <c r="AS32" i="7"/>
  <c r="AS18" i="7"/>
  <c r="AS14" i="7"/>
  <c r="BA52" i="9"/>
  <c r="BA1" i="9"/>
  <c r="BA52" i="8"/>
  <c r="BA1" i="8"/>
  <c r="BA142" i="7"/>
  <c r="BA137" i="7"/>
  <c r="BA144" i="7"/>
  <c r="BA143" i="7"/>
  <c r="BA128" i="7"/>
  <c r="BA120" i="7"/>
  <c r="BA139" i="7"/>
  <c r="BA131" i="7"/>
  <c r="BA123" i="7"/>
  <c r="BA140" i="7"/>
  <c r="BA130" i="7"/>
  <c r="BA148" i="7"/>
  <c r="BA133" i="7"/>
  <c r="BA129" i="7"/>
  <c r="BA126" i="7"/>
  <c r="BA122" i="7"/>
  <c r="BA110" i="7"/>
  <c r="BA102" i="7"/>
  <c r="BA113" i="7"/>
  <c r="BA105" i="7"/>
  <c r="BA135" i="7"/>
  <c r="BA138" i="7"/>
  <c r="BA141" i="7"/>
  <c r="BA112" i="7"/>
  <c r="BA104" i="7"/>
  <c r="BA116" i="7"/>
  <c r="BA109" i="7"/>
  <c r="BA98" i="7"/>
  <c r="BA90" i="7"/>
  <c r="BA108" i="7"/>
  <c r="BA93" i="7"/>
  <c r="BA85" i="7"/>
  <c r="BA134" i="7"/>
  <c r="BA127" i="7"/>
  <c r="BA124" i="7"/>
  <c r="BA119" i="7"/>
  <c r="BA136" i="7"/>
  <c r="BA121" i="7"/>
  <c r="BA132" i="7"/>
  <c r="BA125" i="7"/>
  <c r="BA106" i="7"/>
  <c r="BA92" i="7"/>
  <c r="BA97" i="7"/>
  <c r="BA82" i="7"/>
  <c r="BA74" i="7"/>
  <c r="BA66" i="7"/>
  <c r="BA107" i="7"/>
  <c r="BA96" i="7"/>
  <c r="BA87" i="7"/>
  <c r="BA77" i="7"/>
  <c r="BA69" i="7"/>
  <c r="BA111" i="7"/>
  <c r="BA118" i="7"/>
  <c r="BA117" i="7"/>
  <c r="BA115" i="7"/>
  <c r="BA114" i="7"/>
  <c r="BA103" i="7"/>
  <c r="BA101" i="7"/>
  <c r="BA94" i="7"/>
  <c r="BA86" i="7"/>
  <c r="BA84" i="7"/>
  <c r="BA76" i="7"/>
  <c r="BA68" i="7"/>
  <c r="BA89" i="7"/>
  <c r="BA80" i="7"/>
  <c r="BA73" i="7"/>
  <c r="BA100" i="7"/>
  <c r="BA91" i="7"/>
  <c r="BA72" i="7"/>
  <c r="BA95" i="7"/>
  <c r="BA88" i="7"/>
  <c r="BA71" i="7"/>
  <c r="BA99" i="7"/>
  <c r="BA75" i="7"/>
  <c r="BA79" i="7"/>
  <c r="BA63" i="7"/>
  <c r="BA62" i="7"/>
  <c r="BA54" i="7"/>
  <c r="BA46" i="7"/>
  <c r="BA38" i="7"/>
  <c r="BA30" i="7"/>
  <c r="BA57" i="7"/>
  <c r="BA49" i="7"/>
  <c r="BA41" i="7"/>
  <c r="BA33" i="7"/>
  <c r="BA83" i="7"/>
  <c r="BA67" i="7"/>
  <c r="BA65" i="7"/>
  <c r="BA70" i="7"/>
  <c r="BA78" i="7"/>
  <c r="BA81" i="7"/>
  <c r="BA64" i="7"/>
  <c r="BA56" i="7"/>
  <c r="BA48" i="7"/>
  <c r="BA40" i="7"/>
  <c r="BA59" i="7"/>
  <c r="BA55" i="7"/>
  <c r="BA36" i="7"/>
  <c r="BA51" i="7"/>
  <c r="BA47" i="7"/>
  <c r="BA60" i="7"/>
  <c r="BA53" i="7"/>
  <c r="BA52" i="7"/>
  <c r="BA21" i="7"/>
  <c r="BA13" i="7"/>
  <c r="BA5" i="7"/>
  <c r="BA32" i="7"/>
  <c r="BA16" i="7"/>
  <c r="BA8" i="7"/>
  <c r="BA43" i="7"/>
  <c r="BA42" i="7"/>
  <c r="BA44" i="7"/>
  <c r="BA58" i="7"/>
  <c r="BA45" i="7"/>
  <c r="BA31" i="7"/>
  <c r="BA27" i="7"/>
  <c r="BA23" i="7"/>
  <c r="BA15" i="7"/>
  <c r="BA7" i="7"/>
  <c r="BA61" i="7"/>
  <c r="BA28" i="7"/>
  <c r="BA24" i="7"/>
  <c r="BA22" i="7"/>
  <c r="BA3" i="7"/>
  <c r="BA18" i="7"/>
  <c r="BA14" i="7"/>
  <c r="BA37" i="7"/>
  <c r="BA29" i="7"/>
  <c r="BA10" i="7"/>
  <c r="BA6" i="7"/>
  <c r="BA26" i="7"/>
  <c r="BA25" i="7"/>
  <c r="BA17" i="7"/>
  <c r="BA34" i="7"/>
  <c r="BA9" i="7"/>
  <c r="BA50" i="7"/>
  <c r="BA35" i="7"/>
  <c r="BA20" i="7"/>
  <c r="BA39" i="7"/>
  <c r="BA19" i="7"/>
  <c r="BA12" i="7"/>
  <c r="BI52" i="9"/>
  <c r="BI1" i="9"/>
  <c r="BI1" i="8"/>
  <c r="BI52" i="8"/>
  <c r="BI142" i="7"/>
  <c r="BI137" i="7"/>
  <c r="BI144" i="7"/>
  <c r="BI141" i="7"/>
  <c r="BI128" i="7"/>
  <c r="BI120" i="7"/>
  <c r="BI140" i="7"/>
  <c r="BI138" i="7"/>
  <c r="BI131" i="7"/>
  <c r="BI123" i="7"/>
  <c r="BI130" i="7"/>
  <c r="BI134" i="7"/>
  <c r="BI110" i="7"/>
  <c r="BI102" i="7"/>
  <c r="BI139" i="7"/>
  <c r="BI136" i="7"/>
  <c r="BI125" i="7"/>
  <c r="BI113" i="7"/>
  <c r="BI105" i="7"/>
  <c r="BI143" i="7"/>
  <c r="BI148" i="7"/>
  <c r="BI124" i="7"/>
  <c r="BI118" i="7"/>
  <c r="BI112" i="7"/>
  <c r="BI104" i="7"/>
  <c r="BI129" i="7"/>
  <c r="BI121" i="7"/>
  <c r="BI114" i="7"/>
  <c r="BI98" i="7"/>
  <c r="BI90" i="7"/>
  <c r="BI106" i="7"/>
  <c r="BI93" i="7"/>
  <c r="BI85" i="7"/>
  <c r="BI122" i="7"/>
  <c r="BI117" i="7"/>
  <c r="BI133" i="7"/>
  <c r="BI132" i="7"/>
  <c r="BI126" i="7"/>
  <c r="BI116" i="7"/>
  <c r="BI135" i="7"/>
  <c r="BI115" i="7"/>
  <c r="BI111" i="7"/>
  <c r="BI92" i="7"/>
  <c r="BI86" i="7"/>
  <c r="BI82" i="7"/>
  <c r="BI74" i="7"/>
  <c r="BI66" i="7"/>
  <c r="BI94" i="7"/>
  <c r="BI77" i="7"/>
  <c r="BI69" i="7"/>
  <c r="BI119" i="7"/>
  <c r="BI127" i="7"/>
  <c r="BI108" i="7"/>
  <c r="BI107" i="7"/>
  <c r="BI99" i="7"/>
  <c r="BI84" i="7"/>
  <c r="BI76" i="7"/>
  <c r="BI68" i="7"/>
  <c r="BI100" i="7"/>
  <c r="BI78" i="7"/>
  <c r="BI96" i="7"/>
  <c r="BI95" i="7"/>
  <c r="BI88" i="7"/>
  <c r="BI70" i="7"/>
  <c r="BI109" i="7"/>
  <c r="BI101" i="7"/>
  <c r="BI89" i="7"/>
  <c r="BI72" i="7"/>
  <c r="BI67" i="7"/>
  <c r="BI97" i="7"/>
  <c r="BI80" i="7"/>
  <c r="BI79" i="7"/>
  <c r="BI103" i="7"/>
  <c r="BI73" i="7"/>
  <c r="BI64" i="7"/>
  <c r="BI62" i="7"/>
  <c r="BI54" i="7"/>
  <c r="BI46" i="7"/>
  <c r="BI38" i="7"/>
  <c r="BI30" i="7"/>
  <c r="BI87" i="7"/>
  <c r="BI63" i="7"/>
  <c r="BI57" i="7"/>
  <c r="BI49" i="7"/>
  <c r="BI41" i="7"/>
  <c r="BI33" i="7"/>
  <c r="BI81" i="7"/>
  <c r="BI75" i="7"/>
  <c r="BI65" i="7"/>
  <c r="BI56" i="7"/>
  <c r="BI48" i="7"/>
  <c r="BI40" i="7"/>
  <c r="BI60" i="7"/>
  <c r="BI53" i="7"/>
  <c r="BI34" i="7"/>
  <c r="BI52" i="7"/>
  <c r="BI45" i="7"/>
  <c r="BI71" i="7"/>
  <c r="BI91" i="7"/>
  <c r="BI58" i="7"/>
  <c r="BI43" i="7"/>
  <c r="BI39" i="7"/>
  <c r="BI31" i="7"/>
  <c r="BI27" i="7"/>
  <c r="BI21" i="7"/>
  <c r="BI13" i="7"/>
  <c r="BI5" i="7"/>
  <c r="BI28" i="7"/>
  <c r="BI16" i="7"/>
  <c r="BI8" i="7"/>
  <c r="BI59" i="7"/>
  <c r="BI47" i="7"/>
  <c r="BI37" i="7"/>
  <c r="BI50" i="7"/>
  <c r="BI61" i="7"/>
  <c r="BI51" i="7"/>
  <c r="BI23" i="7"/>
  <c r="BI15" i="7"/>
  <c r="BI7" i="7"/>
  <c r="BI83" i="7"/>
  <c r="BI44" i="7"/>
  <c r="BI26" i="7"/>
  <c r="BI20" i="7"/>
  <c r="BI19" i="7"/>
  <c r="BI12" i="7"/>
  <c r="BI35" i="7"/>
  <c r="BI11" i="7"/>
  <c r="BI4" i="7"/>
  <c r="BI22" i="7"/>
  <c r="BI42" i="7"/>
  <c r="BI36" i="7"/>
  <c r="BI24" i="7"/>
  <c r="BI18" i="7"/>
  <c r="BI14" i="7"/>
  <c r="BI10" i="7"/>
  <c r="BI32" i="7"/>
  <c r="BI17" i="7"/>
  <c r="BI2" i="7"/>
  <c r="BQ52" i="9"/>
  <c r="BQ1" i="9"/>
  <c r="BQ1" i="8"/>
  <c r="BQ52" i="8"/>
  <c r="BQ142" i="7"/>
  <c r="BQ137" i="7"/>
  <c r="BQ144" i="7"/>
  <c r="BQ128" i="7"/>
  <c r="BQ120" i="7"/>
  <c r="BQ131" i="7"/>
  <c r="BQ123" i="7"/>
  <c r="BQ143" i="7"/>
  <c r="BQ130" i="7"/>
  <c r="BQ132" i="7"/>
  <c r="BQ124" i="7"/>
  <c r="BQ110" i="7"/>
  <c r="BQ102" i="7"/>
  <c r="BQ148" i="7"/>
  <c r="BQ121" i="7"/>
  <c r="BQ113" i="7"/>
  <c r="BQ105" i="7"/>
  <c r="BQ135" i="7"/>
  <c r="BQ134" i="7"/>
  <c r="BQ138" i="7"/>
  <c r="BQ140" i="7"/>
  <c r="BQ139" i="7"/>
  <c r="BQ133" i="7"/>
  <c r="BQ129" i="7"/>
  <c r="BQ119" i="7"/>
  <c r="BQ112" i="7"/>
  <c r="BQ104" i="7"/>
  <c r="BQ126" i="7"/>
  <c r="BQ98" i="7"/>
  <c r="BQ90" i="7"/>
  <c r="BQ115" i="7"/>
  <c r="BQ111" i="7"/>
  <c r="BQ101" i="7"/>
  <c r="BQ93" i="7"/>
  <c r="BQ85" i="7"/>
  <c r="BQ136" i="7"/>
  <c r="BQ127" i="7"/>
  <c r="BQ125" i="7"/>
  <c r="BQ118" i="7"/>
  <c r="BQ116" i="7"/>
  <c r="BQ109" i="7"/>
  <c r="BQ100" i="7"/>
  <c r="BQ92" i="7"/>
  <c r="BQ82" i="7"/>
  <c r="BQ74" i="7"/>
  <c r="BQ66" i="7"/>
  <c r="BQ99" i="7"/>
  <c r="BQ89" i="7"/>
  <c r="BQ77" i="7"/>
  <c r="BQ69" i="7"/>
  <c r="BQ107" i="7"/>
  <c r="BQ106" i="7"/>
  <c r="BQ117" i="7"/>
  <c r="BQ108" i="7"/>
  <c r="BQ122" i="7"/>
  <c r="BQ97" i="7"/>
  <c r="BQ88" i="7"/>
  <c r="BQ84" i="7"/>
  <c r="BQ76" i="7"/>
  <c r="BQ68" i="7"/>
  <c r="BQ86" i="7"/>
  <c r="BQ83" i="7"/>
  <c r="BQ141" i="7"/>
  <c r="BQ114" i="7"/>
  <c r="BQ79" i="7"/>
  <c r="BQ75" i="7"/>
  <c r="BQ103" i="7"/>
  <c r="BQ87" i="7"/>
  <c r="BQ70" i="7"/>
  <c r="BQ81" i="7"/>
  <c r="BQ94" i="7"/>
  <c r="BQ91" i="7"/>
  <c r="BQ62" i="7"/>
  <c r="BQ54" i="7"/>
  <c r="BQ46" i="7"/>
  <c r="BQ38" i="7"/>
  <c r="BQ30" i="7"/>
  <c r="BQ57" i="7"/>
  <c r="BQ49" i="7"/>
  <c r="BQ41" i="7"/>
  <c r="BQ33" i="7"/>
  <c r="BQ78" i="7"/>
  <c r="BQ72" i="7"/>
  <c r="BQ65" i="7"/>
  <c r="BQ64" i="7"/>
  <c r="BQ63" i="7"/>
  <c r="BQ71" i="7"/>
  <c r="BQ67" i="7"/>
  <c r="BQ96" i="7"/>
  <c r="BQ73" i="7"/>
  <c r="BQ56" i="7"/>
  <c r="BQ48" i="7"/>
  <c r="BQ40" i="7"/>
  <c r="BQ58" i="7"/>
  <c r="BQ43" i="7"/>
  <c r="BQ39" i="7"/>
  <c r="BQ50" i="7"/>
  <c r="BQ35" i="7"/>
  <c r="BQ61" i="7"/>
  <c r="BQ44" i="7"/>
  <c r="BQ37" i="7"/>
  <c r="BQ21" i="7"/>
  <c r="BQ13" i="7"/>
  <c r="BQ5" i="7"/>
  <c r="BQ80" i="7"/>
  <c r="BQ16" i="7"/>
  <c r="BQ8" i="7"/>
  <c r="BQ52" i="7"/>
  <c r="BQ51" i="7"/>
  <c r="BQ95" i="7"/>
  <c r="BQ53" i="7"/>
  <c r="BQ42" i="7"/>
  <c r="BQ55" i="7"/>
  <c r="BQ45" i="7"/>
  <c r="BQ29" i="7"/>
  <c r="BQ24" i="7"/>
  <c r="BQ23" i="7"/>
  <c r="BQ15" i="7"/>
  <c r="BQ7" i="7"/>
  <c r="BQ60" i="7"/>
  <c r="BQ59" i="7"/>
  <c r="BQ28" i="7"/>
  <c r="BQ10" i="7"/>
  <c r="BQ6" i="7"/>
  <c r="BQ17" i="7"/>
  <c r="BQ2" i="7"/>
  <c r="BQ9" i="7"/>
  <c r="BQ36" i="7"/>
  <c r="BQ32" i="7"/>
  <c r="BQ25" i="7"/>
  <c r="BQ20" i="7"/>
  <c r="BQ26" i="7"/>
  <c r="BQ19" i="7"/>
  <c r="BQ12" i="7"/>
  <c r="BQ11" i="7"/>
  <c r="BQ47" i="7"/>
  <c r="BQ27" i="7"/>
  <c r="BQ22" i="7"/>
  <c r="BQ3" i="7"/>
  <c r="BY52" i="9"/>
  <c r="BY52" i="8"/>
  <c r="BY1" i="9"/>
  <c r="BY1" i="8"/>
  <c r="BY142" i="7"/>
  <c r="BY137" i="7"/>
  <c r="BY144" i="7"/>
  <c r="BY128" i="7"/>
  <c r="BY120" i="7"/>
  <c r="BY143" i="7"/>
  <c r="BY131" i="7"/>
  <c r="BY123" i="7"/>
  <c r="BY141" i="7"/>
  <c r="BY136" i="7"/>
  <c r="BY130" i="7"/>
  <c r="BY118" i="7"/>
  <c r="BY110" i="7"/>
  <c r="BY102" i="7"/>
  <c r="BY133" i="7"/>
  <c r="BY129" i="7"/>
  <c r="BY127" i="7"/>
  <c r="BY113" i="7"/>
  <c r="BY105" i="7"/>
  <c r="BY139" i="7"/>
  <c r="BY138" i="7"/>
  <c r="BY140" i="7"/>
  <c r="BY134" i="7"/>
  <c r="BY126" i="7"/>
  <c r="BY122" i="7"/>
  <c r="BY112" i="7"/>
  <c r="BY104" i="7"/>
  <c r="BY121" i="7"/>
  <c r="BY117" i="7"/>
  <c r="BY100" i="7"/>
  <c r="BY98" i="7"/>
  <c r="BY90" i="7"/>
  <c r="BY116" i="7"/>
  <c r="BY109" i="7"/>
  <c r="BY93" i="7"/>
  <c r="BY85" i="7"/>
  <c r="BY135" i="7"/>
  <c r="BY125" i="7"/>
  <c r="BY132" i="7"/>
  <c r="BY119" i="7"/>
  <c r="BY114" i="7"/>
  <c r="BY92" i="7"/>
  <c r="BY148" i="7"/>
  <c r="BY107" i="7"/>
  <c r="BY88" i="7"/>
  <c r="BY82" i="7"/>
  <c r="BY74" i="7"/>
  <c r="BY66" i="7"/>
  <c r="BY97" i="7"/>
  <c r="BY77" i="7"/>
  <c r="BY69" i="7"/>
  <c r="BY111" i="7"/>
  <c r="BY124" i="7"/>
  <c r="BY115" i="7"/>
  <c r="BY84" i="7"/>
  <c r="BY76" i="7"/>
  <c r="BY68" i="7"/>
  <c r="BY91" i="7"/>
  <c r="BY87" i="7"/>
  <c r="BY81" i="7"/>
  <c r="BY80" i="7"/>
  <c r="BY73" i="7"/>
  <c r="BY103" i="7"/>
  <c r="BY89" i="7"/>
  <c r="BY79" i="7"/>
  <c r="BY75" i="7"/>
  <c r="BY67" i="7"/>
  <c r="BY86" i="7"/>
  <c r="BY108" i="7"/>
  <c r="BY101" i="7"/>
  <c r="BY95" i="7"/>
  <c r="BY99" i="7"/>
  <c r="BY62" i="7"/>
  <c r="BY54" i="7"/>
  <c r="BY46" i="7"/>
  <c r="BY38" i="7"/>
  <c r="BY30" i="7"/>
  <c r="BY71" i="7"/>
  <c r="BY57" i="7"/>
  <c r="BY49" i="7"/>
  <c r="BY41" i="7"/>
  <c r="BY33" i="7"/>
  <c r="BY96" i="7"/>
  <c r="BY94" i="7"/>
  <c r="BY70" i="7"/>
  <c r="BY63" i="7"/>
  <c r="BY83" i="7"/>
  <c r="BY64" i="7"/>
  <c r="BY106" i="7"/>
  <c r="BY65" i="7"/>
  <c r="BY56" i="7"/>
  <c r="BY48" i="7"/>
  <c r="BY40" i="7"/>
  <c r="BY44" i="7"/>
  <c r="BY37" i="7"/>
  <c r="BY59" i="7"/>
  <c r="BY55" i="7"/>
  <c r="BY36" i="7"/>
  <c r="BY72" i="7"/>
  <c r="BY61" i="7"/>
  <c r="BY42" i="7"/>
  <c r="BY78" i="7"/>
  <c r="BY53" i="7"/>
  <c r="BY29" i="7"/>
  <c r="BY21" i="7"/>
  <c r="BY13" i="7"/>
  <c r="BY5" i="7"/>
  <c r="BY43" i="7"/>
  <c r="BY26" i="7"/>
  <c r="BY16" i="7"/>
  <c r="BY8" i="7"/>
  <c r="BY58" i="7"/>
  <c r="BY47" i="7"/>
  <c r="BY45" i="7"/>
  <c r="BY60" i="7"/>
  <c r="BY51" i="7"/>
  <c r="BY50" i="7"/>
  <c r="BY39" i="7"/>
  <c r="BY23" i="7"/>
  <c r="BY15" i="7"/>
  <c r="BY7" i="7"/>
  <c r="BY52" i="7"/>
  <c r="BY11" i="7"/>
  <c r="BY4" i="7"/>
  <c r="BY22" i="7"/>
  <c r="BY3" i="7"/>
  <c r="BY18" i="7"/>
  <c r="BY14" i="7"/>
  <c r="BY27" i="7"/>
  <c r="BY24" i="7"/>
  <c r="BY10" i="7"/>
  <c r="BY6" i="7"/>
  <c r="BY31" i="7"/>
  <c r="BY17" i="7"/>
  <c r="BY34" i="7"/>
  <c r="BY28" i="7"/>
  <c r="BY9" i="7"/>
  <c r="BY20" i="7"/>
  <c r="CG52" i="9"/>
  <c r="CG1" i="9"/>
  <c r="CG1" i="8"/>
  <c r="CG52" i="8"/>
  <c r="CG142" i="7"/>
  <c r="CG137" i="7"/>
  <c r="CG144" i="7"/>
  <c r="CG148" i="7"/>
  <c r="CG128" i="7"/>
  <c r="CG120" i="7"/>
  <c r="CG141" i="7"/>
  <c r="CG131" i="7"/>
  <c r="CG123" i="7"/>
  <c r="CG130" i="7"/>
  <c r="CG139" i="7"/>
  <c r="CG135" i="7"/>
  <c r="CG126" i="7"/>
  <c r="CG122" i="7"/>
  <c r="CG119" i="7"/>
  <c r="CG110" i="7"/>
  <c r="CG102" i="7"/>
  <c r="CG134" i="7"/>
  <c r="CG118" i="7"/>
  <c r="CG113" i="7"/>
  <c r="CG105" i="7"/>
  <c r="CG143" i="7"/>
  <c r="CG136" i="7"/>
  <c r="CG138" i="7"/>
  <c r="CG132" i="7"/>
  <c r="CG112" i="7"/>
  <c r="CG104" i="7"/>
  <c r="CG107" i="7"/>
  <c r="CG103" i="7"/>
  <c r="CG98" i="7"/>
  <c r="CG90" i="7"/>
  <c r="CG114" i="7"/>
  <c r="CG93" i="7"/>
  <c r="CG85" i="7"/>
  <c r="CG133" i="7"/>
  <c r="CG127" i="7"/>
  <c r="CG117" i="7"/>
  <c r="CG140" i="7"/>
  <c r="CG124" i="7"/>
  <c r="CG116" i="7"/>
  <c r="CG121" i="7"/>
  <c r="CG92" i="7"/>
  <c r="CG95" i="7"/>
  <c r="CG91" i="7"/>
  <c r="CG82" i="7"/>
  <c r="CG74" i="7"/>
  <c r="CG66" i="7"/>
  <c r="CG87" i="7"/>
  <c r="CG77" i="7"/>
  <c r="CG69" i="7"/>
  <c r="CG115" i="7"/>
  <c r="CG129" i="7"/>
  <c r="CG125" i="7"/>
  <c r="CG106" i="7"/>
  <c r="CG109" i="7"/>
  <c r="CG86" i="7"/>
  <c r="CG84" i="7"/>
  <c r="CG76" i="7"/>
  <c r="CG68" i="7"/>
  <c r="CG100" i="7"/>
  <c r="CG96" i="7"/>
  <c r="CG71" i="7"/>
  <c r="CG67" i="7"/>
  <c r="CG97" i="7"/>
  <c r="CG89" i="7"/>
  <c r="CG78" i="7"/>
  <c r="CG111" i="7"/>
  <c r="CG80" i="7"/>
  <c r="CG73" i="7"/>
  <c r="CG108" i="7"/>
  <c r="CG101" i="7"/>
  <c r="CG99" i="7"/>
  <c r="CG79" i="7"/>
  <c r="CG81" i="7"/>
  <c r="CG62" i="7"/>
  <c r="CG54" i="7"/>
  <c r="CG46" i="7"/>
  <c r="CG38" i="7"/>
  <c r="CG30" i="7"/>
  <c r="CG94" i="7"/>
  <c r="CG88" i="7"/>
  <c r="CG83" i="7"/>
  <c r="CG57" i="7"/>
  <c r="CG49" i="7"/>
  <c r="CG41" i="7"/>
  <c r="CG33" i="7"/>
  <c r="CG65" i="7"/>
  <c r="CG72" i="7"/>
  <c r="CG63" i="7"/>
  <c r="CG64" i="7"/>
  <c r="CG56" i="7"/>
  <c r="CG48" i="7"/>
  <c r="CG40" i="7"/>
  <c r="CG61" i="7"/>
  <c r="CG42" i="7"/>
  <c r="CG75" i="7"/>
  <c r="CG60" i="7"/>
  <c r="CG53" i="7"/>
  <c r="CG34" i="7"/>
  <c r="CG70" i="7"/>
  <c r="CG51" i="7"/>
  <c r="CG47" i="7"/>
  <c r="CG58" i="7"/>
  <c r="CG24" i="7"/>
  <c r="CG21" i="7"/>
  <c r="CG13" i="7"/>
  <c r="CG5" i="7"/>
  <c r="CG59" i="7"/>
  <c r="CG36" i="7"/>
  <c r="CG35" i="7"/>
  <c r="CG32" i="7"/>
  <c r="CG16" i="7"/>
  <c r="CG8" i="7"/>
  <c r="CG37" i="7"/>
  <c r="CG52" i="7"/>
  <c r="CG50" i="7"/>
  <c r="CG39" i="7"/>
  <c r="CG55" i="7"/>
  <c r="CG44" i="7"/>
  <c r="CG43" i="7"/>
  <c r="CG31" i="7"/>
  <c r="CG27" i="7"/>
  <c r="CG25" i="7"/>
  <c r="CG23" i="7"/>
  <c r="CG15" i="7"/>
  <c r="CG7" i="7"/>
  <c r="CG9" i="7"/>
  <c r="CG45" i="7"/>
  <c r="CG28" i="7"/>
  <c r="CG20" i="7"/>
  <c r="CG19" i="7"/>
  <c r="CG12" i="7"/>
  <c r="CG29" i="7"/>
  <c r="CG11" i="7"/>
  <c r="CG26" i="7"/>
  <c r="CG22" i="7"/>
  <c r="CG18" i="7"/>
  <c r="CG14" i="7"/>
  <c r="CG10" i="7"/>
  <c r="CG6" i="7"/>
  <c r="CO52" i="9"/>
  <c r="CO1" i="9"/>
  <c r="CO52" i="8"/>
  <c r="CO1" i="8"/>
  <c r="CO142" i="7"/>
  <c r="CO137" i="7"/>
  <c r="CO144" i="7"/>
  <c r="CO139" i="7"/>
  <c r="CO136" i="7"/>
  <c r="CO128" i="7"/>
  <c r="CO120" i="7"/>
  <c r="CO138" i="7"/>
  <c r="CO131" i="7"/>
  <c r="CO123" i="7"/>
  <c r="CO130" i="7"/>
  <c r="CO148" i="7"/>
  <c r="CO110" i="7"/>
  <c r="CO102" i="7"/>
  <c r="CO132" i="7"/>
  <c r="CO125" i="7"/>
  <c r="CO119" i="7"/>
  <c r="CO113" i="7"/>
  <c r="CO105" i="7"/>
  <c r="CO135" i="7"/>
  <c r="CO134" i="7"/>
  <c r="CO140" i="7"/>
  <c r="CO141" i="7"/>
  <c r="CO124" i="7"/>
  <c r="CO112" i="7"/>
  <c r="CO104" i="7"/>
  <c r="CO127" i="7"/>
  <c r="CO118" i="7"/>
  <c r="CO108" i="7"/>
  <c r="CO98" i="7"/>
  <c r="CO90" i="7"/>
  <c r="CO121" i="7"/>
  <c r="CO93" i="7"/>
  <c r="CO85" i="7"/>
  <c r="CO143" i="7"/>
  <c r="CO122" i="7"/>
  <c r="CO129" i="7"/>
  <c r="CO126" i="7"/>
  <c r="CO117" i="7"/>
  <c r="CO92" i="7"/>
  <c r="CO100" i="7"/>
  <c r="CO96" i="7"/>
  <c r="CO86" i="7"/>
  <c r="CO82" i="7"/>
  <c r="CO74" i="7"/>
  <c r="CO66" i="7"/>
  <c r="CO107" i="7"/>
  <c r="CO106" i="7"/>
  <c r="CO77" i="7"/>
  <c r="CO69" i="7"/>
  <c r="CO133" i="7"/>
  <c r="CO111" i="7"/>
  <c r="CO109" i="7"/>
  <c r="CO116" i="7"/>
  <c r="CO115" i="7"/>
  <c r="CO114" i="7"/>
  <c r="CO103" i="7"/>
  <c r="CO84" i="7"/>
  <c r="CO76" i="7"/>
  <c r="CO68" i="7"/>
  <c r="CO87" i="7"/>
  <c r="CO72" i="7"/>
  <c r="CO65" i="7"/>
  <c r="CO91" i="7"/>
  <c r="CO83" i="7"/>
  <c r="CO95" i="7"/>
  <c r="CO94" i="7"/>
  <c r="CO78" i="7"/>
  <c r="CO71" i="7"/>
  <c r="CO67" i="7"/>
  <c r="CO89" i="7"/>
  <c r="CO75" i="7"/>
  <c r="CO73" i="7"/>
  <c r="CO97" i="7"/>
  <c r="CO64" i="7"/>
  <c r="CO62" i="7"/>
  <c r="CO54" i="7"/>
  <c r="CO46" i="7"/>
  <c r="CO38" i="7"/>
  <c r="CO30" i="7"/>
  <c r="CO80" i="7"/>
  <c r="CO57" i="7"/>
  <c r="CO49" i="7"/>
  <c r="CO41" i="7"/>
  <c r="CO33" i="7"/>
  <c r="CO81" i="7"/>
  <c r="CO101" i="7"/>
  <c r="CO70" i="7"/>
  <c r="CO79" i="7"/>
  <c r="CO56" i="7"/>
  <c r="CO48" i="7"/>
  <c r="CO40" i="7"/>
  <c r="CO51" i="7"/>
  <c r="CO47" i="7"/>
  <c r="CO58" i="7"/>
  <c r="CO43" i="7"/>
  <c r="CO39" i="7"/>
  <c r="CO52" i="7"/>
  <c r="CO45" i="7"/>
  <c r="CO31" i="7"/>
  <c r="CO27" i="7"/>
  <c r="CO21" i="7"/>
  <c r="CO13" i="7"/>
  <c r="CO5" i="7"/>
  <c r="CO88" i="7"/>
  <c r="CO28" i="7"/>
  <c r="CO24" i="7"/>
  <c r="CO16" i="7"/>
  <c r="CO8" i="7"/>
  <c r="CO61" i="7"/>
  <c r="CO53" i="7"/>
  <c r="CO42" i="7"/>
  <c r="CO63" i="7"/>
  <c r="CO55" i="7"/>
  <c r="CO44" i="7"/>
  <c r="CO99" i="7"/>
  <c r="CO60" i="7"/>
  <c r="CO59" i="7"/>
  <c r="CO36" i="7"/>
  <c r="CO23" i="7"/>
  <c r="CO15" i="7"/>
  <c r="CO7" i="7"/>
  <c r="CO37" i="7"/>
  <c r="CO29" i="7"/>
  <c r="CO18" i="7"/>
  <c r="CO14" i="7"/>
  <c r="CO34" i="7"/>
  <c r="CO26" i="7"/>
  <c r="CO10" i="7"/>
  <c r="CO6" i="7"/>
  <c r="CO17" i="7"/>
  <c r="CO50" i="7"/>
  <c r="CO35" i="7"/>
  <c r="CO9" i="7"/>
  <c r="CO20" i="7"/>
  <c r="CO19" i="7"/>
  <c r="CO12" i="7"/>
  <c r="CO25" i="7"/>
  <c r="CO11" i="7"/>
  <c r="CO4" i="7"/>
  <c r="CW52" i="9"/>
  <c r="CW52" i="8"/>
  <c r="CW1" i="9"/>
  <c r="CW1" i="8"/>
  <c r="CW142" i="7"/>
  <c r="CW137" i="7"/>
  <c r="CW144" i="7"/>
  <c r="CW140" i="7"/>
  <c r="CW128" i="7"/>
  <c r="CW120" i="7"/>
  <c r="CW136" i="7"/>
  <c r="CW131" i="7"/>
  <c r="CW123" i="7"/>
  <c r="CW148" i="7"/>
  <c r="CW130" i="7"/>
  <c r="CW124" i="7"/>
  <c r="CW110" i="7"/>
  <c r="CW102" i="7"/>
  <c r="CW139" i="7"/>
  <c r="CW121" i="7"/>
  <c r="CW113" i="7"/>
  <c r="CW105" i="7"/>
  <c r="CW143" i="7"/>
  <c r="CW141" i="7"/>
  <c r="CW138" i="7"/>
  <c r="CW135" i="7"/>
  <c r="CW112" i="7"/>
  <c r="CW104" i="7"/>
  <c r="CW129" i="7"/>
  <c r="CW122" i="7"/>
  <c r="CW119" i="7"/>
  <c r="CW106" i="7"/>
  <c r="CW98" i="7"/>
  <c r="CW90" i="7"/>
  <c r="CW126" i="7"/>
  <c r="CW117" i="7"/>
  <c r="CW101" i="7"/>
  <c r="CW93" i="7"/>
  <c r="CW85" i="7"/>
  <c r="CW116" i="7"/>
  <c r="CW134" i="7"/>
  <c r="CW133" i="7"/>
  <c r="CW132" i="7"/>
  <c r="CW127" i="7"/>
  <c r="CW118" i="7"/>
  <c r="CW107" i="7"/>
  <c r="CW103" i="7"/>
  <c r="CW100" i="7"/>
  <c r="CW92" i="7"/>
  <c r="CW94" i="7"/>
  <c r="CW82" i="7"/>
  <c r="CW74" i="7"/>
  <c r="CW66" i="7"/>
  <c r="CW111" i="7"/>
  <c r="CW89" i="7"/>
  <c r="CW77" i="7"/>
  <c r="CW69" i="7"/>
  <c r="CW125" i="7"/>
  <c r="CW114" i="7"/>
  <c r="CW115" i="7"/>
  <c r="CW108" i="7"/>
  <c r="CW95" i="7"/>
  <c r="CW91" i="7"/>
  <c r="CW88" i="7"/>
  <c r="CW84" i="7"/>
  <c r="CW76" i="7"/>
  <c r="CW68" i="7"/>
  <c r="CW109" i="7"/>
  <c r="CW70" i="7"/>
  <c r="CW96" i="7"/>
  <c r="CW86" i="7"/>
  <c r="CW81" i="7"/>
  <c r="CW99" i="7"/>
  <c r="CW83" i="7"/>
  <c r="CW97" i="7"/>
  <c r="CW80" i="7"/>
  <c r="CW79" i="7"/>
  <c r="CW78" i="7"/>
  <c r="CW62" i="7"/>
  <c r="CW54" i="7"/>
  <c r="CW46" i="7"/>
  <c r="CW38" i="7"/>
  <c r="CW30" i="7"/>
  <c r="CW71" i="7"/>
  <c r="CW57" i="7"/>
  <c r="CW49" i="7"/>
  <c r="CW41" i="7"/>
  <c r="CW33" i="7"/>
  <c r="CW65" i="7"/>
  <c r="CW64" i="7"/>
  <c r="CW87" i="7"/>
  <c r="CW75" i="7"/>
  <c r="CW73" i="7"/>
  <c r="CW63" i="7"/>
  <c r="CW56" i="7"/>
  <c r="CW48" i="7"/>
  <c r="CW40" i="7"/>
  <c r="CW52" i="7"/>
  <c r="CW45" i="7"/>
  <c r="CW44" i="7"/>
  <c r="CW37" i="7"/>
  <c r="CW67" i="7"/>
  <c r="CW50" i="7"/>
  <c r="CW35" i="7"/>
  <c r="CW61" i="7"/>
  <c r="CW43" i="7"/>
  <c r="CW25" i="7"/>
  <c r="CW21" i="7"/>
  <c r="CW13" i="7"/>
  <c r="CW5" i="7"/>
  <c r="CW16" i="7"/>
  <c r="CW8" i="7"/>
  <c r="CW59" i="7"/>
  <c r="CW58" i="7"/>
  <c r="CW47" i="7"/>
  <c r="CW72" i="7"/>
  <c r="CW60" i="7"/>
  <c r="CW51" i="7"/>
  <c r="CW39" i="7"/>
  <c r="CW29" i="7"/>
  <c r="CW23" i="7"/>
  <c r="CW15" i="7"/>
  <c r="CW7" i="7"/>
  <c r="CW31" i="7"/>
  <c r="CW19" i="7"/>
  <c r="CW12" i="7"/>
  <c r="CW53" i="7"/>
  <c r="CW28" i="7"/>
  <c r="CW11" i="7"/>
  <c r="CW4" i="7"/>
  <c r="CW42" i="7"/>
  <c r="CW36" i="7"/>
  <c r="CW22" i="7"/>
  <c r="CW18" i="7"/>
  <c r="CW14" i="7"/>
  <c r="CW32" i="7"/>
  <c r="CW10" i="7"/>
  <c r="CW6" i="7"/>
  <c r="CW55" i="7"/>
  <c r="CW26" i="7"/>
  <c r="CW24" i="7"/>
  <c r="CW17" i="7"/>
  <c r="CW34" i="7"/>
  <c r="CW9" i="7"/>
  <c r="DE52" i="9"/>
  <c r="DE1" i="9"/>
  <c r="DE52" i="8"/>
  <c r="DE1" i="8"/>
  <c r="DE142" i="7"/>
  <c r="DE137" i="7"/>
  <c r="DE144" i="7"/>
  <c r="DE128" i="7"/>
  <c r="DE120" i="7"/>
  <c r="DE148" i="7"/>
  <c r="DE131" i="7"/>
  <c r="DE123" i="7"/>
  <c r="DE139" i="7"/>
  <c r="DE130" i="7"/>
  <c r="DE110" i="7"/>
  <c r="DE102" i="7"/>
  <c r="DE143" i="7"/>
  <c r="DE135" i="7"/>
  <c r="DE127" i="7"/>
  <c r="DE113" i="7"/>
  <c r="DE105" i="7"/>
  <c r="DE134" i="7"/>
  <c r="DE138" i="7"/>
  <c r="DE140" i="7"/>
  <c r="DE136" i="7"/>
  <c r="DE126" i="7"/>
  <c r="DE122" i="7"/>
  <c r="DE117" i="7"/>
  <c r="DE112" i="7"/>
  <c r="DE104" i="7"/>
  <c r="DE132" i="7"/>
  <c r="DE124" i="7"/>
  <c r="DE118" i="7"/>
  <c r="DE115" i="7"/>
  <c r="DE111" i="7"/>
  <c r="DE100" i="7"/>
  <c r="DE98" i="7"/>
  <c r="DE90" i="7"/>
  <c r="DE133" i="7"/>
  <c r="DE121" i="7"/>
  <c r="DE107" i="7"/>
  <c r="DE103" i="7"/>
  <c r="DE93" i="7"/>
  <c r="DE85" i="7"/>
  <c r="DE125" i="7"/>
  <c r="DE119" i="7"/>
  <c r="DE141" i="7"/>
  <c r="DE129" i="7"/>
  <c r="DE108" i="7"/>
  <c r="DE92" i="7"/>
  <c r="DE99" i="7"/>
  <c r="DE88" i="7"/>
  <c r="DE82" i="7"/>
  <c r="DE74" i="7"/>
  <c r="DE66" i="7"/>
  <c r="DE116" i="7"/>
  <c r="DE95" i="7"/>
  <c r="DE91" i="7"/>
  <c r="DE77" i="7"/>
  <c r="DE69" i="7"/>
  <c r="DE106" i="7"/>
  <c r="DE96" i="7"/>
  <c r="DE84" i="7"/>
  <c r="DE76" i="7"/>
  <c r="DE68" i="7"/>
  <c r="DE97" i="7"/>
  <c r="DE79" i="7"/>
  <c r="DE75" i="7"/>
  <c r="DE87" i="7"/>
  <c r="DE71" i="7"/>
  <c r="DE67" i="7"/>
  <c r="DE81" i="7"/>
  <c r="DE86" i="7"/>
  <c r="DE114" i="7"/>
  <c r="DE83" i="7"/>
  <c r="DE101" i="7"/>
  <c r="DE89" i="7"/>
  <c r="DE78" i="7"/>
  <c r="DE62" i="7"/>
  <c r="DE54" i="7"/>
  <c r="DE46" i="7"/>
  <c r="DE38" i="7"/>
  <c r="DE30" i="7"/>
  <c r="DE109" i="7"/>
  <c r="DE57" i="7"/>
  <c r="DE49" i="7"/>
  <c r="DE41" i="7"/>
  <c r="DE33" i="7"/>
  <c r="DE73" i="7"/>
  <c r="DE72" i="7"/>
  <c r="DE64" i="7"/>
  <c r="DE80" i="7"/>
  <c r="DE94" i="7"/>
  <c r="DE56" i="7"/>
  <c r="DE48" i="7"/>
  <c r="DE40" i="7"/>
  <c r="DE50" i="7"/>
  <c r="DE35" i="7"/>
  <c r="DE65" i="7"/>
  <c r="DE63" i="7"/>
  <c r="DE61" i="7"/>
  <c r="DE42" i="7"/>
  <c r="DE59" i="7"/>
  <c r="DE55" i="7"/>
  <c r="DE36" i="7"/>
  <c r="DE29" i="7"/>
  <c r="DE21" i="7"/>
  <c r="DE13" i="7"/>
  <c r="DE5" i="7"/>
  <c r="DE37" i="7"/>
  <c r="DE26" i="7"/>
  <c r="DE25" i="7"/>
  <c r="DE16" i="7"/>
  <c r="DE8" i="7"/>
  <c r="DE52" i="7"/>
  <c r="DE51" i="7"/>
  <c r="DE39" i="7"/>
  <c r="DE53" i="7"/>
  <c r="DE70" i="7"/>
  <c r="DE44" i="7"/>
  <c r="DE43" i="7"/>
  <c r="DE45" i="7"/>
  <c r="DE34" i="7"/>
  <c r="DE23" i="7"/>
  <c r="DE15" i="7"/>
  <c r="DE7" i="7"/>
  <c r="DE60" i="7"/>
  <c r="DE58" i="7"/>
  <c r="DE32" i="7"/>
  <c r="DE17" i="7"/>
  <c r="DE2" i="7"/>
  <c r="DE24" i="7"/>
  <c r="DE9" i="7"/>
  <c r="DE20" i="7"/>
  <c r="DE19" i="7"/>
  <c r="DE12" i="7"/>
  <c r="DE47" i="7"/>
  <c r="DE27" i="7"/>
  <c r="DE11" i="7"/>
  <c r="DE31" i="7"/>
  <c r="DE22" i="7"/>
  <c r="DE28" i="7"/>
  <c r="DE18" i="7"/>
  <c r="DE14" i="7"/>
  <c r="DM52" i="9"/>
  <c r="DM1" i="9"/>
  <c r="DM52" i="8"/>
  <c r="DM1" i="8"/>
  <c r="DM142" i="7"/>
  <c r="DM137" i="7"/>
  <c r="DM144" i="7"/>
  <c r="DM143" i="7"/>
  <c r="DM128" i="7"/>
  <c r="DM120" i="7"/>
  <c r="DM139" i="7"/>
  <c r="DM131" i="7"/>
  <c r="DM123" i="7"/>
  <c r="DM140" i="7"/>
  <c r="DM130" i="7"/>
  <c r="DM133" i="7"/>
  <c r="DM129" i="7"/>
  <c r="DM126" i="7"/>
  <c r="DM122" i="7"/>
  <c r="DM110" i="7"/>
  <c r="DM102" i="7"/>
  <c r="DM113" i="7"/>
  <c r="DM105" i="7"/>
  <c r="DM136" i="7"/>
  <c r="DM135" i="7"/>
  <c r="DM141" i="7"/>
  <c r="DM112" i="7"/>
  <c r="DM104" i="7"/>
  <c r="DM138" i="7"/>
  <c r="DM134" i="7"/>
  <c r="DM125" i="7"/>
  <c r="DM119" i="7"/>
  <c r="DM117" i="7"/>
  <c r="DM116" i="7"/>
  <c r="DM109" i="7"/>
  <c r="DM98" i="7"/>
  <c r="DM90" i="7"/>
  <c r="DM108" i="7"/>
  <c r="DM93" i="7"/>
  <c r="DM85" i="7"/>
  <c r="DM132" i="7"/>
  <c r="DM127" i="7"/>
  <c r="DM118" i="7"/>
  <c r="DM148" i="7"/>
  <c r="DM124" i="7"/>
  <c r="DM121" i="7"/>
  <c r="DM106" i="7"/>
  <c r="DM92" i="7"/>
  <c r="DM107" i="7"/>
  <c r="DM101" i="7"/>
  <c r="DM97" i="7"/>
  <c r="DM82" i="7"/>
  <c r="DM74" i="7"/>
  <c r="DM66" i="7"/>
  <c r="DM96" i="7"/>
  <c r="DM87" i="7"/>
  <c r="DM77" i="7"/>
  <c r="DM69" i="7"/>
  <c r="DM111" i="7"/>
  <c r="DM115" i="7"/>
  <c r="DM114" i="7"/>
  <c r="DM94" i="7"/>
  <c r="DM86" i="7"/>
  <c r="DM84" i="7"/>
  <c r="DM76" i="7"/>
  <c r="DM68" i="7"/>
  <c r="DM103" i="7"/>
  <c r="DM91" i="7"/>
  <c r="DM80" i="7"/>
  <c r="DM73" i="7"/>
  <c r="DM72" i="7"/>
  <c r="DM65" i="7"/>
  <c r="DM71" i="7"/>
  <c r="DM95" i="7"/>
  <c r="DM99" i="7"/>
  <c r="DM75" i="7"/>
  <c r="DM79" i="7"/>
  <c r="DM67" i="7"/>
  <c r="DM63" i="7"/>
  <c r="DM62" i="7"/>
  <c r="DM54" i="7"/>
  <c r="DM46" i="7"/>
  <c r="DM38" i="7"/>
  <c r="DM30" i="7"/>
  <c r="DM57" i="7"/>
  <c r="DM49" i="7"/>
  <c r="DM41" i="7"/>
  <c r="DM33" i="7"/>
  <c r="DM83" i="7"/>
  <c r="DM88" i="7"/>
  <c r="DM78" i="7"/>
  <c r="DM70" i="7"/>
  <c r="DM89" i="7"/>
  <c r="DM81" i="7"/>
  <c r="DM64" i="7"/>
  <c r="DM56" i="7"/>
  <c r="DM48" i="7"/>
  <c r="DM40" i="7"/>
  <c r="DM59" i="7"/>
  <c r="DM55" i="7"/>
  <c r="DM36" i="7"/>
  <c r="DM51" i="7"/>
  <c r="DM47" i="7"/>
  <c r="DM100" i="7"/>
  <c r="DM60" i="7"/>
  <c r="DM53" i="7"/>
  <c r="DM34" i="7"/>
  <c r="DM21" i="7"/>
  <c r="DM13" i="7"/>
  <c r="DM5" i="7"/>
  <c r="DM43" i="7"/>
  <c r="DM42" i="7"/>
  <c r="DM32" i="7"/>
  <c r="DM16" i="7"/>
  <c r="DM8" i="7"/>
  <c r="DM44" i="7"/>
  <c r="DM61" i="7"/>
  <c r="DM58" i="7"/>
  <c r="DM45" i="7"/>
  <c r="DM50" i="7"/>
  <c r="DM39" i="7"/>
  <c r="DM37" i="7"/>
  <c r="DM31" i="7"/>
  <c r="DM27" i="7"/>
  <c r="DM23" i="7"/>
  <c r="DM15" i="7"/>
  <c r="DM7" i="7"/>
  <c r="DM25" i="7"/>
  <c r="DM22" i="7"/>
  <c r="DM3" i="7"/>
  <c r="DM18" i="7"/>
  <c r="DM14" i="7"/>
  <c r="DM28" i="7"/>
  <c r="DM10" i="7"/>
  <c r="DM6" i="7"/>
  <c r="DM17" i="7"/>
  <c r="DM29" i="7"/>
  <c r="DM9" i="7"/>
  <c r="DM35" i="7"/>
  <c r="DM26" i="7"/>
  <c r="DM24" i="7"/>
  <c r="DM20" i="7"/>
  <c r="DM52" i="7"/>
  <c r="DM19" i="7"/>
  <c r="DM12" i="7"/>
  <c r="DU52" i="9"/>
  <c r="DU1" i="9"/>
  <c r="DU1" i="8"/>
  <c r="DU52" i="8"/>
  <c r="DU142" i="7"/>
  <c r="DU137" i="7"/>
  <c r="DU144" i="7"/>
  <c r="DU141" i="7"/>
  <c r="DU128" i="7"/>
  <c r="DU120" i="7"/>
  <c r="DU140" i="7"/>
  <c r="DU138" i="7"/>
  <c r="DU131" i="7"/>
  <c r="DU123" i="7"/>
  <c r="DU130" i="7"/>
  <c r="DU139" i="7"/>
  <c r="DU134" i="7"/>
  <c r="DU117" i="7"/>
  <c r="DU110" i="7"/>
  <c r="DU102" i="7"/>
  <c r="DU125" i="7"/>
  <c r="DU113" i="7"/>
  <c r="DU105" i="7"/>
  <c r="DU143" i="7"/>
  <c r="DU133" i="7"/>
  <c r="DU148" i="7"/>
  <c r="DU124" i="7"/>
  <c r="DU118" i="7"/>
  <c r="DU112" i="7"/>
  <c r="DU104" i="7"/>
  <c r="DU114" i="7"/>
  <c r="DU98" i="7"/>
  <c r="DU90" i="7"/>
  <c r="DU127" i="7"/>
  <c r="DU106" i="7"/>
  <c r="DU93" i="7"/>
  <c r="DU85" i="7"/>
  <c r="DU132" i="7"/>
  <c r="DU121" i="7"/>
  <c r="DU136" i="7"/>
  <c r="DU135" i="7"/>
  <c r="DU116" i="7"/>
  <c r="DU122" i="7"/>
  <c r="DU119" i="7"/>
  <c r="DU126" i="7"/>
  <c r="DU115" i="7"/>
  <c r="DU111" i="7"/>
  <c r="DU92" i="7"/>
  <c r="DU86" i="7"/>
  <c r="DU82" i="7"/>
  <c r="DU74" i="7"/>
  <c r="DU66" i="7"/>
  <c r="DU129" i="7"/>
  <c r="DU100" i="7"/>
  <c r="DU94" i="7"/>
  <c r="DU77" i="7"/>
  <c r="DU69" i="7"/>
  <c r="DU109" i="7"/>
  <c r="DU99" i="7"/>
  <c r="DU84" i="7"/>
  <c r="DU76" i="7"/>
  <c r="DU68" i="7"/>
  <c r="DU96" i="7"/>
  <c r="DU95" i="7"/>
  <c r="DU78" i="7"/>
  <c r="DU108" i="7"/>
  <c r="DU97" i="7"/>
  <c r="DU87" i="7"/>
  <c r="DU70" i="7"/>
  <c r="DU72" i="7"/>
  <c r="DU101" i="7"/>
  <c r="DU89" i="7"/>
  <c r="DU80" i="7"/>
  <c r="DU79" i="7"/>
  <c r="DU107" i="7"/>
  <c r="DU81" i="7"/>
  <c r="DU73" i="7"/>
  <c r="DU64" i="7"/>
  <c r="DU62" i="7"/>
  <c r="DU54" i="7"/>
  <c r="DU46" i="7"/>
  <c r="DU38" i="7"/>
  <c r="DU30" i="7"/>
  <c r="DU88" i="7"/>
  <c r="DU71" i="7"/>
  <c r="DU63" i="7"/>
  <c r="DU57" i="7"/>
  <c r="DU49" i="7"/>
  <c r="DU41" i="7"/>
  <c r="DU33" i="7"/>
  <c r="DU91" i="7"/>
  <c r="DU75" i="7"/>
  <c r="DU67" i="7"/>
  <c r="DU103" i="7"/>
  <c r="DU56" i="7"/>
  <c r="DU48" i="7"/>
  <c r="DU40" i="7"/>
  <c r="DU65" i="7"/>
  <c r="DU60" i="7"/>
  <c r="DU53" i="7"/>
  <c r="DU34" i="7"/>
  <c r="DU52" i="7"/>
  <c r="DU45" i="7"/>
  <c r="DU83" i="7"/>
  <c r="DU58" i="7"/>
  <c r="DU43" i="7"/>
  <c r="DU39" i="7"/>
  <c r="DU31" i="7"/>
  <c r="DU27" i="7"/>
  <c r="DU21" i="7"/>
  <c r="DU13" i="7"/>
  <c r="DU5" i="7"/>
  <c r="DU61" i="7"/>
  <c r="DU59" i="7"/>
  <c r="DU47" i="7"/>
  <c r="DU36" i="7"/>
  <c r="DU35" i="7"/>
  <c r="DU28" i="7"/>
  <c r="DU16" i="7"/>
  <c r="DU8" i="7"/>
  <c r="DU37" i="7"/>
  <c r="DU50" i="7"/>
  <c r="DU51" i="7"/>
  <c r="DU55" i="7"/>
  <c r="DU44" i="7"/>
  <c r="DU42" i="7"/>
  <c r="DU23" i="7"/>
  <c r="DU15" i="7"/>
  <c r="DU7" i="7"/>
  <c r="DU32" i="7"/>
  <c r="DU20" i="7"/>
  <c r="DU29" i="7"/>
  <c r="DU24" i="7"/>
  <c r="DU19" i="7"/>
  <c r="DU12" i="7"/>
  <c r="DU26" i="7"/>
  <c r="DU11" i="7"/>
  <c r="DU4" i="7"/>
  <c r="DU22" i="7"/>
  <c r="DU25" i="7"/>
  <c r="DU18" i="7"/>
  <c r="DU14" i="7"/>
  <c r="DU10" i="7"/>
  <c r="DU17" i="7"/>
  <c r="DU2" i="7"/>
  <c r="EC52" i="9"/>
  <c r="EC1" i="9"/>
  <c r="EC1" i="8"/>
  <c r="EC52" i="8"/>
  <c r="EC142" i="7"/>
  <c r="EC137" i="7"/>
  <c r="EC144" i="7"/>
  <c r="EC128" i="7"/>
  <c r="EC120" i="7"/>
  <c r="EC131" i="7"/>
  <c r="EC123" i="7"/>
  <c r="EC143" i="7"/>
  <c r="EC130" i="7"/>
  <c r="EC148" i="7"/>
  <c r="EC132" i="7"/>
  <c r="EC124" i="7"/>
  <c r="EC110" i="7"/>
  <c r="EC102" i="7"/>
  <c r="EC121" i="7"/>
  <c r="EC117" i="7"/>
  <c r="EC113" i="7"/>
  <c r="EC105" i="7"/>
  <c r="EC135" i="7"/>
  <c r="EC136" i="7"/>
  <c r="EC134" i="7"/>
  <c r="EC140" i="7"/>
  <c r="EC139" i="7"/>
  <c r="EC141" i="7"/>
  <c r="EC133" i="7"/>
  <c r="EC129" i="7"/>
  <c r="EC119" i="7"/>
  <c r="EC112" i="7"/>
  <c r="EC104" i="7"/>
  <c r="EC125" i="7"/>
  <c r="EC98" i="7"/>
  <c r="EC90" i="7"/>
  <c r="EC122" i="7"/>
  <c r="EC115" i="7"/>
  <c r="EC111" i="7"/>
  <c r="EC101" i="7"/>
  <c r="EC93" i="7"/>
  <c r="EC85" i="7"/>
  <c r="EC126" i="7"/>
  <c r="EC118" i="7"/>
  <c r="EC127" i="7"/>
  <c r="EC116" i="7"/>
  <c r="EC109" i="7"/>
  <c r="EC100" i="7"/>
  <c r="EC92" i="7"/>
  <c r="EC82" i="7"/>
  <c r="EC74" i="7"/>
  <c r="EC66" i="7"/>
  <c r="EC107" i="7"/>
  <c r="EC106" i="7"/>
  <c r="EC99" i="7"/>
  <c r="EC89" i="7"/>
  <c r="EC77" i="7"/>
  <c r="EC69" i="7"/>
  <c r="EC108" i="7"/>
  <c r="EC138" i="7"/>
  <c r="EC114" i="7"/>
  <c r="EC103" i="7"/>
  <c r="EC97" i="7"/>
  <c r="EC88" i="7"/>
  <c r="EC84" i="7"/>
  <c r="EC76" i="7"/>
  <c r="EC68" i="7"/>
  <c r="EC83" i="7"/>
  <c r="EC91" i="7"/>
  <c r="EC79" i="7"/>
  <c r="EC75" i="7"/>
  <c r="EC95" i="7"/>
  <c r="EC94" i="7"/>
  <c r="EC70" i="7"/>
  <c r="EC86" i="7"/>
  <c r="EC71" i="7"/>
  <c r="EC72" i="7"/>
  <c r="EC73" i="7"/>
  <c r="EC62" i="7"/>
  <c r="EC54" i="7"/>
  <c r="EC46" i="7"/>
  <c r="EC38" i="7"/>
  <c r="EC30" i="7"/>
  <c r="EC67" i="7"/>
  <c r="EC57" i="7"/>
  <c r="EC49" i="7"/>
  <c r="EC41" i="7"/>
  <c r="EC33" i="7"/>
  <c r="EC81" i="7"/>
  <c r="EC78" i="7"/>
  <c r="EC64" i="7"/>
  <c r="EC63" i="7"/>
  <c r="EC96" i="7"/>
  <c r="EC65" i="7"/>
  <c r="EC87" i="7"/>
  <c r="EC56" i="7"/>
  <c r="EC48" i="7"/>
  <c r="EC40" i="7"/>
  <c r="EC58" i="7"/>
  <c r="EC43" i="7"/>
  <c r="EC39" i="7"/>
  <c r="EC50" i="7"/>
  <c r="EC35" i="7"/>
  <c r="EC61" i="7"/>
  <c r="EC44" i="7"/>
  <c r="EC37" i="7"/>
  <c r="EC80" i="7"/>
  <c r="EC21" i="7"/>
  <c r="EC13" i="7"/>
  <c r="EC5" i="7"/>
  <c r="EC52" i="7"/>
  <c r="EC51" i="7"/>
  <c r="EC16" i="7"/>
  <c r="EC8" i="7"/>
  <c r="EC53" i="7"/>
  <c r="EC42" i="7"/>
  <c r="EC55" i="7"/>
  <c r="EC45" i="7"/>
  <c r="EC60" i="7"/>
  <c r="EC59" i="7"/>
  <c r="EC47" i="7"/>
  <c r="EC36" i="7"/>
  <c r="EC29" i="7"/>
  <c r="EC24" i="7"/>
  <c r="EC23" i="7"/>
  <c r="EC15" i="7"/>
  <c r="EC7" i="7"/>
  <c r="EC27" i="7"/>
  <c r="EC25" i="7"/>
  <c r="EC10" i="7"/>
  <c r="EC6" i="7"/>
  <c r="EC31" i="7"/>
  <c r="EC17" i="7"/>
  <c r="EC2" i="7"/>
  <c r="EC28" i="7"/>
  <c r="EC9" i="7"/>
  <c r="EC20" i="7"/>
  <c r="EC19" i="7"/>
  <c r="EC12" i="7"/>
  <c r="EC32" i="7"/>
  <c r="EC11" i="7"/>
  <c r="EC26" i="7"/>
  <c r="EC22" i="7"/>
  <c r="EC3" i="7"/>
  <c r="EK52" i="9"/>
  <c r="EK52" i="8"/>
  <c r="EK1" i="9"/>
  <c r="EK1" i="8"/>
  <c r="EK142" i="7"/>
  <c r="EK137" i="7"/>
  <c r="EK144" i="7"/>
  <c r="EK128" i="7"/>
  <c r="EK120" i="7"/>
  <c r="EK143" i="7"/>
  <c r="EK136" i="7"/>
  <c r="EK131" i="7"/>
  <c r="EK123" i="7"/>
  <c r="EK141" i="7"/>
  <c r="EK130" i="7"/>
  <c r="EK118" i="7"/>
  <c r="EK110" i="7"/>
  <c r="EK102" i="7"/>
  <c r="EK139" i="7"/>
  <c r="EK133" i="7"/>
  <c r="EK129" i="7"/>
  <c r="EK127" i="7"/>
  <c r="EK113" i="7"/>
  <c r="EK105" i="7"/>
  <c r="EK140" i="7"/>
  <c r="EK138" i="7"/>
  <c r="EK148" i="7"/>
  <c r="EK134" i="7"/>
  <c r="EK126" i="7"/>
  <c r="EK122" i="7"/>
  <c r="EK112" i="7"/>
  <c r="EK104" i="7"/>
  <c r="EK135" i="7"/>
  <c r="EK100" i="7"/>
  <c r="EK98" i="7"/>
  <c r="EK90" i="7"/>
  <c r="EK124" i="7"/>
  <c r="EK116" i="7"/>
  <c r="EK109" i="7"/>
  <c r="EK93" i="7"/>
  <c r="EK85" i="7"/>
  <c r="EK121" i="7"/>
  <c r="EK117" i="7"/>
  <c r="EK132" i="7"/>
  <c r="EK119" i="7"/>
  <c r="EK125" i="7"/>
  <c r="EK114" i="7"/>
  <c r="EK92" i="7"/>
  <c r="EK88" i="7"/>
  <c r="EK82" i="7"/>
  <c r="EK74" i="7"/>
  <c r="EK66" i="7"/>
  <c r="EK111" i="7"/>
  <c r="EK97" i="7"/>
  <c r="EK77" i="7"/>
  <c r="EK69" i="7"/>
  <c r="EK115" i="7"/>
  <c r="EK108" i="7"/>
  <c r="EK106" i="7"/>
  <c r="EK84" i="7"/>
  <c r="EK76" i="7"/>
  <c r="EK68" i="7"/>
  <c r="EK81" i="7"/>
  <c r="EK96" i="7"/>
  <c r="EK94" i="7"/>
  <c r="EK80" i="7"/>
  <c r="EK73" i="7"/>
  <c r="EK103" i="7"/>
  <c r="EK107" i="7"/>
  <c r="EK99" i="7"/>
  <c r="EK79" i="7"/>
  <c r="EK75" i="7"/>
  <c r="EK91" i="7"/>
  <c r="EK95" i="7"/>
  <c r="EK78" i="7"/>
  <c r="EK86" i="7"/>
  <c r="EK62" i="7"/>
  <c r="EK54" i="7"/>
  <c r="EK46" i="7"/>
  <c r="EK38" i="7"/>
  <c r="EK30" i="7"/>
  <c r="EK101" i="7"/>
  <c r="EK57" i="7"/>
  <c r="EK49" i="7"/>
  <c r="EK41" i="7"/>
  <c r="EK33" i="7"/>
  <c r="EK89" i="7"/>
  <c r="EK87" i="7"/>
  <c r="EK72" i="7"/>
  <c r="EK71" i="7"/>
  <c r="EK63" i="7"/>
  <c r="EK83" i="7"/>
  <c r="EK64" i="7"/>
  <c r="EK70" i="7"/>
  <c r="EK67" i="7"/>
  <c r="EK56" i="7"/>
  <c r="EK48" i="7"/>
  <c r="EK40" i="7"/>
  <c r="EK44" i="7"/>
  <c r="EK37" i="7"/>
  <c r="EK59" i="7"/>
  <c r="EK55" i="7"/>
  <c r="EK36" i="7"/>
  <c r="EK61" i="7"/>
  <c r="EK42" i="7"/>
  <c r="EK43" i="7"/>
  <c r="EK29" i="7"/>
  <c r="EK21" i="7"/>
  <c r="EK13" i="7"/>
  <c r="EK5" i="7"/>
  <c r="EK26" i="7"/>
  <c r="EK16" i="7"/>
  <c r="EK8" i="7"/>
  <c r="EK58" i="7"/>
  <c r="EK47" i="7"/>
  <c r="EK45" i="7"/>
  <c r="EK60" i="7"/>
  <c r="EK51" i="7"/>
  <c r="EK50" i="7"/>
  <c r="EK39" i="7"/>
  <c r="EK65" i="7"/>
  <c r="EK52" i="7"/>
  <c r="EK23" i="7"/>
  <c r="EK15" i="7"/>
  <c r="EK7" i="7"/>
  <c r="EK24" i="7"/>
  <c r="EK11" i="7"/>
  <c r="EK4" i="7"/>
  <c r="EK32" i="7"/>
  <c r="EK22" i="7"/>
  <c r="EK3" i="7"/>
  <c r="EK18" i="7"/>
  <c r="EK14" i="7"/>
  <c r="EK10" i="7"/>
  <c r="EK6" i="7"/>
  <c r="EK34" i="7"/>
  <c r="EK25" i="7"/>
  <c r="EK17" i="7"/>
  <c r="EK27" i="7"/>
  <c r="EK9" i="7"/>
  <c r="EK31" i="7"/>
  <c r="EK20" i="7"/>
  <c r="ES52" i="9"/>
  <c r="ES1" i="9"/>
  <c r="ES1" i="8"/>
  <c r="ES52" i="8"/>
  <c r="ES142" i="7"/>
  <c r="ES137" i="7"/>
  <c r="ES144" i="7"/>
  <c r="ES148" i="7"/>
  <c r="ES128" i="7"/>
  <c r="ES120" i="7"/>
  <c r="ES141" i="7"/>
  <c r="ES131" i="7"/>
  <c r="ES123" i="7"/>
  <c r="ES130" i="7"/>
  <c r="ES138" i="7"/>
  <c r="ES135" i="7"/>
  <c r="ES126" i="7"/>
  <c r="ES122" i="7"/>
  <c r="ES119" i="7"/>
  <c r="ES110" i="7"/>
  <c r="ES102" i="7"/>
  <c r="ES143" i="7"/>
  <c r="ES134" i="7"/>
  <c r="ES118" i="7"/>
  <c r="ES113" i="7"/>
  <c r="ES105" i="7"/>
  <c r="ES136" i="7"/>
  <c r="ES133" i="7"/>
  <c r="ES140" i="7"/>
  <c r="ES132" i="7"/>
  <c r="ES112" i="7"/>
  <c r="ES104" i="7"/>
  <c r="ES107" i="7"/>
  <c r="ES103" i="7"/>
  <c r="ES98" i="7"/>
  <c r="ES90" i="7"/>
  <c r="ES125" i="7"/>
  <c r="ES114" i="7"/>
  <c r="ES93" i="7"/>
  <c r="ES85" i="7"/>
  <c r="ES116" i="7"/>
  <c r="ES127" i="7"/>
  <c r="ES129" i="7"/>
  <c r="ES124" i="7"/>
  <c r="ES117" i="7"/>
  <c r="ES92" i="7"/>
  <c r="ES95" i="7"/>
  <c r="ES91" i="7"/>
  <c r="ES82" i="7"/>
  <c r="ES74" i="7"/>
  <c r="ES66" i="7"/>
  <c r="ES115" i="7"/>
  <c r="ES101" i="7"/>
  <c r="ES87" i="7"/>
  <c r="ES77" i="7"/>
  <c r="ES69" i="7"/>
  <c r="ES139" i="7"/>
  <c r="ES121" i="7"/>
  <c r="ES106" i="7"/>
  <c r="ES108" i="7"/>
  <c r="ES111" i="7"/>
  <c r="ES86" i="7"/>
  <c r="ES84" i="7"/>
  <c r="ES76" i="7"/>
  <c r="ES68" i="7"/>
  <c r="ES97" i="7"/>
  <c r="ES71" i="7"/>
  <c r="ES67" i="7"/>
  <c r="ES99" i="7"/>
  <c r="ES78" i="7"/>
  <c r="ES109" i="7"/>
  <c r="ES80" i="7"/>
  <c r="ES73" i="7"/>
  <c r="ES79" i="7"/>
  <c r="ES100" i="7"/>
  <c r="ES81" i="7"/>
  <c r="ES89" i="7"/>
  <c r="ES83" i="7"/>
  <c r="ES96" i="7"/>
  <c r="ES72" i="7"/>
  <c r="ES62" i="7"/>
  <c r="ES54" i="7"/>
  <c r="ES46" i="7"/>
  <c r="ES38" i="7"/>
  <c r="ES30" i="7"/>
  <c r="ES70" i="7"/>
  <c r="ES57" i="7"/>
  <c r="ES49" i="7"/>
  <c r="ES41" i="7"/>
  <c r="ES33" i="7"/>
  <c r="ES65" i="7"/>
  <c r="ES63" i="7"/>
  <c r="ES88" i="7"/>
  <c r="ES64" i="7"/>
  <c r="ES56" i="7"/>
  <c r="ES48" i="7"/>
  <c r="ES40" i="7"/>
  <c r="ES61" i="7"/>
  <c r="ES42" i="7"/>
  <c r="ES60" i="7"/>
  <c r="ES53" i="7"/>
  <c r="ES34" i="7"/>
  <c r="ES94" i="7"/>
  <c r="ES51" i="7"/>
  <c r="ES47" i="7"/>
  <c r="ES59" i="7"/>
  <c r="ES36" i="7"/>
  <c r="ES35" i="7"/>
  <c r="ES24" i="7"/>
  <c r="ES21" i="7"/>
  <c r="ES13" i="7"/>
  <c r="ES5" i="7"/>
  <c r="ES75" i="7"/>
  <c r="ES37" i="7"/>
  <c r="ES32" i="7"/>
  <c r="ES16" i="7"/>
  <c r="ES8" i="7"/>
  <c r="ES52" i="7"/>
  <c r="ES50" i="7"/>
  <c r="ES39" i="7"/>
  <c r="ES55" i="7"/>
  <c r="ES44" i="7"/>
  <c r="ES43" i="7"/>
  <c r="ES45" i="7"/>
  <c r="ES31" i="7"/>
  <c r="ES27" i="7"/>
  <c r="ES25" i="7"/>
  <c r="ES23" i="7"/>
  <c r="ES15" i="7"/>
  <c r="ES7" i="7"/>
  <c r="ES58" i="7"/>
  <c r="ES9" i="7"/>
  <c r="ES20" i="7"/>
  <c r="ES19" i="7"/>
  <c r="ES12" i="7"/>
  <c r="ES28" i="7"/>
  <c r="ES11" i="7"/>
  <c r="ES4" i="7"/>
  <c r="ES22" i="7"/>
  <c r="ES29" i="7"/>
  <c r="ES18" i="7"/>
  <c r="ES14" i="7"/>
  <c r="ES26" i="7"/>
  <c r="ES10" i="7"/>
  <c r="ES6" i="7"/>
  <c r="FA52" i="9"/>
  <c r="FA1" i="9"/>
  <c r="FA52" i="8"/>
  <c r="FA1" i="8"/>
  <c r="FA142" i="7"/>
  <c r="FA137" i="7"/>
  <c r="FA144" i="7"/>
  <c r="FA139" i="7"/>
  <c r="FA128" i="7"/>
  <c r="FA120" i="7"/>
  <c r="FA138" i="7"/>
  <c r="FA131" i="7"/>
  <c r="FA123" i="7"/>
  <c r="FA130" i="7"/>
  <c r="FA136" i="7"/>
  <c r="FA110" i="7"/>
  <c r="FA102" i="7"/>
  <c r="FA132" i="7"/>
  <c r="FA125" i="7"/>
  <c r="FA119" i="7"/>
  <c r="FA113" i="7"/>
  <c r="FA105" i="7"/>
  <c r="FA135" i="7"/>
  <c r="FA140" i="7"/>
  <c r="FA134" i="7"/>
  <c r="FA141" i="7"/>
  <c r="FA143" i="7"/>
  <c r="FA124" i="7"/>
  <c r="FA112" i="7"/>
  <c r="FA104" i="7"/>
  <c r="FA108" i="7"/>
  <c r="FA98" i="7"/>
  <c r="FA90" i="7"/>
  <c r="FA93" i="7"/>
  <c r="FA85" i="7"/>
  <c r="FA127" i="7"/>
  <c r="FA117" i="7"/>
  <c r="FA148" i="7"/>
  <c r="FA129" i="7"/>
  <c r="FA121" i="7"/>
  <c r="FA122" i="7"/>
  <c r="FA126" i="7"/>
  <c r="FA92" i="7"/>
  <c r="FA107" i="7"/>
  <c r="FA106" i="7"/>
  <c r="FA96" i="7"/>
  <c r="FA89" i="7"/>
  <c r="FA86" i="7"/>
  <c r="FA82" i="7"/>
  <c r="FA74" i="7"/>
  <c r="FA66" i="7"/>
  <c r="FA133" i="7"/>
  <c r="FA77" i="7"/>
  <c r="FA69" i="7"/>
  <c r="FA116" i="7"/>
  <c r="FA111" i="7"/>
  <c r="FA109" i="7"/>
  <c r="FA115" i="7"/>
  <c r="FA114" i="7"/>
  <c r="FA84" i="7"/>
  <c r="FA76" i="7"/>
  <c r="FA68" i="7"/>
  <c r="FA91" i="7"/>
  <c r="FA72" i="7"/>
  <c r="FA65" i="7"/>
  <c r="FA101" i="7"/>
  <c r="FA83" i="7"/>
  <c r="FA118" i="7"/>
  <c r="FA88" i="7"/>
  <c r="FA78" i="7"/>
  <c r="FA75" i="7"/>
  <c r="FA73" i="7"/>
  <c r="FA97" i="7"/>
  <c r="FA103" i="7"/>
  <c r="FA87" i="7"/>
  <c r="FA64" i="7"/>
  <c r="FA62" i="7"/>
  <c r="FA54" i="7"/>
  <c r="FA46" i="7"/>
  <c r="FA38" i="7"/>
  <c r="FA30" i="7"/>
  <c r="FA99" i="7"/>
  <c r="FA80" i="7"/>
  <c r="FA57" i="7"/>
  <c r="FA49" i="7"/>
  <c r="FA41" i="7"/>
  <c r="FA33" i="7"/>
  <c r="FA95" i="7"/>
  <c r="FA100" i="7"/>
  <c r="FA81" i="7"/>
  <c r="FA94" i="7"/>
  <c r="FA79" i="7"/>
  <c r="FA71" i="7"/>
  <c r="FA56" i="7"/>
  <c r="FA48" i="7"/>
  <c r="FA40" i="7"/>
  <c r="FA67" i="7"/>
  <c r="FA51" i="7"/>
  <c r="FA47" i="7"/>
  <c r="FA58" i="7"/>
  <c r="FA43" i="7"/>
  <c r="FA39" i="7"/>
  <c r="FA70" i="7"/>
  <c r="FA52" i="7"/>
  <c r="FA45" i="7"/>
  <c r="FA31" i="7"/>
  <c r="FA27" i="7"/>
  <c r="FA21" i="7"/>
  <c r="FA13" i="7"/>
  <c r="FA5" i="7"/>
  <c r="FA53" i="7"/>
  <c r="FA42" i="7"/>
  <c r="FA28" i="7"/>
  <c r="FA24" i="7"/>
  <c r="FA16" i="7"/>
  <c r="FA8" i="7"/>
  <c r="FA55" i="7"/>
  <c r="FA44" i="7"/>
  <c r="FA63" i="7"/>
  <c r="FA59" i="7"/>
  <c r="FA61" i="7"/>
  <c r="FA50" i="7"/>
  <c r="FA37" i="7"/>
  <c r="FA23" i="7"/>
  <c r="FA15" i="7"/>
  <c r="FA7" i="7"/>
  <c r="FA60" i="7"/>
  <c r="FA18" i="7"/>
  <c r="FA14" i="7"/>
  <c r="FA34" i="7"/>
  <c r="FA32" i="7"/>
  <c r="FA10" i="7"/>
  <c r="FA6" i="7"/>
  <c r="FA29" i="7"/>
  <c r="FA17" i="7"/>
  <c r="FA35" i="7"/>
  <c r="FA26" i="7"/>
  <c r="FA25" i="7"/>
  <c r="FA9" i="7"/>
  <c r="FA20" i="7"/>
  <c r="FA19" i="7"/>
  <c r="FA12" i="7"/>
  <c r="FA36" i="7"/>
  <c r="FA11" i="7"/>
  <c r="FA4" i="7"/>
  <c r="FI52" i="9"/>
  <c r="FI52" i="8"/>
  <c r="FI1" i="9"/>
  <c r="FI1" i="8"/>
  <c r="FI142" i="7"/>
  <c r="FI137" i="7"/>
  <c r="FI144" i="7"/>
  <c r="FI140" i="7"/>
  <c r="FI128" i="7"/>
  <c r="FI120" i="7"/>
  <c r="FI131" i="7"/>
  <c r="FI123" i="7"/>
  <c r="FI148" i="7"/>
  <c r="FI130" i="7"/>
  <c r="FI139" i="7"/>
  <c r="FI138" i="7"/>
  <c r="FI124" i="7"/>
  <c r="FI110" i="7"/>
  <c r="FI102" i="7"/>
  <c r="FI121" i="7"/>
  <c r="FI113" i="7"/>
  <c r="FI105" i="7"/>
  <c r="FI143" i="7"/>
  <c r="FI141" i="7"/>
  <c r="FI133" i="7"/>
  <c r="FI136" i="7"/>
  <c r="FI135" i="7"/>
  <c r="FI112" i="7"/>
  <c r="FI104" i="7"/>
  <c r="FI106" i="7"/>
  <c r="FI98" i="7"/>
  <c r="FI90" i="7"/>
  <c r="FI134" i="7"/>
  <c r="FI125" i="7"/>
  <c r="FI118" i="7"/>
  <c r="FI101" i="7"/>
  <c r="FI93" i="7"/>
  <c r="FI85" i="7"/>
  <c r="FI132" i="7"/>
  <c r="FI122" i="7"/>
  <c r="FI116" i="7"/>
  <c r="FI126" i="7"/>
  <c r="FI119" i="7"/>
  <c r="FI127" i="7"/>
  <c r="FI117" i="7"/>
  <c r="FI107" i="7"/>
  <c r="FI103" i="7"/>
  <c r="FI100" i="7"/>
  <c r="FI92" i="7"/>
  <c r="FI111" i="7"/>
  <c r="FI94" i="7"/>
  <c r="FI82" i="7"/>
  <c r="FI74" i="7"/>
  <c r="FI66" i="7"/>
  <c r="FI77" i="7"/>
  <c r="FI69" i="7"/>
  <c r="FI114" i="7"/>
  <c r="FI115" i="7"/>
  <c r="FI109" i="7"/>
  <c r="FI95" i="7"/>
  <c r="FI91" i="7"/>
  <c r="FI88" i="7"/>
  <c r="FI84" i="7"/>
  <c r="FI76" i="7"/>
  <c r="FI68" i="7"/>
  <c r="FI96" i="7"/>
  <c r="FI70" i="7"/>
  <c r="FI97" i="7"/>
  <c r="FI81" i="7"/>
  <c r="FI129" i="7"/>
  <c r="FI89" i="7"/>
  <c r="FI83" i="7"/>
  <c r="FI80" i="7"/>
  <c r="FI79" i="7"/>
  <c r="FI78" i="7"/>
  <c r="FI99" i="7"/>
  <c r="FI62" i="7"/>
  <c r="FI54" i="7"/>
  <c r="FI46" i="7"/>
  <c r="FI38" i="7"/>
  <c r="FI30" i="7"/>
  <c r="FI57" i="7"/>
  <c r="FI49" i="7"/>
  <c r="FI41" i="7"/>
  <c r="FI33" i="7"/>
  <c r="FI64" i="7"/>
  <c r="FI108" i="7"/>
  <c r="FI86" i="7"/>
  <c r="FI75" i="7"/>
  <c r="FI71" i="7"/>
  <c r="FI72" i="7"/>
  <c r="FI65" i="7"/>
  <c r="FI67" i="7"/>
  <c r="FI73" i="7"/>
  <c r="FI63" i="7"/>
  <c r="FI56" i="7"/>
  <c r="FI48" i="7"/>
  <c r="FI40" i="7"/>
  <c r="FI52" i="7"/>
  <c r="FI45" i="7"/>
  <c r="FI44" i="7"/>
  <c r="FI37" i="7"/>
  <c r="FI87" i="7"/>
  <c r="FI50" i="7"/>
  <c r="FI35" i="7"/>
  <c r="FI25" i="7"/>
  <c r="FI21" i="7"/>
  <c r="FI13" i="7"/>
  <c r="FI5" i="7"/>
  <c r="FI59" i="7"/>
  <c r="FI58" i="7"/>
  <c r="FI47" i="7"/>
  <c r="FI36" i="7"/>
  <c r="FI34" i="7"/>
  <c r="FI16" i="7"/>
  <c r="FI8" i="7"/>
  <c r="FI61" i="7"/>
  <c r="FI51" i="7"/>
  <c r="FI39" i="7"/>
  <c r="FI60" i="7"/>
  <c r="FI55" i="7"/>
  <c r="FI53" i="7"/>
  <c r="FI42" i="7"/>
  <c r="FI29" i="7"/>
  <c r="FI23" i="7"/>
  <c r="FI15" i="7"/>
  <c r="FI7" i="7"/>
  <c r="FI19" i="7"/>
  <c r="FI12" i="7"/>
  <c r="FI43" i="7"/>
  <c r="FI27" i="7"/>
  <c r="FI11" i="7"/>
  <c r="FI4" i="7"/>
  <c r="FI31" i="7"/>
  <c r="FI24" i="7"/>
  <c r="FI22" i="7"/>
  <c r="FI28" i="7"/>
  <c r="FI18" i="7"/>
  <c r="FI14" i="7"/>
  <c r="FI10" i="7"/>
  <c r="FI6" i="7"/>
  <c r="FI17" i="7"/>
  <c r="FI32" i="7"/>
  <c r="FI9" i="7"/>
  <c r="FQ52" i="9"/>
  <c r="FQ1" i="9"/>
  <c r="FQ52" i="8"/>
  <c r="FQ1" i="8"/>
  <c r="FQ142" i="7"/>
  <c r="FQ137" i="7"/>
  <c r="FQ144" i="7"/>
  <c r="FQ128" i="7"/>
  <c r="FQ120" i="7"/>
  <c r="FQ148" i="7"/>
  <c r="FQ136" i="7"/>
  <c r="FQ131" i="7"/>
  <c r="FQ123" i="7"/>
  <c r="FQ139" i="7"/>
  <c r="FQ130" i="7"/>
  <c r="FQ143" i="7"/>
  <c r="FQ110" i="7"/>
  <c r="FQ102" i="7"/>
  <c r="FQ135" i="7"/>
  <c r="FQ127" i="7"/>
  <c r="FQ113" i="7"/>
  <c r="FQ105" i="7"/>
  <c r="FQ134" i="7"/>
  <c r="FQ140" i="7"/>
  <c r="FQ138" i="7"/>
  <c r="FQ141" i="7"/>
  <c r="FQ126" i="7"/>
  <c r="FQ122" i="7"/>
  <c r="FQ117" i="7"/>
  <c r="FQ112" i="7"/>
  <c r="FQ104" i="7"/>
  <c r="FQ115" i="7"/>
  <c r="FQ111" i="7"/>
  <c r="FQ100" i="7"/>
  <c r="FQ98" i="7"/>
  <c r="FQ90" i="7"/>
  <c r="FQ119" i="7"/>
  <c r="FQ107" i="7"/>
  <c r="FQ103" i="7"/>
  <c r="FQ93" i="7"/>
  <c r="FQ85" i="7"/>
  <c r="FQ124" i="7"/>
  <c r="FQ121" i="7"/>
  <c r="FQ133" i="7"/>
  <c r="FQ129" i="7"/>
  <c r="FQ118" i="7"/>
  <c r="FQ125" i="7"/>
  <c r="FQ108" i="7"/>
  <c r="FQ92" i="7"/>
  <c r="FQ99" i="7"/>
  <c r="FQ88" i="7"/>
  <c r="FQ82" i="7"/>
  <c r="FQ74" i="7"/>
  <c r="FQ66" i="7"/>
  <c r="FQ106" i="7"/>
  <c r="FQ95" i="7"/>
  <c r="FQ91" i="7"/>
  <c r="FQ77" i="7"/>
  <c r="FQ69" i="7"/>
  <c r="FQ109" i="7"/>
  <c r="FQ132" i="7"/>
  <c r="FQ114" i="7"/>
  <c r="FQ96" i="7"/>
  <c r="FQ89" i="7"/>
  <c r="FQ84" i="7"/>
  <c r="FQ76" i="7"/>
  <c r="FQ68" i="7"/>
  <c r="FQ86" i="7"/>
  <c r="FQ79" i="7"/>
  <c r="FQ75" i="7"/>
  <c r="FQ71" i="7"/>
  <c r="FQ67" i="7"/>
  <c r="FQ116" i="7"/>
  <c r="FQ101" i="7"/>
  <c r="FQ94" i="7"/>
  <c r="FQ81" i="7"/>
  <c r="FQ97" i="7"/>
  <c r="FQ70" i="7"/>
  <c r="FQ83" i="7"/>
  <c r="FQ72" i="7"/>
  <c r="FQ87" i="7"/>
  <c r="FQ73" i="7"/>
  <c r="FQ78" i="7"/>
  <c r="FQ62" i="7"/>
  <c r="FQ54" i="7"/>
  <c r="FQ46" i="7"/>
  <c r="FQ38" i="7"/>
  <c r="FQ30" i="7"/>
  <c r="FQ65" i="7"/>
  <c r="FQ57" i="7"/>
  <c r="FQ49" i="7"/>
  <c r="FQ41" i="7"/>
  <c r="FQ33" i="7"/>
  <c r="FQ80" i="7"/>
  <c r="FQ64" i="7"/>
  <c r="FQ56" i="7"/>
  <c r="FQ48" i="7"/>
  <c r="FQ40" i="7"/>
  <c r="FQ50" i="7"/>
  <c r="FQ35" i="7"/>
  <c r="FQ61" i="7"/>
  <c r="FQ42" i="7"/>
  <c r="FQ60" i="7"/>
  <c r="FQ59" i="7"/>
  <c r="FQ55" i="7"/>
  <c r="FQ36" i="7"/>
  <c r="FQ37" i="7"/>
  <c r="FQ29" i="7"/>
  <c r="FQ21" i="7"/>
  <c r="FQ13" i="7"/>
  <c r="FQ5" i="7"/>
  <c r="FQ52" i="7"/>
  <c r="FQ51" i="7"/>
  <c r="FQ39" i="7"/>
  <c r="FQ26" i="7"/>
  <c r="FQ25" i="7"/>
  <c r="FQ16" i="7"/>
  <c r="FQ8" i="7"/>
  <c r="FQ63" i="7"/>
  <c r="FQ53" i="7"/>
  <c r="FQ44" i="7"/>
  <c r="FQ43" i="7"/>
  <c r="FQ45" i="7"/>
  <c r="FQ58" i="7"/>
  <c r="FQ47" i="7"/>
  <c r="FQ23" i="7"/>
  <c r="FQ15" i="7"/>
  <c r="FQ7" i="7"/>
  <c r="FQ28" i="7"/>
  <c r="FQ17" i="7"/>
  <c r="FQ2" i="7"/>
  <c r="FQ9" i="7"/>
  <c r="FQ32" i="7"/>
  <c r="FQ20" i="7"/>
  <c r="FQ19" i="7"/>
  <c r="FQ12" i="7"/>
  <c r="FQ11" i="7"/>
  <c r="FQ4" i="7"/>
  <c r="FQ34" i="7"/>
  <c r="FQ22" i="7"/>
  <c r="FQ27" i="7"/>
  <c r="FQ24" i="7"/>
  <c r="FQ18" i="7"/>
  <c r="FQ14" i="7"/>
  <c r="FY52" i="9"/>
  <c r="FY1" i="9"/>
  <c r="FY1" i="8"/>
  <c r="FY142" i="7"/>
  <c r="FY137" i="7"/>
  <c r="FY144" i="7"/>
  <c r="FY143" i="7"/>
  <c r="FY128" i="7"/>
  <c r="FY120" i="7"/>
  <c r="FY139" i="7"/>
  <c r="FY131" i="7"/>
  <c r="FY123" i="7"/>
  <c r="FY52" i="8"/>
  <c r="FY140" i="7"/>
  <c r="FY130" i="7"/>
  <c r="FY133" i="7"/>
  <c r="FY129" i="7"/>
  <c r="FY126" i="7"/>
  <c r="FY122" i="7"/>
  <c r="FY110" i="7"/>
  <c r="FY102" i="7"/>
  <c r="FY138" i="7"/>
  <c r="FY113" i="7"/>
  <c r="FY105" i="7"/>
  <c r="FY141" i="7"/>
  <c r="FY136" i="7"/>
  <c r="FY135" i="7"/>
  <c r="FY148" i="7"/>
  <c r="FY112" i="7"/>
  <c r="FY104" i="7"/>
  <c r="FY121" i="7"/>
  <c r="FY116" i="7"/>
  <c r="FY109" i="7"/>
  <c r="FY98" i="7"/>
  <c r="FY90" i="7"/>
  <c r="FY118" i="7"/>
  <c r="FY108" i="7"/>
  <c r="FY93" i="7"/>
  <c r="FY85" i="7"/>
  <c r="FY125" i="7"/>
  <c r="FY132" i="7"/>
  <c r="FY119" i="7"/>
  <c r="FY134" i="7"/>
  <c r="FY127" i="7"/>
  <c r="FY106" i="7"/>
  <c r="FY92" i="7"/>
  <c r="FY97" i="7"/>
  <c r="FY82" i="7"/>
  <c r="FY74" i="7"/>
  <c r="FY66" i="7"/>
  <c r="FY111" i="7"/>
  <c r="FY96" i="7"/>
  <c r="FY89" i="7"/>
  <c r="FY87" i="7"/>
  <c r="FY77" i="7"/>
  <c r="FY69" i="7"/>
  <c r="FY117" i="7"/>
  <c r="FY115" i="7"/>
  <c r="FY114" i="7"/>
  <c r="FY124" i="7"/>
  <c r="FY100" i="7"/>
  <c r="FY94" i="7"/>
  <c r="FY86" i="7"/>
  <c r="FY84" i="7"/>
  <c r="FY76" i="7"/>
  <c r="FY68" i="7"/>
  <c r="FY107" i="7"/>
  <c r="FY103" i="7"/>
  <c r="FY88" i="7"/>
  <c r="FY80" i="7"/>
  <c r="FY73" i="7"/>
  <c r="FY101" i="7"/>
  <c r="FY72" i="7"/>
  <c r="FY65" i="7"/>
  <c r="FY71" i="7"/>
  <c r="FY95" i="7"/>
  <c r="FY75" i="7"/>
  <c r="FY99" i="7"/>
  <c r="FY78" i="7"/>
  <c r="FY79" i="7"/>
  <c r="FY64" i="7"/>
  <c r="FY63" i="7"/>
  <c r="FY62" i="7"/>
  <c r="FY54" i="7"/>
  <c r="FY46" i="7"/>
  <c r="FY38" i="7"/>
  <c r="FY30" i="7"/>
  <c r="FY57" i="7"/>
  <c r="FY49" i="7"/>
  <c r="FY41" i="7"/>
  <c r="FY33" i="7"/>
  <c r="FY83" i="7"/>
  <c r="FY91" i="7"/>
  <c r="FY81" i="7"/>
  <c r="FY67" i="7"/>
  <c r="FY56" i="7"/>
  <c r="FY48" i="7"/>
  <c r="FY40" i="7"/>
  <c r="FY59" i="7"/>
  <c r="FY55" i="7"/>
  <c r="FY36" i="7"/>
  <c r="FY70" i="7"/>
  <c r="FY51" i="7"/>
  <c r="FY47" i="7"/>
  <c r="FY60" i="7"/>
  <c r="FY53" i="7"/>
  <c r="FY34" i="7"/>
  <c r="FY43" i="7"/>
  <c r="FY42" i="7"/>
  <c r="FY21" i="7"/>
  <c r="FY13" i="7"/>
  <c r="FY5" i="7"/>
  <c r="FY44" i="7"/>
  <c r="FY32" i="7"/>
  <c r="FY16" i="7"/>
  <c r="FY8" i="7"/>
  <c r="FY58" i="7"/>
  <c r="FY45" i="7"/>
  <c r="FY50" i="7"/>
  <c r="FY39" i="7"/>
  <c r="FY37" i="7"/>
  <c r="FY52" i="7"/>
  <c r="FY31" i="7"/>
  <c r="FY27" i="7"/>
  <c r="FY23" i="7"/>
  <c r="FY15" i="7"/>
  <c r="FY7" i="7"/>
  <c r="FY61" i="7"/>
  <c r="FY22" i="7"/>
  <c r="FY3" i="7"/>
  <c r="FY18" i="7"/>
  <c r="FY14" i="7"/>
  <c r="FY24" i="7"/>
  <c r="FY10" i="7"/>
  <c r="FY6" i="7"/>
  <c r="FY17" i="7"/>
  <c r="FY28" i="7"/>
  <c r="FY9" i="7"/>
  <c r="FY35" i="7"/>
  <c r="FY25" i="7"/>
  <c r="FY20" i="7"/>
  <c r="FY29" i="7"/>
  <c r="FY19" i="7"/>
  <c r="FY12" i="7"/>
  <c r="GG52" i="9"/>
  <c r="GG1" i="9"/>
  <c r="GG1" i="8"/>
  <c r="GG52" i="8"/>
  <c r="GG142" i="7"/>
  <c r="GG137" i="7"/>
  <c r="GG144" i="7"/>
  <c r="GG141" i="7"/>
  <c r="GG128" i="7"/>
  <c r="GG120" i="7"/>
  <c r="GG140" i="7"/>
  <c r="GG138" i="7"/>
  <c r="GG131" i="7"/>
  <c r="GG123" i="7"/>
  <c r="GG130" i="7"/>
  <c r="GG134" i="7"/>
  <c r="GG117" i="7"/>
  <c r="GG110" i="7"/>
  <c r="GG102" i="7"/>
  <c r="GG143" i="7"/>
  <c r="GG136" i="7"/>
  <c r="GG125" i="7"/>
  <c r="GG113" i="7"/>
  <c r="GG105" i="7"/>
  <c r="GG148" i="7"/>
  <c r="GG133" i="7"/>
  <c r="GG124" i="7"/>
  <c r="GG118" i="7"/>
  <c r="GG112" i="7"/>
  <c r="GG104" i="7"/>
  <c r="GG114" i="7"/>
  <c r="GG98" i="7"/>
  <c r="GG90" i="7"/>
  <c r="GG135" i="7"/>
  <c r="GG132" i="7"/>
  <c r="GG119" i="7"/>
  <c r="GG106" i="7"/>
  <c r="GG93" i="7"/>
  <c r="GG85" i="7"/>
  <c r="GG127" i="7"/>
  <c r="GG116" i="7"/>
  <c r="GG121" i="7"/>
  <c r="GG139" i="7"/>
  <c r="GG129" i="7"/>
  <c r="GG122" i="7"/>
  <c r="GG115" i="7"/>
  <c r="GG111" i="7"/>
  <c r="GG92" i="7"/>
  <c r="GG99" i="7"/>
  <c r="GG86" i="7"/>
  <c r="GG82" i="7"/>
  <c r="GG74" i="7"/>
  <c r="GG66" i="7"/>
  <c r="GG103" i="7"/>
  <c r="GG94" i="7"/>
  <c r="GG77" i="7"/>
  <c r="GG69" i="7"/>
  <c r="GG126" i="7"/>
  <c r="GG108" i="7"/>
  <c r="GG107" i="7"/>
  <c r="GG101" i="7"/>
  <c r="GG84" i="7"/>
  <c r="GG76" i="7"/>
  <c r="GG68" i="7"/>
  <c r="GG97" i="7"/>
  <c r="GG78" i="7"/>
  <c r="GG70" i="7"/>
  <c r="GG91" i="7"/>
  <c r="GG72" i="7"/>
  <c r="GG89" i="7"/>
  <c r="GG80" i="7"/>
  <c r="GG79" i="7"/>
  <c r="GG100" i="7"/>
  <c r="GG96" i="7"/>
  <c r="GG88" i="7"/>
  <c r="GG81" i="7"/>
  <c r="GG83" i="7"/>
  <c r="GG109" i="7"/>
  <c r="GG73" i="7"/>
  <c r="GG62" i="7"/>
  <c r="GG54" i="7"/>
  <c r="GG46" i="7"/>
  <c r="GG38" i="7"/>
  <c r="GG30" i="7"/>
  <c r="GG65" i="7"/>
  <c r="GG63" i="7"/>
  <c r="GG57" i="7"/>
  <c r="GG49" i="7"/>
  <c r="GG41" i="7"/>
  <c r="GG33" i="7"/>
  <c r="GG87" i="7"/>
  <c r="GG71" i="7"/>
  <c r="GG67" i="7"/>
  <c r="GG64" i="7"/>
  <c r="GG75" i="7"/>
  <c r="GG56" i="7"/>
  <c r="GG48" i="7"/>
  <c r="GG40" i="7"/>
  <c r="GG60" i="7"/>
  <c r="GG53" i="7"/>
  <c r="GG34" i="7"/>
  <c r="GG52" i="7"/>
  <c r="GG45" i="7"/>
  <c r="GG95" i="7"/>
  <c r="GG58" i="7"/>
  <c r="GG43" i="7"/>
  <c r="GG39" i="7"/>
  <c r="GG59" i="7"/>
  <c r="GG47" i="7"/>
  <c r="GG36" i="7"/>
  <c r="GG35" i="7"/>
  <c r="GG31" i="7"/>
  <c r="GG27" i="7"/>
  <c r="GG21" i="7"/>
  <c r="GG13" i="7"/>
  <c r="GG5" i="7"/>
  <c r="GG37" i="7"/>
  <c r="GG28" i="7"/>
  <c r="GG16" i="7"/>
  <c r="GG8" i="7"/>
  <c r="GG50" i="7"/>
  <c r="GG51" i="7"/>
  <c r="GG61" i="7"/>
  <c r="GG55" i="7"/>
  <c r="GG44" i="7"/>
  <c r="GG42" i="7"/>
  <c r="GG23" i="7"/>
  <c r="GG15" i="7"/>
  <c r="GG7" i="7"/>
  <c r="GG20" i="7"/>
  <c r="GG25" i="7"/>
  <c r="GG19" i="7"/>
  <c r="GG12" i="7"/>
  <c r="GG32" i="7"/>
  <c r="GG11" i="7"/>
  <c r="GG4" i="7"/>
  <c r="GG29" i="7"/>
  <c r="GG22" i="7"/>
  <c r="GG26" i="7"/>
  <c r="GG18" i="7"/>
  <c r="GG14" i="7"/>
  <c r="GG10" i="7"/>
  <c r="GG24" i="7"/>
  <c r="GG17" i="7"/>
  <c r="GG2" i="7"/>
  <c r="GO52" i="9"/>
  <c r="GO52" i="8"/>
  <c r="GO1" i="9"/>
  <c r="GO1" i="8"/>
  <c r="GO142" i="7"/>
  <c r="GO137" i="7"/>
  <c r="GO144" i="7"/>
  <c r="GO128" i="7"/>
  <c r="GO120" i="7"/>
  <c r="GO131" i="7"/>
  <c r="GO123" i="7"/>
  <c r="GO143" i="7"/>
  <c r="GO135" i="7"/>
  <c r="GO130" i="7"/>
  <c r="GO132" i="7"/>
  <c r="GO124" i="7"/>
  <c r="GO110" i="7"/>
  <c r="GO102" i="7"/>
  <c r="GO138" i="7"/>
  <c r="GO121" i="7"/>
  <c r="GO117" i="7"/>
  <c r="GO113" i="7"/>
  <c r="GO105" i="7"/>
  <c r="GO134" i="7"/>
  <c r="GO140" i="7"/>
  <c r="GO139" i="7"/>
  <c r="GO141" i="7"/>
  <c r="GO133" i="7"/>
  <c r="GO129" i="7"/>
  <c r="GO119" i="7"/>
  <c r="GO112" i="7"/>
  <c r="GO104" i="7"/>
  <c r="GO118" i="7"/>
  <c r="GO98" i="7"/>
  <c r="GO90" i="7"/>
  <c r="GO148" i="7"/>
  <c r="GO115" i="7"/>
  <c r="GO111" i="7"/>
  <c r="GO101" i="7"/>
  <c r="GO93" i="7"/>
  <c r="GO85" i="7"/>
  <c r="GO136" i="7"/>
  <c r="GO125" i="7"/>
  <c r="GO122" i="7"/>
  <c r="GO126" i="7"/>
  <c r="GO116" i="7"/>
  <c r="GO109" i="7"/>
  <c r="GO100" i="7"/>
  <c r="GO99" i="7"/>
  <c r="GO92" i="7"/>
  <c r="GO107" i="7"/>
  <c r="GO106" i="7"/>
  <c r="GO82" i="7"/>
  <c r="GO74" i="7"/>
  <c r="GO66" i="7"/>
  <c r="GO108" i="7"/>
  <c r="GO77" i="7"/>
  <c r="GO69" i="7"/>
  <c r="GO127" i="7"/>
  <c r="GO114" i="7"/>
  <c r="GO97" i="7"/>
  <c r="GO88" i="7"/>
  <c r="GO84" i="7"/>
  <c r="GO76" i="7"/>
  <c r="GO68" i="7"/>
  <c r="GO91" i="7"/>
  <c r="GO89" i="7"/>
  <c r="GO87" i="7"/>
  <c r="GO83" i="7"/>
  <c r="GO64" i="7"/>
  <c r="GO79" i="7"/>
  <c r="GO75" i="7"/>
  <c r="GO103" i="7"/>
  <c r="GO96" i="7"/>
  <c r="GO86" i="7"/>
  <c r="GO70" i="7"/>
  <c r="GO72" i="7"/>
  <c r="GO73" i="7"/>
  <c r="GO94" i="7"/>
  <c r="GO71" i="7"/>
  <c r="GO62" i="7"/>
  <c r="GO54" i="7"/>
  <c r="GO46" i="7"/>
  <c r="GO38" i="7"/>
  <c r="GO30" i="7"/>
  <c r="GO57" i="7"/>
  <c r="GO49" i="7"/>
  <c r="GO41" i="7"/>
  <c r="GO33" i="7"/>
  <c r="GO25" i="7"/>
  <c r="GO81" i="7"/>
  <c r="GO78" i="7"/>
  <c r="GO63" i="7"/>
  <c r="GO95" i="7"/>
  <c r="GO65" i="7"/>
  <c r="GO56" i="7"/>
  <c r="GO48" i="7"/>
  <c r="GO40" i="7"/>
  <c r="GO58" i="7"/>
  <c r="GO43" i="7"/>
  <c r="GO39" i="7"/>
  <c r="GO50" i="7"/>
  <c r="GO35" i="7"/>
  <c r="GO80" i="7"/>
  <c r="GO61" i="7"/>
  <c r="GO44" i="7"/>
  <c r="GO37" i="7"/>
  <c r="GO52" i="7"/>
  <c r="GO51" i="7"/>
  <c r="GO21" i="7"/>
  <c r="GO13" i="7"/>
  <c r="GO5" i="7"/>
  <c r="GO67" i="7"/>
  <c r="GO53" i="7"/>
  <c r="GO42" i="7"/>
  <c r="GO16" i="7"/>
  <c r="GO8" i="7"/>
  <c r="GO60" i="7"/>
  <c r="GO55" i="7"/>
  <c r="GO45" i="7"/>
  <c r="GO59" i="7"/>
  <c r="GO47" i="7"/>
  <c r="GO36" i="7"/>
  <c r="GO29" i="7"/>
  <c r="GO24" i="7"/>
  <c r="GO15" i="7"/>
  <c r="GO7" i="7"/>
  <c r="GO26" i="7"/>
  <c r="GO10" i="7"/>
  <c r="GO6" i="7"/>
  <c r="GO17" i="7"/>
  <c r="GO2" i="7"/>
  <c r="GO27" i="7"/>
  <c r="GO9" i="7"/>
  <c r="GO31" i="7"/>
  <c r="GO20" i="7"/>
  <c r="GO28" i="7"/>
  <c r="GO19" i="7"/>
  <c r="GO12" i="7"/>
  <c r="GO23" i="7"/>
  <c r="GO11" i="7"/>
  <c r="GO22" i="7"/>
  <c r="GO3" i="7"/>
  <c r="GW52" i="9"/>
  <c r="GW52" i="8"/>
  <c r="GW1" i="9"/>
  <c r="GW1" i="8"/>
  <c r="GW142" i="7"/>
  <c r="GW137" i="7"/>
  <c r="GW144" i="7"/>
  <c r="GW128" i="7"/>
  <c r="GW120" i="7"/>
  <c r="GW143" i="7"/>
  <c r="GW136" i="7"/>
  <c r="GW131" i="7"/>
  <c r="GW123" i="7"/>
  <c r="GW141" i="7"/>
  <c r="GW130" i="7"/>
  <c r="GW139" i="7"/>
  <c r="GW118" i="7"/>
  <c r="GW110" i="7"/>
  <c r="GW102" i="7"/>
  <c r="GW140" i="7"/>
  <c r="GW133" i="7"/>
  <c r="GW129" i="7"/>
  <c r="GW127" i="7"/>
  <c r="GW113" i="7"/>
  <c r="GW105" i="7"/>
  <c r="GW148" i="7"/>
  <c r="GW138" i="7"/>
  <c r="GW135" i="7"/>
  <c r="GW134" i="7"/>
  <c r="GW126" i="7"/>
  <c r="GW122" i="7"/>
  <c r="GW112" i="7"/>
  <c r="GW104" i="7"/>
  <c r="GW119" i="7"/>
  <c r="GW100" i="7"/>
  <c r="GW98" i="7"/>
  <c r="GW90" i="7"/>
  <c r="GW116" i="7"/>
  <c r="GW109" i="7"/>
  <c r="GW93" i="7"/>
  <c r="GW85" i="7"/>
  <c r="GW132" i="7"/>
  <c r="GW124" i="7"/>
  <c r="GW121" i="7"/>
  <c r="GW114" i="7"/>
  <c r="GW92" i="7"/>
  <c r="GW117" i="7"/>
  <c r="GW111" i="7"/>
  <c r="GW88" i="7"/>
  <c r="GW82" i="7"/>
  <c r="GW74" i="7"/>
  <c r="GW66" i="7"/>
  <c r="GW97" i="7"/>
  <c r="GW77" i="7"/>
  <c r="GW69" i="7"/>
  <c r="GW115" i="7"/>
  <c r="GW125" i="7"/>
  <c r="GW107" i="7"/>
  <c r="GW101" i="7"/>
  <c r="GW84" i="7"/>
  <c r="GW76" i="7"/>
  <c r="GW68" i="7"/>
  <c r="GW96" i="7"/>
  <c r="GW94" i="7"/>
  <c r="GW81" i="7"/>
  <c r="GW108" i="7"/>
  <c r="GW106" i="7"/>
  <c r="GW95" i="7"/>
  <c r="GW86" i="7"/>
  <c r="GW80" i="7"/>
  <c r="GW73" i="7"/>
  <c r="GW103" i="7"/>
  <c r="GW89" i="7"/>
  <c r="GW87" i="7"/>
  <c r="GW79" i="7"/>
  <c r="GW75" i="7"/>
  <c r="GW91" i="7"/>
  <c r="GW78" i="7"/>
  <c r="GW72" i="7"/>
  <c r="GW62" i="7"/>
  <c r="GW54" i="7"/>
  <c r="GW46" i="7"/>
  <c r="GW38" i="7"/>
  <c r="GW30" i="7"/>
  <c r="GW65" i="7"/>
  <c r="GW57" i="7"/>
  <c r="GW49" i="7"/>
  <c r="GW41" i="7"/>
  <c r="GW33" i="7"/>
  <c r="GW25" i="7"/>
  <c r="GW64" i="7"/>
  <c r="GW63" i="7"/>
  <c r="GW99" i="7"/>
  <c r="GW83" i="7"/>
  <c r="GW67" i="7"/>
  <c r="GW71" i="7"/>
  <c r="GW56" i="7"/>
  <c r="GW48" i="7"/>
  <c r="GW40" i="7"/>
  <c r="GW70" i="7"/>
  <c r="GW44" i="7"/>
  <c r="GW37" i="7"/>
  <c r="GW59" i="7"/>
  <c r="GW55" i="7"/>
  <c r="GW36" i="7"/>
  <c r="GW61" i="7"/>
  <c r="GW42" i="7"/>
  <c r="GW60" i="7"/>
  <c r="GW29" i="7"/>
  <c r="GW23" i="7"/>
  <c r="GW21" i="7"/>
  <c r="GW13" i="7"/>
  <c r="GW5" i="7"/>
  <c r="GW58" i="7"/>
  <c r="GW47" i="7"/>
  <c r="GW45" i="7"/>
  <c r="GW34" i="7"/>
  <c r="GW26" i="7"/>
  <c r="GW16" i="7"/>
  <c r="GW8" i="7"/>
  <c r="GW51" i="7"/>
  <c r="GW50" i="7"/>
  <c r="GW39" i="7"/>
  <c r="GW52" i="7"/>
  <c r="GW53" i="7"/>
  <c r="GW15" i="7"/>
  <c r="GW7" i="7"/>
  <c r="GW31" i="7"/>
  <c r="GW11" i="7"/>
  <c r="GW4" i="7"/>
  <c r="GW28" i="7"/>
  <c r="GW22" i="7"/>
  <c r="GW3" i="7"/>
  <c r="GW18" i="7"/>
  <c r="GW14" i="7"/>
  <c r="GW32" i="7"/>
  <c r="GW10" i="7"/>
  <c r="GW6" i="7"/>
  <c r="GW17" i="7"/>
  <c r="GW24" i="7"/>
  <c r="GW9" i="7"/>
  <c r="GW20" i="7"/>
  <c r="HE52" i="9"/>
  <c r="HE1" i="8"/>
  <c r="HE1" i="9"/>
  <c r="HE52" i="8"/>
  <c r="HE142" i="7"/>
  <c r="HE137" i="7"/>
  <c r="HE144" i="7"/>
  <c r="HE148" i="7"/>
  <c r="HE135" i="7"/>
  <c r="HE128" i="7"/>
  <c r="HE120" i="7"/>
  <c r="HE141" i="7"/>
  <c r="HE131" i="7"/>
  <c r="HE123" i="7"/>
  <c r="HE130" i="7"/>
  <c r="HE143" i="7"/>
  <c r="HE126" i="7"/>
  <c r="HE122" i="7"/>
  <c r="HE110" i="7"/>
  <c r="HE102" i="7"/>
  <c r="HE134" i="7"/>
  <c r="HE119" i="7"/>
  <c r="HE118" i="7"/>
  <c r="HE113" i="7"/>
  <c r="HE105" i="7"/>
  <c r="HE138" i="7"/>
  <c r="HE133" i="7"/>
  <c r="HE140" i="7"/>
  <c r="HE139" i="7"/>
  <c r="HE132" i="7"/>
  <c r="HE112" i="7"/>
  <c r="HE104" i="7"/>
  <c r="HE136" i="7"/>
  <c r="HE124" i="7"/>
  <c r="HE107" i="7"/>
  <c r="HE103" i="7"/>
  <c r="HE99" i="7"/>
  <c r="HE98" i="7"/>
  <c r="HE90" i="7"/>
  <c r="HE121" i="7"/>
  <c r="HE114" i="7"/>
  <c r="HE93" i="7"/>
  <c r="HE85" i="7"/>
  <c r="HE125" i="7"/>
  <c r="HE117" i="7"/>
  <c r="HE116" i="7"/>
  <c r="HE129" i="7"/>
  <c r="HE92" i="7"/>
  <c r="HE115" i="7"/>
  <c r="HE95" i="7"/>
  <c r="HE91" i="7"/>
  <c r="HE82" i="7"/>
  <c r="HE74" i="7"/>
  <c r="HE66" i="7"/>
  <c r="HE106" i="7"/>
  <c r="HE87" i="7"/>
  <c r="HE77" i="7"/>
  <c r="HE69" i="7"/>
  <c r="HE127" i="7"/>
  <c r="HE108" i="7"/>
  <c r="HE109" i="7"/>
  <c r="HE86" i="7"/>
  <c r="HE84" i="7"/>
  <c r="HE76" i="7"/>
  <c r="HE68" i="7"/>
  <c r="HE101" i="7"/>
  <c r="HE71" i="7"/>
  <c r="HE67" i="7"/>
  <c r="HE88" i="7"/>
  <c r="HE78" i="7"/>
  <c r="HE94" i="7"/>
  <c r="HE80" i="7"/>
  <c r="HE73" i="7"/>
  <c r="HE81" i="7"/>
  <c r="HE70" i="7"/>
  <c r="HE83" i="7"/>
  <c r="HE72" i="7"/>
  <c r="HE89" i="7"/>
  <c r="HE97" i="7"/>
  <c r="HE62" i="7"/>
  <c r="HE54" i="7"/>
  <c r="HE46" i="7"/>
  <c r="HE38" i="7"/>
  <c r="HE30" i="7"/>
  <c r="HE57" i="7"/>
  <c r="HE49" i="7"/>
  <c r="HE41" i="7"/>
  <c r="HE33" i="7"/>
  <c r="HE25" i="7"/>
  <c r="HE79" i="7"/>
  <c r="HE63" i="7"/>
  <c r="HE111" i="7"/>
  <c r="HE96" i="7"/>
  <c r="HE65" i="7"/>
  <c r="HE64" i="7"/>
  <c r="HE56" i="7"/>
  <c r="HE48" i="7"/>
  <c r="HE40" i="7"/>
  <c r="HE61" i="7"/>
  <c r="HE42" i="7"/>
  <c r="HE60" i="7"/>
  <c r="HE53" i="7"/>
  <c r="HE34" i="7"/>
  <c r="HE100" i="7"/>
  <c r="HE75" i="7"/>
  <c r="HE51" i="7"/>
  <c r="HE47" i="7"/>
  <c r="HE37" i="7"/>
  <c r="HE24" i="7"/>
  <c r="HE21" i="7"/>
  <c r="HE13" i="7"/>
  <c r="HE5" i="7"/>
  <c r="HE52" i="7"/>
  <c r="HE50" i="7"/>
  <c r="HE39" i="7"/>
  <c r="HE32" i="7"/>
  <c r="HE23" i="7"/>
  <c r="HE16" i="7"/>
  <c r="HE8" i="7"/>
  <c r="HE55" i="7"/>
  <c r="HE44" i="7"/>
  <c r="HE43" i="7"/>
  <c r="HE45" i="7"/>
  <c r="HE58" i="7"/>
  <c r="HE31" i="7"/>
  <c r="HE27" i="7"/>
  <c r="HE15" i="7"/>
  <c r="HE7" i="7"/>
  <c r="HE59" i="7"/>
  <c r="HE36" i="7"/>
  <c r="HE26" i="7"/>
  <c r="HE9" i="7"/>
  <c r="HE20" i="7"/>
  <c r="HE19" i="7"/>
  <c r="HE12" i="7"/>
  <c r="HE11" i="7"/>
  <c r="HE4" i="7"/>
  <c r="HE22" i="7"/>
  <c r="HE28" i="7"/>
  <c r="HE18" i="7"/>
  <c r="HE14" i="7"/>
  <c r="HE35" i="7"/>
  <c r="HE10" i="7"/>
  <c r="HE6" i="7"/>
  <c r="HM52" i="9"/>
  <c r="HM1" i="9"/>
  <c r="HM52" i="8"/>
  <c r="HM1" i="8"/>
  <c r="HM142" i="7"/>
  <c r="HM137" i="7"/>
  <c r="HM144" i="7"/>
  <c r="HM139" i="7"/>
  <c r="HM128" i="7"/>
  <c r="HM120" i="7"/>
  <c r="HM138" i="7"/>
  <c r="HM135" i="7"/>
  <c r="HM131" i="7"/>
  <c r="HM123" i="7"/>
  <c r="HM130" i="7"/>
  <c r="HM110" i="7"/>
  <c r="HM102" i="7"/>
  <c r="HM132" i="7"/>
  <c r="HM125" i="7"/>
  <c r="HM113" i="7"/>
  <c r="HM105" i="7"/>
  <c r="HM136" i="7"/>
  <c r="HM140" i="7"/>
  <c r="HM141" i="7"/>
  <c r="HM134" i="7"/>
  <c r="HM143" i="7"/>
  <c r="HM148" i="7"/>
  <c r="HM124" i="7"/>
  <c r="HM112" i="7"/>
  <c r="HM104" i="7"/>
  <c r="HM126" i="7"/>
  <c r="HM119" i="7"/>
  <c r="HM108" i="7"/>
  <c r="HM98" i="7"/>
  <c r="HM90" i="7"/>
  <c r="HM99" i="7"/>
  <c r="HM93" i="7"/>
  <c r="HM85" i="7"/>
  <c r="HM129" i="7"/>
  <c r="HM118" i="7"/>
  <c r="HM127" i="7"/>
  <c r="HM133" i="7"/>
  <c r="HM121" i="7"/>
  <c r="HM92" i="7"/>
  <c r="HM116" i="7"/>
  <c r="HM96" i="7"/>
  <c r="HM89" i="7"/>
  <c r="HM86" i="7"/>
  <c r="HM82" i="7"/>
  <c r="HM74" i="7"/>
  <c r="HM66" i="7"/>
  <c r="HM111" i="7"/>
  <c r="HM109" i="7"/>
  <c r="HM77" i="7"/>
  <c r="HM69" i="7"/>
  <c r="HM115" i="7"/>
  <c r="HM114" i="7"/>
  <c r="HM122" i="7"/>
  <c r="HM117" i="7"/>
  <c r="HM84" i="7"/>
  <c r="HM76" i="7"/>
  <c r="HM68" i="7"/>
  <c r="HM106" i="7"/>
  <c r="HM72" i="7"/>
  <c r="HM65" i="7"/>
  <c r="HM100" i="7"/>
  <c r="HM83" i="7"/>
  <c r="HM107" i="7"/>
  <c r="HM97" i="7"/>
  <c r="HM87" i="7"/>
  <c r="HM78" i="7"/>
  <c r="HM88" i="7"/>
  <c r="HM75" i="7"/>
  <c r="HM73" i="7"/>
  <c r="HM101" i="7"/>
  <c r="HM71" i="7"/>
  <c r="HM62" i="7"/>
  <c r="HM54" i="7"/>
  <c r="HM46" i="7"/>
  <c r="HM38" i="7"/>
  <c r="HM30" i="7"/>
  <c r="HM95" i="7"/>
  <c r="HM80" i="7"/>
  <c r="HM70" i="7"/>
  <c r="HM64" i="7"/>
  <c r="HM57" i="7"/>
  <c r="HM49" i="7"/>
  <c r="HM41" i="7"/>
  <c r="HM33" i="7"/>
  <c r="HM25" i="7"/>
  <c r="HM103" i="7"/>
  <c r="HM94" i="7"/>
  <c r="HM81" i="7"/>
  <c r="HM67" i="7"/>
  <c r="HM79" i="7"/>
  <c r="HM56" i="7"/>
  <c r="HM48" i="7"/>
  <c r="HM40" i="7"/>
  <c r="HM51" i="7"/>
  <c r="HM47" i="7"/>
  <c r="HM58" i="7"/>
  <c r="HM43" i="7"/>
  <c r="HM39" i="7"/>
  <c r="HM91" i="7"/>
  <c r="HM52" i="7"/>
  <c r="HM45" i="7"/>
  <c r="HM63" i="7"/>
  <c r="HM53" i="7"/>
  <c r="HM42" i="7"/>
  <c r="HM31" i="7"/>
  <c r="HM27" i="7"/>
  <c r="HM21" i="7"/>
  <c r="HM13" i="7"/>
  <c r="HM5" i="7"/>
  <c r="HM55" i="7"/>
  <c r="HM44" i="7"/>
  <c r="HM28" i="7"/>
  <c r="HM24" i="7"/>
  <c r="HM16" i="7"/>
  <c r="HM8" i="7"/>
  <c r="HM61" i="7"/>
  <c r="HM60" i="7"/>
  <c r="HM59" i="7"/>
  <c r="HM36" i="7"/>
  <c r="HM50" i="7"/>
  <c r="HM37" i="7"/>
  <c r="HM15" i="7"/>
  <c r="HM7" i="7"/>
  <c r="HM18" i="7"/>
  <c r="HM14" i="7"/>
  <c r="HM34" i="7"/>
  <c r="HM10" i="7"/>
  <c r="HM6" i="7"/>
  <c r="HM17" i="7"/>
  <c r="HM35" i="7"/>
  <c r="HM32" i="7"/>
  <c r="HM9" i="7"/>
  <c r="HM29" i="7"/>
  <c r="HM20" i="7"/>
  <c r="HM26" i="7"/>
  <c r="HM19" i="7"/>
  <c r="HM12" i="7"/>
  <c r="HM11" i="7"/>
  <c r="HM4" i="7"/>
  <c r="HU52" i="9"/>
  <c r="HU52" i="8"/>
  <c r="HU1" i="9"/>
  <c r="HU1" i="8"/>
  <c r="HU142" i="7"/>
  <c r="HU137" i="7"/>
  <c r="HU144" i="7"/>
  <c r="HU140" i="7"/>
  <c r="HU128" i="7"/>
  <c r="HU120" i="7"/>
  <c r="HU131" i="7"/>
  <c r="HU123" i="7"/>
  <c r="HU148" i="7"/>
  <c r="HU130" i="7"/>
  <c r="HU135" i="7"/>
  <c r="HU124" i="7"/>
  <c r="HU110" i="7"/>
  <c r="HU102" i="7"/>
  <c r="HU143" i="7"/>
  <c r="HU141" i="7"/>
  <c r="HU121" i="7"/>
  <c r="HU113" i="7"/>
  <c r="HU105" i="7"/>
  <c r="HU138" i="7"/>
  <c r="HU133" i="7"/>
  <c r="HU136" i="7"/>
  <c r="HU112" i="7"/>
  <c r="HU104" i="7"/>
  <c r="HU127" i="7"/>
  <c r="HU106" i="7"/>
  <c r="HU98" i="7"/>
  <c r="HU90" i="7"/>
  <c r="HU132" i="7"/>
  <c r="HU101" i="7"/>
  <c r="HU93" i="7"/>
  <c r="HU85" i="7"/>
  <c r="HU116" i="7"/>
  <c r="HU139" i="7"/>
  <c r="HU125" i="7"/>
  <c r="HU117" i="7"/>
  <c r="HU122" i="7"/>
  <c r="HU126" i="7"/>
  <c r="HU119" i="7"/>
  <c r="HU129" i="7"/>
  <c r="HU118" i="7"/>
  <c r="HU107" i="7"/>
  <c r="HU103" i="7"/>
  <c r="HU100" i="7"/>
  <c r="HU92" i="7"/>
  <c r="HU94" i="7"/>
  <c r="HU82" i="7"/>
  <c r="HU74" i="7"/>
  <c r="HU66" i="7"/>
  <c r="HU114" i="7"/>
  <c r="HU99" i="7"/>
  <c r="HU77" i="7"/>
  <c r="HU69" i="7"/>
  <c r="HU134" i="7"/>
  <c r="HU115" i="7"/>
  <c r="HU108" i="7"/>
  <c r="HU95" i="7"/>
  <c r="HU91" i="7"/>
  <c r="HU88" i="7"/>
  <c r="HU84" i="7"/>
  <c r="HU76" i="7"/>
  <c r="HU68" i="7"/>
  <c r="HU97" i="7"/>
  <c r="HU70" i="7"/>
  <c r="HU87" i="7"/>
  <c r="HU81" i="7"/>
  <c r="HU109" i="7"/>
  <c r="HU111" i="7"/>
  <c r="HU83" i="7"/>
  <c r="HU80" i="7"/>
  <c r="HU79" i="7"/>
  <c r="HU78" i="7"/>
  <c r="HU62" i="7"/>
  <c r="HU54" i="7"/>
  <c r="HU46" i="7"/>
  <c r="HU38" i="7"/>
  <c r="HU30" i="7"/>
  <c r="HU72" i="7"/>
  <c r="HU63" i="7"/>
  <c r="HU57" i="7"/>
  <c r="HU49" i="7"/>
  <c r="HU41" i="7"/>
  <c r="HU33" i="7"/>
  <c r="HU25" i="7"/>
  <c r="HU67" i="7"/>
  <c r="HU75" i="7"/>
  <c r="HU96" i="7"/>
  <c r="HU89" i="7"/>
  <c r="HU71" i="7"/>
  <c r="HU64" i="7"/>
  <c r="HU86" i="7"/>
  <c r="HU73" i="7"/>
  <c r="HU65" i="7"/>
  <c r="HU56" i="7"/>
  <c r="HU48" i="7"/>
  <c r="HU40" i="7"/>
  <c r="HU52" i="7"/>
  <c r="HU45" i="7"/>
  <c r="HU44" i="7"/>
  <c r="HU37" i="7"/>
  <c r="HU50" i="7"/>
  <c r="HU35" i="7"/>
  <c r="HU61" i="7"/>
  <c r="HU59" i="7"/>
  <c r="HU58" i="7"/>
  <c r="HU47" i="7"/>
  <c r="HU36" i="7"/>
  <c r="HU34" i="7"/>
  <c r="HU21" i="7"/>
  <c r="HU13" i="7"/>
  <c r="HU5" i="7"/>
  <c r="HU60" i="7"/>
  <c r="HU16" i="7"/>
  <c r="HU8" i="7"/>
  <c r="HU51" i="7"/>
  <c r="HU39" i="7"/>
  <c r="HU55" i="7"/>
  <c r="HU53" i="7"/>
  <c r="HU42" i="7"/>
  <c r="HU43" i="7"/>
  <c r="HU29" i="7"/>
  <c r="HU15" i="7"/>
  <c r="HU7" i="7"/>
  <c r="HU32" i="7"/>
  <c r="HU19" i="7"/>
  <c r="HU12" i="7"/>
  <c r="HU26" i="7"/>
  <c r="HU11" i="7"/>
  <c r="HU4" i="7"/>
  <c r="HU22" i="7"/>
  <c r="HU3" i="7"/>
  <c r="HU27" i="7"/>
  <c r="HU23" i="7"/>
  <c r="HU18" i="7"/>
  <c r="HU14" i="7"/>
  <c r="HU31" i="7"/>
  <c r="HU10" i="7"/>
  <c r="HU6" i="7"/>
  <c r="HU28" i="7"/>
  <c r="HU17" i="7"/>
  <c r="HU9" i="7"/>
  <c r="IC52" i="9"/>
  <c r="IC1" i="9"/>
  <c r="IC52" i="8"/>
  <c r="IC1" i="8"/>
  <c r="IC142" i="7"/>
  <c r="IC137" i="7"/>
  <c r="IC144" i="7"/>
  <c r="IC128" i="7"/>
  <c r="IC120" i="7"/>
  <c r="IC148" i="7"/>
  <c r="IC136" i="7"/>
  <c r="IC131" i="7"/>
  <c r="IC123" i="7"/>
  <c r="IC139" i="7"/>
  <c r="IC130" i="7"/>
  <c r="IC110" i="7"/>
  <c r="IC102" i="7"/>
  <c r="IC127" i="7"/>
  <c r="IC113" i="7"/>
  <c r="IC105" i="7"/>
  <c r="IC134" i="7"/>
  <c r="IC140" i="7"/>
  <c r="IC135" i="7"/>
  <c r="IC141" i="7"/>
  <c r="IC126" i="7"/>
  <c r="IC122" i="7"/>
  <c r="IC117" i="7"/>
  <c r="IC112" i="7"/>
  <c r="IC104" i="7"/>
  <c r="IC125" i="7"/>
  <c r="IC115" i="7"/>
  <c r="IC111" i="7"/>
  <c r="IC100" i="7"/>
  <c r="IC98" i="7"/>
  <c r="IC90" i="7"/>
  <c r="IC138" i="7"/>
  <c r="IC119" i="7"/>
  <c r="IC107" i="7"/>
  <c r="IC103" i="7"/>
  <c r="IC93" i="7"/>
  <c r="IC85" i="7"/>
  <c r="IC133" i="7"/>
  <c r="IC118" i="7"/>
  <c r="IC143" i="7"/>
  <c r="IC129" i="7"/>
  <c r="IC124" i="7"/>
  <c r="IC121" i="7"/>
  <c r="IC132" i="7"/>
  <c r="IC108" i="7"/>
  <c r="IC92" i="7"/>
  <c r="IC106" i="7"/>
  <c r="IC88" i="7"/>
  <c r="IC82" i="7"/>
  <c r="IC74" i="7"/>
  <c r="IC66" i="7"/>
  <c r="IC95" i="7"/>
  <c r="IC91" i="7"/>
  <c r="IC77" i="7"/>
  <c r="IC69" i="7"/>
  <c r="IC109" i="7"/>
  <c r="IC116" i="7"/>
  <c r="IC114" i="7"/>
  <c r="IC96" i="7"/>
  <c r="IC89" i="7"/>
  <c r="IC84" i="7"/>
  <c r="IC76" i="7"/>
  <c r="IC68" i="7"/>
  <c r="IC79" i="7"/>
  <c r="IC75" i="7"/>
  <c r="IC101" i="7"/>
  <c r="IC71" i="7"/>
  <c r="IC67" i="7"/>
  <c r="IC81" i="7"/>
  <c r="IC97" i="7"/>
  <c r="IC94" i="7"/>
  <c r="IC83" i="7"/>
  <c r="IC72" i="7"/>
  <c r="IC73" i="7"/>
  <c r="IC86" i="7"/>
  <c r="IC78" i="7"/>
  <c r="IC62" i="7"/>
  <c r="IC54" i="7"/>
  <c r="IC46" i="7"/>
  <c r="IC38" i="7"/>
  <c r="IC30" i="7"/>
  <c r="IC64" i="7"/>
  <c r="IC57" i="7"/>
  <c r="IC49" i="7"/>
  <c r="IC41" i="7"/>
  <c r="IC33" i="7"/>
  <c r="IC25" i="7"/>
  <c r="IC99" i="7"/>
  <c r="IC87" i="7"/>
  <c r="IC65" i="7"/>
  <c r="IC63" i="7"/>
  <c r="IC70" i="7"/>
  <c r="IC80" i="7"/>
  <c r="IC56" i="7"/>
  <c r="IC48" i="7"/>
  <c r="IC40" i="7"/>
  <c r="IC50" i="7"/>
  <c r="IC35" i="7"/>
  <c r="IC61" i="7"/>
  <c r="IC42" i="7"/>
  <c r="IC60" i="7"/>
  <c r="IC59" i="7"/>
  <c r="IC55" i="7"/>
  <c r="IC36" i="7"/>
  <c r="IC52" i="7"/>
  <c r="IC51" i="7"/>
  <c r="IC39" i="7"/>
  <c r="IC29" i="7"/>
  <c r="IC21" i="7"/>
  <c r="IC13" i="7"/>
  <c r="IC5" i="7"/>
  <c r="IC53" i="7"/>
  <c r="IC26" i="7"/>
  <c r="IC16" i="7"/>
  <c r="IC8" i="7"/>
  <c r="IC44" i="7"/>
  <c r="IC43" i="7"/>
  <c r="IC45" i="7"/>
  <c r="IC58" i="7"/>
  <c r="IC47" i="7"/>
  <c r="IC15" i="7"/>
  <c r="IC7" i="7"/>
  <c r="IC27" i="7"/>
  <c r="IC17" i="7"/>
  <c r="IC2" i="7"/>
  <c r="IC37" i="7"/>
  <c r="IC31" i="7"/>
  <c r="IC9" i="7"/>
  <c r="IC28" i="7"/>
  <c r="IC20" i="7"/>
  <c r="IC24" i="7"/>
  <c r="IC19" i="7"/>
  <c r="IC12" i="7"/>
  <c r="IC32" i="7"/>
  <c r="IC11" i="7"/>
  <c r="IC4" i="7"/>
  <c r="IC34" i="7"/>
  <c r="IC22" i="7"/>
  <c r="IC18" i="7"/>
  <c r="IC14" i="7"/>
  <c r="IK52" i="9"/>
  <c r="IK1" i="9"/>
  <c r="IK52" i="8"/>
  <c r="IK1" i="8"/>
  <c r="IK142" i="7"/>
  <c r="IK137" i="7"/>
  <c r="IK144" i="7"/>
  <c r="IK143" i="7"/>
  <c r="IK128" i="7"/>
  <c r="IK120" i="7"/>
  <c r="IK139" i="7"/>
  <c r="IK131" i="7"/>
  <c r="IK123" i="7"/>
  <c r="IK140" i="7"/>
  <c r="IK130" i="7"/>
  <c r="IK135" i="7"/>
  <c r="IK133" i="7"/>
  <c r="IK129" i="7"/>
  <c r="IK126" i="7"/>
  <c r="IK122" i="7"/>
  <c r="IK110" i="7"/>
  <c r="IK102" i="7"/>
  <c r="IK119" i="7"/>
  <c r="IK113" i="7"/>
  <c r="IK105" i="7"/>
  <c r="IK141" i="7"/>
  <c r="IK138" i="7"/>
  <c r="IK148" i="7"/>
  <c r="IK136" i="7"/>
  <c r="IK112" i="7"/>
  <c r="IK104" i="7"/>
  <c r="IK127" i="7"/>
  <c r="IK116" i="7"/>
  <c r="IK109" i="7"/>
  <c r="IK98" i="7"/>
  <c r="IK90" i="7"/>
  <c r="IK124" i="7"/>
  <c r="IK108" i="7"/>
  <c r="IK93" i="7"/>
  <c r="IK85" i="7"/>
  <c r="IK132" i="7"/>
  <c r="IK121" i="7"/>
  <c r="IK117" i="7"/>
  <c r="IK134" i="7"/>
  <c r="IK125" i="7"/>
  <c r="IK118" i="7"/>
  <c r="IK106" i="7"/>
  <c r="IK92" i="7"/>
  <c r="IK111" i="7"/>
  <c r="IK100" i="7"/>
  <c r="IK97" i="7"/>
  <c r="IK82" i="7"/>
  <c r="IK74" i="7"/>
  <c r="IK66" i="7"/>
  <c r="IK99" i="7"/>
  <c r="IK96" i="7"/>
  <c r="IK89" i="7"/>
  <c r="IK87" i="7"/>
  <c r="IK77" i="7"/>
  <c r="IK69" i="7"/>
  <c r="IK115" i="7"/>
  <c r="IK114" i="7"/>
  <c r="IK107" i="7"/>
  <c r="IK94" i="7"/>
  <c r="IK86" i="7"/>
  <c r="IK84" i="7"/>
  <c r="IK76" i="7"/>
  <c r="IK68" i="7"/>
  <c r="IK103" i="7"/>
  <c r="IK80" i="7"/>
  <c r="IK73" i="7"/>
  <c r="IK95" i="7"/>
  <c r="IK72" i="7"/>
  <c r="IK65" i="7"/>
  <c r="IK71" i="7"/>
  <c r="IK101" i="7"/>
  <c r="IK88" i="7"/>
  <c r="IK78" i="7"/>
  <c r="IK79" i="7"/>
  <c r="IK75" i="7"/>
  <c r="IK54" i="7"/>
  <c r="IK46" i="7"/>
  <c r="IK38" i="7"/>
  <c r="IK30" i="7"/>
  <c r="IK70" i="7"/>
  <c r="IK62" i="7"/>
  <c r="IK57" i="7"/>
  <c r="IK49" i="7"/>
  <c r="IK41" i="7"/>
  <c r="IK33" i="7"/>
  <c r="IK25" i="7"/>
  <c r="IK83" i="7"/>
  <c r="IK67" i="7"/>
  <c r="IK91" i="7"/>
  <c r="IK64" i="7"/>
  <c r="IK63" i="7"/>
  <c r="IK81" i="7"/>
  <c r="IK56" i="7"/>
  <c r="IK48" i="7"/>
  <c r="IK40" i="7"/>
  <c r="IK59" i="7"/>
  <c r="IK55" i="7"/>
  <c r="IK36" i="7"/>
  <c r="IK51" i="7"/>
  <c r="IK47" i="7"/>
  <c r="IK60" i="7"/>
  <c r="IK53" i="7"/>
  <c r="IK34" i="7"/>
  <c r="IK44" i="7"/>
  <c r="IK21" i="7"/>
  <c r="IK13" i="7"/>
  <c r="IK5" i="7"/>
  <c r="IK58" i="7"/>
  <c r="IK45" i="7"/>
  <c r="IK32" i="7"/>
  <c r="IK16" i="7"/>
  <c r="IK8" i="7"/>
  <c r="IK61" i="7"/>
  <c r="IK50" i="7"/>
  <c r="IK39" i="7"/>
  <c r="IK37" i="7"/>
  <c r="IK52" i="7"/>
  <c r="IK31" i="7"/>
  <c r="IK27" i="7"/>
  <c r="IK15" i="7"/>
  <c r="IK7" i="7"/>
  <c r="IK29" i="7"/>
  <c r="IK22" i="7"/>
  <c r="IK3" i="7"/>
  <c r="IK26" i="7"/>
  <c r="IK18" i="7"/>
  <c r="IK14" i="7"/>
  <c r="IK10" i="7"/>
  <c r="IK6" i="7"/>
  <c r="IK42" i="7"/>
  <c r="IK23" i="7"/>
  <c r="IK17" i="7"/>
  <c r="IK9" i="7"/>
  <c r="IK43" i="7"/>
  <c r="IK35" i="7"/>
  <c r="IK20" i="7"/>
  <c r="IK28" i="7"/>
  <c r="IK19" i="7"/>
  <c r="IK12" i="7"/>
  <c r="IS52" i="9"/>
  <c r="IS1" i="8"/>
  <c r="IS52" i="8"/>
  <c r="IS142" i="7"/>
  <c r="IS137" i="7"/>
  <c r="IS1" i="9"/>
  <c r="IS144" i="7"/>
  <c r="IS141" i="7"/>
  <c r="IS128" i="7"/>
  <c r="IS120" i="7"/>
  <c r="IS140" i="7"/>
  <c r="IS138" i="7"/>
  <c r="IS131" i="7"/>
  <c r="IS123" i="7"/>
  <c r="IS130" i="7"/>
  <c r="IS143" i="7"/>
  <c r="IS134" i="7"/>
  <c r="IS117" i="7"/>
  <c r="IS110" i="7"/>
  <c r="IS102" i="7"/>
  <c r="IS125" i="7"/>
  <c r="IS113" i="7"/>
  <c r="IS105" i="7"/>
  <c r="IS148" i="7"/>
  <c r="IS136" i="7"/>
  <c r="IS133" i="7"/>
  <c r="IS135" i="7"/>
  <c r="IS139" i="7"/>
  <c r="IS124" i="7"/>
  <c r="IS118" i="7"/>
  <c r="IS112" i="7"/>
  <c r="IS104" i="7"/>
  <c r="IS132" i="7"/>
  <c r="IS122" i="7"/>
  <c r="IS114" i="7"/>
  <c r="IS98" i="7"/>
  <c r="IS90" i="7"/>
  <c r="IS126" i="7"/>
  <c r="IS119" i="7"/>
  <c r="IS106" i="7"/>
  <c r="IS93" i="7"/>
  <c r="IS85" i="7"/>
  <c r="IS116" i="7"/>
  <c r="IS129" i="7"/>
  <c r="IS127" i="7"/>
  <c r="IS121" i="7"/>
  <c r="IS115" i="7"/>
  <c r="IS111" i="7"/>
  <c r="IS92" i="7"/>
  <c r="IS103" i="7"/>
  <c r="IS101" i="7"/>
  <c r="IS86" i="7"/>
  <c r="IS82" i="7"/>
  <c r="IS74" i="7"/>
  <c r="IS66" i="7"/>
  <c r="IS94" i="7"/>
  <c r="IS77" i="7"/>
  <c r="IS69" i="7"/>
  <c r="IS108" i="7"/>
  <c r="IS107" i="7"/>
  <c r="IS109" i="7"/>
  <c r="IS84" i="7"/>
  <c r="IS76" i="7"/>
  <c r="IS68" i="7"/>
  <c r="IS100" i="7"/>
  <c r="IS78" i="7"/>
  <c r="IS70" i="7"/>
  <c r="IS72" i="7"/>
  <c r="IS89" i="7"/>
  <c r="IS81" i="7"/>
  <c r="IS96" i="7"/>
  <c r="IS83" i="7"/>
  <c r="IS87" i="7"/>
  <c r="IS99" i="7"/>
  <c r="IS97" i="7"/>
  <c r="IS79" i="7"/>
  <c r="IS73" i="7"/>
  <c r="IS64" i="7"/>
  <c r="IS54" i="7"/>
  <c r="IS46" i="7"/>
  <c r="IS38" i="7"/>
  <c r="IS30" i="7"/>
  <c r="IS67" i="7"/>
  <c r="IS57" i="7"/>
  <c r="IS49" i="7"/>
  <c r="IS41" i="7"/>
  <c r="IS33" i="7"/>
  <c r="IS25" i="7"/>
  <c r="IS91" i="7"/>
  <c r="IS80" i="7"/>
  <c r="IS62" i="7"/>
  <c r="IS88" i="7"/>
  <c r="IS65" i="7"/>
  <c r="IS95" i="7"/>
  <c r="IS75" i="7"/>
  <c r="IS71" i="7"/>
  <c r="IS56" i="7"/>
  <c r="IS48" i="7"/>
  <c r="IS40" i="7"/>
  <c r="IS60" i="7"/>
  <c r="IS53" i="7"/>
  <c r="IS34" i="7"/>
  <c r="IS52" i="7"/>
  <c r="IS45" i="7"/>
  <c r="IS58" i="7"/>
  <c r="IS43" i="7"/>
  <c r="IS39" i="7"/>
  <c r="IS37" i="7"/>
  <c r="IS31" i="7"/>
  <c r="IS27" i="7"/>
  <c r="IS21" i="7"/>
  <c r="IS13" i="7"/>
  <c r="IS5" i="7"/>
  <c r="IS61" i="7"/>
  <c r="IS50" i="7"/>
  <c r="IS28" i="7"/>
  <c r="IS16" i="7"/>
  <c r="IS8" i="7"/>
  <c r="IS51" i="7"/>
  <c r="IS55" i="7"/>
  <c r="IS44" i="7"/>
  <c r="IS42" i="7"/>
  <c r="IS63" i="7"/>
  <c r="IS23" i="7"/>
  <c r="IS15" i="7"/>
  <c r="IS7" i="7"/>
  <c r="IS59" i="7"/>
  <c r="IS20" i="7"/>
  <c r="IS19" i="7"/>
  <c r="IS12" i="7"/>
  <c r="IS11" i="7"/>
  <c r="IS4" i="7"/>
  <c r="IS24" i="7"/>
  <c r="IS22" i="7"/>
  <c r="IS35" i="7"/>
  <c r="IS32" i="7"/>
  <c r="IS18" i="7"/>
  <c r="IS14" i="7"/>
  <c r="IS47" i="7"/>
  <c r="IS29" i="7"/>
  <c r="IS10" i="7"/>
  <c r="IS36" i="7"/>
  <c r="IS26" i="7"/>
  <c r="IS17" i="7"/>
  <c r="IS2" i="7"/>
  <c r="JA52" i="9"/>
  <c r="JA52" i="8"/>
  <c r="JA1" i="9"/>
  <c r="JA1" i="8"/>
  <c r="JA142" i="7"/>
  <c r="JA137" i="7"/>
  <c r="JA144" i="7"/>
  <c r="JA128" i="7"/>
  <c r="JA120" i="7"/>
  <c r="JA131" i="7"/>
  <c r="JA123" i="7"/>
  <c r="JA143" i="7"/>
  <c r="JA135" i="7"/>
  <c r="JA130" i="7"/>
  <c r="JA132" i="7"/>
  <c r="JA124" i="7"/>
  <c r="JA110" i="7"/>
  <c r="JA102" i="7"/>
  <c r="JA121" i="7"/>
  <c r="JA117" i="7"/>
  <c r="JA113" i="7"/>
  <c r="JA105" i="7"/>
  <c r="JA140" i="7"/>
  <c r="JA139" i="7"/>
  <c r="JA138" i="7"/>
  <c r="JA134" i="7"/>
  <c r="JA141" i="7"/>
  <c r="JA148" i="7"/>
  <c r="JA133" i="7"/>
  <c r="JA129" i="7"/>
  <c r="JA112" i="7"/>
  <c r="JA104" i="7"/>
  <c r="JA98" i="7"/>
  <c r="JA90" i="7"/>
  <c r="JA127" i="7"/>
  <c r="JA115" i="7"/>
  <c r="JA111" i="7"/>
  <c r="JA101" i="7"/>
  <c r="JA93" i="7"/>
  <c r="JA85" i="7"/>
  <c r="JA136" i="7"/>
  <c r="JA125" i="7"/>
  <c r="JA122" i="7"/>
  <c r="JA118" i="7"/>
  <c r="JA126" i="7"/>
  <c r="JA119" i="7"/>
  <c r="JA116" i="7"/>
  <c r="JA109" i="7"/>
  <c r="JA100" i="7"/>
  <c r="JA99" i="7"/>
  <c r="JA92" i="7"/>
  <c r="JA108" i="7"/>
  <c r="JA82" i="7"/>
  <c r="JA74" i="7"/>
  <c r="JA66" i="7"/>
  <c r="JA77" i="7"/>
  <c r="JA69" i="7"/>
  <c r="JA114" i="7"/>
  <c r="JA97" i="7"/>
  <c r="JA88" i="7"/>
  <c r="JA84" i="7"/>
  <c r="JA76" i="7"/>
  <c r="JA68" i="7"/>
  <c r="JA107" i="7"/>
  <c r="JA83" i="7"/>
  <c r="JA64" i="7"/>
  <c r="JA79" i="7"/>
  <c r="JA75" i="7"/>
  <c r="JA106" i="7"/>
  <c r="JA103" i="7"/>
  <c r="JA70" i="7"/>
  <c r="JA87" i="7"/>
  <c r="JA73" i="7"/>
  <c r="JA94" i="7"/>
  <c r="JA96" i="7"/>
  <c r="JA91" i="7"/>
  <c r="JA86" i="7"/>
  <c r="JA65" i="7"/>
  <c r="JA54" i="7"/>
  <c r="JA46" i="7"/>
  <c r="JA38" i="7"/>
  <c r="JA30" i="7"/>
  <c r="JA89" i="7"/>
  <c r="JA72" i="7"/>
  <c r="JA63" i="7"/>
  <c r="JA57" i="7"/>
  <c r="JA49" i="7"/>
  <c r="JA41" i="7"/>
  <c r="JA33" i="7"/>
  <c r="JA25" i="7"/>
  <c r="JA95" i="7"/>
  <c r="JA81" i="7"/>
  <c r="JA78" i="7"/>
  <c r="JA71" i="7"/>
  <c r="JA62" i="7"/>
  <c r="JA67" i="7"/>
  <c r="JA56" i="7"/>
  <c r="JA48" i="7"/>
  <c r="JA40" i="7"/>
  <c r="JA80" i="7"/>
  <c r="JA58" i="7"/>
  <c r="JA43" i="7"/>
  <c r="JA39" i="7"/>
  <c r="JA50" i="7"/>
  <c r="JA35" i="7"/>
  <c r="JA61" i="7"/>
  <c r="JA44" i="7"/>
  <c r="JA37" i="7"/>
  <c r="JA53" i="7"/>
  <c r="JA42" i="7"/>
  <c r="JA21" i="7"/>
  <c r="JA13" i="7"/>
  <c r="JA5" i="7"/>
  <c r="JA55" i="7"/>
  <c r="JA16" i="7"/>
  <c r="JA8" i="7"/>
  <c r="JA45" i="7"/>
  <c r="JA59" i="7"/>
  <c r="JA47" i="7"/>
  <c r="JA36" i="7"/>
  <c r="JA60" i="7"/>
  <c r="JA29" i="7"/>
  <c r="JA24" i="7"/>
  <c r="JA15" i="7"/>
  <c r="JA7" i="7"/>
  <c r="JA10" i="7"/>
  <c r="JA6" i="7"/>
  <c r="JA32" i="7"/>
  <c r="JA17" i="7"/>
  <c r="JA2" i="7"/>
  <c r="JA26" i="7"/>
  <c r="JA23" i="7"/>
  <c r="JA9" i="7"/>
  <c r="JA20" i="7"/>
  <c r="JA27" i="7"/>
  <c r="JA19" i="7"/>
  <c r="JA12" i="7"/>
  <c r="JA51" i="7"/>
  <c r="JA31" i="7"/>
  <c r="JA11" i="7"/>
  <c r="JA28" i="7"/>
  <c r="JA22" i="7"/>
  <c r="JA3" i="7"/>
  <c r="JI52" i="9"/>
  <c r="JI52" i="8"/>
  <c r="JI1" i="9"/>
  <c r="JI1" i="8"/>
  <c r="JI142" i="7"/>
  <c r="JI137" i="7"/>
  <c r="JI144" i="7"/>
  <c r="JI128" i="7"/>
  <c r="JI120" i="7"/>
  <c r="JI143" i="7"/>
  <c r="JI136" i="7"/>
  <c r="JI131" i="7"/>
  <c r="JI123" i="7"/>
  <c r="JI141" i="7"/>
  <c r="JI130" i="7"/>
  <c r="JI140" i="7"/>
  <c r="JI138" i="7"/>
  <c r="JI118" i="7"/>
  <c r="JI110" i="7"/>
  <c r="JI102" i="7"/>
  <c r="JI133" i="7"/>
  <c r="JI129" i="7"/>
  <c r="JI127" i="7"/>
  <c r="JI113" i="7"/>
  <c r="JI105" i="7"/>
  <c r="JI135" i="7"/>
  <c r="JI148" i="7"/>
  <c r="JI134" i="7"/>
  <c r="JI126" i="7"/>
  <c r="JI122" i="7"/>
  <c r="JI112" i="7"/>
  <c r="JI104" i="7"/>
  <c r="JI100" i="7"/>
  <c r="JI98" i="7"/>
  <c r="JI90" i="7"/>
  <c r="JI139" i="7"/>
  <c r="JI132" i="7"/>
  <c r="JI125" i="7"/>
  <c r="JI116" i="7"/>
  <c r="JI109" i="7"/>
  <c r="JI93" i="7"/>
  <c r="JI85" i="7"/>
  <c r="JI119" i="7"/>
  <c r="JI117" i="7"/>
  <c r="JI124" i="7"/>
  <c r="JI121" i="7"/>
  <c r="JI114" i="7"/>
  <c r="JI92" i="7"/>
  <c r="JI101" i="7"/>
  <c r="JI88" i="7"/>
  <c r="JI82" i="7"/>
  <c r="JI74" i="7"/>
  <c r="JI66" i="7"/>
  <c r="JI97" i="7"/>
  <c r="JI77" i="7"/>
  <c r="JI69" i="7"/>
  <c r="JI115" i="7"/>
  <c r="JI108" i="7"/>
  <c r="JI106" i="7"/>
  <c r="JI84" i="7"/>
  <c r="JI76" i="7"/>
  <c r="JI68" i="7"/>
  <c r="JI111" i="7"/>
  <c r="JI95" i="7"/>
  <c r="JI81" i="7"/>
  <c r="JI80" i="7"/>
  <c r="JI73" i="7"/>
  <c r="JI103" i="7"/>
  <c r="JI79" i="7"/>
  <c r="JI75" i="7"/>
  <c r="JI99" i="7"/>
  <c r="JI78" i="7"/>
  <c r="JI94" i="7"/>
  <c r="JI91" i="7"/>
  <c r="JI86" i="7"/>
  <c r="JI54" i="7"/>
  <c r="JI46" i="7"/>
  <c r="JI38" i="7"/>
  <c r="JI30" i="7"/>
  <c r="JI70" i="7"/>
  <c r="JI57" i="7"/>
  <c r="JI49" i="7"/>
  <c r="JI41" i="7"/>
  <c r="JI33" i="7"/>
  <c r="JI25" i="7"/>
  <c r="JI67" i="7"/>
  <c r="JI65" i="7"/>
  <c r="JI63" i="7"/>
  <c r="JI87" i="7"/>
  <c r="JI83" i="7"/>
  <c r="JI62" i="7"/>
  <c r="JI72" i="7"/>
  <c r="JI107" i="7"/>
  <c r="JI96" i="7"/>
  <c r="JI89" i="7"/>
  <c r="JI56" i="7"/>
  <c r="JI48" i="7"/>
  <c r="JI40" i="7"/>
  <c r="JI44" i="7"/>
  <c r="JI37" i="7"/>
  <c r="JI71" i="7"/>
  <c r="JI64" i="7"/>
  <c r="JI59" i="7"/>
  <c r="JI55" i="7"/>
  <c r="JI36" i="7"/>
  <c r="JI61" i="7"/>
  <c r="JI42" i="7"/>
  <c r="JI58" i="7"/>
  <c r="JI47" i="7"/>
  <c r="JI45" i="7"/>
  <c r="JI34" i="7"/>
  <c r="JI29" i="7"/>
  <c r="JI23" i="7"/>
  <c r="JI21" i="7"/>
  <c r="JI13" i="7"/>
  <c r="JI5" i="7"/>
  <c r="JI35" i="7"/>
  <c r="JI26" i="7"/>
  <c r="JI16" i="7"/>
  <c r="JI8" i="7"/>
  <c r="JI51" i="7"/>
  <c r="JI50" i="7"/>
  <c r="JI39" i="7"/>
  <c r="JI60" i="7"/>
  <c r="JI52" i="7"/>
  <c r="JI53" i="7"/>
  <c r="JI43" i="7"/>
  <c r="JI15" i="7"/>
  <c r="JI7" i="7"/>
  <c r="JI11" i="7"/>
  <c r="JI4" i="7"/>
  <c r="JI27" i="7"/>
  <c r="JI22" i="7"/>
  <c r="JI3" i="7"/>
  <c r="JI31" i="7"/>
  <c r="JI24" i="7"/>
  <c r="JI18" i="7"/>
  <c r="JI14" i="7"/>
  <c r="JI28" i="7"/>
  <c r="JI10" i="7"/>
  <c r="JI6" i="7"/>
  <c r="JI17" i="7"/>
  <c r="JI32" i="7"/>
  <c r="JI9" i="7"/>
  <c r="JI20" i="7"/>
  <c r="JQ52" i="9"/>
  <c r="JQ52" i="8"/>
  <c r="JQ1" i="9"/>
  <c r="JQ1" i="8"/>
  <c r="JQ142" i="7"/>
  <c r="JQ137" i="7"/>
  <c r="JQ144" i="7"/>
  <c r="JQ148" i="7"/>
  <c r="JQ135" i="7"/>
  <c r="JQ128" i="7"/>
  <c r="JQ120" i="7"/>
  <c r="JQ141" i="7"/>
  <c r="JQ131" i="7"/>
  <c r="JQ123" i="7"/>
  <c r="JQ130" i="7"/>
  <c r="JQ126" i="7"/>
  <c r="JQ122" i="7"/>
  <c r="JQ110" i="7"/>
  <c r="JQ102" i="7"/>
  <c r="JQ134" i="7"/>
  <c r="JQ119" i="7"/>
  <c r="JQ118" i="7"/>
  <c r="JQ113" i="7"/>
  <c r="JQ105" i="7"/>
  <c r="JQ140" i="7"/>
  <c r="JQ138" i="7"/>
  <c r="JQ133" i="7"/>
  <c r="JQ139" i="7"/>
  <c r="JQ132" i="7"/>
  <c r="JQ112" i="7"/>
  <c r="JQ104" i="7"/>
  <c r="JQ117" i="7"/>
  <c r="JQ107" i="7"/>
  <c r="JQ103" i="7"/>
  <c r="JQ98" i="7"/>
  <c r="JQ90" i="7"/>
  <c r="JQ143" i="7"/>
  <c r="JQ136" i="7"/>
  <c r="JQ127" i="7"/>
  <c r="JQ114" i="7"/>
  <c r="JQ99" i="7"/>
  <c r="JQ93" i="7"/>
  <c r="JQ85" i="7"/>
  <c r="JQ124" i="7"/>
  <c r="JQ121" i="7"/>
  <c r="JQ129" i="7"/>
  <c r="JQ116" i="7"/>
  <c r="JQ125" i="7"/>
  <c r="JQ92" i="7"/>
  <c r="JQ106" i="7"/>
  <c r="JQ95" i="7"/>
  <c r="JQ91" i="7"/>
  <c r="JQ82" i="7"/>
  <c r="JQ74" i="7"/>
  <c r="JQ66" i="7"/>
  <c r="JQ100" i="7"/>
  <c r="JQ87" i="7"/>
  <c r="JQ77" i="7"/>
  <c r="JQ69" i="7"/>
  <c r="JQ108" i="7"/>
  <c r="JQ109" i="7"/>
  <c r="JQ111" i="7"/>
  <c r="JQ86" i="7"/>
  <c r="JQ84" i="7"/>
  <c r="JQ76" i="7"/>
  <c r="JQ68" i="7"/>
  <c r="JQ71" i="7"/>
  <c r="JQ67" i="7"/>
  <c r="JQ115" i="7"/>
  <c r="JQ89" i="7"/>
  <c r="JQ78" i="7"/>
  <c r="JQ80" i="7"/>
  <c r="JQ73" i="7"/>
  <c r="JQ83" i="7"/>
  <c r="JQ72" i="7"/>
  <c r="JQ101" i="7"/>
  <c r="JQ54" i="7"/>
  <c r="JQ46" i="7"/>
  <c r="JQ38" i="7"/>
  <c r="JQ30" i="7"/>
  <c r="JQ65" i="7"/>
  <c r="JQ57" i="7"/>
  <c r="JQ49" i="7"/>
  <c r="JQ41" i="7"/>
  <c r="JQ33" i="7"/>
  <c r="JQ25" i="7"/>
  <c r="JQ97" i="7"/>
  <c r="JQ79" i="7"/>
  <c r="JQ64" i="7"/>
  <c r="JQ96" i="7"/>
  <c r="JQ94" i="7"/>
  <c r="JQ63" i="7"/>
  <c r="JQ88" i="7"/>
  <c r="JQ70" i="7"/>
  <c r="JQ56" i="7"/>
  <c r="JQ48" i="7"/>
  <c r="JQ40" i="7"/>
  <c r="JQ61" i="7"/>
  <c r="JQ42" i="7"/>
  <c r="JQ60" i="7"/>
  <c r="JQ53" i="7"/>
  <c r="JQ34" i="7"/>
  <c r="JQ62" i="7"/>
  <c r="JQ75" i="7"/>
  <c r="JQ51" i="7"/>
  <c r="JQ47" i="7"/>
  <c r="JQ52" i="7"/>
  <c r="JQ50" i="7"/>
  <c r="JQ39" i="7"/>
  <c r="JQ24" i="7"/>
  <c r="JQ21" i="7"/>
  <c r="JQ13" i="7"/>
  <c r="JQ5" i="7"/>
  <c r="JQ32" i="7"/>
  <c r="JQ23" i="7"/>
  <c r="JQ16" i="7"/>
  <c r="JQ8" i="7"/>
  <c r="JQ55" i="7"/>
  <c r="JQ44" i="7"/>
  <c r="JQ43" i="7"/>
  <c r="JQ81" i="7"/>
  <c r="JQ45" i="7"/>
  <c r="JQ58" i="7"/>
  <c r="JQ59" i="7"/>
  <c r="JQ36" i="7"/>
  <c r="JQ35" i="7"/>
  <c r="JQ31" i="7"/>
  <c r="JQ27" i="7"/>
  <c r="JQ15" i="7"/>
  <c r="JQ7" i="7"/>
  <c r="JQ9" i="7"/>
  <c r="JQ29" i="7"/>
  <c r="JQ20" i="7"/>
  <c r="JQ26" i="7"/>
  <c r="JQ19" i="7"/>
  <c r="JQ12" i="7"/>
  <c r="JQ11" i="7"/>
  <c r="JQ4" i="7"/>
  <c r="JQ22" i="7"/>
  <c r="JQ18" i="7"/>
  <c r="JQ14" i="7"/>
  <c r="JQ10" i="7"/>
  <c r="JQ6" i="7"/>
  <c r="JY52" i="9"/>
  <c r="JY1" i="9"/>
  <c r="JY52" i="8"/>
  <c r="JY1" i="8"/>
  <c r="JY142" i="7"/>
  <c r="JY137" i="7"/>
  <c r="JY144" i="7"/>
  <c r="JY139" i="7"/>
  <c r="JY128" i="7"/>
  <c r="JY120" i="7"/>
  <c r="JY135" i="7"/>
  <c r="JY131" i="7"/>
  <c r="JY123" i="7"/>
  <c r="JY130" i="7"/>
  <c r="JY138" i="7"/>
  <c r="JY110" i="7"/>
  <c r="JY102" i="7"/>
  <c r="JY132" i="7"/>
  <c r="JY125" i="7"/>
  <c r="JY113" i="7"/>
  <c r="JY105" i="7"/>
  <c r="JY140" i="7"/>
  <c r="JY141" i="7"/>
  <c r="JY143" i="7"/>
  <c r="JY136" i="7"/>
  <c r="JY134" i="7"/>
  <c r="JY148" i="7"/>
  <c r="JY124" i="7"/>
  <c r="JY112" i="7"/>
  <c r="JY104" i="7"/>
  <c r="JY108" i="7"/>
  <c r="JY98" i="7"/>
  <c r="JY90" i="7"/>
  <c r="JY129" i="7"/>
  <c r="JY122" i="7"/>
  <c r="JY93" i="7"/>
  <c r="JY85" i="7"/>
  <c r="JY126" i="7"/>
  <c r="JY119" i="7"/>
  <c r="JY133" i="7"/>
  <c r="JY117" i="7"/>
  <c r="JY127" i="7"/>
  <c r="JY92" i="7"/>
  <c r="JY111" i="7"/>
  <c r="JY109" i="7"/>
  <c r="JY96" i="7"/>
  <c r="JY89" i="7"/>
  <c r="JY86" i="7"/>
  <c r="JY82" i="7"/>
  <c r="JY74" i="7"/>
  <c r="JY66" i="7"/>
  <c r="JY101" i="7"/>
  <c r="JY77" i="7"/>
  <c r="JY69" i="7"/>
  <c r="JY121" i="7"/>
  <c r="JY115" i="7"/>
  <c r="JY114" i="7"/>
  <c r="JY118" i="7"/>
  <c r="JY116" i="7"/>
  <c r="JY107" i="7"/>
  <c r="JY106" i="7"/>
  <c r="JY100" i="7"/>
  <c r="JY84" i="7"/>
  <c r="JY76" i="7"/>
  <c r="JY68" i="7"/>
  <c r="JY88" i="7"/>
  <c r="JY72" i="7"/>
  <c r="JY65" i="7"/>
  <c r="JY95" i="7"/>
  <c r="JY94" i="7"/>
  <c r="JY83" i="7"/>
  <c r="JY78" i="7"/>
  <c r="JY103" i="7"/>
  <c r="JY87" i="7"/>
  <c r="JY79" i="7"/>
  <c r="JY99" i="7"/>
  <c r="JY97" i="7"/>
  <c r="JY54" i="7"/>
  <c r="JY46" i="7"/>
  <c r="JY38" i="7"/>
  <c r="JY30" i="7"/>
  <c r="JY80" i="7"/>
  <c r="JY57" i="7"/>
  <c r="JY49" i="7"/>
  <c r="JY41" i="7"/>
  <c r="JY33" i="7"/>
  <c r="JY25" i="7"/>
  <c r="JY73" i="7"/>
  <c r="JY71" i="7"/>
  <c r="JY70" i="7"/>
  <c r="JY67" i="7"/>
  <c r="JY81" i="7"/>
  <c r="JY91" i="7"/>
  <c r="JY75" i="7"/>
  <c r="JY64" i="7"/>
  <c r="JY62" i="7"/>
  <c r="JY56" i="7"/>
  <c r="JY48" i="7"/>
  <c r="JY40" i="7"/>
  <c r="JY63" i="7"/>
  <c r="JY51" i="7"/>
  <c r="JY47" i="7"/>
  <c r="JY58" i="7"/>
  <c r="JY43" i="7"/>
  <c r="JY39" i="7"/>
  <c r="JY52" i="7"/>
  <c r="JY45" i="7"/>
  <c r="JY55" i="7"/>
  <c r="JY44" i="7"/>
  <c r="JY31" i="7"/>
  <c r="JY27" i="7"/>
  <c r="JY21" i="7"/>
  <c r="JY13" i="7"/>
  <c r="JY5" i="7"/>
  <c r="JY28" i="7"/>
  <c r="JY24" i="7"/>
  <c r="JY16" i="7"/>
  <c r="JY8" i="7"/>
  <c r="JY59" i="7"/>
  <c r="JY36" i="7"/>
  <c r="JY50" i="7"/>
  <c r="JY37" i="7"/>
  <c r="JY61" i="7"/>
  <c r="JY15" i="7"/>
  <c r="JY7" i="7"/>
  <c r="JY60" i="7"/>
  <c r="JY53" i="7"/>
  <c r="JY18" i="7"/>
  <c r="JY14" i="7"/>
  <c r="JY42" i="7"/>
  <c r="JY34" i="7"/>
  <c r="JY10" i="7"/>
  <c r="JY6" i="7"/>
  <c r="JY17" i="7"/>
  <c r="JY35" i="7"/>
  <c r="JY9" i="7"/>
  <c r="JY23" i="7"/>
  <c r="JY20" i="7"/>
  <c r="JY32" i="7"/>
  <c r="JY19" i="7"/>
  <c r="JY12" i="7"/>
  <c r="JY29" i="7"/>
  <c r="JY11" i="7"/>
  <c r="JY4" i="7"/>
  <c r="P2" i="7"/>
  <c r="AM2" i="7"/>
  <c r="BF2" i="7"/>
  <c r="CA2" i="7"/>
  <c r="CW2" i="7"/>
  <c r="DO2" i="7"/>
  <c r="EK2" i="7"/>
  <c r="FE2" i="7"/>
  <c r="FY2" i="7"/>
  <c r="GT2" i="7"/>
  <c r="HM2" i="7"/>
  <c r="IH2" i="7"/>
  <c r="JD2" i="7"/>
  <c r="JV2" i="7"/>
  <c r="T3" i="7"/>
  <c r="AK3" i="7"/>
  <c r="BH3" i="7"/>
  <c r="CD3" i="7"/>
  <c r="CV3" i="7"/>
  <c r="DS3" i="7"/>
  <c r="EJ3" i="7"/>
  <c r="FG3" i="7"/>
  <c r="GB3" i="7"/>
  <c r="HB3" i="7"/>
  <c r="IA3" i="7"/>
  <c r="IZ3" i="7"/>
  <c r="JY3" i="7"/>
  <c r="AA4" i="7"/>
  <c r="BA4" i="7"/>
  <c r="BZ4" i="7"/>
  <c r="DC4" i="7"/>
  <c r="EY4" i="7"/>
  <c r="GX4" i="7"/>
  <c r="IV4" i="7"/>
  <c r="X5" i="7"/>
  <c r="BV5" i="7"/>
  <c r="DV5" i="7"/>
  <c r="FU5" i="7"/>
  <c r="HS5" i="7"/>
  <c r="JT5" i="7"/>
  <c r="AS6" i="7"/>
  <c r="CS6" i="7"/>
  <c r="ER6" i="7"/>
  <c r="GP6" i="7"/>
  <c r="IQ6" i="7"/>
  <c r="P7" i="7"/>
  <c r="BP7" i="7"/>
  <c r="DO7" i="7"/>
  <c r="FM7" i="7"/>
  <c r="HN7" i="7"/>
  <c r="JL7" i="7"/>
  <c r="AM8" i="7"/>
  <c r="CL8" i="7"/>
  <c r="EJ8" i="7"/>
  <c r="GK8" i="7"/>
  <c r="II8" i="7"/>
  <c r="J9" i="7"/>
  <c r="DG9" i="7"/>
  <c r="HF9" i="7"/>
  <c r="AF10" i="7"/>
  <c r="EE10" i="7"/>
  <c r="IC10" i="7"/>
  <c r="BA11" i="7"/>
  <c r="EZ11" i="7"/>
  <c r="IY11" i="7"/>
  <c r="BY12" i="7"/>
  <c r="FW12" i="7"/>
  <c r="JT12" i="7"/>
  <c r="CT13" i="7"/>
  <c r="GS13" i="7"/>
  <c r="S14" i="7"/>
  <c r="DQ14" i="7"/>
  <c r="HN14" i="7"/>
  <c r="AN15" i="7"/>
  <c r="EM15" i="7"/>
  <c r="IL15" i="7"/>
  <c r="BK16" i="7"/>
  <c r="FH16" i="7"/>
  <c r="JG16" i="7"/>
  <c r="CG17" i="7"/>
  <c r="GF17" i="7"/>
  <c r="E18" i="7"/>
  <c r="DB18" i="7"/>
  <c r="HA18" i="7"/>
  <c r="AA19" i="7"/>
  <c r="DZ19" i="7"/>
  <c r="HX19" i="7"/>
  <c r="AV20" i="7"/>
  <c r="EU20" i="7"/>
  <c r="IT20" i="7"/>
  <c r="BT21" i="7"/>
  <c r="FR21" i="7"/>
  <c r="JO21" i="7"/>
  <c r="CO22" i="7"/>
  <c r="GN22" i="7"/>
  <c r="N23" i="7"/>
  <c r="DL23" i="7"/>
  <c r="HM23" i="7"/>
  <c r="BB24" i="7"/>
  <c r="FP24" i="7"/>
  <c r="D25" i="7"/>
  <c r="DQ25" i="7"/>
  <c r="II25" i="7"/>
  <c r="CQ26" i="7"/>
  <c r="HZ26" i="7"/>
  <c r="CH27" i="7"/>
  <c r="HN27" i="7"/>
  <c r="BT28" i="7"/>
  <c r="HA28" i="7"/>
  <c r="BI29" i="7"/>
  <c r="GP29" i="7"/>
  <c r="AW30" i="7"/>
  <c r="GB30" i="7"/>
  <c r="AJ31" i="7"/>
  <c r="FQ31" i="7"/>
  <c r="Y32" i="7"/>
  <c r="FE32" i="7"/>
  <c r="K33" i="7"/>
  <c r="EY33" i="7"/>
  <c r="AR34" i="7"/>
  <c r="M35" i="7"/>
  <c r="JL35" i="7"/>
  <c r="JQ37" i="7"/>
  <c r="FH42" i="7"/>
  <c r="AW47" i="7"/>
  <c r="HI51" i="7"/>
  <c r="CZ56" i="7"/>
  <c r="E54" i="10"/>
  <c r="IK149" i="7" l="1"/>
  <c r="IK150" i="7"/>
  <c r="U151" i="7"/>
  <c r="JY149" i="7"/>
  <c r="GW149" i="7"/>
  <c r="GW151" i="7"/>
  <c r="FI151" i="7"/>
  <c r="BV149" i="7"/>
  <c r="FI150" i="7"/>
  <c r="BT149" i="7"/>
  <c r="BK149" i="7"/>
  <c r="Z149" i="7"/>
  <c r="U149" i="7"/>
  <c r="BY149" i="7"/>
  <c r="BA149" i="7"/>
  <c r="AC149" i="7"/>
  <c r="EK150" i="7"/>
  <c r="EK151" i="7"/>
  <c r="EK149" i="7"/>
  <c r="BI49" i="8"/>
  <c r="BI47" i="8"/>
  <c r="BI45" i="8"/>
  <c r="BI43" i="8"/>
  <c r="BI41" i="8"/>
  <c r="BI39" i="8"/>
  <c r="BI37" i="8"/>
  <c r="BI40" i="8"/>
  <c r="BI34" i="8"/>
  <c r="BI32" i="8"/>
  <c r="BI30" i="8"/>
  <c r="BI28" i="8"/>
  <c r="BI26" i="8"/>
  <c r="BI42" i="8"/>
  <c r="BI36" i="8"/>
  <c r="BI21" i="8"/>
  <c r="BI19" i="8"/>
  <c r="BI17" i="8"/>
  <c r="BI15" i="8"/>
  <c r="BI13" i="8"/>
  <c r="BI11" i="8"/>
  <c r="BI9" i="8"/>
  <c r="BI7" i="8"/>
  <c r="BI5" i="8"/>
  <c r="BI3" i="8"/>
  <c r="BI48" i="8"/>
  <c r="BI35" i="8"/>
  <c r="BI29" i="8"/>
  <c r="BI46" i="8"/>
  <c r="BI38" i="8"/>
  <c r="BI23" i="8"/>
  <c r="BI33" i="8"/>
  <c r="BI27" i="8"/>
  <c r="BI10" i="8"/>
  <c r="BI44" i="8"/>
  <c r="BI20" i="8"/>
  <c r="BI31" i="8"/>
  <c r="BI22" i="8"/>
  <c r="BI6" i="8"/>
  <c r="BI18" i="8"/>
  <c r="BI12" i="8"/>
  <c r="BI14" i="8"/>
  <c r="BI25" i="8"/>
  <c r="BI24" i="8"/>
  <c r="BI8" i="8"/>
  <c r="BI16" i="8"/>
  <c r="BI4" i="8"/>
  <c r="BI2" i="8"/>
  <c r="BA49" i="8"/>
  <c r="BA47" i="8"/>
  <c r="BA45" i="8"/>
  <c r="BA43" i="8"/>
  <c r="BA41" i="8"/>
  <c r="BA39" i="8"/>
  <c r="BA37" i="8"/>
  <c r="BA46" i="8"/>
  <c r="BA44" i="8"/>
  <c r="BA38" i="8"/>
  <c r="BA48" i="8"/>
  <c r="BA34" i="8"/>
  <c r="BA32" i="8"/>
  <c r="BA30" i="8"/>
  <c r="BA28" i="8"/>
  <c r="BA26" i="8"/>
  <c r="BA40" i="8"/>
  <c r="BA36" i="8"/>
  <c r="BA42" i="8"/>
  <c r="BA21" i="8"/>
  <c r="BA19" i="8"/>
  <c r="BA17" i="8"/>
  <c r="BA15" i="8"/>
  <c r="BA13" i="8"/>
  <c r="BA11" i="8"/>
  <c r="BA9" i="8"/>
  <c r="BA7" i="8"/>
  <c r="BA5" i="8"/>
  <c r="BA3" i="8"/>
  <c r="BA33" i="8"/>
  <c r="BA27" i="8"/>
  <c r="BA35" i="8"/>
  <c r="BA8" i="8"/>
  <c r="BA4" i="8"/>
  <c r="BA31" i="8"/>
  <c r="BA18" i="8"/>
  <c r="BA29" i="8"/>
  <c r="BA25" i="8"/>
  <c r="BA20" i="8"/>
  <c r="BA24" i="8"/>
  <c r="BA22" i="8"/>
  <c r="BA14" i="8"/>
  <c r="BA2" i="8"/>
  <c r="BA23" i="8"/>
  <c r="BA16" i="8"/>
  <c r="BA10" i="8"/>
  <c r="BA12" i="8"/>
  <c r="BA6" i="8"/>
  <c r="U49" i="8"/>
  <c r="U47" i="8"/>
  <c r="U45" i="8"/>
  <c r="U43" i="8"/>
  <c r="U41" i="8"/>
  <c r="U39" i="8"/>
  <c r="U37" i="8"/>
  <c r="U48" i="8"/>
  <c r="U38" i="8"/>
  <c r="U34" i="8"/>
  <c r="U32" i="8"/>
  <c r="U30" i="8"/>
  <c r="U28" i="8"/>
  <c r="U26" i="8"/>
  <c r="U31" i="8"/>
  <c r="U24" i="8"/>
  <c r="U21" i="8"/>
  <c r="U19" i="8"/>
  <c r="U17" i="8"/>
  <c r="U15" i="8"/>
  <c r="U13" i="8"/>
  <c r="U11" i="8"/>
  <c r="U9" i="8"/>
  <c r="U7" i="8"/>
  <c r="U5" i="8"/>
  <c r="U3" i="8"/>
  <c r="U27" i="8"/>
  <c r="U23" i="8"/>
  <c r="U40" i="8"/>
  <c r="U46" i="8"/>
  <c r="U42" i="8"/>
  <c r="U33" i="8"/>
  <c r="U16" i="8"/>
  <c r="U4" i="8"/>
  <c r="U35" i="8"/>
  <c r="U29" i="8"/>
  <c r="U10" i="8"/>
  <c r="U44" i="8"/>
  <c r="U36" i="8"/>
  <c r="U12" i="8"/>
  <c r="U18" i="8"/>
  <c r="U25" i="8"/>
  <c r="U20" i="8"/>
  <c r="U14" i="8"/>
  <c r="U22" i="8"/>
  <c r="U8" i="8"/>
  <c r="U2" i="8"/>
  <c r="U6" i="8"/>
  <c r="FW54" i="8"/>
  <c r="FW46" i="8"/>
  <c r="FW49" i="8"/>
  <c r="FW53" i="8"/>
  <c r="FW44" i="8"/>
  <c r="FW42" i="8"/>
  <c r="FW40" i="8"/>
  <c r="FW39" i="8"/>
  <c r="FW55" i="8"/>
  <c r="FW48" i="8"/>
  <c r="FW37" i="8"/>
  <c r="FW47" i="8"/>
  <c r="FW34" i="8"/>
  <c r="FW29" i="8"/>
  <c r="FW24" i="8"/>
  <c r="FW45" i="8"/>
  <c r="FW41" i="8"/>
  <c r="FW20" i="8"/>
  <c r="FW18" i="8"/>
  <c r="FW16" i="8"/>
  <c r="FW14" i="8"/>
  <c r="FW12" i="8"/>
  <c r="FW10" i="8"/>
  <c r="FW8" i="8"/>
  <c r="FW6" i="8"/>
  <c r="FW4" i="8"/>
  <c r="FW32" i="8"/>
  <c r="FW31" i="8"/>
  <c r="FW19" i="8"/>
  <c r="FW43" i="8"/>
  <c r="FW36" i="8"/>
  <c r="FW33" i="8"/>
  <c r="FW30" i="8"/>
  <c r="FW27" i="8"/>
  <c r="FW13" i="8"/>
  <c r="FW38" i="8"/>
  <c r="FW35" i="8"/>
  <c r="FW28" i="8"/>
  <c r="FW26" i="8"/>
  <c r="FW15" i="8"/>
  <c r="FW3" i="8"/>
  <c r="FW22" i="8"/>
  <c r="FW17" i="8"/>
  <c r="FW9" i="8"/>
  <c r="FW11" i="8"/>
  <c r="FW25" i="8"/>
  <c r="FW23" i="8"/>
  <c r="FW21" i="8"/>
  <c r="FW7" i="8"/>
  <c r="FW2" i="8"/>
  <c r="FW5" i="8"/>
  <c r="FY151" i="7"/>
  <c r="FY150" i="7"/>
  <c r="FY149" i="7"/>
  <c r="P151" i="7"/>
  <c r="P150" i="7"/>
  <c r="P149" i="7"/>
  <c r="IS150" i="7"/>
  <c r="IS151" i="7"/>
  <c r="IS149" i="7"/>
  <c r="IC150" i="7"/>
  <c r="IC151" i="7"/>
  <c r="IC149" i="7"/>
  <c r="HM55" i="9"/>
  <c r="HM53" i="9"/>
  <c r="HM54" i="9"/>
  <c r="HM49" i="9"/>
  <c r="HM48" i="9"/>
  <c r="HM46" i="9"/>
  <c r="HM47" i="9"/>
  <c r="HM44" i="9"/>
  <c r="HM43" i="9"/>
  <c r="HM41" i="9"/>
  <c r="HM45" i="9"/>
  <c r="HM40" i="9"/>
  <c r="HM39" i="9"/>
  <c r="HM33" i="9"/>
  <c r="HM38" i="9"/>
  <c r="HM32" i="9"/>
  <c r="HM42" i="9"/>
  <c r="HM34" i="9"/>
  <c r="HM31" i="9"/>
  <c r="HM28" i="9"/>
  <c r="HM36" i="9"/>
  <c r="HM35" i="9"/>
  <c r="HM30" i="9"/>
  <c r="HM27" i="9"/>
  <c r="HM26" i="9"/>
  <c r="HM37" i="9"/>
  <c r="HM17" i="9"/>
  <c r="HM22" i="9"/>
  <c r="HM13" i="9"/>
  <c r="HM29" i="9"/>
  <c r="HM24" i="9"/>
  <c r="HM10" i="9"/>
  <c r="HM12" i="9"/>
  <c r="HM8" i="9"/>
  <c r="HM2" i="9"/>
  <c r="HM15" i="9"/>
  <c r="HM23" i="9"/>
  <c r="HM25" i="9"/>
  <c r="HM19" i="9"/>
  <c r="HM14" i="9"/>
  <c r="HM6" i="9"/>
  <c r="HM21" i="9"/>
  <c r="HM11" i="9"/>
  <c r="HM20" i="9"/>
  <c r="HM18" i="9"/>
  <c r="HM16" i="9"/>
  <c r="HM9" i="9"/>
  <c r="HM5" i="9"/>
  <c r="HM4" i="9"/>
  <c r="HM3" i="9"/>
  <c r="HM7" i="9"/>
  <c r="HE55" i="8"/>
  <c r="HE53" i="8"/>
  <c r="HE49" i="8"/>
  <c r="HE47" i="8"/>
  <c r="HE54" i="8"/>
  <c r="HE45" i="8"/>
  <c r="HE43" i="8"/>
  <c r="HE41" i="8"/>
  <c r="HE39" i="8"/>
  <c r="HE37" i="8"/>
  <c r="HE38" i="8"/>
  <c r="HE34" i="8"/>
  <c r="HE32" i="8"/>
  <c r="HE30" i="8"/>
  <c r="HE28" i="8"/>
  <c r="HE26" i="8"/>
  <c r="HE24" i="8"/>
  <c r="HE48" i="8"/>
  <c r="HE31" i="8"/>
  <c r="HE21" i="8"/>
  <c r="HE19" i="8"/>
  <c r="HE17" i="8"/>
  <c r="HE15" i="8"/>
  <c r="HE13" i="8"/>
  <c r="HE11" i="8"/>
  <c r="HE9" i="8"/>
  <c r="HE7" i="8"/>
  <c r="HE5" i="8"/>
  <c r="HE3" i="8"/>
  <c r="HE46" i="8"/>
  <c r="HE36" i="8"/>
  <c r="HE27" i="8"/>
  <c r="HE23" i="8"/>
  <c r="HE22" i="8"/>
  <c r="HE42" i="8"/>
  <c r="HE44" i="8"/>
  <c r="HE16" i="8"/>
  <c r="HE40" i="8"/>
  <c r="HE10" i="8"/>
  <c r="HE33" i="8"/>
  <c r="HE35" i="8"/>
  <c r="HE12" i="8"/>
  <c r="HE25" i="8"/>
  <c r="HE14" i="8"/>
  <c r="HE6" i="8"/>
  <c r="HE29" i="8"/>
  <c r="HE8" i="8"/>
  <c r="HE18" i="8"/>
  <c r="HE4" i="8"/>
  <c r="HE2" i="8"/>
  <c r="HE20" i="8"/>
  <c r="ES54" i="9"/>
  <c r="ES49" i="9"/>
  <c r="ES48" i="9"/>
  <c r="ES55" i="9"/>
  <c r="ES53" i="9"/>
  <c r="ES43" i="9"/>
  <c r="ES46" i="9"/>
  <c r="ES45" i="9"/>
  <c r="ES41" i="9"/>
  <c r="ES39" i="9"/>
  <c r="ES38" i="9"/>
  <c r="ES47" i="9"/>
  <c r="ES44" i="9"/>
  <c r="ES36" i="9"/>
  <c r="ES42" i="9"/>
  <c r="ES40" i="9"/>
  <c r="ES37" i="9"/>
  <c r="ES29" i="9"/>
  <c r="ES25" i="9"/>
  <c r="ES35" i="9"/>
  <c r="ES33" i="9"/>
  <c r="ES31" i="9"/>
  <c r="ES26" i="9"/>
  <c r="ES15" i="9"/>
  <c r="ES28" i="9"/>
  <c r="ES27" i="9"/>
  <c r="ES20" i="9"/>
  <c r="ES34" i="9"/>
  <c r="ES32" i="9"/>
  <c r="ES30" i="9"/>
  <c r="ES22" i="9"/>
  <c r="ES10" i="9"/>
  <c r="ES17" i="9"/>
  <c r="ES9" i="9"/>
  <c r="ES2" i="9"/>
  <c r="ES19" i="9"/>
  <c r="ES18" i="9"/>
  <c r="ES6" i="9"/>
  <c r="ES5" i="9"/>
  <c r="ES23" i="9"/>
  <c r="ES8" i="9"/>
  <c r="ES16" i="9"/>
  <c r="ES14" i="9"/>
  <c r="ES21" i="9"/>
  <c r="ES4" i="9"/>
  <c r="ES3" i="9"/>
  <c r="ES7" i="9"/>
  <c r="ES24" i="9"/>
  <c r="ES11" i="9"/>
  <c r="ES12" i="9"/>
  <c r="ES13" i="9"/>
  <c r="DU150" i="7"/>
  <c r="DU151" i="7"/>
  <c r="DU149" i="7"/>
  <c r="DM55" i="9"/>
  <c r="DM49" i="9"/>
  <c r="DM48" i="9"/>
  <c r="DM47" i="9"/>
  <c r="DM54" i="9"/>
  <c r="DM43" i="9"/>
  <c r="DM46" i="9"/>
  <c r="DM42" i="9"/>
  <c r="DM44" i="9"/>
  <c r="DM38" i="9"/>
  <c r="DM40" i="9"/>
  <c r="DM39" i="9"/>
  <c r="DM32" i="9"/>
  <c r="DM33" i="9"/>
  <c r="DM35" i="9"/>
  <c r="DM34" i="9"/>
  <c r="DM41" i="9"/>
  <c r="DM31" i="9"/>
  <c r="DM27" i="9"/>
  <c r="DM45" i="9"/>
  <c r="DM36" i="9"/>
  <c r="DM53" i="9"/>
  <c r="DM25" i="9"/>
  <c r="DM23" i="9"/>
  <c r="DM18" i="9"/>
  <c r="DM17" i="9"/>
  <c r="DM29" i="9"/>
  <c r="DM37" i="9"/>
  <c r="DM28" i="9"/>
  <c r="DM19" i="9"/>
  <c r="DM10" i="9"/>
  <c r="DM21" i="9"/>
  <c r="DM20" i="9"/>
  <c r="DM11" i="9"/>
  <c r="DM9" i="9"/>
  <c r="DM2" i="9"/>
  <c r="DM22" i="9"/>
  <c r="DM12" i="9"/>
  <c r="DM26" i="9"/>
  <c r="DM30" i="9"/>
  <c r="DM14" i="9"/>
  <c r="DM8" i="9"/>
  <c r="DM4" i="9"/>
  <c r="DM24" i="9"/>
  <c r="DM15" i="9"/>
  <c r="DM7" i="9"/>
  <c r="DM3" i="9"/>
  <c r="DM16" i="9"/>
  <c r="DM5" i="9"/>
  <c r="DM13" i="9"/>
  <c r="DM6" i="9"/>
  <c r="DE53" i="9"/>
  <c r="DE49" i="9"/>
  <c r="DE55" i="9"/>
  <c r="DE48" i="9"/>
  <c r="DE54" i="9"/>
  <c r="DE47" i="9"/>
  <c r="DE43" i="9"/>
  <c r="DE42" i="9"/>
  <c r="DE41" i="9"/>
  <c r="DE46" i="9"/>
  <c r="DE45" i="9"/>
  <c r="DE37" i="9"/>
  <c r="DE36" i="9"/>
  <c r="DE40" i="9"/>
  <c r="DE38" i="9"/>
  <c r="DE33" i="9"/>
  <c r="DE29" i="9"/>
  <c r="DE39" i="9"/>
  <c r="DE31" i="9"/>
  <c r="DE44" i="9"/>
  <c r="DE34" i="9"/>
  <c r="DE35" i="9"/>
  <c r="DE27" i="9"/>
  <c r="DE21" i="9"/>
  <c r="DE16" i="9"/>
  <c r="DE28" i="9"/>
  <c r="DE25" i="9"/>
  <c r="DE15" i="9"/>
  <c r="DE14" i="9"/>
  <c r="DE30" i="9"/>
  <c r="DE32" i="9"/>
  <c r="DE17" i="9"/>
  <c r="DE10" i="9"/>
  <c r="DE2" i="9"/>
  <c r="DE19" i="9"/>
  <c r="DE18" i="9"/>
  <c r="DE20" i="9"/>
  <c r="DE26" i="9"/>
  <c r="DE23" i="9"/>
  <c r="DE9" i="9"/>
  <c r="DE22" i="9"/>
  <c r="DE13" i="9"/>
  <c r="DE5" i="9"/>
  <c r="DE12" i="9"/>
  <c r="DE24" i="9"/>
  <c r="DE6" i="9"/>
  <c r="DE7" i="9"/>
  <c r="DE3" i="9"/>
  <c r="DE11" i="9"/>
  <c r="DE8" i="9"/>
  <c r="DE4" i="9"/>
  <c r="CO55" i="9"/>
  <c r="CO54" i="9"/>
  <c r="CO49" i="9"/>
  <c r="CO48" i="9"/>
  <c r="CO47" i="9"/>
  <c r="CO53" i="9"/>
  <c r="CO46" i="9"/>
  <c r="CO43" i="9"/>
  <c r="CO42" i="9"/>
  <c r="CO41" i="9"/>
  <c r="CO44" i="9"/>
  <c r="CO40" i="9"/>
  <c r="CO45" i="9"/>
  <c r="CO33" i="9"/>
  <c r="CO39" i="9"/>
  <c r="CO34" i="9"/>
  <c r="CO31" i="9"/>
  <c r="CO38" i="9"/>
  <c r="CO30" i="9"/>
  <c r="CO35" i="9"/>
  <c r="CO32" i="9"/>
  <c r="CO27" i="9"/>
  <c r="CO26" i="9"/>
  <c r="CO36" i="9"/>
  <c r="CO37" i="9"/>
  <c r="CO28" i="9"/>
  <c r="CO17" i="9"/>
  <c r="CO25" i="9"/>
  <c r="CO22" i="9"/>
  <c r="CO13" i="9"/>
  <c r="CO29" i="9"/>
  <c r="CO24" i="9"/>
  <c r="CO10" i="9"/>
  <c r="CO19" i="9"/>
  <c r="CO8" i="9"/>
  <c r="CO2" i="9"/>
  <c r="CO21" i="9"/>
  <c r="CO20" i="9"/>
  <c r="CO7" i="9"/>
  <c r="CO23" i="9"/>
  <c r="CO12" i="9"/>
  <c r="CO14" i="9"/>
  <c r="CO5" i="9"/>
  <c r="CO15" i="9"/>
  <c r="CO18" i="9"/>
  <c r="CO11" i="9"/>
  <c r="CO6" i="9"/>
  <c r="CO3" i="9"/>
  <c r="CO16" i="9"/>
  <c r="CO4" i="9"/>
  <c r="CO9" i="9"/>
  <c r="CG54" i="9"/>
  <c r="CG49" i="9"/>
  <c r="CG53" i="9"/>
  <c r="CG48" i="9"/>
  <c r="CG55" i="9"/>
  <c r="CG45" i="9"/>
  <c r="CG47" i="9"/>
  <c r="CG46" i="9"/>
  <c r="CG43" i="9"/>
  <c r="CG42" i="9"/>
  <c r="CG41" i="9"/>
  <c r="CG40" i="9"/>
  <c r="CG39" i="9"/>
  <c r="CG38" i="9"/>
  <c r="CG36" i="9"/>
  <c r="CG37" i="9"/>
  <c r="CG32" i="9"/>
  <c r="CG29" i="9"/>
  <c r="CG44" i="9"/>
  <c r="CG35" i="9"/>
  <c r="CG33" i="9"/>
  <c r="CG26" i="9"/>
  <c r="CG30" i="9"/>
  <c r="CG15" i="9"/>
  <c r="CG20" i="9"/>
  <c r="CG28" i="9"/>
  <c r="CG27" i="9"/>
  <c r="CG34" i="9"/>
  <c r="CG22" i="9"/>
  <c r="CG10" i="9"/>
  <c r="CG24" i="9"/>
  <c r="CG16" i="9"/>
  <c r="CG12" i="9"/>
  <c r="CG9" i="9"/>
  <c r="CG7" i="9"/>
  <c r="CG2" i="9"/>
  <c r="CG17" i="9"/>
  <c r="CG6" i="9"/>
  <c r="CG5" i="9"/>
  <c r="CG19" i="9"/>
  <c r="CG31" i="9"/>
  <c r="CG25" i="9"/>
  <c r="CG8" i="9"/>
  <c r="CG4" i="9"/>
  <c r="CG23" i="9"/>
  <c r="CG18" i="9"/>
  <c r="CG14" i="9"/>
  <c r="CG21" i="9"/>
  <c r="CG13" i="9"/>
  <c r="CG11" i="9"/>
  <c r="CG3" i="9"/>
  <c r="M49" i="8"/>
  <c r="M47" i="8"/>
  <c r="M45" i="8"/>
  <c r="M43" i="8"/>
  <c r="M41" i="8"/>
  <c r="M39" i="8"/>
  <c r="M37" i="8"/>
  <c r="M46" i="8"/>
  <c r="M44" i="8"/>
  <c r="M36" i="8"/>
  <c r="M34" i="8"/>
  <c r="M32" i="8"/>
  <c r="M30" i="8"/>
  <c r="M28" i="8"/>
  <c r="M26" i="8"/>
  <c r="M38" i="8"/>
  <c r="M42" i="8"/>
  <c r="M23" i="8"/>
  <c r="M21" i="8"/>
  <c r="M19" i="8"/>
  <c r="M17" i="8"/>
  <c r="M15" i="8"/>
  <c r="M13" i="8"/>
  <c r="M11" i="8"/>
  <c r="M9" i="8"/>
  <c r="M7" i="8"/>
  <c r="M5" i="8"/>
  <c r="M3" i="8"/>
  <c r="M25" i="8"/>
  <c r="M48" i="8"/>
  <c r="M40" i="8"/>
  <c r="M14" i="8"/>
  <c r="M2" i="8"/>
  <c r="M31" i="8"/>
  <c r="M24" i="8"/>
  <c r="M8" i="8"/>
  <c r="M33" i="8"/>
  <c r="M35" i="8"/>
  <c r="M10" i="8"/>
  <c r="M4" i="8"/>
  <c r="M22" i="8"/>
  <c r="M29" i="8"/>
  <c r="M16" i="8"/>
  <c r="M18" i="8"/>
  <c r="M12" i="8"/>
  <c r="M27" i="8"/>
  <c r="M20" i="8"/>
  <c r="M6" i="8"/>
  <c r="GU151" i="7"/>
  <c r="GU150" i="7"/>
  <c r="GU149" i="7"/>
  <c r="GU54" i="8"/>
  <c r="GU47" i="8"/>
  <c r="GU44" i="8"/>
  <c r="GU42" i="8"/>
  <c r="GU40" i="8"/>
  <c r="GU45" i="8"/>
  <c r="GU38" i="8"/>
  <c r="GU55" i="8"/>
  <c r="GU46" i="8"/>
  <c r="GU39" i="8"/>
  <c r="GU41" i="8"/>
  <c r="GU35" i="8"/>
  <c r="GU37" i="8"/>
  <c r="GU34" i="8"/>
  <c r="GU30" i="8"/>
  <c r="GU27" i="8"/>
  <c r="GU53" i="8"/>
  <c r="GU49" i="8"/>
  <c r="GU43" i="8"/>
  <c r="GU36" i="8"/>
  <c r="GU31" i="8"/>
  <c r="GU20" i="8"/>
  <c r="GU18" i="8"/>
  <c r="GU16" i="8"/>
  <c r="GU14" i="8"/>
  <c r="GU12" i="8"/>
  <c r="GU10" i="8"/>
  <c r="GU8" i="8"/>
  <c r="GU6" i="8"/>
  <c r="GU4" i="8"/>
  <c r="GU33" i="8"/>
  <c r="GU28" i="8"/>
  <c r="GU25" i="8"/>
  <c r="GU9" i="8"/>
  <c r="GU19" i="8"/>
  <c r="GU48" i="8"/>
  <c r="GU29" i="8"/>
  <c r="GU21" i="8"/>
  <c r="GU5" i="8"/>
  <c r="GU32" i="8"/>
  <c r="GU24" i="8"/>
  <c r="GU17" i="8"/>
  <c r="GU26" i="8"/>
  <c r="GU11" i="8"/>
  <c r="GU13" i="8"/>
  <c r="GU7" i="8"/>
  <c r="GU23" i="8"/>
  <c r="GU15" i="8"/>
  <c r="GU22" i="8"/>
  <c r="GU3" i="8"/>
  <c r="GU2" i="8"/>
  <c r="BG47" i="8"/>
  <c r="BG48" i="8"/>
  <c r="BG46" i="8"/>
  <c r="BG44" i="8"/>
  <c r="BG42" i="8"/>
  <c r="BG40" i="8"/>
  <c r="BG49" i="8"/>
  <c r="BG41" i="8"/>
  <c r="BG37" i="8"/>
  <c r="BG36" i="8"/>
  <c r="BG45" i="8"/>
  <c r="BG38" i="8"/>
  <c r="BG31" i="8"/>
  <c r="BG23" i="8"/>
  <c r="BG26" i="8"/>
  <c r="BG32" i="8"/>
  <c r="BG22" i="8"/>
  <c r="BG20" i="8"/>
  <c r="BG18" i="8"/>
  <c r="BG16" i="8"/>
  <c r="BG14" i="8"/>
  <c r="BG12" i="8"/>
  <c r="BG10" i="8"/>
  <c r="BG8" i="8"/>
  <c r="BG6" i="8"/>
  <c r="BG24" i="8"/>
  <c r="BG21" i="8"/>
  <c r="BG5" i="8"/>
  <c r="BG3" i="8"/>
  <c r="BG34" i="8"/>
  <c r="BG33" i="8"/>
  <c r="BG15" i="8"/>
  <c r="BG35" i="8"/>
  <c r="BG30" i="8"/>
  <c r="BG17" i="8"/>
  <c r="BG2" i="8"/>
  <c r="BG27" i="8"/>
  <c r="BG39" i="8"/>
  <c r="BG19" i="8"/>
  <c r="BG11" i="8"/>
  <c r="BG13" i="8"/>
  <c r="BG43" i="8"/>
  <c r="BG29" i="8"/>
  <c r="BG28" i="8"/>
  <c r="BG7" i="8"/>
  <c r="BG4" i="8"/>
  <c r="BG25" i="8"/>
  <c r="BG9" i="8"/>
  <c r="GT53" i="8"/>
  <c r="GT49" i="8"/>
  <c r="GT48" i="8"/>
  <c r="GT35" i="8"/>
  <c r="GT33" i="8"/>
  <c r="GT31" i="8"/>
  <c r="GT29" i="8"/>
  <c r="GT27" i="8"/>
  <c r="GT25" i="8"/>
  <c r="GT23" i="8"/>
  <c r="GT54" i="8"/>
  <c r="GT45" i="8"/>
  <c r="GT40" i="8"/>
  <c r="GT38" i="8"/>
  <c r="GT55" i="8"/>
  <c r="GT42" i="8"/>
  <c r="GT44" i="8"/>
  <c r="GT24" i="8"/>
  <c r="GT47" i="8"/>
  <c r="GT46" i="8"/>
  <c r="GT41" i="8"/>
  <c r="GT26" i="8"/>
  <c r="GT43" i="8"/>
  <c r="GT32" i="8"/>
  <c r="GT22" i="8"/>
  <c r="GT15" i="8"/>
  <c r="GT10" i="8"/>
  <c r="GT34" i="8"/>
  <c r="GT28" i="8"/>
  <c r="GT20" i="8"/>
  <c r="GT9" i="8"/>
  <c r="GT4" i="8"/>
  <c r="GT36" i="8"/>
  <c r="GT39" i="8"/>
  <c r="GT30" i="8"/>
  <c r="GT11" i="8"/>
  <c r="GT6" i="8"/>
  <c r="GT37" i="8"/>
  <c r="GT16" i="8"/>
  <c r="GT17" i="8"/>
  <c r="GT19" i="8"/>
  <c r="GT18" i="8"/>
  <c r="GT13" i="8"/>
  <c r="GT12" i="8"/>
  <c r="GT21" i="8"/>
  <c r="GT14" i="8"/>
  <c r="GT7" i="8"/>
  <c r="GT3" i="8"/>
  <c r="GT8" i="8"/>
  <c r="GT2" i="8"/>
  <c r="GT5" i="8"/>
  <c r="IO54" i="8"/>
  <c r="IO48" i="8"/>
  <c r="IO46" i="8"/>
  <c r="IO55" i="8"/>
  <c r="IO44" i="8"/>
  <c r="IO42" i="8"/>
  <c r="IO40" i="8"/>
  <c r="IO38" i="8"/>
  <c r="IO36" i="8"/>
  <c r="IO49" i="8"/>
  <c r="IO33" i="8"/>
  <c r="IO31" i="8"/>
  <c r="IO29" i="8"/>
  <c r="IO27" i="8"/>
  <c r="IO25" i="8"/>
  <c r="IO32" i="8"/>
  <c r="IO20" i="8"/>
  <c r="IO18" i="8"/>
  <c r="IO16" i="8"/>
  <c r="IO14" i="8"/>
  <c r="IO12" i="8"/>
  <c r="IO10" i="8"/>
  <c r="IO8" i="8"/>
  <c r="IO6" i="8"/>
  <c r="IO4" i="8"/>
  <c r="IO2" i="8"/>
  <c r="IO53" i="8"/>
  <c r="IO39" i="8"/>
  <c r="IO28" i="8"/>
  <c r="IO23" i="8"/>
  <c r="IO41" i="8"/>
  <c r="IO47" i="8"/>
  <c r="IO43" i="8"/>
  <c r="IO34" i="8"/>
  <c r="IO24" i="8"/>
  <c r="IO17" i="8"/>
  <c r="IO37" i="8"/>
  <c r="IO35" i="8"/>
  <c r="IO11" i="8"/>
  <c r="IO45" i="8"/>
  <c r="IO30" i="8"/>
  <c r="IO22" i="8"/>
  <c r="IO13" i="8"/>
  <c r="IO19" i="8"/>
  <c r="IO5" i="8"/>
  <c r="IO21" i="8"/>
  <c r="IO26" i="8"/>
  <c r="IO15" i="8"/>
  <c r="IO7" i="8"/>
  <c r="IO9" i="8"/>
  <c r="IO3" i="8"/>
  <c r="HQ54" i="8"/>
  <c r="HQ48" i="8"/>
  <c r="HQ46" i="8"/>
  <c r="HQ44" i="8"/>
  <c r="HQ42" i="8"/>
  <c r="HQ40" i="8"/>
  <c r="HQ38" i="8"/>
  <c r="HQ36" i="8"/>
  <c r="HQ47" i="8"/>
  <c r="HQ55" i="8"/>
  <c r="HQ41" i="8"/>
  <c r="HQ35" i="8"/>
  <c r="HQ33" i="8"/>
  <c r="HQ31" i="8"/>
  <c r="HQ29" i="8"/>
  <c r="HQ27" i="8"/>
  <c r="HQ25" i="8"/>
  <c r="HQ53" i="8"/>
  <c r="HQ43" i="8"/>
  <c r="HQ45" i="8"/>
  <c r="HQ20" i="8"/>
  <c r="HQ18" i="8"/>
  <c r="HQ16" i="8"/>
  <c r="HQ14" i="8"/>
  <c r="HQ12" i="8"/>
  <c r="HQ10" i="8"/>
  <c r="HQ8" i="8"/>
  <c r="HQ6" i="8"/>
  <c r="HQ4" i="8"/>
  <c r="HQ2" i="8"/>
  <c r="HQ49" i="8"/>
  <c r="HQ23" i="8"/>
  <c r="HQ11" i="8"/>
  <c r="HQ37" i="8"/>
  <c r="HQ34" i="8"/>
  <c r="HQ26" i="8"/>
  <c r="HQ21" i="8"/>
  <c r="HQ5" i="8"/>
  <c r="HQ30" i="8"/>
  <c r="HQ28" i="8"/>
  <c r="HQ7" i="8"/>
  <c r="HQ22" i="8"/>
  <c r="HQ17" i="8"/>
  <c r="HQ24" i="8"/>
  <c r="HQ19" i="8"/>
  <c r="HQ39" i="8"/>
  <c r="HQ13" i="8"/>
  <c r="HQ15" i="8"/>
  <c r="HQ3" i="8"/>
  <c r="HQ32" i="8"/>
  <c r="HQ9" i="8"/>
  <c r="Y49" i="9"/>
  <c r="Y47" i="9"/>
  <c r="Y48" i="9"/>
  <c r="Y45" i="9"/>
  <c r="Y44" i="9"/>
  <c r="Y43" i="9"/>
  <c r="Y41" i="9"/>
  <c r="Y40" i="9"/>
  <c r="Y34" i="9"/>
  <c r="Y36" i="9"/>
  <c r="Y38" i="9"/>
  <c r="Y32" i="9"/>
  <c r="Y42" i="9"/>
  <c r="Y35" i="9"/>
  <c r="Y31" i="9"/>
  <c r="Y29" i="9"/>
  <c r="Y28" i="9"/>
  <c r="Y33" i="9"/>
  <c r="Y39" i="9"/>
  <c r="Y46" i="9"/>
  <c r="Y37" i="9"/>
  <c r="Y27" i="9"/>
  <c r="Y26" i="9"/>
  <c r="Y24" i="9"/>
  <c r="Y19" i="9"/>
  <c r="Y18" i="9"/>
  <c r="Y30" i="9"/>
  <c r="Y20" i="9"/>
  <c r="Y15" i="9"/>
  <c r="Y11" i="9"/>
  <c r="Y17" i="9"/>
  <c r="Y12" i="9"/>
  <c r="Y3" i="9"/>
  <c r="Y25" i="9"/>
  <c r="Y14" i="9"/>
  <c r="Y23" i="9"/>
  <c r="Y9" i="9"/>
  <c r="Y5" i="9"/>
  <c r="Y13" i="9"/>
  <c r="Y7" i="9"/>
  <c r="Y2" i="9"/>
  <c r="Y22" i="9"/>
  <c r="Y21" i="9"/>
  <c r="Y16" i="9"/>
  <c r="Y4" i="9"/>
  <c r="Y8" i="9"/>
  <c r="Y10" i="9"/>
  <c r="Y6" i="9"/>
  <c r="GB55" i="9"/>
  <c r="GB54" i="9"/>
  <c r="GB53" i="9"/>
  <c r="GB48" i="9"/>
  <c r="GB46" i="9"/>
  <c r="GB45" i="9"/>
  <c r="GB47" i="9"/>
  <c r="GB49" i="9"/>
  <c r="GB41" i="9"/>
  <c r="GB44" i="9"/>
  <c r="GB40" i="9"/>
  <c r="GB39" i="9"/>
  <c r="GB42" i="9"/>
  <c r="GB36" i="9"/>
  <c r="GB34" i="9"/>
  <c r="GB32" i="9"/>
  <c r="GB38" i="9"/>
  <c r="GB37" i="9"/>
  <c r="GB43" i="9"/>
  <c r="GB31" i="9"/>
  <c r="GB28" i="9"/>
  <c r="GB26" i="9"/>
  <c r="GB29" i="9"/>
  <c r="GB23" i="9"/>
  <c r="GB21" i="9"/>
  <c r="GB19" i="9"/>
  <c r="GB17" i="9"/>
  <c r="GB15" i="9"/>
  <c r="GB13" i="9"/>
  <c r="GB35" i="9"/>
  <c r="GB33" i="9"/>
  <c r="GB25" i="9"/>
  <c r="GB22" i="9"/>
  <c r="GB14" i="9"/>
  <c r="GB16" i="9"/>
  <c r="GB30" i="9"/>
  <c r="GB27" i="9"/>
  <c r="GB18" i="9"/>
  <c r="GB12" i="9"/>
  <c r="GB10" i="9"/>
  <c r="GB7" i="9"/>
  <c r="GB3" i="9"/>
  <c r="GB24" i="9"/>
  <c r="GB20" i="9"/>
  <c r="GB11" i="9"/>
  <c r="GB8" i="9"/>
  <c r="GB5" i="9"/>
  <c r="GB2" i="9"/>
  <c r="GB6" i="9"/>
  <c r="GB4" i="9"/>
  <c r="GB9" i="9"/>
  <c r="BD48" i="9"/>
  <c r="BD46" i="9"/>
  <c r="BD47" i="9"/>
  <c r="BD45" i="9"/>
  <c r="BD42" i="9"/>
  <c r="BD41" i="9"/>
  <c r="BD49" i="9"/>
  <c r="BD40" i="9"/>
  <c r="BD44" i="9"/>
  <c r="BD36" i="9"/>
  <c r="BD34" i="9"/>
  <c r="BD38" i="9"/>
  <c r="BD39" i="9"/>
  <c r="BD37" i="9"/>
  <c r="BD32" i="9"/>
  <c r="BD31" i="9"/>
  <c r="BD29" i="9"/>
  <c r="BD28" i="9"/>
  <c r="BD26" i="9"/>
  <c r="BD35" i="9"/>
  <c r="BD23" i="9"/>
  <c r="BD21" i="9"/>
  <c r="BD19" i="9"/>
  <c r="BD17" i="9"/>
  <c r="BD15" i="9"/>
  <c r="BD13" i="9"/>
  <c r="BD33" i="9"/>
  <c r="BD43" i="9"/>
  <c r="BD22" i="9"/>
  <c r="BD14" i="9"/>
  <c r="BD30" i="9"/>
  <c r="BD16" i="9"/>
  <c r="BD27" i="9"/>
  <c r="BD18" i="9"/>
  <c r="BD10" i="9"/>
  <c r="BD3" i="9"/>
  <c r="BD25" i="9"/>
  <c r="BD9" i="9"/>
  <c r="BD11" i="9"/>
  <c r="BD20" i="9"/>
  <c r="BD12" i="9"/>
  <c r="BD24" i="9"/>
  <c r="BD5" i="9"/>
  <c r="BD2" i="9"/>
  <c r="BD7" i="9"/>
  <c r="BD6" i="9"/>
  <c r="BD8" i="9"/>
  <c r="BD4" i="9"/>
  <c r="IG149" i="7"/>
  <c r="IG151" i="7"/>
  <c r="IG150" i="7"/>
  <c r="IJ55" i="8"/>
  <c r="IJ53" i="8"/>
  <c r="IJ49" i="8"/>
  <c r="IJ47" i="8"/>
  <c r="IJ45" i="8"/>
  <c r="IJ43" i="8"/>
  <c r="IJ41" i="8"/>
  <c r="IJ39" i="8"/>
  <c r="IJ37" i="8"/>
  <c r="IJ48" i="8"/>
  <c r="IJ54" i="8"/>
  <c r="IJ44" i="8"/>
  <c r="IJ33" i="8"/>
  <c r="IJ31" i="8"/>
  <c r="IJ29" i="8"/>
  <c r="IJ24" i="8"/>
  <c r="IJ38" i="8"/>
  <c r="IJ21" i="8"/>
  <c r="IJ19" i="8"/>
  <c r="IJ17" i="8"/>
  <c r="IJ15" i="8"/>
  <c r="IJ13" i="8"/>
  <c r="IJ11" i="8"/>
  <c r="IJ9" i="8"/>
  <c r="IJ7" i="8"/>
  <c r="IJ5" i="8"/>
  <c r="IJ3" i="8"/>
  <c r="IJ40" i="8"/>
  <c r="IJ42" i="8"/>
  <c r="IJ26" i="8"/>
  <c r="IJ23" i="8"/>
  <c r="IJ22" i="8"/>
  <c r="IJ14" i="8"/>
  <c r="IJ34" i="8"/>
  <c r="IJ8" i="8"/>
  <c r="IJ35" i="8"/>
  <c r="IJ46" i="8"/>
  <c r="IJ36" i="8"/>
  <c r="IJ32" i="8"/>
  <c r="IJ10" i="8"/>
  <c r="IJ28" i="8"/>
  <c r="IJ16" i="8"/>
  <c r="IJ27" i="8"/>
  <c r="IJ25" i="8"/>
  <c r="IJ18" i="8"/>
  <c r="IJ12" i="8"/>
  <c r="IJ20" i="8"/>
  <c r="IJ30" i="8"/>
  <c r="IJ2" i="8"/>
  <c r="IJ4" i="8"/>
  <c r="IJ6" i="8"/>
  <c r="HL150" i="7"/>
  <c r="HL151" i="7"/>
  <c r="HL149" i="7"/>
  <c r="GN54" i="9"/>
  <c r="GN55" i="9"/>
  <c r="GN53" i="9"/>
  <c r="GN49" i="9"/>
  <c r="GN47" i="9"/>
  <c r="GN46" i="9"/>
  <c r="GN45" i="9"/>
  <c r="GN44" i="9"/>
  <c r="GN43" i="9"/>
  <c r="GN41" i="9"/>
  <c r="GN37" i="9"/>
  <c r="GN35" i="9"/>
  <c r="GN33" i="9"/>
  <c r="GN39" i="9"/>
  <c r="GN38" i="9"/>
  <c r="GN40" i="9"/>
  <c r="GN32" i="9"/>
  <c r="GN34" i="9"/>
  <c r="GN31" i="9"/>
  <c r="GN29" i="9"/>
  <c r="GN27" i="9"/>
  <c r="GN25" i="9"/>
  <c r="GN42" i="9"/>
  <c r="GN28" i="9"/>
  <c r="GN24" i="9"/>
  <c r="GN22" i="9"/>
  <c r="GN20" i="9"/>
  <c r="GN18" i="9"/>
  <c r="GN16" i="9"/>
  <c r="GN14" i="9"/>
  <c r="GN12" i="9"/>
  <c r="GN36" i="9"/>
  <c r="GN26" i="9"/>
  <c r="GN30" i="9"/>
  <c r="GN17" i="9"/>
  <c r="GN19" i="9"/>
  <c r="GN6" i="9"/>
  <c r="GN5" i="9"/>
  <c r="GN21" i="9"/>
  <c r="GN10" i="9"/>
  <c r="GN4" i="9"/>
  <c r="GN2" i="9"/>
  <c r="GN48" i="9"/>
  <c r="GN13" i="9"/>
  <c r="GN9" i="9"/>
  <c r="GN7" i="9"/>
  <c r="GN23" i="9"/>
  <c r="GN15" i="9"/>
  <c r="GN11" i="9"/>
  <c r="GN3" i="9"/>
  <c r="GN8" i="9"/>
  <c r="EZ55" i="8"/>
  <c r="EZ53" i="8"/>
  <c r="EZ49" i="8"/>
  <c r="EZ47" i="8"/>
  <c r="EZ48" i="8"/>
  <c r="EZ45" i="8"/>
  <c r="EZ43" i="8"/>
  <c r="EZ41" i="8"/>
  <c r="EZ39" i="8"/>
  <c r="EZ37" i="8"/>
  <c r="EZ44" i="8"/>
  <c r="EZ54" i="8"/>
  <c r="EZ40" i="8"/>
  <c r="EZ35" i="8"/>
  <c r="EZ33" i="8"/>
  <c r="EZ31" i="8"/>
  <c r="EZ42" i="8"/>
  <c r="EZ26" i="8"/>
  <c r="EZ32" i="8"/>
  <c r="EZ21" i="8"/>
  <c r="EZ19" i="8"/>
  <c r="EZ17" i="8"/>
  <c r="EZ15" i="8"/>
  <c r="EZ13" i="8"/>
  <c r="EZ11" i="8"/>
  <c r="EZ9" i="8"/>
  <c r="EZ7" i="8"/>
  <c r="EZ5" i="8"/>
  <c r="EZ3" i="8"/>
  <c r="EZ46" i="8"/>
  <c r="EZ34" i="8"/>
  <c r="EZ28" i="8"/>
  <c r="EZ25" i="8"/>
  <c r="EZ8" i="8"/>
  <c r="EZ38" i="8"/>
  <c r="EZ36" i="8"/>
  <c r="EZ29" i="8"/>
  <c r="EZ18" i="8"/>
  <c r="EZ30" i="8"/>
  <c r="EZ23" i="8"/>
  <c r="EZ20" i="8"/>
  <c r="EZ4" i="8"/>
  <c r="EZ22" i="8"/>
  <c r="EZ14" i="8"/>
  <c r="EZ2" i="8"/>
  <c r="EZ16" i="8"/>
  <c r="EZ27" i="8"/>
  <c r="EZ24" i="8"/>
  <c r="EZ10" i="8"/>
  <c r="EZ12" i="8"/>
  <c r="EZ6" i="8"/>
  <c r="DT150" i="7"/>
  <c r="DT149" i="7"/>
  <c r="DT151" i="7"/>
  <c r="CV150" i="7"/>
  <c r="CV149" i="7"/>
  <c r="CV151" i="7"/>
  <c r="CN55" i="8"/>
  <c r="CN53" i="8"/>
  <c r="CN49" i="8"/>
  <c r="CN47" i="8"/>
  <c r="CN48" i="8"/>
  <c r="CN45" i="8"/>
  <c r="CN43" i="8"/>
  <c r="CN41" i="8"/>
  <c r="CN39" i="8"/>
  <c r="CN37" i="8"/>
  <c r="CN44" i="8"/>
  <c r="CN54" i="8"/>
  <c r="CN46" i="8"/>
  <c r="CN40" i="8"/>
  <c r="CN35" i="8"/>
  <c r="CN33" i="8"/>
  <c r="CN31" i="8"/>
  <c r="CN38" i="8"/>
  <c r="CN26" i="8"/>
  <c r="CN42" i="8"/>
  <c r="CN32" i="8"/>
  <c r="CN21" i="8"/>
  <c r="CN19" i="8"/>
  <c r="CN17" i="8"/>
  <c r="CN15" i="8"/>
  <c r="CN13" i="8"/>
  <c r="CN11" i="8"/>
  <c r="CN9" i="8"/>
  <c r="CN7" i="8"/>
  <c r="CN5" i="8"/>
  <c r="CN3" i="8"/>
  <c r="CN34" i="8"/>
  <c r="CN28" i="8"/>
  <c r="CN25" i="8"/>
  <c r="CN8" i="8"/>
  <c r="CN23" i="8"/>
  <c r="CN18" i="8"/>
  <c r="CN30" i="8"/>
  <c r="CN36" i="8"/>
  <c r="CN20" i="8"/>
  <c r="CN4" i="8"/>
  <c r="CN6" i="8"/>
  <c r="CN29" i="8"/>
  <c r="CN22" i="8"/>
  <c r="CN14" i="8"/>
  <c r="CN24" i="8"/>
  <c r="CN16" i="8"/>
  <c r="CN10" i="8"/>
  <c r="CN27" i="8"/>
  <c r="CN12" i="8"/>
  <c r="CN2" i="8"/>
  <c r="CF55" i="8"/>
  <c r="CF53" i="8"/>
  <c r="CF49" i="8"/>
  <c r="CF47" i="8"/>
  <c r="CF54" i="8"/>
  <c r="CF45" i="8"/>
  <c r="CF43" i="8"/>
  <c r="CF41" i="8"/>
  <c r="CF39" i="8"/>
  <c r="CF37" i="8"/>
  <c r="CF48" i="8"/>
  <c r="CF42" i="8"/>
  <c r="CF38" i="8"/>
  <c r="CF35" i="8"/>
  <c r="CF33" i="8"/>
  <c r="CF31" i="8"/>
  <c r="CF29" i="8"/>
  <c r="CF24" i="8"/>
  <c r="CF21" i="8"/>
  <c r="CF19" i="8"/>
  <c r="CF17" i="8"/>
  <c r="CF15" i="8"/>
  <c r="CF13" i="8"/>
  <c r="CF11" i="8"/>
  <c r="CF9" i="8"/>
  <c r="CF7" i="8"/>
  <c r="CF5" i="8"/>
  <c r="CF3" i="8"/>
  <c r="CF40" i="8"/>
  <c r="CF46" i="8"/>
  <c r="CF32" i="8"/>
  <c r="CF26" i="8"/>
  <c r="CF44" i="8"/>
  <c r="CF36" i="8"/>
  <c r="CF28" i="8"/>
  <c r="CF25" i="8"/>
  <c r="CF22" i="8"/>
  <c r="CF6" i="8"/>
  <c r="CF16" i="8"/>
  <c r="CF18" i="8"/>
  <c r="CF30" i="8"/>
  <c r="CF27" i="8"/>
  <c r="CF4" i="8"/>
  <c r="CF34" i="8"/>
  <c r="CF20" i="8"/>
  <c r="CF12" i="8"/>
  <c r="CF14" i="8"/>
  <c r="CF8" i="8"/>
  <c r="CF23" i="8"/>
  <c r="CF10" i="8"/>
  <c r="CF2" i="8"/>
  <c r="BX49" i="8"/>
  <c r="BX47" i="8"/>
  <c r="BX45" i="8"/>
  <c r="BX43" i="8"/>
  <c r="BX41" i="8"/>
  <c r="BX39" i="8"/>
  <c r="BX37" i="8"/>
  <c r="BX40" i="8"/>
  <c r="BX48" i="8"/>
  <c r="BX46" i="8"/>
  <c r="BX35" i="8"/>
  <c r="BX33" i="8"/>
  <c r="BX31" i="8"/>
  <c r="BX42" i="8"/>
  <c r="BX38" i="8"/>
  <c r="BX34" i="8"/>
  <c r="BX30" i="8"/>
  <c r="BX27" i="8"/>
  <c r="BX24" i="8"/>
  <c r="BX44" i="8"/>
  <c r="BX23" i="8"/>
  <c r="BX21" i="8"/>
  <c r="BX19" i="8"/>
  <c r="BX17" i="8"/>
  <c r="BX15" i="8"/>
  <c r="BX13" i="8"/>
  <c r="BX11" i="8"/>
  <c r="BX9" i="8"/>
  <c r="BX7" i="8"/>
  <c r="BX5" i="8"/>
  <c r="BX3" i="8"/>
  <c r="BX29" i="8"/>
  <c r="BX32" i="8"/>
  <c r="BX20" i="8"/>
  <c r="BX4" i="8"/>
  <c r="BX14" i="8"/>
  <c r="BX2" i="8"/>
  <c r="BX36" i="8"/>
  <c r="BX26" i="8"/>
  <c r="BX16" i="8"/>
  <c r="BX22" i="8"/>
  <c r="BX8" i="8"/>
  <c r="BX25" i="8"/>
  <c r="BX18" i="8"/>
  <c r="BX10" i="8"/>
  <c r="BX12" i="8"/>
  <c r="BX6" i="8"/>
  <c r="BX28" i="8"/>
  <c r="AJ150" i="7"/>
  <c r="AJ149" i="7"/>
  <c r="AJ151" i="7"/>
  <c r="EQ151" i="7"/>
  <c r="EQ149" i="7"/>
  <c r="EQ150" i="7"/>
  <c r="BO151" i="7"/>
  <c r="BO149" i="7"/>
  <c r="BO150" i="7"/>
  <c r="BO47" i="9"/>
  <c r="BO45" i="9"/>
  <c r="BO49" i="9"/>
  <c r="BO44" i="9"/>
  <c r="BO42" i="9"/>
  <c r="BO40" i="9"/>
  <c r="BO46" i="9"/>
  <c r="BO43" i="9"/>
  <c r="BO48" i="9"/>
  <c r="BO41" i="9"/>
  <c r="BO38" i="9"/>
  <c r="BO37" i="9"/>
  <c r="BO35" i="9"/>
  <c r="BO33" i="9"/>
  <c r="BO30" i="9"/>
  <c r="BO31" i="9"/>
  <c r="BO27" i="9"/>
  <c r="BO25" i="9"/>
  <c r="BO36" i="9"/>
  <c r="BO29" i="9"/>
  <c r="BO32" i="9"/>
  <c r="BO24" i="9"/>
  <c r="BO22" i="9"/>
  <c r="BO20" i="9"/>
  <c r="BO18" i="9"/>
  <c r="BO16" i="9"/>
  <c r="BO14" i="9"/>
  <c r="BO12" i="9"/>
  <c r="BO34" i="9"/>
  <c r="BO39" i="9"/>
  <c r="BO23" i="9"/>
  <c r="BO10" i="9"/>
  <c r="BO8" i="9"/>
  <c r="BO17" i="9"/>
  <c r="BO28" i="9"/>
  <c r="BO19" i="9"/>
  <c r="BO11" i="9"/>
  <c r="BO7" i="9"/>
  <c r="BO6" i="9"/>
  <c r="BO5" i="9"/>
  <c r="BO15" i="9"/>
  <c r="BO9" i="9"/>
  <c r="BO3" i="9"/>
  <c r="BO26" i="9"/>
  <c r="BO2" i="9"/>
  <c r="BO13" i="9"/>
  <c r="BO4" i="9"/>
  <c r="BO21" i="9"/>
  <c r="AY48" i="9"/>
  <c r="AY45" i="9"/>
  <c r="AY46" i="9"/>
  <c r="AY44" i="9"/>
  <c r="AY42" i="9"/>
  <c r="AY40" i="9"/>
  <c r="AY43" i="9"/>
  <c r="AY41" i="9"/>
  <c r="AY37" i="9"/>
  <c r="AY35" i="9"/>
  <c r="AY33" i="9"/>
  <c r="AY38" i="9"/>
  <c r="AY30" i="9"/>
  <c r="AY49" i="9"/>
  <c r="AY34" i="9"/>
  <c r="AY36" i="9"/>
  <c r="AY47" i="9"/>
  <c r="AY27" i="9"/>
  <c r="AY25" i="9"/>
  <c r="AY39" i="9"/>
  <c r="AY28" i="9"/>
  <c r="AY24" i="9"/>
  <c r="AY22" i="9"/>
  <c r="AY20" i="9"/>
  <c r="AY18" i="9"/>
  <c r="AY16" i="9"/>
  <c r="AY14" i="9"/>
  <c r="AY29" i="9"/>
  <c r="AY19" i="9"/>
  <c r="AY12" i="9"/>
  <c r="AY10" i="9"/>
  <c r="AY8" i="9"/>
  <c r="AY13" i="9"/>
  <c r="AY32" i="9"/>
  <c r="AY26" i="9"/>
  <c r="AY15" i="9"/>
  <c r="AY21" i="9"/>
  <c r="AY31" i="9"/>
  <c r="AY17" i="9"/>
  <c r="AY7" i="9"/>
  <c r="AY3" i="9"/>
  <c r="AY2" i="9"/>
  <c r="AY9" i="9"/>
  <c r="AY5" i="9"/>
  <c r="AY11" i="9"/>
  <c r="AY23" i="9"/>
  <c r="AY6" i="9"/>
  <c r="AY4" i="9"/>
  <c r="AA150" i="7"/>
  <c r="AA149" i="7"/>
  <c r="AA151" i="7"/>
  <c r="AA55" i="9" s="1"/>
  <c r="K49" i="9"/>
  <c r="K48" i="9"/>
  <c r="K45" i="9"/>
  <c r="K44" i="9"/>
  <c r="K42" i="9"/>
  <c r="K40" i="9"/>
  <c r="K41" i="9"/>
  <c r="K43" i="9"/>
  <c r="K47" i="9"/>
  <c r="K39" i="9"/>
  <c r="K37" i="9"/>
  <c r="K35" i="9"/>
  <c r="K33" i="9"/>
  <c r="K32" i="9"/>
  <c r="K30" i="9"/>
  <c r="K34" i="9"/>
  <c r="K31" i="9"/>
  <c r="K27" i="9"/>
  <c r="K38" i="9"/>
  <c r="K29" i="9"/>
  <c r="K24" i="9"/>
  <c r="K22" i="9"/>
  <c r="K20" i="9"/>
  <c r="K18" i="9"/>
  <c r="K16" i="9"/>
  <c r="K14" i="9"/>
  <c r="K46" i="9"/>
  <c r="K25" i="9"/>
  <c r="K12" i="9"/>
  <c r="K10" i="9"/>
  <c r="K8" i="9"/>
  <c r="K19" i="9"/>
  <c r="K26" i="9"/>
  <c r="K21" i="9"/>
  <c r="K28" i="9"/>
  <c r="K9" i="9"/>
  <c r="K7" i="9"/>
  <c r="K36" i="9"/>
  <c r="K17" i="9"/>
  <c r="K3" i="9"/>
  <c r="K2" i="9"/>
  <c r="K11" i="9"/>
  <c r="K23" i="9"/>
  <c r="K5" i="9"/>
  <c r="K4" i="9"/>
  <c r="K15" i="9"/>
  <c r="K6" i="9"/>
  <c r="K13" i="9"/>
  <c r="BV49" i="9"/>
  <c r="BV47" i="9"/>
  <c r="BV46" i="9"/>
  <c r="BV48" i="9"/>
  <c r="BV44" i="9"/>
  <c r="BV43" i="9"/>
  <c r="BV42" i="9"/>
  <c r="BV41" i="9"/>
  <c r="BV40" i="9"/>
  <c r="BV38" i="9"/>
  <c r="BV39" i="9"/>
  <c r="BV36" i="9"/>
  <c r="BV34" i="9"/>
  <c r="BV45" i="9"/>
  <c r="BV35" i="9"/>
  <c r="BV30" i="9"/>
  <c r="BV32" i="9"/>
  <c r="BV29" i="9"/>
  <c r="BV28" i="9"/>
  <c r="BV26" i="9"/>
  <c r="BV37" i="9"/>
  <c r="BV23" i="9"/>
  <c r="BV21" i="9"/>
  <c r="BV19" i="9"/>
  <c r="BV17" i="9"/>
  <c r="BV15" i="9"/>
  <c r="BV13" i="9"/>
  <c r="BV24" i="9"/>
  <c r="BV10" i="9"/>
  <c r="BV8" i="9"/>
  <c r="BV6" i="9"/>
  <c r="BV4" i="9"/>
  <c r="BV31" i="9"/>
  <c r="BV27" i="9"/>
  <c r="BV20" i="9"/>
  <c r="BV14" i="9"/>
  <c r="BV9" i="9"/>
  <c r="BV22" i="9"/>
  <c r="BV3" i="9"/>
  <c r="BV16" i="9"/>
  <c r="BV11" i="9"/>
  <c r="BV25" i="9"/>
  <c r="BV18" i="9"/>
  <c r="BV7" i="9"/>
  <c r="BV2" i="9"/>
  <c r="BV33" i="9"/>
  <c r="BV12" i="9"/>
  <c r="BV5" i="9"/>
  <c r="AX49" i="9"/>
  <c r="AX47" i="9"/>
  <c r="AX48" i="9"/>
  <c r="AX46" i="9"/>
  <c r="AX44" i="9"/>
  <c r="AX43" i="9"/>
  <c r="AX41" i="9"/>
  <c r="AX38" i="9"/>
  <c r="AX40" i="9"/>
  <c r="AX39" i="9"/>
  <c r="AX45" i="9"/>
  <c r="AX36" i="9"/>
  <c r="AX34" i="9"/>
  <c r="AX30" i="9"/>
  <c r="AX33" i="9"/>
  <c r="AX42" i="9"/>
  <c r="AX28" i="9"/>
  <c r="AX26" i="9"/>
  <c r="AX37" i="9"/>
  <c r="AX25" i="9"/>
  <c r="AX35" i="9"/>
  <c r="AX32" i="9"/>
  <c r="AX23" i="9"/>
  <c r="AX21" i="9"/>
  <c r="AX19" i="9"/>
  <c r="AX17" i="9"/>
  <c r="AX15" i="9"/>
  <c r="AX31" i="9"/>
  <c r="AX24" i="9"/>
  <c r="AX29" i="9"/>
  <c r="AX18" i="9"/>
  <c r="AX12" i="9"/>
  <c r="AX10" i="9"/>
  <c r="AX8" i="9"/>
  <c r="AX6" i="9"/>
  <c r="AX27" i="9"/>
  <c r="AX20" i="9"/>
  <c r="AX5" i="9"/>
  <c r="AX22" i="9"/>
  <c r="AX16" i="9"/>
  <c r="AX13" i="9"/>
  <c r="AX3" i="9"/>
  <c r="AX2" i="9"/>
  <c r="AX14" i="9"/>
  <c r="AX4" i="9"/>
  <c r="AX9" i="9"/>
  <c r="AX11" i="9"/>
  <c r="AX7" i="9"/>
  <c r="R48" i="8"/>
  <c r="R35" i="8"/>
  <c r="R33" i="8"/>
  <c r="R31" i="8"/>
  <c r="R29" i="8"/>
  <c r="R27" i="8"/>
  <c r="R25" i="8"/>
  <c r="R23" i="8"/>
  <c r="R42" i="8"/>
  <c r="R44" i="8"/>
  <c r="R37" i="8"/>
  <c r="R36" i="8"/>
  <c r="R32" i="8"/>
  <c r="R26" i="8"/>
  <c r="R49" i="8"/>
  <c r="R45" i="8"/>
  <c r="R47" i="8"/>
  <c r="R41" i="8"/>
  <c r="R40" i="8"/>
  <c r="R46" i="8"/>
  <c r="R28" i="8"/>
  <c r="R17" i="8"/>
  <c r="R12" i="8"/>
  <c r="R43" i="8"/>
  <c r="R22" i="8"/>
  <c r="R11" i="8"/>
  <c r="R6" i="8"/>
  <c r="R39" i="8"/>
  <c r="R38" i="8"/>
  <c r="R34" i="8"/>
  <c r="R24" i="8"/>
  <c r="R13" i="8"/>
  <c r="R8" i="8"/>
  <c r="R30" i="8"/>
  <c r="R9" i="8"/>
  <c r="R10" i="8"/>
  <c r="R18" i="8"/>
  <c r="R19" i="8"/>
  <c r="R21" i="8"/>
  <c r="R20" i="8"/>
  <c r="R15" i="8"/>
  <c r="R14" i="8"/>
  <c r="R7" i="8"/>
  <c r="R2" i="8"/>
  <c r="R5" i="8"/>
  <c r="R16" i="8"/>
  <c r="R4" i="8"/>
  <c r="R3" i="8"/>
  <c r="HY55" i="9"/>
  <c r="HY53" i="9"/>
  <c r="HY54" i="9"/>
  <c r="HY47" i="9"/>
  <c r="HY49" i="9"/>
  <c r="HY44" i="9"/>
  <c r="HY46" i="9"/>
  <c r="HY42" i="9"/>
  <c r="HY43" i="9"/>
  <c r="HY48" i="9"/>
  <c r="HY41" i="9"/>
  <c r="HY40" i="9"/>
  <c r="HY38" i="9"/>
  <c r="HY33" i="9"/>
  <c r="HY31" i="9"/>
  <c r="HY45" i="9"/>
  <c r="HY32" i="9"/>
  <c r="HY27" i="9"/>
  <c r="HY36" i="9"/>
  <c r="HY37" i="9"/>
  <c r="HY34" i="9"/>
  <c r="HY39" i="9"/>
  <c r="HY35" i="9"/>
  <c r="HY29" i="9"/>
  <c r="HY23" i="9"/>
  <c r="HY22" i="9"/>
  <c r="HY17" i="9"/>
  <c r="HY13" i="9"/>
  <c r="HY28" i="9"/>
  <c r="HY30" i="9"/>
  <c r="HY26" i="9"/>
  <c r="HY24" i="9"/>
  <c r="HY19" i="9"/>
  <c r="HY11" i="9"/>
  <c r="HY9" i="9"/>
  <c r="HY18" i="9"/>
  <c r="HY5" i="9"/>
  <c r="HY4" i="9"/>
  <c r="HY3" i="9"/>
  <c r="HY10" i="9"/>
  <c r="HY20" i="9"/>
  <c r="HY21" i="9"/>
  <c r="HY25" i="9"/>
  <c r="HY8" i="9"/>
  <c r="HY14" i="9"/>
  <c r="HY15" i="9"/>
  <c r="HY16" i="9"/>
  <c r="HY12" i="9"/>
  <c r="HY2" i="9"/>
  <c r="HY7" i="9"/>
  <c r="HY6" i="9"/>
  <c r="GC149" i="7"/>
  <c r="GC150" i="7"/>
  <c r="GC151" i="7"/>
  <c r="GC54" i="9"/>
  <c r="GC53" i="9"/>
  <c r="GC47" i="9"/>
  <c r="GC55" i="9"/>
  <c r="GC46" i="9"/>
  <c r="GC48" i="9"/>
  <c r="GC45" i="9"/>
  <c r="GC49" i="9"/>
  <c r="GC44" i="9"/>
  <c r="GC42" i="9"/>
  <c r="GC41" i="9"/>
  <c r="GC43" i="9"/>
  <c r="GC39" i="9"/>
  <c r="GC40" i="9"/>
  <c r="GC37" i="9"/>
  <c r="GC32" i="9"/>
  <c r="GC33" i="9"/>
  <c r="GC31" i="9"/>
  <c r="GC29" i="9"/>
  <c r="GC35" i="9"/>
  <c r="GC34" i="9"/>
  <c r="GC26" i="9"/>
  <c r="GC38" i="9"/>
  <c r="GC25" i="9"/>
  <c r="GC36" i="9"/>
  <c r="GC27" i="9"/>
  <c r="GC16" i="9"/>
  <c r="GC21" i="9"/>
  <c r="GC12" i="9"/>
  <c r="GC30" i="9"/>
  <c r="GC28" i="9"/>
  <c r="GC23" i="9"/>
  <c r="GC11" i="9"/>
  <c r="GC9" i="9"/>
  <c r="GC7" i="9"/>
  <c r="GC3" i="9"/>
  <c r="GC24" i="9"/>
  <c r="GC6" i="9"/>
  <c r="GC14" i="9"/>
  <c r="GC19" i="9"/>
  <c r="GC17" i="9"/>
  <c r="GC13" i="9"/>
  <c r="GC18" i="9"/>
  <c r="GC15" i="9"/>
  <c r="GC22" i="9"/>
  <c r="GC10" i="9"/>
  <c r="GC20" i="9"/>
  <c r="GC5" i="9"/>
  <c r="GC4" i="9"/>
  <c r="GC2" i="9"/>
  <c r="GC8" i="9"/>
  <c r="BU48" i="8"/>
  <c r="BU46" i="8"/>
  <c r="BU44" i="8"/>
  <c r="BU42" i="8"/>
  <c r="BU40" i="8"/>
  <c r="BU38" i="8"/>
  <c r="BU36" i="8"/>
  <c r="BU49" i="8"/>
  <c r="BU41" i="8"/>
  <c r="BU35" i="8"/>
  <c r="BU33" i="8"/>
  <c r="BU31" i="8"/>
  <c r="BU29" i="8"/>
  <c r="BU27" i="8"/>
  <c r="BU25" i="8"/>
  <c r="BU37" i="8"/>
  <c r="BU22" i="8"/>
  <c r="BU20" i="8"/>
  <c r="BU18" i="8"/>
  <c r="BU16" i="8"/>
  <c r="BU14" i="8"/>
  <c r="BU12" i="8"/>
  <c r="BU10" i="8"/>
  <c r="BU8" i="8"/>
  <c r="BU6" i="8"/>
  <c r="BU4" i="8"/>
  <c r="BU2" i="8"/>
  <c r="BU47" i="8"/>
  <c r="BU43" i="8"/>
  <c r="BU45" i="8"/>
  <c r="BU32" i="8"/>
  <c r="BU26" i="8"/>
  <c r="BU24" i="8"/>
  <c r="BU21" i="8"/>
  <c r="BU5" i="8"/>
  <c r="BU15" i="8"/>
  <c r="BU30" i="8"/>
  <c r="BU34" i="8"/>
  <c r="BU39" i="8"/>
  <c r="BU28" i="8"/>
  <c r="BU17" i="8"/>
  <c r="BU3" i="8"/>
  <c r="BU7" i="8"/>
  <c r="BU23" i="8"/>
  <c r="BU9" i="8"/>
  <c r="BU19" i="8"/>
  <c r="BU11" i="8"/>
  <c r="BU13" i="8"/>
  <c r="JT151" i="7"/>
  <c r="JT149" i="7"/>
  <c r="JT150" i="7"/>
  <c r="GE54" i="9"/>
  <c r="GE53" i="9"/>
  <c r="GE49" i="9"/>
  <c r="GE45" i="9"/>
  <c r="GE46" i="9"/>
  <c r="GE48" i="9"/>
  <c r="GE44" i="9"/>
  <c r="GE42" i="9"/>
  <c r="GE40" i="9"/>
  <c r="GE55" i="9"/>
  <c r="GE38" i="9"/>
  <c r="GE47" i="9"/>
  <c r="GE37" i="9"/>
  <c r="GE35" i="9"/>
  <c r="GE33" i="9"/>
  <c r="GE43" i="9"/>
  <c r="GE30" i="9"/>
  <c r="GE28" i="9"/>
  <c r="GE36" i="9"/>
  <c r="GE27" i="9"/>
  <c r="GE25" i="9"/>
  <c r="GE41" i="9"/>
  <c r="GE31" i="9"/>
  <c r="GE32" i="9"/>
  <c r="GE24" i="9"/>
  <c r="GE22" i="9"/>
  <c r="GE20" i="9"/>
  <c r="GE18" i="9"/>
  <c r="GE16" i="9"/>
  <c r="GE14" i="9"/>
  <c r="GE12" i="9"/>
  <c r="GE39" i="9"/>
  <c r="GE21" i="9"/>
  <c r="GE10" i="9"/>
  <c r="GE8" i="9"/>
  <c r="GE26" i="9"/>
  <c r="GE15" i="9"/>
  <c r="GE34" i="9"/>
  <c r="GE29" i="9"/>
  <c r="GE17" i="9"/>
  <c r="GE23" i="9"/>
  <c r="GE9" i="9"/>
  <c r="GE6" i="9"/>
  <c r="GE5" i="9"/>
  <c r="GE4" i="9"/>
  <c r="GE19" i="9"/>
  <c r="GE7" i="9"/>
  <c r="GE3" i="9"/>
  <c r="GE13" i="9"/>
  <c r="GE11" i="9"/>
  <c r="GE2" i="9"/>
  <c r="HJ53" i="8"/>
  <c r="HJ47" i="8"/>
  <c r="HJ46" i="8"/>
  <c r="HJ39" i="8"/>
  <c r="HJ35" i="8"/>
  <c r="HJ33" i="8"/>
  <c r="HJ31" i="8"/>
  <c r="HJ29" i="8"/>
  <c r="HJ27" i="8"/>
  <c r="HJ25" i="8"/>
  <c r="HJ23" i="8"/>
  <c r="HJ44" i="8"/>
  <c r="HJ37" i="8"/>
  <c r="HJ55" i="8"/>
  <c r="HJ54" i="8"/>
  <c r="HJ49" i="8"/>
  <c r="HJ43" i="8"/>
  <c r="HJ42" i="8"/>
  <c r="HJ36" i="8"/>
  <c r="HJ34" i="8"/>
  <c r="HJ28" i="8"/>
  <c r="HJ48" i="8"/>
  <c r="HJ45" i="8"/>
  <c r="HJ40" i="8"/>
  <c r="HJ38" i="8"/>
  <c r="HJ30" i="8"/>
  <c r="HJ22" i="8"/>
  <c r="HJ19" i="8"/>
  <c r="HJ14" i="8"/>
  <c r="HJ32" i="8"/>
  <c r="HJ13" i="8"/>
  <c r="HJ8" i="8"/>
  <c r="HJ3" i="8"/>
  <c r="HJ41" i="8"/>
  <c r="HJ24" i="8"/>
  <c r="HJ15" i="8"/>
  <c r="HJ10" i="8"/>
  <c r="HJ17" i="8"/>
  <c r="HJ16" i="8"/>
  <c r="HJ9" i="8"/>
  <c r="HJ18" i="8"/>
  <c r="HJ26" i="8"/>
  <c r="HJ11" i="8"/>
  <c r="HJ12" i="8"/>
  <c r="HJ20" i="8"/>
  <c r="HJ5" i="8"/>
  <c r="HJ2" i="8"/>
  <c r="HJ4" i="8"/>
  <c r="HJ21" i="8"/>
  <c r="HJ7" i="8"/>
  <c r="HJ6" i="8"/>
  <c r="EP54" i="9"/>
  <c r="EP55" i="9"/>
  <c r="EP53" i="9"/>
  <c r="EP47" i="9"/>
  <c r="EP46" i="9"/>
  <c r="EP44" i="9"/>
  <c r="EP45" i="9"/>
  <c r="EP43" i="9"/>
  <c r="EP41" i="9"/>
  <c r="EP40" i="9"/>
  <c r="EP38" i="9"/>
  <c r="EP39" i="9"/>
  <c r="EP49" i="9"/>
  <c r="EP42" i="9"/>
  <c r="EP36" i="9"/>
  <c r="EP34" i="9"/>
  <c r="EP48" i="9"/>
  <c r="EP37" i="9"/>
  <c r="EP30" i="9"/>
  <c r="EP33" i="9"/>
  <c r="EP31" i="9"/>
  <c r="EP29" i="9"/>
  <c r="EP28" i="9"/>
  <c r="EP26" i="9"/>
  <c r="EP25" i="9"/>
  <c r="EP35" i="9"/>
  <c r="EP32" i="9"/>
  <c r="EP27" i="9"/>
  <c r="EP23" i="9"/>
  <c r="EP21" i="9"/>
  <c r="EP19" i="9"/>
  <c r="EP17" i="9"/>
  <c r="EP15" i="9"/>
  <c r="EP16" i="9"/>
  <c r="EP10" i="9"/>
  <c r="EP8" i="9"/>
  <c r="EP6" i="9"/>
  <c r="EP4" i="9"/>
  <c r="EP12" i="9"/>
  <c r="EP24" i="9"/>
  <c r="EP14" i="9"/>
  <c r="EP20" i="9"/>
  <c r="EP22" i="9"/>
  <c r="EP7" i="9"/>
  <c r="EP18" i="9"/>
  <c r="EP13" i="9"/>
  <c r="EP2" i="9"/>
  <c r="EP3" i="9"/>
  <c r="EP11" i="9"/>
  <c r="EP9" i="9"/>
  <c r="EP5" i="9"/>
  <c r="AH149" i="7"/>
  <c r="AH151" i="7"/>
  <c r="AH150" i="7"/>
  <c r="GS54" i="8"/>
  <c r="GS48" i="8"/>
  <c r="GS46" i="8"/>
  <c r="GS44" i="8"/>
  <c r="GS42" i="8"/>
  <c r="GS40" i="8"/>
  <c r="GS38" i="8"/>
  <c r="GS36" i="8"/>
  <c r="GS53" i="8"/>
  <c r="GS49" i="8"/>
  <c r="GS55" i="8"/>
  <c r="GS47" i="8"/>
  <c r="GS41" i="8"/>
  <c r="GS35" i="8"/>
  <c r="GS33" i="8"/>
  <c r="GS31" i="8"/>
  <c r="GS29" i="8"/>
  <c r="GS27" i="8"/>
  <c r="GS25" i="8"/>
  <c r="GS37" i="8"/>
  <c r="GS43" i="8"/>
  <c r="GS20" i="8"/>
  <c r="GS18" i="8"/>
  <c r="GS16" i="8"/>
  <c r="GS14" i="8"/>
  <c r="GS12" i="8"/>
  <c r="GS10" i="8"/>
  <c r="GS8" i="8"/>
  <c r="GS6" i="8"/>
  <c r="GS4" i="8"/>
  <c r="GS2" i="8"/>
  <c r="GS45" i="8"/>
  <c r="GS24" i="8"/>
  <c r="GS32" i="8"/>
  <c r="GS21" i="8"/>
  <c r="GS5" i="8"/>
  <c r="GS22" i="8"/>
  <c r="GS15" i="8"/>
  <c r="GS34" i="8"/>
  <c r="GS28" i="8"/>
  <c r="GS39" i="8"/>
  <c r="GS17" i="8"/>
  <c r="GS3" i="8"/>
  <c r="GS9" i="8"/>
  <c r="GS26" i="8"/>
  <c r="GS30" i="8"/>
  <c r="GS19" i="8"/>
  <c r="GS11" i="8"/>
  <c r="GS13" i="8"/>
  <c r="GS7" i="8"/>
  <c r="GS23" i="8"/>
  <c r="JD54" i="8"/>
  <c r="JD48" i="8"/>
  <c r="JD44" i="8"/>
  <c r="JD42" i="8"/>
  <c r="JD40" i="8"/>
  <c r="JD38" i="8"/>
  <c r="JD36" i="8"/>
  <c r="JD45" i="8"/>
  <c r="JD49" i="8"/>
  <c r="JD46" i="8"/>
  <c r="JD41" i="8"/>
  <c r="JD55" i="8"/>
  <c r="JD43" i="8"/>
  <c r="JD35" i="8"/>
  <c r="JD34" i="8"/>
  <c r="JD32" i="8"/>
  <c r="JD30" i="8"/>
  <c r="JD47" i="8"/>
  <c r="JD29" i="8"/>
  <c r="JD26" i="8"/>
  <c r="JD20" i="8"/>
  <c r="JD18" i="8"/>
  <c r="JD16" i="8"/>
  <c r="JD14" i="8"/>
  <c r="JD12" i="8"/>
  <c r="JD10" i="8"/>
  <c r="JD8" i="8"/>
  <c r="JD6" i="8"/>
  <c r="JD4" i="8"/>
  <c r="JD2" i="8"/>
  <c r="JD53" i="8"/>
  <c r="JD28" i="8"/>
  <c r="JD33" i="8"/>
  <c r="JD27" i="8"/>
  <c r="JD24" i="8"/>
  <c r="JD11" i="8"/>
  <c r="JD21" i="8"/>
  <c r="JD5" i="8"/>
  <c r="JD39" i="8"/>
  <c r="JD37" i="8"/>
  <c r="JD31" i="8"/>
  <c r="JD7" i="8"/>
  <c r="JD9" i="8"/>
  <c r="JD23" i="8"/>
  <c r="JD17" i="8"/>
  <c r="JD3" i="8"/>
  <c r="JD25" i="8"/>
  <c r="JD22" i="8"/>
  <c r="JD19" i="8"/>
  <c r="JD13" i="8"/>
  <c r="JD15" i="8"/>
  <c r="CL151" i="7"/>
  <c r="CL149" i="7"/>
  <c r="CL150" i="7"/>
  <c r="JN55" i="8"/>
  <c r="JN48" i="8"/>
  <c r="JN33" i="8"/>
  <c r="JN31" i="8"/>
  <c r="JN29" i="8"/>
  <c r="JN27" i="8"/>
  <c r="JN25" i="8"/>
  <c r="JN23" i="8"/>
  <c r="JN42" i="8"/>
  <c r="JN53" i="8"/>
  <c r="JN54" i="8"/>
  <c r="JN47" i="8"/>
  <c r="JN45" i="8"/>
  <c r="JN44" i="8"/>
  <c r="JN41" i="8"/>
  <c r="JN40" i="8"/>
  <c r="JN37" i="8"/>
  <c r="JN32" i="8"/>
  <c r="JN26" i="8"/>
  <c r="JN43" i="8"/>
  <c r="JN46" i="8"/>
  <c r="JN49" i="8"/>
  <c r="JN38" i="8"/>
  <c r="JN36" i="8"/>
  <c r="JN28" i="8"/>
  <c r="JN17" i="8"/>
  <c r="JN12" i="8"/>
  <c r="JN35" i="8"/>
  <c r="JN30" i="8"/>
  <c r="JN22" i="8"/>
  <c r="JN11" i="8"/>
  <c r="JN6" i="8"/>
  <c r="JN39" i="8"/>
  <c r="JN34" i="8"/>
  <c r="JN13" i="8"/>
  <c r="JN8" i="8"/>
  <c r="JN21" i="8"/>
  <c r="JN20" i="8"/>
  <c r="JN24" i="8"/>
  <c r="JN15" i="8"/>
  <c r="JN14" i="8"/>
  <c r="JN7" i="8"/>
  <c r="JN16" i="8"/>
  <c r="JN9" i="8"/>
  <c r="JN10" i="8"/>
  <c r="JN18" i="8"/>
  <c r="JN4" i="8"/>
  <c r="JN3" i="8"/>
  <c r="JN5" i="8"/>
  <c r="JN19" i="8"/>
  <c r="JN2" i="8"/>
  <c r="DR54" i="8"/>
  <c r="DR47" i="8"/>
  <c r="DR48" i="8"/>
  <c r="DR42" i="8"/>
  <c r="DR35" i="8"/>
  <c r="DR33" i="8"/>
  <c r="DR31" i="8"/>
  <c r="DR29" i="8"/>
  <c r="DR27" i="8"/>
  <c r="DR25" i="8"/>
  <c r="DR23" i="8"/>
  <c r="DR55" i="8"/>
  <c r="DR41" i="8"/>
  <c r="DR37" i="8"/>
  <c r="DR53" i="8"/>
  <c r="DR43" i="8"/>
  <c r="DR45" i="8"/>
  <c r="DR44" i="8"/>
  <c r="DR28" i="8"/>
  <c r="DR24" i="8"/>
  <c r="DR46" i="8"/>
  <c r="DR49" i="8"/>
  <c r="DR40" i="8"/>
  <c r="DR36" i="8"/>
  <c r="DR30" i="8"/>
  <c r="DR39" i="8"/>
  <c r="DR26" i="8"/>
  <c r="DR22" i="8"/>
  <c r="DR11" i="8"/>
  <c r="DR6" i="8"/>
  <c r="DR34" i="8"/>
  <c r="DR21" i="8"/>
  <c r="DR16" i="8"/>
  <c r="DR5" i="8"/>
  <c r="DR3" i="8"/>
  <c r="DR38" i="8"/>
  <c r="DR18" i="8"/>
  <c r="DR7" i="8"/>
  <c r="DR17" i="8"/>
  <c r="DR10" i="8"/>
  <c r="DR2" i="8"/>
  <c r="DR19" i="8"/>
  <c r="DR20" i="8"/>
  <c r="DR12" i="8"/>
  <c r="DR32" i="8"/>
  <c r="DR13" i="8"/>
  <c r="DR15" i="8"/>
  <c r="DR14" i="8"/>
  <c r="DR9" i="8"/>
  <c r="DR8" i="8"/>
  <c r="DR4" i="8"/>
  <c r="GJ55" i="9"/>
  <c r="GJ54" i="9"/>
  <c r="GJ48" i="9"/>
  <c r="GJ46" i="9"/>
  <c r="GJ49" i="9"/>
  <c r="GJ47" i="9"/>
  <c r="GJ53" i="9"/>
  <c r="GJ45" i="9"/>
  <c r="GJ42" i="9"/>
  <c r="GJ40" i="9"/>
  <c r="GJ39" i="9"/>
  <c r="GJ38" i="9"/>
  <c r="GJ36" i="9"/>
  <c r="GJ34" i="9"/>
  <c r="GJ32" i="9"/>
  <c r="GJ43" i="9"/>
  <c r="GJ26" i="9"/>
  <c r="GJ33" i="9"/>
  <c r="GJ28" i="9"/>
  <c r="GJ37" i="9"/>
  <c r="GJ30" i="9"/>
  <c r="GJ35" i="9"/>
  <c r="GJ23" i="9"/>
  <c r="GJ21" i="9"/>
  <c r="GJ19" i="9"/>
  <c r="GJ17" i="9"/>
  <c r="GJ15" i="9"/>
  <c r="GJ13" i="9"/>
  <c r="GJ44" i="9"/>
  <c r="GJ41" i="9"/>
  <c r="GJ24" i="9"/>
  <c r="GJ18" i="9"/>
  <c r="GJ31" i="9"/>
  <c r="GJ29" i="9"/>
  <c r="GJ25" i="9"/>
  <c r="GJ20" i="9"/>
  <c r="GJ3" i="9"/>
  <c r="GJ27" i="9"/>
  <c r="GJ16" i="9"/>
  <c r="GJ6" i="9"/>
  <c r="GJ2" i="9"/>
  <c r="GJ22" i="9"/>
  <c r="GJ14" i="9"/>
  <c r="GJ12" i="9"/>
  <c r="GJ4" i="9"/>
  <c r="GJ10" i="9"/>
  <c r="GJ9" i="9"/>
  <c r="GJ8" i="9"/>
  <c r="GJ11" i="9"/>
  <c r="GJ7" i="9"/>
  <c r="GJ5" i="9"/>
  <c r="IU150" i="7"/>
  <c r="IU151" i="7"/>
  <c r="IU149" i="7"/>
  <c r="H151" i="7"/>
  <c r="H149" i="7"/>
  <c r="H150" i="7"/>
  <c r="HH54" i="8"/>
  <c r="HH48" i="8"/>
  <c r="HH53" i="8"/>
  <c r="HH47" i="8"/>
  <c r="HH44" i="8"/>
  <c r="HH42" i="8"/>
  <c r="HH40" i="8"/>
  <c r="HH38" i="8"/>
  <c r="HH36" i="8"/>
  <c r="HH49" i="8"/>
  <c r="HH45" i="8"/>
  <c r="HH55" i="8"/>
  <c r="HH34" i="8"/>
  <c r="HH32" i="8"/>
  <c r="HH46" i="8"/>
  <c r="HH41" i="8"/>
  <c r="HH30" i="8"/>
  <c r="HH25" i="8"/>
  <c r="HH20" i="8"/>
  <c r="HH18" i="8"/>
  <c r="HH16" i="8"/>
  <c r="HH14" i="8"/>
  <c r="HH12" i="8"/>
  <c r="HH10" i="8"/>
  <c r="HH8" i="8"/>
  <c r="HH6" i="8"/>
  <c r="HH4" i="8"/>
  <c r="HH2" i="8"/>
  <c r="HH43" i="8"/>
  <c r="HH27" i="8"/>
  <c r="HH24" i="8"/>
  <c r="HH23" i="8"/>
  <c r="HH15" i="8"/>
  <c r="HH31" i="8"/>
  <c r="HH22" i="8"/>
  <c r="HH9" i="8"/>
  <c r="HH39" i="8"/>
  <c r="HH33" i="8"/>
  <c r="HH28" i="8"/>
  <c r="HH37" i="8"/>
  <c r="HH35" i="8"/>
  <c r="HH11" i="8"/>
  <c r="HH21" i="8"/>
  <c r="HH7" i="8"/>
  <c r="HH29" i="8"/>
  <c r="HH17" i="8"/>
  <c r="HH19" i="8"/>
  <c r="HH26" i="8"/>
  <c r="HH13" i="8"/>
  <c r="HH5" i="8"/>
  <c r="HH3" i="8"/>
  <c r="JK151" i="7"/>
  <c r="JK150" i="7"/>
  <c r="JK149" i="7"/>
  <c r="CJ151" i="7"/>
  <c r="CJ149" i="7"/>
  <c r="CJ150" i="7"/>
  <c r="FK150" i="7"/>
  <c r="FK151" i="7"/>
  <c r="FK149" i="7"/>
  <c r="HO53" i="9"/>
  <c r="HO54" i="9"/>
  <c r="HO49" i="9"/>
  <c r="HO46" i="9"/>
  <c r="HO44" i="9"/>
  <c r="HO43" i="9"/>
  <c r="HO41" i="9"/>
  <c r="HO39" i="9"/>
  <c r="HO55" i="9"/>
  <c r="HO47" i="9"/>
  <c r="HO42" i="9"/>
  <c r="HO48" i="9"/>
  <c r="HO38" i="9"/>
  <c r="HO36" i="9"/>
  <c r="HO34" i="9"/>
  <c r="HO32" i="9"/>
  <c r="HO45" i="9"/>
  <c r="HO40" i="9"/>
  <c r="HO31" i="9"/>
  <c r="HO29" i="9"/>
  <c r="HO37" i="9"/>
  <c r="HO35" i="9"/>
  <c r="HO26" i="9"/>
  <c r="HO33" i="9"/>
  <c r="HO28" i="9"/>
  <c r="HO30" i="9"/>
  <c r="HO23" i="9"/>
  <c r="HO21" i="9"/>
  <c r="HO19" i="9"/>
  <c r="HO17" i="9"/>
  <c r="HO15" i="9"/>
  <c r="HO13" i="9"/>
  <c r="HO22" i="9"/>
  <c r="HO11" i="9"/>
  <c r="HO9" i="9"/>
  <c r="HO7" i="9"/>
  <c r="HO25" i="9"/>
  <c r="HO16" i="9"/>
  <c r="HO27" i="9"/>
  <c r="HO18" i="9"/>
  <c r="HO10" i="9"/>
  <c r="HO6" i="9"/>
  <c r="HO5" i="9"/>
  <c r="HO4" i="9"/>
  <c r="HO24" i="9"/>
  <c r="HO20" i="9"/>
  <c r="HO8" i="9"/>
  <c r="HO2" i="9"/>
  <c r="HO12" i="9"/>
  <c r="HO14" i="9"/>
  <c r="HO3" i="9"/>
  <c r="GY55" i="8"/>
  <c r="GY53" i="8"/>
  <c r="GY48" i="8"/>
  <c r="GY45" i="8"/>
  <c r="GY43" i="8"/>
  <c r="GY41" i="8"/>
  <c r="GY39" i="8"/>
  <c r="GY54" i="8"/>
  <c r="GY47" i="8"/>
  <c r="GY36" i="8"/>
  <c r="GY33" i="8"/>
  <c r="GY28" i="8"/>
  <c r="GY40" i="8"/>
  <c r="GY49" i="8"/>
  <c r="GY42" i="8"/>
  <c r="GY46" i="8"/>
  <c r="GY44" i="8"/>
  <c r="GY23" i="8"/>
  <c r="GY21" i="8"/>
  <c r="GY19" i="8"/>
  <c r="GY17" i="8"/>
  <c r="GY15" i="8"/>
  <c r="GY13" i="8"/>
  <c r="GY11" i="8"/>
  <c r="GY9" i="8"/>
  <c r="GY7" i="8"/>
  <c r="GY5" i="8"/>
  <c r="GY34" i="8"/>
  <c r="GY18" i="8"/>
  <c r="GY35" i="8"/>
  <c r="GY29" i="8"/>
  <c r="GY26" i="8"/>
  <c r="GY12" i="8"/>
  <c r="GY38" i="8"/>
  <c r="GY31" i="8"/>
  <c r="GY32" i="8"/>
  <c r="GY37" i="8"/>
  <c r="GY25" i="8"/>
  <c r="GY22" i="8"/>
  <c r="GY14" i="8"/>
  <c r="GY2" i="8"/>
  <c r="GY4" i="8"/>
  <c r="GY30" i="8"/>
  <c r="GY20" i="8"/>
  <c r="GY6" i="8"/>
  <c r="GY27" i="8"/>
  <c r="GY16" i="8"/>
  <c r="GY8" i="8"/>
  <c r="GY24" i="8"/>
  <c r="GY10" i="8"/>
  <c r="GY3" i="8"/>
  <c r="GA55" i="8"/>
  <c r="GA53" i="8"/>
  <c r="GA47" i="8"/>
  <c r="GA45" i="8"/>
  <c r="GA43" i="8"/>
  <c r="GA41" i="8"/>
  <c r="GA39" i="8"/>
  <c r="GA36" i="8"/>
  <c r="GA42" i="8"/>
  <c r="GA44" i="8"/>
  <c r="GA38" i="8"/>
  <c r="GA32" i="8"/>
  <c r="GA30" i="8"/>
  <c r="GA25" i="8"/>
  <c r="GA49" i="8"/>
  <c r="GA40" i="8"/>
  <c r="GA48" i="8"/>
  <c r="GA46" i="8"/>
  <c r="GA54" i="8"/>
  <c r="GA34" i="8"/>
  <c r="GA21" i="8"/>
  <c r="GA19" i="8"/>
  <c r="GA17" i="8"/>
  <c r="GA15" i="8"/>
  <c r="GA13" i="8"/>
  <c r="GA11" i="8"/>
  <c r="GA9" i="8"/>
  <c r="GA7" i="8"/>
  <c r="GA5" i="8"/>
  <c r="GA33" i="8"/>
  <c r="GA12" i="8"/>
  <c r="GA2" i="8"/>
  <c r="GA6" i="8"/>
  <c r="GA35" i="8"/>
  <c r="GA28" i="8"/>
  <c r="GA37" i="8"/>
  <c r="GA31" i="8"/>
  <c r="GA8" i="8"/>
  <c r="GA26" i="8"/>
  <c r="GA10" i="8"/>
  <c r="GA18" i="8"/>
  <c r="GA20" i="8"/>
  <c r="GA27" i="8"/>
  <c r="GA23" i="8"/>
  <c r="GA14" i="8"/>
  <c r="GA29" i="8"/>
  <c r="GA24" i="8"/>
  <c r="GA22" i="8"/>
  <c r="GA16" i="8"/>
  <c r="GA4" i="8"/>
  <c r="GA3" i="8"/>
  <c r="FK55" i="8"/>
  <c r="FK53" i="8"/>
  <c r="FK45" i="8"/>
  <c r="FK43" i="8"/>
  <c r="FK41" i="8"/>
  <c r="FK39" i="8"/>
  <c r="FK44" i="8"/>
  <c r="FK37" i="8"/>
  <c r="FK47" i="8"/>
  <c r="FK54" i="8"/>
  <c r="FK49" i="8"/>
  <c r="FK40" i="8"/>
  <c r="FK34" i="8"/>
  <c r="FK48" i="8"/>
  <c r="FK46" i="8"/>
  <c r="FK33" i="8"/>
  <c r="FK29" i="8"/>
  <c r="FK26" i="8"/>
  <c r="FK23" i="8"/>
  <c r="FK42" i="8"/>
  <c r="FK35" i="8"/>
  <c r="FK21" i="8"/>
  <c r="FK19" i="8"/>
  <c r="FK17" i="8"/>
  <c r="FK15" i="8"/>
  <c r="FK13" i="8"/>
  <c r="FK11" i="8"/>
  <c r="FK9" i="8"/>
  <c r="FK7" i="8"/>
  <c r="FK5" i="8"/>
  <c r="FK30" i="8"/>
  <c r="FK8" i="8"/>
  <c r="FK3" i="8"/>
  <c r="FK25" i="8"/>
  <c r="FK18" i="8"/>
  <c r="FK28" i="8"/>
  <c r="FK31" i="8"/>
  <c r="FK36" i="8"/>
  <c r="FK32" i="8"/>
  <c r="FK38" i="8"/>
  <c r="FK27" i="8"/>
  <c r="FK24" i="8"/>
  <c r="FK20" i="8"/>
  <c r="FK4" i="8"/>
  <c r="FK12" i="8"/>
  <c r="FK6" i="8"/>
  <c r="FK22" i="8"/>
  <c r="FK14" i="8"/>
  <c r="FK16" i="8"/>
  <c r="FK10" i="8"/>
  <c r="FK2" i="8"/>
  <c r="FC54" i="9"/>
  <c r="FC53" i="9"/>
  <c r="FC49" i="9"/>
  <c r="FC55" i="9"/>
  <c r="FC46" i="9"/>
  <c r="FC47" i="9"/>
  <c r="FC43" i="9"/>
  <c r="FC41" i="9"/>
  <c r="FC48" i="9"/>
  <c r="FC39" i="9"/>
  <c r="FC45" i="9"/>
  <c r="FC42" i="9"/>
  <c r="FC38" i="9"/>
  <c r="FC36" i="9"/>
  <c r="FC34" i="9"/>
  <c r="FC32" i="9"/>
  <c r="FC31" i="9"/>
  <c r="FC29" i="9"/>
  <c r="FC37" i="9"/>
  <c r="FC40" i="9"/>
  <c r="FC35" i="9"/>
  <c r="FC28" i="9"/>
  <c r="FC26" i="9"/>
  <c r="FC23" i="9"/>
  <c r="FC21" i="9"/>
  <c r="FC19" i="9"/>
  <c r="FC17" i="9"/>
  <c r="FC15" i="9"/>
  <c r="FC13" i="9"/>
  <c r="FC33" i="9"/>
  <c r="FC44" i="9"/>
  <c r="FC22" i="9"/>
  <c r="FC11" i="9"/>
  <c r="FC9" i="9"/>
  <c r="FC7" i="9"/>
  <c r="FC16" i="9"/>
  <c r="FC30" i="9"/>
  <c r="FC27" i="9"/>
  <c r="FC18" i="9"/>
  <c r="FC10" i="9"/>
  <c r="FC6" i="9"/>
  <c r="FC5" i="9"/>
  <c r="FC4" i="9"/>
  <c r="FC8" i="9"/>
  <c r="FC2" i="9"/>
  <c r="FC20" i="9"/>
  <c r="FC24" i="9"/>
  <c r="FC25" i="9"/>
  <c r="FC14" i="9"/>
  <c r="FC3" i="9"/>
  <c r="FC12" i="9"/>
  <c r="EU54" i="9"/>
  <c r="EU53" i="9"/>
  <c r="EU55" i="9"/>
  <c r="EU46" i="9"/>
  <c r="EU43" i="9"/>
  <c r="EU41" i="9"/>
  <c r="EU47" i="9"/>
  <c r="EU42" i="9"/>
  <c r="EU39" i="9"/>
  <c r="EU48" i="9"/>
  <c r="EU40" i="9"/>
  <c r="EU45" i="9"/>
  <c r="EU44" i="9"/>
  <c r="EU36" i="9"/>
  <c r="EU34" i="9"/>
  <c r="EU32" i="9"/>
  <c r="EU49" i="9"/>
  <c r="EU31" i="9"/>
  <c r="EU29" i="9"/>
  <c r="EU35" i="9"/>
  <c r="EU37" i="9"/>
  <c r="EU28" i="9"/>
  <c r="EU26" i="9"/>
  <c r="EU23" i="9"/>
  <c r="EU21" i="9"/>
  <c r="EU19" i="9"/>
  <c r="EU17" i="9"/>
  <c r="EU15" i="9"/>
  <c r="EU13" i="9"/>
  <c r="EU33" i="9"/>
  <c r="EU27" i="9"/>
  <c r="EU20" i="9"/>
  <c r="EU11" i="9"/>
  <c r="EU9" i="9"/>
  <c r="EU7" i="9"/>
  <c r="EU14" i="9"/>
  <c r="EU38" i="9"/>
  <c r="EU30" i="9"/>
  <c r="EU25" i="9"/>
  <c r="EU16" i="9"/>
  <c r="EU18" i="9"/>
  <c r="EU12" i="9"/>
  <c r="EU5" i="9"/>
  <c r="EU4" i="9"/>
  <c r="EU24" i="9"/>
  <c r="EU2" i="9"/>
  <c r="EU8" i="9"/>
  <c r="EU3" i="9"/>
  <c r="EU22" i="9"/>
  <c r="EU6" i="9"/>
  <c r="EU10" i="9"/>
  <c r="EE55" i="8"/>
  <c r="EE53" i="8"/>
  <c r="EE54" i="8"/>
  <c r="EE46" i="8"/>
  <c r="EE45" i="8"/>
  <c r="EE43" i="8"/>
  <c r="EE41" i="8"/>
  <c r="EE39" i="8"/>
  <c r="EE47" i="8"/>
  <c r="EE37" i="8"/>
  <c r="EE36" i="8"/>
  <c r="EE49" i="8"/>
  <c r="EE42" i="8"/>
  <c r="EE31" i="8"/>
  <c r="EE29" i="8"/>
  <c r="EE26" i="8"/>
  <c r="EE48" i="8"/>
  <c r="EE44" i="8"/>
  <c r="EE40" i="8"/>
  <c r="EE21" i="8"/>
  <c r="EE19" i="8"/>
  <c r="EE17" i="8"/>
  <c r="EE15" i="8"/>
  <c r="EE13" i="8"/>
  <c r="EE11" i="8"/>
  <c r="EE9" i="8"/>
  <c r="EE7" i="8"/>
  <c r="EE5" i="8"/>
  <c r="EE25" i="8"/>
  <c r="EE16" i="8"/>
  <c r="EE3" i="8"/>
  <c r="EE28" i="8"/>
  <c r="EE10" i="8"/>
  <c r="EE32" i="8"/>
  <c r="EE33" i="8"/>
  <c r="EE35" i="8"/>
  <c r="EE34" i="8"/>
  <c r="EE12" i="8"/>
  <c r="EE38" i="8"/>
  <c r="EE22" i="8"/>
  <c r="EE8" i="8"/>
  <c r="EE27" i="8"/>
  <c r="EE30" i="8"/>
  <c r="EE18" i="8"/>
  <c r="EE24" i="8"/>
  <c r="EE23" i="8"/>
  <c r="EE20" i="8"/>
  <c r="EE14" i="8"/>
  <c r="EE6" i="8"/>
  <c r="EE4" i="8"/>
  <c r="EE2" i="8"/>
  <c r="EE54" i="9"/>
  <c r="EE55" i="9"/>
  <c r="EE53" i="9"/>
  <c r="EE49" i="9"/>
  <c r="EE46" i="9"/>
  <c r="EE48" i="9"/>
  <c r="EE43" i="9"/>
  <c r="EE41" i="9"/>
  <c r="EE39" i="9"/>
  <c r="EE42" i="9"/>
  <c r="EE36" i="9"/>
  <c r="EE34" i="9"/>
  <c r="EE32" i="9"/>
  <c r="EE37" i="9"/>
  <c r="EE31" i="9"/>
  <c r="EE29" i="9"/>
  <c r="EE38" i="9"/>
  <c r="EE47" i="9"/>
  <c r="EE40" i="9"/>
  <c r="EE33" i="9"/>
  <c r="EE44" i="9"/>
  <c r="EE30" i="9"/>
  <c r="EE28" i="9"/>
  <c r="EE26" i="9"/>
  <c r="EE25" i="9"/>
  <c r="EE23" i="9"/>
  <c r="EE21" i="9"/>
  <c r="EE19" i="9"/>
  <c r="EE17" i="9"/>
  <c r="EE15" i="9"/>
  <c r="EE13" i="9"/>
  <c r="EE45" i="9"/>
  <c r="EE35" i="9"/>
  <c r="EE27" i="9"/>
  <c r="EE16" i="9"/>
  <c r="EE11" i="9"/>
  <c r="EE9" i="9"/>
  <c r="EE7" i="9"/>
  <c r="EE20" i="9"/>
  <c r="EE12" i="9"/>
  <c r="EE8" i="9"/>
  <c r="EE22" i="9"/>
  <c r="EE14" i="9"/>
  <c r="EE5" i="9"/>
  <c r="EE4" i="9"/>
  <c r="EE2" i="9"/>
  <c r="EE6" i="9"/>
  <c r="EE24" i="9"/>
  <c r="EE18" i="9"/>
  <c r="EE10" i="9"/>
  <c r="EE3" i="9"/>
  <c r="CY55" i="8"/>
  <c r="CY53" i="8"/>
  <c r="CY45" i="8"/>
  <c r="CY43" i="8"/>
  <c r="CY41" i="8"/>
  <c r="CY39" i="8"/>
  <c r="CY44" i="8"/>
  <c r="CY37" i="8"/>
  <c r="CY48" i="8"/>
  <c r="CY40" i="8"/>
  <c r="CY47" i="8"/>
  <c r="CY36" i="8"/>
  <c r="CY34" i="8"/>
  <c r="CY49" i="8"/>
  <c r="CY33" i="8"/>
  <c r="CY29" i="8"/>
  <c r="CY26" i="8"/>
  <c r="CY24" i="8"/>
  <c r="CY23" i="8"/>
  <c r="CY54" i="8"/>
  <c r="CY42" i="8"/>
  <c r="CY35" i="8"/>
  <c r="CY21" i="8"/>
  <c r="CY19" i="8"/>
  <c r="CY17" i="8"/>
  <c r="CY15" i="8"/>
  <c r="CY13" i="8"/>
  <c r="CY11" i="8"/>
  <c r="CY9" i="8"/>
  <c r="CY7" i="8"/>
  <c r="CY5" i="8"/>
  <c r="CY38" i="8"/>
  <c r="CY28" i="8"/>
  <c r="CY8" i="8"/>
  <c r="CY3" i="8"/>
  <c r="CY18" i="8"/>
  <c r="CY46" i="8"/>
  <c r="CY31" i="8"/>
  <c r="CY32" i="8"/>
  <c r="CY30" i="8"/>
  <c r="CY20" i="8"/>
  <c r="CY4" i="8"/>
  <c r="CY10" i="8"/>
  <c r="CY12" i="8"/>
  <c r="CY2" i="8"/>
  <c r="CY25" i="8"/>
  <c r="CY27" i="8"/>
  <c r="CY22" i="8"/>
  <c r="CY14" i="8"/>
  <c r="CY16" i="8"/>
  <c r="CY6" i="8"/>
  <c r="CQ150" i="7"/>
  <c r="CQ149" i="7"/>
  <c r="CQ151" i="7"/>
  <c r="BS46" i="9"/>
  <c r="BS48" i="9"/>
  <c r="BS43" i="9"/>
  <c r="BS41" i="9"/>
  <c r="BS45" i="9"/>
  <c r="BS47" i="9"/>
  <c r="BS42" i="9"/>
  <c r="BS39" i="9"/>
  <c r="BS36" i="9"/>
  <c r="BS34" i="9"/>
  <c r="BS32" i="9"/>
  <c r="BS38" i="9"/>
  <c r="BS37" i="9"/>
  <c r="BS31" i="9"/>
  <c r="BS29" i="9"/>
  <c r="BS33" i="9"/>
  <c r="BS49" i="9"/>
  <c r="BS44" i="9"/>
  <c r="BS40" i="9"/>
  <c r="BS30" i="9"/>
  <c r="BS28" i="9"/>
  <c r="BS26" i="9"/>
  <c r="BS23" i="9"/>
  <c r="BS21" i="9"/>
  <c r="BS19" i="9"/>
  <c r="BS17" i="9"/>
  <c r="BS15" i="9"/>
  <c r="BS13" i="9"/>
  <c r="BS35" i="9"/>
  <c r="BS27" i="9"/>
  <c r="BS25" i="9"/>
  <c r="BS16" i="9"/>
  <c r="BS11" i="9"/>
  <c r="BS9" i="9"/>
  <c r="BS18" i="9"/>
  <c r="BS8" i="9"/>
  <c r="BS20" i="9"/>
  <c r="BS24" i="9"/>
  <c r="BS12" i="9"/>
  <c r="BS5" i="9"/>
  <c r="BS4" i="9"/>
  <c r="BS2" i="9"/>
  <c r="BS14" i="9"/>
  <c r="BS7" i="9"/>
  <c r="BS22" i="9"/>
  <c r="BS10" i="9"/>
  <c r="BS3" i="9"/>
  <c r="BS6" i="9"/>
  <c r="BK49" i="8"/>
  <c r="BK45" i="8"/>
  <c r="BK43" i="8"/>
  <c r="BK41" i="8"/>
  <c r="BK39" i="8"/>
  <c r="BK38" i="8"/>
  <c r="BK44" i="8"/>
  <c r="BK46" i="8"/>
  <c r="BK37" i="8"/>
  <c r="BK48" i="8"/>
  <c r="BK34" i="8"/>
  <c r="BK27" i="8"/>
  <c r="BK40" i="8"/>
  <c r="BK47" i="8"/>
  <c r="BK42" i="8"/>
  <c r="BK21" i="8"/>
  <c r="BK19" i="8"/>
  <c r="BK17" i="8"/>
  <c r="BK15" i="8"/>
  <c r="BK13" i="8"/>
  <c r="BK11" i="8"/>
  <c r="BK9" i="8"/>
  <c r="BK7" i="8"/>
  <c r="BK5" i="8"/>
  <c r="BK36" i="8"/>
  <c r="BK30" i="8"/>
  <c r="BK14" i="8"/>
  <c r="BK4" i="8"/>
  <c r="BK35" i="8"/>
  <c r="BK25" i="8"/>
  <c r="BK23" i="8"/>
  <c r="BK8" i="8"/>
  <c r="BK31" i="8"/>
  <c r="BK33" i="8"/>
  <c r="BK32" i="8"/>
  <c r="BK24" i="8"/>
  <c r="BK10" i="8"/>
  <c r="BK3" i="8"/>
  <c r="BK12" i="8"/>
  <c r="BK20" i="8"/>
  <c r="BK26" i="8"/>
  <c r="BK29" i="8"/>
  <c r="BK28" i="8"/>
  <c r="BK22" i="8"/>
  <c r="BK16" i="8"/>
  <c r="BK6" i="8"/>
  <c r="BK2" i="8"/>
  <c r="BK18" i="8"/>
  <c r="GX151" i="7"/>
  <c r="GX150" i="7"/>
  <c r="GX149" i="7"/>
  <c r="FB149" i="7"/>
  <c r="FB150" i="7"/>
  <c r="FB151" i="7"/>
  <c r="EL55" i="9"/>
  <c r="EL49" i="9"/>
  <c r="EL48" i="9"/>
  <c r="EL53" i="9"/>
  <c r="EL54" i="9"/>
  <c r="EL47" i="9"/>
  <c r="EL45" i="9"/>
  <c r="EL43" i="9"/>
  <c r="EL46" i="9"/>
  <c r="EL44" i="9"/>
  <c r="EL39" i="9"/>
  <c r="EL42" i="9"/>
  <c r="EL40" i="9"/>
  <c r="EL41" i="9"/>
  <c r="EL38" i="9"/>
  <c r="EL37" i="9"/>
  <c r="EL35" i="9"/>
  <c r="EL33" i="9"/>
  <c r="EL31" i="9"/>
  <c r="EL29" i="9"/>
  <c r="EL36" i="9"/>
  <c r="EL32" i="9"/>
  <c r="EL34" i="9"/>
  <c r="EL27" i="9"/>
  <c r="EL25" i="9"/>
  <c r="EL24" i="9"/>
  <c r="EL22" i="9"/>
  <c r="EL20" i="9"/>
  <c r="EL18" i="9"/>
  <c r="EL16" i="9"/>
  <c r="EL30" i="9"/>
  <c r="EL23" i="9"/>
  <c r="EL14" i="9"/>
  <c r="EL26" i="9"/>
  <c r="EL17" i="9"/>
  <c r="EL11" i="9"/>
  <c r="EL9" i="9"/>
  <c r="EL7" i="9"/>
  <c r="EL5" i="9"/>
  <c r="EL28" i="9"/>
  <c r="EL19" i="9"/>
  <c r="EL15" i="9"/>
  <c r="EL4" i="9"/>
  <c r="EL21" i="9"/>
  <c r="EL2" i="9"/>
  <c r="EL12" i="9"/>
  <c r="EL13" i="9"/>
  <c r="EL3" i="9"/>
  <c r="EL8" i="9"/>
  <c r="EL10" i="9"/>
  <c r="EL6" i="9"/>
  <c r="CX151" i="7"/>
  <c r="CX150" i="7"/>
  <c r="CX149" i="7"/>
  <c r="CX48" i="8"/>
  <c r="CX47" i="8"/>
  <c r="CX54" i="8"/>
  <c r="CX46" i="8"/>
  <c r="CX45" i="8"/>
  <c r="CX34" i="8"/>
  <c r="CX32" i="8"/>
  <c r="CX30" i="8"/>
  <c r="CX28" i="8"/>
  <c r="CX26" i="8"/>
  <c r="CX24" i="8"/>
  <c r="CX55" i="8"/>
  <c r="CX44" i="8"/>
  <c r="CX39" i="8"/>
  <c r="CX37" i="8"/>
  <c r="CX41" i="8"/>
  <c r="CX36" i="8"/>
  <c r="CX49" i="8"/>
  <c r="CX40" i="8"/>
  <c r="CX53" i="8"/>
  <c r="CX42" i="8"/>
  <c r="CX43" i="8"/>
  <c r="CX25" i="8"/>
  <c r="CX14" i="8"/>
  <c r="CX9" i="8"/>
  <c r="CX38" i="8"/>
  <c r="CX19" i="8"/>
  <c r="CX8" i="8"/>
  <c r="CX3" i="8"/>
  <c r="CX35" i="8"/>
  <c r="CX29" i="8"/>
  <c r="CX31" i="8"/>
  <c r="CX21" i="8"/>
  <c r="CX10" i="8"/>
  <c r="CX5" i="8"/>
  <c r="CX23" i="8"/>
  <c r="CX18" i="8"/>
  <c r="CX17" i="8"/>
  <c r="CX12" i="8"/>
  <c r="CX11" i="8"/>
  <c r="CX20" i="8"/>
  <c r="CX13" i="8"/>
  <c r="CX27" i="8"/>
  <c r="CX22" i="8"/>
  <c r="CX15" i="8"/>
  <c r="CX16" i="8"/>
  <c r="CX2" i="8"/>
  <c r="CX33" i="8"/>
  <c r="CX6" i="8"/>
  <c r="CX4" i="8"/>
  <c r="CX7" i="8"/>
  <c r="CX55" i="9"/>
  <c r="CX54" i="9"/>
  <c r="CX49" i="9"/>
  <c r="CX48" i="9"/>
  <c r="CX46" i="9"/>
  <c r="CX45" i="9"/>
  <c r="CX43" i="9"/>
  <c r="CX42" i="9"/>
  <c r="CX41" i="9"/>
  <c r="CX47" i="9"/>
  <c r="CX44" i="9"/>
  <c r="CX40" i="9"/>
  <c r="CX39" i="9"/>
  <c r="CX53" i="9"/>
  <c r="CX37" i="9"/>
  <c r="CX35" i="9"/>
  <c r="CX33" i="9"/>
  <c r="CX34" i="9"/>
  <c r="CX38" i="9"/>
  <c r="CX31" i="9"/>
  <c r="CX36" i="9"/>
  <c r="CX27" i="9"/>
  <c r="CX28" i="9"/>
  <c r="CX30" i="9"/>
  <c r="CX24" i="9"/>
  <c r="CX22" i="9"/>
  <c r="CX20" i="9"/>
  <c r="CX18" i="9"/>
  <c r="CX16" i="9"/>
  <c r="CX32" i="9"/>
  <c r="CX12" i="9"/>
  <c r="CX26" i="9"/>
  <c r="CX23" i="9"/>
  <c r="CX11" i="9"/>
  <c r="CX9" i="9"/>
  <c r="CX7" i="9"/>
  <c r="CX5" i="9"/>
  <c r="CX14" i="9"/>
  <c r="CX15" i="9"/>
  <c r="CX17" i="9"/>
  <c r="CX13" i="9"/>
  <c r="CX8" i="9"/>
  <c r="CX25" i="9"/>
  <c r="CX21" i="9"/>
  <c r="CX4" i="9"/>
  <c r="CX6" i="9"/>
  <c r="CX2" i="9"/>
  <c r="CX29" i="9"/>
  <c r="CX19" i="9"/>
  <c r="CX3" i="9"/>
  <c r="CX10" i="9"/>
  <c r="CP55" i="9"/>
  <c r="CP54" i="9"/>
  <c r="CP53" i="9"/>
  <c r="CP48" i="9"/>
  <c r="CP47" i="9"/>
  <c r="CP43" i="9"/>
  <c r="CP49" i="9"/>
  <c r="CP44" i="9"/>
  <c r="CP46" i="9"/>
  <c r="CP45" i="9"/>
  <c r="CP39" i="9"/>
  <c r="CP42" i="9"/>
  <c r="CP37" i="9"/>
  <c r="CP35" i="9"/>
  <c r="CP33" i="9"/>
  <c r="CP31" i="9"/>
  <c r="CP38" i="9"/>
  <c r="CP30" i="9"/>
  <c r="CP34" i="9"/>
  <c r="CP29" i="9"/>
  <c r="CP27" i="9"/>
  <c r="CP41" i="9"/>
  <c r="CP26" i="9"/>
  <c r="CP36" i="9"/>
  <c r="CP40" i="9"/>
  <c r="CP24" i="9"/>
  <c r="CP22" i="9"/>
  <c r="CP20" i="9"/>
  <c r="CP18" i="9"/>
  <c r="CP16" i="9"/>
  <c r="CP25" i="9"/>
  <c r="CP13" i="9"/>
  <c r="CP32" i="9"/>
  <c r="CP21" i="9"/>
  <c r="CP11" i="9"/>
  <c r="CP9" i="9"/>
  <c r="CP7" i="9"/>
  <c r="CP5" i="9"/>
  <c r="CP23" i="9"/>
  <c r="CP12" i="9"/>
  <c r="CP14" i="9"/>
  <c r="CP10" i="9"/>
  <c r="CP6" i="9"/>
  <c r="CP28" i="9"/>
  <c r="CP17" i="9"/>
  <c r="CP15" i="9"/>
  <c r="CP2" i="9"/>
  <c r="CP19" i="9"/>
  <c r="CP8" i="9"/>
  <c r="CP4" i="9"/>
  <c r="CP3" i="9"/>
  <c r="BJ48" i="8"/>
  <c r="BJ47" i="8"/>
  <c r="BJ46" i="8"/>
  <c r="BJ40" i="8"/>
  <c r="BJ34" i="8"/>
  <c r="BJ32" i="8"/>
  <c r="BJ30" i="8"/>
  <c r="BJ28" i="8"/>
  <c r="BJ26" i="8"/>
  <c r="BJ24" i="8"/>
  <c r="BJ45" i="8"/>
  <c r="BJ38" i="8"/>
  <c r="BJ36" i="8"/>
  <c r="BJ35" i="8"/>
  <c r="BJ29" i="8"/>
  <c r="BJ39" i="8"/>
  <c r="BJ41" i="8"/>
  <c r="BJ49" i="8"/>
  <c r="BJ42" i="8"/>
  <c r="BJ44" i="8"/>
  <c r="BJ43" i="8"/>
  <c r="BJ31" i="8"/>
  <c r="BJ20" i="8"/>
  <c r="BJ15" i="8"/>
  <c r="BJ37" i="8"/>
  <c r="BJ14" i="8"/>
  <c r="BJ9" i="8"/>
  <c r="BJ4" i="8"/>
  <c r="BJ16" i="8"/>
  <c r="BJ11" i="8"/>
  <c r="BJ18" i="8"/>
  <c r="BJ17" i="8"/>
  <c r="BJ10" i="8"/>
  <c r="BJ3" i="8"/>
  <c r="BJ33" i="8"/>
  <c r="BJ19" i="8"/>
  <c r="BJ12" i="8"/>
  <c r="BJ13" i="8"/>
  <c r="BJ21" i="8"/>
  <c r="BJ25" i="8"/>
  <c r="BJ22" i="8"/>
  <c r="BJ8" i="8"/>
  <c r="BJ23" i="8"/>
  <c r="BJ5" i="8"/>
  <c r="BJ7" i="8"/>
  <c r="BJ6" i="8"/>
  <c r="BJ2" i="8"/>
  <c r="BJ27" i="8"/>
  <c r="V48" i="9"/>
  <c r="V49" i="9"/>
  <c r="V47" i="9"/>
  <c r="V46" i="9"/>
  <c r="V42" i="9"/>
  <c r="V39" i="9"/>
  <c r="V45" i="9"/>
  <c r="V44" i="9"/>
  <c r="V37" i="9"/>
  <c r="V35" i="9"/>
  <c r="V33" i="9"/>
  <c r="V31" i="9"/>
  <c r="V41" i="9"/>
  <c r="V38" i="9"/>
  <c r="V30" i="9"/>
  <c r="V27" i="9"/>
  <c r="V43" i="9"/>
  <c r="V32" i="9"/>
  <c r="V40" i="9"/>
  <c r="V36" i="9"/>
  <c r="V34" i="9"/>
  <c r="V24" i="9"/>
  <c r="V22" i="9"/>
  <c r="V20" i="9"/>
  <c r="V18" i="9"/>
  <c r="V16" i="9"/>
  <c r="V25" i="9"/>
  <c r="V26" i="9"/>
  <c r="V19" i="9"/>
  <c r="V11" i="9"/>
  <c r="V9" i="9"/>
  <c r="V7" i="9"/>
  <c r="V5" i="9"/>
  <c r="V29" i="9"/>
  <c r="V28" i="9"/>
  <c r="V21" i="9"/>
  <c r="V13" i="9"/>
  <c r="V6" i="9"/>
  <c r="V17" i="9"/>
  <c r="V10" i="9"/>
  <c r="V12" i="9"/>
  <c r="V4" i="9"/>
  <c r="V3" i="9"/>
  <c r="V23" i="9"/>
  <c r="V15" i="9"/>
  <c r="V2" i="9"/>
  <c r="V14" i="9"/>
  <c r="V8" i="9"/>
  <c r="CC48" i="8"/>
  <c r="CC46" i="8"/>
  <c r="CC44" i="8"/>
  <c r="CC42" i="8"/>
  <c r="CC40" i="8"/>
  <c r="CC38" i="8"/>
  <c r="CC36" i="8"/>
  <c r="CC43" i="8"/>
  <c r="CC37" i="8"/>
  <c r="CC47" i="8"/>
  <c r="CC35" i="8"/>
  <c r="CC33" i="8"/>
  <c r="CC31" i="8"/>
  <c r="CC29" i="8"/>
  <c r="CC27" i="8"/>
  <c r="CC25" i="8"/>
  <c r="CC49" i="8"/>
  <c r="CC39" i="8"/>
  <c r="CC22" i="8"/>
  <c r="CC20" i="8"/>
  <c r="CC18" i="8"/>
  <c r="CC16" i="8"/>
  <c r="CC14" i="8"/>
  <c r="CC12" i="8"/>
  <c r="CC10" i="8"/>
  <c r="CC8" i="8"/>
  <c r="CC6" i="8"/>
  <c r="CC4" i="8"/>
  <c r="CC2" i="8"/>
  <c r="CC45" i="8"/>
  <c r="CC32" i="8"/>
  <c r="CC26" i="8"/>
  <c r="CC41" i="8"/>
  <c r="CC34" i="8"/>
  <c r="CC30" i="8"/>
  <c r="CC7" i="8"/>
  <c r="CC3" i="8"/>
  <c r="CC17" i="8"/>
  <c r="CC19" i="8"/>
  <c r="CC23" i="8"/>
  <c r="CC9" i="8"/>
  <c r="CC11" i="8"/>
  <c r="CC21" i="8"/>
  <c r="CC13" i="8"/>
  <c r="CC28" i="8"/>
  <c r="CC15" i="8"/>
  <c r="CC5" i="8"/>
  <c r="CC24" i="8"/>
  <c r="BE48" i="8"/>
  <c r="BE46" i="8"/>
  <c r="BE44" i="8"/>
  <c r="BE42" i="8"/>
  <c r="BE40" i="8"/>
  <c r="BE38" i="8"/>
  <c r="BE36" i="8"/>
  <c r="BE35" i="8"/>
  <c r="BE33" i="8"/>
  <c r="BE31" i="8"/>
  <c r="BE29" i="8"/>
  <c r="BE27" i="8"/>
  <c r="BE25" i="8"/>
  <c r="BE43" i="8"/>
  <c r="BE32" i="8"/>
  <c r="BE22" i="8"/>
  <c r="BE20" i="8"/>
  <c r="BE18" i="8"/>
  <c r="BE16" i="8"/>
  <c r="BE14" i="8"/>
  <c r="BE12" i="8"/>
  <c r="BE10" i="8"/>
  <c r="BE8" i="8"/>
  <c r="BE6" i="8"/>
  <c r="BE4" i="8"/>
  <c r="BE2" i="8"/>
  <c r="BE28" i="8"/>
  <c r="BE24" i="8"/>
  <c r="BE23" i="8"/>
  <c r="BE45" i="8"/>
  <c r="BE41" i="8"/>
  <c r="BE49" i="8"/>
  <c r="BE47" i="8"/>
  <c r="BE17" i="8"/>
  <c r="BE39" i="8"/>
  <c r="BE11" i="8"/>
  <c r="BE37" i="8"/>
  <c r="BE34" i="8"/>
  <c r="BE30" i="8"/>
  <c r="BE13" i="8"/>
  <c r="BE9" i="8"/>
  <c r="BE3" i="8"/>
  <c r="BE26" i="8"/>
  <c r="BE19" i="8"/>
  <c r="BE21" i="8"/>
  <c r="BE15" i="8"/>
  <c r="BE5" i="8"/>
  <c r="BE7" i="8"/>
  <c r="FL54" i="8"/>
  <c r="FL48" i="8"/>
  <c r="FL46" i="8"/>
  <c r="FL44" i="8"/>
  <c r="FL42" i="8"/>
  <c r="FL40" i="8"/>
  <c r="FL38" i="8"/>
  <c r="FL36" i="8"/>
  <c r="FL53" i="8"/>
  <c r="FL47" i="8"/>
  <c r="FL39" i="8"/>
  <c r="FL34" i="8"/>
  <c r="FL32" i="8"/>
  <c r="FL33" i="8"/>
  <c r="FL29" i="8"/>
  <c r="FL26" i="8"/>
  <c r="FL23" i="8"/>
  <c r="FL55" i="8"/>
  <c r="FL22" i="8"/>
  <c r="FL20" i="8"/>
  <c r="FL18" i="8"/>
  <c r="FL16" i="8"/>
  <c r="FL14" i="8"/>
  <c r="FL12" i="8"/>
  <c r="FL10" i="8"/>
  <c r="FL8" i="8"/>
  <c r="FL6" i="8"/>
  <c r="FL4" i="8"/>
  <c r="FL2" i="8"/>
  <c r="FL41" i="8"/>
  <c r="FL43" i="8"/>
  <c r="FL49" i="8"/>
  <c r="FL28" i="8"/>
  <c r="FL35" i="8"/>
  <c r="FL25" i="8"/>
  <c r="FL19" i="8"/>
  <c r="FL37" i="8"/>
  <c r="FL13" i="8"/>
  <c r="FL31" i="8"/>
  <c r="FL45" i="8"/>
  <c r="FL15" i="8"/>
  <c r="FL27" i="8"/>
  <c r="FL11" i="8"/>
  <c r="FL24" i="8"/>
  <c r="FL21" i="8"/>
  <c r="FL7" i="8"/>
  <c r="FL17" i="8"/>
  <c r="FL9" i="8"/>
  <c r="FL3" i="8"/>
  <c r="FL30" i="8"/>
  <c r="FL5" i="8"/>
  <c r="CZ55" i="9"/>
  <c r="CZ53" i="9"/>
  <c r="CZ48" i="9"/>
  <c r="CZ47" i="9"/>
  <c r="CZ46" i="9"/>
  <c r="CZ54" i="9"/>
  <c r="CZ49" i="9"/>
  <c r="CZ45" i="9"/>
  <c r="CZ44" i="9"/>
  <c r="CZ36" i="9"/>
  <c r="CZ34" i="9"/>
  <c r="CZ41" i="9"/>
  <c r="CZ39" i="9"/>
  <c r="CZ42" i="9"/>
  <c r="CZ40" i="9"/>
  <c r="CZ33" i="9"/>
  <c r="CZ35" i="9"/>
  <c r="CZ37" i="9"/>
  <c r="CZ30" i="9"/>
  <c r="CZ28" i="9"/>
  <c r="CZ26" i="9"/>
  <c r="CZ43" i="9"/>
  <c r="CZ32" i="9"/>
  <c r="CZ29" i="9"/>
  <c r="CZ38" i="9"/>
  <c r="CZ23" i="9"/>
  <c r="CZ21" i="9"/>
  <c r="CZ19" i="9"/>
  <c r="CZ17" i="9"/>
  <c r="CZ15" i="9"/>
  <c r="CZ13" i="9"/>
  <c r="CZ27" i="9"/>
  <c r="CZ25" i="9"/>
  <c r="CZ18" i="9"/>
  <c r="CZ31" i="9"/>
  <c r="CZ12" i="9"/>
  <c r="CZ16" i="9"/>
  <c r="CZ7" i="9"/>
  <c r="CZ6" i="9"/>
  <c r="CZ24" i="9"/>
  <c r="CZ11" i="9"/>
  <c r="CZ5" i="9"/>
  <c r="CZ4" i="9"/>
  <c r="CZ3" i="9"/>
  <c r="CZ22" i="9"/>
  <c r="CZ2" i="9"/>
  <c r="CZ9" i="9"/>
  <c r="CZ20" i="9"/>
  <c r="CZ14" i="9"/>
  <c r="CZ8" i="9"/>
  <c r="CZ10" i="9"/>
  <c r="FE149" i="7"/>
  <c r="FE151" i="7"/>
  <c r="FE150" i="7"/>
  <c r="M48" i="9"/>
  <c r="M47" i="9"/>
  <c r="M49" i="9"/>
  <c r="M46" i="9"/>
  <c r="M45" i="9"/>
  <c r="M43" i="9"/>
  <c r="M44" i="9"/>
  <c r="M41" i="9"/>
  <c r="M39" i="9"/>
  <c r="M40" i="9"/>
  <c r="M34" i="9"/>
  <c r="M32" i="9"/>
  <c r="M29" i="9"/>
  <c r="M28" i="9"/>
  <c r="M37" i="9"/>
  <c r="M42" i="9"/>
  <c r="M38" i="9"/>
  <c r="M35" i="9"/>
  <c r="M36" i="9"/>
  <c r="M33" i="9"/>
  <c r="M31" i="9"/>
  <c r="M24" i="9"/>
  <c r="M23" i="9"/>
  <c r="M18" i="9"/>
  <c r="M14" i="9"/>
  <c r="M27" i="9"/>
  <c r="M30" i="9"/>
  <c r="M25" i="9"/>
  <c r="M20" i="9"/>
  <c r="M12" i="9"/>
  <c r="M10" i="9"/>
  <c r="M6" i="9"/>
  <c r="M5" i="9"/>
  <c r="M4" i="9"/>
  <c r="M2" i="9"/>
  <c r="M21" i="9"/>
  <c r="M11" i="9"/>
  <c r="M22" i="9"/>
  <c r="M26" i="9"/>
  <c r="M9" i="9"/>
  <c r="M16" i="9"/>
  <c r="M8" i="9"/>
  <c r="M19" i="9"/>
  <c r="M17" i="9"/>
  <c r="M15" i="9"/>
  <c r="M7" i="9"/>
  <c r="M13" i="9"/>
  <c r="M3" i="9"/>
  <c r="E150" i="7"/>
  <c r="E149" i="7"/>
  <c r="E151" i="7"/>
  <c r="HS151" i="7"/>
  <c r="HS149" i="7"/>
  <c r="HS150" i="7"/>
  <c r="HS54" i="8"/>
  <c r="HS53" i="8"/>
  <c r="HS46" i="8"/>
  <c r="HS44" i="8"/>
  <c r="HS42" i="8"/>
  <c r="HS40" i="8"/>
  <c r="HS55" i="8"/>
  <c r="HS36" i="8"/>
  <c r="HS45" i="8"/>
  <c r="HS38" i="8"/>
  <c r="HS48" i="8"/>
  <c r="HS39" i="8"/>
  <c r="HS30" i="8"/>
  <c r="HS35" i="8"/>
  <c r="HS28" i="8"/>
  <c r="HS25" i="8"/>
  <c r="HS47" i="8"/>
  <c r="HS41" i="8"/>
  <c r="HS49" i="8"/>
  <c r="HS43" i="8"/>
  <c r="HS20" i="8"/>
  <c r="HS18" i="8"/>
  <c r="HS16" i="8"/>
  <c r="HS14" i="8"/>
  <c r="HS12" i="8"/>
  <c r="HS10" i="8"/>
  <c r="HS8" i="8"/>
  <c r="HS6" i="8"/>
  <c r="HS4" i="8"/>
  <c r="HS37" i="8"/>
  <c r="HS23" i="8"/>
  <c r="HS15" i="8"/>
  <c r="HS2" i="8"/>
  <c r="HS29" i="8"/>
  <c r="HS9" i="8"/>
  <c r="HS31" i="8"/>
  <c r="HS32" i="8"/>
  <c r="HS11" i="8"/>
  <c r="HS24" i="8"/>
  <c r="HS19" i="8"/>
  <c r="HS33" i="8"/>
  <c r="HS3" i="8"/>
  <c r="HS26" i="8"/>
  <c r="HS13" i="8"/>
  <c r="HS34" i="8"/>
  <c r="HS21" i="8"/>
  <c r="HS7" i="8"/>
  <c r="HS27" i="8"/>
  <c r="HS5" i="8"/>
  <c r="HS17" i="8"/>
  <c r="HS22" i="8"/>
  <c r="BW44" i="8"/>
  <c r="BW42" i="8"/>
  <c r="BW40" i="8"/>
  <c r="BW45" i="8"/>
  <c r="BW38" i="8"/>
  <c r="BW49" i="8"/>
  <c r="BW39" i="8"/>
  <c r="BW41" i="8"/>
  <c r="BW43" i="8"/>
  <c r="BW36" i="8"/>
  <c r="BW35" i="8"/>
  <c r="BW46" i="8"/>
  <c r="BW34" i="8"/>
  <c r="BW30" i="8"/>
  <c r="BW27" i="8"/>
  <c r="BW24" i="8"/>
  <c r="BW48" i="8"/>
  <c r="BW31" i="8"/>
  <c r="BW22" i="8"/>
  <c r="BW20" i="8"/>
  <c r="BW18" i="8"/>
  <c r="BW16" i="8"/>
  <c r="BW14" i="8"/>
  <c r="BW12" i="8"/>
  <c r="BW10" i="8"/>
  <c r="BW8" i="8"/>
  <c r="BW6" i="8"/>
  <c r="BW4" i="8"/>
  <c r="BW29" i="8"/>
  <c r="BW9" i="8"/>
  <c r="BW47" i="8"/>
  <c r="BW32" i="8"/>
  <c r="BW19" i="8"/>
  <c r="BW33" i="8"/>
  <c r="BW37" i="8"/>
  <c r="BW21" i="8"/>
  <c r="BW5" i="8"/>
  <c r="BW28" i="8"/>
  <c r="BW15" i="8"/>
  <c r="BW23" i="8"/>
  <c r="BW3" i="8"/>
  <c r="BW25" i="8"/>
  <c r="BW17" i="8"/>
  <c r="BW11" i="8"/>
  <c r="BW13" i="8"/>
  <c r="BW2" i="8"/>
  <c r="BW26" i="8"/>
  <c r="BW7" i="8"/>
  <c r="HR149" i="7"/>
  <c r="HR151" i="7"/>
  <c r="HR150" i="7"/>
  <c r="EX53" i="8"/>
  <c r="EX47" i="8"/>
  <c r="EX46" i="8"/>
  <c r="EX39" i="8"/>
  <c r="EX35" i="8"/>
  <c r="EX33" i="8"/>
  <c r="EX31" i="8"/>
  <c r="EX29" i="8"/>
  <c r="EX27" i="8"/>
  <c r="EX25" i="8"/>
  <c r="EX23" i="8"/>
  <c r="EX48" i="8"/>
  <c r="EX44" i="8"/>
  <c r="EX37" i="8"/>
  <c r="EX55" i="8"/>
  <c r="EX54" i="8"/>
  <c r="EX41" i="8"/>
  <c r="EX34" i="8"/>
  <c r="EX28" i="8"/>
  <c r="EX43" i="8"/>
  <c r="EX42" i="8"/>
  <c r="EX49" i="8"/>
  <c r="EX45" i="8"/>
  <c r="EX36" i="8"/>
  <c r="EX30" i="8"/>
  <c r="EX19" i="8"/>
  <c r="EX14" i="8"/>
  <c r="EX26" i="8"/>
  <c r="EX13" i="8"/>
  <c r="EX8" i="8"/>
  <c r="EX3" i="8"/>
  <c r="EX32" i="8"/>
  <c r="EX38" i="8"/>
  <c r="EX40" i="8"/>
  <c r="EX15" i="8"/>
  <c r="EX10" i="8"/>
  <c r="EX21" i="8"/>
  <c r="EX7" i="8"/>
  <c r="EX6" i="8"/>
  <c r="EX22" i="8"/>
  <c r="EX17" i="8"/>
  <c r="EX16" i="8"/>
  <c r="EX9" i="8"/>
  <c r="EX18" i="8"/>
  <c r="EX11" i="8"/>
  <c r="EX24" i="8"/>
  <c r="EX12" i="8"/>
  <c r="EX4" i="8"/>
  <c r="EX2" i="8"/>
  <c r="EX5" i="8"/>
  <c r="EX20" i="8"/>
  <c r="BF47" i="8"/>
  <c r="BF46" i="8"/>
  <c r="BF42" i="8"/>
  <c r="BF35" i="8"/>
  <c r="BF33" i="8"/>
  <c r="BF31" i="8"/>
  <c r="BF29" i="8"/>
  <c r="BF27" i="8"/>
  <c r="BF25" i="8"/>
  <c r="BF23" i="8"/>
  <c r="BF49" i="8"/>
  <c r="BF41" i="8"/>
  <c r="BF37" i="8"/>
  <c r="BF48" i="8"/>
  <c r="BF43" i="8"/>
  <c r="BF28" i="8"/>
  <c r="BF24" i="8"/>
  <c r="BF45" i="8"/>
  <c r="BF44" i="8"/>
  <c r="BF38" i="8"/>
  <c r="BF36" i="8"/>
  <c r="BF40" i="8"/>
  <c r="BF30" i="8"/>
  <c r="BF39" i="8"/>
  <c r="BF32" i="8"/>
  <c r="BF22" i="8"/>
  <c r="BF11" i="8"/>
  <c r="BF6" i="8"/>
  <c r="BF21" i="8"/>
  <c r="BF16" i="8"/>
  <c r="BF5" i="8"/>
  <c r="BF3" i="8"/>
  <c r="BF34" i="8"/>
  <c r="BF26" i="8"/>
  <c r="BF18" i="8"/>
  <c r="BF7" i="8"/>
  <c r="BF9" i="8"/>
  <c r="BF8" i="8"/>
  <c r="BF17" i="8"/>
  <c r="BF10" i="8"/>
  <c r="BF19" i="8"/>
  <c r="BF20" i="8"/>
  <c r="BF12" i="8"/>
  <c r="BF13" i="8"/>
  <c r="BF15" i="8"/>
  <c r="BF14" i="8"/>
  <c r="BF4" i="8"/>
  <c r="BF2" i="8"/>
  <c r="BF49" i="9"/>
  <c r="BF47" i="9"/>
  <c r="BF46" i="9"/>
  <c r="BF45" i="9"/>
  <c r="BF44" i="9"/>
  <c r="BF48" i="9"/>
  <c r="BF42" i="9"/>
  <c r="BF38" i="9"/>
  <c r="BF43" i="9"/>
  <c r="BF39" i="9"/>
  <c r="BF40" i="9"/>
  <c r="BF36" i="9"/>
  <c r="BF34" i="9"/>
  <c r="BF30" i="9"/>
  <c r="BF33" i="9"/>
  <c r="BF29" i="9"/>
  <c r="BF28" i="9"/>
  <c r="BF26" i="9"/>
  <c r="BF35" i="9"/>
  <c r="BF25" i="9"/>
  <c r="BF41" i="9"/>
  <c r="BF37" i="9"/>
  <c r="BF23" i="9"/>
  <c r="BF21" i="9"/>
  <c r="BF19" i="9"/>
  <c r="BF17" i="9"/>
  <c r="BF15" i="9"/>
  <c r="BF32" i="9"/>
  <c r="BF20" i="9"/>
  <c r="BF12" i="9"/>
  <c r="BF10" i="9"/>
  <c r="BF8" i="9"/>
  <c r="BF6" i="9"/>
  <c r="BF27" i="9"/>
  <c r="BF31" i="9"/>
  <c r="BF22" i="9"/>
  <c r="BF14" i="9"/>
  <c r="BF7" i="9"/>
  <c r="BF5" i="9"/>
  <c r="BF24" i="9"/>
  <c r="BF11" i="9"/>
  <c r="BF4" i="9"/>
  <c r="BF18" i="9"/>
  <c r="BF9" i="9"/>
  <c r="BF13" i="9"/>
  <c r="BF16" i="9"/>
  <c r="BF2" i="9"/>
  <c r="BF3" i="9"/>
  <c r="AP49" i="8"/>
  <c r="AP46" i="8"/>
  <c r="AP48" i="8"/>
  <c r="AP43" i="8"/>
  <c r="AP36" i="8"/>
  <c r="AP35" i="8"/>
  <c r="AP33" i="8"/>
  <c r="AP31" i="8"/>
  <c r="AP29" i="8"/>
  <c r="AP27" i="8"/>
  <c r="AP25" i="8"/>
  <c r="AP23" i="8"/>
  <c r="AP38" i="8"/>
  <c r="AP47" i="8"/>
  <c r="AP39" i="8"/>
  <c r="AP45" i="8"/>
  <c r="AP32" i="8"/>
  <c r="AP41" i="8"/>
  <c r="AP40" i="8"/>
  <c r="AP42" i="8"/>
  <c r="AP34" i="8"/>
  <c r="AP26" i="8"/>
  <c r="AP24" i="8"/>
  <c r="AP18" i="8"/>
  <c r="AP7" i="8"/>
  <c r="AP30" i="8"/>
  <c r="AP17" i="8"/>
  <c r="AP12" i="8"/>
  <c r="AP4" i="8"/>
  <c r="AP44" i="8"/>
  <c r="AP19" i="8"/>
  <c r="AP14" i="8"/>
  <c r="AP11" i="8"/>
  <c r="AP10" i="8"/>
  <c r="AP3" i="8"/>
  <c r="AP28" i="8"/>
  <c r="AP21" i="8"/>
  <c r="AP20" i="8"/>
  <c r="AP13" i="8"/>
  <c r="AP22" i="8"/>
  <c r="AP15" i="8"/>
  <c r="AP37" i="8"/>
  <c r="AP16" i="8"/>
  <c r="AP8" i="8"/>
  <c r="AP2" i="8"/>
  <c r="AP6" i="8"/>
  <c r="AP9" i="8"/>
  <c r="AP5" i="8"/>
  <c r="GK55" i="9"/>
  <c r="GK53" i="9"/>
  <c r="GK47" i="9"/>
  <c r="GK54" i="9"/>
  <c r="GK48" i="9"/>
  <c r="GK44" i="9"/>
  <c r="GK42" i="9"/>
  <c r="GK49" i="9"/>
  <c r="GK41" i="9"/>
  <c r="GK40" i="9"/>
  <c r="GK39" i="9"/>
  <c r="GK45" i="9"/>
  <c r="GK46" i="9"/>
  <c r="GK34" i="9"/>
  <c r="GK33" i="9"/>
  <c r="GK38" i="9"/>
  <c r="GK35" i="9"/>
  <c r="GK31" i="9"/>
  <c r="GK32" i="9"/>
  <c r="GK28" i="9"/>
  <c r="GK27" i="9"/>
  <c r="GK36" i="9"/>
  <c r="GK43" i="9"/>
  <c r="GK37" i="9"/>
  <c r="GK18" i="9"/>
  <c r="GK30" i="9"/>
  <c r="GK23" i="9"/>
  <c r="GK14" i="9"/>
  <c r="GK29" i="9"/>
  <c r="GK26" i="9"/>
  <c r="GK11" i="9"/>
  <c r="GK9" i="9"/>
  <c r="GK13" i="9"/>
  <c r="GK3" i="9"/>
  <c r="GK19" i="9"/>
  <c r="GK20" i="9"/>
  <c r="GK22" i="9"/>
  <c r="GK21" i="9"/>
  <c r="GK25" i="9"/>
  <c r="GK24" i="9"/>
  <c r="GK17" i="9"/>
  <c r="GK2" i="9"/>
  <c r="GK7" i="9"/>
  <c r="GK12" i="9"/>
  <c r="GK10" i="9"/>
  <c r="GK15" i="9"/>
  <c r="GK16" i="9"/>
  <c r="GK4" i="9"/>
  <c r="GK8" i="9"/>
  <c r="GK6" i="9"/>
  <c r="GK5" i="9"/>
  <c r="EO151" i="7"/>
  <c r="EO149" i="7"/>
  <c r="EO150" i="7"/>
  <c r="EO54" i="8"/>
  <c r="EO48" i="8"/>
  <c r="EO46" i="8"/>
  <c r="EO44" i="8"/>
  <c r="EO42" i="8"/>
  <c r="EO40" i="8"/>
  <c r="EO38" i="8"/>
  <c r="EO36" i="8"/>
  <c r="EO55" i="8"/>
  <c r="EO49" i="8"/>
  <c r="EO43" i="8"/>
  <c r="EO37" i="8"/>
  <c r="EO35" i="8"/>
  <c r="EO33" i="8"/>
  <c r="EO31" i="8"/>
  <c r="EO29" i="8"/>
  <c r="EO27" i="8"/>
  <c r="EO25" i="8"/>
  <c r="EO53" i="8"/>
  <c r="EO39" i="8"/>
  <c r="EO45" i="8"/>
  <c r="EO22" i="8"/>
  <c r="EO20" i="8"/>
  <c r="EO18" i="8"/>
  <c r="EO16" i="8"/>
  <c r="EO14" i="8"/>
  <c r="EO12" i="8"/>
  <c r="EO10" i="8"/>
  <c r="EO8" i="8"/>
  <c r="EO6" i="8"/>
  <c r="EO4" i="8"/>
  <c r="EO2" i="8"/>
  <c r="EO32" i="8"/>
  <c r="EO26" i="8"/>
  <c r="EO47" i="8"/>
  <c r="EO41" i="8"/>
  <c r="EO34" i="8"/>
  <c r="EO7" i="8"/>
  <c r="EO3" i="8"/>
  <c r="EO24" i="8"/>
  <c r="EO17" i="8"/>
  <c r="EO30" i="8"/>
  <c r="EO19" i="8"/>
  <c r="EO11" i="8"/>
  <c r="EO23" i="8"/>
  <c r="EO21" i="8"/>
  <c r="EO13" i="8"/>
  <c r="EO28" i="8"/>
  <c r="EO15" i="8"/>
  <c r="EO5" i="8"/>
  <c r="EO9" i="8"/>
  <c r="BM49" i="9"/>
  <c r="BM47" i="9"/>
  <c r="BM48" i="9"/>
  <c r="BM44" i="9"/>
  <c r="BM42" i="9"/>
  <c r="BM41" i="9"/>
  <c r="BM45" i="9"/>
  <c r="BM40" i="9"/>
  <c r="BM38" i="9"/>
  <c r="BM43" i="9"/>
  <c r="BM39" i="9"/>
  <c r="BM34" i="9"/>
  <c r="BM46" i="9"/>
  <c r="BM33" i="9"/>
  <c r="BM35" i="9"/>
  <c r="BM32" i="9"/>
  <c r="BM31" i="9"/>
  <c r="BM29" i="9"/>
  <c r="BM28" i="9"/>
  <c r="BM27" i="9"/>
  <c r="BM36" i="9"/>
  <c r="BM37" i="9"/>
  <c r="BM26" i="9"/>
  <c r="BM25" i="9"/>
  <c r="BM18" i="9"/>
  <c r="BM23" i="9"/>
  <c r="BM14" i="9"/>
  <c r="BM30" i="9"/>
  <c r="BM11" i="9"/>
  <c r="BM24" i="9"/>
  <c r="BM17" i="9"/>
  <c r="BM12" i="9"/>
  <c r="BM9" i="9"/>
  <c r="BM3" i="9"/>
  <c r="BM19" i="9"/>
  <c r="BM21" i="9"/>
  <c r="BM8" i="9"/>
  <c r="BM2" i="9"/>
  <c r="BM20" i="9"/>
  <c r="BM5" i="9"/>
  <c r="BM15" i="9"/>
  <c r="BM16" i="9"/>
  <c r="BM22" i="9"/>
  <c r="BM13" i="9"/>
  <c r="BM6" i="9"/>
  <c r="BM4" i="9"/>
  <c r="BM10" i="9"/>
  <c r="BM7" i="9"/>
  <c r="GB54" i="8"/>
  <c r="GB48" i="8"/>
  <c r="GB47" i="8"/>
  <c r="GB55" i="8"/>
  <c r="GB44" i="8"/>
  <c r="GB42" i="8"/>
  <c r="GB40" i="8"/>
  <c r="GB38" i="8"/>
  <c r="GB36" i="8"/>
  <c r="GB49" i="8"/>
  <c r="GB43" i="8"/>
  <c r="GB39" i="8"/>
  <c r="GB34" i="8"/>
  <c r="GB32" i="8"/>
  <c r="GB30" i="8"/>
  <c r="GB25" i="8"/>
  <c r="GB53" i="8"/>
  <c r="GB45" i="8"/>
  <c r="GB31" i="8"/>
  <c r="GB20" i="8"/>
  <c r="GB18" i="8"/>
  <c r="GB16" i="8"/>
  <c r="GB14" i="8"/>
  <c r="GB12" i="8"/>
  <c r="GB10" i="8"/>
  <c r="GB8" i="8"/>
  <c r="GB6" i="8"/>
  <c r="GB4" i="8"/>
  <c r="GB2" i="8"/>
  <c r="GB46" i="8"/>
  <c r="GB41" i="8"/>
  <c r="GB33" i="8"/>
  <c r="GB27" i="8"/>
  <c r="GB24" i="8"/>
  <c r="GB7" i="8"/>
  <c r="GB35" i="8"/>
  <c r="GB28" i="8"/>
  <c r="GB17" i="8"/>
  <c r="GB37" i="8"/>
  <c r="GB29" i="8"/>
  <c r="GB23" i="8"/>
  <c r="GB19" i="8"/>
  <c r="GB9" i="8"/>
  <c r="GB11" i="8"/>
  <c r="GB21" i="8"/>
  <c r="GB13" i="8"/>
  <c r="GB22" i="8"/>
  <c r="GB15" i="8"/>
  <c r="GB3" i="8"/>
  <c r="GB5" i="8"/>
  <c r="GB26" i="8"/>
  <c r="CR151" i="7"/>
  <c r="CR150" i="7"/>
  <c r="CR149" i="7"/>
  <c r="CR55" i="9"/>
  <c r="CR53" i="9"/>
  <c r="CR48" i="9"/>
  <c r="CR46" i="9"/>
  <c r="CR49" i="9"/>
  <c r="CR45" i="9"/>
  <c r="CR43" i="9"/>
  <c r="CR47" i="9"/>
  <c r="CR42" i="9"/>
  <c r="CR54" i="9"/>
  <c r="CR40" i="9"/>
  <c r="CR38" i="9"/>
  <c r="CR36" i="9"/>
  <c r="CR34" i="9"/>
  <c r="CR44" i="9"/>
  <c r="CR39" i="9"/>
  <c r="CR37" i="9"/>
  <c r="CR33" i="9"/>
  <c r="CR28" i="9"/>
  <c r="CR26" i="9"/>
  <c r="CR35" i="9"/>
  <c r="CR30" i="9"/>
  <c r="CR25" i="9"/>
  <c r="CR23" i="9"/>
  <c r="CR21" i="9"/>
  <c r="CR19" i="9"/>
  <c r="CR17" i="9"/>
  <c r="CR15" i="9"/>
  <c r="CR13" i="9"/>
  <c r="CR32" i="9"/>
  <c r="CR27" i="9"/>
  <c r="CR16" i="9"/>
  <c r="CR29" i="9"/>
  <c r="CR41" i="9"/>
  <c r="CR31" i="9"/>
  <c r="CR5" i="9"/>
  <c r="CR4" i="9"/>
  <c r="CR9" i="9"/>
  <c r="CR3" i="9"/>
  <c r="CR22" i="9"/>
  <c r="CR18" i="9"/>
  <c r="CR11" i="9"/>
  <c r="CR14" i="9"/>
  <c r="CR10" i="9"/>
  <c r="CR20" i="9"/>
  <c r="CR24" i="9"/>
  <c r="CR12" i="9"/>
  <c r="CR8" i="9"/>
  <c r="CR7" i="9"/>
  <c r="CR2" i="9"/>
  <c r="CR6" i="9"/>
  <c r="HJ151" i="7"/>
  <c r="HJ149" i="7"/>
  <c r="HJ150" i="7"/>
  <c r="IR150" i="7"/>
  <c r="IR149" i="7"/>
  <c r="IR151" i="7"/>
  <c r="IJ54" i="9"/>
  <c r="IJ53" i="9"/>
  <c r="IJ55" i="9"/>
  <c r="IJ47" i="9"/>
  <c r="IJ45" i="9"/>
  <c r="IJ46" i="9"/>
  <c r="IJ49" i="9"/>
  <c r="IJ48" i="9"/>
  <c r="IJ44" i="9"/>
  <c r="IJ43" i="9"/>
  <c r="IJ41" i="9"/>
  <c r="IJ42" i="9"/>
  <c r="IJ37" i="9"/>
  <c r="IJ35" i="9"/>
  <c r="IJ33" i="9"/>
  <c r="IJ40" i="9"/>
  <c r="IJ34" i="9"/>
  <c r="IJ38" i="9"/>
  <c r="IJ39" i="9"/>
  <c r="IJ30" i="9"/>
  <c r="IJ27" i="9"/>
  <c r="IJ25" i="9"/>
  <c r="IJ36" i="9"/>
  <c r="IJ31" i="9"/>
  <c r="IJ24" i="9"/>
  <c r="IJ22" i="9"/>
  <c r="IJ20" i="9"/>
  <c r="IJ18" i="9"/>
  <c r="IJ16" i="9"/>
  <c r="IJ14" i="9"/>
  <c r="IJ12" i="9"/>
  <c r="IJ32" i="9"/>
  <c r="IJ28" i="9"/>
  <c r="IJ13" i="9"/>
  <c r="IJ23" i="9"/>
  <c r="IJ29" i="9"/>
  <c r="IJ15" i="9"/>
  <c r="IJ11" i="9"/>
  <c r="IJ2" i="9"/>
  <c r="IJ26" i="9"/>
  <c r="IJ6" i="9"/>
  <c r="IJ5" i="9"/>
  <c r="IJ19" i="9"/>
  <c r="IJ7" i="9"/>
  <c r="IJ17" i="9"/>
  <c r="IJ21" i="9"/>
  <c r="IJ9" i="9"/>
  <c r="IJ10" i="9"/>
  <c r="IJ3" i="9"/>
  <c r="IJ8" i="9"/>
  <c r="IJ4" i="9"/>
  <c r="GV150" i="7"/>
  <c r="GV149" i="7"/>
  <c r="GV151" i="7"/>
  <c r="GF55" i="8"/>
  <c r="GF53" i="8"/>
  <c r="GF49" i="8"/>
  <c r="GF47" i="8"/>
  <c r="GF54" i="8"/>
  <c r="GF48" i="8"/>
  <c r="GF46" i="8"/>
  <c r="GF45" i="8"/>
  <c r="GF43" i="8"/>
  <c r="GF41" i="8"/>
  <c r="GF39" i="8"/>
  <c r="GF37" i="8"/>
  <c r="GF35" i="8"/>
  <c r="GF33" i="8"/>
  <c r="GF31" i="8"/>
  <c r="GF26" i="8"/>
  <c r="GF40" i="8"/>
  <c r="GF21" i="8"/>
  <c r="GF19" i="8"/>
  <c r="GF17" i="8"/>
  <c r="GF15" i="8"/>
  <c r="GF13" i="8"/>
  <c r="GF11" i="8"/>
  <c r="GF9" i="8"/>
  <c r="GF7" i="8"/>
  <c r="GF5" i="8"/>
  <c r="GF3" i="8"/>
  <c r="GF42" i="8"/>
  <c r="GF44" i="8"/>
  <c r="GF36" i="8"/>
  <c r="GF28" i="8"/>
  <c r="GF25" i="8"/>
  <c r="GF38" i="8"/>
  <c r="GF22" i="8"/>
  <c r="GF16" i="8"/>
  <c r="GF10" i="8"/>
  <c r="GF29" i="8"/>
  <c r="GF32" i="8"/>
  <c r="GF34" i="8"/>
  <c r="GF12" i="8"/>
  <c r="GF18" i="8"/>
  <c r="GF4" i="8"/>
  <c r="GF20" i="8"/>
  <c r="GF27" i="8"/>
  <c r="GF24" i="8"/>
  <c r="GF14" i="8"/>
  <c r="GF6" i="8"/>
  <c r="GF30" i="8"/>
  <c r="GF23" i="8"/>
  <c r="GF8" i="8"/>
  <c r="GF2" i="8"/>
  <c r="FX55" i="8"/>
  <c r="FX53" i="8"/>
  <c r="FX49" i="8"/>
  <c r="FX47" i="8"/>
  <c r="FX45" i="8"/>
  <c r="FX43" i="8"/>
  <c r="FX41" i="8"/>
  <c r="FX39" i="8"/>
  <c r="FX37" i="8"/>
  <c r="FX48" i="8"/>
  <c r="FX44" i="8"/>
  <c r="FX38" i="8"/>
  <c r="FX54" i="8"/>
  <c r="FX46" i="8"/>
  <c r="FX35" i="8"/>
  <c r="FX33" i="8"/>
  <c r="FX31" i="8"/>
  <c r="FX29" i="8"/>
  <c r="FX24" i="8"/>
  <c r="FX36" i="8"/>
  <c r="FX21" i="8"/>
  <c r="FX19" i="8"/>
  <c r="FX17" i="8"/>
  <c r="FX15" i="8"/>
  <c r="FX13" i="8"/>
  <c r="FX11" i="8"/>
  <c r="FX9" i="8"/>
  <c r="FX7" i="8"/>
  <c r="FX5" i="8"/>
  <c r="FX3" i="8"/>
  <c r="FX40" i="8"/>
  <c r="FX26" i="8"/>
  <c r="FX23" i="8"/>
  <c r="FX22" i="8"/>
  <c r="FX30" i="8"/>
  <c r="FX27" i="8"/>
  <c r="FX14" i="8"/>
  <c r="FX8" i="8"/>
  <c r="FX34" i="8"/>
  <c r="FX28" i="8"/>
  <c r="FX10" i="8"/>
  <c r="FX32" i="8"/>
  <c r="FX16" i="8"/>
  <c r="FX18" i="8"/>
  <c r="FX25" i="8"/>
  <c r="FX12" i="8"/>
  <c r="FX20" i="8"/>
  <c r="FX42" i="8"/>
  <c r="FX6" i="8"/>
  <c r="FX4" i="8"/>
  <c r="FX2" i="8"/>
  <c r="ER150" i="7"/>
  <c r="ER149" i="7"/>
  <c r="ER151" i="7"/>
  <c r="ER55" i="8"/>
  <c r="ER53" i="8"/>
  <c r="ER49" i="8"/>
  <c r="ER47" i="8"/>
  <c r="ER54" i="8"/>
  <c r="ER45" i="8"/>
  <c r="ER43" i="8"/>
  <c r="ER41" i="8"/>
  <c r="ER39" i="8"/>
  <c r="ER37" i="8"/>
  <c r="ER48" i="8"/>
  <c r="ER42" i="8"/>
  <c r="ER38" i="8"/>
  <c r="ER35" i="8"/>
  <c r="ER33" i="8"/>
  <c r="ER31" i="8"/>
  <c r="ER46" i="8"/>
  <c r="ER36" i="8"/>
  <c r="ER29" i="8"/>
  <c r="ER40" i="8"/>
  <c r="ER24" i="8"/>
  <c r="ER21" i="8"/>
  <c r="ER19" i="8"/>
  <c r="ER17" i="8"/>
  <c r="ER15" i="8"/>
  <c r="ER13" i="8"/>
  <c r="ER11" i="8"/>
  <c r="ER9" i="8"/>
  <c r="ER7" i="8"/>
  <c r="ER5" i="8"/>
  <c r="ER3" i="8"/>
  <c r="ER44" i="8"/>
  <c r="ER32" i="8"/>
  <c r="ER26" i="8"/>
  <c r="ER22" i="8"/>
  <c r="ER6" i="8"/>
  <c r="ER16" i="8"/>
  <c r="ER28" i="8"/>
  <c r="ER34" i="8"/>
  <c r="ER18" i="8"/>
  <c r="ER23" i="8"/>
  <c r="ER4" i="8"/>
  <c r="ER30" i="8"/>
  <c r="ER20" i="8"/>
  <c r="ER12" i="8"/>
  <c r="ER14" i="8"/>
  <c r="ER25" i="8"/>
  <c r="ER8" i="8"/>
  <c r="ER27" i="8"/>
  <c r="ER10" i="8"/>
  <c r="ER2" i="8"/>
  <c r="EJ55" i="8"/>
  <c r="EJ53" i="8"/>
  <c r="EJ49" i="8"/>
  <c r="EJ47" i="8"/>
  <c r="EJ45" i="8"/>
  <c r="EJ43" i="8"/>
  <c r="EJ41" i="8"/>
  <c r="EJ39" i="8"/>
  <c r="EJ37" i="8"/>
  <c r="EJ54" i="8"/>
  <c r="EJ48" i="8"/>
  <c r="EJ40" i="8"/>
  <c r="EJ35" i="8"/>
  <c r="EJ33" i="8"/>
  <c r="EJ31" i="8"/>
  <c r="EJ44" i="8"/>
  <c r="EJ34" i="8"/>
  <c r="EJ30" i="8"/>
  <c r="EJ27" i="8"/>
  <c r="EJ24" i="8"/>
  <c r="EJ23" i="8"/>
  <c r="EJ21" i="8"/>
  <c r="EJ19" i="8"/>
  <c r="EJ17" i="8"/>
  <c r="EJ15" i="8"/>
  <c r="EJ13" i="8"/>
  <c r="EJ11" i="8"/>
  <c r="EJ9" i="8"/>
  <c r="EJ7" i="8"/>
  <c r="EJ5" i="8"/>
  <c r="EJ3" i="8"/>
  <c r="EJ46" i="8"/>
  <c r="EJ29" i="8"/>
  <c r="EJ26" i="8"/>
  <c r="EJ20" i="8"/>
  <c r="EJ4" i="8"/>
  <c r="EJ42" i="8"/>
  <c r="EJ14" i="8"/>
  <c r="EJ2" i="8"/>
  <c r="EJ36" i="8"/>
  <c r="EJ38" i="8"/>
  <c r="EJ16" i="8"/>
  <c r="EJ18" i="8"/>
  <c r="EJ10" i="8"/>
  <c r="EJ32" i="8"/>
  <c r="EJ12" i="8"/>
  <c r="EJ28" i="8"/>
  <c r="EJ6" i="8"/>
  <c r="EJ25" i="8"/>
  <c r="EJ22" i="8"/>
  <c r="EJ8" i="8"/>
  <c r="EB55" i="8"/>
  <c r="EB53" i="8"/>
  <c r="EB49" i="8"/>
  <c r="EB47" i="8"/>
  <c r="EB46" i="8"/>
  <c r="EB45" i="8"/>
  <c r="EB43" i="8"/>
  <c r="EB41" i="8"/>
  <c r="EB39" i="8"/>
  <c r="EB37" i="8"/>
  <c r="EB36" i="8"/>
  <c r="EB54" i="8"/>
  <c r="EB35" i="8"/>
  <c r="EB33" i="8"/>
  <c r="EB31" i="8"/>
  <c r="EB40" i="8"/>
  <c r="EB32" i="8"/>
  <c r="EB28" i="8"/>
  <c r="EB25" i="8"/>
  <c r="EB23" i="8"/>
  <c r="EB42" i="8"/>
  <c r="EB21" i="8"/>
  <c r="EB19" i="8"/>
  <c r="EB17" i="8"/>
  <c r="EB15" i="8"/>
  <c r="EB13" i="8"/>
  <c r="EB11" i="8"/>
  <c r="EB9" i="8"/>
  <c r="EB7" i="8"/>
  <c r="EB5" i="8"/>
  <c r="EB3" i="8"/>
  <c r="EB48" i="8"/>
  <c r="EB44" i="8"/>
  <c r="EB38" i="8"/>
  <c r="EB30" i="8"/>
  <c r="EB27" i="8"/>
  <c r="EB24" i="8"/>
  <c r="EB18" i="8"/>
  <c r="EB12" i="8"/>
  <c r="EB34" i="8"/>
  <c r="EB14" i="8"/>
  <c r="EB20" i="8"/>
  <c r="EB6" i="8"/>
  <c r="EB22" i="8"/>
  <c r="EB16" i="8"/>
  <c r="EB8" i="8"/>
  <c r="EB29" i="8"/>
  <c r="EB26" i="8"/>
  <c r="EB10" i="8"/>
  <c r="EB2" i="8"/>
  <c r="EB4" i="8"/>
  <c r="DD53" i="9"/>
  <c r="DD54" i="9"/>
  <c r="DD55" i="9"/>
  <c r="DD47" i="9"/>
  <c r="DD45" i="9"/>
  <c r="DD49" i="9"/>
  <c r="DD46" i="9"/>
  <c r="DD44" i="9"/>
  <c r="DD43" i="9"/>
  <c r="DD42" i="9"/>
  <c r="DD38" i="9"/>
  <c r="DD37" i="9"/>
  <c r="DD35" i="9"/>
  <c r="DD33" i="9"/>
  <c r="DD48" i="9"/>
  <c r="DD41" i="9"/>
  <c r="DD32" i="9"/>
  <c r="DD27" i="9"/>
  <c r="DD40" i="9"/>
  <c r="DD30" i="9"/>
  <c r="DD26" i="9"/>
  <c r="DD24" i="9"/>
  <c r="DD22" i="9"/>
  <c r="DD20" i="9"/>
  <c r="DD18" i="9"/>
  <c r="DD16" i="9"/>
  <c r="DD14" i="9"/>
  <c r="DD12" i="9"/>
  <c r="DD34" i="9"/>
  <c r="DD31" i="9"/>
  <c r="DD25" i="9"/>
  <c r="DD21" i="9"/>
  <c r="DD28" i="9"/>
  <c r="DD36" i="9"/>
  <c r="DD29" i="9"/>
  <c r="DD39" i="9"/>
  <c r="DD23" i="9"/>
  <c r="DD13" i="9"/>
  <c r="DD17" i="9"/>
  <c r="DD10" i="9"/>
  <c r="DD2" i="9"/>
  <c r="DD19" i="9"/>
  <c r="DD11" i="9"/>
  <c r="DD4" i="9"/>
  <c r="DD7" i="9"/>
  <c r="DD15" i="9"/>
  <c r="DD9" i="9"/>
  <c r="DD3" i="9"/>
  <c r="DD6" i="9"/>
  <c r="DD5" i="9"/>
  <c r="DD8" i="9"/>
  <c r="CV53" i="9"/>
  <c r="CV54" i="9"/>
  <c r="CV49" i="9"/>
  <c r="CV47" i="9"/>
  <c r="CV45" i="9"/>
  <c r="CV55" i="9"/>
  <c r="CV48" i="9"/>
  <c r="CV44" i="9"/>
  <c r="CV42" i="9"/>
  <c r="CV39" i="9"/>
  <c r="CV37" i="9"/>
  <c r="CV35" i="9"/>
  <c r="CV33" i="9"/>
  <c r="CV46" i="9"/>
  <c r="CV38" i="9"/>
  <c r="CV41" i="9"/>
  <c r="CV32" i="9"/>
  <c r="CV27" i="9"/>
  <c r="CV36" i="9"/>
  <c r="CV29" i="9"/>
  <c r="CV34" i="9"/>
  <c r="CV40" i="9"/>
  <c r="CV24" i="9"/>
  <c r="CV22" i="9"/>
  <c r="CV20" i="9"/>
  <c r="CV18" i="9"/>
  <c r="CV16" i="9"/>
  <c r="CV14" i="9"/>
  <c r="CV12" i="9"/>
  <c r="CV31" i="9"/>
  <c r="CV43" i="9"/>
  <c r="CV19" i="9"/>
  <c r="CV30" i="9"/>
  <c r="CV28" i="9"/>
  <c r="CV25" i="9"/>
  <c r="CV21" i="9"/>
  <c r="CV23" i="9"/>
  <c r="CV15" i="9"/>
  <c r="CV2" i="9"/>
  <c r="CV11" i="9"/>
  <c r="CV10" i="9"/>
  <c r="CV8" i="9"/>
  <c r="CV3" i="9"/>
  <c r="CV13" i="9"/>
  <c r="CV26" i="9"/>
  <c r="CV17" i="9"/>
  <c r="CV5" i="9"/>
  <c r="CV9" i="9"/>
  <c r="CV7" i="9"/>
  <c r="CV6" i="9"/>
  <c r="CV4" i="9"/>
  <c r="CN55" i="9"/>
  <c r="CN54" i="9"/>
  <c r="CN49" i="9"/>
  <c r="CN53" i="9"/>
  <c r="CN47" i="9"/>
  <c r="CN45" i="9"/>
  <c r="CN46" i="9"/>
  <c r="CN48" i="9"/>
  <c r="CN42" i="9"/>
  <c r="CN41" i="9"/>
  <c r="CN40" i="9"/>
  <c r="CN44" i="9"/>
  <c r="CN37" i="9"/>
  <c r="CN35" i="9"/>
  <c r="CN33" i="9"/>
  <c r="CN38" i="9"/>
  <c r="CN32" i="9"/>
  <c r="CN43" i="9"/>
  <c r="CN29" i="9"/>
  <c r="CN27" i="9"/>
  <c r="CN31" i="9"/>
  <c r="CN24" i="9"/>
  <c r="CN22" i="9"/>
  <c r="CN20" i="9"/>
  <c r="CN18" i="9"/>
  <c r="CN16" i="9"/>
  <c r="CN14" i="9"/>
  <c r="CN12" i="9"/>
  <c r="CN39" i="9"/>
  <c r="CN36" i="9"/>
  <c r="CN34" i="9"/>
  <c r="CN30" i="9"/>
  <c r="CN28" i="9"/>
  <c r="CN23" i="9"/>
  <c r="CN17" i="9"/>
  <c r="CN19" i="9"/>
  <c r="CN11" i="9"/>
  <c r="CN26" i="9"/>
  <c r="CN25" i="9"/>
  <c r="CN8" i="9"/>
  <c r="CN2" i="9"/>
  <c r="CN21" i="9"/>
  <c r="CN13" i="9"/>
  <c r="CN10" i="9"/>
  <c r="CN15" i="9"/>
  <c r="CN9" i="9"/>
  <c r="CN4" i="9"/>
  <c r="CN3" i="9"/>
  <c r="CN6" i="9"/>
  <c r="CN5" i="9"/>
  <c r="CN7" i="9"/>
  <c r="CF54" i="9"/>
  <c r="CF53" i="9"/>
  <c r="CF55" i="9"/>
  <c r="CF47" i="9"/>
  <c r="CF45" i="9"/>
  <c r="CF43" i="9"/>
  <c r="CF42" i="9"/>
  <c r="CF41" i="9"/>
  <c r="CF48" i="9"/>
  <c r="CF46" i="9"/>
  <c r="CF49" i="9"/>
  <c r="CF44" i="9"/>
  <c r="CF40" i="9"/>
  <c r="CF37" i="9"/>
  <c r="CF35" i="9"/>
  <c r="CF33" i="9"/>
  <c r="CF38" i="9"/>
  <c r="CF36" i="9"/>
  <c r="CF30" i="9"/>
  <c r="CF27" i="9"/>
  <c r="CF32" i="9"/>
  <c r="CF31" i="9"/>
  <c r="CF34" i="9"/>
  <c r="CF24" i="9"/>
  <c r="CF22" i="9"/>
  <c r="CF20" i="9"/>
  <c r="CF18" i="9"/>
  <c r="CF16" i="9"/>
  <c r="CF14" i="9"/>
  <c r="CF12" i="9"/>
  <c r="CF29" i="9"/>
  <c r="CF39" i="9"/>
  <c r="CF21" i="9"/>
  <c r="CF13" i="9"/>
  <c r="CF26" i="9"/>
  <c r="CF15" i="9"/>
  <c r="CF28" i="9"/>
  <c r="CF25" i="9"/>
  <c r="CF17" i="9"/>
  <c r="CF23" i="9"/>
  <c r="CF9" i="9"/>
  <c r="CF7" i="9"/>
  <c r="CF2" i="9"/>
  <c r="CF19" i="9"/>
  <c r="CF8" i="9"/>
  <c r="CF10" i="9"/>
  <c r="CF5" i="9"/>
  <c r="CF6" i="9"/>
  <c r="CF3" i="9"/>
  <c r="CF4" i="9"/>
  <c r="CF11" i="9"/>
  <c r="BX49" i="9"/>
  <c r="BX47" i="9"/>
  <c r="BX48" i="9"/>
  <c r="BX45" i="9"/>
  <c r="BX46" i="9"/>
  <c r="BX41" i="9"/>
  <c r="BX42" i="9"/>
  <c r="BX38" i="9"/>
  <c r="BX37" i="9"/>
  <c r="BX35" i="9"/>
  <c r="BX33" i="9"/>
  <c r="BX39" i="9"/>
  <c r="BX34" i="9"/>
  <c r="BX36" i="9"/>
  <c r="BX40" i="9"/>
  <c r="BX27" i="9"/>
  <c r="BX44" i="9"/>
  <c r="BX30" i="9"/>
  <c r="BX29" i="9"/>
  <c r="BX24" i="9"/>
  <c r="BX22" i="9"/>
  <c r="BX20" i="9"/>
  <c r="BX18" i="9"/>
  <c r="BX16" i="9"/>
  <c r="BX14" i="9"/>
  <c r="BX12" i="9"/>
  <c r="BX28" i="9"/>
  <c r="BX43" i="9"/>
  <c r="BX32" i="9"/>
  <c r="BX31" i="9"/>
  <c r="BX19" i="9"/>
  <c r="BX15" i="9"/>
  <c r="BX13" i="9"/>
  <c r="BX7" i="9"/>
  <c r="BX21" i="9"/>
  <c r="BX6" i="9"/>
  <c r="BX5" i="9"/>
  <c r="BX2" i="9"/>
  <c r="BX23" i="9"/>
  <c r="BX26" i="9"/>
  <c r="BX25" i="9"/>
  <c r="BX3" i="9"/>
  <c r="BX11" i="9"/>
  <c r="BX10" i="9"/>
  <c r="BX17" i="9"/>
  <c r="BX9" i="9"/>
  <c r="BX4" i="9"/>
  <c r="BX8" i="9"/>
  <c r="BP49" i="8"/>
  <c r="BP47" i="8"/>
  <c r="BP46" i="8"/>
  <c r="BP45" i="8"/>
  <c r="BP43" i="8"/>
  <c r="BP41" i="8"/>
  <c r="BP39" i="8"/>
  <c r="BP37" i="8"/>
  <c r="BP48" i="8"/>
  <c r="BP36" i="8"/>
  <c r="BP35" i="8"/>
  <c r="BP33" i="8"/>
  <c r="BP31" i="8"/>
  <c r="BP32" i="8"/>
  <c r="BP28" i="8"/>
  <c r="BP25" i="8"/>
  <c r="BP23" i="8"/>
  <c r="BP40" i="8"/>
  <c r="BP21" i="8"/>
  <c r="BP19" i="8"/>
  <c r="BP17" i="8"/>
  <c r="BP15" i="8"/>
  <c r="BP13" i="8"/>
  <c r="BP11" i="8"/>
  <c r="BP9" i="8"/>
  <c r="BP7" i="8"/>
  <c r="BP5" i="8"/>
  <c r="BP3" i="8"/>
  <c r="BP42" i="8"/>
  <c r="BP44" i="8"/>
  <c r="BP30" i="8"/>
  <c r="BP27" i="8"/>
  <c r="BP18" i="8"/>
  <c r="BP26" i="8"/>
  <c r="BP12" i="8"/>
  <c r="BP29" i="8"/>
  <c r="BP38" i="8"/>
  <c r="BP34" i="8"/>
  <c r="BP14" i="8"/>
  <c r="BP4" i="8"/>
  <c r="BP20" i="8"/>
  <c r="BP6" i="8"/>
  <c r="BP22" i="8"/>
  <c r="BP24" i="8"/>
  <c r="BP16" i="8"/>
  <c r="BP8" i="8"/>
  <c r="BP10" i="8"/>
  <c r="BP2" i="8"/>
  <c r="JW54" i="8"/>
  <c r="JW48" i="8"/>
  <c r="JW44" i="8"/>
  <c r="JW42" i="8"/>
  <c r="JW40" i="8"/>
  <c r="JW38" i="8"/>
  <c r="JW53" i="8"/>
  <c r="JW37" i="8"/>
  <c r="JW55" i="8"/>
  <c r="JW45" i="8"/>
  <c r="JW43" i="8"/>
  <c r="JW46" i="8"/>
  <c r="JW36" i="8"/>
  <c r="JW33" i="8"/>
  <c r="JW26" i="8"/>
  <c r="JW47" i="8"/>
  <c r="JW39" i="8"/>
  <c r="JW49" i="8"/>
  <c r="JW41" i="8"/>
  <c r="JW20" i="8"/>
  <c r="JW18" i="8"/>
  <c r="JW16" i="8"/>
  <c r="JW14" i="8"/>
  <c r="JW12" i="8"/>
  <c r="JW10" i="8"/>
  <c r="JW8" i="8"/>
  <c r="JW6" i="8"/>
  <c r="JW4" i="8"/>
  <c r="JW13" i="8"/>
  <c r="JW3" i="8"/>
  <c r="JW27" i="8"/>
  <c r="JW23" i="8"/>
  <c r="JW7" i="8"/>
  <c r="JW34" i="8"/>
  <c r="JW28" i="8"/>
  <c r="JW35" i="8"/>
  <c r="JW30" i="8"/>
  <c r="JW29" i="8"/>
  <c r="JW9" i="8"/>
  <c r="JW2" i="8"/>
  <c r="JW24" i="8"/>
  <c r="JW17" i="8"/>
  <c r="JW31" i="8"/>
  <c r="JW11" i="8"/>
  <c r="JW19" i="8"/>
  <c r="JW32" i="8"/>
  <c r="JW22" i="8"/>
  <c r="JW25" i="8"/>
  <c r="JW21" i="8"/>
  <c r="JW5" i="8"/>
  <c r="JW15" i="8"/>
  <c r="JG53" i="9"/>
  <c r="JG54" i="9"/>
  <c r="JG48" i="9"/>
  <c r="JG45" i="9"/>
  <c r="JG49" i="9"/>
  <c r="JG42" i="9"/>
  <c r="JG40" i="9"/>
  <c r="JG41" i="9"/>
  <c r="JG39" i="9"/>
  <c r="JG38" i="9"/>
  <c r="JG46" i="9"/>
  <c r="JG44" i="9"/>
  <c r="JG37" i="9"/>
  <c r="JG35" i="9"/>
  <c r="JG33" i="9"/>
  <c r="JG47" i="9"/>
  <c r="JG30" i="9"/>
  <c r="JG28" i="9"/>
  <c r="JG43" i="9"/>
  <c r="JG55" i="9"/>
  <c r="JG36" i="9"/>
  <c r="JG27" i="9"/>
  <c r="JG25" i="9"/>
  <c r="JG31" i="9"/>
  <c r="JG29" i="9"/>
  <c r="JG24" i="9"/>
  <c r="JG22" i="9"/>
  <c r="JG20" i="9"/>
  <c r="JG18" i="9"/>
  <c r="JG16" i="9"/>
  <c r="JG14" i="9"/>
  <c r="JG12" i="9"/>
  <c r="JG34" i="9"/>
  <c r="JG32" i="9"/>
  <c r="JG10" i="9"/>
  <c r="JG8" i="9"/>
  <c r="JG19" i="9"/>
  <c r="JG26" i="9"/>
  <c r="JG21" i="9"/>
  <c r="JG23" i="9"/>
  <c r="JG15" i="9"/>
  <c r="JG9" i="9"/>
  <c r="JG3" i="9"/>
  <c r="JG2" i="9"/>
  <c r="JG13" i="9"/>
  <c r="JG17" i="9"/>
  <c r="JG7" i="9"/>
  <c r="JG4" i="9"/>
  <c r="JG11" i="9"/>
  <c r="JG6" i="9"/>
  <c r="JG5" i="9"/>
  <c r="IA55" i="9"/>
  <c r="IA54" i="9"/>
  <c r="IA53" i="9"/>
  <c r="IA46" i="9"/>
  <c r="IA45" i="9"/>
  <c r="IA48" i="9"/>
  <c r="IA42" i="9"/>
  <c r="IA40" i="9"/>
  <c r="IA49" i="9"/>
  <c r="IA43" i="9"/>
  <c r="IA47" i="9"/>
  <c r="IA38" i="9"/>
  <c r="IA39" i="9"/>
  <c r="IA37" i="9"/>
  <c r="IA35" i="9"/>
  <c r="IA33" i="9"/>
  <c r="IA44" i="9"/>
  <c r="IA30" i="9"/>
  <c r="IA28" i="9"/>
  <c r="IA32" i="9"/>
  <c r="IA34" i="9"/>
  <c r="IA31" i="9"/>
  <c r="IA27" i="9"/>
  <c r="IA25" i="9"/>
  <c r="IA41" i="9"/>
  <c r="IA36" i="9"/>
  <c r="IA29" i="9"/>
  <c r="IA26" i="9"/>
  <c r="IA24" i="9"/>
  <c r="IA22" i="9"/>
  <c r="IA20" i="9"/>
  <c r="IA18" i="9"/>
  <c r="IA16" i="9"/>
  <c r="IA14" i="9"/>
  <c r="IA12" i="9"/>
  <c r="IA17" i="9"/>
  <c r="IA10" i="9"/>
  <c r="IA8" i="9"/>
  <c r="IA19" i="9"/>
  <c r="IA21" i="9"/>
  <c r="IA6" i="9"/>
  <c r="IA5" i="9"/>
  <c r="IA3" i="9"/>
  <c r="IA15" i="9"/>
  <c r="IA4" i="9"/>
  <c r="IA9" i="9"/>
  <c r="IA13" i="9"/>
  <c r="IA23" i="9"/>
  <c r="IA11" i="9"/>
  <c r="IA7" i="9"/>
  <c r="IA2" i="9"/>
  <c r="HC54" i="8"/>
  <c r="HC49" i="8"/>
  <c r="HC44" i="8"/>
  <c r="HC42" i="8"/>
  <c r="HC40" i="8"/>
  <c r="HC41" i="8"/>
  <c r="HC55" i="8"/>
  <c r="HC43" i="8"/>
  <c r="HC37" i="8"/>
  <c r="HC38" i="8"/>
  <c r="HC53" i="8"/>
  <c r="HC31" i="8"/>
  <c r="HC29" i="8"/>
  <c r="HC24" i="8"/>
  <c r="HC46" i="8"/>
  <c r="HC48" i="8"/>
  <c r="HC45" i="8"/>
  <c r="HC33" i="8"/>
  <c r="HC20" i="8"/>
  <c r="HC18" i="8"/>
  <c r="HC16" i="8"/>
  <c r="HC14" i="8"/>
  <c r="HC12" i="8"/>
  <c r="HC10" i="8"/>
  <c r="HC8" i="8"/>
  <c r="HC6" i="8"/>
  <c r="HC4" i="8"/>
  <c r="HC36" i="8"/>
  <c r="HC23" i="8"/>
  <c r="HC11" i="8"/>
  <c r="HC21" i="8"/>
  <c r="HC5" i="8"/>
  <c r="HC30" i="8"/>
  <c r="HC39" i="8"/>
  <c r="HC47" i="8"/>
  <c r="HC32" i="8"/>
  <c r="HC34" i="8"/>
  <c r="HC7" i="8"/>
  <c r="HC3" i="8"/>
  <c r="HC13" i="8"/>
  <c r="HC15" i="8"/>
  <c r="HC27" i="8"/>
  <c r="HC25" i="8"/>
  <c r="HC28" i="8"/>
  <c r="HC22" i="8"/>
  <c r="HC9" i="8"/>
  <c r="HC17" i="8"/>
  <c r="HC35" i="8"/>
  <c r="HC19" i="8"/>
  <c r="HC2" i="8"/>
  <c r="HC26" i="8"/>
  <c r="FO151" i="7"/>
  <c r="FO149" i="7"/>
  <c r="FO150" i="7"/>
  <c r="FO54" i="8"/>
  <c r="FO55" i="8"/>
  <c r="FO47" i="8"/>
  <c r="FO44" i="8"/>
  <c r="FO42" i="8"/>
  <c r="FO40" i="8"/>
  <c r="FO38" i="8"/>
  <c r="FO48" i="8"/>
  <c r="FO46" i="8"/>
  <c r="FO41" i="8"/>
  <c r="FO37" i="8"/>
  <c r="FO32" i="8"/>
  <c r="FO30" i="8"/>
  <c r="FO27" i="8"/>
  <c r="FO53" i="8"/>
  <c r="FO43" i="8"/>
  <c r="FO49" i="8"/>
  <c r="FO45" i="8"/>
  <c r="FO23" i="8"/>
  <c r="FO22" i="8"/>
  <c r="FO20" i="8"/>
  <c r="FO18" i="8"/>
  <c r="FO16" i="8"/>
  <c r="FO14" i="8"/>
  <c r="FO12" i="8"/>
  <c r="FO10" i="8"/>
  <c r="FO8" i="8"/>
  <c r="FO6" i="8"/>
  <c r="FO4" i="8"/>
  <c r="FO17" i="8"/>
  <c r="FO11" i="8"/>
  <c r="FO31" i="8"/>
  <c r="FO29" i="8"/>
  <c r="FO36" i="8"/>
  <c r="FO39" i="8"/>
  <c r="FO33" i="8"/>
  <c r="FO34" i="8"/>
  <c r="FO13" i="8"/>
  <c r="FO35" i="8"/>
  <c r="FO21" i="8"/>
  <c r="FO28" i="8"/>
  <c r="FO24" i="8"/>
  <c r="FO2" i="8"/>
  <c r="FO26" i="8"/>
  <c r="FO15" i="8"/>
  <c r="FO7" i="8"/>
  <c r="FO9" i="8"/>
  <c r="FO25" i="8"/>
  <c r="FO3" i="8"/>
  <c r="FO19" i="8"/>
  <c r="FO5" i="8"/>
  <c r="K151" i="7"/>
  <c r="K150" i="7"/>
  <c r="K149" i="7"/>
  <c r="HB149" i="7"/>
  <c r="HB150" i="7"/>
  <c r="HB151" i="7"/>
  <c r="HB54" i="9"/>
  <c r="HB55" i="9"/>
  <c r="HB53" i="9"/>
  <c r="HB47" i="9"/>
  <c r="HB46" i="9"/>
  <c r="HB49" i="9"/>
  <c r="HB48" i="9"/>
  <c r="HB45" i="9"/>
  <c r="HB44" i="9"/>
  <c r="HB43" i="9"/>
  <c r="HB42" i="9"/>
  <c r="HB40" i="9"/>
  <c r="HB38" i="9"/>
  <c r="HB39" i="9"/>
  <c r="HB36" i="9"/>
  <c r="HB34" i="9"/>
  <c r="HB32" i="9"/>
  <c r="HB37" i="9"/>
  <c r="HB30" i="9"/>
  <c r="HB41" i="9"/>
  <c r="HB33" i="9"/>
  <c r="HB31" i="9"/>
  <c r="HB28" i="9"/>
  <c r="HB29" i="9"/>
  <c r="HB26" i="9"/>
  <c r="HB25" i="9"/>
  <c r="HB35" i="9"/>
  <c r="HB27" i="9"/>
  <c r="HB23" i="9"/>
  <c r="HB21" i="9"/>
  <c r="HB19" i="9"/>
  <c r="HB17" i="9"/>
  <c r="HB15" i="9"/>
  <c r="HB16" i="9"/>
  <c r="HB10" i="9"/>
  <c r="HB8" i="9"/>
  <c r="HB6" i="9"/>
  <c r="HB4" i="9"/>
  <c r="HB12" i="9"/>
  <c r="HB18" i="9"/>
  <c r="HB20" i="9"/>
  <c r="HB22" i="9"/>
  <c r="HB13" i="9"/>
  <c r="HB24" i="9"/>
  <c r="HB14" i="9"/>
  <c r="HB11" i="9"/>
  <c r="HB9" i="9"/>
  <c r="HB5" i="9"/>
  <c r="HB2" i="9"/>
  <c r="HB7" i="9"/>
  <c r="HB3" i="9"/>
  <c r="FN54" i="9"/>
  <c r="FN55" i="9"/>
  <c r="FN53" i="9"/>
  <c r="FN47" i="9"/>
  <c r="FN46" i="9"/>
  <c r="FN49" i="9"/>
  <c r="FN45" i="9"/>
  <c r="FN44" i="9"/>
  <c r="FN38" i="9"/>
  <c r="FN39" i="9"/>
  <c r="FN48" i="9"/>
  <c r="FN40" i="9"/>
  <c r="FN36" i="9"/>
  <c r="FN34" i="9"/>
  <c r="FN32" i="9"/>
  <c r="FN43" i="9"/>
  <c r="FN41" i="9"/>
  <c r="FN37" i="9"/>
  <c r="FN30" i="9"/>
  <c r="FN31" i="9"/>
  <c r="FN28" i="9"/>
  <c r="FN26" i="9"/>
  <c r="FN42" i="9"/>
  <c r="FN35" i="9"/>
  <c r="FN23" i="9"/>
  <c r="FN21" i="9"/>
  <c r="FN19" i="9"/>
  <c r="FN17" i="9"/>
  <c r="FN15" i="9"/>
  <c r="FN27" i="9"/>
  <c r="FN22" i="9"/>
  <c r="FN13" i="9"/>
  <c r="FN16" i="9"/>
  <c r="FN10" i="9"/>
  <c r="FN8" i="9"/>
  <c r="FN6" i="9"/>
  <c r="FN4" i="9"/>
  <c r="FN29" i="9"/>
  <c r="FN33" i="9"/>
  <c r="FN18" i="9"/>
  <c r="FN11" i="9"/>
  <c r="FN20" i="9"/>
  <c r="FN25" i="9"/>
  <c r="FN5" i="9"/>
  <c r="FN12" i="9"/>
  <c r="FN14" i="9"/>
  <c r="FN24" i="9"/>
  <c r="FN2" i="9"/>
  <c r="FN9" i="9"/>
  <c r="FN3" i="9"/>
  <c r="FN7" i="9"/>
  <c r="DB149" i="7"/>
  <c r="DB150" i="7"/>
  <c r="DB151" i="7"/>
  <c r="DB49" i="8"/>
  <c r="DB46" i="8"/>
  <c r="DB55" i="8"/>
  <c r="DB48" i="8"/>
  <c r="DB43" i="8"/>
  <c r="DB36" i="8"/>
  <c r="DB35" i="8"/>
  <c r="DB33" i="8"/>
  <c r="DB31" i="8"/>
  <c r="DB29" i="8"/>
  <c r="DB27" i="8"/>
  <c r="DB25" i="8"/>
  <c r="DB23" i="8"/>
  <c r="DB38" i="8"/>
  <c r="DB54" i="8"/>
  <c r="DB39" i="8"/>
  <c r="DB32" i="8"/>
  <c r="DB41" i="8"/>
  <c r="DB40" i="8"/>
  <c r="DB42" i="8"/>
  <c r="DB53" i="8"/>
  <c r="DB47" i="8"/>
  <c r="DB44" i="8"/>
  <c r="DB34" i="8"/>
  <c r="DB26" i="8"/>
  <c r="DB24" i="8"/>
  <c r="DB18" i="8"/>
  <c r="DB7" i="8"/>
  <c r="DB45" i="8"/>
  <c r="DB17" i="8"/>
  <c r="DB12" i="8"/>
  <c r="DB30" i="8"/>
  <c r="DB37" i="8"/>
  <c r="DB28" i="8"/>
  <c r="DB19" i="8"/>
  <c r="DB14" i="8"/>
  <c r="DB2" i="8"/>
  <c r="DB5" i="8"/>
  <c r="DB4" i="8"/>
  <c r="DB21" i="8"/>
  <c r="DB20" i="8"/>
  <c r="DB13" i="8"/>
  <c r="DB22" i="8"/>
  <c r="DB15" i="8"/>
  <c r="DB16" i="8"/>
  <c r="DB8" i="8"/>
  <c r="DB9" i="8"/>
  <c r="DB6" i="8"/>
  <c r="DB10" i="8"/>
  <c r="DB11" i="8"/>
  <c r="DB3" i="8"/>
  <c r="DB54" i="9"/>
  <c r="DB55" i="9"/>
  <c r="DB53" i="9"/>
  <c r="DB47" i="9"/>
  <c r="DB49" i="9"/>
  <c r="DB48" i="9"/>
  <c r="DB46" i="9"/>
  <c r="DB44" i="9"/>
  <c r="DB45" i="9"/>
  <c r="DB38" i="9"/>
  <c r="DB43" i="9"/>
  <c r="DB39" i="9"/>
  <c r="DB41" i="9"/>
  <c r="DB36" i="9"/>
  <c r="DB34" i="9"/>
  <c r="DB40" i="9"/>
  <c r="DB37" i="9"/>
  <c r="DB30" i="9"/>
  <c r="DB31" i="9"/>
  <c r="DB28" i="9"/>
  <c r="DB26" i="9"/>
  <c r="DB42" i="9"/>
  <c r="DB35" i="9"/>
  <c r="DB23" i="9"/>
  <c r="DB21" i="9"/>
  <c r="DB19" i="9"/>
  <c r="DB17" i="9"/>
  <c r="DB15" i="9"/>
  <c r="DB22" i="9"/>
  <c r="DB13" i="9"/>
  <c r="DB27" i="9"/>
  <c r="DB16" i="9"/>
  <c r="DB10" i="9"/>
  <c r="DB8" i="9"/>
  <c r="DB6" i="9"/>
  <c r="DB4" i="9"/>
  <c r="DB33" i="9"/>
  <c r="DB32" i="9"/>
  <c r="DB29" i="9"/>
  <c r="DB18" i="9"/>
  <c r="DB24" i="9"/>
  <c r="DB11" i="9"/>
  <c r="DB9" i="9"/>
  <c r="DB20" i="9"/>
  <c r="DB25" i="9"/>
  <c r="DB7" i="9"/>
  <c r="DB14" i="9"/>
  <c r="DB2" i="9"/>
  <c r="DB12" i="9"/>
  <c r="DB3" i="9"/>
  <c r="DB5" i="9"/>
  <c r="BV49" i="8"/>
  <c r="BV48" i="8"/>
  <c r="BV46" i="8"/>
  <c r="BV35" i="8"/>
  <c r="BV33" i="8"/>
  <c r="BV31" i="8"/>
  <c r="BV29" i="8"/>
  <c r="BV27" i="8"/>
  <c r="BV25" i="8"/>
  <c r="BV23" i="8"/>
  <c r="BV45" i="8"/>
  <c r="BV40" i="8"/>
  <c r="BV38" i="8"/>
  <c r="BV42" i="8"/>
  <c r="BV47" i="8"/>
  <c r="BV43" i="8"/>
  <c r="BV36" i="8"/>
  <c r="BV44" i="8"/>
  <c r="BV37" i="8"/>
  <c r="BV26" i="8"/>
  <c r="BV15" i="8"/>
  <c r="BV10" i="8"/>
  <c r="BV20" i="8"/>
  <c r="BV9" i="8"/>
  <c r="BV4" i="8"/>
  <c r="BV41" i="8"/>
  <c r="BV32" i="8"/>
  <c r="BV30" i="8"/>
  <c r="BV34" i="8"/>
  <c r="BV39" i="8"/>
  <c r="BV22" i="8"/>
  <c r="BV11" i="8"/>
  <c r="BV6" i="8"/>
  <c r="BV7" i="8"/>
  <c r="BV28" i="8"/>
  <c r="BV24" i="8"/>
  <c r="BV8" i="8"/>
  <c r="BV16" i="8"/>
  <c r="BV17" i="8"/>
  <c r="BV19" i="8"/>
  <c r="BV18" i="8"/>
  <c r="BV13" i="8"/>
  <c r="BV12" i="8"/>
  <c r="BV5" i="8"/>
  <c r="BV2" i="8"/>
  <c r="BV21" i="8"/>
  <c r="BV14" i="8"/>
  <c r="BV3" i="8"/>
  <c r="R149" i="7"/>
  <c r="R151" i="7"/>
  <c r="R150" i="7"/>
  <c r="BU149" i="7"/>
  <c r="BU151" i="7"/>
  <c r="BU55" i="9" s="1"/>
  <c r="BU150" i="7"/>
  <c r="BV54" i="9" s="1"/>
  <c r="AW49" i="9"/>
  <c r="AW47" i="9"/>
  <c r="AW48" i="9"/>
  <c r="AW44" i="9"/>
  <c r="AW45" i="9"/>
  <c r="AW46" i="9"/>
  <c r="AW39" i="9"/>
  <c r="AW35" i="9"/>
  <c r="AW42" i="9"/>
  <c r="AW33" i="9"/>
  <c r="AW30" i="9"/>
  <c r="AW43" i="9"/>
  <c r="AW37" i="9"/>
  <c r="AW29" i="9"/>
  <c r="AW40" i="9"/>
  <c r="AW25" i="9"/>
  <c r="AW38" i="9"/>
  <c r="AW41" i="9"/>
  <c r="AW36" i="9"/>
  <c r="AW31" i="9"/>
  <c r="AW28" i="9"/>
  <c r="AW24" i="9"/>
  <c r="AW19" i="9"/>
  <c r="AW32" i="9"/>
  <c r="AW21" i="9"/>
  <c r="AW11" i="9"/>
  <c r="AW8" i="9"/>
  <c r="AW7" i="9"/>
  <c r="AW6" i="9"/>
  <c r="AW3" i="9"/>
  <c r="AW12" i="9"/>
  <c r="AW5" i="9"/>
  <c r="AW20" i="9"/>
  <c r="AW27" i="9"/>
  <c r="AW26" i="9"/>
  <c r="AW34" i="9"/>
  <c r="AW16" i="9"/>
  <c r="AW14" i="9"/>
  <c r="AW22" i="9"/>
  <c r="AW13" i="9"/>
  <c r="AW17" i="9"/>
  <c r="AW18" i="9"/>
  <c r="AW15" i="9"/>
  <c r="AW10" i="9"/>
  <c r="AW4" i="9"/>
  <c r="AW9" i="9"/>
  <c r="AW23" i="9"/>
  <c r="AW2" i="9"/>
  <c r="IN55" i="9"/>
  <c r="IN54" i="9"/>
  <c r="IN53" i="9"/>
  <c r="IN48" i="9"/>
  <c r="IN46" i="9"/>
  <c r="IN44" i="9"/>
  <c r="IN49" i="9"/>
  <c r="IN45" i="9"/>
  <c r="IN47" i="9"/>
  <c r="IN41" i="9"/>
  <c r="IN40" i="9"/>
  <c r="IN42" i="9"/>
  <c r="IN39" i="9"/>
  <c r="IN36" i="9"/>
  <c r="IN34" i="9"/>
  <c r="IN32" i="9"/>
  <c r="IN38" i="9"/>
  <c r="IN37" i="9"/>
  <c r="IN31" i="9"/>
  <c r="IN28" i="9"/>
  <c r="IN26" i="9"/>
  <c r="IN35" i="9"/>
  <c r="IN23" i="9"/>
  <c r="IN21" i="9"/>
  <c r="IN19" i="9"/>
  <c r="IN17" i="9"/>
  <c r="IN15" i="9"/>
  <c r="IN13" i="9"/>
  <c r="IN43" i="9"/>
  <c r="IN33" i="9"/>
  <c r="IN22" i="9"/>
  <c r="IN14" i="9"/>
  <c r="IN30" i="9"/>
  <c r="IN16" i="9"/>
  <c r="IN27" i="9"/>
  <c r="IN29" i="9"/>
  <c r="IN18" i="9"/>
  <c r="IN25" i="9"/>
  <c r="IN10" i="9"/>
  <c r="IN24" i="9"/>
  <c r="IN7" i="9"/>
  <c r="IN3" i="9"/>
  <c r="IN4" i="9"/>
  <c r="IN12" i="9"/>
  <c r="IN6" i="9"/>
  <c r="IN20" i="9"/>
  <c r="IN2" i="9"/>
  <c r="IN9" i="9"/>
  <c r="IN8" i="9"/>
  <c r="IN5" i="9"/>
  <c r="IN11" i="9"/>
  <c r="GZ55" i="9"/>
  <c r="GZ53" i="9"/>
  <c r="GZ54" i="9"/>
  <c r="GZ49" i="9"/>
  <c r="GZ48" i="9"/>
  <c r="GZ46" i="9"/>
  <c r="GZ44" i="9"/>
  <c r="GZ47" i="9"/>
  <c r="GZ42" i="9"/>
  <c r="GZ45" i="9"/>
  <c r="GZ43" i="9"/>
  <c r="GZ41" i="9"/>
  <c r="GZ39" i="9"/>
  <c r="GZ36" i="9"/>
  <c r="GZ34" i="9"/>
  <c r="GZ32" i="9"/>
  <c r="GZ33" i="9"/>
  <c r="GZ29" i="9"/>
  <c r="GZ26" i="9"/>
  <c r="GZ31" i="9"/>
  <c r="GZ35" i="9"/>
  <c r="GZ28" i="9"/>
  <c r="GZ27" i="9"/>
  <c r="GZ23" i="9"/>
  <c r="GZ21" i="9"/>
  <c r="GZ19" i="9"/>
  <c r="GZ17" i="9"/>
  <c r="GZ15" i="9"/>
  <c r="GZ13" i="9"/>
  <c r="GZ37" i="9"/>
  <c r="GZ40" i="9"/>
  <c r="GZ38" i="9"/>
  <c r="GZ12" i="9"/>
  <c r="GZ22" i="9"/>
  <c r="GZ30" i="9"/>
  <c r="GZ24" i="9"/>
  <c r="GZ14" i="9"/>
  <c r="GZ11" i="9"/>
  <c r="GZ10" i="9"/>
  <c r="GZ8" i="9"/>
  <c r="GZ3" i="9"/>
  <c r="GZ25" i="9"/>
  <c r="GZ5" i="9"/>
  <c r="GZ4" i="9"/>
  <c r="GZ6" i="9"/>
  <c r="GZ16" i="9"/>
  <c r="GZ20" i="9"/>
  <c r="GZ18" i="9"/>
  <c r="GZ9" i="9"/>
  <c r="GZ2" i="9"/>
  <c r="GZ7" i="9"/>
  <c r="EF55" i="9"/>
  <c r="EF53" i="9"/>
  <c r="EF48" i="9"/>
  <c r="EF46" i="9"/>
  <c r="EF54" i="9"/>
  <c r="EF49" i="9"/>
  <c r="EF47" i="9"/>
  <c r="EF43" i="9"/>
  <c r="EF41" i="9"/>
  <c r="EF45" i="9"/>
  <c r="EF42" i="9"/>
  <c r="EF36" i="9"/>
  <c r="EF34" i="9"/>
  <c r="EF39" i="9"/>
  <c r="EF38" i="9"/>
  <c r="EF32" i="9"/>
  <c r="EF44" i="9"/>
  <c r="EF33" i="9"/>
  <c r="EF30" i="9"/>
  <c r="EF28" i="9"/>
  <c r="EF26" i="9"/>
  <c r="EF35" i="9"/>
  <c r="EF31" i="9"/>
  <c r="EF29" i="9"/>
  <c r="EF25" i="9"/>
  <c r="EF23" i="9"/>
  <c r="EF21" i="9"/>
  <c r="EF19" i="9"/>
  <c r="EF17" i="9"/>
  <c r="EF15" i="9"/>
  <c r="EF13" i="9"/>
  <c r="EF37" i="9"/>
  <c r="EF40" i="9"/>
  <c r="EF20" i="9"/>
  <c r="EF27" i="9"/>
  <c r="EF22" i="9"/>
  <c r="EF12" i="9"/>
  <c r="EF3" i="9"/>
  <c r="EF18" i="9"/>
  <c r="EF10" i="9"/>
  <c r="EF24" i="9"/>
  <c r="EF16" i="9"/>
  <c r="EF11" i="9"/>
  <c r="EF4" i="9"/>
  <c r="EF9" i="9"/>
  <c r="EF7" i="9"/>
  <c r="EF6" i="9"/>
  <c r="EF5" i="9"/>
  <c r="EF14" i="9"/>
  <c r="EF8" i="9"/>
  <c r="EF2" i="9"/>
  <c r="CJ55" i="9"/>
  <c r="CJ53" i="9"/>
  <c r="CJ48" i="9"/>
  <c r="CJ46" i="9"/>
  <c r="CJ49" i="9"/>
  <c r="CJ54" i="9"/>
  <c r="CJ47" i="9"/>
  <c r="CJ45" i="9"/>
  <c r="CJ44" i="9"/>
  <c r="CJ41" i="9"/>
  <c r="CJ43" i="9"/>
  <c r="CJ42" i="9"/>
  <c r="CJ39" i="9"/>
  <c r="CJ36" i="9"/>
  <c r="CJ34" i="9"/>
  <c r="CJ40" i="9"/>
  <c r="CJ38" i="9"/>
  <c r="CJ35" i="9"/>
  <c r="CJ28" i="9"/>
  <c r="CJ26" i="9"/>
  <c r="CJ32" i="9"/>
  <c r="CJ30" i="9"/>
  <c r="CJ23" i="9"/>
  <c r="CJ21" i="9"/>
  <c r="CJ19" i="9"/>
  <c r="CJ17" i="9"/>
  <c r="CJ15" i="9"/>
  <c r="CJ13" i="9"/>
  <c r="CJ33" i="9"/>
  <c r="CJ31" i="9"/>
  <c r="CJ27" i="9"/>
  <c r="CJ14" i="9"/>
  <c r="CJ24" i="9"/>
  <c r="CJ37" i="9"/>
  <c r="CJ29" i="9"/>
  <c r="CJ18" i="9"/>
  <c r="CJ3" i="9"/>
  <c r="CJ25" i="9"/>
  <c r="CJ20" i="9"/>
  <c r="CJ7" i="9"/>
  <c r="CJ6" i="9"/>
  <c r="CJ4" i="9"/>
  <c r="CJ12" i="9"/>
  <c r="CJ9" i="9"/>
  <c r="CJ22" i="9"/>
  <c r="CJ2" i="9"/>
  <c r="CJ10" i="9"/>
  <c r="CJ16" i="9"/>
  <c r="CJ8" i="9"/>
  <c r="CJ5" i="9"/>
  <c r="CJ11" i="9"/>
  <c r="CB48" i="9"/>
  <c r="CB46" i="9"/>
  <c r="CB49" i="9"/>
  <c r="CB45" i="9"/>
  <c r="CB44" i="9"/>
  <c r="CB43" i="9"/>
  <c r="CB41" i="9"/>
  <c r="CB36" i="9"/>
  <c r="CB34" i="9"/>
  <c r="CB47" i="9"/>
  <c r="CB40" i="9"/>
  <c r="CB33" i="9"/>
  <c r="CB32" i="9"/>
  <c r="CB42" i="9"/>
  <c r="CB35" i="9"/>
  <c r="CB28" i="9"/>
  <c r="CB26" i="9"/>
  <c r="CB37" i="9"/>
  <c r="CB31" i="9"/>
  <c r="CB27" i="9"/>
  <c r="CB23" i="9"/>
  <c r="CB21" i="9"/>
  <c r="CB19" i="9"/>
  <c r="CB17" i="9"/>
  <c r="CB15" i="9"/>
  <c r="CB13" i="9"/>
  <c r="CB39" i="9"/>
  <c r="CB38" i="9"/>
  <c r="CB25" i="9"/>
  <c r="CB12" i="9"/>
  <c r="CB30" i="9"/>
  <c r="CB22" i="9"/>
  <c r="CB29" i="9"/>
  <c r="CB24" i="9"/>
  <c r="CB14" i="9"/>
  <c r="CB11" i="9"/>
  <c r="CB16" i="9"/>
  <c r="CB10" i="9"/>
  <c r="CB8" i="9"/>
  <c r="CB3" i="9"/>
  <c r="CB20" i="9"/>
  <c r="CB5" i="9"/>
  <c r="CB4" i="9"/>
  <c r="CB18" i="9"/>
  <c r="CB6" i="9"/>
  <c r="CB9" i="9"/>
  <c r="CB7" i="9"/>
  <c r="CB2" i="9"/>
  <c r="BT48" i="9"/>
  <c r="BT46" i="9"/>
  <c r="BT49" i="9"/>
  <c r="BT47" i="9"/>
  <c r="BT45" i="9"/>
  <c r="BT43" i="9"/>
  <c r="BT36" i="9"/>
  <c r="BT34" i="9"/>
  <c r="BT42" i="9"/>
  <c r="BT40" i="9"/>
  <c r="BT32" i="9"/>
  <c r="BT41" i="9"/>
  <c r="BT39" i="9"/>
  <c r="BT30" i="9"/>
  <c r="BT28" i="9"/>
  <c r="BT26" i="9"/>
  <c r="BT33" i="9"/>
  <c r="BT31" i="9"/>
  <c r="BT23" i="9"/>
  <c r="BT21" i="9"/>
  <c r="BT19" i="9"/>
  <c r="BT17" i="9"/>
  <c r="BT15" i="9"/>
  <c r="BT13" i="9"/>
  <c r="BT44" i="9"/>
  <c r="BT37" i="9"/>
  <c r="BT35" i="9"/>
  <c r="BT38" i="9"/>
  <c r="BT29" i="9"/>
  <c r="BT20" i="9"/>
  <c r="BT22" i="9"/>
  <c r="BT12" i="9"/>
  <c r="BT25" i="9"/>
  <c r="BT3" i="9"/>
  <c r="BT27" i="9"/>
  <c r="BT10" i="9"/>
  <c r="BT18" i="9"/>
  <c r="BT9" i="9"/>
  <c r="BT4" i="9"/>
  <c r="BT24" i="9"/>
  <c r="BT16" i="9"/>
  <c r="BT5" i="9"/>
  <c r="BT14" i="9"/>
  <c r="BT11" i="9"/>
  <c r="BT8" i="9"/>
  <c r="BT7" i="9"/>
  <c r="BT6" i="9"/>
  <c r="BT2" i="9"/>
  <c r="AF48" i="9"/>
  <c r="AF46" i="9"/>
  <c r="AF49" i="9"/>
  <c r="AF47" i="9"/>
  <c r="AF43" i="9"/>
  <c r="AF45" i="9"/>
  <c r="AF41" i="9"/>
  <c r="AF40" i="9"/>
  <c r="AF38" i="9"/>
  <c r="AF36" i="9"/>
  <c r="AF34" i="9"/>
  <c r="AF42" i="9"/>
  <c r="AF44" i="9"/>
  <c r="AF37" i="9"/>
  <c r="AF39" i="9"/>
  <c r="AF33" i="9"/>
  <c r="AF28" i="9"/>
  <c r="AF26" i="9"/>
  <c r="AF30" i="9"/>
  <c r="AF25" i="9"/>
  <c r="AF23" i="9"/>
  <c r="AF21" i="9"/>
  <c r="AF19" i="9"/>
  <c r="AF17" i="9"/>
  <c r="AF15" i="9"/>
  <c r="AF13" i="9"/>
  <c r="AF35" i="9"/>
  <c r="AF29" i="9"/>
  <c r="AF27" i="9"/>
  <c r="AF16" i="9"/>
  <c r="AF31" i="9"/>
  <c r="AF20" i="9"/>
  <c r="AF5" i="9"/>
  <c r="AF9" i="9"/>
  <c r="AF3" i="9"/>
  <c r="AF22" i="9"/>
  <c r="AF32" i="9"/>
  <c r="AF11" i="9"/>
  <c r="AF24" i="9"/>
  <c r="AF8" i="9"/>
  <c r="AF6" i="9"/>
  <c r="AF18" i="9"/>
  <c r="AF10" i="9"/>
  <c r="AF14" i="9"/>
  <c r="AF4" i="9"/>
  <c r="AF12" i="9"/>
  <c r="AF7" i="9"/>
  <c r="AF2" i="9"/>
  <c r="IW149" i="7"/>
  <c r="IW151" i="7"/>
  <c r="IW150" i="7"/>
  <c r="IQ151" i="7"/>
  <c r="IQ150" i="7"/>
  <c r="IQ149" i="7"/>
  <c r="IQ54" i="8"/>
  <c r="IQ53" i="8"/>
  <c r="IQ48" i="8"/>
  <c r="IQ46" i="8"/>
  <c r="IQ55" i="8"/>
  <c r="IQ44" i="8"/>
  <c r="IQ42" i="8"/>
  <c r="IQ40" i="8"/>
  <c r="IQ38" i="8"/>
  <c r="IQ41" i="8"/>
  <c r="IQ37" i="8"/>
  <c r="IQ47" i="8"/>
  <c r="IQ35" i="8"/>
  <c r="IQ49" i="8"/>
  <c r="IQ36" i="8"/>
  <c r="IQ31" i="8"/>
  <c r="IQ23" i="8"/>
  <c r="IQ22" i="8"/>
  <c r="IQ30" i="8"/>
  <c r="IQ26" i="8"/>
  <c r="IQ43" i="8"/>
  <c r="IQ45" i="8"/>
  <c r="IQ32" i="8"/>
  <c r="IQ20" i="8"/>
  <c r="IQ18" i="8"/>
  <c r="IQ16" i="8"/>
  <c r="IQ14" i="8"/>
  <c r="IQ12" i="8"/>
  <c r="IQ10" i="8"/>
  <c r="IQ8" i="8"/>
  <c r="IQ6" i="8"/>
  <c r="IQ4" i="8"/>
  <c r="IQ27" i="8"/>
  <c r="IQ21" i="8"/>
  <c r="IQ5" i="8"/>
  <c r="IQ3" i="8"/>
  <c r="IQ39" i="8"/>
  <c r="IQ15" i="8"/>
  <c r="IQ28" i="8"/>
  <c r="IQ34" i="8"/>
  <c r="IQ33" i="8"/>
  <c r="IQ24" i="8"/>
  <c r="IQ17" i="8"/>
  <c r="IQ2" i="8"/>
  <c r="IQ13" i="8"/>
  <c r="IQ7" i="8"/>
  <c r="IQ9" i="8"/>
  <c r="IQ29" i="8"/>
  <c r="IQ25" i="8"/>
  <c r="IQ11" i="8"/>
  <c r="IQ19" i="8"/>
  <c r="FG55" i="9"/>
  <c r="FG45" i="9"/>
  <c r="FG48" i="9"/>
  <c r="FG54" i="9"/>
  <c r="FG53" i="9"/>
  <c r="FG49" i="9"/>
  <c r="FG44" i="9"/>
  <c r="FG42" i="9"/>
  <c r="FG40" i="9"/>
  <c r="FG47" i="9"/>
  <c r="FG38" i="9"/>
  <c r="FG46" i="9"/>
  <c r="FG41" i="9"/>
  <c r="FG39" i="9"/>
  <c r="FG37" i="9"/>
  <c r="FG35" i="9"/>
  <c r="FG33" i="9"/>
  <c r="FG36" i="9"/>
  <c r="FG32" i="9"/>
  <c r="FG30" i="9"/>
  <c r="FG43" i="9"/>
  <c r="FG29" i="9"/>
  <c r="FG27" i="9"/>
  <c r="FG25" i="9"/>
  <c r="FG34" i="9"/>
  <c r="FG31" i="9"/>
  <c r="FG24" i="9"/>
  <c r="FG22" i="9"/>
  <c r="FG20" i="9"/>
  <c r="FG18" i="9"/>
  <c r="FG16" i="9"/>
  <c r="FG14" i="9"/>
  <c r="FG12" i="9"/>
  <c r="FG26" i="9"/>
  <c r="FG15" i="9"/>
  <c r="FG10" i="9"/>
  <c r="FG8" i="9"/>
  <c r="FG28" i="9"/>
  <c r="FG7" i="9"/>
  <c r="FG23" i="9"/>
  <c r="FG13" i="9"/>
  <c r="FG4" i="9"/>
  <c r="FG3" i="9"/>
  <c r="FG11" i="9"/>
  <c r="FG6" i="9"/>
  <c r="FG21" i="9"/>
  <c r="FG19" i="9"/>
  <c r="FG9" i="9"/>
  <c r="FG5" i="9"/>
  <c r="FG2" i="9"/>
  <c r="FG17" i="9"/>
  <c r="IX47" i="8"/>
  <c r="IX49" i="8"/>
  <c r="IX44" i="8"/>
  <c r="IX33" i="8"/>
  <c r="IX31" i="8"/>
  <c r="IX29" i="8"/>
  <c r="IX27" i="8"/>
  <c r="IX25" i="8"/>
  <c r="IX23" i="8"/>
  <c r="IX48" i="8"/>
  <c r="IX43" i="8"/>
  <c r="IX38" i="8"/>
  <c r="IX36" i="8"/>
  <c r="IX53" i="8"/>
  <c r="IX55" i="8"/>
  <c r="IX54" i="8"/>
  <c r="IX45" i="8"/>
  <c r="IX40" i="8"/>
  <c r="IX42" i="8"/>
  <c r="IX46" i="8"/>
  <c r="IX24" i="8"/>
  <c r="IX39" i="8"/>
  <c r="IX30" i="8"/>
  <c r="IX13" i="8"/>
  <c r="IX8" i="8"/>
  <c r="IX41" i="8"/>
  <c r="IX32" i="8"/>
  <c r="IX26" i="8"/>
  <c r="IX22" i="8"/>
  <c r="IX18" i="8"/>
  <c r="IX7" i="8"/>
  <c r="IX2" i="8"/>
  <c r="IX34" i="8"/>
  <c r="IX35" i="8"/>
  <c r="IX28" i="8"/>
  <c r="IX20" i="8"/>
  <c r="IX9" i="8"/>
  <c r="IX4" i="8"/>
  <c r="IX14" i="8"/>
  <c r="IX15" i="8"/>
  <c r="IX17" i="8"/>
  <c r="IX16" i="8"/>
  <c r="IX11" i="8"/>
  <c r="IX10" i="8"/>
  <c r="IX19" i="8"/>
  <c r="IX12" i="8"/>
  <c r="IX37" i="8"/>
  <c r="IX5" i="8"/>
  <c r="IX3" i="8"/>
  <c r="IX21" i="8"/>
  <c r="IX6" i="8"/>
  <c r="GS149" i="7"/>
  <c r="GS150" i="7"/>
  <c r="GS151" i="7"/>
  <c r="FT54" i="8"/>
  <c r="FT48" i="8"/>
  <c r="FT53" i="8"/>
  <c r="FT44" i="8"/>
  <c r="FT42" i="8"/>
  <c r="FT40" i="8"/>
  <c r="FT38" i="8"/>
  <c r="FT36" i="8"/>
  <c r="FT55" i="8"/>
  <c r="FT47" i="8"/>
  <c r="FT41" i="8"/>
  <c r="FT37" i="8"/>
  <c r="FT34" i="8"/>
  <c r="FT32" i="8"/>
  <c r="FT35" i="8"/>
  <c r="FT28" i="8"/>
  <c r="FT23" i="8"/>
  <c r="FT20" i="8"/>
  <c r="FT18" i="8"/>
  <c r="FT16" i="8"/>
  <c r="FT14" i="8"/>
  <c r="FT12" i="8"/>
  <c r="FT10" i="8"/>
  <c r="FT8" i="8"/>
  <c r="FT6" i="8"/>
  <c r="FT4" i="8"/>
  <c r="FT2" i="8"/>
  <c r="FT43" i="8"/>
  <c r="FT49" i="8"/>
  <c r="FT45" i="8"/>
  <c r="FT46" i="8"/>
  <c r="FT31" i="8"/>
  <c r="FT30" i="8"/>
  <c r="FT25" i="8"/>
  <c r="FT21" i="8"/>
  <c r="FT5" i="8"/>
  <c r="FT15" i="8"/>
  <c r="FT3" i="8"/>
  <c r="FT33" i="8"/>
  <c r="FT39" i="8"/>
  <c r="FT22" i="8"/>
  <c r="FT17" i="8"/>
  <c r="FT26" i="8"/>
  <c r="FT7" i="8"/>
  <c r="FT9" i="8"/>
  <c r="FT27" i="8"/>
  <c r="FT19" i="8"/>
  <c r="FT11" i="8"/>
  <c r="FT24" i="8"/>
  <c r="FT29" i="8"/>
  <c r="FT13" i="8"/>
  <c r="JQ150" i="7"/>
  <c r="JQ149" i="7"/>
  <c r="JQ151" i="7"/>
  <c r="AX149" i="7"/>
  <c r="AX151" i="7"/>
  <c r="AX150" i="7"/>
  <c r="JN149" i="7"/>
  <c r="JN150" i="7"/>
  <c r="JN151" i="7"/>
  <c r="AG48" i="8"/>
  <c r="AG46" i="8"/>
  <c r="AG44" i="8"/>
  <c r="AG42" i="8"/>
  <c r="AG40" i="8"/>
  <c r="AG38" i="8"/>
  <c r="AG36" i="8"/>
  <c r="AG41" i="8"/>
  <c r="AG35" i="8"/>
  <c r="AG33" i="8"/>
  <c r="AG31" i="8"/>
  <c r="AG29" i="8"/>
  <c r="AG27" i="8"/>
  <c r="AG25" i="8"/>
  <c r="AG43" i="8"/>
  <c r="AG22" i="8"/>
  <c r="AG20" i="8"/>
  <c r="AG18" i="8"/>
  <c r="AG16" i="8"/>
  <c r="AG14" i="8"/>
  <c r="AG12" i="8"/>
  <c r="AG10" i="8"/>
  <c r="AG8" i="8"/>
  <c r="AG6" i="8"/>
  <c r="AG4" i="8"/>
  <c r="AG2" i="8"/>
  <c r="AG37" i="8"/>
  <c r="AG30" i="8"/>
  <c r="AG45" i="8"/>
  <c r="AG49" i="8"/>
  <c r="AG47" i="8"/>
  <c r="AG24" i="8"/>
  <c r="AG23" i="8"/>
  <c r="AG28" i="8"/>
  <c r="AG11" i="8"/>
  <c r="AG21" i="8"/>
  <c r="AG5" i="8"/>
  <c r="AG32" i="8"/>
  <c r="AG34" i="8"/>
  <c r="AG7" i="8"/>
  <c r="AG15" i="8"/>
  <c r="AG39" i="8"/>
  <c r="AG9" i="8"/>
  <c r="AG26" i="8"/>
  <c r="AG17" i="8"/>
  <c r="AG19" i="8"/>
  <c r="AG3" i="8"/>
  <c r="AG13" i="8"/>
  <c r="DP55" i="9"/>
  <c r="DP54" i="9"/>
  <c r="DP53" i="9"/>
  <c r="DP48" i="9"/>
  <c r="DP46" i="9"/>
  <c r="DP49" i="9"/>
  <c r="DP45" i="9"/>
  <c r="DP47" i="9"/>
  <c r="DP41" i="9"/>
  <c r="DP43" i="9"/>
  <c r="DP40" i="9"/>
  <c r="DP44" i="9"/>
  <c r="DP42" i="9"/>
  <c r="DP36" i="9"/>
  <c r="DP34" i="9"/>
  <c r="DP38" i="9"/>
  <c r="DP37" i="9"/>
  <c r="DP32" i="9"/>
  <c r="DP35" i="9"/>
  <c r="DP31" i="9"/>
  <c r="DP28" i="9"/>
  <c r="DP26" i="9"/>
  <c r="DP33" i="9"/>
  <c r="DP23" i="9"/>
  <c r="DP21" i="9"/>
  <c r="DP19" i="9"/>
  <c r="DP17" i="9"/>
  <c r="DP15" i="9"/>
  <c r="DP13" i="9"/>
  <c r="DP30" i="9"/>
  <c r="DP39" i="9"/>
  <c r="DP29" i="9"/>
  <c r="DP22" i="9"/>
  <c r="DP14" i="9"/>
  <c r="DP16" i="9"/>
  <c r="DP27" i="9"/>
  <c r="DP18" i="9"/>
  <c r="DP10" i="9"/>
  <c r="DP3" i="9"/>
  <c r="DP24" i="9"/>
  <c r="DP20" i="9"/>
  <c r="DP12" i="9"/>
  <c r="DP25" i="9"/>
  <c r="DP11" i="9"/>
  <c r="DP8" i="9"/>
  <c r="DP4" i="9"/>
  <c r="DP2" i="9"/>
  <c r="DP7" i="9"/>
  <c r="DP9" i="9"/>
  <c r="DP6" i="9"/>
  <c r="DP5" i="9"/>
  <c r="X48" i="9"/>
  <c r="X46" i="9"/>
  <c r="X45" i="9"/>
  <c r="X47" i="9"/>
  <c r="X44" i="9"/>
  <c r="X43" i="9"/>
  <c r="X39" i="9"/>
  <c r="X38" i="9"/>
  <c r="X36" i="9"/>
  <c r="X34" i="9"/>
  <c r="X41" i="9"/>
  <c r="X40" i="9"/>
  <c r="X35" i="9"/>
  <c r="X37" i="9"/>
  <c r="X31" i="9"/>
  <c r="X28" i="9"/>
  <c r="X26" i="9"/>
  <c r="X49" i="9"/>
  <c r="X25" i="9"/>
  <c r="X23" i="9"/>
  <c r="X21" i="9"/>
  <c r="X19" i="9"/>
  <c r="X17" i="9"/>
  <c r="X15" i="9"/>
  <c r="X13" i="9"/>
  <c r="X42" i="9"/>
  <c r="X33" i="9"/>
  <c r="X30" i="9"/>
  <c r="X32" i="9"/>
  <c r="X14" i="9"/>
  <c r="X29" i="9"/>
  <c r="X27" i="9"/>
  <c r="X24" i="9"/>
  <c r="X16" i="9"/>
  <c r="X18" i="9"/>
  <c r="X12" i="9"/>
  <c r="X3" i="9"/>
  <c r="X22" i="9"/>
  <c r="X7" i="9"/>
  <c r="X6" i="9"/>
  <c r="X5" i="9"/>
  <c r="X11" i="9"/>
  <c r="X2" i="9"/>
  <c r="X9" i="9"/>
  <c r="X20" i="9"/>
  <c r="X4" i="9"/>
  <c r="X8" i="9"/>
  <c r="X10" i="9"/>
  <c r="HX151" i="7"/>
  <c r="HX150" i="7"/>
  <c r="HX149" i="7"/>
  <c r="DA53" i="9"/>
  <c r="DA55" i="9"/>
  <c r="DA54" i="9"/>
  <c r="DA47" i="9"/>
  <c r="DA49" i="9"/>
  <c r="DA46" i="9"/>
  <c r="DA48" i="9"/>
  <c r="DA44" i="9"/>
  <c r="DA42" i="9"/>
  <c r="DA43" i="9"/>
  <c r="DA45" i="9"/>
  <c r="DA41" i="9"/>
  <c r="DA40" i="9"/>
  <c r="DA38" i="9"/>
  <c r="DA33" i="9"/>
  <c r="DA31" i="9"/>
  <c r="DA39" i="9"/>
  <c r="DA35" i="9"/>
  <c r="DA36" i="9"/>
  <c r="DA30" i="9"/>
  <c r="DA27" i="9"/>
  <c r="DA25" i="9"/>
  <c r="DA37" i="9"/>
  <c r="DA34" i="9"/>
  <c r="DA29" i="9"/>
  <c r="DA26" i="9"/>
  <c r="DA23" i="9"/>
  <c r="DA22" i="9"/>
  <c r="DA17" i="9"/>
  <c r="DA13" i="9"/>
  <c r="DA28" i="9"/>
  <c r="DA24" i="9"/>
  <c r="DA19" i="9"/>
  <c r="DA11" i="9"/>
  <c r="DA5" i="9"/>
  <c r="DA4" i="9"/>
  <c r="DA3" i="9"/>
  <c r="DA10" i="9"/>
  <c r="DA32" i="9"/>
  <c r="DA12" i="9"/>
  <c r="DA8" i="9"/>
  <c r="DA15" i="9"/>
  <c r="DA9" i="9"/>
  <c r="DA6" i="9"/>
  <c r="DA21" i="9"/>
  <c r="DA16" i="9"/>
  <c r="DA20" i="9"/>
  <c r="DA2" i="9"/>
  <c r="DA7" i="9"/>
  <c r="DA14" i="9"/>
  <c r="DA18" i="9"/>
  <c r="I48" i="8"/>
  <c r="I46" i="8"/>
  <c r="I44" i="8"/>
  <c r="I42" i="8"/>
  <c r="I40" i="8"/>
  <c r="I38" i="8"/>
  <c r="I36" i="8"/>
  <c r="I49" i="8"/>
  <c r="I47" i="8"/>
  <c r="I41" i="8"/>
  <c r="I35" i="8"/>
  <c r="I33" i="8"/>
  <c r="I31" i="8"/>
  <c r="I29" i="8"/>
  <c r="I27" i="8"/>
  <c r="I25" i="8"/>
  <c r="I37" i="8"/>
  <c r="I22" i="8"/>
  <c r="I20" i="8"/>
  <c r="I18" i="8"/>
  <c r="I16" i="8"/>
  <c r="I14" i="8"/>
  <c r="I12" i="8"/>
  <c r="I10" i="8"/>
  <c r="I8" i="8"/>
  <c r="I6" i="8"/>
  <c r="I4" i="8"/>
  <c r="I2" i="8"/>
  <c r="I43" i="8"/>
  <c r="I45" i="8"/>
  <c r="I39" i="8"/>
  <c r="I32" i="8"/>
  <c r="I21" i="8"/>
  <c r="I5" i="8"/>
  <c r="I30" i="8"/>
  <c r="I15" i="8"/>
  <c r="I34" i="8"/>
  <c r="I26" i="8"/>
  <c r="I23" i="8"/>
  <c r="I17" i="8"/>
  <c r="I3" i="8"/>
  <c r="I13" i="8"/>
  <c r="I7" i="8"/>
  <c r="I9" i="8"/>
  <c r="I28" i="8"/>
  <c r="I19" i="8"/>
  <c r="I11" i="8"/>
  <c r="I24" i="8"/>
  <c r="IP149" i="7"/>
  <c r="IP151" i="7"/>
  <c r="IP150" i="7"/>
  <c r="BM149" i="7"/>
  <c r="BM150" i="7"/>
  <c r="BM151" i="7"/>
  <c r="HP151" i="7"/>
  <c r="HP150" i="7"/>
  <c r="HP149" i="7"/>
  <c r="HP54" i="8"/>
  <c r="HP48" i="8"/>
  <c r="HP55" i="8"/>
  <c r="HP49" i="8"/>
  <c r="HP46" i="8"/>
  <c r="HP44" i="8"/>
  <c r="HP42" i="8"/>
  <c r="HP40" i="8"/>
  <c r="HP38" i="8"/>
  <c r="HP36" i="8"/>
  <c r="HP34" i="8"/>
  <c r="HP32" i="8"/>
  <c r="HP30" i="8"/>
  <c r="HP37" i="8"/>
  <c r="HP31" i="8"/>
  <c r="HP27" i="8"/>
  <c r="HP24" i="8"/>
  <c r="HP22" i="8"/>
  <c r="HP45" i="8"/>
  <c r="HP20" i="8"/>
  <c r="HP18" i="8"/>
  <c r="HP16" i="8"/>
  <c r="HP14" i="8"/>
  <c r="HP12" i="8"/>
  <c r="HP10" i="8"/>
  <c r="HP8" i="8"/>
  <c r="HP6" i="8"/>
  <c r="HP4" i="8"/>
  <c r="HP2" i="8"/>
  <c r="HP47" i="8"/>
  <c r="HP41" i="8"/>
  <c r="HP29" i="8"/>
  <c r="HP26" i="8"/>
  <c r="HP39" i="8"/>
  <c r="HP33" i="8"/>
  <c r="HP17" i="8"/>
  <c r="HP35" i="8"/>
  <c r="HP23" i="8"/>
  <c r="HP11" i="8"/>
  <c r="HP53" i="8"/>
  <c r="HP13" i="8"/>
  <c r="HP9" i="8"/>
  <c r="HP28" i="8"/>
  <c r="HP19" i="8"/>
  <c r="HP43" i="8"/>
  <c r="HP21" i="8"/>
  <c r="HP25" i="8"/>
  <c r="HP15" i="8"/>
  <c r="HP7" i="8"/>
  <c r="HP5" i="8"/>
  <c r="HP3" i="8"/>
  <c r="EN151" i="7"/>
  <c r="EN150" i="7"/>
  <c r="EN149" i="7"/>
  <c r="KA53" i="9"/>
  <c r="KA54" i="9"/>
  <c r="KA55" i="9"/>
  <c r="KA49" i="9"/>
  <c r="KA46" i="9"/>
  <c r="KA44" i="9"/>
  <c r="KA48" i="9"/>
  <c r="KA47" i="9"/>
  <c r="KA43" i="9"/>
  <c r="KA41" i="9"/>
  <c r="KA39" i="9"/>
  <c r="KA45" i="9"/>
  <c r="KA40" i="9"/>
  <c r="KA36" i="9"/>
  <c r="KA34" i="9"/>
  <c r="KA32" i="9"/>
  <c r="KA42" i="9"/>
  <c r="KA31" i="9"/>
  <c r="KA29" i="9"/>
  <c r="KA37" i="9"/>
  <c r="KA26" i="9"/>
  <c r="KA28" i="9"/>
  <c r="KA35" i="9"/>
  <c r="KA23" i="9"/>
  <c r="KA21" i="9"/>
  <c r="KA19" i="9"/>
  <c r="KA17" i="9"/>
  <c r="KA15" i="9"/>
  <c r="KA13" i="9"/>
  <c r="KA33" i="9"/>
  <c r="KA25" i="9"/>
  <c r="KA22" i="9"/>
  <c r="KA11" i="9"/>
  <c r="KA9" i="9"/>
  <c r="KA7" i="9"/>
  <c r="KA16" i="9"/>
  <c r="KA27" i="9"/>
  <c r="KA30" i="9"/>
  <c r="KA18" i="9"/>
  <c r="KA10" i="9"/>
  <c r="KA6" i="9"/>
  <c r="KA38" i="9"/>
  <c r="KA12" i="9"/>
  <c r="KA5" i="9"/>
  <c r="KA4" i="9"/>
  <c r="KA24" i="9"/>
  <c r="KA8" i="9"/>
  <c r="KA2" i="9"/>
  <c r="KA20" i="9"/>
  <c r="KA14" i="9"/>
  <c r="KA3" i="9"/>
  <c r="HG55" i="9"/>
  <c r="HG53" i="9"/>
  <c r="HG54" i="9"/>
  <c r="HG48" i="9"/>
  <c r="HG43" i="9"/>
  <c r="HG41" i="9"/>
  <c r="HG39" i="9"/>
  <c r="HG45" i="9"/>
  <c r="HG40" i="9"/>
  <c r="HG47" i="9"/>
  <c r="HG36" i="9"/>
  <c r="HG34" i="9"/>
  <c r="HG32" i="9"/>
  <c r="HG46" i="9"/>
  <c r="HG42" i="9"/>
  <c r="HG31" i="9"/>
  <c r="HG29" i="9"/>
  <c r="HG35" i="9"/>
  <c r="HG44" i="9"/>
  <c r="HG37" i="9"/>
  <c r="HG33" i="9"/>
  <c r="HG26" i="9"/>
  <c r="HG23" i="9"/>
  <c r="HG21" i="9"/>
  <c r="HG19" i="9"/>
  <c r="HG17" i="9"/>
  <c r="HG15" i="9"/>
  <c r="HG13" i="9"/>
  <c r="HG49" i="9"/>
  <c r="HG38" i="9"/>
  <c r="HG20" i="9"/>
  <c r="HG11" i="9"/>
  <c r="HG9" i="9"/>
  <c r="HG7" i="9"/>
  <c r="HG14" i="9"/>
  <c r="HG28" i="9"/>
  <c r="HG30" i="9"/>
  <c r="HG16" i="9"/>
  <c r="HG5" i="9"/>
  <c r="HG4" i="9"/>
  <c r="HG25" i="9"/>
  <c r="HG27" i="9"/>
  <c r="HG2" i="9"/>
  <c r="HG22" i="9"/>
  <c r="HG3" i="9"/>
  <c r="HG12" i="9"/>
  <c r="HG24" i="9"/>
  <c r="HG18" i="9"/>
  <c r="HG10" i="9"/>
  <c r="HG8" i="9"/>
  <c r="HG6" i="9"/>
  <c r="FS55" i="8"/>
  <c r="FS53" i="8"/>
  <c r="FS48" i="8"/>
  <c r="FS45" i="8"/>
  <c r="FS43" i="8"/>
  <c r="FS41" i="8"/>
  <c r="FS39" i="8"/>
  <c r="FS46" i="8"/>
  <c r="FS40" i="8"/>
  <c r="FS54" i="8"/>
  <c r="FS42" i="8"/>
  <c r="FS36" i="8"/>
  <c r="FS38" i="8"/>
  <c r="FS35" i="8"/>
  <c r="FS28" i="8"/>
  <c r="FS44" i="8"/>
  <c r="FS47" i="8"/>
  <c r="FS49" i="8"/>
  <c r="FS37" i="8"/>
  <c r="FS32" i="8"/>
  <c r="FS21" i="8"/>
  <c r="FS19" i="8"/>
  <c r="FS17" i="8"/>
  <c r="FS15" i="8"/>
  <c r="FS13" i="8"/>
  <c r="FS11" i="8"/>
  <c r="FS9" i="8"/>
  <c r="FS7" i="8"/>
  <c r="FS5" i="8"/>
  <c r="FS29" i="8"/>
  <c r="FS26" i="8"/>
  <c r="FS10" i="8"/>
  <c r="FS31" i="8"/>
  <c r="FS20" i="8"/>
  <c r="FS4" i="8"/>
  <c r="FS33" i="8"/>
  <c r="FS34" i="8"/>
  <c r="FS30" i="8"/>
  <c r="FS6" i="8"/>
  <c r="FS2" i="8"/>
  <c r="FS24" i="8"/>
  <c r="FS22" i="8"/>
  <c r="FS8" i="8"/>
  <c r="FS16" i="8"/>
  <c r="FS18" i="8"/>
  <c r="FS25" i="8"/>
  <c r="FS27" i="8"/>
  <c r="FS12" i="8"/>
  <c r="FS14" i="8"/>
  <c r="FS3" i="8"/>
  <c r="FS23" i="8"/>
  <c r="EE151" i="7"/>
  <c r="EE150" i="7"/>
  <c r="EE149" i="7"/>
  <c r="DO55" i="8"/>
  <c r="DO53" i="8"/>
  <c r="DO47" i="8"/>
  <c r="DO45" i="8"/>
  <c r="DO43" i="8"/>
  <c r="DO41" i="8"/>
  <c r="DO39" i="8"/>
  <c r="DO54" i="8"/>
  <c r="DO48" i="8"/>
  <c r="DO42" i="8"/>
  <c r="DO44" i="8"/>
  <c r="DO38" i="8"/>
  <c r="DO36" i="8"/>
  <c r="DO37" i="8"/>
  <c r="DO32" i="8"/>
  <c r="DO30" i="8"/>
  <c r="DO25" i="8"/>
  <c r="DO46" i="8"/>
  <c r="DO40" i="8"/>
  <c r="DO49" i="8"/>
  <c r="DO34" i="8"/>
  <c r="DO21" i="8"/>
  <c r="DO19" i="8"/>
  <c r="DO17" i="8"/>
  <c r="DO15" i="8"/>
  <c r="DO13" i="8"/>
  <c r="DO11" i="8"/>
  <c r="DO9" i="8"/>
  <c r="DO7" i="8"/>
  <c r="DO5" i="8"/>
  <c r="DO28" i="8"/>
  <c r="DO12" i="8"/>
  <c r="DO2" i="8"/>
  <c r="DO33" i="8"/>
  <c r="DO22" i="8"/>
  <c r="DO6" i="8"/>
  <c r="DO35" i="8"/>
  <c r="DO29" i="8"/>
  <c r="DO31" i="8"/>
  <c r="DO8" i="8"/>
  <c r="DO10" i="8"/>
  <c r="DO26" i="8"/>
  <c r="DO24" i="8"/>
  <c r="DO23" i="8"/>
  <c r="DO18" i="8"/>
  <c r="DO20" i="8"/>
  <c r="DO14" i="8"/>
  <c r="DO4" i="8"/>
  <c r="DO3" i="8"/>
  <c r="DO27" i="8"/>
  <c r="DO16" i="8"/>
  <c r="CA48" i="8"/>
  <c r="CA45" i="8"/>
  <c r="CA43" i="8"/>
  <c r="CA41" i="8"/>
  <c r="CA39" i="8"/>
  <c r="CA49" i="8"/>
  <c r="CA46" i="8"/>
  <c r="CA44" i="8"/>
  <c r="CA33" i="8"/>
  <c r="CA28" i="8"/>
  <c r="CA40" i="8"/>
  <c r="CA42" i="8"/>
  <c r="CA47" i="8"/>
  <c r="CA38" i="8"/>
  <c r="CA36" i="8"/>
  <c r="CA24" i="8"/>
  <c r="CA23" i="8"/>
  <c r="CA21" i="8"/>
  <c r="CA19" i="8"/>
  <c r="CA17" i="8"/>
  <c r="CA15" i="8"/>
  <c r="CA13" i="8"/>
  <c r="CA11" i="8"/>
  <c r="CA9" i="8"/>
  <c r="CA7" i="8"/>
  <c r="CA5" i="8"/>
  <c r="CA27" i="8"/>
  <c r="CA18" i="8"/>
  <c r="CA30" i="8"/>
  <c r="CA12" i="8"/>
  <c r="CA34" i="8"/>
  <c r="CA37" i="8"/>
  <c r="CA35" i="8"/>
  <c r="CA31" i="8"/>
  <c r="CA14" i="8"/>
  <c r="CA2" i="8"/>
  <c r="CA25" i="8"/>
  <c r="CA10" i="8"/>
  <c r="CA29" i="8"/>
  <c r="CA20" i="8"/>
  <c r="CA22" i="8"/>
  <c r="CA32" i="8"/>
  <c r="CA26" i="8"/>
  <c r="CA8" i="8"/>
  <c r="CA16" i="8"/>
  <c r="CA4" i="8"/>
  <c r="CA3" i="8"/>
  <c r="CA6" i="8"/>
  <c r="CA47" i="9"/>
  <c r="CA46" i="9"/>
  <c r="CA45" i="9"/>
  <c r="CA49" i="9"/>
  <c r="CA48" i="9"/>
  <c r="CA43" i="9"/>
  <c r="CA41" i="9"/>
  <c r="CA44" i="9"/>
  <c r="CA39" i="9"/>
  <c r="CA36" i="9"/>
  <c r="CA34" i="9"/>
  <c r="CA32" i="9"/>
  <c r="CA42" i="9"/>
  <c r="CA31" i="9"/>
  <c r="CA29" i="9"/>
  <c r="CA40" i="9"/>
  <c r="CA33" i="9"/>
  <c r="CA35" i="9"/>
  <c r="CA28" i="9"/>
  <c r="CA26" i="9"/>
  <c r="CA37" i="9"/>
  <c r="CA27" i="9"/>
  <c r="CA23" i="9"/>
  <c r="CA21" i="9"/>
  <c r="CA19" i="9"/>
  <c r="CA17" i="9"/>
  <c r="CA15" i="9"/>
  <c r="CA13" i="9"/>
  <c r="CA38" i="9"/>
  <c r="CA18" i="9"/>
  <c r="CA11" i="9"/>
  <c r="CA9" i="9"/>
  <c r="CA25" i="9"/>
  <c r="CA12" i="9"/>
  <c r="CA30" i="9"/>
  <c r="CA22" i="9"/>
  <c r="CA14" i="9"/>
  <c r="CA24" i="9"/>
  <c r="CA7" i="9"/>
  <c r="CA6" i="9"/>
  <c r="CA2" i="9"/>
  <c r="CA20" i="9"/>
  <c r="CA16" i="9"/>
  <c r="CA8" i="9"/>
  <c r="CA10" i="9"/>
  <c r="CA5" i="9"/>
  <c r="CA3" i="9"/>
  <c r="CA4" i="9"/>
  <c r="BK48" i="9"/>
  <c r="BK46" i="9"/>
  <c r="BK47" i="9"/>
  <c r="BK43" i="9"/>
  <c r="BK41" i="9"/>
  <c r="BK49" i="9"/>
  <c r="BK44" i="9"/>
  <c r="BK39" i="9"/>
  <c r="BK42" i="9"/>
  <c r="BK36" i="9"/>
  <c r="BK34" i="9"/>
  <c r="BK32" i="9"/>
  <c r="BK35" i="9"/>
  <c r="BK31" i="9"/>
  <c r="BK29" i="9"/>
  <c r="BK45" i="9"/>
  <c r="BK40" i="9"/>
  <c r="BK37" i="9"/>
  <c r="BK28" i="9"/>
  <c r="BK26" i="9"/>
  <c r="BK23" i="9"/>
  <c r="BK21" i="9"/>
  <c r="BK19" i="9"/>
  <c r="BK17" i="9"/>
  <c r="BK15" i="9"/>
  <c r="BK13" i="9"/>
  <c r="BK33" i="9"/>
  <c r="BK11" i="9"/>
  <c r="BK9" i="9"/>
  <c r="BK24" i="9"/>
  <c r="BK27" i="9"/>
  <c r="BK38" i="9"/>
  <c r="BK16" i="9"/>
  <c r="BK25" i="9"/>
  <c r="BK30" i="9"/>
  <c r="BK8" i="9"/>
  <c r="BK4" i="9"/>
  <c r="BK2" i="9"/>
  <c r="BK12" i="9"/>
  <c r="BK18" i="9"/>
  <c r="BK20" i="9"/>
  <c r="BK14" i="9"/>
  <c r="BK10" i="9"/>
  <c r="BK22" i="9"/>
  <c r="BK7" i="9"/>
  <c r="BK6" i="9"/>
  <c r="BK5" i="9"/>
  <c r="BK3" i="9"/>
  <c r="BC46" i="9"/>
  <c r="BC48" i="9"/>
  <c r="BC43" i="9"/>
  <c r="BC41" i="9"/>
  <c r="BC45" i="9"/>
  <c r="BC47" i="9"/>
  <c r="BC44" i="9"/>
  <c r="BC42" i="9"/>
  <c r="BC39" i="9"/>
  <c r="BC40" i="9"/>
  <c r="BC36" i="9"/>
  <c r="BC34" i="9"/>
  <c r="BC32" i="9"/>
  <c r="BC49" i="9"/>
  <c r="BC38" i="9"/>
  <c r="BC33" i="9"/>
  <c r="BC31" i="9"/>
  <c r="BC29" i="9"/>
  <c r="BC28" i="9"/>
  <c r="BC26" i="9"/>
  <c r="BC30" i="9"/>
  <c r="BC27" i="9"/>
  <c r="BC35" i="9"/>
  <c r="BC23" i="9"/>
  <c r="BC21" i="9"/>
  <c r="BC19" i="9"/>
  <c r="BC17" i="9"/>
  <c r="BC15" i="9"/>
  <c r="BC13" i="9"/>
  <c r="BC37" i="9"/>
  <c r="BC11" i="9"/>
  <c r="BC9" i="9"/>
  <c r="BC22" i="9"/>
  <c r="BC14" i="9"/>
  <c r="BC25" i="9"/>
  <c r="BC24" i="9"/>
  <c r="BC20" i="9"/>
  <c r="BC10" i="9"/>
  <c r="BC18" i="9"/>
  <c r="BC12" i="9"/>
  <c r="BC4" i="9"/>
  <c r="BC2" i="9"/>
  <c r="BC7" i="9"/>
  <c r="BC16" i="9"/>
  <c r="BC6" i="9"/>
  <c r="BC8" i="9"/>
  <c r="BC5" i="9"/>
  <c r="BC3" i="9"/>
  <c r="AU48" i="8"/>
  <c r="AU45" i="8"/>
  <c r="AU43" i="8"/>
  <c r="AU41" i="8"/>
  <c r="AU39" i="8"/>
  <c r="AU40" i="8"/>
  <c r="AU46" i="8"/>
  <c r="AU42" i="8"/>
  <c r="AU47" i="8"/>
  <c r="AU35" i="8"/>
  <c r="AU28" i="8"/>
  <c r="AU49" i="8"/>
  <c r="AU44" i="8"/>
  <c r="AU32" i="8"/>
  <c r="AU21" i="8"/>
  <c r="AU19" i="8"/>
  <c r="AU17" i="8"/>
  <c r="AU15" i="8"/>
  <c r="AU13" i="8"/>
  <c r="AU11" i="8"/>
  <c r="AU9" i="8"/>
  <c r="AU7" i="8"/>
  <c r="AU5" i="8"/>
  <c r="AU30" i="8"/>
  <c r="AU10" i="8"/>
  <c r="AU25" i="8"/>
  <c r="AU23" i="8"/>
  <c r="AU20" i="8"/>
  <c r="AU38" i="8"/>
  <c r="AU31" i="8"/>
  <c r="AU37" i="8"/>
  <c r="AU29" i="8"/>
  <c r="AU36" i="8"/>
  <c r="AU33" i="8"/>
  <c r="AU34" i="8"/>
  <c r="AU24" i="8"/>
  <c r="AU22" i="8"/>
  <c r="AU6" i="8"/>
  <c r="AU2" i="8"/>
  <c r="AU12" i="8"/>
  <c r="AU14" i="8"/>
  <c r="AU4" i="8"/>
  <c r="AU8" i="8"/>
  <c r="AU27" i="8"/>
  <c r="AU16" i="8"/>
  <c r="AU18" i="8"/>
  <c r="AU3" i="8"/>
  <c r="AU26" i="8"/>
  <c r="O47" i="9"/>
  <c r="O46" i="9"/>
  <c r="O48" i="9"/>
  <c r="O45" i="9"/>
  <c r="O43" i="9"/>
  <c r="O41" i="9"/>
  <c r="O44" i="9"/>
  <c r="O49" i="9"/>
  <c r="O39" i="9"/>
  <c r="O42" i="9"/>
  <c r="O38" i="9"/>
  <c r="O36" i="9"/>
  <c r="O34" i="9"/>
  <c r="O40" i="9"/>
  <c r="O31" i="9"/>
  <c r="O29" i="9"/>
  <c r="O33" i="9"/>
  <c r="O35" i="9"/>
  <c r="O32" i="9"/>
  <c r="O28" i="9"/>
  <c r="O26" i="9"/>
  <c r="O37" i="9"/>
  <c r="O27" i="9"/>
  <c r="O25" i="9"/>
  <c r="O23" i="9"/>
  <c r="O21" i="9"/>
  <c r="O19" i="9"/>
  <c r="O17" i="9"/>
  <c r="O15" i="9"/>
  <c r="O13" i="9"/>
  <c r="O18" i="9"/>
  <c r="O11" i="9"/>
  <c r="O9" i="9"/>
  <c r="O30" i="9"/>
  <c r="O20" i="9"/>
  <c r="O22" i="9"/>
  <c r="O14" i="9"/>
  <c r="O7" i="9"/>
  <c r="O6" i="9"/>
  <c r="O4" i="9"/>
  <c r="O2" i="9"/>
  <c r="O16" i="9"/>
  <c r="O10" i="9"/>
  <c r="O24" i="9"/>
  <c r="O12" i="9"/>
  <c r="O8" i="9"/>
  <c r="O5" i="9"/>
  <c r="O3" i="9"/>
  <c r="G47" i="8"/>
  <c r="G46" i="8"/>
  <c r="G45" i="8"/>
  <c r="G43" i="8"/>
  <c r="G41" i="8"/>
  <c r="G39" i="8"/>
  <c r="G37" i="8"/>
  <c r="G49" i="8"/>
  <c r="G48" i="8"/>
  <c r="G36" i="8"/>
  <c r="G31" i="8"/>
  <c r="G29" i="8"/>
  <c r="G26" i="8"/>
  <c r="G42" i="8"/>
  <c r="G44" i="8"/>
  <c r="G21" i="8"/>
  <c r="G19" i="8"/>
  <c r="G17" i="8"/>
  <c r="G15" i="8"/>
  <c r="G13" i="8"/>
  <c r="G11" i="8"/>
  <c r="G9" i="8"/>
  <c r="G7" i="8"/>
  <c r="G5" i="8"/>
  <c r="G23" i="8"/>
  <c r="G16" i="8"/>
  <c r="G3" i="8"/>
  <c r="G27" i="8"/>
  <c r="G10" i="8"/>
  <c r="G40" i="8"/>
  <c r="G30" i="8"/>
  <c r="G32" i="8"/>
  <c r="G38" i="8"/>
  <c r="G33" i="8"/>
  <c r="G35" i="8"/>
  <c r="G34" i="8"/>
  <c r="G12" i="8"/>
  <c r="G24" i="8"/>
  <c r="G14" i="8"/>
  <c r="G6" i="8"/>
  <c r="G22" i="8"/>
  <c r="G8" i="8"/>
  <c r="G28" i="8"/>
  <c r="G25" i="8"/>
  <c r="G18" i="8"/>
  <c r="G2" i="8"/>
  <c r="G20" i="8"/>
  <c r="G4" i="8"/>
  <c r="JF149" i="7"/>
  <c r="JF151" i="7"/>
  <c r="JF150" i="7"/>
  <c r="JR49" i="8"/>
  <c r="JR53" i="8"/>
  <c r="JR46" i="8"/>
  <c r="JR55" i="8"/>
  <c r="JR41" i="8"/>
  <c r="JR34" i="8"/>
  <c r="JR32" i="8"/>
  <c r="JR30" i="8"/>
  <c r="JR28" i="8"/>
  <c r="JR26" i="8"/>
  <c r="JR24" i="8"/>
  <c r="JR22" i="8"/>
  <c r="JR40" i="8"/>
  <c r="JR36" i="8"/>
  <c r="JR54" i="8"/>
  <c r="JR42" i="8"/>
  <c r="JR27" i="8"/>
  <c r="JR23" i="8"/>
  <c r="JR48" i="8"/>
  <c r="JR44" i="8"/>
  <c r="JR43" i="8"/>
  <c r="JR47" i="8"/>
  <c r="JR45" i="8"/>
  <c r="JR39" i="8"/>
  <c r="JR29" i="8"/>
  <c r="JR38" i="8"/>
  <c r="JR21" i="8"/>
  <c r="JR10" i="8"/>
  <c r="JR5" i="8"/>
  <c r="JR31" i="8"/>
  <c r="JR20" i="8"/>
  <c r="JR15" i="8"/>
  <c r="JR4" i="8"/>
  <c r="JR2" i="8"/>
  <c r="JR37" i="8"/>
  <c r="JR33" i="8"/>
  <c r="JR17" i="8"/>
  <c r="JR6" i="8"/>
  <c r="JR8" i="8"/>
  <c r="JR7" i="8"/>
  <c r="JR16" i="8"/>
  <c r="JR9" i="8"/>
  <c r="JR35" i="8"/>
  <c r="JR18" i="8"/>
  <c r="JR19" i="8"/>
  <c r="JR11" i="8"/>
  <c r="JR25" i="8"/>
  <c r="JR12" i="8"/>
  <c r="JR13" i="8"/>
  <c r="JR14" i="8"/>
  <c r="JR3" i="8"/>
  <c r="JJ150" i="7"/>
  <c r="JJ149" i="7"/>
  <c r="JJ151" i="7"/>
  <c r="JB55" i="8"/>
  <c r="JB48" i="8"/>
  <c r="JB45" i="8"/>
  <c r="JB54" i="8"/>
  <c r="JB47" i="8"/>
  <c r="JB53" i="8"/>
  <c r="JB42" i="8"/>
  <c r="JB35" i="8"/>
  <c r="JB34" i="8"/>
  <c r="JB32" i="8"/>
  <c r="JB30" i="8"/>
  <c r="JB28" i="8"/>
  <c r="JB26" i="8"/>
  <c r="JB24" i="8"/>
  <c r="JB22" i="8"/>
  <c r="JB46" i="8"/>
  <c r="JB37" i="8"/>
  <c r="JB38" i="8"/>
  <c r="JB43" i="8"/>
  <c r="JB44" i="8"/>
  <c r="JB31" i="8"/>
  <c r="JB49" i="8"/>
  <c r="JB40" i="8"/>
  <c r="JB41" i="8"/>
  <c r="JB33" i="8"/>
  <c r="JB25" i="8"/>
  <c r="JB23" i="8"/>
  <c r="JB17" i="8"/>
  <c r="JB6" i="8"/>
  <c r="JB36" i="8"/>
  <c r="JB16" i="8"/>
  <c r="JB11" i="8"/>
  <c r="JB3" i="8"/>
  <c r="JB18" i="8"/>
  <c r="JB13" i="8"/>
  <c r="JB8" i="8"/>
  <c r="JB10" i="8"/>
  <c r="JB9" i="8"/>
  <c r="JB39" i="8"/>
  <c r="JB27" i="8"/>
  <c r="JB20" i="8"/>
  <c r="JB19" i="8"/>
  <c r="JB12" i="8"/>
  <c r="JB29" i="8"/>
  <c r="JB21" i="8"/>
  <c r="JB14" i="8"/>
  <c r="JB5" i="8"/>
  <c r="JB2" i="8"/>
  <c r="JB7" i="8"/>
  <c r="JB4" i="8"/>
  <c r="JB15" i="8"/>
  <c r="JB55" i="9"/>
  <c r="JB53" i="9"/>
  <c r="JB54" i="9"/>
  <c r="JB49" i="9"/>
  <c r="JB48" i="9"/>
  <c r="JB46" i="9"/>
  <c r="JB47" i="9"/>
  <c r="JB44" i="9"/>
  <c r="JB43" i="9"/>
  <c r="JB42" i="9"/>
  <c r="JB45" i="9"/>
  <c r="JB41" i="9"/>
  <c r="JB38" i="9"/>
  <c r="JB37" i="9"/>
  <c r="JB35" i="9"/>
  <c r="JB33" i="9"/>
  <c r="JB36" i="9"/>
  <c r="JB31" i="9"/>
  <c r="JB29" i="9"/>
  <c r="JB40" i="9"/>
  <c r="JB27" i="9"/>
  <c r="JB25" i="9"/>
  <c r="JB39" i="9"/>
  <c r="JB34" i="9"/>
  <c r="JB30" i="9"/>
  <c r="JB24" i="9"/>
  <c r="JB22" i="9"/>
  <c r="JB20" i="9"/>
  <c r="JB18" i="9"/>
  <c r="JB16" i="9"/>
  <c r="JB21" i="9"/>
  <c r="JB12" i="9"/>
  <c r="JB28" i="9"/>
  <c r="JB15" i="9"/>
  <c r="JB11" i="9"/>
  <c r="JB9" i="9"/>
  <c r="JB7" i="9"/>
  <c r="JB5" i="9"/>
  <c r="JB32" i="9"/>
  <c r="JB26" i="9"/>
  <c r="JB17" i="9"/>
  <c r="JB14" i="9"/>
  <c r="JB10" i="9"/>
  <c r="JB8" i="9"/>
  <c r="JB23" i="9"/>
  <c r="JB13" i="9"/>
  <c r="JB6" i="9"/>
  <c r="JB4" i="9"/>
  <c r="JB19" i="9"/>
  <c r="JB3" i="9"/>
  <c r="JB2" i="9"/>
  <c r="IT55" i="9"/>
  <c r="IT53" i="9"/>
  <c r="IT54" i="9"/>
  <c r="IT49" i="9"/>
  <c r="IT48" i="9"/>
  <c r="IT46" i="9"/>
  <c r="IT47" i="9"/>
  <c r="IT43" i="9"/>
  <c r="IT45" i="9"/>
  <c r="IT44" i="9"/>
  <c r="IT42" i="9"/>
  <c r="IT39" i="9"/>
  <c r="IT37" i="9"/>
  <c r="IT35" i="9"/>
  <c r="IT33" i="9"/>
  <c r="IT41" i="9"/>
  <c r="IT38" i="9"/>
  <c r="IT34" i="9"/>
  <c r="IT31" i="9"/>
  <c r="IT29" i="9"/>
  <c r="IT36" i="9"/>
  <c r="IT32" i="9"/>
  <c r="IT30" i="9"/>
  <c r="IT27" i="9"/>
  <c r="IT25" i="9"/>
  <c r="IT40" i="9"/>
  <c r="IT24" i="9"/>
  <c r="IT22" i="9"/>
  <c r="IT20" i="9"/>
  <c r="IT18" i="9"/>
  <c r="IT16" i="9"/>
  <c r="IT19" i="9"/>
  <c r="IT13" i="9"/>
  <c r="IT11" i="9"/>
  <c r="IT9" i="9"/>
  <c r="IT7" i="9"/>
  <c r="IT5" i="9"/>
  <c r="IT28" i="9"/>
  <c r="IT26" i="9"/>
  <c r="IT15" i="9"/>
  <c r="IT12" i="9"/>
  <c r="IT21" i="9"/>
  <c r="IT17" i="9"/>
  <c r="IT14" i="9"/>
  <c r="IT4" i="9"/>
  <c r="IT23" i="9"/>
  <c r="IT8" i="9"/>
  <c r="IT3" i="9"/>
  <c r="IT10" i="9"/>
  <c r="IT6" i="9"/>
  <c r="IT2" i="9"/>
  <c r="HN151" i="7"/>
  <c r="HN149" i="7"/>
  <c r="HN150" i="7"/>
  <c r="FZ49" i="8"/>
  <c r="FZ54" i="8"/>
  <c r="FZ53" i="8"/>
  <c r="FZ34" i="8"/>
  <c r="FZ32" i="8"/>
  <c r="FZ30" i="8"/>
  <c r="FZ28" i="8"/>
  <c r="FZ26" i="8"/>
  <c r="FZ24" i="8"/>
  <c r="FZ22" i="8"/>
  <c r="FZ55" i="8"/>
  <c r="FZ47" i="8"/>
  <c r="FZ43" i="8"/>
  <c r="FZ36" i="8"/>
  <c r="FZ45" i="8"/>
  <c r="FZ44" i="8"/>
  <c r="FZ33" i="8"/>
  <c r="FZ27" i="8"/>
  <c r="FZ40" i="8"/>
  <c r="FZ48" i="8"/>
  <c r="FZ46" i="8"/>
  <c r="FZ42" i="8"/>
  <c r="FZ41" i="8"/>
  <c r="FZ38" i="8"/>
  <c r="FZ29" i="8"/>
  <c r="FZ23" i="8"/>
  <c r="FZ18" i="8"/>
  <c r="FZ13" i="8"/>
  <c r="FZ25" i="8"/>
  <c r="FZ12" i="8"/>
  <c r="FZ7" i="8"/>
  <c r="FZ2" i="8"/>
  <c r="FZ39" i="8"/>
  <c r="FZ35" i="8"/>
  <c r="FZ37" i="8"/>
  <c r="FZ31" i="8"/>
  <c r="FZ14" i="8"/>
  <c r="FZ9" i="8"/>
  <c r="FZ17" i="8"/>
  <c r="FZ3" i="8"/>
  <c r="FZ10" i="8"/>
  <c r="FZ11" i="8"/>
  <c r="FZ19" i="8"/>
  <c r="FZ20" i="8"/>
  <c r="FZ6" i="8"/>
  <c r="FZ21" i="8"/>
  <c r="FZ4" i="8"/>
  <c r="FZ15" i="8"/>
  <c r="FZ8" i="8"/>
  <c r="FZ16" i="8"/>
  <c r="FZ5" i="8"/>
  <c r="FZ55" i="9"/>
  <c r="FZ53" i="9"/>
  <c r="FZ54" i="9"/>
  <c r="FZ49" i="9"/>
  <c r="FZ48" i="9"/>
  <c r="FZ46" i="9"/>
  <c r="FZ47" i="9"/>
  <c r="FZ43" i="9"/>
  <c r="FZ45" i="9"/>
  <c r="FZ44" i="9"/>
  <c r="FZ41" i="9"/>
  <c r="FZ38" i="9"/>
  <c r="FZ42" i="9"/>
  <c r="FZ37" i="9"/>
  <c r="FZ35" i="9"/>
  <c r="FZ33" i="9"/>
  <c r="FZ32" i="9"/>
  <c r="FZ31" i="9"/>
  <c r="FZ29" i="9"/>
  <c r="FZ34" i="9"/>
  <c r="FZ36" i="9"/>
  <c r="FZ40" i="9"/>
  <c r="FZ39" i="9"/>
  <c r="FZ30" i="9"/>
  <c r="FZ27" i="9"/>
  <c r="FZ25" i="9"/>
  <c r="FZ26" i="9"/>
  <c r="FZ28" i="9"/>
  <c r="FZ24" i="9"/>
  <c r="FZ22" i="9"/>
  <c r="FZ20" i="9"/>
  <c r="FZ18" i="9"/>
  <c r="FZ16" i="9"/>
  <c r="FZ17" i="9"/>
  <c r="FZ11" i="9"/>
  <c r="FZ9" i="9"/>
  <c r="FZ7" i="9"/>
  <c r="FZ5" i="9"/>
  <c r="FZ13" i="9"/>
  <c r="FZ15" i="9"/>
  <c r="FZ23" i="9"/>
  <c r="FZ21" i="9"/>
  <c r="FZ19" i="9"/>
  <c r="FZ6" i="9"/>
  <c r="FZ14" i="9"/>
  <c r="FZ12" i="9"/>
  <c r="FZ4" i="9"/>
  <c r="FZ2" i="9"/>
  <c r="FZ3" i="9"/>
  <c r="FZ10" i="9"/>
  <c r="FZ8" i="9"/>
  <c r="FR55" i="9"/>
  <c r="FR54" i="9"/>
  <c r="FR49" i="9"/>
  <c r="FR48" i="9"/>
  <c r="FR46" i="9"/>
  <c r="FR45" i="9"/>
  <c r="FR43" i="9"/>
  <c r="FR41" i="9"/>
  <c r="FR53" i="9"/>
  <c r="FR47" i="9"/>
  <c r="FR40" i="9"/>
  <c r="FR39" i="9"/>
  <c r="FR38" i="9"/>
  <c r="FR37" i="9"/>
  <c r="FR35" i="9"/>
  <c r="FR33" i="9"/>
  <c r="FR42" i="9"/>
  <c r="FR36" i="9"/>
  <c r="FR31" i="9"/>
  <c r="FR29" i="9"/>
  <c r="FR32" i="9"/>
  <c r="FR34" i="9"/>
  <c r="FR44" i="9"/>
  <c r="FR27" i="9"/>
  <c r="FR25" i="9"/>
  <c r="FR30" i="9"/>
  <c r="FR26" i="9"/>
  <c r="FR24" i="9"/>
  <c r="FR22" i="9"/>
  <c r="FR20" i="9"/>
  <c r="FR18" i="9"/>
  <c r="FR16" i="9"/>
  <c r="FR15" i="9"/>
  <c r="FR14" i="9"/>
  <c r="FR11" i="9"/>
  <c r="FR9" i="9"/>
  <c r="FR7" i="9"/>
  <c r="FR5" i="9"/>
  <c r="FR28" i="9"/>
  <c r="FR13" i="9"/>
  <c r="FR21" i="9"/>
  <c r="FR17" i="9"/>
  <c r="FR12" i="9"/>
  <c r="FR4" i="9"/>
  <c r="FR19" i="9"/>
  <c r="FR23" i="9"/>
  <c r="FR10" i="9"/>
  <c r="FR8" i="9"/>
  <c r="FR6" i="9"/>
  <c r="FR2" i="9"/>
  <c r="FR3" i="9"/>
  <c r="EL47" i="8"/>
  <c r="EL46" i="8"/>
  <c r="EL53" i="8"/>
  <c r="EL49" i="8"/>
  <c r="EL54" i="8"/>
  <c r="EL44" i="8"/>
  <c r="EL39" i="8"/>
  <c r="EL36" i="8"/>
  <c r="EL34" i="8"/>
  <c r="EL32" i="8"/>
  <c r="EL30" i="8"/>
  <c r="EL28" i="8"/>
  <c r="EL26" i="8"/>
  <c r="EL24" i="8"/>
  <c r="EL55" i="8"/>
  <c r="EL48" i="8"/>
  <c r="EL40" i="8"/>
  <c r="EL25" i="8"/>
  <c r="EL45" i="8"/>
  <c r="EL38" i="8"/>
  <c r="EL33" i="8"/>
  <c r="EL42" i="8"/>
  <c r="EL41" i="8"/>
  <c r="EL43" i="8"/>
  <c r="EL37" i="8"/>
  <c r="EL35" i="8"/>
  <c r="EL27" i="8"/>
  <c r="EL29" i="8"/>
  <c r="EL19" i="8"/>
  <c r="EL8" i="8"/>
  <c r="EL18" i="8"/>
  <c r="EL13" i="8"/>
  <c r="EL31" i="8"/>
  <c r="EL23" i="8"/>
  <c r="EL20" i="8"/>
  <c r="EL15" i="8"/>
  <c r="EL4" i="8"/>
  <c r="EL17" i="8"/>
  <c r="EL9" i="8"/>
  <c r="EL10" i="8"/>
  <c r="EL12" i="8"/>
  <c r="EL11" i="8"/>
  <c r="EL22" i="8"/>
  <c r="EL21" i="8"/>
  <c r="EL14" i="8"/>
  <c r="EL7" i="8"/>
  <c r="EL6" i="8"/>
  <c r="EL3" i="8"/>
  <c r="EL16" i="8"/>
  <c r="EL5" i="8"/>
  <c r="EL2" i="8"/>
  <c r="DV53" i="8"/>
  <c r="DV54" i="8"/>
  <c r="DV48" i="8"/>
  <c r="DV46" i="8"/>
  <c r="DV55" i="8"/>
  <c r="DV40" i="8"/>
  <c r="DV34" i="8"/>
  <c r="DV32" i="8"/>
  <c r="DV30" i="8"/>
  <c r="DV28" i="8"/>
  <c r="DV26" i="8"/>
  <c r="DV24" i="8"/>
  <c r="DV49" i="8"/>
  <c r="DV45" i="8"/>
  <c r="DV38" i="8"/>
  <c r="DV36" i="8"/>
  <c r="DV39" i="8"/>
  <c r="DV35" i="8"/>
  <c r="DV29" i="8"/>
  <c r="DV47" i="8"/>
  <c r="DV41" i="8"/>
  <c r="DV42" i="8"/>
  <c r="DV44" i="8"/>
  <c r="DV43" i="8"/>
  <c r="DV37" i="8"/>
  <c r="DV31" i="8"/>
  <c r="DV20" i="8"/>
  <c r="DV15" i="8"/>
  <c r="DV4" i="8"/>
  <c r="DV27" i="8"/>
  <c r="DV14" i="8"/>
  <c r="DV9" i="8"/>
  <c r="DV33" i="8"/>
  <c r="DV16" i="8"/>
  <c r="DV11" i="8"/>
  <c r="DV19" i="8"/>
  <c r="DV23" i="8"/>
  <c r="DV12" i="8"/>
  <c r="DV13" i="8"/>
  <c r="DV25" i="8"/>
  <c r="DV21" i="8"/>
  <c r="DV22" i="8"/>
  <c r="DV8" i="8"/>
  <c r="DV7" i="8"/>
  <c r="DV2" i="8"/>
  <c r="DV17" i="8"/>
  <c r="DV5" i="8"/>
  <c r="DV10" i="8"/>
  <c r="DV18" i="8"/>
  <c r="DV6" i="8"/>
  <c r="DV3" i="8"/>
  <c r="CH55" i="9"/>
  <c r="CH53" i="9"/>
  <c r="CH48" i="9"/>
  <c r="CH49" i="9"/>
  <c r="CH54" i="9"/>
  <c r="CH46" i="9"/>
  <c r="CH45" i="9"/>
  <c r="CH47" i="9"/>
  <c r="CH41" i="9"/>
  <c r="CH39" i="9"/>
  <c r="CH38" i="9"/>
  <c r="CH44" i="9"/>
  <c r="CH37" i="9"/>
  <c r="CH35" i="9"/>
  <c r="CH33" i="9"/>
  <c r="CH31" i="9"/>
  <c r="CH43" i="9"/>
  <c r="CH42" i="9"/>
  <c r="CH40" i="9"/>
  <c r="CH36" i="9"/>
  <c r="CH30" i="9"/>
  <c r="CH27" i="9"/>
  <c r="CH29" i="9"/>
  <c r="CH25" i="9"/>
  <c r="CH34" i="9"/>
  <c r="CH24" i="9"/>
  <c r="CH22" i="9"/>
  <c r="CH20" i="9"/>
  <c r="CH18" i="9"/>
  <c r="CH16" i="9"/>
  <c r="CH26" i="9"/>
  <c r="CH28" i="9"/>
  <c r="CH19" i="9"/>
  <c r="CH11" i="9"/>
  <c r="CH9" i="9"/>
  <c r="CH7" i="9"/>
  <c r="CH5" i="9"/>
  <c r="CH32" i="9"/>
  <c r="CH21" i="9"/>
  <c r="CH13" i="9"/>
  <c r="CH17" i="9"/>
  <c r="CH6" i="9"/>
  <c r="CH4" i="9"/>
  <c r="CH23" i="9"/>
  <c r="CH15" i="9"/>
  <c r="CH10" i="9"/>
  <c r="CH3" i="9"/>
  <c r="CH12" i="9"/>
  <c r="CH14" i="9"/>
  <c r="CH2" i="9"/>
  <c r="CH8" i="9"/>
  <c r="BZ48" i="9"/>
  <c r="BZ47" i="9"/>
  <c r="BZ45" i="9"/>
  <c r="BZ49" i="9"/>
  <c r="BZ46" i="9"/>
  <c r="BZ44" i="9"/>
  <c r="BZ39" i="9"/>
  <c r="BZ40" i="9"/>
  <c r="BZ43" i="9"/>
  <c r="BZ38" i="9"/>
  <c r="BZ37" i="9"/>
  <c r="BZ35" i="9"/>
  <c r="BZ33" i="9"/>
  <c r="BZ31" i="9"/>
  <c r="BZ36" i="9"/>
  <c r="BZ27" i="9"/>
  <c r="BZ25" i="9"/>
  <c r="BZ41" i="9"/>
  <c r="BZ34" i="9"/>
  <c r="BZ42" i="9"/>
  <c r="BZ24" i="9"/>
  <c r="BZ22" i="9"/>
  <c r="BZ20" i="9"/>
  <c r="BZ18" i="9"/>
  <c r="BZ16" i="9"/>
  <c r="BZ23" i="9"/>
  <c r="BZ14" i="9"/>
  <c r="BZ17" i="9"/>
  <c r="BZ11" i="9"/>
  <c r="BZ9" i="9"/>
  <c r="BZ7" i="9"/>
  <c r="BZ5" i="9"/>
  <c r="BZ30" i="9"/>
  <c r="BZ32" i="9"/>
  <c r="BZ28" i="9"/>
  <c r="BZ19" i="9"/>
  <c r="BZ29" i="9"/>
  <c r="BZ4" i="9"/>
  <c r="BZ15" i="9"/>
  <c r="BZ26" i="9"/>
  <c r="BZ10" i="9"/>
  <c r="BZ2" i="9"/>
  <c r="BZ13" i="9"/>
  <c r="BZ12" i="9"/>
  <c r="BZ21" i="9"/>
  <c r="BZ3" i="9"/>
  <c r="BZ8" i="9"/>
  <c r="BZ6" i="9"/>
  <c r="BR149" i="7"/>
  <c r="BR150" i="7"/>
  <c r="BR151" i="7"/>
  <c r="BB49" i="8"/>
  <c r="BB48" i="8"/>
  <c r="BB47" i="8"/>
  <c r="BB34" i="8"/>
  <c r="BB32" i="8"/>
  <c r="BB30" i="8"/>
  <c r="BB28" i="8"/>
  <c r="BB26" i="8"/>
  <c r="BB24" i="8"/>
  <c r="BB43" i="8"/>
  <c r="BB45" i="8"/>
  <c r="BB46" i="8"/>
  <c r="BB37" i="8"/>
  <c r="BB33" i="8"/>
  <c r="BB27" i="8"/>
  <c r="BB44" i="8"/>
  <c r="BB40" i="8"/>
  <c r="BB29" i="8"/>
  <c r="BB31" i="8"/>
  <c r="BB18" i="8"/>
  <c r="BB13" i="8"/>
  <c r="BB12" i="8"/>
  <c r="BB7" i="8"/>
  <c r="BB2" i="8"/>
  <c r="BB39" i="8"/>
  <c r="BB41" i="8"/>
  <c r="BB36" i="8"/>
  <c r="BB42" i="8"/>
  <c r="BB35" i="8"/>
  <c r="BB23" i="8"/>
  <c r="BB14" i="8"/>
  <c r="BB9" i="8"/>
  <c r="BB25" i="8"/>
  <c r="BB16" i="8"/>
  <c r="BB15" i="8"/>
  <c r="BB8" i="8"/>
  <c r="BB17" i="8"/>
  <c r="BB38" i="8"/>
  <c r="BB10" i="8"/>
  <c r="BB11" i="8"/>
  <c r="BB19" i="8"/>
  <c r="BB20" i="8"/>
  <c r="BB6" i="8"/>
  <c r="BB5" i="8"/>
  <c r="BB4" i="8"/>
  <c r="BB21" i="8"/>
  <c r="BB3" i="8"/>
  <c r="BB22" i="8"/>
  <c r="AT49" i="8"/>
  <c r="AT34" i="8"/>
  <c r="AT32" i="8"/>
  <c r="AT30" i="8"/>
  <c r="AT28" i="8"/>
  <c r="AT26" i="8"/>
  <c r="AT24" i="8"/>
  <c r="AT41" i="8"/>
  <c r="AT43" i="8"/>
  <c r="AT40" i="8"/>
  <c r="AT39" i="8"/>
  <c r="AT36" i="8"/>
  <c r="AT31" i="8"/>
  <c r="AT25" i="8"/>
  <c r="AT47" i="8"/>
  <c r="AT46" i="8"/>
  <c r="AT42" i="8"/>
  <c r="AT48" i="8"/>
  <c r="AT44" i="8"/>
  <c r="AT45" i="8"/>
  <c r="AT38" i="8"/>
  <c r="AT27" i="8"/>
  <c r="AT16" i="8"/>
  <c r="AT11" i="8"/>
  <c r="AT21" i="8"/>
  <c r="AT10" i="8"/>
  <c r="AT5" i="8"/>
  <c r="AT37" i="8"/>
  <c r="AT33" i="8"/>
  <c r="AT12" i="8"/>
  <c r="AT7" i="8"/>
  <c r="AT20" i="8"/>
  <c r="AT19" i="8"/>
  <c r="AT14" i="8"/>
  <c r="AT13" i="8"/>
  <c r="AT23" i="8"/>
  <c r="AT22" i="8"/>
  <c r="AT15" i="8"/>
  <c r="AT8" i="8"/>
  <c r="AT9" i="8"/>
  <c r="AT35" i="8"/>
  <c r="AT29" i="8"/>
  <c r="AT17" i="8"/>
  <c r="AT2" i="8"/>
  <c r="AT4" i="8"/>
  <c r="AT18" i="8"/>
  <c r="AT6" i="8"/>
  <c r="AT3" i="8"/>
  <c r="V49" i="8"/>
  <c r="V47" i="8"/>
  <c r="V46" i="8"/>
  <c r="V41" i="8"/>
  <c r="V34" i="8"/>
  <c r="V32" i="8"/>
  <c r="V30" i="8"/>
  <c r="V28" i="8"/>
  <c r="V26" i="8"/>
  <c r="V24" i="8"/>
  <c r="V40" i="8"/>
  <c r="V36" i="8"/>
  <c r="V42" i="8"/>
  <c r="V27" i="8"/>
  <c r="V23" i="8"/>
  <c r="V39" i="8"/>
  <c r="V38" i="8"/>
  <c r="V35" i="8"/>
  <c r="V48" i="8"/>
  <c r="V44" i="8"/>
  <c r="V43" i="8"/>
  <c r="V29" i="8"/>
  <c r="V21" i="8"/>
  <c r="V10" i="8"/>
  <c r="V5" i="8"/>
  <c r="V20" i="8"/>
  <c r="V15" i="8"/>
  <c r="V2" i="8"/>
  <c r="V45" i="8"/>
  <c r="V37" i="8"/>
  <c r="V22" i="8"/>
  <c r="V17" i="8"/>
  <c r="V6" i="8"/>
  <c r="V31" i="8"/>
  <c r="V18" i="8"/>
  <c r="V25" i="8"/>
  <c r="V19" i="8"/>
  <c r="V11" i="8"/>
  <c r="V12" i="8"/>
  <c r="V33" i="8"/>
  <c r="V14" i="8"/>
  <c r="V13" i="8"/>
  <c r="V8" i="8"/>
  <c r="V16" i="8"/>
  <c r="V9" i="8"/>
  <c r="V4" i="8"/>
  <c r="V7" i="8"/>
  <c r="V3" i="8"/>
  <c r="CS54" i="8"/>
  <c r="CS48" i="8"/>
  <c r="CS46" i="8"/>
  <c r="CS44" i="8"/>
  <c r="CS42" i="8"/>
  <c r="CS40" i="8"/>
  <c r="CS38" i="8"/>
  <c r="CS36" i="8"/>
  <c r="CS47" i="8"/>
  <c r="CS53" i="8"/>
  <c r="CS41" i="8"/>
  <c r="CS35" i="8"/>
  <c r="CS33" i="8"/>
  <c r="CS31" i="8"/>
  <c r="CS29" i="8"/>
  <c r="CS27" i="8"/>
  <c r="CS25" i="8"/>
  <c r="CS55" i="8"/>
  <c r="CS43" i="8"/>
  <c r="CS22" i="8"/>
  <c r="CS20" i="8"/>
  <c r="CS18" i="8"/>
  <c r="CS16" i="8"/>
  <c r="CS14" i="8"/>
  <c r="CS12" i="8"/>
  <c r="CS10" i="8"/>
  <c r="CS8" i="8"/>
  <c r="CS6" i="8"/>
  <c r="CS4" i="8"/>
  <c r="CS2" i="8"/>
  <c r="CS30" i="8"/>
  <c r="CS45" i="8"/>
  <c r="CS49" i="8"/>
  <c r="CS24" i="8"/>
  <c r="CS23" i="8"/>
  <c r="CS11" i="8"/>
  <c r="CS32" i="8"/>
  <c r="CS21" i="8"/>
  <c r="CS5" i="8"/>
  <c r="CS34" i="8"/>
  <c r="CS37" i="8"/>
  <c r="CS7" i="8"/>
  <c r="CS39" i="8"/>
  <c r="CS28" i="8"/>
  <c r="CS26" i="8"/>
  <c r="CS9" i="8"/>
  <c r="CS17" i="8"/>
  <c r="CS19" i="8"/>
  <c r="CS13" i="8"/>
  <c r="CS3" i="8"/>
  <c r="CS15" i="8"/>
  <c r="CC151" i="7"/>
  <c r="CC149" i="7"/>
  <c r="CC150" i="7"/>
  <c r="Q149" i="7"/>
  <c r="Q150" i="7"/>
  <c r="Q151" i="7"/>
  <c r="R55" i="9" s="1"/>
  <c r="EV55" i="9"/>
  <c r="EV53" i="9"/>
  <c r="EV48" i="9"/>
  <c r="EV46" i="9"/>
  <c r="EV49" i="9"/>
  <c r="EV45" i="9"/>
  <c r="EV54" i="9"/>
  <c r="EV44" i="9"/>
  <c r="EV47" i="9"/>
  <c r="EV39" i="9"/>
  <c r="EV36" i="9"/>
  <c r="EV34" i="9"/>
  <c r="EV38" i="9"/>
  <c r="EV40" i="9"/>
  <c r="EV35" i="9"/>
  <c r="EV28" i="9"/>
  <c r="EV26" i="9"/>
  <c r="EV33" i="9"/>
  <c r="EV37" i="9"/>
  <c r="EV23" i="9"/>
  <c r="EV21" i="9"/>
  <c r="EV19" i="9"/>
  <c r="EV17" i="9"/>
  <c r="EV15" i="9"/>
  <c r="EV13" i="9"/>
  <c r="EV41" i="9"/>
  <c r="EV42" i="9"/>
  <c r="EV25" i="9"/>
  <c r="EV29" i="9"/>
  <c r="EV14" i="9"/>
  <c r="EV24" i="9"/>
  <c r="EV32" i="9"/>
  <c r="EV30" i="9"/>
  <c r="EV43" i="9"/>
  <c r="EV31" i="9"/>
  <c r="EV7" i="9"/>
  <c r="EV3" i="9"/>
  <c r="EV20" i="9"/>
  <c r="EV16" i="9"/>
  <c r="EV6" i="9"/>
  <c r="EV22" i="9"/>
  <c r="EV18" i="9"/>
  <c r="EV27" i="9"/>
  <c r="EV12" i="9"/>
  <c r="EV8" i="9"/>
  <c r="EV11" i="9"/>
  <c r="EV10" i="9"/>
  <c r="EV5" i="9"/>
  <c r="EV9" i="9"/>
  <c r="EV4" i="9"/>
  <c r="EV2" i="9"/>
  <c r="GF54" i="9"/>
  <c r="GF53" i="9"/>
  <c r="GF47" i="9"/>
  <c r="GF45" i="9"/>
  <c r="GF49" i="9"/>
  <c r="GF46" i="9"/>
  <c r="GF48" i="9"/>
  <c r="GF55" i="9"/>
  <c r="GF42" i="9"/>
  <c r="GF43" i="9"/>
  <c r="GF40" i="9"/>
  <c r="GF39" i="9"/>
  <c r="GF37" i="9"/>
  <c r="GF35" i="9"/>
  <c r="GF33" i="9"/>
  <c r="GF44" i="9"/>
  <c r="GF41" i="9"/>
  <c r="GF36" i="9"/>
  <c r="GF38" i="9"/>
  <c r="GF32" i="9"/>
  <c r="GF27" i="9"/>
  <c r="GF25" i="9"/>
  <c r="GF29" i="9"/>
  <c r="GF24" i="9"/>
  <c r="GF22" i="9"/>
  <c r="GF20" i="9"/>
  <c r="GF18" i="9"/>
  <c r="GF16" i="9"/>
  <c r="GF14" i="9"/>
  <c r="GF12" i="9"/>
  <c r="GF30" i="9"/>
  <c r="GF34" i="9"/>
  <c r="GF26" i="9"/>
  <c r="GF15" i="9"/>
  <c r="GF28" i="9"/>
  <c r="GF31" i="9"/>
  <c r="GF4" i="9"/>
  <c r="GF17" i="9"/>
  <c r="GF13" i="9"/>
  <c r="GF8" i="9"/>
  <c r="GF2" i="9"/>
  <c r="GF19" i="9"/>
  <c r="GF10" i="9"/>
  <c r="GF23" i="9"/>
  <c r="GF21" i="9"/>
  <c r="GF11" i="9"/>
  <c r="GF5" i="9"/>
  <c r="GF7" i="9"/>
  <c r="GF3" i="9"/>
  <c r="GF9" i="9"/>
  <c r="GF6" i="9"/>
  <c r="FX54" i="9"/>
  <c r="FX53" i="9"/>
  <c r="FX55" i="9"/>
  <c r="FX47" i="9"/>
  <c r="FX45" i="9"/>
  <c r="FX49" i="9"/>
  <c r="FX46" i="9"/>
  <c r="FX48" i="9"/>
  <c r="FX44" i="9"/>
  <c r="FX43" i="9"/>
  <c r="FX42" i="9"/>
  <c r="FX37" i="9"/>
  <c r="FX35" i="9"/>
  <c r="FX33" i="9"/>
  <c r="FX41" i="9"/>
  <c r="FX39" i="9"/>
  <c r="FX34" i="9"/>
  <c r="FX30" i="9"/>
  <c r="FX27" i="9"/>
  <c r="FX25" i="9"/>
  <c r="FX28" i="9"/>
  <c r="FX24" i="9"/>
  <c r="FX22" i="9"/>
  <c r="FX20" i="9"/>
  <c r="FX18" i="9"/>
  <c r="FX16" i="9"/>
  <c r="FX14" i="9"/>
  <c r="FX12" i="9"/>
  <c r="FX31" i="9"/>
  <c r="FX38" i="9"/>
  <c r="FX36" i="9"/>
  <c r="FX40" i="9"/>
  <c r="FX13" i="9"/>
  <c r="FX23" i="9"/>
  <c r="FX32" i="9"/>
  <c r="FX21" i="9"/>
  <c r="FX11" i="9"/>
  <c r="FX2" i="9"/>
  <c r="FX26" i="9"/>
  <c r="FX29" i="9"/>
  <c r="FX19" i="9"/>
  <c r="FX6" i="9"/>
  <c r="FX5" i="9"/>
  <c r="FX10" i="9"/>
  <c r="FX17" i="9"/>
  <c r="FX4" i="9"/>
  <c r="FX8" i="9"/>
  <c r="FX7" i="9"/>
  <c r="FX15" i="9"/>
  <c r="FX3" i="9"/>
  <c r="FX9" i="9"/>
  <c r="FH55" i="8"/>
  <c r="FH53" i="8"/>
  <c r="FH49" i="8"/>
  <c r="FH47" i="8"/>
  <c r="FH45" i="8"/>
  <c r="FH43" i="8"/>
  <c r="FH41" i="8"/>
  <c r="FH39" i="8"/>
  <c r="FH37" i="8"/>
  <c r="FH54" i="8"/>
  <c r="FH40" i="8"/>
  <c r="FH42" i="8"/>
  <c r="FH35" i="8"/>
  <c r="FH33" i="8"/>
  <c r="FH31" i="8"/>
  <c r="FH28" i="8"/>
  <c r="FH25" i="8"/>
  <c r="FH36" i="8"/>
  <c r="FH34" i="8"/>
  <c r="FH21" i="8"/>
  <c r="FH19" i="8"/>
  <c r="FH17" i="8"/>
  <c r="FH15" i="8"/>
  <c r="FH13" i="8"/>
  <c r="FH11" i="8"/>
  <c r="FH9" i="8"/>
  <c r="FH7" i="8"/>
  <c r="FH5" i="8"/>
  <c r="FH3" i="8"/>
  <c r="FH48" i="8"/>
  <c r="FH46" i="8"/>
  <c r="FH30" i="8"/>
  <c r="FH27" i="8"/>
  <c r="FH38" i="8"/>
  <c r="FH10" i="8"/>
  <c r="FH20" i="8"/>
  <c r="FH4" i="8"/>
  <c r="FH44" i="8"/>
  <c r="FH32" i="8"/>
  <c r="FH29" i="8"/>
  <c r="FH22" i="8"/>
  <c r="FH6" i="8"/>
  <c r="FH18" i="8"/>
  <c r="FH24" i="8"/>
  <c r="FH23" i="8"/>
  <c r="FH12" i="8"/>
  <c r="FH26" i="8"/>
  <c r="FH14" i="8"/>
  <c r="FH8" i="8"/>
  <c r="FH2" i="8"/>
  <c r="FH16" i="8"/>
  <c r="EZ55" i="9"/>
  <c r="EZ54" i="9"/>
  <c r="EZ53" i="9"/>
  <c r="EZ47" i="9"/>
  <c r="EZ49" i="9"/>
  <c r="EZ45" i="9"/>
  <c r="EZ46" i="9"/>
  <c r="EZ48" i="9"/>
  <c r="EZ42" i="9"/>
  <c r="EZ41" i="9"/>
  <c r="EZ43" i="9"/>
  <c r="EZ40" i="9"/>
  <c r="EZ44" i="9"/>
  <c r="EZ37" i="9"/>
  <c r="EZ35" i="9"/>
  <c r="EZ33" i="9"/>
  <c r="EZ38" i="9"/>
  <c r="EZ39" i="9"/>
  <c r="EZ32" i="9"/>
  <c r="EZ27" i="9"/>
  <c r="EZ25" i="9"/>
  <c r="EZ34" i="9"/>
  <c r="EZ31" i="9"/>
  <c r="EZ29" i="9"/>
  <c r="EZ30" i="9"/>
  <c r="EZ24" i="9"/>
  <c r="EZ22" i="9"/>
  <c r="EZ20" i="9"/>
  <c r="EZ18" i="9"/>
  <c r="EZ16" i="9"/>
  <c r="EZ14" i="9"/>
  <c r="EZ12" i="9"/>
  <c r="EZ36" i="9"/>
  <c r="EZ23" i="9"/>
  <c r="EZ17" i="9"/>
  <c r="EZ19" i="9"/>
  <c r="EZ13" i="9"/>
  <c r="EZ11" i="9"/>
  <c r="EZ28" i="9"/>
  <c r="EZ26" i="9"/>
  <c r="EZ21" i="9"/>
  <c r="EZ8" i="9"/>
  <c r="EZ2" i="9"/>
  <c r="EZ9" i="9"/>
  <c r="EZ10" i="9"/>
  <c r="EZ15" i="9"/>
  <c r="EZ3" i="9"/>
  <c r="EZ7" i="9"/>
  <c r="EZ6" i="9"/>
  <c r="EZ5" i="9"/>
  <c r="EZ4" i="9"/>
  <c r="ER54" i="9"/>
  <c r="ER53" i="9"/>
  <c r="ER47" i="9"/>
  <c r="ER45" i="9"/>
  <c r="ER48" i="9"/>
  <c r="ER41" i="9"/>
  <c r="ER55" i="9"/>
  <c r="ER46" i="9"/>
  <c r="ER40" i="9"/>
  <c r="ER43" i="9"/>
  <c r="ER37" i="9"/>
  <c r="ER35" i="9"/>
  <c r="ER33" i="9"/>
  <c r="ER44" i="9"/>
  <c r="ER36" i="9"/>
  <c r="ER42" i="9"/>
  <c r="ER38" i="9"/>
  <c r="ER30" i="9"/>
  <c r="ER27" i="9"/>
  <c r="ER25" i="9"/>
  <c r="ER32" i="9"/>
  <c r="ER31" i="9"/>
  <c r="ER34" i="9"/>
  <c r="ER24" i="9"/>
  <c r="ER22" i="9"/>
  <c r="ER20" i="9"/>
  <c r="ER18" i="9"/>
  <c r="ER16" i="9"/>
  <c r="ER14" i="9"/>
  <c r="ER12" i="9"/>
  <c r="ER39" i="9"/>
  <c r="ER29" i="9"/>
  <c r="ER49" i="9"/>
  <c r="ER26" i="9"/>
  <c r="ER21" i="9"/>
  <c r="ER13" i="9"/>
  <c r="ER15" i="9"/>
  <c r="ER28" i="9"/>
  <c r="ER17" i="9"/>
  <c r="ER9" i="9"/>
  <c r="ER2" i="9"/>
  <c r="ER19" i="9"/>
  <c r="ER6" i="9"/>
  <c r="ER23" i="9"/>
  <c r="ER11" i="9"/>
  <c r="ER7" i="9"/>
  <c r="ER8" i="9"/>
  <c r="ER3" i="9"/>
  <c r="ER5" i="9"/>
  <c r="ER10" i="9"/>
  <c r="ER4" i="9"/>
  <c r="EJ150" i="7"/>
  <c r="EJ149" i="7"/>
  <c r="EJ151" i="7"/>
  <c r="EJ54" i="9"/>
  <c r="EJ53" i="9"/>
  <c r="EJ55" i="9"/>
  <c r="EJ47" i="9"/>
  <c r="EJ48" i="9"/>
  <c r="EJ45" i="9"/>
  <c r="EJ46" i="9"/>
  <c r="EJ49" i="9"/>
  <c r="EJ44" i="9"/>
  <c r="EJ42" i="9"/>
  <c r="EJ38" i="9"/>
  <c r="EJ37" i="9"/>
  <c r="EJ35" i="9"/>
  <c r="EJ33" i="9"/>
  <c r="EJ43" i="9"/>
  <c r="EJ34" i="9"/>
  <c r="EJ36" i="9"/>
  <c r="EJ39" i="9"/>
  <c r="EJ27" i="9"/>
  <c r="EJ25" i="9"/>
  <c r="EJ30" i="9"/>
  <c r="EJ24" i="9"/>
  <c r="EJ22" i="9"/>
  <c r="EJ20" i="9"/>
  <c r="EJ18" i="9"/>
  <c r="EJ16" i="9"/>
  <c r="EJ14" i="9"/>
  <c r="EJ12" i="9"/>
  <c r="EJ31" i="9"/>
  <c r="EJ28" i="9"/>
  <c r="EJ41" i="9"/>
  <c r="EJ40" i="9"/>
  <c r="EJ19" i="9"/>
  <c r="EJ29" i="9"/>
  <c r="EJ15" i="9"/>
  <c r="EJ13" i="9"/>
  <c r="EJ21" i="9"/>
  <c r="EJ32" i="9"/>
  <c r="EJ23" i="9"/>
  <c r="EJ7" i="9"/>
  <c r="EJ6" i="9"/>
  <c r="EJ5" i="9"/>
  <c r="EJ2" i="9"/>
  <c r="EJ26" i="9"/>
  <c r="EJ11" i="9"/>
  <c r="EJ10" i="9"/>
  <c r="EJ9" i="9"/>
  <c r="EJ3" i="9"/>
  <c r="EJ17" i="9"/>
  <c r="EJ8" i="9"/>
  <c r="EJ4" i="9"/>
  <c r="CN150" i="7"/>
  <c r="CN151" i="7"/>
  <c r="CN149" i="7"/>
  <c r="CF150" i="7"/>
  <c r="CF149" i="7"/>
  <c r="CF151" i="7"/>
  <c r="BP150" i="7"/>
  <c r="BP149" i="7"/>
  <c r="BP151" i="7"/>
  <c r="BH49" i="8"/>
  <c r="BH48" i="8"/>
  <c r="BH46" i="8"/>
  <c r="BH45" i="8"/>
  <c r="BH43" i="8"/>
  <c r="BH41" i="8"/>
  <c r="BH39" i="8"/>
  <c r="BH37" i="8"/>
  <c r="BH36" i="8"/>
  <c r="BH35" i="8"/>
  <c r="BH33" i="8"/>
  <c r="BH31" i="8"/>
  <c r="BH44" i="8"/>
  <c r="BH26" i="8"/>
  <c r="BH21" i="8"/>
  <c r="BH19" i="8"/>
  <c r="BH17" i="8"/>
  <c r="BH15" i="8"/>
  <c r="BH13" i="8"/>
  <c r="BH11" i="8"/>
  <c r="BH9" i="8"/>
  <c r="BH7" i="8"/>
  <c r="BH5" i="8"/>
  <c r="BH3" i="8"/>
  <c r="BH40" i="8"/>
  <c r="BH47" i="8"/>
  <c r="BH42" i="8"/>
  <c r="BH28" i="8"/>
  <c r="BH25" i="8"/>
  <c r="BH24" i="8"/>
  <c r="BH34" i="8"/>
  <c r="BH16" i="8"/>
  <c r="BH30" i="8"/>
  <c r="BH27" i="8"/>
  <c r="BH10" i="8"/>
  <c r="BH38" i="8"/>
  <c r="BH29" i="8"/>
  <c r="BH12" i="8"/>
  <c r="BH18" i="8"/>
  <c r="BH20" i="8"/>
  <c r="BH14" i="8"/>
  <c r="BH22" i="8"/>
  <c r="BH2" i="8"/>
  <c r="BH8" i="8"/>
  <c r="BH23" i="8"/>
  <c r="BH32" i="8"/>
  <c r="BH6" i="8"/>
  <c r="BH4" i="8"/>
  <c r="AR150" i="7"/>
  <c r="AR149" i="7"/>
  <c r="AR151" i="7"/>
  <c r="D150" i="7"/>
  <c r="BA54" i="8" s="1"/>
  <c r="D149" i="7"/>
  <c r="D151" i="7"/>
  <c r="U55" i="8" s="1"/>
  <c r="JW54" i="9"/>
  <c r="JW53" i="9"/>
  <c r="JW49" i="9"/>
  <c r="JW55" i="9"/>
  <c r="JW47" i="9"/>
  <c r="JW45" i="9"/>
  <c r="JW42" i="9"/>
  <c r="JW40" i="9"/>
  <c r="JW46" i="9"/>
  <c r="JW44" i="9"/>
  <c r="JW43" i="9"/>
  <c r="JW38" i="9"/>
  <c r="JW48" i="9"/>
  <c r="JW37" i="9"/>
  <c r="JW35" i="9"/>
  <c r="JW33" i="9"/>
  <c r="JW39" i="9"/>
  <c r="JW34" i="9"/>
  <c r="JW30" i="9"/>
  <c r="JW28" i="9"/>
  <c r="JW27" i="9"/>
  <c r="JW25" i="9"/>
  <c r="JW41" i="9"/>
  <c r="JW31" i="9"/>
  <c r="JW24" i="9"/>
  <c r="JW22" i="9"/>
  <c r="JW20" i="9"/>
  <c r="JW18" i="9"/>
  <c r="JW16" i="9"/>
  <c r="JW14" i="9"/>
  <c r="JW12" i="9"/>
  <c r="JW32" i="9"/>
  <c r="JW36" i="9"/>
  <c r="JW10" i="9"/>
  <c r="JW8" i="9"/>
  <c r="JW29" i="9"/>
  <c r="JW23" i="9"/>
  <c r="JW26" i="9"/>
  <c r="JW21" i="9"/>
  <c r="JW11" i="9"/>
  <c r="JW19" i="9"/>
  <c r="JW7" i="9"/>
  <c r="JW3" i="9"/>
  <c r="JW17" i="9"/>
  <c r="JW15" i="9"/>
  <c r="JW4" i="9"/>
  <c r="JW9" i="9"/>
  <c r="JW2" i="9"/>
  <c r="JW13" i="9"/>
  <c r="JW5" i="9"/>
  <c r="JW6" i="9"/>
  <c r="IY54" i="8"/>
  <c r="IY55" i="8"/>
  <c r="IY44" i="8"/>
  <c r="IY42" i="8"/>
  <c r="IY40" i="8"/>
  <c r="IY38" i="8"/>
  <c r="IY48" i="8"/>
  <c r="IY43" i="8"/>
  <c r="IY36" i="8"/>
  <c r="IY53" i="8"/>
  <c r="IY39" i="8"/>
  <c r="IY33" i="8"/>
  <c r="IY46" i="8"/>
  <c r="IY32" i="8"/>
  <c r="IY28" i="8"/>
  <c r="IY25" i="8"/>
  <c r="IY23" i="8"/>
  <c r="IY22" i="8"/>
  <c r="IY47" i="8"/>
  <c r="IY49" i="8"/>
  <c r="IY45" i="8"/>
  <c r="IY41" i="8"/>
  <c r="IY37" i="8"/>
  <c r="IY35" i="8"/>
  <c r="IY34" i="8"/>
  <c r="IY20" i="8"/>
  <c r="IY18" i="8"/>
  <c r="IY16" i="8"/>
  <c r="IY14" i="8"/>
  <c r="IY12" i="8"/>
  <c r="IY10" i="8"/>
  <c r="IY8" i="8"/>
  <c r="IY6" i="8"/>
  <c r="IY4" i="8"/>
  <c r="IY31" i="8"/>
  <c r="IY26" i="8"/>
  <c r="IY7" i="8"/>
  <c r="IY2" i="8"/>
  <c r="IY17" i="8"/>
  <c r="IY29" i="8"/>
  <c r="IY19" i="8"/>
  <c r="IY15" i="8"/>
  <c r="IY9" i="8"/>
  <c r="IY11" i="8"/>
  <c r="IY30" i="8"/>
  <c r="IY27" i="8"/>
  <c r="IY21" i="8"/>
  <c r="IY13" i="8"/>
  <c r="IY5" i="8"/>
  <c r="IY24" i="8"/>
  <c r="IY3" i="8"/>
  <c r="IY53" i="9"/>
  <c r="IY55" i="9"/>
  <c r="IY47" i="9"/>
  <c r="IY46" i="9"/>
  <c r="IY45" i="9"/>
  <c r="IY48" i="9"/>
  <c r="IY54" i="9"/>
  <c r="IY42" i="9"/>
  <c r="IY40" i="9"/>
  <c r="IY44" i="9"/>
  <c r="IY41" i="9"/>
  <c r="IY38" i="9"/>
  <c r="IY43" i="9"/>
  <c r="IY49" i="9"/>
  <c r="IY37" i="9"/>
  <c r="IY35" i="9"/>
  <c r="IY33" i="9"/>
  <c r="IY30" i="9"/>
  <c r="IY28" i="9"/>
  <c r="IY34" i="9"/>
  <c r="IY31" i="9"/>
  <c r="IY29" i="9"/>
  <c r="IY27" i="9"/>
  <c r="IY25" i="9"/>
  <c r="IY39" i="9"/>
  <c r="IY32" i="9"/>
  <c r="IY24" i="9"/>
  <c r="IY22" i="9"/>
  <c r="IY20" i="9"/>
  <c r="IY18" i="9"/>
  <c r="IY16" i="9"/>
  <c r="IY14" i="9"/>
  <c r="IY12" i="9"/>
  <c r="IY36" i="9"/>
  <c r="IY23" i="9"/>
  <c r="IY10" i="9"/>
  <c r="IY8" i="9"/>
  <c r="IY17" i="9"/>
  <c r="IY26" i="9"/>
  <c r="IY19" i="9"/>
  <c r="IY11" i="9"/>
  <c r="IY7" i="9"/>
  <c r="IY21" i="9"/>
  <c r="IY13" i="9"/>
  <c r="IY6" i="9"/>
  <c r="IY5" i="9"/>
  <c r="IY3" i="9"/>
  <c r="IY9" i="9"/>
  <c r="IY15" i="9"/>
  <c r="IY2" i="9"/>
  <c r="IY4" i="9"/>
  <c r="GM54" i="8"/>
  <c r="GM55" i="8"/>
  <c r="GM44" i="8"/>
  <c r="GM42" i="8"/>
  <c r="GM40" i="8"/>
  <c r="GM43" i="8"/>
  <c r="GM36" i="8"/>
  <c r="GM49" i="8"/>
  <c r="GM48" i="8"/>
  <c r="GM39" i="8"/>
  <c r="GM38" i="8"/>
  <c r="GM46" i="8"/>
  <c r="GM33" i="8"/>
  <c r="GM32" i="8"/>
  <c r="GM28" i="8"/>
  <c r="GM25" i="8"/>
  <c r="GM23" i="8"/>
  <c r="GM22" i="8"/>
  <c r="GM47" i="8"/>
  <c r="GM45" i="8"/>
  <c r="GM53" i="8"/>
  <c r="GM34" i="8"/>
  <c r="GM20" i="8"/>
  <c r="GM18" i="8"/>
  <c r="GM16" i="8"/>
  <c r="GM14" i="8"/>
  <c r="GM12" i="8"/>
  <c r="GM10" i="8"/>
  <c r="GM8" i="8"/>
  <c r="GM6" i="8"/>
  <c r="GM4" i="8"/>
  <c r="GM29" i="8"/>
  <c r="GM7" i="8"/>
  <c r="GM2" i="8"/>
  <c r="GM37" i="8"/>
  <c r="GM31" i="8"/>
  <c r="GM24" i="8"/>
  <c r="GM17" i="8"/>
  <c r="GM30" i="8"/>
  <c r="GM41" i="8"/>
  <c r="GM35" i="8"/>
  <c r="GM26" i="8"/>
  <c r="GM19" i="8"/>
  <c r="GM27" i="8"/>
  <c r="GM3" i="8"/>
  <c r="GM15" i="8"/>
  <c r="GM9" i="8"/>
  <c r="GM11" i="8"/>
  <c r="GM5" i="8"/>
  <c r="GM13" i="8"/>
  <c r="GM21" i="8"/>
  <c r="EI54" i="8"/>
  <c r="EI47" i="8"/>
  <c r="EI44" i="8"/>
  <c r="EI42" i="8"/>
  <c r="EI40" i="8"/>
  <c r="EI53" i="8"/>
  <c r="EI45" i="8"/>
  <c r="EI38" i="8"/>
  <c r="EI48" i="8"/>
  <c r="EI39" i="8"/>
  <c r="EI55" i="8"/>
  <c r="EI41" i="8"/>
  <c r="EI35" i="8"/>
  <c r="EI34" i="8"/>
  <c r="EI30" i="8"/>
  <c r="EI27" i="8"/>
  <c r="EI24" i="8"/>
  <c r="EI46" i="8"/>
  <c r="EI49" i="8"/>
  <c r="EI31" i="8"/>
  <c r="EI22" i="8"/>
  <c r="EI20" i="8"/>
  <c r="EI18" i="8"/>
  <c r="EI16" i="8"/>
  <c r="EI14" i="8"/>
  <c r="EI12" i="8"/>
  <c r="EI10" i="8"/>
  <c r="EI8" i="8"/>
  <c r="EI6" i="8"/>
  <c r="EI4" i="8"/>
  <c r="EI32" i="8"/>
  <c r="EI9" i="8"/>
  <c r="EI33" i="8"/>
  <c r="EI26" i="8"/>
  <c r="EI19" i="8"/>
  <c r="EI37" i="8"/>
  <c r="EI29" i="8"/>
  <c r="EI43" i="8"/>
  <c r="EI36" i="8"/>
  <c r="EI28" i="8"/>
  <c r="EI25" i="8"/>
  <c r="EI21" i="8"/>
  <c r="EI5" i="8"/>
  <c r="EI2" i="8"/>
  <c r="EI17" i="8"/>
  <c r="EI11" i="8"/>
  <c r="EI23" i="8"/>
  <c r="EI13" i="8"/>
  <c r="EI7" i="8"/>
  <c r="EI3" i="8"/>
  <c r="EI15" i="8"/>
  <c r="DS151" i="7"/>
  <c r="DS150" i="7"/>
  <c r="DS149" i="7"/>
  <c r="DC54" i="8"/>
  <c r="DC55" i="8"/>
  <c r="DC47" i="8"/>
  <c r="DC44" i="8"/>
  <c r="DC42" i="8"/>
  <c r="DC40" i="8"/>
  <c r="DC48" i="8"/>
  <c r="DC38" i="8"/>
  <c r="DC46" i="8"/>
  <c r="DC39" i="8"/>
  <c r="DC32" i="8"/>
  <c r="DC41" i="8"/>
  <c r="DC30" i="8"/>
  <c r="DC27" i="8"/>
  <c r="DC53" i="8"/>
  <c r="DC43" i="8"/>
  <c r="DC45" i="8"/>
  <c r="DC37" i="8"/>
  <c r="DC23" i="8"/>
  <c r="DC22" i="8"/>
  <c r="DC20" i="8"/>
  <c r="DC18" i="8"/>
  <c r="DC16" i="8"/>
  <c r="DC14" i="8"/>
  <c r="DC12" i="8"/>
  <c r="DC10" i="8"/>
  <c r="DC8" i="8"/>
  <c r="DC6" i="8"/>
  <c r="DC4" i="8"/>
  <c r="DC35" i="8"/>
  <c r="DC26" i="8"/>
  <c r="DC17" i="8"/>
  <c r="DC36" i="8"/>
  <c r="DC29" i="8"/>
  <c r="DC11" i="8"/>
  <c r="DC49" i="8"/>
  <c r="DC31" i="8"/>
  <c r="DC33" i="8"/>
  <c r="DC24" i="8"/>
  <c r="DC13" i="8"/>
  <c r="DC19" i="8"/>
  <c r="DC5" i="8"/>
  <c r="DC34" i="8"/>
  <c r="DC25" i="8"/>
  <c r="DC21" i="8"/>
  <c r="DC15" i="8"/>
  <c r="DC7" i="8"/>
  <c r="DC9" i="8"/>
  <c r="DC2" i="8"/>
  <c r="DC28" i="8"/>
  <c r="DC3" i="8"/>
  <c r="AA54" i="8"/>
  <c r="AA48" i="8"/>
  <c r="AA44" i="8"/>
  <c r="AA42" i="8"/>
  <c r="AA40" i="8"/>
  <c r="AA37" i="8"/>
  <c r="AA43" i="8"/>
  <c r="AA47" i="8"/>
  <c r="AA45" i="8"/>
  <c r="AA46" i="8"/>
  <c r="AA41" i="8"/>
  <c r="AA33" i="8"/>
  <c r="AA26" i="8"/>
  <c r="AA35" i="8"/>
  <c r="AA22" i="8"/>
  <c r="AA20" i="8"/>
  <c r="AA18" i="8"/>
  <c r="AA16" i="8"/>
  <c r="AA14" i="8"/>
  <c r="AA12" i="8"/>
  <c r="AA10" i="8"/>
  <c r="AA8" i="8"/>
  <c r="AA6" i="8"/>
  <c r="AA39" i="8"/>
  <c r="AA38" i="8"/>
  <c r="AA13" i="8"/>
  <c r="AA3" i="8"/>
  <c r="AA30" i="8"/>
  <c r="AA27" i="8"/>
  <c r="AA24" i="8"/>
  <c r="AA7" i="8"/>
  <c r="AA32" i="8"/>
  <c r="AA31" i="8"/>
  <c r="AA36" i="8"/>
  <c r="AA49" i="8"/>
  <c r="AA34" i="8"/>
  <c r="AA29" i="8"/>
  <c r="AA9" i="8"/>
  <c r="AA2" i="8"/>
  <c r="AA25" i="8"/>
  <c r="AA5" i="8"/>
  <c r="AA21" i="8"/>
  <c r="AA23" i="8"/>
  <c r="AA15" i="8"/>
  <c r="AA17" i="8"/>
  <c r="AA28" i="8"/>
  <c r="AA11" i="8"/>
  <c r="AA4" i="8"/>
  <c r="AA19" i="8"/>
  <c r="AA54" i="9"/>
  <c r="AA47" i="9"/>
  <c r="AA45" i="9"/>
  <c r="AA49" i="9"/>
  <c r="AA44" i="9"/>
  <c r="AA42" i="9"/>
  <c r="AA40" i="9"/>
  <c r="AA46" i="9"/>
  <c r="AA48" i="9"/>
  <c r="AA41" i="9"/>
  <c r="AA37" i="9"/>
  <c r="AA35" i="9"/>
  <c r="AA33" i="9"/>
  <c r="AA39" i="9"/>
  <c r="AA34" i="9"/>
  <c r="AA32" i="9"/>
  <c r="AA30" i="9"/>
  <c r="AA43" i="9"/>
  <c r="AA29" i="9"/>
  <c r="AA27" i="9"/>
  <c r="AA36" i="9"/>
  <c r="AA38" i="9"/>
  <c r="AA31" i="9"/>
  <c r="AA28" i="9"/>
  <c r="AA24" i="9"/>
  <c r="AA22" i="9"/>
  <c r="AA20" i="9"/>
  <c r="AA18" i="9"/>
  <c r="AA16" i="9"/>
  <c r="AA14" i="9"/>
  <c r="AA12" i="9"/>
  <c r="AA10" i="9"/>
  <c r="AA8" i="9"/>
  <c r="AA23" i="9"/>
  <c r="AA25" i="9"/>
  <c r="AA26" i="9"/>
  <c r="AA11" i="9"/>
  <c r="AA19" i="9"/>
  <c r="AA15" i="9"/>
  <c r="AA3" i="9"/>
  <c r="AA17" i="9"/>
  <c r="AA13" i="9"/>
  <c r="AA21" i="9"/>
  <c r="AA5" i="9"/>
  <c r="AA2" i="9"/>
  <c r="AA9" i="9"/>
  <c r="AA4" i="9"/>
  <c r="AA7" i="9"/>
  <c r="AA6" i="9"/>
  <c r="DZ54" i="9"/>
  <c r="DZ55" i="9"/>
  <c r="DZ53" i="9"/>
  <c r="DZ47" i="9"/>
  <c r="DZ49" i="9"/>
  <c r="DZ45" i="9"/>
  <c r="DZ46" i="9"/>
  <c r="DZ48" i="9"/>
  <c r="DZ44" i="9"/>
  <c r="DZ41" i="9"/>
  <c r="DZ43" i="9"/>
  <c r="DZ38" i="9"/>
  <c r="DZ39" i="9"/>
  <c r="DZ36" i="9"/>
  <c r="DZ34" i="9"/>
  <c r="DZ40" i="9"/>
  <c r="DZ33" i="9"/>
  <c r="DZ30" i="9"/>
  <c r="DZ32" i="9"/>
  <c r="DZ42" i="9"/>
  <c r="DZ28" i="9"/>
  <c r="DZ26" i="9"/>
  <c r="DZ27" i="9"/>
  <c r="DZ29" i="9"/>
  <c r="DZ37" i="9"/>
  <c r="DZ23" i="9"/>
  <c r="DZ21" i="9"/>
  <c r="DZ19" i="9"/>
  <c r="DZ17" i="9"/>
  <c r="DZ15" i="9"/>
  <c r="DZ14" i="9"/>
  <c r="DZ22" i="9"/>
  <c r="DZ10" i="9"/>
  <c r="DZ8" i="9"/>
  <c r="DZ6" i="9"/>
  <c r="DZ4" i="9"/>
  <c r="DZ35" i="9"/>
  <c r="DZ31" i="9"/>
  <c r="DZ24" i="9"/>
  <c r="DZ13" i="9"/>
  <c r="DZ18" i="9"/>
  <c r="DZ12" i="9"/>
  <c r="DZ11" i="9"/>
  <c r="DZ7" i="9"/>
  <c r="DZ20" i="9"/>
  <c r="DZ25" i="9"/>
  <c r="DZ16" i="9"/>
  <c r="DZ3" i="9"/>
  <c r="DZ2" i="9"/>
  <c r="DZ9" i="9"/>
  <c r="DZ5" i="9"/>
  <c r="R49" i="9"/>
  <c r="R47" i="9"/>
  <c r="R46" i="9"/>
  <c r="R44" i="9"/>
  <c r="R48" i="9"/>
  <c r="R42" i="9"/>
  <c r="R40" i="9"/>
  <c r="R41" i="9"/>
  <c r="R39" i="9"/>
  <c r="R43" i="9"/>
  <c r="R38" i="9"/>
  <c r="R36" i="9"/>
  <c r="R34" i="9"/>
  <c r="R37" i="9"/>
  <c r="R32" i="9"/>
  <c r="R30" i="9"/>
  <c r="R33" i="9"/>
  <c r="R29" i="9"/>
  <c r="R28" i="9"/>
  <c r="R26" i="9"/>
  <c r="R35" i="9"/>
  <c r="R27" i="9"/>
  <c r="R25" i="9"/>
  <c r="R23" i="9"/>
  <c r="R21" i="9"/>
  <c r="R19" i="9"/>
  <c r="R17" i="9"/>
  <c r="R15" i="9"/>
  <c r="R16" i="9"/>
  <c r="R31" i="9"/>
  <c r="R12" i="9"/>
  <c r="R10" i="9"/>
  <c r="R8" i="9"/>
  <c r="R6" i="9"/>
  <c r="R45" i="9"/>
  <c r="R22" i="9"/>
  <c r="R13" i="9"/>
  <c r="R24" i="9"/>
  <c r="R20" i="9"/>
  <c r="R11" i="9"/>
  <c r="R9" i="9"/>
  <c r="R18" i="9"/>
  <c r="R7" i="9"/>
  <c r="R5" i="9"/>
  <c r="R14" i="9"/>
  <c r="R2" i="9"/>
  <c r="R4" i="9"/>
  <c r="R3" i="9"/>
  <c r="GC54" i="8"/>
  <c r="GC48" i="8"/>
  <c r="GC46" i="8"/>
  <c r="GC55" i="8"/>
  <c r="GC44" i="8"/>
  <c r="GC42" i="8"/>
  <c r="GC40" i="8"/>
  <c r="GC38" i="8"/>
  <c r="GC36" i="8"/>
  <c r="GC47" i="8"/>
  <c r="GC35" i="8"/>
  <c r="GC33" i="8"/>
  <c r="GC31" i="8"/>
  <c r="GC29" i="8"/>
  <c r="GC27" i="8"/>
  <c r="GC25" i="8"/>
  <c r="GC53" i="8"/>
  <c r="GC49" i="8"/>
  <c r="GC45" i="8"/>
  <c r="GC32" i="8"/>
  <c r="GC20" i="8"/>
  <c r="GC18" i="8"/>
  <c r="GC16" i="8"/>
  <c r="GC14" i="8"/>
  <c r="GC12" i="8"/>
  <c r="GC10" i="8"/>
  <c r="GC8" i="8"/>
  <c r="GC6" i="8"/>
  <c r="GC4" i="8"/>
  <c r="GC2" i="8"/>
  <c r="GC37" i="8"/>
  <c r="GC28" i="8"/>
  <c r="GC23" i="8"/>
  <c r="GC41" i="8"/>
  <c r="GC43" i="8"/>
  <c r="GC17" i="8"/>
  <c r="GC39" i="8"/>
  <c r="GC34" i="8"/>
  <c r="GC22" i="8"/>
  <c r="GC11" i="8"/>
  <c r="GC24" i="8"/>
  <c r="GC13" i="8"/>
  <c r="GC19" i="8"/>
  <c r="GC21" i="8"/>
  <c r="GC30" i="8"/>
  <c r="GC15" i="8"/>
  <c r="GC7" i="8"/>
  <c r="GC26" i="8"/>
  <c r="GC5" i="8"/>
  <c r="GC9" i="8"/>
  <c r="GC3" i="8"/>
  <c r="BU49" i="9"/>
  <c r="BU47" i="9"/>
  <c r="BU46" i="9"/>
  <c r="BU48" i="9"/>
  <c r="BU44" i="9"/>
  <c r="BU43" i="9"/>
  <c r="BU42" i="9"/>
  <c r="BU45" i="9"/>
  <c r="BU41" i="9"/>
  <c r="BU40" i="9"/>
  <c r="BU39" i="9"/>
  <c r="BU36" i="9"/>
  <c r="BU35" i="9"/>
  <c r="BU38" i="9"/>
  <c r="BU37" i="9"/>
  <c r="BU31" i="9"/>
  <c r="BU33" i="9"/>
  <c r="BU34" i="9"/>
  <c r="BU29" i="9"/>
  <c r="BU26" i="9"/>
  <c r="BU20" i="9"/>
  <c r="BU15" i="9"/>
  <c r="BU13" i="9"/>
  <c r="BU30" i="9"/>
  <c r="BU32" i="9"/>
  <c r="BU27" i="9"/>
  <c r="BU16" i="9"/>
  <c r="BU11" i="9"/>
  <c r="BU25" i="9"/>
  <c r="BU3" i="9"/>
  <c r="BU21" i="9"/>
  <c r="BU22" i="9"/>
  <c r="BU28" i="9"/>
  <c r="BU18" i="9"/>
  <c r="BU17" i="9"/>
  <c r="BU8" i="9"/>
  <c r="BU4" i="9"/>
  <c r="BU24" i="9"/>
  <c r="BU6" i="9"/>
  <c r="BU19" i="9"/>
  <c r="BU10" i="9"/>
  <c r="BU23" i="9"/>
  <c r="BU14" i="9"/>
  <c r="BU12" i="9"/>
  <c r="BU7" i="9"/>
  <c r="BU5" i="9"/>
  <c r="BU9" i="9"/>
  <c r="BU2" i="9"/>
  <c r="IN54" i="8"/>
  <c r="IN48" i="8"/>
  <c r="IN47" i="8"/>
  <c r="IN55" i="8"/>
  <c r="IN44" i="8"/>
  <c r="IN42" i="8"/>
  <c r="IN40" i="8"/>
  <c r="IN38" i="8"/>
  <c r="IN36" i="8"/>
  <c r="IN49" i="8"/>
  <c r="IN46" i="8"/>
  <c r="IN43" i="8"/>
  <c r="IN53" i="8"/>
  <c r="IN39" i="8"/>
  <c r="IN34" i="8"/>
  <c r="IN32" i="8"/>
  <c r="IN30" i="8"/>
  <c r="IN45" i="8"/>
  <c r="IN25" i="8"/>
  <c r="IN31" i="8"/>
  <c r="IN20" i="8"/>
  <c r="IN18" i="8"/>
  <c r="IN16" i="8"/>
  <c r="IN14" i="8"/>
  <c r="IN12" i="8"/>
  <c r="IN10" i="8"/>
  <c r="IN8" i="8"/>
  <c r="IN6" i="8"/>
  <c r="IN4" i="8"/>
  <c r="IN2" i="8"/>
  <c r="IN41" i="8"/>
  <c r="IN33" i="8"/>
  <c r="IN27" i="8"/>
  <c r="IN24" i="8"/>
  <c r="IN7" i="8"/>
  <c r="IN17" i="8"/>
  <c r="IN37" i="8"/>
  <c r="IN35" i="8"/>
  <c r="IN28" i="8"/>
  <c r="IN29" i="8"/>
  <c r="IN26" i="8"/>
  <c r="IN19" i="8"/>
  <c r="IN22" i="8"/>
  <c r="IN11" i="8"/>
  <c r="IN3" i="8"/>
  <c r="IN21" i="8"/>
  <c r="IN13" i="8"/>
  <c r="IN15" i="8"/>
  <c r="IN23" i="8"/>
  <c r="IN9" i="8"/>
  <c r="IN5" i="8"/>
  <c r="CB48" i="8"/>
  <c r="CB44" i="8"/>
  <c r="CB42" i="8"/>
  <c r="CB40" i="8"/>
  <c r="CB38" i="8"/>
  <c r="CB47" i="8"/>
  <c r="CB46" i="8"/>
  <c r="CB43" i="8"/>
  <c r="CB37" i="8"/>
  <c r="CB45" i="8"/>
  <c r="CB36" i="8"/>
  <c r="CB34" i="8"/>
  <c r="CB32" i="8"/>
  <c r="CB49" i="8"/>
  <c r="CB28" i="8"/>
  <c r="CB22" i="8"/>
  <c r="CB20" i="8"/>
  <c r="CB18" i="8"/>
  <c r="CB16" i="8"/>
  <c r="CB14" i="8"/>
  <c r="CB12" i="8"/>
  <c r="CB10" i="8"/>
  <c r="CB8" i="8"/>
  <c r="CB6" i="8"/>
  <c r="CB4" i="8"/>
  <c r="CB2" i="8"/>
  <c r="CB41" i="8"/>
  <c r="CB30" i="8"/>
  <c r="CB25" i="8"/>
  <c r="CB33" i="8"/>
  <c r="CB23" i="8"/>
  <c r="CB13" i="8"/>
  <c r="CB7" i="8"/>
  <c r="CB3" i="8"/>
  <c r="CB35" i="8"/>
  <c r="CB39" i="8"/>
  <c r="CB29" i="8"/>
  <c r="CB31" i="8"/>
  <c r="CB9" i="8"/>
  <c r="CB24" i="8"/>
  <c r="CB17" i="8"/>
  <c r="CB27" i="8"/>
  <c r="CB11" i="8"/>
  <c r="CB19" i="8"/>
  <c r="CB26" i="8"/>
  <c r="CB21" i="8"/>
  <c r="CB5" i="8"/>
  <c r="CB15" i="8"/>
  <c r="IE150" i="7"/>
  <c r="IE149" i="7"/>
  <c r="IE151" i="7"/>
  <c r="AQ149" i="7"/>
  <c r="AQ150" i="7"/>
  <c r="AQ151" i="7"/>
  <c r="CT149" i="7"/>
  <c r="CT151" i="7"/>
  <c r="CT150" i="7"/>
  <c r="GS55" i="9"/>
  <c r="GS54" i="9"/>
  <c r="GS47" i="9"/>
  <c r="GS49" i="9"/>
  <c r="GS48" i="9"/>
  <c r="GS44" i="9"/>
  <c r="GS42" i="9"/>
  <c r="GS53" i="9"/>
  <c r="GS43" i="9"/>
  <c r="GS40" i="9"/>
  <c r="GS41" i="9"/>
  <c r="GS38" i="9"/>
  <c r="GS46" i="9"/>
  <c r="GS39" i="9"/>
  <c r="GS36" i="9"/>
  <c r="GS35" i="9"/>
  <c r="GS37" i="9"/>
  <c r="GS32" i="9"/>
  <c r="GS31" i="9"/>
  <c r="GS28" i="9"/>
  <c r="GS33" i="9"/>
  <c r="GS45" i="9"/>
  <c r="GS29" i="9"/>
  <c r="GS34" i="9"/>
  <c r="GS26" i="9"/>
  <c r="GS20" i="9"/>
  <c r="GS15" i="9"/>
  <c r="GS13" i="9"/>
  <c r="GS27" i="9"/>
  <c r="GS30" i="9"/>
  <c r="GS16" i="9"/>
  <c r="GS11" i="9"/>
  <c r="GS9" i="9"/>
  <c r="GS21" i="9"/>
  <c r="GS3" i="9"/>
  <c r="GS22" i="9"/>
  <c r="GS12" i="9"/>
  <c r="GS24" i="9"/>
  <c r="GS23" i="9"/>
  <c r="GS25" i="9"/>
  <c r="GS14" i="9"/>
  <c r="GS8" i="9"/>
  <c r="GS18" i="9"/>
  <c r="GS10" i="9"/>
  <c r="GS17" i="9"/>
  <c r="GS7" i="9"/>
  <c r="GS6" i="9"/>
  <c r="GS5" i="9"/>
  <c r="GS4" i="9"/>
  <c r="GS2" i="9"/>
  <c r="GS19" i="9"/>
  <c r="DY53" i="9"/>
  <c r="DY54" i="9"/>
  <c r="DY47" i="9"/>
  <c r="DY48" i="9"/>
  <c r="DY49" i="9"/>
  <c r="DY44" i="9"/>
  <c r="DY42" i="9"/>
  <c r="DY41" i="9"/>
  <c r="DY55" i="9"/>
  <c r="DY46" i="9"/>
  <c r="DY40" i="9"/>
  <c r="DY39" i="9"/>
  <c r="DY34" i="9"/>
  <c r="DY33" i="9"/>
  <c r="DY35" i="9"/>
  <c r="DY32" i="9"/>
  <c r="DY31" i="9"/>
  <c r="DY45" i="9"/>
  <c r="DY38" i="9"/>
  <c r="DY37" i="9"/>
  <c r="DY36" i="9"/>
  <c r="DY28" i="9"/>
  <c r="DY43" i="9"/>
  <c r="DY27" i="9"/>
  <c r="DY18" i="9"/>
  <c r="DY23" i="9"/>
  <c r="DY14" i="9"/>
  <c r="DY30" i="9"/>
  <c r="DY29" i="9"/>
  <c r="DY25" i="9"/>
  <c r="DY11" i="9"/>
  <c r="DY26" i="9"/>
  <c r="DY9" i="9"/>
  <c r="DY3" i="9"/>
  <c r="DY19" i="9"/>
  <c r="DY20" i="9"/>
  <c r="DY16" i="9"/>
  <c r="DY15" i="9"/>
  <c r="DY13" i="9"/>
  <c r="DY2" i="9"/>
  <c r="DY4" i="9"/>
  <c r="DY24" i="9"/>
  <c r="DY22" i="9"/>
  <c r="DY21" i="9"/>
  <c r="DY5" i="9"/>
  <c r="DY12" i="9"/>
  <c r="DY10" i="9"/>
  <c r="DY7" i="9"/>
  <c r="DY6" i="9"/>
  <c r="DY8" i="9"/>
  <c r="DY17" i="9"/>
  <c r="AO48" i="8"/>
  <c r="AO46" i="8"/>
  <c r="AO47" i="8"/>
  <c r="AO44" i="8"/>
  <c r="AO42" i="8"/>
  <c r="AO40" i="8"/>
  <c r="AO38" i="8"/>
  <c r="AO36" i="8"/>
  <c r="AO49" i="8"/>
  <c r="AO43" i="8"/>
  <c r="AO35" i="8"/>
  <c r="AO33" i="8"/>
  <c r="AO31" i="8"/>
  <c r="AO29" i="8"/>
  <c r="AO27" i="8"/>
  <c r="AO25" i="8"/>
  <c r="AO45" i="8"/>
  <c r="AO37" i="8"/>
  <c r="AO22" i="8"/>
  <c r="AO20" i="8"/>
  <c r="AO18" i="8"/>
  <c r="AO16" i="8"/>
  <c r="AO14" i="8"/>
  <c r="AO12" i="8"/>
  <c r="AO10" i="8"/>
  <c r="AO8" i="8"/>
  <c r="AO6" i="8"/>
  <c r="AO4" i="8"/>
  <c r="AO2" i="8"/>
  <c r="AO41" i="8"/>
  <c r="AO13" i="8"/>
  <c r="AO34" i="8"/>
  <c r="AO7" i="8"/>
  <c r="AO30" i="8"/>
  <c r="AO39" i="8"/>
  <c r="AO32" i="8"/>
  <c r="AO9" i="8"/>
  <c r="AO3" i="8"/>
  <c r="AO26" i="8"/>
  <c r="AO11" i="8"/>
  <c r="AO19" i="8"/>
  <c r="AO28" i="8"/>
  <c r="AO24" i="8"/>
  <c r="AO21" i="8"/>
  <c r="AO23" i="8"/>
  <c r="AO15" i="8"/>
  <c r="AO17" i="8"/>
  <c r="AO5" i="8"/>
  <c r="IV151" i="7"/>
  <c r="IV149" i="7"/>
  <c r="IV150" i="7"/>
  <c r="J149" i="7"/>
  <c r="J151" i="7"/>
  <c r="J150" i="7"/>
  <c r="JN54" i="9"/>
  <c r="JN55" i="9"/>
  <c r="JN53" i="9"/>
  <c r="JN47" i="9"/>
  <c r="JN46" i="9"/>
  <c r="JN49" i="9"/>
  <c r="JN44" i="9"/>
  <c r="JN48" i="9"/>
  <c r="JN43" i="9"/>
  <c r="JN40" i="9"/>
  <c r="JN38" i="9"/>
  <c r="JN41" i="9"/>
  <c r="JN42" i="9"/>
  <c r="JN36" i="9"/>
  <c r="JN34" i="9"/>
  <c r="JN32" i="9"/>
  <c r="JN37" i="9"/>
  <c r="JN30" i="9"/>
  <c r="JN33" i="9"/>
  <c r="JN31" i="9"/>
  <c r="JN28" i="9"/>
  <c r="JN45" i="9"/>
  <c r="JN29" i="9"/>
  <c r="JN26" i="9"/>
  <c r="JN25" i="9"/>
  <c r="JN35" i="9"/>
  <c r="JN27" i="9"/>
  <c r="JN23" i="9"/>
  <c r="JN21" i="9"/>
  <c r="JN19" i="9"/>
  <c r="JN17" i="9"/>
  <c r="JN15" i="9"/>
  <c r="JN16" i="9"/>
  <c r="JN10" i="9"/>
  <c r="JN8" i="9"/>
  <c r="JN6" i="9"/>
  <c r="JN4" i="9"/>
  <c r="JN39" i="9"/>
  <c r="JN12" i="9"/>
  <c r="JN18" i="9"/>
  <c r="JN20" i="9"/>
  <c r="JN13" i="9"/>
  <c r="JN24" i="9"/>
  <c r="JN9" i="9"/>
  <c r="JN14" i="9"/>
  <c r="JN7" i="9"/>
  <c r="JN2" i="9"/>
  <c r="JN3" i="9"/>
  <c r="JN11" i="9"/>
  <c r="JN5" i="9"/>
  <c r="JN22" i="9"/>
  <c r="HZ49" i="8"/>
  <c r="HZ46" i="8"/>
  <c r="HZ55" i="8"/>
  <c r="HZ48" i="8"/>
  <c r="HZ47" i="8"/>
  <c r="HZ43" i="8"/>
  <c r="HZ35" i="8"/>
  <c r="HZ33" i="8"/>
  <c r="HZ31" i="8"/>
  <c r="HZ29" i="8"/>
  <c r="HZ27" i="8"/>
  <c r="HZ25" i="8"/>
  <c r="HZ23" i="8"/>
  <c r="HZ38" i="8"/>
  <c r="HZ54" i="8"/>
  <c r="HZ39" i="8"/>
  <c r="HZ41" i="8"/>
  <c r="HZ40" i="8"/>
  <c r="HZ36" i="8"/>
  <c r="HZ24" i="8"/>
  <c r="HZ42" i="8"/>
  <c r="HZ32" i="8"/>
  <c r="HZ53" i="8"/>
  <c r="HZ44" i="8"/>
  <c r="HZ45" i="8"/>
  <c r="HZ34" i="8"/>
  <c r="HZ26" i="8"/>
  <c r="HZ18" i="8"/>
  <c r="HZ7" i="8"/>
  <c r="HZ30" i="8"/>
  <c r="HZ17" i="8"/>
  <c r="HZ12" i="8"/>
  <c r="HZ28" i="8"/>
  <c r="HZ37" i="8"/>
  <c r="HZ19" i="8"/>
  <c r="HZ14" i="8"/>
  <c r="HZ21" i="8"/>
  <c r="HZ20" i="8"/>
  <c r="HZ13" i="8"/>
  <c r="HZ6" i="8"/>
  <c r="HZ15" i="8"/>
  <c r="HZ16" i="8"/>
  <c r="HZ8" i="8"/>
  <c r="HZ9" i="8"/>
  <c r="HZ22" i="8"/>
  <c r="HZ11" i="8"/>
  <c r="HZ10" i="8"/>
  <c r="HZ3" i="8"/>
  <c r="HZ2" i="8"/>
  <c r="HZ4" i="8"/>
  <c r="HZ5" i="8"/>
  <c r="HA151" i="7"/>
  <c r="HA149" i="7"/>
  <c r="HA150" i="7"/>
  <c r="IV54" i="8"/>
  <c r="IV48" i="8"/>
  <c r="IV49" i="8"/>
  <c r="IV44" i="8"/>
  <c r="IV42" i="8"/>
  <c r="IV40" i="8"/>
  <c r="IV38" i="8"/>
  <c r="IV36" i="8"/>
  <c r="IV45" i="8"/>
  <c r="IV39" i="8"/>
  <c r="IV55" i="8"/>
  <c r="IV47" i="8"/>
  <c r="IV41" i="8"/>
  <c r="IV34" i="8"/>
  <c r="IV32" i="8"/>
  <c r="IV30" i="8"/>
  <c r="IV27" i="8"/>
  <c r="IV24" i="8"/>
  <c r="IV37" i="8"/>
  <c r="IV35" i="8"/>
  <c r="IV33" i="8"/>
  <c r="IV20" i="8"/>
  <c r="IV18" i="8"/>
  <c r="IV16" i="8"/>
  <c r="IV14" i="8"/>
  <c r="IV12" i="8"/>
  <c r="IV10" i="8"/>
  <c r="IV8" i="8"/>
  <c r="IV6" i="8"/>
  <c r="IV4" i="8"/>
  <c r="IV2" i="8"/>
  <c r="IV43" i="8"/>
  <c r="IV46" i="8"/>
  <c r="IV29" i="8"/>
  <c r="IV26" i="8"/>
  <c r="IV28" i="8"/>
  <c r="IV9" i="8"/>
  <c r="IV31" i="8"/>
  <c r="IV19" i="8"/>
  <c r="IV53" i="8"/>
  <c r="IV25" i="8"/>
  <c r="IV21" i="8"/>
  <c r="IV5" i="8"/>
  <c r="IV7" i="8"/>
  <c r="IV15" i="8"/>
  <c r="IV23" i="8"/>
  <c r="IV17" i="8"/>
  <c r="IV22" i="8"/>
  <c r="IV11" i="8"/>
  <c r="IV13" i="8"/>
  <c r="IV3" i="8"/>
  <c r="X48" i="8"/>
  <c r="X44" i="8"/>
  <c r="X42" i="8"/>
  <c r="X40" i="8"/>
  <c r="X38" i="8"/>
  <c r="X49" i="8"/>
  <c r="X47" i="8"/>
  <c r="X45" i="8"/>
  <c r="X34" i="8"/>
  <c r="X32" i="8"/>
  <c r="X39" i="8"/>
  <c r="X30" i="8"/>
  <c r="X25" i="8"/>
  <c r="X22" i="8"/>
  <c r="X20" i="8"/>
  <c r="X18" i="8"/>
  <c r="X16" i="8"/>
  <c r="X14" i="8"/>
  <c r="X12" i="8"/>
  <c r="X10" i="8"/>
  <c r="X8" i="8"/>
  <c r="X6" i="8"/>
  <c r="X4" i="8"/>
  <c r="X2" i="8"/>
  <c r="X46" i="8"/>
  <c r="X41" i="8"/>
  <c r="X43" i="8"/>
  <c r="X27" i="8"/>
  <c r="X24" i="8"/>
  <c r="X23" i="8"/>
  <c r="X35" i="8"/>
  <c r="X15" i="8"/>
  <c r="X9" i="8"/>
  <c r="X37" i="8"/>
  <c r="X31" i="8"/>
  <c r="X36" i="8"/>
  <c r="X33" i="8"/>
  <c r="X11" i="8"/>
  <c r="X19" i="8"/>
  <c r="X29" i="8"/>
  <c r="X3" i="8"/>
  <c r="X13" i="8"/>
  <c r="X21" i="8"/>
  <c r="X7" i="8"/>
  <c r="X26" i="8"/>
  <c r="X5" i="8"/>
  <c r="X28" i="8"/>
  <c r="X17" i="8"/>
  <c r="FM149" i="7"/>
  <c r="FM150" i="7"/>
  <c r="FM151" i="7"/>
  <c r="KB151" i="7"/>
  <c r="KB150" i="7"/>
  <c r="KB149" i="7"/>
  <c r="HH55" i="9"/>
  <c r="HH54" i="9"/>
  <c r="HH53" i="9"/>
  <c r="HH48" i="9"/>
  <c r="HH46" i="9"/>
  <c r="HH44" i="9"/>
  <c r="HH45" i="9"/>
  <c r="HH47" i="9"/>
  <c r="HH49" i="9"/>
  <c r="HH39" i="9"/>
  <c r="HH40" i="9"/>
  <c r="HH36" i="9"/>
  <c r="HH34" i="9"/>
  <c r="HH32" i="9"/>
  <c r="HH38" i="9"/>
  <c r="HH35" i="9"/>
  <c r="HH33" i="9"/>
  <c r="HH26" i="9"/>
  <c r="HH41" i="9"/>
  <c r="HH42" i="9"/>
  <c r="HH37" i="9"/>
  <c r="HH23" i="9"/>
  <c r="HH21" i="9"/>
  <c r="HH19" i="9"/>
  <c r="HH17" i="9"/>
  <c r="HH15" i="9"/>
  <c r="HH13" i="9"/>
  <c r="HH29" i="9"/>
  <c r="HH43" i="9"/>
  <c r="HH25" i="9"/>
  <c r="HH14" i="9"/>
  <c r="HH28" i="9"/>
  <c r="HH24" i="9"/>
  <c r="HH30" i="9"/>
  <c r="HH27" i="9"/>
  <c r="HH20" i="9"/>
  <c r="HH12" i="9"/>
  <c r="HH7" i="9"/>
  <c r="HH3" i="9"/>
  <c r="HH22" i="9"/>
  <c r="HH18" i="9"/>
  <c r="HH9" i="9"/>
  <c r="HH6" i="9"/>
  <c r="HH31" i="9"/>
  <c r="HH16" i="9"/>
  <c r="HH8" i="9"/>
  <c r="HH10" i="9"/>
  <c r="HH11" i="9"/>
  <c r="HH2" i="9"/>
  <c r="HH4" i="9"/>
  <c r="HH5" i="9"/>
  <c r="DX55" i="9"/>
  <c r="DX53" i="9"/>
  <c r="DX54" i="9"/>
  <c r="DX48" i="9"/>
  <c r="DX46" i="9"/>
  <c r="DX47" i="9"/>
  <c r="DX45" i="9"/>
  <c r="DX49" i="9"/>
  <c r="DX40" i="9"/>
  <c r="DX44" i="9"/>
  <c r="DX43" i="9"/>
  <c r="DX42" i="9"/>
  <c r="DX41" i="9"/>
  <c r="DX38" i="9"/>
  <c r="DX36" i="9"/>
  <c r="DX34" i="9"/>
  <c r="DX28" i="9"/>
  <c r="DX26" i="9"/>
  <c r="DX32" i="9"/>
  <c r="DX30" i="9"/>
  <c r="DX35" i="9"/>
  <c r="DX23" i="9"/>
  <c r="DX21" i="9"/>
  <c r="DX19" i="9"/>
  <c r="DX17" i="9"/>
  <c r="DX15" i="9"/>
  <c r="DX13" i="9"/>
  <c r="DX33" i="9"/>
  <c r="DX39" i="9"/>
  <c r="DX37" i="9"/>
  <c r="DX31" i="9"/>
  <c r="DX27" i="9"/>
  <c r="DX24" i="9"/>
  <c r="DX18" i="9"/>
  <c r="DX20" i="9"/>
  <c r="DX14" i="9"/>
  <c r="DX9" i="9"/>
  <c r="DX3" i="9"/>
  <c r="DX29" i="9"/>
  <c r="DX25" i="9"/>
  <c r="DX7" i="9"/>
  <c r="DX2" i="9"/>
  <c r="DX22" i="9"/>
  <c r="DX16" i="9"/>
  <c r="DX11" i="9"/>
  <c r="DX12" i="9"/>
  <c r="DX10" i="9"/>
  <c r="DX6" i="9"/>
  <c r="DX5" i="9"/>
  <c r="DX4" i="9"/>
  <c r="DX8" i="9"/>
  <c r="HW150" i="7"/>
  <c r="HW149" i="7"/>
  <c r="HW151" i="7"/>
  <c r="AU151" i="7"/>
  <c r="AU150" i="7"/>
  <c r="AU149" i="7"/>
  <c r="DW150" i="7"/>
  <c r="DW151" i="7"/>
  <c r="DW149" i="7"/>
  <c r="IU55" i="8"/>
  <c r="IU53" i="8"/>
  <c r="IU49" i="8"/>
  <c r="IU45" i="8"/>
  <c r="IU43" i="8"/>
  <c r="IU41" i="8"/>
  <c r="IU39" i="8"/>
  <c r="IU44" i="8"/>
  <c r="IU54" i="8"/>
  <c r="IU37" i="8"/>
  <c r="IU35" i="8"/>
  <c r="IU42" i="8"/>
  <c r="IU34" i="8"/>
  <c r="IU27" i="8"/>
  <c r="IU24" i="8"/>
  <c r="IU47" i="8"/>
  <c r="IU46" i="8"/>
  <c r="IU21" i="8"/>
  <c r="IU19" i="8"/>
  <c r="IU17" i="8"/>
  <c r="IU15" i="8"/>
  <c r="IU13" i="8"/>
  <c r="IU11" i="8"/>
  <c r="IU9" i="8"/>
  <c r="IU7" i="8"/>
  <c r="IU5" i="8"/>
  <c r="IU48" i="8"/>
  <c r="IU23" i="8"/>
  <c r="IU14" i="8"/>
  <c r="IU30" i="8"/>
  <c r="IU28" i="8"/>
  <c r="IU8" i="8"/>
  <c r="IU31" i="8"/>
  <c r="IU36" i="8"/>
  <c r="IU33" i="8"/>
  <c r="IU32" i="8"/>
  <c r="IU29" i="8"/>
  <c r="IU38" i="8"/>
  <c r="IU10" i="8"/>
  <c r="IU3" i="8"/>
  <c r="IU6" i="8"/>
  <c r="IU40" i="8"/>
  <c r="IU2" i="8"/>
  <c r="IU26" i="8"/>
  <c r="IU16" i="8"/>
  <c r="IU18" i="8"/>
  <c r="IU25" i="8"/>
  <c r="IU22" i="8"/>
  <c r="IU12" i="8"/>
  <c r="IU4" i="8"/>
  <c r="IU20" i="8"/>
  <c r="HG150" i="7"/>
  <c r="HG151" i="7"/>
  <c r="HG149" i="7"/>
  <c r="GQ55" i="8"/>
  <c r="GQ53" i="8"/>
  <c r="GQ54" i="8"/>
  <c r="GQ46" i="8"/>
  <c r="GQ45" i="8"/>
  <c r="GQ43" i="8"/>
  <c r="GQ41" i="8"/>
  <c r="GQ39" i="8"/>
  <c r="GQ37" i="8"/>
  <c r="GQ48" i="8"/>
  <c r="GQ36" i="8"/>
  <c r="GQ31" i="8"/>
  <c r="GQ44" i="8"/>
  <c r="GQ29" i="8"/>
  <c r="GQ26" i="8"/>
  <c r="GQ47" i="8"/>
  <c r="GQ40" i="8"/>
  <c r="GQ49" i="8"/>
  <c r="GQ22" i="8"/>
  <c r="GQ21" i="8"/>
  <c r="GQ19" i="8"/>
  <c r="GQ17" i="8"/>
  <c r="GQ15" i="8"/>
  <c r="GQ13" i="8"/>
  <c r="GQ11" i="8"/>
  <c r="GQ9" i="8"/>
  <c r="GQ7" i="8"/>
  <c r="GQ5" i="8"/>
  <c r="GQ16" i="8"/>
  <c r="GQ3" i="8"/>
  <c r="GQ32" i="8"/>
  <c r="GQ30" i="8"/>
  <c r="GQ10" i="8"/>
  <c r="GQ33" i="8"/>
  <c r="GQ35" i="8"/>
  <c r="GQ34" i="8"/>
  <c r="GQ28" i="8"/>
  <c r="GQ38" i="8"/>
  <c r="GQ42" i="8"/>
  <c r="GQ12" i="8"/>
  <c r="GQ23" i="8"/>
  <c r="GQ8" i="8"/>
  <c r="GQ24" i="8"/>
  <c r="GQ18" i="8"/>
  <c r="GQ20" i="8"/>
  <c r="GQ25" i="8"/>
  <c r="GQ14" i="8"/>
  <c r="GQ6" i="8"/>
  <c r="GQ27" i="8"/>
  <c r="GQ4" i="8"/>
  <c r="GQ2" i="8"/>
  <c r="EU150" i="7"/>
  <c r="EU151" i="7"/>
  <c r="EU149" i="7"/>
  <c r="EM55" i="9"/>
  <c r="EM54" i="9"/>
  <c r="EM53" i="9"/>
  <c r="EM47" i="9"/>
  <c r="EM46" i="9"/>
  <c r="EM45" i="9"/>
  <c r="EM49" i="9"/>
  <c r="EM43" i="9"/>
  <c r="EM41" i="9"/>
  <c r="EM48" i="9"/>
  <c r="EM44" i="9"/>
  <c r="EM42" i="9"/>
  <c r="EM39" i="9"/>
  <c r="EM40" i="9"/>
  <c r="EM36" i="9"/>
  <c r="EM34" i="9"/>
  <c r="EM32" i="9"/>
  <c r="EM31" i="9"/>
  <c r="EM29" i="9"/>
  <c r="EM33" i="9"/>
  <c r="EM38" i="9"/>
  <c r="EM35" i="9"/>
  <c r="EM37" i="9"/>
  <c r="EM28" i="9"/>
  <c r="EM26" i="9"/>
  <c r="EM27" i="9"/>
  <c r="EM23" i="9"/>
  <c r="EM21" i="9"/>
  <c r="EM19" i="9"/>
  <c r="EM17" i="9"/>
  <c r="EM15" i="9"/>
  <c r="EM13" i="9"/>
  <c r="EM30" i="9"/>
  <c r="EM18" i="9"/>
  <c r="EM11" i="9"/>
  <c r="EM9" i="9"/>
  <c r="EM7" i="9"/>
  <c r="EM25" i="9"/>
  <c r="EM12" i="9"/>
  <c r="EM16" i="9"/>
  <c r="EM24" i="9"/>
  <c r="EM20" i="9"/>
  <c r="EM6" i="9"/>
  <c r="EM2" i="9"/>
  <c r="EM14" i="9"/>
  <c r="EM22" i="9"/>
  <c r="EM10" i="9"/>
  <c r="EM5" i="9"/>
  <c r="EM4" i="9"/>
  <c r="EM8" i="9"/>
  <c r="EM3" i="9"/>
  <c r="CI53" i="9"/>
  <c r="CI55" i="9"/>
  <c r="CI54" i="9"/>
  <c r="CI46" i="9"/>
  <c r="CI49" i="9"/>
  <c r="CI48" i="9"/>
  <c r="CI47" i="9"/>
  <c r="CI43" i="9"/>
  <c r="CI41" i="9"/>
  <c r="CI39" i="9"/>
  <c r="CI45" i="9"/>
  <c r="CI44" i="9"/>
  <c r="CI40" i="9"/>
  <c r="CI36" i="9"/>
  <c r="CI34" i="9"/>
  <c r="CI32" i="9"/>
  <c r="CI38" i="9"/>
  <c r="CI31" i="9"/>
  <c r="CI29" i="9"/>
  <c r="CI35" i="9"/>
  <c r="CI37" i="9"/>
  <c r="CI42" i="9"/>
  <c r="CI28" i="9"/>
  <c r="CI26" i="9"/>
  <c r="CI25" i="9"/>
  <c r="CI30" i="9"/>
  <c r="CI23" i="9"/>
  <c r="CI21" i="9"/>
  <c r="CI19" i="9"/>
  <c r="CI17" i="9"/>
  <c r="CI15" i="9"/>
  <c r="CI13" i="9"/>
  <c r="CI33" i="9"/>
  <c r="CI20" i="9"/>
  <c r="CI11" i="9"/>
  <c r="CI9" i="9"/>
  <c r="CI27" i="9"/>
  <c r="CI14" i="9"/>
  <c r="CI16" i="9"/>
  <c r="CI5" i="9"/>
  <c r="CI4" i="9"/>
  <c r="CI18" i="9"/>
  <c r="CI22" i="9"/>
  <c r="CI12" i="9"/>
  <c r="CI2" i="9"/>
  <c r="CI24" i="9"/>
  <c r="CI3" i="9"/>
  <c r="CI8" i="9"/>
  <c r="CI7" i="9"/>
  <c r="CI6" i="9"/>
  <c r="CI10" i="9"/>
  <c r="BS151" i="7"/>
  <c r="BS150" i="7"/>
  <c r="BS149" i="7"/>
  <c r="BT53" i="9" s="1"/>
  <c r="DR149" i="7"/>
  <c r="DR151" i="7"/>
  <c r="DR150" i="7"/>
  <c r="AN151" i="7"/>
  <c r="AN150" i="7"/>
  <c r="AN149" i="7"/>
  <c r="JZ55" i="8"/>
  <c r="JZ48" i="8"/>
  <c r="JZ43" i="8"/>
  <c r="JZ34" i="8"/>
  <c r="JZ32" i="8"/>
  <c r="JZ30" i="8"/>
  <c r="JZ28" i="8"/>
  <c r="JZ26" i="8"/>
  <c r="JZ24" i="8"/>
  <c r="JZ22" i="8"/>
  <c r="JZ47" i="8"/>
  <c r="JZ42" i="8"/>
  <c r="JZ49" i="8"/>
  <c r="JZ44" i="8"/>
  <c r="JZ39" i="8"/>
  <c r="JZ46" i="8"/>
  <c r="JZ35" i="8"/>
  <c r="JZ29" i="8"/>
  <c r="JZ54" i="8"/>
  <c r="JZ38" i="8"/>
  <c r="JZ23" i="8"/>
  <c r="JZ45" i="8"/>
  <c r="JZ40" i="8"/>
  <c r="JZ53" i="8"/>
  <c r="JZ41" i="8"/>
  <c r="JZ33" i="8"/>
  <c r="JZ12" i="8"/>
  <c r="JZ7" i="8"/>
  <c r="JZ25" i="8"/>
  <c r="JZ17" i="8"/>
  <c r="JZ6" i="8"/>
  <c r="JZ36" i="8"/>
  <c r="JZ31" i="8"/>
  <c r="JZ27" i="8"/>
  <c r="JZ19" i="8"/>
  <c r="JZ8" i="8"/>
  <c r="JZ10" i="8"/>
  <c r="JZ9" i="8"/>
  <c r="JZ18" i="8"/>
  <c r="JZ11" i="8"/>
  <c r="JZ20" i="8"/>
  <c r="JZ21" i="8"/>
  <c r="JZ13" i="8"/>
  <c r="JZ37" i="8"/>
  <c r="JZ14" i="8"/>
  <c r="JZ16" i="8"/>
  <c r="JZ15" i="8"/>
  <c r="JZ3" i="8"/>
  <c r="JZ5" i="8"/>
  <c r="JZ2" i="8"/>
  <c r="JZ4" i="8"/>
  <c r="JB151" i="7"/>
  <c r="JB149" i="7"/>
  <c r="JB150" i="7"/>
  <c r="HN55" i="8"/>
  <c r="HN48" i="8"/>
  <c r="HN54" i="8"/>
  <c r="HN53" i="8"/>
  <c r="HN43" i="8"/>
  <c r="HN34" i="8"/>
  <c r="HN32" i="8"/>
  <c r="HN30" i="8"/>
  <c r="HN28" i="8"/>
  <c r="HN26" i="8"/>
  <c r="HN24" i="8"/>
  <c r="HN22" i="8"/>
  <c r="HN42" i="8"/>
  <c r="HN38" i="8"/>
  <c r="HN46" i="8"/>
  <c r="HN44" i="8"/>
  <c r="HN39" i="8"/>
  <c r="HN29" i="8"/>
  <c r="HN37" i="8"/>
  <c r="HN23" i="8"/>
  <c r="HN45" i="8"/>
  <c r="HN40" i="8"/>
  <c r="HN47" i="8"/>
  <c r="HN41" i="8"/>
  <c r="HN49" i="8"/>
  <c r="HN12" i="8"/>
  <c r="HN7" i="8"/>
  <c r="HN33" i="8"/>
  <c r="HN17" i="8"/>
  <c r="HN6" i="8"/>
  <c r="HN35" i="8"/>
  <c r="HN36" i="8"/>
  <c r="HN31" i="8"/>
  <c r="HN19" i="8"/>
  <c r="HN8" i="8"/>
  <c r="HN27" i="8"/>
  <c r="HN10" i="8"/>
  <c r="HN9" i="8"/>
  <c r="HN2" i="8"/>
  <c r="HN18" i="8"/>
  <c r="HN11" i="8"/>
  <c r="HN20" i="8"/>
  <c r="HN21" i="8"/>
  <c r="HN13" i="8"/>
  <c r="HN14" i="8"/>
  <c r="HN15" i="8"/>
  <c r="HN16" i="8"/>
  <c r="HN5" i="8"/>
  <c r="HN3" i="8"/>
  <c r="HN25" i="8"/>
  <c r="HN4" i="8"/>
  <c r="GP55" i="8"/>
  <c r="GP48" i="8"/>
  <c r="GP54" i="8"/>
  <c r="GP47" i="8"/>
  <c r="GP49" i="8"/>
  <c r="GP42" i="8"/>
  <c r="GP34" i="8"/>
  <c r="GP32" i="8"/>
  <c r="GP30" i="8"/>
  <c r="GP28" i="8"/>
  <c r="GP26" i="8"/>
  <c r="GP24" i="8"/>
  <c r="GP22" i="8"/>
  <c r="GP53" i="8"/>
  <c r="GP37" i="8"/>
  <c r="GP43" i="8"/>
  <c r="GP36" i="8"/>
  <c r="GP31" i="8"/>
  <c r="GP44" i="8"/>
  <c r="GP45" i="8"/>
  <c r="GP40" i="8"/>
  <c r="GP41" i="8"/>
  <c r="GP38" i="8"/>
  <c r="GP33" i="8"/>
  <c r="GP25" i="8"/>
  <c r="GP23" i="8"/>
  <c r="GP46" i="8"/>
  <c r="GP27" i="8"/>
  <c r="GP17" i="8"/>
  <c r="GP6" i="8"/>
  <c r="GP16" i="8"/>
  <c r="GP11" i="8"/>
  <c r="GP3" i="8"/>
  <c r="GP35" i="8"/>
  <c r="GP18" i="8"/>
  <c r="GP13" i="8"/>
  <c r="GP15" i="8"/>
  <c r="GP7" i="8"/>
  <c r="GP8" i="8"/>
  <c r="GP10" i="8"/>
  <c r="GP9" i="8"/>
  <c r="GP29" i="8"/>
  <c r="GP39" i="8"/>
  <c r="GP20" i="8"/>
  <c r="GP19" i="8"/>
  <c r="GP12" i="8"/>
  <c r="GP21" i="8"/>
  <c r="GP5" i="8"/>
  <c r="GP4" i="8"/>
  <c r="GP2" i="8"/>
  <c r="GP14" i="8"/>
  <c r="ET149" i="7"/>
  <c r="ET151" i="7"/>
  <c r="ET150" i="7"/>
  <c r="EL150" i="7"/>
  <c r="EL151" i="7"/>
  <c r="EL149" i="7"/>
  <c r="CH149" i="7"/>
  <c r="CH151" i="7"/>
  <c r="CH150" i="7"/>
  <c r="BZ47" i="8"/>
  <c r="BZ46" i="8"/>
  <c r="BZ49" i="8"/>
  <c r="BZ44" i="8"/>
  <c r="BZ39" i="8"/>
  <c r="BZ36" i="8"/>
  <c r="BZ34" i="8"/>
  <c r="BZ32" i="8"/>
  <c r="BZ30" i="8"/>
  <c r="BZ28" i="8"/>
  <c r="BZ26" i="8"/>
  <c r="BZ24" i="8"/>
  <c r="BZ40" i="8"/>
  <c r="BZ25" i="8"/>
  <c r="BZ33" i="8"/>
  <c r="BZ45" i="8"/>
  <c r="BZ48" i="8"/>
  <c r="BZ42" i="8"/>
  <c r="BZ41" i="8"/>
  <c r="BZ35" i="8"/>
  <c r="BZ27" i="8"/>
  <c r="BZ19" i="8"/>
  <c r="BZ8" i="8"/>
  <c r="BZ38" i="8"/>
  <c r="BZ23" i="8"/>
  <c r="BZ18" i="8"/>
  <c r="BZ13" i="8"/>
  <c r="BZ37" i="8"/>
  <c r="BZ43" i="8"/>
  <c r="BZ29" i="8"/>
  <c r="BZ20" i="8"/>
  <c r="BZ15" i="8"/>
  <c r="BZ4" i="8"/>
  <c r="BZ16" i="8"/>
  <c r="BZ3" i="8"/>
  <c r="BZ17" i="8"/>
  <c r="BZ9" i="8"/>
  <c r="BZ10" i="8"/>
  <c r="BZ12" i="8"/>
  <c r="BZ11" i="8"/>
  <c r="BZ31" i="8"/>
  <c r="BZ22" i="8"/>
  <c r="BZ21" i="8"/>
  <c r="BZ14" i="8"/>
  <c r="BZ7" i="8"/>
  <c r="BZ6" i="8"/>
  <c r="BZ2" i="8"/>
  <c r="BZ5" i="8"/>
  <c r="BR48" i="9"/>
  <c r="BR49" i="9"/>
  <c r="BR46" i="9"/>
  <c r="BR45" i="9"/>
  <c r="BR42" i="9"/>
  <c r="BR39" i="9"/>
  <c r="BR44" i="9"/>
  <c r="BR40" i="9"/>
  <c r="BR41" i="9"/>
  <c r="BR37" i="9"/>
  <c r="BR35" i="9"/>
  <c r="BR33" i="9"/>
  <c r="BR47" i="9"/>
  <c r="BR43" i="9"/>
  <c r="BR38" i="9"/>
  <c r="BR36" i="9"/>
  <c r="BR32" i="9"/>
  <c r="BR31" i="9"/>
  <c r="BR27" i="9"/>
  <c r="BR30" i="9"/>
  <c r="BR29" i="9"/>
  <c r="BR34" i="9"/>
  <c r="BR24" i="9"/>
  <c r="BR22" i="9"/>
  <c r="BR20" i="9"/>
  <c r="BR18" i="9"/>
  <c r="BR16" i="9"/>
  <c r="BR28" i="9"/>
  <c r="BR21" i="9"/>
  <c r="BR12" i="9"/>
  <c r="BR15" i="9"/>
  <c r="BR11" i="9"/>
  <c r="BR9" i="9"/>
  <c r="BR7" i="9"/>
  <c r="BR5" i="9"/>
  <c r="BR26" i="9"/>
  <c r="BR25" i="9"/>
  <c r="BR17" i="9"/>
  <c r="BR14" i="9"/>
  <c r="BR19" i="9"/>
  <c r="BR13" i="9"/>
  <c r="BR10" i="9"/>
  <c r="BR8" i="9"/>
  <c r="BR6" i="9"/>
  <c r="BR23" i="9"/>
  <c r="BR3" i="9"/>
  <c r="BR2" i="9"/>
  <c r="BR4" i="9"/>
  <c r="BJ48" i="9"/>
  <c r="BJ49" i="9"/>
  <c r="BJ47" i="9"/>
  <c r="BJ43" i="9"/>
  <c r="BJ46" i="9"/>
  <c r="BJ41" i="9"/>
  <c r="BJ39" i="9"/>
  <c r="BJ37" i="9"/>
  <c r="BJ35" i="9"/>
  <c r="BJ33" i="9"/>
  <c r="BJ32" i="9"/>
  <c r="BJ34" i="9"/>
  <c r="BJ31" i="9"/>
  <c r="BJ44" i="9"/>
  <c r="BJ36" i="9"/>
  <c r="BJ30" i="9"/>
  <c r="BJ45" i="9"/>
  <c r="BJ27" i="9"/>
  <c r="BJ38" i="9"/>
  <c r="BJ28" i="9"/>
  <c r="BJ42" i="9"/>
  <c r="BJ40" i="9"/>
  <c r="BJ25" i="9"/>
  <c r="BJ24" i="9"/>
  <c r="BJ22" i="9"/>
  <c r="BJ20" i="9"/>
  <c r="BJ18" i="9"/>
  <c r="BJ16" i="9"/>
  <c r="BJ19" i="9"/>
  <c r="BJ13" i="9"/>
  <c r="BJ26" i="9"/>
  <c r="BJ11" i="9"/>
  <c r="BJ9" i="9"/>
  <c r="BJ7" i="9"/>
  <c r="BJ5" i="9"/>
  <c r="BJ29" i="9"/>
  <c r="BJ15" i="9"/>
  <c r="BJ12" i="9"/>
  <c r="BJ14" i="9"/>
  <c r="BJ17" i="9"/>
  <c r="BJ21" i="9"/>
  <c r="BJ6" i="9"/>
  <c r="BJ3" i="9"/>
  <c r="BJ23" i="9"/>
  <c r="BJ8" i="9"/>
  <c r="BJ2" i="9"/>
  <c r="BJ4" i="9"/>
  <c r="BJ10" i="9"/>
  <c r="AD149" i="7"/>
  <c r="AD151" i="7"/>
  <c r="AD150" i="7"/>
  <c r="V151" i="7"/>
  <c r="V55" i="9" s="1"/>
  <c r="V149" i="7"/>
  <c r="V150" i="7"/>
  <c r="V54" i="9" s="1"/>
  <c r="N150" i="7"/>
  <c r="N151" i="7"/>
  <c r="N149" i="7"/>
  <c r="F48" i="9"/>
  <c r="F47" i="9"/>
  <c r="F46" i="9"/>
  <c r="F49" i="9"/>
  <c r="F45" i="9"/>
  <c r="F39" i="9"/>
  <c r="F41" i="9"/>
  <c r="F37" i="9"/>
  <c r="F35" i="9"/>
  <c r="F33" i="9"/>
  <c r="F42" i="9"/>
  <c r="F36" i="9"/>
  <c r="F31" i="9"/>
  <c r="F43" i="9"/>
  <c r="F38" i="9"/>
  <c r="F44" i="9"/>
  <c r="F40" i="9"/>
  <c r="F32" i="9"/>
  <c r="F27" i="9"/>
  <c r="F34" i="9"/>
  <c r="F30" i="9"/>
  <c r="F24" i="9"/>
  <c r="F22" i="9"/>
  <c r="F20" i="9"/>
  <c r="F18" i="9"/>
  <c r="F16" i="9"/>
  <c r="F21" i="9"/>
  <c r="F28" i="9"/>
  <c r="F15" i="9"/>
  <c r="F11" i="9"/>
  <c r="F9" i="9"/>
  <c r="F7" i="9"/>
  <c r="F5" i="9"/>
  <c r="F17" i="9"/>
  <c r="F14" i="9"/>
  <c r="F10" i="9"/>
  <c r="F19" i="9"/>
  <c r="F8" i="9"/>
  <c r="F29" i="9"/>
  <c r="F26" i="9"/>
  <c r="F23" i="9"/>
  <c r="F13" i="9"/>
  <c r="F6" i="9"/>
  <c r="F25" i="9"/>
  <c r="F12" i="9"/>
  <c r="F3" i="9"/>
  <c r="F2" i="9"/>
  <c r="F4" i="9"/>
  <c r="IW54" i="9"/>
  <c r="IW47" i="9"/>
  <c r="IW55" i="9"/>
  <c r="IW48" i="9"/>
  <c r="IW49" i="9"/>
  <c r="IW53" i="9"/>
  <c r="IW46" i="9"/>
  <c r="IW42" i="9"/>
  <c r="IW41" i="9"/>
  <c r="IW44" i="9"/>
  <c r="IW40" i="9"/>
  <c r="IW39" i="9"/>
  <c r="IW45" i="9"/>
  <c r="IW38" i="9"/>
  <c r="IW34" i="9"/>
  <c r="IW33" i="9"/>
  <c r="IW35" i="9"/>
  <c r="IW31" i="9"/>
  <c r="IW43" i="9"/>
  <c r="IW28" i="9"/>
  <c r="IW32" i="9"/>
  <c r="IW30" i="9"/>
  <c r="IW27" i="9"/>
  <c r="IW36" i="9"/>
  <c r="IW37" i="9"/>
  <c r="IW29" i="9"/>
  <c r="IW18" i="9"/>
  <c r="IW23" i="9"/>
  <c r="IW14" i="9"/>
  <c r="IW11" i="9"/>
  <c r="IW9" i="9"/>
  <c r="IW19" i="9"/>
  <c r="IW3" i="9"/>
  <c r="IW26" i="9"/>
  <c r="IW20" i="9"/>
  <c r="IW22" i="9"/>
  <c r="IW21" i="9"/>
  <c r="IW25" i="9"/>
  <c r="IW12" i="9"/>
  <c r="IW17" i="9"/>
  <c r="IW5" i="9"/>
  <c r="IW2" i="9"/>
  <c r="IW10" i="9"/>
  <c r="IW15" i="9"/>
  <c r="IW13" i="9"/>
  <c r="IW16" i="9"/>
  <c r="IW8" i="9"/>
  <c r="IW4" i="9"/>
  <c r="IW24" i="9"/>
  <c r="IW7" i="9"/>
  <c r="IW6" i="9"/>
  <c r="FU53" i="9"/>
  <c r="FU54" i="9"/>
  <c r="FU49" i="9"/>
  <c r="FU47" i="9"/>
  <c r="FU55" i="9"/>
  <c r="FU46" i="9"/>
  <c r="FU44" i="9"/>
  <c r="FU42" i="9"/>
  <c r="FU48" i="9"/>
  <c r="FU45" i="9"/>
  <c r="FU43" i="9"/>
  <c r="FU39" i="9"/>
  <c r="FU40" i="9"/>
  <c r="FU35" i="9"/>
  <c r="FU41" i="9"/>
  <c r="FU31" i="9"/>
  <c r="FU38" i="9"/>
  <c r="FU34" i="9"/>
  <c r="FU30" i="9"/>
  <c r="FU37" i="9"/>
  <c r="FU36" i="9"/>
  <c r="FU33" i="9"/>
  <c r="FU25" i="9"/>
  <c r="FU32" i="9"/>
  <c r="FU29" i="9"/>
  <c r="FU24" i="9"/>
  <c r="FU19" i="9"/>
  <c r="FU27" i="9"/>
  <c r="FU28" i="9"/>
  <c r="FU21" i="9"/>
  <c r="FU11" i="9"/>
  <c r="FU9" i="9"/>
  <c r="FU20" i="9"/>
  <c r="FU8" i="9"/>
  <c r="FU6" i="9"/>
  <c r="FU3" i="9"/>
  <c r="FU5" i="9"/>
  <c r="FU4" i="9"/>
  <c r="FU22" i="9"/>
  <c r="FU23" i="9"/>
  <c r="FU26" i="9"/>
  <c r="FU7" i="9"/>
  <c r="FU14" i="9"/>
  <c r="FU16" i="9"/>
  <c r="FU10" i="9"/>
  <c r="FU17" i="9"/>
  <c r="FU13" i="9"/>
  <c r="FU18" i="9"/>
  <c r="FU15" i="9"/>
  <c r="FU12" i="9"/>
  <c r="FU2" i="9"/>
  <c r="FE53" i="9"/>
  <c r="FE55" i="9"/>
  <c r="FE47" i="9"/>
  <c r="FE54" i="9"/>
  <c r="FE48" i="9"/>
  <c r="FE44" i="9"/>
  <c r="FE42" i="9"/>
  <c r="FE43" i="9"/>
  <c r="FE45" i="9"/>
  <c r="FE41" i="9"/>
  <c r="FE49" i="9"/>
  <c r="FE40" i="9"/>
  <c r="FE46" i="9"/>
  <c r="FE36" i="9"/>
  <c r="FE39" i="9"/>
  <c r="FE31" i="9"/>
  <c r="FE33" i="9"/>
  <c r="FE32" i="9"/>
  <c r="FE25" i="9"/>
  <c r="FE37" i="9"/>
  <c r="FE34" i="9"/>
  <c r="FE38" i="9"/>
  <c r="FE30" i="9"/>
  <c r="FE21" i="9"/>
  <c r="FE20" i="9"/>
  <c r="FE15" i="9"/>
  <c r="FE14" i="9"/>
  <c r="FE35" i="9"/>
  <c r="FE27" i="9"/>
  <c r="FE29" i="9"/>
  <c r="FE28" i="9"/>
  <c r="FE22" i="9"/>
  <c r="FE17" i="9"/>
  <c r="FE11" i="9"/>
  <c r="FE9" i="9"/>
  <c r="FE26" i="9"/>
  <c r="FE3" i="9"/>
  <c r="FE24" i="9"/>
  <c r="FE23" i="9"/>
  <c r="FE10" i="9"/>
  <c r="FE6" i="9"/>
  <c r="FE7" i="9"/>
  <c r="FE4" i="9"/>
  <c r="FE13" i="9"/>
  <c r="FE18" i="9"/>
  <c r="FE12" i="9"/>
  <c r="FE16" i="9"/>
  <c r="FE19" i="9"/>
  <c r="FE5" i="9"/>
  <c r="FE2" i="9"/>
  <c r="FE8" i="9"/>
  <c r="Q48" i="8"/>
  <c r="Q46" i="8"/>
  <c r="Q44" i="8"/>
  <c r="Q42" i="8"/>
  <c r="Q40" i="8"/>
  <c r="Q38" i="8"/>
  <c r="Q36" i="8"/>
  <c r="Q43" i="8"/>
  <c r="Q37" i="8"/>
  <c r="Q35" i="8"/>
  <c r="Q33" i="8"/>
  <c r="Q31" i="8"/>
  <c r="Q29" i="8"/>
  <c r="Q27" i="8"/>
  <c r="Q25" i="8"/>
  <c r="Q39" i="8"/>
  <c r="Q22" i="8"/>
  <c r="Q20" i="8"/>
  <c r="Q18" i="8"/>
  <c r="Q16" i="8"/>
  <c r="Q14" i="8"/>
  <c r="Q12" i="8"/>
  <c r="Q10" i="8"/>
  <c r="Q8" i="8"/>
  <c r="Q6" i="8"/>
  <c r="Q4" i="8"/>
  <c r="Q2" i="8"/>
  <c r="Q32" i="8"/>
  <c r="Q26" i="8"/>
  <c r="Q49" i="8"/>
  <c r="Q45" i="8"/>
  <c r="Q47" i="8"/>
  <c r="Q41" i="8"/>
  <c r="Q34" i="8"/>
  <c r="Q28" i="8"/>
  <c r="Q7" i="8"/>
  <c r="Q3" i="8"/>
  <c r="Q17" i="8"/>
  <c r="Q30" i="8"/>
  <c r="Q19" i="8"/>
  <c r="Q9" i="8"/>
  <c r="Q11" i="8"/>
  <c r="Q24" i="8"/>
  <c r="Q23" i="8"/>
  <c r="Q21" i="8"/>
  <c r="Q13" i="8"/>
  <c r="Q15" i="8"/>
  <c r="Q5" i="8"/>
  <c r="AV151" i="7"/>
  <c r="AV55" i="9" s="1"/>
  <c r="AV149" i="7"/>
  <c r="AV150" i="7"/>
  <c r="GO150" i="7"/>
  <c r="GO149" i="7"/>
  <c r="GO151" i="7"/>
  <c r="AK48" i="9"/>
  <c r="AK49" i="9"/>
  <c r="AK45" i="9"/>
  <c r="AK43" i="9"/>
  <c r="AK47" i="9"/>
  <c r="AK42" i="9"/>
  <c r="AK41" i="9"/>
  <c r="AK46" i="9"/>
  <c r="AK44" i="9"/>
  <c r="AK40" i="9"/>
  <c r="AK35" i="9"/>
  <c r="AK34" i="9"/>
  <c r="AK36" i="9"/>
  <c r="AK32" i="9"/>
  <c r="AK29" i="9"/>
  <c r="AK39" i="9"/>
  <c r="AK33" i="9"/>
  <c r="AK30" i="9"/>
  <c r="AK28" i="9"/>
  <c r="AK37" i="9"/>
  <c r="AK38" i="9"/>
  <c r="AK25" i="9"/>
  <c r="AK19" i="9"/>
  <c r="AK24" i="9"/>
  <c r="AK31" i="9"/>
  <c r="AK27" i="9"/>
  <c r="AK15" i="9"/>
  <c r="AK12" i="9"/>
  <c r="AK10" i="9"/>
  <c r="AK21" i="9"/>
  <c r="AK13" i="9"/>
  <c r="AK4" i="9"/>
  <c r="AK2" i="9"/>
  <c r="AK23" i="9"/>
  <c r="AK22" i="9"/>
  <c r="AK26" i="9"/>
  <c r="AK18" i="9"/>
  <c r="AK11" i="9"/>
  <c r="AK9" i="9"/>
  <c r="AK5" i="9"/>
  <c r="AK3" i="9"/>
  <c r="AK7" i="9"/>
  <c r="AK14" i="9"/>
  <c r="AK16" i="9"/>
  <c r="AK17" i="9"/>
  <c r="AK20" i="9"/>
  <c r="AK8" i="9"/>
  <c r="AK6" i="9"/>
  <c r="CM151" i="7"/>
  <c r="CM150" i="7"/>
  <c r="CM149" i="7"/>
  <c r="CR54" i="8"/>
  <c r="CR48" i="8"/>
  <c r="CR55" i="8"/>
  <c r="CR49" i="8"/>
  <c r="CR46" i="8"/>
  <c r="CR44" i="8"/>
  <c r="CR42" i="8"/>
  <c r="CR40" i="8"/>
  <c r="CR38" i="8"/>
  <c r="CR36" i="8"/>
  <c r="CR53" i="8"/>
  <c r="CR47" i="8"/>
  <c r="CR34" i="8"/>
  <c r="CR32" i="8"/>
  <c r="CR31" i="8"/>
  <c r="CR27" i="8"/>
  <c r="CR43" i="8"/>
  <c r="CR22" i="8"/>
  <c r="CR20" i="8"/>
  <c r="CR18" i="8"/>
  <c r="CR16" i="8"/>
  <c r="CR14" i="8"/>
  <c r="CR12" i="8"/>
  <c r="CR10" i="8"/>
  <c r="CR8" i="8"/>
  <c r="CR6" i="8"/>
  <c r="CR4" i="8"/>
  <c r="CR2" i="8"/>
  <c r="CR45" i="8"/>
  <c r="CR41" i="8"/>
  <c r="CR29" i="8"/>
  <c r="CR26" i="8"/>
  <c r="CR39" i="8"/>
  <c r="CR30" i="8"/>
  <c r="CR17" i="8"/>
  <c r="CR25" i="8"/>
  <c r="CR11" i="8"/>
  <c r="CR33" i="8"/>
  <c r="CR35" i="8"/>
  <c r="CR13" i="8"/>
  <c r="CR15" i="8"/>
  <c r="CR7" i="8"/>
  <c r="CR3" i="8"/>
  <c r="CR28" i="8"/>
  <c r="CR24" i="8"/>
  <c r="CR9" i="8"/>
  <c r="CR23" i="8"/>
  <c r="CR37" i="8"/>
  <c r="CR19" i="8"/>
  <c r="CR21" i="8"/>
  <c r="CR5" i="8"/>
  <c r="FP54" i="9"/>
  <c r="FP53" i="9"/>
  <c r="FP55" i="9"/>
  <c r="FP47" i="9"/>
  <c r="FP49" i="9"/>
  <c r="FP45" i="9"/>
  <c r="FP46" i="9"/>
  <c r="FP48" i="9"/>
  <c r="FP44" i="9"/>
  <c r="FP43" i="9"/>
  <c r="FP41" i="9"/>
  <c r="FP42" i="9"/>
  <c r="FP40" i="9"/>
  <c r="FP38" i="9"/>
  <c r="FP37" i="9"/>
  <c r="FP35" i="9"/>
  <c r="FP33" i="9"/>
  <c r="FP32" i="9"/>
  <c r="FP27" i="9"/>
  <c r="FP25" i="9"/>
  <c r="FP30" i="9"/>
  <c r="FP26" i="9"/>
  <c r="FP24" i="9"/>
  <c r="FP22" i="9"/>
  <c r="FP20" i="9"/>
  <c r="FP18" i="9"/>
  <c r="FP16" i="9"/>
  <c r="FP14" i="9"/>
  <c r="FP12" i="9"/>
  <c r="FP34" i="9"/>
  <c r="FP39" i="9"/>
  <c r="FP28" i="9"/>
  <c r="FP21" i="9"/>
  <c r="FP36" i="9"/>
  <c r="FP31" i="9"/>
  <c r="FP29" i="9"/>
  <c r="FP23" i="9"/>
  <c r="FP13" i="9"/>
  <c r="FP10" i="9"/>
  <c r="FP19" i="9"/>
  <c r="FP9" i="9"/>
  <c r="FP7" i="9"/>
  <c r="FP2" i="9"/>
  <c r="FP11" i="9"/>
  <c r="FP4" i="9"/>
  <c r="FP17" i="9"/>
  <c r="FP3" i="9"/>
  <c r="FP8" i="9"/>
  <c r="FP6" i="9"/>
  <c r="FP15" i="9"/>
  <c r="FP5" i="9"/>
  <c r="FH54" i="9"/>
  <c r="FH53" i="9"/>
  <c r="FH49" i="9"/>
  <c r="FH47" i="9"/>
  <c r="FH45" i="9"/>
  <c r="FH48" i="9"/>
  <c r="FH55" i="9"/>
  <c r="FH46" i="9"/>
  <c r="FH44" i="9"/>
  <c r="FH42" i="9"/>
  <c r="FH41" i="9"/>
  <c r="FH39" i="9"/>
  <c r="FH37" i="9"/>
  <c r="FH35" i="9"/>
  <c r="FH33" i="9"/>
  <c r="FH38" i="9"/>
  <c r="FH43" i="9"/>
  <c r="FH36" i="9"/>
  <c r="FH29" i="9"/>
  <c r="FH27" i="9"/>
  <c r="FH25" i="9"/>
  <c r="FH32" i="9"/>
  <c r="FH31" i="9"/>
  <c r="FH24" i="9"/>
  <c r="FH22" i="9"/>
  <c r="FH20" i="9"/>
  <c r="FH18" i="9"/>
  <c r="FH16" i="9"/>
  <c r="FH14" i="9"/>
  <c r="FH12" i="9"/>
  <c r="FH40" i="9"/>
  <c r="FH34" i="9"/>
  <c r="FH19" i="9"/>
  <c r="FH30" i="9"/>
  <c r="FH28" i="9"/>
  <c r="FH21" i="9"/>
  <c r="FH23" i="9"/>
  <c r="FH15" i="9"/>
  <c r="FH2" i="9"/>
  <c r="FH9" i="9"/>
  <c r="FH13" i="9"/>
  <c r="FH6" i="9"/>
  <c r="FH3" i="9"/>
  <c r="FH26" i="9"/>
  <c r="FH17" i="9"/>
  <c r="FH7" i="9"/>
  <c r="FH5" i="9"/>
  <c r="FH4" i="9"/>
  <c r="FH11" i="9"/>
  <c r="FH10" i="9"/>
  <c r="FH8" i="9"/>
  <c r="EZ150" i="7"/>
  <c r="EZ151" i="7"/>
  <c r="EZ149" i="7"/>
  <c r="EB55" i="9"/>
  <c r="EB54" i="9"/>
  <c r="EB53" i="9"/>
  <c r="EB49" i="9"/>
  <c r="EB47" i="9"/>
  <c r="EB45" i="9"/>
  <c r="EB48" i="9"/>
  <c r="EB44" i="9"/>
  <c r="EB43" i="9"/>
  <c r="EB37" i="9"/>
  <c r="EB35" i="9"/>
  <c r="EB33" i="9"/>
  <c r="EB40" i="9"/>
  <c r="EB38" i="9"/>
  <c r="EB42" i="9"/>
  <c r="EB34" i="9"/>
  <c r="EB31" i="9"/>
  <c r="EB29" i="9"/>
  <c r="EB27" i="9"/>
  <c r="EB25" i="9"/>
  <c r="EB39" i="9"/>
  <c r="EB41" i="9"/>
  <c r="EB32" i="9"/>
  <c r="EB24" i="9"/>
  <c r="EB22" i="9"/>
  <c r="EB20" i="9"/>
  <c r="EB18" i="9"/>
  <c r="EB16" i="9"/>
  <c r="EB14" i="9"/>
  <c r="EB12" i="9"/>
  <c r="EB36" i="9"/>
  <c r="EB26" i="9"/>
  <c r="EB46" i="9"/>
  <c r="EB28" i="9"/>
  <c r="EB17" i="9"/>
  <c r="EB30" i="9"/>
  <c r="EB6" i="9"/>
  <c r="EB5" i="9"/>
  <c r="EB19" i="9"/>
  <c r="EB10" i="9"/>
  <c r="EB4" i="9"/>
  <c r="EB2" i="9"/>
  <c r="EB21" i="9"/>
  <c r="EB15" i="9"/>
  <c r="EB13" i="9"/>
  <c r="EB8" i="9"/>
  <c r="EB23" i="9"/>
  <c r="EB7" i="9"/>
  <c r="EB3" i="9"/>
  <c r="EB9" i="9"/>
  <c r="EB11" i="9"/>
  <c r="BX150" i="7"/>
  <c r="BY54" i="9" s="1"/>
  <c r="BX149" i="7"/>
  <c r="BX151" i="7"/>
  <c r="BY55" i="9" s="1"/>
  <c r="BP49" i="9"/>
  <c r="BP47" i="9"/>
  <c r="BP45" i="9"/>
  <c r="BP46" i="9"/>
  <c r="BP44" i="9"/>
  <c r="BP41" i="9"/>
  <c r="BP37" i="9"/>
  <c r="BP35" i="9"/>
  <c r="BP33" i="9"/>
  <c r="BP40" i="9"/>
  <c r="BP42" i="9"/>
  <c r="BP34" i="9"/>
  <c r="BP48" i="9"/>
  <c r="BP38" i="9"/>
  <c r="BP31" i="9"/>
  <c r="BP27" i="9"/>
  <c r="BP39" i="9"/>
  <c r="BP32" i="9"/>
  <c r="BP24" i="9"/>
  <c r="BP22" i="9"/>
  <c r="BP20" i="9"/>
  <c r="BP18" i="9"/>
  <c r="BP16" i="9"/>
  <c r="BP14" i="9"/>
  <c r="BP12" i="9"/>
  <c r="BP36" i="9"/>
  <c r="BP26" i="9"/>
  <c r="BP25" i="9"/>
  <c r="BP43" i="9"/>
  <c r="BP28" i="9"/>
  <c r="BP17" i="9"/>
  <c r="BP29" i="9"/>
  <c r="BP30" i="9"/>
  <c r="BP6" i="9"/>
  <c r="BP5" i="9"/>
  <c r="BP10" i="9"/>
  <c r="BP4" i="9"/>
  <c r="BP2" i="9"/>
  <c r="BP19" i="9"/>
  <c r="BP21" i="9"/>
  <c r="BP23" i="9"/>
  <c r="BP15" i="9"/>
  <c r="BP7" i="9"/>
  <c r="BP13" i="9"/>
  <c r="BP11" i="9"/>
  <c r="BP8" i="9"/>
  <c r="BP3" i="9"/>
  <c r="BP9" i="9"/>
  <c r="T49" i="8"/>
  <c r="T45" i="8"/>
  <c r="T43" i="8"/>
  <c r="T41" i="8"/>
  <c r="T39" i="8"/>
  <c r="T37" i="8"/>
  <c r="T48" i="8"/>
  <c r="T42" i="8"/>
  <c r="T47" i="8"/>
  <c r="T38" i="8"/>
  <c r="T35" i="8"/>
  <c r="T33" i="8"/>
  <c r="T31" i="8"/>
  <c r="T44" i="8"/>
  <c r="T29" i="8"/>
  <c r="T24" i="8"/>
  <c r="T21" i="8"/>
  <c r="T19" i="8"/>
  <c r="T17" i="8"/>
  <c r="T15" i="8"/>
  <c r="T13" i="8"/>
  <c r="T11" i="8"/>
  <c r="T9" i="8"/>
  <c r="T7" i="8"/>
  <c r="T5" i="8"/>
  <c r="T3" i="8"/>
  <c r="T40" i="8"/>
  <c r="T46" i="8"/>
  <c r="T36" i="8"/>
  <c r="T32" i="8"/>
  <c r="T26" i="8"/>
  <c r="T34" i="8"/>
  <c r="T23" i="8"/>
  <c r="T22" i="8"/>
  <c r="T6" i="8"/>
  <c r="T16" i="8"/>
  <c r="T4" i="8"/>
  <c r="T30" i="8"/>
  <c r="T28" i="8"/>
  <c r="T25" i="8"/>
  <c r="T18" i="8"/>
  <c r="T10" i="8"/>
  <c r="T2" i="8"/>
  <c r="T27" i="8"/>
  <c r="T20" i="8"/>
  <c r="T12" i="8"/>
  <c r="T14" i="8"/>
  <c r="T8" i="8"/>
  <c r="JW151" i="7"/>
  <c r="JW150" i="7"/>
  <c r="JW149" i="7"/>
  <c r="IY149" i="7"/>
  <c r="IY150" i="7"/>
  <c r="IY151" i="7"/>
  <c r="HC54" i="9"/>
  <c r="HC55" i="9"/>
  <c r="HC49" i="9"/>
  <c r="HC53" i="9"/>
  <c r="HC45" i="9"/>
  <c r="HC47" i="9"/>
  <c r="HC46" i="9"/>
  <c r="HC42" i="9"/>
  <c r="HC40" i="9"/>
  <c r="HC48" i="9"/>
  <c r="HC44" i="9"/>
  <c r="HC43" i="9"/>
  <c r="HC41" i="9"/>
  <c r="HC38" i="9"/>
  <c r="HC39" i="9"/>
  <c r="HC37" i="9"/>
  <c r="HC35" i="9"/>
  <c r="HC33" i="9"/>
  <c r="HC32" i="9"/>
  <c r="HC30" i="9"/>
  <c r="HC28" i="9"/>
  <c r="HC27" i="9"/>
  <c r="HC25" i="9"/>
  <c r="HC26" i="9"/>
  <c r="HC34" i="9"/>
  <c r="HC24" i="9"/>
  <c r="HC22" i="9"/>
  <c r="HC20" i="9"/>
  <c r="HC18" i="9"/>
  <c r="HC16" i="9"/>
  <c r="HC14" i="9"/>
  <c r="HC12" i="9"/>
  <c r="HC36" i="9"/>
  <c r="HC31" i="9"/>
  <c r="HC10" i="9"/>
  <c r="HC8" i="9"/>
  <c r="HC21" i="9"/>
  <c r="HC13" i="9"/>
  <c r="HC23" i="9"/>
  <c r="HC17" i="9"/>
  <c r="HC9" i="9"/>
  <c r="HC19" i="9"/>
  <c r="HC29" i="9"/>
  <c r="HC11" i="9"/>
  <c r="HC3" i="9"/>
  <c r="HC7" i="9"/>
  <c r="HC5" i="9"/>
  <c r="HC15" i="9"/>
  <c r="HC6" i="9"/>
  <c r="HC2" i="9"/>
  <c r="HC4" i="9"/>
  <c r="DS54" i="8"/>
  <c r="DS53" i="8"/>
  <c r="DS48" i="8"/>
  <c r="DS46" i="8"/>
  <c r="DS55" i="8"/>
  <c r="DS44" i="8"/>
  <c r="DS42" i="8"/>
  <c r="DS40" i="8"/>
  <c r="DS41" i="8"/>
  <c r="DS37" i="8"/>
  <c r="DS36" i="8"/>
  <c r="DS31" i="8"/>
  <c r="DS23" i="8"/>
  <c r="DS39" i="8"/>
  <c r="DS26" i="8"/>
  <c r="DS49" i="8"/>
  <c r="DS47" i="8"/>
  <c r="DS43" i="8"/>
  <c r="DS32" i="8"/>
  <c r="DS22" i="8"/>
  <c r="DS20" i="8"/>
  <c r="DS18" i="8"/>
  <c r="DS16" i="8"/>
  <c r="DS14" i="8"/>
  <c r="DS12" i="8"/>
  <c r="DS10" i="8"/>
  <c r="DS8" i="8"/>
  <c r="DS6" i="8"/>
  <c r="DS4" i="8"/>
  <c r="DS45" i="8"/>
  <c r="DS34" i="8"/>
  <c r="DS33" i="8"/>
  <c r="DS21" i="8"/>
  <c r="DS5" i="8"/>
  <c r="DS3" i="8"/>
  <c r="DS35" i="8"/>
  <c r="DS29" i="8"/>
  <c r="DS15" i="8"/>
  <c r="DS38" i="8"/>
  <c r="DS30" i="8"/>
  <c r="DS28" i="8"/>
  <c r="DS25" i="8"/>
  <c r="DS17" i="8"/>
  <c r="DS2" i="8"/>
  <c r="DS24" i="8"/>
  <c r="DS19" i="8"/>
  <c r="DS11" i="8"/>
  <c r="DS13" i="8"/>
  <c r="DS27" i="8"/>
  <c r="DS9" i="8"/>
  <c r="DS7" i="8"/>
  <c r="DC151" i="7"/>
  <c r="DC149" i="7"/>
  <c r="DC150" i="7"/>
  <c r="K44" i="8"/>
  <c r="K42" i="8"/>
  <c r="K40" i="8"/>
  <c r="K45" i="8"/>
  <c r="K38" i="8"/>
  <c r="K39" i="8"/>
  <c r="K47" i="8"/>
  <c r="K41" i="8"/>
  <c r="K48" i="8"/>
  <c r="K35" i="8"/>
  <c r="K43" i="8"/>
  <c r="K34" i="8"/>
  <c r="K30" i="8"/>
  <c r="K27" i="8"/>
  <c r="K24" i="8"/>
  <c r="K49" i="8"/>
  <c r="K46" i="8"/>
  <c r="K31" i="8"/>
  <c r="K22" i="8"/>
  <c r="K20" i="8"/>
  <c r="K18" i="8"/>
  <c r="K16" i="8"/>
  <c r="K14" i="8"/>
  <c r="K12" i="8"/>
  <c r="K10" i="8"/>
  <c r="K8" i="8"/>
  <c r="K6" i="8"/>
  <c r="K9" i="8"/>
  <c r="K4" i="8"/>
  <c r="K36" i="8"/>
  <c r="K19" i="8"/>
  <c r="K32" i="8"/>
  <c r="K33" i="8"/>
  <c r="K29" i="8"/>
  <c r="K21" i="8"/>
  <c r="K5" i="8"/>
  <c r="K23" i="8"/>
  <c r="K7" i="8"/>
  <c r="K15" i="8"/>
  <c r="K28" i="8"/>
  <c r="K26" i="8"/>
  <c r="K17" i="8"/>
  <c r="K25" i="8"/>
  <c r="K11" i="8"/>
  <c r="K13" i="8"/>
  <c r="K3" i="8"/>
  <c r="K37" i="8"/>
  <c r="K2" i="8"/>
  <c r="GZ54" i="8"/>
  <c r="GZ48" i="8"/>
  <c r="GZ44" i="8"/>
  <c r="GZ42" i="8"/>
  <c r="GZ40" i="8"/>
  <c r="GZ38" i="8"/>
  <c r="GZ36" i="8"/>
  <c r="GZ47" i="8"/>
  <c r="GZ46" i="8"/>
  <c r="GZ43" i="8"/>
  <c r="GZ37" i="8"/>
  <c r="GZ53" i="8"/>
  <c r="GZ45" i="8"/>
  <c r="GZ34" i="8"/>
  <c r="GZ32" i="8"/>
  <c r="GZ28" i="8"/>
  <c r="GZ39" i="8"/>
  <c r="GZ20" i="8"/>
  <c r="GZ18" i="8"/>
  <c r="GZ16" i="8"/>
  <c r="GZ14" i="8"/>
  <c r="GZ12" i="8"/>
  <c r="GZ10" i="8"/>
  <c r="GZ8" i="8"/>
  <c r="GZ6" i="8"/>
  <c r="GZ4" i="8"/>
  <c r="GZ2" i="8"/>
  <c r="GZ49" i="8"/>
  <c r="GZ41" i="8"/>
  <c r="GZ30" i="8"/>
  <c r="GZ25" i="8"/>
  <c r="GZ22" i="8"/>
  <c r="GZ55" i="8"/>
  <c r="GZ35" i="8"/>
  <c r="GZ29" i="8"/>
  <c r="GZ26" i="8"/>
  <c r="GZ13" i="8"/>
  <c r="GZ7" i="8"/>
  <c r="GZ3" i="8"/>
  <c r="GZ31" i="8"/>
  <c r="GZ33" i="8"/>
  <c r="GZ9" i="8"/>
  <c r="GZ11" i="8"/>
  <c r="GZ19" i="8"/>
  <c r="GZ21" i="8"/>
  <c r="GZ27" i="8"/>
  <c r="GZ23" i="8"/>
  <c r="GZ15" i="8"/>
  <c r="GZ24" i="8"/>
  <c r="GZ17" i="8"/>
  <c r="GZ5" i="8"/>
  <c r="HI151" i="7"/>
  <c r="HI149" i="7"/>
  <c r="HI150" i="7"/>
  <c r="HK54" i="8"/>
  <c r="HK48" i="8"/>
  <c r="HK44" i="8"/>
  <c r="HK42" i="8"/>
  <c r="HK40" i="8"/>
  <c r="HK47" i="8"/>
  <c r="HK37" i="8"/>
  <c r="HK53" i="8"/>
  <c r="HK46" i="8"/>
  <c r="HK43" i="8"/>
  <c r="HK55" i="8"/>
  <c r="HK45" i="8"/>
  <c r="HK36" i="8"/>
  <c r="HK33" i="8"/>
  <c r="HK26" i="8"/>
  <c r="HK41" i="8"/>
  <c r="HK35" i="8"/>
  <c r="HK20" i="8"/>
  <c r="HK18" i="8"/>
  <c r="HK16" i="8"/>
  <c r="HK14" i="8"/>
  <c r="HK12" i="8"/>
  <c r="HK10" i="8"/>
  <c r="HK8" i="8"/>
  <c r="HK6" i="8"/>
  <c r="HK4" i="8"/>
  <c r="HK38" i="8"/>
  <c r="HK32" i="8"/>
  <c r="HK31" i="8"/>
  <c r="HK13" i="8"/>
  <c r="HK3" i="8"/>
  <c r="HK39" i="8"/>
  <c r="HK28" i="8"/>
  <c r="HK25" i="8"/>
  <c r="HK7" i="8"/>
  <c r="HK34" i="8"/>
  <c r="HK29" i="8"/>
  <c r="HK9" i="8"/>
  <c r="HK2" i="8"/>
  <c r="HK15" i="8"/>
  <c r="HK30" i="8"/>
  <c r="HK23" i="8"/>
  <c r="HK17" i="8"/>
  <c r="HK27" i="8"/>
  <c r="HK22" i="8"/>
  <c r="HK49" i="8"/>
  <c r="HK24" i="8"/>
  <c r="HK11" i="8"/>
  <c r="HK19" i="8"/>
  <c r="HK21" i="8"/>
  <c r="HK5" i="8"/>
  <c r="FG151" i="7"/>
  <c r="FG149" i="7"/>
  <c r="FG150" i="7"/>
  <c r="CU55" i="9"/>
  <c r="CU45" i="9"/>
  <c r="CU53" i="9"/>
  <c r="CU54" i="9"/>
  <c r="CU47" i="9"/>
  <c r="CU44" i="9"/>
  <c r="CU42" i="9"/>
  <c r="CU40" i="9"/>
  <c r="CU48" i="9"/>
  <c r="CU43" i="9"/>
  <c r="CU41" i="9"/>
  <c r="CU38" i="9"/>
  <c r="CU46" i="9"/>
  <c r="CU39" i="9"/>
  <c r="CU37" i="9"/>
  <c r="CU35" i="9"/>
  <c r="CU33" i="9"/>
  <c r="CU36" i="9"/>
  <c r="CU32" i="9"/>
  <c r="CU30" i="9"/>
  <c r="CU49" i="9"/>
  <c r="CU27" i="9"/>
  <c r="CU25" i="9"/>
  <c r="CU29" i="9"/>
  <c r="CU24" i="9"/>
  <c r="CU22" i="9"/>
  <c r="CU20" i="9"/>
  <c r="CU18" i="9"/>
  <c r="CU16" i="9"/>
  <c r="CU14" i="9"/>
  <c r="CU12" i="9"/>
  <c r="CU34" i="9"/>
  <c r="CU26" i="9"/>
  <c r="CU15" i="9"/>
  <c r="CU10" i="9"/>
  <c r="CU8" i="9"/>
  <c r="CU31" i="9"/>
  <c r="CU28" i="9"/>
  <c r="CU21" i="9"/>
  <c r="CU23" i="9"/>
  <c r="CU9" i="9"/>
  <c r="CU4" i="9"/>
  <c r="CU3" i="9"/>
  <c r="CU7" i="9"/>
  <c r="CU11" i="9"/>
  <c r="CU13" i="9"/>
  <c r="CU19" i="9"/>
  <c r="CU17" i="9"/>
  <c r="CU2" i="9"/>
  <c r="CU6" i="9"/>
  <c r="CU5" i="9"/>
  <c r="AQ45" i="9"/>
  <c r="AQ47" i="9"/>
  <c r="AQ49" i="9"/>
  <c r="AQ44" i="9"/>
  <c r="AQ42" i="9"/>
  <c r="AQ40" i="9"/>
  <c r="AQ46" i="9"/>
  <c r="AQ48" i="9"/>
  <c r="AQ41" i="9"/>
  <c r="AQ37" i="9"/>
  <c r="AQ35" i="9"/>
  <c r="AQ33" i="9"/>
  <c r="AQ43" i="9"/>
  <c r="AQ38" i="9"/>
  <c r="AQ30" i="9"/>
  <c r="AQ32" i="9"/>
  <c r="AQ34" i="9"/>
  <c r="AQ39" i="9"/>
  <c r="AQ31" i="9"/>
  <c r="AQ27" i="9"/>
  <c r="AQ25" i="9"/>
  <c r="AQ26" i="9"/>
  <c r="AQ24" i="9"/>
  <c r="AQ22" i="9"/>
  <c r="AQ20" i="9"/>
  <c r="AQ18" i="9"/>
  <c r="AQ16" i="9"/>
  <c r="AQ14" i="9"/>
  <c r="AQ28" i="9"/>
  <c r="AQ17" i="9"/>
  <c r="AQ12" i="9"/>
  <c r="AQ10" i="9"/>
  <c r="AQ8" i="9"/>
  <c r="AQ29" i="9"/>
  <c r="AQ36" i="9"/>
  <c r="AQ23" i="9"/>
  <c r="AQ9" i="9"/>
  <c r="AQ13" i="9"/>
  <c r="AQ6" i="9"/>
  <c r="AQ5" i="9"/>
  <c r="AQ3" i="9"/>
  <c r="AQ21" i="9"/>
  <c r="AQ19" i="9"/>
  <c r="AQ7" i="9"/>
  <c r="AQ2" i="9"/>
  <c r="AQ4" i="9"/>
  <c r="AQ11" i="9"/>
  <c r="AQ15" i="9"/>
  <c r="JM151" i="7"/>
  <c r="JM149" i="7"/>
  <c r="JM150" i="7"/>
  <c r="JM54" i="8"/>
  <c r="JM48" i="8"/>
  <c r="JM46" i="8"/>
  <c r="JM44" i="8"/>
  <c r="JM42" i="8"/>
  <c r="JM40" i="8"/>
  <c r="JM38" i="8"/>
  <c r="JM36" i="8"/>
  <c r="JM55" i="8"/>
  <c r="JM45" i="8"/>
  <c r="JM43" i="8"/>
  <c r="JM37" i="8"/>
  <c r="JM33" i="8"/>
  <c r="JM31" i="8"/>
  <c r="JM29" i="8"/>
  <c r="JM27" i="8"/>
  <c r="JM25" i="8"/>
  <c r="JM53" i="8"/>
  <c r="JM39" i="8"/>
  <c r="JM35" i="8"/>
  <c r="JM20" i="8"/>
  <c r="JM18" i="8"/>
  <c r="JM16" i="8"/>
  <c r="JM14" i="8"/>
  <c r="JM12" i="8"/>
  <c r="JM10" i="8"/>
  <c r="JM8" i="8"/>
  <c r="JM6" i="8"/>
  <c r="JM4" i="8"/>
  <c r="JM2" i="8"/>
  <c r="JM41" i="8"/>
  <c r="JM32" i="8"/>
  <c r="JM26" i="8"/>
  <c r="JM47" i="8"/>
  <c r="JM34" i="8"/>
  <c r="JM28" i="8"/>
  <c r="JM7" i="8"/>
  <c r="JM3" i="8"/>
  <c r="JM17" i="8"/>
  <c r="JM30" i="8"/>
  <c r="JM49" i="8"/>
  <c r="JM23" i="8"/>
  <c r="JM19" i="8"/>
  <c r="JM5" i="8"/>
  <c r="JM21" i="8"/>
  <c r="JM13" i="8"/>
  <c r="JM24" i="8"/>
  <c r="JM15" i="8"/>
  <c r="JM9" i="8"/>
  <c r="JM11" i="8"/>
  <c r="JM22" i="8"/>
  <c r="FT55" i="9"/>
  <c r="FT53" i="9"/>
  <c r="FT54" i="9"/>
  <c r="FT49" i="9"/>
  <c r="FT48" i="9"/>
  <c r="FT46" i="9"/>
  <c r="FT47" i="9"/>
  <c r="FT42" i="9"/>
  <c r="FT41" i="9"/>
  <c r="FT39" i="9"/>
  <c r="FT36" i="9"/>
  <c r="FT34" i="9"/>
  <c r="FT43" i="9"/>
  <c r="FT40" i="9"/>
  <c r="FT45" i="9"/>
  <c r="FT35" i="9"/>
  <c r="FT38" i="9"/>
  <c r="FT37" i="9"/>
  <c r="FT32" i="9"/>
  <c r="FT33" i="9"/>
  <c r="FT29" i="9"/>
  <c r="FT28" i="9"/>
  <c r="FT26" i="9"/>
  <c r="FT23" i="9"/>
  <c r="FT21" i="9"/>
  <c r="FT19" i="9"/>
  <c r="FT17" i="9"/>
  <c r="FT15" i="9"/>
  <c r="FT13" i="9"/>
  <c r="FT44" i="9"/>
  <c r="FT30" i="9"/>
  <c r="FT20" i="9"/>
  <c r="FT12" i="9"/>
  <c r="FT31" i="9"/>
  <c r="FT27" i="9"/>
  <c r="FT16" i="9"/>
  <c r="FT14" i="9"/>
  <c r="FT8" i="9"/>
  <c r="FT6" i="9"/>
  <c r="FT3" i="9"/>
  <c r="FT25" i="9"/>
  <c r="FT22" i="9"/>
  <c r="FT18" i="9"/>
  <c r="FT9" i="9"/>
  <c r="FT24" i="9"/>
  <c r="FT10" i="9"/>
  <c r="FT11" i="9"/>
  <c r="FT7" i="9"/>
  <c r="FT5" i="9"/>
  <c r="FT4" i="9"/>
  <c r="FT2" i="9"/>
  <c r="DH54" i="8"/>
  <c r="DH48" i="8"/>
  <c r="DH53" i="8"/>
  <c r="DH44" i="8"/>
  <c r="DH42" i="8"/>
  <c r="DH40" i="8"/>
  <c r="DH38" i="8"/>
  <c r="DH55" i="8"/>
  <c r="DH47" i="8"/>
  <c r="DH49" i="8"/>
  <c r="DH41" i="8"/>
  <c r="DH37" i="8"/>
  <c r="DH34" i="8"/>
  <c r="DH32" i="8"/>
  <c r="DH35" i="8"/>
  <c r="DH28" i="8"/>
  <c r="DH24" i="8"/>
  <c r="DH23" i="8"/>
  <c r="DH22" i="8"/>
  <c r="DH20" i="8"/>
  <c r="DH18" i="8"/>
  <c r="DH16" i="8"/>
  <c r="DH14" i="8"/>
  <c r="DH12" i="8"/>
  <c r="DH10" i="8"/>
  <c r="DH8" i="8"/>
  <c r="DH6" i="8"/>
  <c r="DH4" i="8"/>
  <c r="DH2" i="8"/>
  <c r="DH46" i="8"/>
  <c r="DH43" i="8"/>
  <c r="DH45" i="8"/>
  <c r="DH39" i="8"/>
  <c r="DH31" i="8"/>
  <c r="DH30" i="8"/>
  <c r="DH25" i="8"/>
  <c r="DH27" i="8"/>
  <c r="DH21" i="8"/>
  <c r="DH5" i="8"/>
  <c r="DH15" i="8"/>
  <c r="DH3" i="8"/>
  <c r="DH33" i="8"/>
  <c r="DH36" i="8"/>
  <c r="DH17" i="8"/>
  <c r="DH13" i="8"/>
  <c r="DH7" i="8"/>
  <c r="DH9" i="8"/>
  <c r="DH26" i="8"/>
  <c r="DH29" i="8"/>
  <c r="DH19" i="8"/>
  <c r="DH11" i="8"/>
  <c r="DH55" i="9"/>
  <c r="DH54" i="9"/>
  <c r="DH53" i="9"/>
  <c r="DH49" i="9"/>
  <c r="DH48" i="9"/>
  <c r="DH46" i="9"/>
  <c r="DH47" i="9"/>
  <c r="DH45" i="9"/>
  <c r="DH42" i="9"/>
  <c r="DH41" i="9"/>
  <c r="DH36" i="9"/>
  <c r="DH34" i="9"/>
  <c r="DH43" i="9"/>
  <c r="DH40" i="9"/>
  <c r="DH39" i="9"/>
  <c r="DH35" i="9"/>
  <c r="DH37" i="9"/>
  <c r="DH29" i="9"/>
  <c r="DH28" i="9"/>
  <c r="DH26" i="9"/>
  <c r="DH33" i="9"/>
  <c r="DH44" i="9"/>
  <c r="DH23" i="9"/>
  <c r="DH21" i="9"/>
  <c r="DH19" i="9"/>
  <c r="DH17" i="9"/>
  <c r="DH15" i="9"/>
  <c r="DH13" i="9"/>
  <c r="DH32" i="9"/>
  <c r="DH38" i="9"/>
  <c r="DH30" i="9"/>
  <c r="DH20" i="9"/>
  <c r="DH12" i="9"/>
  <c r="DH31" i="9"/>
  <c r="DH25" i="9"/>
  <c r="DH16" i="9"/>
  <c r="DH14" i="9"/>
  <c r="DH27" i="9"/>
  <c r="DH8" i="9"/>
  <c r="DH7" i="9"/>
  <c r="DH6" i="9"/>
  <c r="DH3" i="9"/>
  <c r="DH24" i="9"/>
  <c r="DH18" i="9"/>
  <c r="DH9" i="9"/>
  <c r="DH22" i="9"/>
  <c r="DH11" i="9"/>
  <c r="DH5" i="9"/>
  <c r="DH4" i="9"/>
  <c r="DH10" i="9"/>
  <c r="DH2" i="9"/>
  <c r="P48" i="9"/>
  <c r="P46" i="9"/>
  <c r="P49" i="9"/>
  <c r="P45" i="9"/>
  <c r="P44" i="9"/>
  <c r="P47" i="9"/>
  <c r="P43" i="9"/>
  <c r="P42" i="9"/>
  <c r="P38" i="9"/>
  <c r="P36" i="9"/>
  <c r="P34" i="9"/>
  <c r="P41" i="9"/>
  <c r="P39" i="9"/>
  <c r="P33" i="9"/>
  <c r="P28" i="9"/>
  <c r="P26" i="9"/>
  <c r="P35" i="9"/>
  <c r="P31" i="9"/>
  <c r="P27" i="9"/>
  <c r="P25" i="9"/>
  <c r="P23" i="9"/>
  <c r="P21" i="9"/>
  <c r="P19" i="9"/>
  <c r="P17" i="9"/>
  <c r="P15" i="9"/>
  <c r="P13" i="9"/>
  <c r="P30" i="9"/>
  <c r="P40" i="9"/>
  <c r="P29" i="9"/>
  <c r="P22" i="9"/>
  <c r="P32" i="9"/>
  <c r="P37" i="9"/>
  <c r="P24" i="9"/>
  <c r="P14" i="9"/>
  <c r="P11" i="9"/>
  <c r="P10" i="9"/>
  <c r="P8" i="9"/>
  <c r="P3" i="9"/>
  <c r="P12" i="9"/>
  <c r="P5" i="9"/>
  <c r="P20" i="9"/>
  <c r="P6" i="9"/>
  <c r="P18" i="9"/>
  <c r="P7" i="9"/>
  <c r="P9" i="9"/>
  <c r="P2" i="9"/>
  <c r="P16" i="9"/>
  <c r="P4" i="9"/>
  <c r="HH151" i="7"/>
  <c r="HH149" i="7"/>
  <c r="HH150" i="7"/>
  <c r="HZ54" i="9"/>
  <c r="HZ55" i="9"/>
  <c r="HZ47" i="9"/>
  <c r="HZ46" i="9"/>
  <c r="HZ48" i="9"/>
  <c r="HZ49" i="9"/>
  <c r="HZ53" i="9"/>
  <c r="HZ45" i="9"/>
  <c r="HZ41" i="9"/>
  <c r="HZ38" i="9"/>
  <c r="HZ39" i="9"/>
  <c r="HZ42" i="9"/>
  <c r="HZ40" i="9"/>
  <c r="HZ36" i="9"/>
  <c r="HZ34" i="9"/>
  <c r="HZ32" i="9"/>
  <c r="HZ37" i="9"/>
  <c r="HZ30" i="9"/>
  <c r="HZ43" i="9"/>
  <c r="HZ44" i="9"/>
  <c r="HZ33" i="9"/>
  <c r="HZ31" i="9"/>
  <c r="HZ26" i="9"/>
  <c r="HZ29" i="9"/>
  <c r="HZ35" i="9"/>
  <c r="HZ23" i="9"/>
  <c r="HZ21" i="9"/>
  <c r="HZ19" i="9"/>
  <c r="HZ17" i="9"/>
  <c r="HZ15" i="9"/>
  <c r="HZ22" i="9"/>
  <c r="HZ13" i="9"/>
  <c r="HZ16" i="9"/>
  <c r="HZ10" i="9"/>
  <c r="HZ8" i="9"/>
  <c r="HZ6" i="9"/>
  <c r="HZ4" i="9"/>
  <c r="HZ28" i="9"/>
  <c r="HZ18" i="9"/>
  <c r="HZ11" i="9"/>
  <c r="HZ20" i="9"/>
  <c r="HZ12" i="9"/>
  <c r="HZ27" i="9"/>
  <c r="HZ25" i="9"/>
  <c r="HZ24" i="9"/>
  <c r="HZ14" i="9"/>
  <c r="HZ9" i="9"/>
  <c r="HZ7" i="9"/>
  <c r="HZ2" i="9"/>
  <c r="HZ5" i="9"/>
  <c r="HZ3" i="9"/>
  <c r="CD149" i="7"/>
  <c r="CD150" i="7"/>
  <c r="CD151" i="7"/>
  <c r="CD48" i="8"/>
  <c r="CD47" i="8"/>
  <c r="CD35" i="8"/>
  <c r="CD33" i="8"/>
  <c r="CD31" i="8"/>
  <c r="CD29" i="8"/>
  <c r="CD27" i="8"/>
  <c r="CD25" i="8"/>
  <c r="CD23" i="8"/>
  <c r="CD42" i="8"/>
  <c r="CD44" i="8"/>
  <c r="CD45" i="8"/>
  <c r="CD32" i="8"/>
  <c r="CD26" i="8"/>
  <c r="CD41" i="8"/>
  <c r="CD40" i="8"/>
  <c r="CD43" i="8"/>
  <c r="CD28" i="8"/>
  <c r="CD38" i="8"/>
  <c r="CD17" i="8"/>
  <c r="CD12" i="8"/>
  <c r="CD34" i="8"/>
  <c r="CD22" i="8"/>
  <c r="CD11" i="8"/>
  <c r="CD6" i="8"/>
  <c r="CD39" i="8"/>
  <c r="CD37" i="8"/>
  <c r="CD36" i="8"/>
  <c r="CD49" i="8"/>
  <c r="CD46" i="8"/>
  <c r="CD13" i="8"/>
  <c r="CD8" i="8"/>
  <c r="CD10" i="8"/>
  <c r="CD30" i="8"/>
  <c r="CD18" i="8"/>
  <c r="CD19" i="8"/>
  <c r="CD21" i="8"/>
  <c r="CD20" i="8"/>
  <c r="CD15" i="8"/>
  <c r="CD14" i="8"/>
  <c r="CD24" i="8"/>
  <c r="CD16" i="8"/>
  <c r="CD3" i="8"/>
  <c r="CD7" i="8"/>
  <c r="CD2" i="8"/>
  <c r="CD4" i="8"/>
  <c r="CD9" i="8"/>
  <c r="CD5" i="8"/>
  <c r="GJ54" i="8"/>
  <c r="GJ48" i="8"/>
  <c r="GJ49" i="8"/>
  <c r="GJ44" i="8"/>
  <c r="GJ42" i="8"/>
  <c r="GJ40" i="8"/>
  <c r="GJ38" i="8"/>
  <c r="GJ36" i="8"/>
  <c r="GJ45" i="8"/>
  <c r="GJ39" i="8"/>
  <c r="GJ55" i="8"/>
  <c r="GJ41" i="8"/>
  <c r="GJ34" i="8"/>
  <c r="GJ32" i="8"/>
  <c r="GJ27" i="8"/>
  <c r="GJ24" i="8"/>
  <c r="GJ46" i="8"/>
  <c r="GJ33" i="8"/>
  <c r="GJ20" i="8"/>
  <c r="GJ18" i="8"/>
  <c r="GJ16" i="8"/>
  <c r="GJ14" i="8"/>
  <c r="GJ12" i="8"/>
  <c r="GJ10" i="8"/>
  <c r="GJ8" i="8"/>
  <c r="GJ6" i="8"/>
  <c r="GJ4" i="8"/>
  <c r="GJ2" i="8"/>
  <c r="GJ43" i="8"/>
  <c r="GJ47" i="8"/>
  <c r="GJ35" i="8"/>
  <c r="GJ29" i="8"/>
  <c r="GJ26" i="8"/>
  <c r="GJ9" i="8"/>
  <c r="GJ19" i="8"/>
  <c r="GJ31" i="8"/>
  <c r="GJ37" i="8"/>
  <c r="GJ30" i="8"/>
  <c r="GJ53" i="8"/>
  <c r="GJ28" i="8"/>
  <c r="GJ22" i="8"/>
  <c r="GJ21" i="8"/>
  <c r="GJ5" i="8"/>
  <c r="GJ13" i="8"/>
  <c r="GJ23" i="8"/>
  <c r="GJ7" i="8"/>
  <c r="GJ15" i="8"/>
  <c r="GJ17" i="8"/>
  <c r="GJ11" i="8"/>
  <c r="GJ3" i="8"/>
  <c r="GJ25" i="8"/>
  <c r="EV151" i="7"/>
  <c r="EV149" i="7"/>
  <c r="EV150" i="7"/>
  <c r="I149" i="7"/>
  <c r="I151" i="7"/>
  <c r="I150" i="7"/>
  <c r="I49" i="9"/>
  <c r="I47" i="9"/>
  <c r="I46" i="9"/>
  <c r="I44" i="9"/>
  <c r="I48" i="9"/>
  <c r="I45" i="9"/>
  <c r="I43" i="9"/>
  <c r="I42" i="9"/>
  <c r="I40" i="9"/>
  <c r="I39" i="9"/>
  <c r="I36" i="9"/>
  <c r="I41" i="9"/>
  <c r="I35" i="9"/>
  <c r="I37" i="9"/>
  <c r="I33" i="9"/>
  <c r="I29" i="9"/>
  <c r="I31" i="9"/>
  <c r="I34" i="9"/>
  <c r="I38" i="9"/>
  <c r="I26" i="9"/>
  <c r="I28" i="9"/>
  <c r="I20" i="9"/>
  <c r="I15" i="9"/>
  <c r="I25" i="9"/>
  <c r="I13" i="9"/>
  <c r="I32" i="9"/>
  <c r="I16" i="9"/>
  <c r="I11" i="9"/>
  <c r="I30" i="9"/>
  <c r="I19" i="9"/>
  <c r="I14" i="9"/>
  <c r="I3" i="9"/>
  <c r="I21" i="9"/>
  <c r="I27" i="9"/>
  <c r="I8" i="9"/>
  <c r="I5" i="9"/>
  <c r="I4" i="9"/>
  <c r="I7" i="9"/>
  <c r="I24" i="9"/>
  <c r="I23" i="9"/>
  <c r="I17" i="9"/>
  <c r="I22" i="9"/>
  <c r="I10" i="9"/>
  <c r="I18" i="9"/>
  <c r="I6" i="9"/>
  <c r="I12" i="9"/>
  <c r="I2" i="9"/>
  <c r="I9" i="9"/>
  <c r="KB55" i="9"/>
  <c r="KB54" i="9"/>
  <c r="KB48" i="9"/>
  <c r="KB46" i="9"/>
  <c r="KB53" i="9"/>
  <c r="KB44" i="9"/>
  <c r="KB43" i="9"/>
  <c r="KB49" i="9"/>
  <c r="KB45" i="9"/>
  <c r="KB41" i="9"/>
  <c r="KB36" i="9"/>
  <c r="KB34" i="9"/>
  <c r="KB32" i="9"/>
  <c r="KB37" i="9"/>
  <c r="KB33" i="9"/>
  <c r="KB26" i="9"/>
  <c r="KB38" i="9"/>
  <c r="KB35" i="9"/>
  <c r="KB30" i="9"/>
  <c r="KB31" i="9"/>
  <c r="KB29" i="9"/>
  <c r="KB23" i="9"/>
  <c r="KB21" i="9"/>
  <c r="KB19" i="9"/>
  <c r="KB17" i="9"/>
  <c r="KB15" i="9"/>
  <c r="KB13" i="9"/>
  <c r="KB47" i="9"/>
  <c r="KB25" i="9"/>
  <c r="KB42" i="9"/>
  <c r="KB39" i="9"/>
  <c r="KB27" i="9"/>
  <c r="KB16" i="9"/>
  <c r="KB28" i="9"/>
  <c r="KB40" i="9"/>
  <c r="KB12" i="9"/>
  <c r="KB5" i="9"/>
  <c r="KB4" i="9"/>
  <c r="KB24" i="9"/>
  <c r="KB9" i="9"/>
  <c r="KB3" i="9"/>
  <c r="KB18" i="9"/>
  <c r="KB14" i="9"/>
  <c r="KB11" i="9"/>
  <c r="KB20" i="9"/>
  <c r="KB8" i="9"/>
  <c r="KB22" i="9"/>
  <c r="KB10" i="9"/>
  <c r="KB2" i="9"/>
  <c r="KB7" i="9"/>
  <c r="KB6" i="9"/>
  <c r="DX54" i="8"/>
  <c r="DX48" i="8"/>
  <c r="DX49" i="8"/>
  <c r="DX44" i="8"/>
  <c r="DX42" i="8"/>
  <c r="DX40" i="8"/>
  <c r="DX38" i="8"/>
  <c r="DX45" i="8"/>
  <c r="DX39" i="8"/>
  <c r="DX41" i="8"/>
  <c r="DX34" i="8"/>
  <c r="DX32" i="8"/>
  <c r="DX27" i="8"/>
  <c r="DX33" i="8"/>
  <c r="DX22" i="8"/>
  <c r="DX20" i="8"/>
  <c r="DX18" i="8"/>
  <c r="DX16" i="8"/>
  <c r="DX14" i="8"/>
  <c r="DX12" i="8"/>
  <c r="DX10" i="8"/>
  <c r="DX8" i="8"/>
  <c r="DX6" i="8"/>
  <c r="DX4" i="8"/>
  <c r="DX2" i="8"/>
  <c r="DX55" i="8"/>
  <c r="DX43" i="8"/>
  <c r="DX46" i="8"/>
  <c r="DX35" i="8"/>
  <c r="DX29" i="8"/>
  <c r="DX26" i="8"/>
  <c r="DX53" i="8"/>
  <c r="DX9" i="8"/>
  <c r="DX36" i="8"/>
  <c r="DX30" i="8"/>
  <c r="DX19" i="8"/>
  <c r="DX31" i="8"/>
  <c r="DX37" i="8"/>
  <c r="DX21" i="8"/>
  <c r="DX5" i="8"/>
  <c r="DX23" i="8"/>
  <c r="DX11" i="8"/>
  <c r="DX28" i="8"/>
  <c r="DX25" i="8"/>
  <c r="DX13" i="8"/>
  <c r="DX3" i="8"/>
  <c r="DX7" i="8"/>
  <c r="DX15" i="8"/>
  <c r="DX47" i="8"/>
  <c r="DX24" i="8"/>
  <c r="DX17" i="8"/>
  <c r="AN48" i="8"/>
  <c r="AN47" i="8"/>
  <c r="AN46" i="8"/>
  <c r="AN44" i="8"/>
  <c r="AN42" i="8"/>
  <c r="AN40" i="8"/>
  <c r="AN38" i="8"/>
  <c r="AN39" i="8"/>
  <c r="AN49" i="8"/>
  <c r="AN36" i="8"/>
  <c r="AN34" i="8"/>
  <c r="AN32" i="8"/>
  <c r="AN33" i="8"/>
  <c r="AN29" i="8"/>
  <c r="AN26" i="8"/>
  <c r="AN24" i="8"/>
  <c r="AN23" i="8"/>
  <c r="AN45" i="8"/>
  <c r="AN22" i="8"/>
  <c r="AN20" i="8"/>
  <c r="AN18" i="8"/>
  <c r="AN16" i="8"/>
  <c r="AN14" i="8"/>
  <c r="AN12" i="8"/>
  <c r="AN10" i="8"/>
  <c r="AN8" i="8"/>
  <c r="AN6" i="8"/>
  <c r="AN4" i="8"/>
  <c r="AN2" i="8"/>
  <c r="AN41" i="8"/>
  <c r="AN43" i="8"/>
  <c r="AN37" i="8"/>
  <c r="AN28" i="8"/>
  <c r="AN19" i="8"/>
  <c r="AN27" i="8"/>
  <c r="AN13" i="8"/>
  <c r="AN35" i="8"/>
  <c r="AN30" i="8"/>
  <c r="AN15" i="8"/>
  <c r="AN17" i="8"/>
  <c r="AN9" i="8"/>
  <c r="AN11" i="8"/>
  <c r="AN25" i="8"/>
  <c r="AN21" i="8"/>
  <c r="AN31" i="8"/>
  <c r="AN3" i="8"/>
  <c r="AN7" i="8"/>
  <c r="AN5" i="8"/>
  <c r="GZ151" i="7"/>
  <c r="GZ150" i="7"/>
  <c r="GZ149" i="7"/>
  <c r="Y149" i="7"/>
  <c r="Y151" i="7"/>
  <c r="Z55" i="9" s="1"/>
  <c r="Y150" i="7"/>
  <c r="Z54" i="9" s="1"/>
  <c r="CZ151" i="7"/>
  <c r="CZ150" i="7"/>
  <c r="CZ149" i="7"/>
  <c r="KA150" i="7"/>
  <c r="KA149" i="7"/>
  <c r="KA151" i="7"/>
  <c r="JS150" i="7"/>
  <c r="JS151" i="7"/>
  <c r="JS149" i="7"/>
  <c r="JS55" i="9"/>
  <c r="JS53" i="9"/>
  <c r="JS54" i="9"/>
  <c r="JS44" i="9"/>
  <c r="JS47" i="9"/>
  <c r="JS43" i="9"/>
  <c r="JS41" i="9"/>
  <c r="JS39" i="9"/>
  <c r="JS49" i="9"/>
  <c r="JS45" i="9"/>
  <c r="JS42" i="9"/>
  <c r="JS40" i="9"/>
  <c r="JS48" i="9"/>
  <c r="JS36" i="9"/>
  <c r="JS34" i="9"/>
  <c r="JS32" i="9"/>
  <c r="JS31" i="9"/>
  <c r="JS29" i="9"/>
  <c r="JS35" i="9"/>
  <c r="JS37" i="9"/>
  <c r="JS33" i="9"/>
  <c r="JS26" i="9"/>
  <c r="JS38" i="9"/>
  <c r="JS23" i="9"/>
  <c r="JS21" i="9"/>
  <c r="JS19" i="9"/>
  <c r="JS17" i="9"/>
  <c r="JS15" i="9"/>
  <c r="JS13" i="9"/>
  <c r="JS46" i="9"/>
  <c r="JS30" i="9"/>
  <c r="JS20" i="9"/>
  <c r="JS11" i="9"/>
  <c r="JS9" i="9"/>
  <c r="JS7" i="9"/>
  <c r="JS14" i="9"/>
  <c r="JS28" i="9"/>
  <c r="JS27" i="9"/>
  <c r="JS16" i="9"/>
  <c r="JS5" i="9"/>
  <c r="JS4" i="9"/>
  <c r="JS25" i="9"/>
  <c r="JS22" i="9"/>
  <c r="JS24" i="9"/>
  <c r="JS18" i="9"/>
  <c r="JS2" i="9"/>
  <c r="JS3" i="9"/>
  <c r="JS12" i="9"/>
  <c r="JS6" i="9"/>
  <c r="JS10" i="9"/>
  <c r="JS8" i="9"/>
  <c r="JC151" i="7"/>
  <c r="JC150" i="7"/>
  <c r="JC149" i="7"/>
  <c r="IU55" i="9"/>
  <c r="IU53" i="9"/>
  <c r="IU49" i="9"/>
  <c r="IU48" i="9"/>
  <c r="IU44" i="9"/>
  <c r="IU46" i="9"/>
  <c r="IU43" i="9"/>
  <c r="IU41" i="9"/>
  <c r="IU39" i="9"/>
  <c r="IU54" i="9"/>
  <c r="IU45" i="9"/>
  <c r="IU47" i="9"/>
  <c r="IU38" i="9"/>
  <c r="IU36" i="9"/>
  <c r="IU34" i="9"/>
  <c r="IU32" i="9"/>
  <c r="IU35" i="9"/>
  <c r="IU31" i="9"/>
  <c r="IU29" i="9"/>
  <c r="IU42" i="9"/>
  <c r="IU40" i="9"/>
  <c r="IU33" i="9"/>
  <c r="IU26" i="9"/>
  <c r="IU37" i="9"/>
  <c r="IU23" i="9"/>
  <c r="IU21" i="9"/>
  <c r="IU19" i="9"/>
  <c r="IU17" i="9"/>
  <c r="IU15" i="9"/>
  <c r="IU13" i="9"/>
  <c r="IU28" i="9"/>
  <c r="IU25" i="9"/>
  <c r="IU11" i="9"/>
  <c r="IU9" i="9"/>
  <c r="IU7" i="9"/>
  <c r="IU24" i="9"/>
  <c r="IU30" i="9"/>
  <c r="IU12" i="9"/>
  <c r="IU27" i="9"/>
  <c r="IU20" i="9"/>
  <c r="IU16" i="9"/>
  <c r="IU8" i="9"/>
  <c r="IU2" i="9"/>
  <c r="IU22" i="9"/>
  <c r="IU14" i="9"/>
  <c r="IU18" i="9"/>
  <c r="IU6" i="9"/>
  <c r="IU10" i="9"/>
  <c r="IU3" i="9"/>
  <c r="IU5" i="9"/>
  <c r="IU4" i="9"/>
  <c r="IM55" i="9"/>
  <c r="IM54" i="9"/>
  <c r="IM53" i="9"/>
  <c r="IM46" i="9"/>
  <c r="IM44" i="9"/>
  <c r="IM47" i="9"/>
  <c r="IM49" i="9"/>
  <c r="IM43" i="9"/>
  <c r="IM41" i="9"/>
  <c r="IM39" i="9"/>
  <c r="IM45" i="9"/>
  <c r="IM40" i="9"/>
  <c r="IM42" i="9"/>
  <c r="IM36" i="9"/>
  <c r="IM34" i="9"/>
  <c r="IM32" i="9"/>
  <c r="IM33" i="9"/>
  <c r="IM31" i="9"/>
  <c r="IM29" i="9"/>
  <c r="IM37" i="9"/>
  <c r="IM28" i="9"/>
  <c r="IM26" i="9"/>
  <c r="IM27" i="9"/>
  <c r="IM23" i="9"/>
  <c r="IM21" i="9"/>
  <c r="IM19" i="9"/>
  <c r="IM17" i="9"/>
  <c r="IM15" i="9"/>
  <c r="IM13" i="9"/>
  <c r="IM35" i="9"/>
  <c r="IM48" i="9"/>
  <c r="IM38" i="9"/>
  <c r="IM30" i="9"/>
  <c r="IM25" i="9"/>
  <c r="IM11" i="9"/>
  <c r="IM9" i="9"/>
  <c r="IM7" i="9"/>
  <c r="IM22" i="9"/>
  <c r="IM14" i="9"/>
  <c r="IM24" i="9"/>
  <c r="IM16" i="9"/>
  <c r="IM10" i="9"/>
  <c r="IM2" i="9"/>
  <c r="IM4" i="9"/>
  <c r="IM12" i="9"/>
  <c r="IM18" i="9"/>
  <c r="IM5" i="9"/>
  <c r="IM20" i="9"/>
  <c r="IM6" i="9"/>
  <c r="IM3" i="9"/>
  <c r="IM8" i="9"/>
  <c r="IE55" i="8"/>
  <c r="IE53" i="8"/>
  <c r="IE48" i="8"/>
  <c r="IE45" i="8"/>
  <c r="IE43" i="8"/>
  <c r="IE41" i="8"/>
  <c r="IE39" i="8"/>
  <c r="IE40" i="8"/>
  <c r="IE54" i="8"/>
  <c r="IE42" i="8"/>
  <c r="IE36" i="8"/>
  <c r="IE47" i="8"/>
  <c r="IE37" i="8"/>
  <c r="IE46" i="8"/>
  <c r="IE44" i="8"/>
  <c r="IE30" i="8"/>
  <c r="IE28" i="8"/>
  <c r="IE49" i="8"/>
  <c r="IE32" i="8"/>
  <c r="IE21" i="8"/>
  <c r="IE19" i="8"/>
  <c r="IE17" i="8"/>
  <c r="IE15" i="8"/>
  <c r="IE13" i="8"/>
  <c r="IE11" i="8"/>
  <c r="IE9" i="8"/>
  <c r="IE7" i="8"/>
  <c r="IE5" i="8"/>
  <c r="IE31" i="8"/>
  <c r="IE23" i="8"/>
  <c r="IE10" i="8"/>
  <c r="IE38" i="8"/>
  <c r="IE20" i="8"/>
  <c r="IE4" i="8"/>
  <c r="IE33" i="8"/>
  <c r="IE29" i="8"/>
  <c r="IE34" i="8"/>
  <c r="IE35" i="8"/>
  <c r="IE6" i="8"/>
  <c r="IE2" i="8"/>
  <c r="IE8" i="8"/>
  <c r="IE16" i="8"/>
  <c r="IE25" i="8"/>
  <c r="IE22" i="8"/>
  <c r="IE18" i="8"/>
  <c r="IE27" i="8"/>
  <c r="IE12" i="8"/>
  <c r="IE26" i="8"/>
  <c r="IE24" i="8"/>
  <c r="IE14" i="8"/>
  <c r="IE3" i="8"/>
  <c r="HO150" i="7"/>
  <c r="HO149" i="7"/>
  <c r="HO151" i="7"/>
  <c r="GQ151" i="7"/>
  <c r="GQ150" i="7"/>
  <c r="GQ149" i="7"/>
  <c r="GI55" i="8"/>
  <c r="GI53" i="8"/>
  <c r="GI49" i="8"/>
  <c r="GI45" i="8"/>
  <c r="GI43" i="8"/>
  <c r="GI41" i="8"/>
  <c r="GI39" i="8"/>
  <c r="GI48" i="8"/>
  <c r="GI46" i="8"/>
  <c r="GI38" i="8"/>
  <c r="GI44" i="8"/>
  <c r="GI54" i="8"/>
  <c r="GI37" i="8"/>
  <c r="GI40" i="8"/>
  <c r="GI34" i="8"/>
  <c r="GI27" i="8"/>
  <c r="GI24" i="8"/>
  <c r="GI42" i="8"/>
  <c r="GI47" i="8"/>
  <c r="GI21" i="8"/>
  <c r="GI19" i="8"/>
  <c r="GI17" i="8"/>
  <c r="GI15" i="8"/>
  <c r="GI13" i="8"/>
  <c r="GI11" i="8"/>
  <c r="GI9" i="8"/>
  <c r="GI7" i="8"/>
  <c r="GI5" i="8"/>
  <c r="GI14" i="8"/>
  <c r="GI29" i="8"/>
  <c r="GI26" i="8"/>
  <c r="GI8" i="8"/>
  <c r="GI31" i="8"/>
  <c r="GI33" i="8"/>
  <c r="GI32" i="8"/>
  <c r="GI30" i="8"/>
  <c r="GI36" i="8"/>
  <c r="GI10" i="8"/>
  <c r="GI3" i="8"/>
  <c r="GI25" i="8"/>
  <c r="GI20" i="8"/>
  <c r="GI6" i="8"/>
  <c r="GI23" i="8"/>
  <c r="GI22" i="8"/>
  <c r="GI16" i="8"/>
  <c r="GI18" i="8"/>
  <c r="GI28" i="8"/>
  <c r="GI12" i="8"/>
  <c r="GI35" i="8"/>
  <c r="GI2" i="8"/>
  <c r="GI4" i="8"/>
  <c r="CQ55" i="8"/>
  <c r="CQ53" i="8"/>
  <c r="CQ54" i="8"/>
  <c r="CQ49" i="8"/>
  <c r="CQ46" i="8"/>
  <c r="CQ45" i="8"/>
  <c r="CQ43" i="8"/>
  <c r="CQ41" i="8"/>
  <c r="CQ39" i="8"/>
  <c r="CQ42" i="8"/>
  <c r="CQ38" i="8"/>
  <c r="CQ36" i="8"/>
  <c r="CQ37" i="8"/>
  <c r="CQ32" i="8"/>
  <c r="CQ24" i="8"/>
  <c r="CQ23" i="8"/>
  <c r="CQ47" i="8"/>
  <c r="CQ31" i="8"/>
  <c r="CQ27" i="8"/>
  <c r="CQ44" i="8"/>
  <c r="CQ40" i="8"/>
  <c r="CQ33" i="8"/>
  <c r="CQ21" i="8"/>
  <c r="CQ19" i="8"/>
  <c r="CQ17" i="8"/>
  <c r="CQ15" i="8"/>
  <c r="CQ13" i="8"/>
  <c r="CQ11" i="8"/>
  <c r="CQ9" i="8"/>
  <c r="CQ7" i="8"/>
  <c r="CQ5" i="8"/>
  <c r="CQ22" i="8"/>
  <c r="CQ6" i="8"/>
  <c r="CQ30" i="8"/>
  <c r="CQ16" i="8"/>
  <c r="CQ35" i="8"/>
  <c r="CQ34" i="8"/>
  <c r="CQ48" i="8"/>
  <c r="CQ29" i="8"/>
  <c r="CQ26" i="8"/>
  <c r="CQ18" i="8"/>
  <c r="CQ3" i="8"/>
  <c r="CQ8" i="8"/>
  <c r="CQ10" i="8"/>
  <c r="CQ28" i="8"/>
  <c r="CQ25" i="8"/>
  <c r="CQ20" i="8"/>
  <c r="CQ12" i="8"/>
  <c r="CQ2" i="8"/>
  <c r="CQ14" i="8"/>
  <c r="CQ4" i="8"/>
  <c r="AE151" i="7"/>
  <c r="AE150" i="7"/>
  <c r="AE149" i="7"/>
  <c r="AE49" i="8"/>
  <c r="AE47" i="8"/>
  <c r="AE46" i="8"/>
  <c r="AE45" i="8"/>
  <c r="AE43" i="8"/>
  <c r="AE41" i="8"/>
  <c r="AE39" i="8"/>
  <c r="AE42" i="8"/>
  <c r="AE38" i="8"/>
  <c r="AE36" i="8"/>
  <c r="AE37" i="8"/>
  <c r="AE32" i="8"/>
  <c r="AE24" i="8"/>
  <c r="AE23" i="8"/>
  <c r="AE48" i="8"/>
  <c r="AE31" i="8"/>
  <c r="AE27" i="8"/>
  <c r="AE44" i="8"/>
  <c r="AE40" i="8"/>
  <c r="AE33" i="8"/>
  <c r="AE21" i="8"/>
  <c r="AE19" i="8"/>
  <c r="AE17" i="8"/>
  <c r="AE15" i="8"/>
  <c r="AE13" i="8"/>
  <c r="AE11" i="8"/>
  <c r="AE9" i="8"/>
  <c r="AE7" i="8"/>
  <c r="AE5" i="8"/>
  <c r="AE25" i="8"/>
  <c r="AE22" i="8"/>
  <c r="AE6" i="8"/>
  <c r="AE4" i="8"/>
  <c r="AE16" i="8"/>
  <c r="AE29" i="8"/>
  <c r="AE35" i="8"/>
  <c r="AE34" i="8"/>
  <c r="AE18" i="8"/>
  <c r="AE3" i="8"/>
  <c r="AE14" i="8"/>
  <c r="AE8" i="8"/>
  <c r="AE10" i="8"/>
  <c r="AE26" i="8"/>
  <c r="AE28" i="8"/>
  <c r="AE20" i="8"/>
  <c r="AE12" i="8"/>
  <c r="AE30" i="8"/>
  <c r="AE2" i="8"/>
  <c r="W47" i="8"/>
  <c r="W46" i="8"/>
  <c r="W45" i="8"/>
  <c r="W43" i="8"/>
  <c r="W41" i="8"/>
  <c r="W39" i="8"/>
  <c r="W40" i="8"/>
  <c r="W36" i="8"/>
  <c r="W48" i="8"/>
  <c r="W38" i="8"/>
  <c r="W49" i="8"/>
  <c r="W35" i="8"/>
  <c r="W30" i="8"/>
  <c r="W25" i="8"/>
  <c r="W42" i="8"/>
  <c r="W44" i="8"/>
  <c r="W37" i="8"/>
  <c r="W31" i="8"/>
  <c r="W21" i="8"/>
  <c r="W19" i="8"/>
  <c r="W17" i="8"/>
  <c r="W15" i="8"/>
  <c r="W13" i="8"/>
  <c r="W11" i="8"/>
  <c r="W9" i="8"/>
  <c r="W7" i="8"/>
  <c r="W5" i="8"/>
  <c r="W29" i="8"/>
  <c r="W26" i="8"/>
  <c r="W20" i="8"/>
  <c r="W2" i="8"/>
  <c r="W14" i="8"/>
  <c r="W33" i="8"/>
  <c r="W32" i="8"/>
  <c r="W16" i="8"/>
  <c r="W4" i="8"/>
  <c r="W28" i="8"/>
  <c r="W12" i="8"/>
  <c r="W27" i="8"/>
  <c r="W24" i="8"/>
  <c r="W23" i="8"/>
  <c r="W22" i="8"/>
  <c r="W8" i="8"/>
  <c r="W34" i="8"/>
  <c r="W18" i="8"/>
  <c r="W6" i="8"/>
  <c r="W3" i="8"/>
  <c r="W10" i="8"/>
  <c r="O48" i="8"/>
  <c r="O45" i="8"/>
  <c r="O43" i="8"/>
  <c r="O41" i="8"/>
  <c r="O39" i="8"/>
  <c r="O46" i="8"/>
  <c r="O49" i="8"/>
  <c r="O33" i="8"/>
  <c r="O44" i="8"/>
  <c r="O37" i="8"/>
  <c r="O36" i="8"/>
  <c r="O28" i="8"/>
  <c r="O47" i="8"/>
  <c r="O40" i="8"/>
  <c r="O42" i="8"/>
  <c r="O24" i="8"/>
  <c r="O23" i="8"/>
  <c r="O21" i="8"/>
  <c r="O19" i="8"/>
  <c r="O17" i="8"/>
  <c r="O15" i="8"/>
  <c r="O13" i="8"/>
  <c r="O11" i="8"/>
  <c r="O9" i="8"/>
  <c r="O7" i="8"/>
  <c r="O5" i="8"/>
  <c r="O32" i="8"/>
  <c r="O25" i="8"/>
  <c r="O18" i="8"/>
  <c r="O12" i="8"/>
  <c r="O38" i="8"/>
  <c r="O34" i="8"/>
  <c r="O29" i="8"/>
  <c r="O35" i="8"/>
  <c r="O27" i="8"/>
  <c r="O14" i="8"/>
  <c r="O2" i="8"/>
  <c r="O26" i="8"/>
  <c r="O16" i="8"/>
  <c r="O8" i="8"/>
  <c r="O4" i="8"/>
  <c r="O31" i="8"/>
  <c r="O30" i="8"/>
  <c r="O10" i="8"/>
  <c r="O20" i="8"/>
  <c r="O22" i="8"/>
  <c r="O3" i="8"/>
  <c r="O6" i="8"/>
  <c r="ID55" i="9"/>
  <c r="ID53" i="9"/>
  <c r="ID54" i="9"/>
  <c r="ID49" i="9"/>
  <c r="ID48" i="9"/>
  <c r="ID46" i="9"/>
  <c r="ID45" i="9"/>
  <c r="ID43" i="9"/>
  <c r="ID44" i="9"/>
  <c r="ID41" i="9"/>
  <c r="ID47" i="9"/>
  <c r="ID40" i="9"/>
  <c r="ID39" i="9"/>
  <c r="ID38" i="9"/>
  <c r="ID37" i="9"/>
  <c r="ID35" i="9"/>
  <c r="ID33" i="9"/>
  <c r="ID36" i="9"/>
  <c r="ID31" i="9"/>
  <c r="ID29" i="9"/>
  <c r="ID32" i="9"/>
  <c r="ID34" i="9"/>
  <c r="ID28" i="9"/>
  <c r="ID27" i="9"/>
  <c r="ID25" i="9"/>
  <c r="ID42" i="9"/>
  <c r="ID26" i="9"/>
  <c r="ID24" i="9"/>
  <c r="ID22" i="9"/>
  <c r="ID20" i="9"/>
  <c r="ID18" i="9"/>
  <c r="ID16" i="9"/>
  <c r="ID15" i="9"/>
  <c r="ID14" i="9"/>
  <c r="ID11" i="9"/>
  <c r="ID9" i="9"/>
  <c r="ID7" i="9"/>
  <c r="ID5" i="9"/>
  <c r="ID30" i="9"/>
  <c r="ID21" i="9"/>
  <c r="ID23" i="9"/>
  <c r="ID19" i="9"/>
  <c r="ID13" i="9"/>
  <c r="ID10" i="9"/>
  <c r="ID17" i="9"/>
  <c r="ID4" i="9"/>
  <c r="ID12" i="9"/>
  <c r="ID6" i="9"/>
  <c r="ID3" i="9"/>
  <c r="ID2" i="9"/>
  <c r="ID8" i="9"/>
  <c r="HV48" i="8"/>
  <c r="HV47" i="8"/>
  <c r="HV45" i="8"/>
  <c r="HV34" i="8"/>
  <c r="HV32" i="8"/>
  <c r="HV30" i="8"/>
  <c r="HV28" i="8"/>
  <c r="HV26" i="8"/>
  <c r="HV24" i="8"/>
  <c r="HV22" i="8"/>
  <c r="HV49" i="8"/>
  <c r="HV44" i="8"/>
  <c r="HV39" i="8"/>
  <c r="HV37" i="8"/>
  <c r="HV54" i="8"/>
  <c r="HV41" i="8"/>
  <c r="HV40" i="8"/>
  <c r="HV46" i="8"/>
  <c r="HV42" i="8"/>
  <c r="HV43" i="8"/>
  <c r="HV55" i="8"/>
  <c r="HV53" i="8"/>
  <c r="HV25" i="8"/>
  <c r="HV35" i="8"/>
  <c r="HV14" i="8"/>
  <c r="HV9" i="8"/>
  <c r="HV27" i="8"/>
  <c r="HV19" i="8"/>
  <c r="HV8" i="8"/>
  <c r="HV3" i="8"/>
  <c r="HV36" i="8"/>
  <c r="HV38" i="8"/>
  <c r="HV31" i="8"/>
  <c r="HV33" i="8"/>
  <c r="HV29" i="8"/>
  <c r="HV21" i="8"/>
  <c r="HV10" i="8"/>
  <c r="HV5" i="8"/>
  <c r="HV12" i="8"/>
  <c r="HV11" i="8"/>
  <c r="HV4" i="8"/>
  <c r="HV20" i="8"/>
  <c r="HV13" i="8"/>
  <c r="HV6" i="8"/>
  <c r="HV7" i="8"/>
  <c r="HV15" i="8"/>
  <c r="HV23" i="8"/>
  <c r="HV16" i="8"/>
  <c r="HV18" i="8"/>
  <c r="HV17" i="8"/>
  <c r="HV2" i="8"/>
  <c r="FJ151" i="7"/>
  <c r="FJ150" i="7"/>
  <c r="FJ149" i="7"/>
  <c r="FB55" i="8"/>
  <c r="FB48" i="8"/>
  <c r="FB43" i="8"/>
  <c r="FB34" i="8"/>
  <c r="FB32" i="8"/>
  <c r="FB30" i="8"/>
  <c r="FB28" i="8"/>
  <c r="FB26" i="8"/>
  <c r="FB24" i="8"/>
  <c r="FB54" i="8"/>
  <c r="FB53" i="8"/>
  <c r="FB46" i="8"/>
  <c r="FB42" i="8"/>
  <c r="FB38" i="8"/>
  <c r="FB44" i="8"/>
  <c r="FB39" i="8"/>
  <c r="FB49" i="8"/>
  <c r="FB47" i="8"/>
  <c r="FB29" i="8"/>
  <c r="FB23" i="8"/>
  <c r="FB45" i="8"/>
  <c r="FB40" i="8"/>
  <c r="FB41" i="8"/>
  <c r="FB12" i="8"/>
  <c r="FB7" i="8"/>
  <c r="FB22" i="8"/>
  <c r="FB17" i="8"/>
  <c r="FB6" i="8"/>
  <c r="FB33" i="8"/>
  <c r="FB35" i="8"/>
  <c r="FB37" i="8"/>
  <c r="FB19" i="8"/>
  <c r="FB8" i="8"/>
  <c r="FB31" i="8"/>
  <c r="FB16" i="8"/>
  <c r="FB15" i="8"/>
  <c r="FB27" i="8"/>
  <c r="FB25" i="8"/>
  <c r="FB10" i="8"/>
  <c r="FB9" i="8"/>
  <c r="FB18" i="8"/>
  <c r="FB11" i="8"/>
  <c r="FB36" i="8"/>
  <c r="FB20" i="8"/>
  <c r="FB21" i="8"/>
  <c r="FB13" i="8"/>
  <c r="FB14" i="8"/>
  <c r="FB2" i="8"/>
  <c r="FB5" i="8"/>
  <c r="FB3" i="8"/>
  <c r="FB4" i="8"/>
  <c r="ED55" i="9"/>
  <c r="ED49" i="9"/>
  <c r="ED54" i="9"/>
  <c r="ED48" i="9"/>
  <c r="ED46" i="9"/>
  <c r="ED47" i="9"/>
  <c r="ED43" i="9"/>
  <c r="ED53" i="9"/>
  <c r="ED42" i="9"/>
  <c r="ED41" i="9"/>
  <c r="ED39" i="9"/>
  <c r="ED44" i="9"/>
  <c r="ED37" i="9"/>
  <c r="ED35" i="9"/>
  <c r="ED33" i="9"/>
  <c r="ED36" i="9"/>
  <c r="ED32" i="9"/>
  <c r="ED31" i="9"/>
  <c r="ED29" i="9"/>
  <c r="ED34" i="9"/>
  <c r="ED27" i="9"/>
  <c r="ED25" i="9"/>
  <c r="ED38" i="9"/>
  <c r="ED45" i="9"/>
  <c r="ED40" i="9"/>
  <c r="ED24" i="9"/>
  <c r="ED22" i="9"/>
  <c r="ED20" i="9"/>
  <c r="ED18" i="9"/>
  <c r="ED16" i="9"/>
  <c r="ED21" i="9"/>
  <c r="ED12" i="9"/>
  <c r="ED30" i="9"/>
  <c r="ED15" i="9"/>
  <c r="ED11" i="9"/>
  <c r="ED9" i="9"/>
  <c r="ED7" i="9"/>
  <c r="ED5" i="9"/>
  <c r="ED17" i="9"/>
  <c r="ED14" i="9"/>
  <c r="ED10" i="9"/>
  <c r="ED8" i="9"/>
  <c r="ED28" i="9"/>
  <c r="ED6" i="9"/>
  <c r="ED19" i="9"/>
  <c r="ED23" i="9"/>
  <c r="ED26" i="9"/>
  <c r="ED13" i="9"/>
  <c r="ED4" i="9"/>
  <c r="ED3" i="9"/>
  <c r="ED2" i="9"/>
  <c r="DV55" i="9"/>
  <c r="DV49" i="9"/>
  <c r="DV54" i="9"/>
  <c r="DV53" i="9"/>
  <c r="DV48" i="9"/>
  <c r="DV47" i="9"/>
  <c r="DV43" i="9"/>
  <c r="DV45" i="9"/>
  <c r="DV46" i="9"/>
  <c r="DV39" i="9"/>
  <c r="DV40" i="9"/>
  <c r="DV37" i="9"/>
  <c r="DV35" i="9"/>
  <c r="DV33" i="9"/>
  <c r="DV32" i="9"/>
  <c r="DV34" i="9"/>
  <c r="DV31" i="9"/>
  <c r="DV29" i="9"/>
  <c r="DV36" i="9"/>
  <c r="DV30" i="9"/>
  <c r="DV27" i="9"/>
  <c r="DV42" i="9"/>
  <c r="DV28" i="9"/>
  <c r="DV41" i="9"/>
  <c r="DV38" i="9"/>
  <c r="DV24" i="9"/>
  <c r="DV22" i="9"/>
  <c r="DV20" i="9"/>
  <c r="DV18" i="9"/>
  <c r="DV16" i="9"/>
  <c r="DV26" i="9"/>
  <c r="DV25" i="9"/>
  <c r="DV19" i="9"/>
  <c r="DV13" i="9"/>
  <c r="DV11" i="9"/>
  <c r="DV9" i="9"/>
  <c r="DV7" i="9"/>
  <c r="DV5" i="9"/>
  <c r="DV44" i="9"/>
  <c r="DV15" i="9"/>
  <c r="DV12" i="9"/>
  <c r="DV17" i="9"/>
  <c r="DV23" i="9"/>
  <c r="DV4" i="9"/>
  <c r="DV3" i="9"/>
  <c r="DV10" i="9"/>
  <c r="DV8" i="9"/>
  <c r="DV2" i="9"/>
  <c r="DV14" i="9"/>
  <c r="DV21" i="9"/>
  <c r="DV6" i="9"/>
  <c r="CH49" i="8"/>
  <c r="CH53" i="8"/>
  <c r="CH46" i="8"/>
  <c r="CH55" i="8"/>
  <c r="CH41" i="8"/>
  <c r="CH34" i="8"/>
  <c r="CH32" i="8"/>
  <c r="CH30" i="8"/>
  <c r="CH28" i="8"/>
  <c r="CH26" i="8"/>
  <c r="CH24" i="8"/>
  <c r="CH48" i="8"/>
  <c r="CH40" i="8"/>
  <c r="CH36" i="8"/>
  <c r="CH54" i="8"/>
  <c r="CH47" i="8"/>
  <c r="CH42" i="8"/>
  <c r="CH39" i="8"/>
  <c r="CH27" i="8"/>
  <c r="CH23" i="8"/>
  <c r="CH37" i="8"/>
  <c r="CH35" i="8"/>
  <c r="CH44" i="8"/>
  <c r="CH43" i="8"/>
  <c r="CH45" i="8"/>
  <c r="CH29" i="8"/>
  <c r="CH21" i="8"/>
  <c r="CH10" i="8"/>
  <c r="CH5" i="8"/>
  <c r="CH20" i="8"/>
  <c r="CH15" i="8"/>
  <c r="CH4" i="8"/>
  <c r="CH2" i="8"/>
  <c r="CH31" i="8"/>
  <c r="CH38" i="8"/>
  <c r="CH33" i="8"/>
  <c r="CH25" i="8"/>
  <c r="CH22" i="8"/>
  <c r="CH17" i="8"/>
  <c r="CH6" i="8"/>
  <c r="CH19" i="8"/>
  <c r="CH11" i="8"/>
  <c r="CH12" i="8"/>
  <c r="CH14" i="8"/>
  <c r="CH13" i="8"/>
  <c r="CH8" i="8"/>
  <c r="CH7" i="8"/>
  <c r="CH16" i="8"/>
  <c r="CH9" i="8"/>
  <c r="CH3" i="8"/>
  <c r="CH18" i="8"/>
  <c r="BZ150" i="7"/>
  <c r="BZ54" i="9" s="1"/>
  <c r="BZ151" i="7"/>
  <c r="BZ149" i="7"/>
  <c r="BB48" i="9"/>
  <c r="BB47" i="9"/>
  <c r="BB49" i="9"/>
  <c r="BB46" i="9"/>
  <c r="BB45" i="9"/>
  <c r="BB44" i="9"/>
  <c r="BB43" i="9"/>
  <c r="BB39" i="9"/>
  <c r="BB41" i="9"/>
  <c r="BB42" i="9"/>
  <c r="BB40" i="9"/>
  <c r="BB37" i="9"/>
  <c r="BB35" i="9"/>
  <c r="BB33" i="9"/>
  <c r="BB38" i="9"/>
  <c r="BB31" i="9"/>
  <c r="BB34" i="9"/>
  <c r="BB32" i="9"/>
  <c r="BB29" i="9"/>
  <c r="BB30" i="9"/>
  <c r="BB27" i="9"/>
  <c r="BB26" i="9"/>
  <c r="BB36" i="9"/>
  <c r="BB28" i="9"/>
  <c r="BB24" i="9"/>
  <c r="BB22" i="9"/>
  <c r="BB20" i="9"/>
  <c r="BB18" i="9"/>
  <c r="BB16" i="9"/>
  <c r="BB17" i="9"/>
  <c r="BB11" i="9"/>
  <c r="BB9" i="9"/>
  <c r="BB7" i="9"/>
  <c r="BB5" i="9"/>
  <c r="BB13" i="9"/>
  <c r="BB21" i="9"/>
  <c r="BB23" i="9"/>
  <c r="BB10" i="9"/>
  <c r="BB15" i="9"/>
  <c r="BB14" i="9"/>
  <c r="BB19" i="9"/>
  <c r="BB8" i="9"/>
  <c r="BB4" i="9"/>
  <c r="BB12" i="9"/>
  <c r="BB25" i="9"/>
  <c r="BB6" i="9"/>
  <c r="BB2" i="9"/>
  <c r="BB3" i="9"/>
  <c r="AT48" i="9"/>
  <c r="AT45" i="9"/>
  <c r="AT46" i="9"/>
  <c r="AT42" i="9"/>
  <c r="AT41" i="9"/>
  <c r="AT40" i="9"/>
  <c r="AT39" i="9"/>
  <c r="AT49" i="9"/>
  <c r="AT47" i="9"/>
  <c r="AT37" i="9"/>
  <c r="AT35" i="9"/>
  <c r="AT33" i="9"/>
  <c r="AT44" i="9"/>
  <c r="AT36" i="9"/>
  <c r="AT31" i="9"/>
  <c r="AT32" i="9"/>
  <c r="AT38" i="9"/>
  <c r="AT29" i="9"/>
  <c r="AT27" i="9"/>
  <c r="AT34" i="9"/>
  <c r="AT26" i="9"/>
  <c r="AT24" i="9"/>
  <c r="AT22" i="9"/>
  <c r="AT20" i="9"/>
  <c r="AT18" i="9"/>
  <c r="AT16" i="9"/>
  <c r="AT15" i="9"/>
  <c r="AT14" i="9"/>
  <c r="AT28" i="9"/>
  <c r="AT11" i="9"/>
  <c r="AT9" i="9"/>
  <c r="AT7" i="9"/>
  <c r="AT5" i="9"/>
  <c r="AT30" i="9"/>
  <c r="AT43" i="9"/>
  <c r="AT17" i="9"/>
  <c r="AT25" i="9"/>
  <c r="AT19" i="9"/>
  <c r="AT23" i="9"/>
  <c r="AT6" i="9"/>
  <c r="AT8" i="9"/>
  <c r="AT4" i="9"/>
  <c r="AT21" i="9"/>
  <c r="AT13" i="9"/>
  <c r="AT3" i="9"/>
  <c r="AT2" i="9"/>
  <c r="AT10" i="9"/>
  <c r="AT12" i="9"/>
  <c r="F149" i="7"/>
  <c r="F53" i="9" s="1"/>
  <c r="F150" i="7"/>
  <c r="F151" i="7"/>
  <c r="F48" i="8"/>
  <c r="F42" i="8"/>
  <c r="F34" i="8"/>
  <c r="F32" i="8"/>
  <c r="F30" i="8"/>
  <c r="F28" i="8"/>
  <c r="F26" i="8"/>
  <c r="F24" i="8"/>
  <c r="F37" i="8"/>
  <c r="F40" i="8"/>
  <c r="F39" i="8"/>
  <c r="F38" i="8"/>
  <c r="F46" i="8"/>
  <c r="F41" i="8"/>
  <c r="F31" i="8"/>
  <c r="F43" i="8"/>
  <c r="F49" i="8"/>
  <c r="F44" i="8"/>
  <c r="F45" i="8"/>
  <c r="F36" i="8"/>
  <c r="F33" i="8"/>
  <c r="F25" i="8"/>
  <c r="F23" i="8"/>
  <c r="F22" i="8"/>
  <c r="F17" i="8"/>
  <c r="F6" i="8"/>
  <c r="F16" i="8"/>
  <c r="F11" i="8"/>
  <c r="F3" i="8"/>
  <c r="F47" i="8"/>
  <c r="F18" i="8"/>
  <c r="F13" i="8"/>
  <c r="F35" i="8"/>
  <c r="F20" i="8"/>
  <c r="F19" i="8"/>
  <c r="F12" i="8"/>
  <c r="F5" i="8"/>
  <c r="F21" i="8"/>
  <c r="F14" i="8"/>
  <c r="F29" i="8"/>
  <c r="F15" i="8"/>
  <c r="F7" i="8"/>
  <c r="F8" i="8"/>
  <c r="F10" i="8"/>
  <c r="F9" i="8"/>
  <c r="F27" i="8"/>
  <c r="F2" i="8"/>
  <c r="F4" i="8"/>
  <c r="HI54" i="8"/>
  <c r="HI48" i="8"/>
  <c r="HI46" i="8"/>
  <c r="HI44" i="8"/>
  <c r="HI42" i="8"/>
  <c r="HI40" i="8"/>
  <c r="HI38" i="8"/>
  <c r="HI36" i="8"/>
  <c r="HI45" i="8"/>
  <c r="HI47" i="8"/>
  <c r="HI39" i="8"/>
  <c r="HI35" i="8"/>
  <c r="HI33" i="8"/>
  <c r="HI31" i="8"/>
  <c r="HI29" i="8"/>
  <c r="HI27" i="8"/>
  <c r="HI25" i="8"/>
  <c r="HI55" i="8"/>
  <c r="HI41" i="8"/>
  <c r="HI53" i="8"/>
  <c r="HI49" i="8"/>
  <c r="HI20" i="8"/>
  <c r="HI18" i="8"/>
  <c r="HI16" i="8"/>
  <c r="HI14" i="8"/>
  <c r="HI12" i="8"/>
  <c r="HI10" i="8"/>
  <c r="HI8" i="8"/>
  <c r="HI6" i="8"/>
  <c r="HI4" i="8"/>
  <c r="HI2" i="8"/>
  <c r="HI43" i="8"/>
  <c r="HI34" i="8"/>
  <c r="HI28" i="8"/>
  <c r="HI22" i="8"/>
  <c r="HI30" i="8"/>
  <c r="HI9" i="8"/>
  <c r="HI19" i="8"/>
  <c r="HI37" i="8"/>
  <c r="HI32" i="8"/>
  <c r="HI21" i="8"/>
  <c r="HI5" i="8"/>
  <c r="HI7" i="8"/>
  <c r="HI15" i="8"/>
  <c r="HI23" i="8"/>
  <c r="HI17" i="8"/>
  <c r="HI24" i="8"/>
  <c r="HI26" i="8"/>
  <c r="HI11" i="8"/>
  <c r="HI13" i="8"/>
  <c r="HI3" i="8"/>
  <c r="HI47" i="9"/>
  <c r="HI53" i="9"/>
  <c r="HI48" i="9"/>
  <c r="HI54" i="9"/>
  <c r="HI45" i="9"/>
  <c r="HI55" i="9"/>
  <c r="HI42" i="9"/>
  <c r="HI46" i="9"/>
  <c r="HI44" i="9"/>
  <c r="HI43" i="9"/>
  <c r="HI34" i="9"/>
  <c r="HI36" i="9"/>
  <c r="HI31" i="9"/>
  <c r="HI41" i="9"/>
  <c r="HI40" i="9"/>
  <c r="HI29" i="9"/>
  <c r="HI39" i="9"/>
  <c r="HI49" i="9"/>
  <c r="HI35" i="9"/>
  <c r="HI32" i="9"/>
  <c r="HI38" i="9"/>
  <c r="HI33" i="9"/>
  <c r="HI37" i="9"/>
  <c r="HI28" i="9"/>
  <c r="HI24" i="9"/>
  <c r="HI19" i="9"/>
  <c r="HI30" i="9"/>
  <c r="HI18" i="9"/>
  <c r="HI12" i="9"/>
  <c r="HI27" i="9"/>
  <c r="HI20" i="9"/>
  <c r="HI15" i="9"/>
  <c r="HI11" i="9"/>
  <c r="HI9" i="9"/>
  <c r="HI25" i="9"/>
  <c r="HI7" i="9"/>
  <c r="HI3" i="9"/>
  <c r="HI22" i="9"/>
  <c r="HI21" i="9"/>
  <c r="HI26" i="9"/>
  <c r="HI23" i="9"/>
  <c r="HI5" i="9"/>
  <c r="HI4" i="9"/>
  <c r="HI8" i="9"/>
  <c r="HI13" i="9"/>
  <c r="HI10" i="9"/>
  <c r="HI2" i="9"/>
  <c r="HI17" i="9"/>
  <c r="HI16" i="9"/>
  <c r="HI14" i="9"/>
  <c r="HI6" i="9"/>
  <c r="FU54" i="8"/>
  <c r="FU48" i="8"/>
  <c r="FU46" i="8"/>
  <c r="FU53" i="8"/>
  <c r="FU44" i="8"/>
  <c r="FU42" i="8"/>
  <c r="FU40" i="8"/>
  <c r="FU38" i="8"/>
  <c r="FU36" i="8"/>
  <c r="FU37" i="8"/>
  <c r="FU49" i="8"/>
  <c r="FU45" i="8"/>
  <c r="FU35" i="8"/>
  <c r="FU33" i="8"/>
  <c r="FU31" i="8"/>
  <c r="FU29" i="8"/>
  <c r="FU27" i="8"/>
  <c r="FU25" i="8"/>
  <c r="FU55" i="8"/>
  <c r="FU23" i="8"/>
  <c r="FU20" i="8"/>
  <c r="FU18" i="8"/>
  <c r="FU16" i="8"/>
  <c r="FU14" i="8"/>
  <c r="FU12" i="8"/>
  <c r="FU10" i="8"/>
  <c r="FU8" i="8"/>
  <c r="FU6" i="8"/>
  <c r="FU4" i="8"/>
  <c r="FU2" i="8"/>
  <c r="FU43" i="8"/>
  <c r="FU26" i="8"/>
  <c r="FU22" i="8"/>
  <c r="FU47" i="8"/>
  <c r="FU15" i="8"/>
  <c r="FU3" i="8"/>
  <c r="FU24" i="8"/>
  <c r="FU9" i="8"/>
  <c r="FU32" i="8"/>
  <c r="FU39" i="8"/>
  <c r="FU34" i="8"/>
  <c r="FU30" i="8"/>
  <c r="FU41" i="8"/>
  <c r="FU11" i="8"/>
  <c r="FU28" i="8"/>
  <c r="FU7" i="8"/>
  <c r="FU17" i="8"/>
  <c r="FU19" i="8"/>
  <c r="FU13" i="8"/>
  <c r="FU5" i="8"/>
  <c r="FU21" i="8"/>
  <c r="EW53" i="9"/>
  <c r="EW55" i="9"/>
  <c r="EW54" i="9"/>
  <c r="EW47" i="9"/>
  <c r="EW49" i="9"/>
  <c r="EW48" i="9"/>
  <c r="EW45" i="9"/>
  <c r="EW44" i="9"/>
  <c r="EW42" i="9"/>
  <c r="EW41" i="9"/>
  <c r="EW43" i="9"/>
  <c r="EW38" i="9"/>
  <c r="EW34" i="9"/>
  <c r="EW32" i="9"/>
  <c r="EW36" i="9"/>
  <c r="EW31" i="9"/>
  <c r="EW33" i="9"/>
  <c r="EW29" i="9"/>
  <c r="EW39" i="9"/>
  <c r="EW46" i="9"/>
  <c r="EW35" i="9"/>
  <c r="EW30" i="9"/>
  <c r="EW28" i="9"/>
  <c r="EW40" i="9"/>
  <c r="EW24" i="9"/>
  <c r="EW19" i="9"/>
  <c r="EW18" i="9"/>
  <c r="EW12" i="9"/>
  <c r="EW37" i="9"/>
  <c r="EW27" i="9"/>
  <c r="EW26" i="9"/>
  <c r="EW20" i="9"/>
  <c r="EW15" i="9"/>
  <c r="EW11" i="9"/>
  <c r="EW25" i="9"/>
  <c r="EW7" i="9"/>
  <c r="EW3" i="9"/>
  <c r="EW22" i="9"/>
  <c r="EW21" i="9"/>
  <c r="EW17" i="9"/>
  <c r="EW9" i="9"/>
  <c r="EW5" i="9"/>
  <c r="EW4" i="9"/>
  <c r="EW14" i="9"/>
  <c r="EW2" i="9"/>
  <c r="EW10" i="9"/>
  <c r="EW13" i="9"/>
  <c r="EW8" i="9"/>
  <c r="EW6" i="9"/>
  <c r="EW23" i="9"/>
  <c r="EW16" i="9"/>
  <c r="EG54" i="8"/>
  <c r="EG48" i="8"/>
  <c r="EG46" i="8"/>
  <c r="EG44" i="8"/>
  <c r="EG42" i="8"/>
  <c r="EG40" i="8"/>
  <c r="EG38" i="8"/>
  <c r="EG36" i="8"/>
  <c r="EG53" i="8"/>
  <c r="EG49" i="8"/>
  <c r="EG55" i="8"/>
  <c r="EG41" i="8"/>
  <c r="EG35" i="8"/>
  <c r="EG33" i="8"/>
  <c r="EG31" i="8"/>
  <c r="EG29" i="8"/>
  <c r="EG27" i="8"/>
  <c r="EG25" i="8"/>
  <c r="EG47" i="8"/>
  <c r="EG37" i="8"/>
  <c r="EG22" i="8"/>
  <c r="EG20" i="8"/>
  <c r="EG18" i="8"/>
  <c r="EG16" i="8"/>
  <c r="EG14" i="8"/>
  <c r="EG12" i="8"/>
  <c r="EG10" i="8"/>
  <c r="EG8" i="8"/>
  <c r="EG6" i="8"/>
  <c r="EG4" i="8"/>
  <c r="EG2" i="8"/>
  <c r="EG43" i="8"/>
  <c r="EG45" i="8"/>
  <c r="EG32" i="8"/>
  <c r="EG28" i="8"/>
  <c r="EG23" i="8"/>
  <c r="EG21" i="8"/>
  <c r="EG5" i="8"/>
  <c r="EG15" i="8"/>
  <c r="EG34" i="8"/>
  <c r="EG39" i="8"/>
  <c r="EG17" i="8"/>
  <c r="EG3" i="8"/>
  <c r="EG7" i="8"/>
  <c r="EG9" i="8"/>
  <c r="EG30" i="8"/>
  <c r="EG26" i="8"/>
  <c r="EG24" i="8"/>
  <c r="EG19" i="8"/>
  <c r="EG11" i="8"/>
  <c r="EG13" i="8"/>
  <c r="BE149" i="7"/>
  <c r="BE150" i="7"/>
  <c r="BE151" i="7"/>
  <c r="IF55" i="9"/>
  <c r="IF53" i="9"/>
  <c r="IF49" i="9"/>
  <c r="IF48" i="9"/>
  <c r="IF46" i="9"/>
  <c r="IF54" i="9"/>
  <c r="IF44" i="9"/>
  <c r="IF45" i="9"/>
  <c r="IF42" i="9"/>
  <c r="IF41" i="9"/>
  <c r="IF47" i="9"/>
  <c r="IF39" i="9"/>
  <c r="IF36" i="9"/>
  <c r="IF34" i="9"/>
  <c r="IF32" i="9"/>
  <c r="IF43" i="9"/>
  <c r="IF38" i="9"/>
  <c r="IF35" i="9"/>
  <c r="IF37" i="9"/>
  <c r="IF29" i="9"/>
  <c r="IF26" i="9"/>
  <c r="IF30" i="9"/>
  <c r="IF23" i="9"/>
  <c r="IF21" i="9"/>
  <c r="IF19" i="9"/>
  <c r="IF17" i="9"/>
  <c r="IF15" i="9"/>
  <c r="IF13" i="9"/>
  <c r="IF40" i="9"/>
  <c r="IF20" i="9"/>
  <c r="IF12" i="9"/>
  <c r="IF31" i="9"/>
  <c r="IF28" i="9"/>
  <c r="IF33" i="9"/>
  <c r="IF27" i="9"/>
  <c r="IF16" i="9"/>
  <c r="IF14" i="9"/>
  <c r="IF8" i="9"/>
  <c r="IF6" i="9"/>
  <c r="IF3" i="9"/>
  <c r="IF25" i="9"/>
  <c r="IF22" i="9"/>
  <c r="IF24" i="9"/>
  <c r="IF9" i="9"/>
  <c r="IF10" i="9"/>
  <c r="IF5" i="9"/>
  <c r="IF11" i="9"/>
  <c r="IF7" i="9"/>
  <c r="IF18" i="9"/>
  <c r="IF2" i="9"/>
  <c r="IF4" i="9"/>
  <c r="GR55" i="9"/>
  <c r="GR53" i="9"/>
  <c r="GR48" i="9"/>
  <c r="GR46" i="9"/>
  <c r="GR54" i="9"/>
  <c r="GR49" i="9"/>
  <c r="GR47" i="9"/>
  <c r="GR45" i="9"/>
  <c r="GR43" i="9"/>
  <c r="GR44" i="9"/>
  <c r="GR42" i="9"/>
  <c r="GR40" i="9"/>
  <c r="GR36" i="9"/>
  <c r="GR34" i="9"/>
  <c r="GR32" i="9"/>
  <c r="GR41" i="9"/>
  <c r="GR39" i="9"/>
  <c r="GR38" i="9"/>
  <c r="GR35" i="9"/>
  <c r="GR30" i="9"/>
  <c r="GR26" i="9"/>
  <c r="GR31" i="9"/>
  <c r="GR29" i="9"/>
  <c r="GR25" i="9"/>
  <c r="GR23" i="9"/>
  <c r="GR21" i="9"/>
  <c r="GR19" i="9"/>
  <c r="GR17" i="9"/>
  <c r="GR15" i="9"/>
  <c r="GR13" i="9"/>
  <c r="GR33" i="9"/>
  <c r="GR37" i="9"/>
  <c r="GR20" i="9"/>
  <c r="GR27" i="9"/>
  <c r="GR28" i="9"/>
  <c r="GR22" i="9"/>
  <c r="GR12" i="9"/>
  <c r="GR9" i="9"/>
  <c r="GR3" i="9"/>
  <c r="GR24" i="9"/>
  <c r="GR10" i="9"/>
  <c r="GR5" i="9"/>
  <c r="GR18" i="9"/>
  <c r="GR8" i="9"/>
  <c r="GR14" i="9"/>
  <c r="GR11" i="9"/>
  <c r="GR16" i="9"/>
  <c r="GR6" i="9"/>
  <c r="GR4" i="9"/>
  <c r="GR2" i="9"/>
  <c r="GR7" i="9"/>
  <c r="FL55" i="9"/>
  <c r="FL53" i="9"/>
  <c r="FL48" i="9"/>
  <c r="FL46" i="9"/>
  <c r="FL47" i="9"/>
  <c r="FL49" i="9"/>
  <c r="FL45" i="9"/>
  <c r="FL44" i="9"/>
  <c r="FL54" i="9"/>
  <c r="FL43" i="9"/>
  <c r="FL36" i="9"/>
  <c r="FL34" i="9"/>
  <c r="FL42" i="9"/>
  <c r="FL39" i="9"/>
  <c r="FL41" i="9"/>
  <c r="FL38" i="9"/>
  <c r="FL33" i="9"/>
  <c r="FL35" i="9"/>
  <c r="FL30" i="9"/>
  <c r="FL28" i="9"/>
  <c r="FL26" i="9"/>
  <c r="FL29" i="9"/>
  <c r="FL23" i="9"/>
  <c r="FL21" i="9"/>
  <c r="FL19" i="9"/>
  <c r="FL17" i="9"/>
  <c r="FL15" i="9"/>
  <c r="FL13" i="9"/>
  <c r="FL27" i="9"/>
  <c r="FL37" i="9"/>
  <c r="FL32" i="9"/>
  <c r="FL31" i="9"/>
  <c r="FL18" i="9"/>
  <c r="FL12" i="9"/>
  <c r="FL40" i="9"/>
  <c r="FL24" i="9"/>
  <c r="FL6" i="9"/>
  <c r="FL11" i="9"/>
  <c r="FL5" i="9"/>
  <c r="FL4" i="9"/>
  <c r="FL3" i="9"/>
  <c r="FL25" i="9"/>
  <c r="FL14" i="9"/>
  <c r="FL8" i="9"/>
  <c r="FL2" i="9"/>
  <c r="FL20" i="9"/>
  <c r="FL16" i="9"/>
  <c r="FL7" i="9"/>
  <c r="FL10" i="9"/>
  <c r="FL9" i="9"/>
  <c r="FL22" i="9"/>
  <c r="AV48" i="8"/>
  <c r="AV44" i="8"/>
  <c r="AV42" i="8"/>
  <c r="AV40" i="8"/>
  <c r="AV38" i="8"/>
  <c r="AV41" i="8"/>
  <c r="AV37" i="8"/>
  <c r="AV49" i="8"/>
  <c r="AV34" i="8"/>
  <c r="AV32" i="8"/>
  <c r="AV47" i="8"/>
  <c r="AV35" i="8"/>
  <c r="AV28" i="8"/>
  <c r="AV24" i="8"/>
  <c r="AV23" i="8"/>
  <c r="AV22" i="8"/>
  <c r="AV20" i="8"/>
  <c r="AV18" i="8"/>
  <c r="AV16" i="8"/>
  <c r="AV14" i="8"/>
  <c r="AV12" i="8"/>
  <c r="AV10" i="8"/>
  <c r="AV8" i="8"/>
  <c r="AV6" i="8"/>
  <c r="AV4" i="8"/>
  <c r="AV2" i="8"/>
  <c r="AV46" i="8"/>
  <c r="AV43" i="8"/>
  <c r="AV45" i="8"/>
  <c r="AV36" i="8"/>
  <c r="AV31" i="8"/>
  <c r="AV30" i="8"/>
  <c r="AV25" i="8"/>
  <c r="AV21" i="8"/>
  <c r="AV5" i="8"/>
  <c r="AV15" i="8"/>
  <c r="AV3" i="8"/>
  <c r="AV39" i="8"/>
  <c r="AV29" i="8"/>
  <c r="AV33" i="8"/>
  <c r="AV27" i="8"/>
  <c r="AV17" i="8"/>
  <c r="AV13" i="8"/>
  <c r="AV7" i="8"/>
  <c r="AV9" i="8"/>
  <c r="AV26" i="8"/>
  <c r="AV11" i="8"/>
  <c r="AV19" i="8"/>
  <c r="AK49" i="8"/>
  <c r="AK47" i="8"/>
  <c r="AK45" i="8"/>
  <c r="AK43" i="8"/>
  <c r="AK41" i="8"/>
  <c r="AK39" i="8"/>
  <c r="AK37" i="8"/>
  <c r="AK48" i="8"/>
  <c r="AK40" i="8"/>
  <c r="AK34" i="8"/>
  <c r="AK32" i="8"/>
  <c r="AK30" i="8"/>
  <c r="AK28" i="8"/>
  <c r="AK26" i="8"/>
  <c r="AK44" i="8"/>
  <c r="AK35" i="8"/>
  <c r="AK21" i="8"/>
  <c r="AK19" i="8"/>
  <c r="AK17" i="8"/>
  <c r="AK15" i="8"/>
  <c r="AK13" i="8"/>
  <c r="AK11" i="8"/>
  <c r="AK9" i="8"/>
  <c r="AK7" i="8"/>
  <c r="AK5" i="8"/>
  <c r="AK3" i="8"/>
  <c r="AK46" i="8"/>
  <c r="AK31" i="8"/>
  <c r="AK20" i="8"/>
  <c r="AK36" i="8"/>
  <c r="AK33" i="8"/>
  <c r="AK29" i="8"/>
  <c r="AK14" i="8"/>
  <c r="AK38" i="8"/>
  <c r="AK42" i="8"/>
  <c r="AK25" i="8"/>
  <c r="AK16" i="8"/>
  <c r="AK2" i="8"/>
  <c r="AK18" i="8"/>
  <c r="AK10" i="8"/>
  <c r="AK12" i="8"/>
  <c r="AK24" i="8"/>
  <c r="AK6" i="8"/>
  <c r="AK4" i="8"/>
  <c r="AK22" i="8"/>
  <c r="AK8" i="8"/>
  <c r="AK23" i="8"/>
  <c r="AK27" i="8"/>
  <c r="EH53" i="8"/>
  <c r="EH49" i="8"/>
  <c r="EH48" i="8"/>
  <c r="EH35" i="8"/>
  <c r="EH33" i="8"/>
  <c r="EH31" i="8"/>
  <c r="EH29" i="8"/>
  <c r="EH27" i="8"/>
  <c r="EH25" i="8"/>
  <c r="EH23" i="8"/>
  <c r="EH45" i="8"/>
  <c r="EH40" i="8"/>
  <c r="EH38" i="8"/>
  <c r="EH54" i="8"/>
  <c r="EH55" i="8"/>
  <c r="EH42" i="8"/>
  <c r="EH43" i="8"/>
  <c r="EH37" i="8"/>
  <c r="EH44" i="8"/>
  <c r="EH46" i="8"/>
  <c r="EH47" i="8"/>
  <c r="EH41" i="8"/>
  <c r="EH36" i="8"/>
  <c r="EH26" i="8"/>
  <c r="EH15" i="8"/>
  <c r="EH10" i="8"/>
  <c r="EH32" i="8"/>
  <c r="EH20" i="8"/>
  <c r="EH9" i="8"/>
  <c r="EH4" i="8"/>
  <c r="EH34" i="8"/>
  <c r="EH39" i="8"/>
  <c r="EH30" i="8"/>
  <c r="EH22" i="8"/>
  <c r="EH11" i="8"/>
  <c r="EH6" i="8"/>
  <c r="EH8" i="8"/>
  <c r="EH16" i="8"/>
  <c r="EH2" i="8"/>
  <c r="EH17" i="8"/>
  <c r="EH24" i="8"/>
  <c r="EH19" i="8"/>
  <c r="EH18" i="8"/>
  <c r="EH13" i="8"/>
  <c r="EH12" i="8"/>
  <c r="EH28" i="8"/>
  <c r="EH21" i="8"/>
  <c r="EH14" i="8"/>
  <c r="EH7" i="8"/>
  <c r="EH3" i="8"/>
  <c r="EH5" i="8"/>
  <c r="Y48" i="8"/>
  <c r="Y46" i="8"/>
  <c r="Y44" i="8"/>
  <c r="Y42" i="8"/>
  <c r="Y40" i="8"/>
  <c r="Y38" i="8"/>
  <c r="Y36" i="8"/>
  <c r="Y47" i="8"/>
  <c r="Y45" i="8"/>
  <c r="Y49" i="8"/>
  <c r="Y39" i="8"/>
  <c r="Y35" i="8"/>
  <c r="Y33" i="8"/>
  <c r="Y31" i="8"/>
  <c r="Y29" i="8"/>
  <c r="Y27" i="8"/>
  <c r="Y25" i="8"/>
  <c r="Y41" i="8"/>
  <c r="Y22" i="8"/>
  <c r="Y20" i="8"/>
  <c r="Y18" i="8"/>
  <c r="Y16" i="8"/>
  <c r="Y14" i="8"/>
  <c r="Y12" i="8"/>
  <c r="Y10" i="8"/>
  <c r="Y8" i="8"/>
  <c r="Y6" i="8"/>
  <c r="Y4" i="8"/>
  <c r="Y2" i="8"/>
  <c r="Y34" i="8"/>
  <c r="Y28" i="8"/>
  <c r="Y43" i="8"/>
  <c r="Y9" i="8"/>
  <c r="Y19" i="8"/>
  <c r="Y30" i="8"/>
  <c r="Y37" i="8"/>
  <c r="Y32" i="8"/>
  <c r="Y26" i="8"/>
  <c r="Y23" i="8"/>
  <c r="Y21" i="8"/>
  <c r="Y5" i="8"/>
  <c r="Y11" i="8"/>
  <c r="Y3" i="8"/>
  <c r="Y13" i="8"/>
  <c r="Y24" i="8"/>
  <c r="Y7" i="8"/>
  <c r="Y15" i="8"/>
  <c r="Y17" i="8"/>
  <c r="JD151" i="7"/>
  <c r="JD149" i="7"/>
  <c r="JD150" i="7"/>
  <c r="JA55" i="8"/>
  <c r="JA53" i="8"/>
  <c r="JA49" i="8"/>
  <c r="JA47" i="8"/>
  <c r="JA45" i="8"/>
  <c r="JA46" i="8"/>
  <c r="JA43" i="8"/>
  <c r="JA41" i="8"/>
  <c r="JA39" i="8"/>
  <c r="JA37" i="8"/>
  <c r="JA35" i="8"/>
  <c r="JA48" i="8"/>
  <c r="JA54" i="8"/>
  <c r="JA42" i="8"/>
  <c r="JA34" i="8"/>
  <c r="JA32" i="8"/>
  <c r="JA30" i="8"/>
  <c r="JA28" i="8"/>
  <c r="JA26" i="8"/>
  <c r="JA24" i="8"/>
  <c r="JA44" i="8"/>
  <c r="JA36" i="8"/>
  <c r="JA21" i="8"/>
  <c r="JA19" i="8"/>
  <c r="JA17" i="8"/>
  <c r="JA15" i="8"/>
  <c r="JA13" i="8"/>
  <c r="JA11" i="8"/>
  <c r="JA9" i="8"/>
  <c r="JA7" i="8"/>
  <c r="JA5" i="8"/>
  <c r="JA3" i="8"/>
  <c r="JA40" i="8"/>
  <c r="JA29" i="8"/>
  <c r="JA22" i="8"/>
  <c r="JA12" i="8"/>
  <c r="JA6" i="8"/>
  <c r="JA33" i="8"/>
  <c r="JA38" i="8"/>
  <c r="JA8" i="8"/>
  <c r="JA2" i="8"/>
  <c r="JA16" i="8"/>
  <c r="JA10" i="8"/>
  <c r="JA31" i="8"/>
  <c r="JA23" i="8"/>
  <c r="JA18" i="8"/>
  <c r="JA25" i="8"/>
  <c r="JA27" i="8"/>
  <c r="JA20" i="8"/>
  <c r="JA14" i="8"/>
  <c r="JA4" i="8"/>
  <c r="EK55" i="8"/>
  <c r="EK53" i="8"/>
  <c r="EK49" i="8"/>
  <c r="EK47" i="8"/>
  <c r="EK45" i="8"/>
  <c r="EK43" i="8"/>
  <c r="EK41" i="8"/>
  <c r="EK39" i="8"/>
  <c r="EK37" i="8"/>
  <c r="EK46" i="8"/>
  <c r="EK54" i="8"/>
  <c r="EK44" i="8"/>
  <c r="EK36" i="8"/>
  <c r="EK34" i="8"/>
  <c r="EK32" i="8"/>
  <c r="EK30" i="8"/>
  <c r="EK28" i="8"/>
  <c r="EK26" i="8"/>
  <c r="EK38" i="8"/>
  <c r="EK23" i="8"/>
  <c r="EK21" i="8"/>
  <c r="EK19" i="8"/>
  <c r="EK17" i="8"/>
  <c r="EK15" i="8"/>
  <c r="EK13" i="8"/>
  <c r="EK11" i="8"/>
  <c r="EK9" i="8"/>
  <c r="EK7" i="8"/>
  <c r="EK5" i="8"/>
  <c r="EK3" i="8"/>
  <c r="EK48" i="8"/>
  <c r="EK25" i="8"/>
  <c r="EK40" i="8"/>
  <c r="EK42" i="8"/>
  <c r="EK33" i="8"/>
  <c r="EK14" i="8"/>
  <c r="EK2" i="8"/>
  <c r="EK29" i="8"/>
  <c r="EK8" i="8"/>
  <c r="EK35" i="8"/>
  <c r="EK10" i="8"/>
  <c r="EK27" i="8"/>
  <c r="EK16" i="8"/>
  <c r="EK31" i="8"/>
  <c r="EK18" i="8"/>
  <c r="EK24" i="8"/>
  <c r="EK12" i="8"/>
  <c r="EK20" i="8"/>
  <c r="EK22" i="8"/>
  <c r="EK6" i="8"/>
  <c r="EK4" i="8"/>
  <c r="AC48" i="9"/>
  <c r="AC47" i="9"/>
  <c r="AC46" i="9"/>
  <c r="AC45" i="9"/>
  <c r="AC43" i="9"/>
  <c r="AC42" i="9"/>
  <c r="AC41" i="9"/>
  <c r="AC49" i="9"/>
  <c r="AC44" i="9"/>
  <c r="AC40" i="9"/>
  <c r="AC38" i="9"/>
  <c r="AC33" i="9"/>
  <c r="AC34" i="9"/>
  <c r="AC32" i="9"/>
  <c r="AC30" i="9"/>
  <c r="AC35" i="9"/>
  <c r="AC27" i="9"/>
  <c r="AC26" i="9"/>
  <c r="AC39" i="9"/>
  <c r="AC36" i="9"/>
  <c r="AC37" i="9"/>
  <c r="AC31" i="9"/>
  <c r="AC28" i="9"/>
  <c r="AC29" i="9"/>
  <c r="AC17" i="9"/>
  <c r="AC22" i="9"/>
  <c r="AC13" i="9"/>
  <c r="AC24" i="9"/>
  <c r="AC12" i="9"/>
  <c r="AC10" i="9"/>
  <c r="AC18" i="9"/>
  <c r="AC14" i="9"/>
  <c r="AC8" i="9"/>
  <c r="AC4" i="9"/>
  <c r="AC2" i="9"/>
  <c r="AC19" i="9"/>
  <c r="AC7" i="9"/>
  <c r="AC21" i="9"/>
  <c r="AC20" i="9"/>
  <c r="AC25" i="9"/>
  <c r="AC6" i="9"/>
  <c r="AC23" i="9"/>
  <c r="AC15" i="9"/>
  <c r="AC9" i="9"/>
  <c r="AC3" i="9"/>
  <c r="AC16" i="9"/>
  <c r="AC11" i="9"/>
  <c r="AC5" i="9"/>
  <c r="DK55" i="9"/>
  <c r="DK49" i="9"/>
  <c r="DK48" i="9"/>
  <c r="DK53" i="9"/>
  <c r="DK45" i="9"/>
  <c r="DK46" i="9"/>
  <c r="DK47" i="9"/>
  <c r="DK44" i="9"/>
  <c r="DK42" i="9"/>
  <c r="DK40" i="9"/>
  <c r="DK38" i="9"/>
  <c r="DK43" i="9"/>
  <c r="DK54" i="9"/>
  <c r="DK37" i="9"/>
  <c r="DK35" i="9"/>
  <c r="DK33" i="9"/>
  <c r="DK30" i="9"/>
  <c r="DK39" i="9"/>
  <c r="DK34" i="9"/>
  <c r="DK41" i="9"/>
  <c r="DK36" i="9"/>
  <c r="DK27" i="9"/>
  <c r="DK25" i="9"/>
  <c r="DK32" i="9"/>
  <c r="DK29" i="9"/>
  <c r="DK28" i="9"/>
  <c r="DK24" i="9"/>
  <c r="DK22" i="9"/>
  <c r="DK20" i="9"/>
  <c r="DK18" i="9"/>
  <c r="DK16" i="9"/>
  <c r="DK14" i="9"/>
  <c r="DK12" i="9"/>
  <c r="DK19" i="9"/>
  <c r="DK10" i="9"/>
  <c r="DK8" i="9"/>
  <c r="DK13" i="9"/>
  <c r="DK15" i="9"/>
  <c r="DK4" i="9"/>
  <c r="DK31" i="9"/>
  <c r="DK21" i="9"/>
  <c r="DK23" i="9"/>
  <c r="DK26" i="9"/>
  <c r="DK7" i="9"/>
  <c r="DK3" i="9"/>
  <c r="DK2" i="9"/>
  <c r="DK11" i="9"/>
  <c r="DK17" i="9"/>
  <c r="DK5" i="9"/>
  <c r="DK6" i="9"/>
  <c r="DK9" i="9"/>
  <c r="FH150" i="7"/>
  <c r="FH149" i="7"/>
  <c r="FH151" i="7"/>
  <c r="JE54" i="8"/>
  <c r="JE48" i="8"/>
  <c r="JE46" i="8"/>
  <c r="JE44" i="8"/>
  <c r="JE42" i="8"/>
  <c r="JE40" i="8"/>
  <c r="JE38" i="8"/>
  <c r="JE36" i="8"/>
  <c r="JE53" i="8"/>
  <c r="JE49" i="8"/>
  <c r="JE55" i="8"/>
  <c r="JE41" i="8"/>
  <c r="JE33" i="8"/>
  <c r="JE31" i="8"/>
  <c r="JE29" i="8"/>
  <c r="JE27" i="8"/>
  <c r="JE25" i="8"/>
  <c r="JE37" i="8"/>
  <c r="JE20" i="8"/>
  <c r="JE18" i="8"/>
  <c r="JE16" i="8"/>
  <c r="JE14" i="8"/>
  <c r="JE12" i="8"/>
  <c r="JE10" i="8"/>
  <c r="JE8" i="8"/>
  <c r="JE6" i="8"/>
  <c r="JE4" i="8"/>
  <c r="JE2" i="8"/>
  <c r="JE45" i="8"/>
  <c r="JE30" i="8"/>
  <c r="JE24" i="8"/>
  <c r="JE32" i="8"/>
  <c r="JE21" i="8"/>
  <c r="JE5" i="8"/>
  <c r="JE34" i="8"/>
  <c r="JE15" i="8"/>
  <c r="JE47" i="8"/>
  <c r="JE35" i="8"/>
  <c r="JE28" i="8"/>
  <c r="JE43" i="8"/>
  <c r="JE39" i="8"/>
  <c r="JE26" i="8"/>
  <c r="JE22" i="8"/>
  <c r="JE17" i="8"/>
  <c r="JE3" i="8"/>
  <c r="JE23" i="8"/>
  <c r="JE19" i="8"/>
  <c r="JE11" i="8"/>
  <c r="JE13" i="8"/>
  <c r="JE7" i="8"/>
  <c r="JE9" i="8"/>
  <c r="DQ54" i="8"/>
  <c r="DQ48" i="8"/>
  <c r="DQ46" i="8"/>
  <c r="DQ55" i="8"/>
  <c r="DQ44" i="8"/>
  <c r="DQ42" i="8"/>
  <c r="DQ40" i="8"/>
  <c r="DQ38" i="8"/>
  <c r="DQ36" i="8"/>
  <c r="DQ35" i="8"/>
  <c r="DQ33" i="8"/>
  <c r="DQ31" i="8"/>
  <c r="DQ29" i="8"/>
  <c r="DQ27" i="8"/>
  <c r="DQ25" i="8"/>
  <c r="DQ47" i="8"/>
  <c r="DQ53" i="8"/>
  <c r="DQ32" i="8"/>
  <c r="DQ22" i="8"/>
  <c r="DQ20" i="8"/>
  <c r="DQ18" i="8"/>
  <c r="DQ16" i="8"/>
  <c r="DQ14" i="8"/>
  <c r="DQ12" i="8"/>
  <c r="DQ10" i="8"/>
  <c r="DQ8" i="8"/>
  <c r="DQ6" i="8"/>
  <c r="DQ4" i="8"/>
  <c r="DQ2" i="8"/>
  <c r="DQ45" i="8"/>
  <c r="DQ28" i="8"/>
  <c r="DQ24" i="8"/>
  <c r="DQ23" i="8"/>
  <c r="DQ49" i="8"/>
  <c r="DQ41" i="8"/>
  <c r="DQ17" i="8"/>
  <c r="DQ39" i="8"/>
  <c r="DQ26" i="8"/>
  <c r="DQ11" i="8"/>
  <c r="DQ34" i="8"/>
  <c r="DQ43" i="8"/>
  <c r="DQ13" i="8"/>
  <c r="DQ9" i="8"/>
  <c r="DQ37" i="8"/>
  <c r="DQ19" i="8"/>
  <c r="DQ30" i="8"/>
  <c r="DQ21" i="8"/>
  <c r="DQ15" i="8"/>
  <c r="DQ7" i="8"/>
  <c r="DQ3" i="8"/>
  <c r="DQ5" i="8"/>
  <c r="GL149" i="7"/>
  <c r="GL151" i="7"/>
  <c r="GL150" i="7"/>
  <c r="GE151" i="7"/>
  <c r="GE150" i="7"/>
  <c r="GE149" i="7"/>
  <c r="GE54" i="8"/>
  <c r="GE53" i="8"/>
  <c r="GE48" i="8"/>
  <c r="GE46" i="8"/>
  <c r="GE55" i="8"/>
  <c r="GE44" i="8"/>
  <c r="GE42" i="8"/>
  <c r="GE40" i="8"/>
  <c r="GE41" i="8"/>
  <c r="GE37" i="8"/>
  <c r="GE36" i="8"/>
  <c r="GE49" i="8"/>
  <c r="GE39" i="8"/>
  <c r="GE31" i="8"/>
  <c r="GE23" i="8"/>
  <c r="GE22" i="8"/>
  <c r="GE26" i="8"/>
  <c r="GE43" i="8"/>
  <c r="GE45" i="8"/>
  <c r="GE32" i="8"/>
  <c r="GE20" i="8"/>
  <c r="GE18" i="8"/>
  <c r="GE16" i="8"/>
  <c r="GE14" i="8"/>
  <c r="GE12" i="8"/>
  <c r="GE10" i="8"/>
  <c r="GE8" i="8"/>
  <c r="GE6" i="8"/>
  <c r="GE4" i="8"/>
  <c r="GE35" i="8"/>
  <c r="GE28" i="8"/>
  <c r="GE25" i="8"/>
  <c r="GE21" i="8"/>
  <c r="GE5" i="8"/>
  <c r="GE3" i="8"/>
  <c r="GE38" i="8"/>
  <c r="GE15" i="8"/>
  <c r="GE29" i="8"/>
  <c r="GE47" i="8"/>
  <c r="GE30" i="8"/>
  <c r="GE27" i="8"/>
  <c r="GE17" i="8"/>
  <c r="GE2" i="8"/>
  <c r="GE19" i="8"/>
  <c r="GE11" i="8"/>
  <c r="GE13" i="8"/>
  <c r="GE33" i="8"/>
  <c r="GE24" i="8"/>
  <c r="GE7" i="8"/>
  <c r="GE34" i="8"/>
  <c r="GE9" i="8"/>
  <c r="FV48" i="8"/>
  <c r="FV46" i="8"/>
  <c r="FV54" i="8"/>
  <c r="FV49" i="8"/>
  <c r="FV45" i="8"/>
  <c r="FV40" i="8"/>
  <c r="FV35" i="8"/>
  <c r="FV33" i="8"/>
  <c r="FV31" i="8"/>
  <c r="FV29" i="8"/>
  <c r="FV27" i="8"/>
  <c r="FV25" i="8"/>
  <c r="FV23" i="8"/>
  <c r="FV53" i="8"/>
  <c r="FV39" i="8"/>
  <c r="FV55" i="8"/>
  <c r="FV41" i="8"/>
  <c r="FV43" i="8"/>
  <c r="FV42" i="8"/>
  <c r="FV38" i="8"/>
  <c r="FV26" i="8"/>
  <c r="FV22" i="8"/>
  <c r="FV47" i="8"/>
  <c r="FV44" i="8"/>
  <c r="FV34" i="8"/>
  <c r="FV28" i="8"/>
  <c r="FV24" i="8"/>
  <c r="FV20" i="8"/>
  <c r="FV9" i="8"/>
  <c r="FV4" i="8"/>
  <c r="FV32" i="8"/>
  <c r="FV19" i="8"/>
  <c r="FV14" i="8"/>
  <c r="FV36" i="8"/>
  <c r="FV30" i="8"/>
  <c r="FV21" i="8"/>
  <c r="FV16" i="8"/>
  <c r="FV5" i="8"/>
  <c r="FV15" i="8"/>
  <c r="FV8" i="8"/>
  <c r="FV37" i="8"/>
  <c r="FV3" i="8"/>
  <c r="FV17" i="8"/>
  <c r="FV18" i="8"/>
  <c r="FV10" i="8"/>
  <c r="FV11" i="8"/>
  <c r="FV13" i="8"/>
  <c r="FV12" i="8"/>
  <c r="FV7" i="8"/>
  <c r="FV6" i="8"/>
  <c r="FV2" i="8"/>
  <c r="AH49" i="8"/>
  <c r="AH47" i="8"/>
  <c r="AH41" i="8"/>
  <c r="AH35" i="8"/>
  <c r="AH33" i="8"/>
  <c r="AH31" i="8"/>
  <c r="AH29" i="8"/>
  <c r="AH27" i="8"/>
  <c r="AH25" i="8"/>
  <c r="AH23" i="8"/>
  <c r="AH46" i="8"/>
  <c r="AH48" i="8"/>
  <c r="AH42" i="8"/>
  <c r="AH37" i="8"/>
  <c r="AH30" i="8"/>
  <c r="AH43" i="8"/>
  <c r="AH45" i="8"/>
  <c r="AH44" i="8"/>
  <c r="AH40" i="8"/>
  <c r="AH32" i="8"/>
  <c r="AH21" i="8"/>
  <c r="AH16" i="8"/>
  <c r="AH5" i="8"/>
  <c r="AH15" i="8"/>
  <c r="AH10" i="8"/>
  <c r="AH2" i="8"/>
  <c r="AH36" i="8"/>
  <c r="AH34" i="8"/>
  <c r="AH39" i="8"/>
  <c r="AH38" i="8"/>
  <c r="AH24" i="8"/>
  <c r="AH17" i="8"/>
  <c r="AH12" i="8"/>
  <c r="AH22" i="8"/>
  <c r="AH7" i="8"/>
  <c r="AH4" i="8"/>
  <c r="AH9" i="8"/>
  <c r="AH8" i="8"/>
  <c r="AH26" i="8"/>
  <c r="AH28" i="8"/>
  <c r="AH19" i="8"/>
  <c r="AH18" i="8"/>
  <c r="AH11" i="8"/>
  <c r="AH20" i="8"/>
  <c r="AH13" i="8"/>
  <c r="AH3" i="8"/>
  <c r="AH6" i="8"/>
  <c r="AH14" i="8"/>
  <c r="AO49" i="9"/>
  <c r="AO47" i="9"/>
  <c r="AO46" i="9"/>
  <c r="AO45" i="9"/>
  <c r="AO44" i="9"/>
  <c r="AO43" i="9"/>
  <c r="AO48" i="9"/>
  <c r="AO40" i="9"/>
  <c r="AO42" i="9"/>
  <c r="AO33" i="9"/>
  <c r="AO41" i="9"/>
  <c r="AO38" i="9"/>
  <c r="AO39" i="9"/>
  <c r="AO37" i="9"/>
  <c r="AO36" i="9"/>
  <c r="AO32" i="9"/>
  <c r="AO34" i="9"/>
  <c r="AO27" i="9"/>
  <c r="AO25" i="9"/>
  <c r="AO31" i="9"/>
  <c r="AO29" i="9"/>
  <c r="AO35" i="9"/>
  <c r="AO30" i="9"/>
  <c r="AO23" i="9"/>
  <c r="AO26" i="9"/>
  <c r="AO22" i="9"/>
  <c r="AO17" i="9"/>
  <c r="AO13" i="9"/>
  <c r="AO28" i="9"/>
  <c r="AO24" i="9"/>
  <c r="AO19" i="9"/>
  <c r="AO11" i="9"/>
  <c r="AO16" i="9"/>
  <c r="AO15" i="9"/>
  <c r="AO5" i="9"/>
  <c r="AO3" i="9"/>
  <c r="AO14" i="9"/>
  <c r="AO10" i="9"/>
  <c r="AO21" i="9"/>
  <c r="AO12" i="9"/>
  <c r="AO8" i="9"/>
  <c r="AO7" i="9"/>
  <c r="AO20" i="9"/>
  <c r="AO9" i="9"/>
  <c r="AO18" i="9"/>
  <c r="AO6" i="9"/>
  <c r="AO2" i="9"/>
  <c r="AO4" i="9"/>
  <c r="JD55" i="9"/>
  <c r="JD54" i="9"/>
  <c r="JD53" i="9"/>
  <c r="JD48" i="9"/>
  <c r="JD46" i="9"/>
  <c r="JD44" i="9"/>
  <c r="JD43" i="9"/>
  <c r="JD49" i="9"/>
  <c r="JD42" i="9"/>
  <c r="JD47" i="9"/>
  <c r="JD36" i="9"/>
  <c r="JD34" i="9"/>
  <c r="JD32" i="9"/>
  <c r="JD45" i="9"/>
  <c r="JD39" i="9"/>
  <c r="JD41" i="9"/>
  <c r="JD30" i="9"/>
  <c r="JD26" i="9"/>
  <c r="JD33" i="9"/>
  <c r="JD31" i="9"/>
  <c r="JD29" i="9"/>
  <c r="JD25" i="9"/>
  <c r="JD23" i="9"/>
  <c r="JD21" i="9"/>
  <c r="JD19" i="9"/>
  <c r="JD17" i="9"/>
  <c r="JD15" i="9"/>
  <c r="JD13" i="9"/>
  <c r="JD28" i="9"/>
  <c r="JD40" i="9"/>
  <c r="JD38" i="9"/>
  <c r="JD37" i="9"/>
  <c r="JD35" i="9"/>
  <c r="JD20" i="9"/>
  <c r="JD27" i="9"/>
  <c r="JD22" i="9"/>
  <c r="JD12" i="9"/>
  <c r="JD9" i="9"/>
  <c r="JD14" i="9"/>
  <c r="JD3" i="9"/>
  <c r="JD24" i="9"/>
  <c r="JD10" i="9"/>
  <c r="JD4" i="9"/>
  <c r="JD18" i="9"/>
  <c r="JD11" i="9"/>
  <c r="JD7" i="9"/>
  <c r="JD6" i="9"/>
  <c r="JD16" i="9"/>
  <c r="JD2" i="9"/>
  <c r="JD8" i="9"/>
  <c r="JD5" i="9"/>
  <c r="GK149" i="7"/>
  <c r="GK151" i="7"/>
  <c r="GK150" i="7"/>
  <c r="GL54" i="9"/>
  <c r="GL55" i="9"/>
  <c r="GL53" i="9"/>
  <c r="GL47" i="9"/>
  <c r="GL45" i="9"/>
  <c r="GL46" i="9"/>
  <c r="GL44" i="9"/>
  <c r="GL48" i="9"/>
  <c r="GL41" i="9"/>
  <c r="GL43" i="9"/>
  <c r="GL42" i="9"/>
  <c r="GL39" i="9"/>
  <c r="GL38" i="9"/>
  <c r="GL36" i="9"/>
  <c r="GL34" i="9"/>
  <c r="GL32" i="9"/>
  <c r="GL33" i="9"/>
  <c r="GL30" i="9"/>
  <c r="GL49" i="9"/>
  <c r="GL40" i="9"/>
  <c r="GL26" i="9"/>
  <c r="GL28" i="9"/>
  <c r="GL27" i="9"/>
  <c r="GL37" i="9"/>
  <c r="GL23" i="9"/>
  <c r="GL21" i="9"/>
  <c r="GL19" i="9"/>
  <c r="GL17" i="9"/>
  <c r="GL15" i="9"/>
  <c r="GL14" i="9"/>
  <c r="GL22" i="9"/>
  <c r="GL10" i="9"/>
  <c r="GL8" i="9"/>
  <c r="GL6" i="9"/>
  <c r="GL4" i="9"/>
  <c r="GL35" i="9"/>
  <c r="GL29" i="9"/>
  <c r="GL31" i="9"/>
  <c r="GL24" i="9"/>
  <c r="GL13" i="9"/>
  <c r="GL20" i="9"/>
  <c r="GL11" i="9"/>
  <c r="GL7" i="9"/>
  <c r="GL12" i="9"/>
  <c r="GL18" i="9"/>
  <c r="GL9" i="9"/>
  <c r="GL25" i="9"/>
  <c r="GL16" i="9"/>
  <c r="GL3" i="9"/>
  <c r="GL5" i="9"/>
  <c r="GL2" i="9"/>
  <c r="FF54" i="8"/>
  <c r="FF47" i="8"/>
  <c r="FF53" i="8"/>
  <c r="FF55" i="8"/>
  <c r="FF49" i="8"/>
  <c r="FF46" i="8"/>
  <c r="FF41" i="8"/>
  <c r="FF35" i="8"/>
  <c r="FF33" i="8"/>
  <c r="FF31" i="8"/>
  <c r="FF29" i="8"/>
  <c r="FF27" i="8"/>
  <c r="FF25" i="8"/>
  <c r="FF23" i="8"/>
  <c r="FF36" i="8"/>
  <c r="FF48" i="8"/>
  <c r="FF45" i="8"/>
  <c r="FF44" i="8"/>
  <c r="FF38" i="8"/>
  <c r="FF30" i="8"/>
  <c r="FF40" i="8"/>
  <c r="FF42" i="8"/>
  <c r="FF32" i="8"/>
  <c r="FF24" i="8"/>
  <c r="FF21" i="8"/>
  <c r="FF16" i="8"/>
  <c r="FF5" i="8"/>
  <c r="FF34" i="8"/>
  <c r="FF15" i="8"/>
  <c r="FF10" i="8"/>
  <c r="FF2" i="8"/>
  <c r="FF43" i="8"/>
  <c r="FF37" i="8"/>
  <c r="FF28" i="8"/>
  <c r="FF39" i="8"/>
  <c r="FF26" i="8"/>
  <c r="FF17" i="8"/>
  <c r="FF12" i="8"/>
  <c r="FF3" i="8"/>
  <c r="FF19" i="8"/>
  <c r="FF18" i="8"/>
  <c r="FF11" i="8"/>
  <c r="FF20" i="8"/>
  <c r="FF13" i="8"/>
  <c r="FF14" i="8"/>
  <c r="FF22" i="8"/>
  <c r="FF7" i="8"/>
  <c r="FF8" i="8"/>
  <c r="FF6" i="8"/>
  <c r="FF4" i="8"/>
  <c r="FF9" i="8"/>
  <c r="JU54" i="8"/>
  <c r="JU48" i="8"/>
  <c r="JU46" i="8"/>
  <c r="JU44" i="8"/>
  <c r="JU42" i="8"/>
  <c r="JU40" i="8"/>
  <c r="JU38" i="8"/>
  <c r="JU36" i="8"/>
  <c r="JU53" i="8"/>
  <c r="JU49" i="8"/>
  <c r="JU39" i="8"/>
  <c r="JU33" i="8"/>
  <c r="JU31" i="8"/>
  <c r="JU29" i="8"/>
  <c r="JU27" i="8"/>
  <c r="JU25" i="8"/>
  <c r="JU55" i="8"/>
  <c r="JU41" i="8"/>
  <c r="JU43" i="8"/>
  <c r="JU20" i="8"/>
  <c r="JU18" i="8"/>
  <c r="JU16" i="8"/>
  <c r="JU14" i="8"/>
  <c r="JU12" i="8"/>
  <c r="JU10" i="8"/>
  <c r="JU8" i="8"/>
  <c r="JU6" i="8"/>
  <c r="JU4" i="8"/>
  <c r="JU2" i="8"/>
  <c r="JU34" i="8"/>
  <c r="JU28" i="8"/>
  <c r="JU47" i="8"/>
  <c r="JU45" i="8"/>
  <c r="JU22" i="8"/>
  <c r="JU37" i="8"/>
  <c r="JU9" i="8"/>
  <c r="JU32" i="8"/>
  <c r="JU24" i="8"/>
  <c r="JU19" i="8"/>
  <c r="JU35" i="8"/>
  <c r="JU26" i="8"/>
  <c r="JU21" i="8"/>
  <c r="JU5" i="8"/>
  <c r="JU15" i="8"/>
  <c r="JU3" i="8"/>
  <c r="JU17" i="8"/>
  <c r="JU30" i="8"/>
  <c r="JU23" i="8"/>
  <c r="JU11" i="8"/>
  <c r="JU13" i="8"/>
  <c r="JU7" i="8"/>
  <c r="DI54" i="8"/>
  <c r="DI48" i="8"/>
  <c r="DI46" i="8"/>
  <c r="DI53" i="8"/>
  <c r="DI44" i="8"/>
  <c r="DI42" i="8"/>
  <c r="DI40" i="8"/>
  <c r="DI38" i="8"/>
  <c r="DI36" i="8"/>
  <c r="DI37" i="8"/>
  <c r="DI45" i="8"/>
  <c r="DI35" i="8"/>
  <c r="DI33" i="8"/>
  <c r="DI31" i="8"/>
  <c r="DI29" i="8"/>
  <c r="DI27" i="8"/>
  <c r="DI25" i="8"/>
  <c r="DI55" i="8"/>
  <c r="DI41" i="8"/>
  <c r="DI24" i="8"/>
  <c r="DI23" i="8"/>
  <c r="DI22" i="8"/>
  <c r="DI20" i="8"/>
  <c r="DI18" i="8"/>
  <c r="DI16" i="8"/>
  <c r="DI14" i="8"/>
  <c r="DI12" i="8"/>
  <c r="DI10" i="8"/>
  <c r="DI8" i="8"/>
  <c r="DI6" i="8"/>
  <c r="DI4" i="8"/>
  <c r="DI2" i="8"/>
  <c r="DI26" i="8"/>
  <c r="DI43" i="8"/>
  <c r="DI47" i="8"/>
  <c r="DI49" i="8"/>
  <c r="DI15" i="8"/>
  <c r="DI3" i="8"/>
  <c r="DI30" i="8"/>
  <c r="DI9" i="8"/>
  <c r="DI39" i="8"/>
  <c r="DI32" i="8"/>
  <c r="DI34" i="8"/>
  <c r="DI11" i="8"/>
  <c r="DI21" i="8"/>
  <c r="DI7" i="8"/>
  <c r="DI17" i="8"/>
  <c r="DI28" i="8"/>
  <c r="DI19" i="8"/>
  <c r="DI13" i="8"/>
  <c r="DI5" i="8"/>
  <c r="DG150" i="7"/>
  <c r="DG149" i="7"/>
  <c r="DG151" i="7"/>
  <c r="GI150" i="7"/>
  <c r="GI151" i="7"/>
  <c r="GI149" i="7"/>
  <c r="HP55" i="9"/>
  <c r="HP54" i="9"/>
  <c r="HP53" i="9"/>
  <c r="HP48" i="9"/>
  <c r="HP46" i="9"/>
  <c r="HP44" i="9"/>
  <c r="HP49" i="9"/>
  <c r="HP47" i="9"/>
  <c r="HP45" i="9"/>
  <c r="HP43" i="9"/>
  <c r="HP40" i="9"/>
  <c r="HP41" i="9"/>
  <c r="HP38" i="9"/>
  <c r="HP36" i="9"/>
  <c r="HP34" i="9"/>
  <c r="HP32" i="9"/>
  <c r="HP37" i="9"/>
  <c r="HP39" i="9"/>
  <c r="HP33" i="9"/>
  <c r="HP26" i="9"/>
  <c r="HP30" i="9"/>
  <c r="HP42" i="9"/>
  <c r="HP35" i="9"/>
  <c r="HP28" i="9"/>
  <c r="HP23" i="9"/>
  <c r="HP21" i="9"/>
  <c r="HP19" i="9"/>
  <c r="HP17" i="9"/>
  <c r="HP15" i="9"/>
  <c r="HP13" i="9"/>
  <c r="HP31" i="9"/>
  <c r="HP25" i="9"/>
  <c r="HP29" i="9"/>
  <c r="HP27" i="9"/>
  <c r="HP16" i="9"/>
  <c r="HP22" i="9"/>
  <c r="HP5" i="9"/>
  <c r="HP4" i="9"/>
  <c r="HP9" i="9"/>
  <c r="HP3" i="9"/>
  <c r="HP24" i="9"/>
  <c r="HP12" i="9"/>
  <c r="HP11" i="9"/>
  <c r="HP20" i="9"/>
  <c r="HP14" i="9"/>
  <c r="HP18" i="9"/>
  <c r="HP8" i="9"/>
  <c r="HP6" i="9"/>
  <c r="HP2" i="9"/>
  <c r="HP7" i="9"/>
  <c r="HP10" i="9"/>
  <c r="JI150" i="7"/>
  <c r="JI151" i="7"/>
  <c r="JI149" i="7"/>
  <c r="CG150" i="7"/>
  <c r="CG149" i="7"/>
  <c r="CG151" i="7"/>
  <c r="JC54" i="9"/>
  <c r="JC55" i="9"/>
  <c r="JC49" i="9"/>
  <c r="JC44" i="9"/>
  <c r="JC53" i="9"/>
  <c r="JC47" i="9"/>
  <c r="JC43" i="9"/>
  <c r="JC41" i="9"/>
  <c r="JC39" i="9"/>
  <c r="JC46" i="9"/>
  <c r="JC48" i="9"/>
  <c r="JC45" i="9"/>
  <c r="JC36" i="9"/>
  <c r="JC34" i="9"/>
  <c r="JC32" i="9"/>
  <c r="JC40" i="9"/>
  <c r="JC37" i="9"/>
  <c r="JC31" i="9"/>
  <c r="JC29" i="9"/>
  <c r="JC38" i="9"/>
  <c r="JC33" i="9"/>
  <c r="JC42" i="9"/>
  <c r="JC35" i="9"/>
  <c r="JC30" i="9"/>
  <c r="JC26" i="9"/>
  <c r="JC25" i="9"/>
  <c r="JC23" i="9"/>
  <c r="JC21" i="9"/>
  <c r="JC19" i="9"/>
  <c r="JC17" i="9"/>
  <c r="JC15" i="9"/>
  <c r="JC13" i="9"/>
  <c r="JC27" i="9"/>
  <c r="JC28" i="9"/>
  <c r="JC16" i="9"/>
  <c r="JC11" i="9"/>
  <c r="JC9" i="9"/>
  <c r="JC7" i="9"/>
  <c r="JC8" i="9"/>
  <c r="JC22" i="9"/>
  <c r="JC24" i="9"/>
  <c r="JC20" i="9"/>
  <c r="JC5" i="9"/>
  <c r="JC4" i="9"/>
  <c r="JC2" i="9"/>
  <c r="JC10" i="9"/>
  <c r="JC18" i="9"/>
  <c r="JC12" i="9"/>
  <c r="JC14" i="9"/>
  <c r="JC3" i="9"/>
  <c r="JC6" i="9"/>
  <c r="GY55" i="9"/>
  <c r="GY54" i="9"/>
  <c r="GY53" i="9"/>
  <c r="GY49" i="9"/>
  <c r="GY47" i="9"/>
  <c r="GY45" i="9"/>
  <c r="GY43" i="9"/>
  <c r="GY41" i="9"/>
  <c r="GY39" i="9"/>
  <c r="GY46" i="9"/>
  <c r="GY44" i="9"/>
  <c r="GY42" i="9"/>
  <c r="GY36" i="9"/>
  <c r="GY34" i="9"/>
  <c r="GY32" i="9"/>
  <c r="GY38" i="9"/>
  <c r="GY31" i="9"/>
  <c r="GY29" i="9"/>
  <c r="GY33" i="9"/>
  <c r="GY48" i="9"/>
  <c r="GY40" i="9"/>
  <c r="GY35" i="9"/>
  <c r="GY37" i="9"/>
  <c r="GY26" i="9"/>
  <c r="GY30" i="9"/>
  <c r="GY28" i="9"/>
  <c r="GY27" i="9"/>
  <c r="GY23" i="9"/>
  <c r="GY21" i="9"/>
  <c r="GY19" i="9"/>
  <c r="GY17" i="9"/>
  <c r="GY15" i="9"/>
  <c r="GY13" i="9"/>
  <c r="GY25" i="9"/>
  <c r="GY18" i="9"/>
  <c r="GY11" i="9"/>
  <c r="GY9" i="9"/>
  <c r="GY7" i="9"/>
  <c r="GY12" i="9"/>
  <c r="GY16" i="9"/>
  <c r="GY24" i="9"/>
  <c r="GY22" i="9"/>
  <c r="GY6" i="9"/>
  <c r="GY2" i="9"/>
  <c r="GY14" i="9"/>
  <c r="GY20" i="9"/>
  <c r="GY8" i="9"/>
  <c r="GY10" i="9"/>
  <c r="GY5" i="9"/>
  <c r="GY4" i="9"/>
  <c r="GY3" i="9"/>
  <c r="GQ54" i="9"/>
  <c r="GQ49" i="9"/>
  <c r="GQ55" i="9"/>
  <c r="GQ53" i="9"/>
  <c r="GQ48" i="9"/>
  <c r="GQ47" i="9"/>
  <c r="GQ43" i="9"/>
  <c r="GQ41" i="9"/>
  <c r="GQ39" i="9"/>
  <c r="GQ45" i="9"/>
  <c r="GQ46" i="9"/>
  <c r="GQ40" i="9"/>
  <c r="GQ36" i="9"/>
  <c r="GQ34" i="9"/>
  <c r="GQ32" i="9"/>
  <c r="GQ37" i="9"/>
  <c r="GQ31" i="9"/>
  <c r="GQ29" i="9"/>
  <c r="GQ44" i="9"/>
  <c r="GQ33" i="9"/>
  <c r="GQ42" i="9"/>
  <c r="GQ38" i="9"/>
  <c r="GQ35" i="9"/>
  <c r="GQ30" i="9"/>
  <c r="GQ26" i="9"/>
  <c r="GQ25" i="9"/>
  <c r="GQ23" i="9"/>
  <c r="GQ21" i="9"/>
  <c r="GQ19" i="9"/>
  <c r="GQ17" i="9"/>
  <c r="GQ15" i="9"/>
  <c r="GQ13" i="9"/>
  <c r="GQ27" i="9"/>
  <c r="GQ16" i="9"/>
  <c r="GQ11" i="9"/>
  <c r="GQ9" i="9"/>
  <c r="GQ7" i="9"/>
  <c r="GQ14" i="9"/>
  <c r="GQ8" i="9"/>
  <c r="GQ22" i="9"/>
  <c r="GQ18" i="9"/>
  <c r="GQ5" i="9"/>
  <c r="GQ4" i="9"/>
  <c r="GQ2" i="9"/>
  <c r="GQ12" i="9"/>
  <c r="GQ10" i="9"/>
  <c r="GQ28" i="9"/>
  <c r="GQ20" i="9"/>
  <c r="GQ24" i="9"/>
  <c r="GQ6" i="9"/>
  <c r="GQ3" i="9"/>
  <c r="GI54" i="9"/>
  <c r="GI55" i="9"/>
  <c r="GI53" i="9"/>
  <c r="GI49" i="9"/>
  <c r="GI48" i="9"/>
  <c r="GI47" i="9"/>
  <c r="GI43" i="9"/>
  <c r="GI41" i="9"/>
  <c r="GI39" i="9"/>
  <c r="GI46" i="9"/>
  <c r="GI45" i="9"/>
  <c r="GI44" i="9"/>
  <c r="GI38" i="9"/>
  <c r="GI36" i="9"/>
  <c r="GI34" i="9"/>
  <c r="GI32" i="9"/>
  <c r="GI35" i="9"/>
  <c r="GI31" i="9"/>
  <c r="GI29" i="9"/>
  <c r="GI26" i="9"/>
  <c r="GI30" i="9"/>
  <c r="GI28" i="9"/>
  <c r="GI23" i="9"/>
  <c r="GI21" i="9"/>
  <c r="GI19" i="9"/>
  <c r="GI17" i="9"/>
  <c r="GI15" i="9"/>
  <c r="GI13" i="9"/>
  <c r="GI42" i="9"/>
  <c r="GI33" i="9"/>
  <c r="GI40" i="9"/>
  <c r="GI37" i="9"/>
  <c r="GI25" i="9"/>
  <c r="GI27" i="9"/>
  <c r="GI11" i="9"/>
  <c r="GI9" i="9"/>
  <c r="GI7" i="9"/>
  <c r="GI24" i="9"/>
  <c r="GI18" i="9"/>
  <c r="GI20" i="9"/>
  <c r="GI12" i="9"/>
  <c r="GI8" i="9"/>
  <c r="GI2" i="9"/>
  <c r="GI4" i="9"/>
  <c r="GI6" i="9"/>
  <c r="GI22" i="9"/>
  <c r="GI14" i="9"/>
  <c r="GI16" i="9"/>
  <c r="GI5" i="9"/>
  <c r="GI3" i="9"/>
  <c r="GI10" i="9"/>
  <c r="EU55" i="8"/>
  <c r="EU53" i="8"/>
  <c r="EU46" i="8"/>
  <c r="EU47" i="8"/>
  <c r="EU54" i="8"/>
  <c r="EU45" i="8"/>
  <c r="EU43" i="8"/>
  <c r="EU41" i="8"/>
  <c r="EU39" i="8"/>
  <c r="EU40" i="8"/>
  <c r="EU36" i="8"/>
  <c r="EU49" i="8"/>
  <c r="EU38" i="8"/>
  <c r="EU35" i="8"/>
  <c r="EU30" i="8"/>
  <c r="EU25" i="8"/>
  <c r="EU42" i="8"/>
  <c r="EU44" i="8"/>
  <c r="EU48" i="8"/>
  <c r="EU31" i="8"/>
  <c r="EU21" i="8"/>
  <c r="EU19" i="8"/>
  <c r="EU17" i="8"/>
  <c r="EU15" i="8"/>
  <c r="EU13" i="8"/>
  <c r="EU11" i="8"/>
  <c r="EU9" i="8"/>
  <c r="EU7" i="8"/>
  <c r="EU5" i="8"/>
  <c r="EU20" i="8"/>
  <c r="EU4" i="8"/>
  <c r="EU2" i="8"/>
  <c r="EU28" i="8"/>
  <c r="EU23" i="8"/>
  <c r="EU14" i="8"/>
  <c r="EU33" i="8"/>
  <c r="EU32" i="8"/>
  <c r="EU29" i="8"/>
  <c r="EU34" i="8"/>
  <c r="EU37" i="8"/>
  <c r="EU27" i="8"/>
  <c r="EU24" i="8"/>
  <c r="EU16" i="8"/>
  <c r="EU26" i="8"/>
  <c r="EU6" i="8"/>
  <c r="EU22" i="8"/>
  <c r="EU8" i="8"/>
  <c r="EU18" i="8"/>
  <c r="EU10" i="8"/>
  <c r="EU3" i="8"/>
  <c r="EU12" i="8"/>
  <c r="EM55" i="8"/>
  <c r="EM53" i="8"/>
  <c r="EM48" i="8"/>
  <c r="EM45" i="8"/>
  <c r="EM43" i="8"/>
  <c r="EM41" i="8"/>
  <c r="EM39" i="8"/>
  <c r="EM54" i="8"/>
  <c r="EM38" i="8"/>
  <c r="EM33" i="8"/>
  <c r="EM46" i="8"/>
  <c r="EM28" i="8"/>
  <c r="EM40" i="8"/>
  <c r="EM47" i="8"/>
  <c r="EM42" i="8"/>
  <c r="EM49" i="8"/>
  <c r="EM24" i="8"/>
  <c r="EM23" i="8"/>
  <c r="EM21" i="8"/>
  <c r="EM19" i="8"/>
  <c r="EM17" i="8"/>
  <c r="EM15" i="8"/>
  <c r="EM13" i="8"/>
  <c r="EM11" i="8"/>
  <c r="EM9" i="8"/>
  <c r="EM7" i="8"/>
  <c r="EM5" i="8"/>
  <c r="EM18" i="8"/>
  <c r="EM37" i="8"/>
  <c r="EM34" i="8"/>
  <c r="EM12" i="8"/>
  <c r="EM35" i="8"/>
  <c r="EM30" i="8"/>
  <c r="EM36" i="8"/>
  <c r="EM44" i="8"/>
  <c r="EM31" i="8"/>
  <c r="EM32" i="8"/>
  <c r="EM14" i="8"/>
  <c r="EM2" i="8"/>
  <c r="EM10" i="8"/>
  <c r="EM3" i="8"/>
  <c r="EM29" i="8"/>
  <c r="EM26" i="8"/>
  <c r="EM20" i="8"/>
  <c r="EM22" i="8"/>
  <c r="EM25" i="8"/>
  <c r="EM16" i="8"/>
  <c r="EM8" i="8"/>
  <c r="EM4" i="8"/>
  <c r="EM27" i="8"/>
  <c r="EM6" i="8"/>
  <c r="DG55" i="8"/>
  <c r="DG53" i="8"/>
  <c r="DG48" i="8"/>
  <c r="DG45" i="8"/>
  <c r="DG43" i="8"/>
  <c r="DG41" i="8"/>
  <c r="DG39" i="8"/>
  <c r="DG49" i="8"/>
  <c r="DG40" i="8"/>
  <c r="DG54" i="8"/>
  <c r="DG42" i="8"/>
  <c r="DG35" i="8"/>
  <c r="DG28" i="8"/>
  <c r="DG44" i="8"/>
  <c r="DG46" i="8"/>
  <c r="DG47" i="8"/>
  <c r="DG32" i="8"/>
  <c r="DG21" i="8"/>
  <c r="DG19" i="8"/>
  <c r="DG17" i="8"/>
  <c r="DG15" i="8"/>
  <c r="DG13" i="8"/>
  <c r="DG11" i="8"/>
  <c r="DG9" i="8"/>
  <c r="DG7" i="8"/>
  <c r="DG5" i="8"/>
  <c r="DG10" i="8"/>
  <c r="DG27" i="8"/>
  <c r="DG20" i="8"/>
  <c r="DG4" i="8"/>
  <c r="DG37" i="8"/>
  <c r="DG31" i="8"/>
  <c r="DG30" i="8"/>
  <c r="DG33" i="8"/>
  <c r="DG34" i="8"/>
  <c r="DG29" i="8"/>
  <c r="DG26" i="8"/>
  <c r="DG23" i="8"/>
  <c r="DG22" i="8"/>
  <c r="DG6" i="8"/>
  <c r="DG2" i="8"/>
  <c r="DG14" i="8"/>
  <c r="DG3" i="8"/>
  <c r="DG38" i="8"/>
  <c r="DG8" i="8"/>
  <c r="DG16" i="8"/>
  <c r="DG24" i="8"/>
  <c r="DG18" i="8"/>
  <c r="DG36" i="8"/>
  <c r="DG25" i="8"/>
  <c r="DG12" i="8"/>
  <c r="DG54" i="9"/>
  <c r="DG55" i="9"/>
  <c r="DG53" i="9"/>
  <c r="DG46" i="9"/>
  <c r="DG49" i="9"/>
  <c r="DG45" i="9"/>
  <c r="DG43" i="9"/>
  <c r="DG41" i="9"/>
  <c r="DG47" i="9"/>
  <c r="DG42" i="9"/>
  <c r="DG40" i="9"/>
  <c r="DG39" i="9"/>
  <c r="DG36" i="9"/>
  <c r="DG34" i="9"/>
  <c r="DG32" i="9"/>
  <c r="DG31" i="9"/>
  <c r="DG29" i="9"/>
  <c r="DG44" i="9"/>
  <c r="DG28" i="9"/>
  <c r="DG26" i="9"/>
  <c r="DG37" i="9"/>
  <c r="DG48" i="9"/>
  <c r="DG23" i="9"/>
  <c r="DG21" i="9"/>
  <c r="DG19" i="9"/>
  <c r="DG17" i="9"/>
  <c r="DG15" i="9"/>
  <c r="DG13" i="9"/>
  <c r="DG35" i="9"/>
  <c r="DG33" i="9"/>
  <c r="DG27" i="9"/>
  <c r="DG11" i="9"/>
  <c r="DG9" i="9"/>
  <c r="DG30" i="9"/>
  <c r="DG20" i="9"/>
  <c r="DG12" i="9"/>
  <c r="DG38" i="9"/>
  <c r="DG22" i="9"/>
  <c r="DG18" i="9"/>
  <c r="DG14" i="9"/>
  <c r="DG25" i="9"/>
  <c r="DG24" i="9"/>
  <c r="DG16" i="9"/>
  <c r="DG10" i="9"/>
  <c r="DG2" i="9"/>
  <c r="DG5" i="9"/>
  <c r="DG7" i="9"/>
  <c r="DG3" i="9"/>
  <c r="DG6" i="9"/>
  <c r="DG8" i="9"/>
  <c r="DG4" i="9"/>
  <c r="CI55" i="8"/>
  <c r="CI53" i="8"/>
  <c r="CI46" i="8"/>
  <c r="CI47" i="8"/>
  <c r="CI54" i="8"/>
  <c r="CI45" i="8"/>
  <c r="CI43" i="8"/>
  <c r="CI41" i="8"/>
  <c r="CI39" i="8"/>
  <c r="CI48" i="8"/>
  <c r="CI40" i="8"/>
  <c r="CI36" i="8"/>
  <c r="CI38" i="8"/>
  <c r="CI37" i="8"/>
  <c r="CI35" i="8"/>
  <c r="CI30" i="8"/>
  <c r="CI25" i="8"/>
  <c r="CI42" i="8"/>
  <c r="CI44" i="8"/>
  <c r="CI49" i="8"/>
  <c r="CI31" i="8"/>
  <c r="CI21" i="8"/>
  <c r="CI19" i="8"/>
  <c r="CI17" i="8"/>
  <c r="CI15" i="8"/>
  <c r="CI13" i="8"/>
  <c r="CI11" i="8"/>
  <c r="CI9" i="8"/>
  <c r="CI7" i="8"/>
  <c r="CI5" i="8"/>
  <c r="CI20" i="8"/>
  <c r="CI4" i="8"/>
  <c r="CI2" i="8"/>
  <c r="CI24" i="8"/>
  <c r="CI14" i="8"/>
  <c r="CI29" i="8"/>
  <c r="CI33" i="8"/>
  <c r="CI32" i="8"/>
  <c r="CI34" i="8"/>
  <c r="CI16" i="8"/>
  <c r="CI27" i="8"/>
  <c r="CI12" i="8"/>
  <c r="CI26" i="8"/>
  <c r="CI22" i="8"/>
  <c r="CI8" i="8"/>
  <c r="CI28" i="8"/>
  <c r="CI23" i="8"/>
  <c r="CI18" i="8"/>
  <c r="CI10" i="8"/>
  <c r="CI3" i="8"/>
  <c r="CI6" i="8"/>
  <c r="AU49" i="9"/>
  <c r="AU46" i="9"/>
  <c r="AU48" i="9"/>
  <c r="AU45" i="9"/>
  <c r="AU47" i="9"/>
  <c r="AU43" i="9"/>
  <c r="AU41" i="9"/>
  <c r="AU42" i="9"/>
  <c r="AU40" i="9"/>
  <c r="AU39" i="9"/>
  <c r="AU44" i="9"/>
  <c r="AU38" i="9"/>
  <c r="AU36" i="9"/>
  <c r="AU34" i="9"/>
  <c r="AU32" i="9"/>
  <c r="AU31" i="9"/>
  <c r="AU29" i="9"/>
  <c r="AU28" i="9"/>
  <c r="AU26" i="9"/>
  <c r="AU37" i="9"/>
  <c r="AU23" i="9"/>
  <c r="AU21" i="9"/>
  <c r="AU19" i="9"/>
  <c r="AU17" i="9"/>
  <c r="AU15" i="9"/>
  <c r="AU13" i="9"/>
  <c r="AU35" i="9"/>
  <c r="AU33" i="9"/>
  <c r="AU11" i="9"/>
  <c r="AU9" i="9"/>
  <c r="AU27" i="9"/>
  <c r="AU20" i="9"/>
  <c r="AU30" i="9"/>
  <c r="AU22" i="9"/>
  <c r="AU25" i="9"/>
  <c r="AU18" i="9"/>
  <c r="AU10" i="9"/>
  <c r="AU4" i="9"/>
  <c r="AU2" i="9"/>
  <c r="AU8" i="9"/>
  <c r="AU16" i="9"/>
  <c r="AU3" i="9"/>
  <c r="AU24" i="9"/>
  <c r="AU12" i="9"/>
  <c r="AU5" i="9"/>
  <c r="AU14" i="9"/>
  <c r="AU7" i="9"/>
  <c r="AU6" i="9"/>
  <c r="AM45" i="8"/>
  <c r="AM43" i="8"/>
  <c r="AM41" i="8"/>
  <c r="AM39" i="8"/>
  <c r="AM44" i="8"/>
  <c r="AM37" i="8"/>
  <c r="AM40" i="8"/>
  <c r="AM38" i="8"/>
  <c r="AM34" i="8"/>
  <c r="AM33" i="8"/>
  <c r="AM29" i="8"/>
  <c r="AM26" i="8"/>
  <c r="AM24" i="8"/>
  <c r="AM23" i="8"/>
  <c r="AM49" i="8"/>
  <c r="AM47" i="8"/>
  <c r="AM46" i="8"/>
  <c r="AM42" i="8"/>
  <c r="AM35" i="8"/>
  <c r="AM21" i="8"/>
  <c r="AM19" i="8"/>
  <c r="AM17" i="8"/>
  <c r="AM15" i="8"/>
  <c r="AM13" i="8"/>
  <c r="AM11" i="8"/>
  <c r="AM9" i="8"/>
  <c r="AM7" i="8"/>
  <c r="AM5" i="8"/>
  <c r="AM48" i="8"/>
  <c r="AM8" i="8"/>
  <c r="AM3" i="8"/>
  <c r="AM18" i="8"/>
  <c r="AM30" i="8"/>
  <c r="AM31" i="8"/>
  <c r="AM28" i="8"/>
  <c r="AM20" i="8"/>
  <c r="AM32" i="8"/>
  <c r="AM36" i="8"/>
  <c r="AM10" i="8"/>
  <c r="AM12" i="8"/>
  <c r="AM27" i="8"/>
  <c r="AM25" i="8"/>
  <c r="AM22" i="8"/>
  <c r="AM14" i="8"/>
  <c r="AM6" i="8"/>
  <c r="AM16" i="8"/>
  <c r="AM2" i="8"/>
  <c r="AM4" i="8"/>
  <c r="AM48" i="9"/>
  <c r="AM47" i="9"/>
  <c r="AM46" i="9"/>
  <c r="AM43" i="9"/>
  <c r="AM41" i="9"/>
  <c r="AM49" i="9"/>
  <c r="AM44" i="9"/>
  <c r="AM39" i="9"/>
  <c r="AM45" i="9"/>
  <c r="AM40" i="9"/>
  <c r="AM38" i="9"/>
  <c r="AM36" i="9"/>
  <c r="AM34" i="9"/>
  <c r="AM32" i="9"/>
  <c r="AM31" i="9"/>
  <c r="AM29" i="9"/>
  <c r="AM42" i="9"/>
  <c r="AM35" i="9"/>
  <c r="AM30" i="9"/>
  <c r="AM28" i="9"/>
  <c r="AM26" i="9"/>
  <c r="AM33" i="9"/>
  <c r="AM23" i="9"/>
  <c r="AM21" i="9"/>
  <c r="AM19" i="9"/>
  <c r="AM17" i="9"/>
  <c r="AM15" i="9"/>
  <c r="AM13" i="9"/>
  <c r="AM37" i="9"/>
  <c r="AM24" i="9"/>
  <c r="AM11" i="9"/>
  <c r="AM9" i="9"/>
  <c r="AM18" i="9"/>
  <c r="AM27" i="9"/>
  <c r="AM25" i="9"/>
  <c r="AM20" i="9"/>
  <c r="AM22" i="9"/>
  <c r="AM12" i="9"/>
  <c r="AM8" i="9"/>
  <c r="AM7" i="9"/>
  <c r="AM6" i="9"/>
  <c r="AM4" i="9"/>
  <c r="AM2" i="9"/>
  <c r="AM14" i="9"/>
  <c r="AM16" i="9"/>
  <c r="AM3" i="9"/>
  <c r="AM10" i="9"/>
  <c r="AM5" i="9"/>
  <c r="JJ47" i="8"/>
  <c r="JJ46" i="8"/>
  <c r="JJ45" i="8"/>
  <c r="JJ53" i="8"/>
  <c r="JJ49" i="8"/>
  <c r="JJ44" i="8"/>
  <c r="JJ39" i="8"/>
  <c r="JJ34" i="8"/>
  <c r="JJ32" i="8"/>
  <c r="JJ30" i="8"/>
  <c r="JJ28" i="8"/>
  <c r="JJ26" i="8"/>
  <c r="JJ24" i="8"/>
  <c r="JJ22" i="8"/>
  <c r="JJ38" i="8"/>
  <c r="JJ35" i="8"/>
  <c r="JJ54" i="8"/>
  <c r="JJ40" i="8"/>
  <c r="JJ25" i="8"/>
  <c r="JJ33" i="8"/>
  <c r="JJ48" i="8"/>
  <c r="JJ42" i="8"/>
  <c r="JJ41" i="8"/>
  <c r="JJ55" i="8"/>
  <c r="JJ43" i="8"/>
  <c r="JJ27" i="8"/>
  <c r="JJ23" i="8"/>
  <c r="JJ19" i="8"/>
  <c r="JJ8" i="8"/>
  <c r="JJ18" i="8"/>
  <c r="JJ13" i="8"/>
  <c r="JJ37" i="8"/>
  <c r="JJ31" i="8"/>
  <c r="JJ29" i="8"/>
  <c r="JJ20" i="8"/>
  <c r="JJ15" i="8"/>
  <c r="JJ4" i="8"/>
  <c r="JJ36" i="8"/>
  <c r="JJ12" i="8"/>
  <c r="JJ11" i="8"/>
  <c r="JJ6" i="8"/>
  <c r="JJ21" i="8"/>
  <c r="JJ14" i="8"/>
  <c r="JJ7" i="8"/>
  <c r="JJ16" i="8"/>
  <c r="JJ17" i="8"/>
  <c r="JJ9" i="8"/>
  <c r="JJ3" i="8"/>
  <c r="JJ2" i="8"/>
  <c r="JJ10" i="8"/>
  <c r="JJ5" i="8"/>
  <c r="IL55" i="9"/>
  <c r="IL53" i="9"/>
  <c r="IL54" i="9"/>
  <c r="IL49" i="9"/>
  <c r="IL48" i="9"/>
  <c r="IL46" i="9"/>
  <c r="IL47" i="9"/>
  <c r="IL43" i="9"/>
  <c r="IL38" i="9"/>
  <c r="IL41" i="9"/>
  <c r="IL37" i="9"/>
  <c r="IL35" i="9"/>
  <c r="IL33" i="9"/>
  <c r="IL42" i="9"/>
  <c r="IL40" i="9"/>
  <c r="IL39" i="9"/>
  <c r="IL45" i="9"/>
  <c r="IL32" i="9"/>
  <c r="IL31" i="9"/>
  <c r="IL29" i="9"/>
  <c r="IL34" i="9"/>
  <c r="IL30" i="9"/>
  <c r="IL27" i="9"/>
  <c r="IL25" i="9"/>
  <c r="IL44" i="9"/>
  <c r="IL26" i="9"/>
  <c r="IL36" i="9"/>
  <c r="IL24" i="9"/>
  <c r="IL22" i="9"/>
  <c r="IL20" i="9"/>
  <c r="IL18" i="9"/>
  <c r="IL16" i="9"/>
  <c r="IL17" i="9"/>
  <c r="IL11" i="9"/>
  <c r="IL9" i="9"/>
  <c r="IL7" i="9"/>
  <c r="IL5" i="9"/>
  <c r="IL28" i="9"/>
  <c r="IL13" i="9"/>
  <c r="IL23" i="9"/>
  <c r="IL14" i="9"/>
  <c r="IL19" i="9"/>
  <c r="IL12" i="9"/>
  <c r="IL21" i="9"/>
  <c r="IL10" i="9"/>
  <c r="IL15" i="9"/>
  <c r="IL6" i="9"/>
  <c r="IL2" i="9"/>
  <c r="IL3" i="9"/>
  <c r="IL8" i="9"/>
  <c r="IL4" i="9"/>
  <c r="HV55" i="9"/>
  <c r="HV53" i="9"/>
  <c r="HV54" i="9"/>
  <c r="HV49" i="9"/>
  <c r="HV48" i="9"/>
  <c r="HV46" i="9"/>
  <c r="HV45" i="9"/>
  <c r="HV44" i="9"/>
  <c r="HV43" i="9"/>
  <c r="HV42" i="9"/>
  <c r="HV41" i="9"/>
  <c r="HV40" i="9"/>
  <c r="HV39" i="9"/>
  <c r="HV47" i="9"/>
  <c r="HV37" i="9"/>
  <c r="HV35" i="9"/>
  <c r="HV33" i="9"/>
  <c r="HV34" i="9"/>
  <c r="HV31" i="9"/>
  <c r="HV29" i="9"/>
  <c r="HV28" i="9"/>
  <c r="HV38" i="9"/>
  <c r="HV32" i="9"/>
  <c r="HV36" i="9"/>
  <c r="HV27" i="9"/>
  <c r="HV25" i="9"/>
  <c r="HV24" i="9"/>
  <c r="HV22" i="9"/>
  <c r="HV20" i="9"/>
  <c r="HV18" i="9"/>
  <c r="HV16" i="9"/>
  <c r="HV12" i="9"/>
  <c r="HV23" i="9"/>
  <c r="HV11" i="9"/>
  <c r="HV9" i="9"/>
  <c r="HV7" i="9"/>
  <c r="HV5" i="9"/>
  <c r="HV30" i="9"/>
  <c r="HV14" i="9"/>
  <c r="HV8" i="9"/>
  <c r="HV19" i="9"/>
  <c r="HV15" i="9"/>
  <c r="HV26" i="9"/>
  <c r="HV2" i="9"/>
  <c r="HV13" i="9"/>
  <c r="HV17" i="9"/>
  <c r="HV6" i="9"/>
  <c r="HV4" i="9"/>
  <c r="HV3" i="9"/>
  <c r="HV21" i="9"/>
  <c r="HV10" i="9"/>
  <c r="HF55" i="9"/>
  <c r="HF53" i="9"/>
  <c r="HF54" i="9"/>
  <c r="HF49" i="9"/>
  <c r="HF48" i="9"/>
  <c r="HF46" i="9"/>
  <c r="HF45" i="9"/>
  <c r="HF43" i="9"/>
  <c r="HF44" i="9"/>
  <c r="HF42" i="9"/>
  <c r="HF41" i="9"/>
  <c r="HF38" i="9"/>
  <c r="HF40" i="9"/>
  <c r="HF37" i="9"/>
  <c r="HF35" i="9"/>
  <c r="HF33" i="9"/>
  <c r="HF31" i="9"/>
  <c r="HF29" i="9"/>
  <c r="HF32" i="9"/>
  <c r="HF34" i="9"/>
  <c r="HF30" i="9"/>
  <c r="HF28" i="9"/>
  <c r="HF27" i="9"/>
  <c r="HF25" i="9"/>
  <c r="HF39" i="9"/>
  <c r="HF47" i="9"/>
  <c r="HF36" i="9"/>
  <c r="HF24" i="9"/>
  <c r="HF22" i="9"/>
  <c r="HF20" i="9"/>
  <c r="HF18" i="9"/>
  <c r="HF16" i="9"/>
  <c r="HF19" i="9"/>
  <c r="HF11" i="9"/>
  <c r="HF9" i="9"/>
  <c r="HF7" i="9"/>
  <c r="HF5" i="9"/>
  <c r="HF26" i="9"/>
  <c r="HF21" i="9"/>
  <c r="HF13" i="9"/>
  <c r="HF14" i="9"/>
  <c r="HF6" i="9"/>
  <c r="HF4" i="9"/>
  <c r="HF17" i="9"/>
  <c r="HF10" i="9"/>
  <c r="HF3" i="9"/>
  <c r="HF23" i="9"/>
  <c r="HF15" i="9"/>
  <c r="HF8" i="9"/>
  <c r="HF2" i="9"/>
  <c r="HF12" i="9"/>
  <c r="FJ48" i="8"/>
  <c r="FJ47" i="8"/>
  <c r="FJ55" i="8"/>
  <c r="FJ45" i="8"/>
  <c r="FJ34" i="8"/>
  <c r="FJ32" i="8"/>
  <c r="FJ30" i="8"/>
  <c r="FJ28" i="8"/>
  <c r="FJ26" i="8"/>
  <c r="FJ24" i="8"/>
  <c r="FJ44" i="8"/>
  <c r="FJ39" i="8"/>
  <c r="FJ37" i="8"/>
  <c r="FJ53" i="8"/>
  <c r="FJ41" i="8"/>
  <c r="FJ36" i="8"/>
  <c r="FJ46" i="8"/>
  <c r="FJ40" i="8"/>
  <c r="FJ42" i="8"/>
  <c r="FJ43" i="8"/>
  <c r="FJ25" i="8"/>
  <c r="FJ23" i="8"/>
  <c r="FJ14" i="8"/>
  <c r="FJ9" i="8"/>
  <c r="FJ49" i="8"/>
  <c r="FJ35" i="8"/>
  <c r="FJ19" i="8"/>
  <c r="FJ8" i="8"/>
  <c r="FJ3" i="8"/>
  <c r="FJ54" i="8"/>
  <c r="FJ29" i="8"/>
  <c r="FJ31" i="8"/>
  <c r="FJ33" i="8"/>
  <c r="FJ21" i="8"/>
  <c r="FJ10" i="8"/>
  <c r="FJ5" i="8"/>
  <c r="FJ27" i="8"/>
  <c r="FJ12" i="8"/>
  <c r="FJ11" i="8"/>
  <c r="FJ4" i="8"/>
  <c r="FJ20" i="8"/>
  <c r="FJ13" i="8"/>
  <c r="FJ6" i="8"/>
  <c r="FJ22" i="8"/>
  <c r="FJ7" i="8"/>
  <c r="FJ15" i="8"/>
  <c r="FJ16" i="8"/>
  <c r="FJ18" i="8"/>
  <c r="FJ38" i="8"/>
  <c r="FJ17" i="8"/>
  <c r="FJ2" i="8"/>
  <c r="FJ55" i="9"/>
  <c r="FJ54" i="9"/>
  <c r="FJ49" i="9"/>
  <c r="FJ48" i="9"/>
  <c r="FJ46" i="9"/>
  <c r="FJ47" i="9"/>
  <c r="FJ43" i="9"/>
  <c r="FJ42" i="9"/>
  <c r="FJ41" i="9"/>
  <c r="FJ44" i="9"/>
  <c r="FJ40" i="9"/>
  <c r="FJ39" i="9"/>
  <c r="FJ53" i="9"/>
  <c r="FJ45" i="9"/>
  <c r="FJ37" i="9"/>
  <c r="FJ35" i="9"/>
  <c r="FJ33" i="9"/>
  <c r="FJ34" i="9"/>
  <c r="FJ31" i="9"/>
  <c r="FJ29" i="9"/>
  <c r="FJ27" i="9"/>
  <c r="FJ25" i="9"/>
  <c r="FJ28" i="9"/>
  <c r="FJ36" i="9"/>
  <c r="FJ38" i="9"/>
  <c r="FJ24" i="9"/>
  <c r="FJ22" i="9"/>
  <c r="FJ20" i="9"/>
  <c r="FJ18" i="9"/>
  <c r="FJ16" i="9"/>
  <c r="FJ30" i="9"/>
  <c r="FJ26" i="9"/>
  <c r="FJ12" i="9"/>
  <c r="FJ23" i="9"/>
  <c r="FJ11" i="9"/>
  <c r="FJ9" i="9"/>
  <c r="FJ7" i="9"/>
  <c r="FJ5" i="9"/>
  <c r="FJ32" i="9"/>
  <c r="FJ14" i="9"/>
  <c r="FJ17" i="9"/>
  <c r="FJ8" i="9"/>
  <c r="FJ19" i="9"/>
  <c r="FJ21" i="9"/>
  <c r="FJ15" i="9"/>
  <c r="FJ2" i="9"/>
  <c r="FJ13" i="9"/>
  <c r="FJ10" i="9"/>
  <c r="FJ6" i="9"/>
  <c r="FJ4" i="9"/>
  <c r="FJ3" i="9"/>
  <c r="DF54" i="8"/>
  <c r="DF47" i="8"/>
  <c r="DF49" i="8"/>
  <c r="DF34" i="8"/>
  <c r="DF32" i="8"/>
  <c r="DF30" i="8"/>
  <c r="DF28" i="8"/>
  <c r="DF26" i="8"/>
  <c r="DF24" i="8"/>
  <c r="DF41" i="8"/>
  <c r="DF55" i="8"/>
  <c r="DF43" i="8"/>
  <c r="DF38" i="8"/>
  <c r="DF31" i="8"/>
  <c r="DF25" i="8"/>
  <c r="DF53" i="8"/>
  <c r="DF48" i="8"/>
  <c r="DF42" i="8"/>
  <c r="DF44" i="8"/>
  <c r="DF46" i="8"/>
  <c r="DF45" i="8"/>
  <c r="DF27" i="8"/>
  <c r="DF36" i="8"/>
  <c r="DF16" i="8"/>
  <c r="DF11" i="8"/>
  <c r="DF21" i="8"/>
  <c r="DF10" i="8"/>
  <c r="DF5" i="8"/>
  <c r="DF37" i="8"/>
  <c r="DF39" i="8"/>
  <c r="DF33" i="8"/>
  <c r="DF40" i="8"/>
  <c r="DF35" i="8"/>
  <c r="DF12" i="8"/>
  <c r="DF7" i="8"/>
  <c r="DF14" i="8"/>
  <c r="DF13" i="8"/>
  <c r="DF6" i="8"/>
  <c r="DF3" i="8"/>
  <c r="DF22" i="8"/>
  <c r="DF15" i="8"/>
  <c r="DF8" i="8"/>
  <c r="DF9" i="8"/>
  <c r="DF17" i="8"/>
  <c r="DF23" i="8"/>
  <c r="DF18" i="8"/>
  <c r="DF4" i="8"/>
  <c r="DF2" i="8"/>
  <c r="DF20" i="8"/>
  <c r="DF29" i="8"/>
  <c r="DF19" i="8"/>
  <c r="CP149" i="7"/>
  <c r="CP151" i="7"/>
  <c r="CP150" i="7"/>
  <c r="AD48" i="8"/>
  <c r="AD43" i="8"/>
  <c r="AD34" i="8"/>
  <c r="AD32" i="8"/>
  <c r="AD30" i="8"/>
  <c r="AD28" i="8"/>
  <c r="AD26" i="8"/>
  <c r="AD24" i="8"/>
  <c r="AD42" i="8"/>
  <c r="AD38" i="8"/>
  <c r="AD49" i="8"/>
  <c r="AD44" i="8"/>
  <c r="AD39" i="8"/>
  <c r="AD46" i="8"/>
  <c r="AD41" i="8"/>
  <c r="AD36" i="8"/>
  <c r="AD29" i="8"/>
  <c r="AD23" i="8"/>
  <c r="AD45" i="8"/>
  <c r="AD12" i="8"/>
  <c r="AD7" i="8"/>
  <c r="AD31" i="8"/>
  <c r="AD25" i="8"/>
  <c r="AD22" i="8"/>
  <c r="AD17" i="8"/>
  <c r="AD6" i="8"/>
  <c r="AD4" i="8"/>
  <c r="AD40" i="8"/>
  <c r="AD37" i="8"/>
  <c r="AD47" i="8"/>
  <c r="AD33" i="8"/>
  <c r="AD35" i="8"/>
  <c r="AD27" i="8"/>
  <c r="AD19" i="8"/>
  <c r="AD8" i="8"/>
  <c r="AD21" i="8"/>
  <c r="AD13" i="8"/>
  <c r="AD14" i="8"/>
  <c r="AD16" i="8"/>
  <c r="AD15" i="8"/>
  <c r="AD10" i="8"/>
  <c r="AD9" i="8"/>
  <c r="AD18" i="8"/>
  <c r="AD11" i="8"/>
  <c r="AD5" i="8"/>
  <c r="AD20" i="8"/>
  <c r="AD3" i="8"/>
  <c r="AD2" i="8"/>
  <c r="H48" i="8"/>
  <c r="H44" i="8"/>
  <c r="H42" i="8"/>
  <c r="H40" i="8"/>
  <c r="H38" i="8"/>
  <c r="H49" i="8"/>
  <c r="H47" i="8"/>
  <c r="H41" i="8"/>
  <c r="H43" i="8"/>
  <c r="H34" i="8"/>
  <c r="H32" i="8"/>
  <c r="H46" i="8"/>
  <c r="H29" i="8"/>
  <c r="H26" i="8"/>
  <c r="H35" i="8"/>
  <c r="H22" i="8"/>
  <c r="H20" i="8"/>
  <c r="H18" i="8"/>
  <c r="H16" i="8"/>
  <c r="H14" i="8"/>
  <c r="H12" i="8"/>
  <c r="H10" i="8"/>
  <c r="H8" i="8"/>
  <c r="H6" i="8"/>
  <c r="H4" i="8"/>
  <c r="H2" i="8"/>
  <c r="H45" i="8"/>
  <c r="H28" i="8"/>
  <c r="H27" i="8"/>
  <c r="H11" i="8"/>
  <c r="H37" i="8"/>
  <c r="H21" i="8"/>
  <c r="H5" i="8"/>
  <c r="H31" i="8"/>
  <c r="H30" i="8"/>
  <c r="H36" i="8"/>
  <c r="H33" i="8"/>
  <c r="H39" i="8"/>
  <c r="H7" i="8"/>
  <c r="H24" i="8"/>
  <c r="H23" i="8"/>
  <c r="H13" i="8"/>
  <c r="H3" i="8"/>
  <c r="H15" i="8"/>
  <c r="H9" i="8"/>
  <c r="H25" i="8"/>
  <c r="H17" i="8"/>
  <c r="H19" i="8"/>
  <c r="GW55" i="8"/>
  <c r="GW53" i="8"/>
  <c r="GW49" i="8"/>
  <c r="GW47" i="8"/>
  <c r="GW45" i="8"/>
  <c r="GW43" i="8"/>
  <c r="GW41" i="8"/>
  <c r="GW39" i="8"/>
  <c r="GW37" i="8"/>
  <c r="GW46" i="8"/>
  <c r="GW54" i="8"/>
  <c r="GW36" i="8"/>
  <c r="GW48" i="8"/>
  <c r="GW44" i="8"/>
  <c r="GW34" i="8"/>
  <c r="GW32" i="8"/>
  <c r="GW30" i="8"/>
  <c r="GW28" i="8"/>
  <c r="GW26" i="8"/>
  <c r="GW24" i="8"/>
  <c r="GW38" i="8"/>
  <c r="GW23" i="8"/>
  <c r="GW22" i="8"/>
  <c r="GW21" i="8"/>
  <c r="GW19" i="8"/>
  <c r="GW17" i="8"/>
  <c r="GW15" i="8"/>
  <c r="GW13" i="8"/>
  <c r="GW11" i="8"/>
  <c r="GW9" i="8"/>
  <c r="GW7" i="8"/>
  <c r="GW5" i="8"/>
  <c r="GW3" i="8"/>
  <c r="GW25" i="8"/>
  <c r="GW40" i="8"/>
  <c r="GW42" i="8"/>
  <c r="GW14" i="8"/>
  <c r="GW2" i="8"/>
  <c r="GW8" i="8"/>
  <c r="GW35" i="8"/>
  <c r="GW29" i="8"/>
  <c r="GW31" i="8"/>
  <c r="GW10" i="8"/>
  <c r="GW18" i="8"/>
  <c r="GW33" i="8"/>
  <c r="GW12" i="8"/>
  <c r="GW20" i="8"/>
  <c r="GW6" i="8"/>
  <c r="GW27" i="8"/>
  <c r="GW16" i="8"/>
  <c r="GW4" i="8"/>
  <c r="GO54" i="9"/>
  <c r="GO55" i="9"/>
  <c r="GO53" i="9"/>
  <c r="GO49" i="9"/>
  <c r="GO48" i="9"/>
  <c r="GO46" i="9"/>
  <c r="GO47" i="9"/>
  <c r="GO45" i="9"/>
  <c r="GO43" i="9"/>
  <c r="GO44" i="9"/>
  <c r="GO42" i="9"/>
  <c r="GO41" i="9"/>
  <c r="GO40" i="9"/>
  <c r="GO39" i="9"/>
  <c r="GO32" i="9"/>
  <c r="GO37" i="9"/>
  <c r="GO33" i="9"/>
  <c r="GO34" i="9"/>
  <c r="GO36" i="9"/>
  <c r="GO26" i="9"/>
  <c r="GO35" i="9"/>
  <c r="GO30" i="9"/>
  <c r="GO28" i="9"/>
  <c r="GO22" i="9"/>
  <c r="GO38" i="9"/>
  <c r="GO21" i="9"/>
  <c r="GO16" i="9"/>
  <c r="GO12" i="9"/>
  <c r="GO29" i="9"/>
  <c r="GO31" i="9"/>
  <c r="GO27" i="9"/>
  <c r="GO23" i="9"/>
  <c r="GO18" i="9"/>
  <c r="GO10" i="9"/>
  <c r="GO20" i="9"/>
  <c r="GO4" i="9"/>
  <c r="GO2" i="9"/>
  <c r="GO14" i="9"/>
  <c r="GO9" i="9"/>
  <c r="GO25" i="9"/>
  <c r="GO11" i="9"/>
  <c r="GO7" i="9"/>
  <c r="GO24" i="9"/>
  <c r="GO19" i="9"/>
  <c r="GO15" i="9"/>
  <c r="GO5" i="9"/>
  <c r="GO13" i="9"/>
  <c r="GO6" i="9"/>
  <c r="GO8" i="9"/>
  <c r="GO17" i="9"/>
  <c r="GO3" i="9"/>
  <c r="FI55" i="8"/>
  <c r="FI53" i="8"/>
  <c r="FI49" i="8"/>
  <c r="FI47" i="8"/>
  <c r="FI45" i="8"/>
  <c r="FI43" i="8"/>
  <c r="FI41" i="8"/>
  <c r="FI39" i="8"/>
  <c r="FI37" i="8"/>
  <c r="FI48" i="8"/>
  <c r="FI54" i="8"/>
  <c r="FI40" i="8"/>
  <c r="FI34" i="8"/>
  <c r="FI32" i="8"/>
  <c r="FI30" i="8"/>
  <c r="FI28" i="8"/>
  <c r="FI26" i="8"/>
  <c r="FI24" i="8"/>
  <c r="FI46" i="8"/>
  <c r="FI36" i="8"/>
  <c r="FI35" i="8"/>
  <c r="FI21" i="8"/>
  <c r="FI19" i="8"/>
  <c r="FI17" i="8"/>
  <c r="FI15" i="8"/>
  <c r="FI13" i="8"/>
  <c r="FI11" i="8"/>
  <c r="FI9" i="8"/>
  <c r="FI7" i="8"/>
  <c r="FI5" i="8"/>
  <c r="FI3" i="8"/>
  <c r="FI42" i="8"/>
  <c r="FI44" i="8"/>
  <c r="FI38" i="8"/>
  <c r="FI31" i="8"/>
  <c r="FI27" i="8"/>
  <c r="FI20" i="8"/>
  <c r="FI4" i="8"/>
  <c r="FI23" i="8"/>
  <c r="FI14" i="8"/>
  <c r="FI16" i="8"/>
  <c r="FI2" i="8"/>
  <c r="FI29" i="8"/>
  <c r="FI18" i="8"/>
  <c r="FI10" i="8"/>
  <c r="FI12" i="8"/>
  <c r="FI33" i="8"/>
  <c r="FI6" i="8"/>
  <c r="FI22" i="8"/>
  <c r="FI8" i="8"/>
  <c r="FI25" i="8"/>
  <c r="BQ49" i="8"/>
  <c r="BQ47" i="8"/>
  <c r="BQ46" i="8"/>
  <c r="BQ45" i="8"/>
  <c r="BQ43" i="8"/>
  <c r="BQ41" i="8"/>
  <c r="BQ39" i="8"/>
  <c r="BQ37" i="8"/>
  <c r="BQ48" i="8"/>
  <c r="BQ36" i="8"/>
  <c r="BQ42" i="8"/>
  <c r="BQ34" i="8"/>
  <c r="BQ32" i="8"/>
  <c r="BQ30" i="8"/>
  <c r="BQ28" i="8"/>
  <c r="BQ26" i="8"/>
  <c r="BQ44" i="8"/>
  <c r="BQ40" i="8"/>
  <c r="BQ21" i="8"/>
  <c r="BQ19" i="8"/>
  <c r="BQ17" i="8"/>
  <c r="BQ15" i="8"/>
  <c r="BQ13" i="8"/>
  <c r="BQ11" i="8"/>
  <c r="BQ9" i="8"/>
  <c r="BQ7" i="8"/>
  <c r="BQ5" i="8"/>
  <c r="BQ3" i="8"/>
  <c r="BQ24" i="8"/>
  <c r="BQ12" i="8"/>
  <c r="BQ22" i="8"/>
  <c r="BQ6" i="8"/>
  <c r="BQ31" i="8"/>
  <c r="BQ29" i="8"/>
  <c r="BQ38" i="8"/>
  <c r="BQ33" i="8"/>
  <c r="BQ23" i="8"/>
  <c r="BQ8" i="8"/>
  <c r="BQ2" i="8"/>
  <c r="BQ20" i="8"/>
  <c r="BQ14" i="8"/>
  <c r="BQ16" i="8"/>
  <c r="BQ25" i="8"/>
  <c r="BQ35" i="8"/>
  <c r="BQ10" i="8"/>
  <c r="BQ27" i="8"/>
  <c r="BQ18" i="8"/>
  <c r="BQ4" i="8"/>
  <c r="JO151" i="7"/>
  <c r="JO149" i="7"/>
  <c r="JO150" i="7"/>
  <c r="II150" i="7"/>
  <c r="II151" i="7"/>
  <c r="II149" i="7"/>
  <c r="FM54" i="8"/>
  <c r="FM48" i="8"/>
  <c r="FM46" i="8"/>
  <c r="FM44" i="8"/>
  <c r="FM42" i="8"/>
  <c r="FM40" i="8"/>
  <c r="FM38" i="8"/>
  <c r="FM36" i="8"/>
  <c r="FM49" i="8"/>
  <c r="FM43" i="8"/>
  <c r="FM35" i="8"/>
  <c r="FM33" i="8"/>
  <c r="FM31" i="8"/>
  <c r="FM29" i="8"/>
  <c r="FM27" i="8"/>
  <c r="FM25" i="8"/>
  <c r="FM55" i="8"/>
  <c r="FM45" i="8"/>
  <c r="FM37" i="8"/>
  <c r="FM39" i="8"/>
  <c r="FM22" i="8"/>
  <c r="FM20" i="8"/>
  <c r="FM18" i="8"/>
  <c r="FM16" i="8"/>
  <c r="FM14" i="8"/>
  <c r="FM12" i="8"/>
  <c r="FM10" i="8"/>
  <c r="FM8" i="8"/>
  <c r="FM6" i="8"/>
  <c r="FM4" i="8"/>
  <c r="FM2" i="8"/>
  <c r="FM24" i="8"/>
  <c r="FM41" i="8"/>
  <c r="FM47" i="8"/>
  <c r="FM53" i="8"/>
  <c r="FM13" i="8"/>
  <c r="FM28" i="8"/>
  <c r="FM7" i="8"/>
  <c r="FM32" i="8"/>
  <c r="FM30" i="8"/>
  <c r="FM9" i="8"/>
  <c r="FM3" i="8"/>
  <c r="FM19" i="8"/>
  <c r="FM5" i="8"/>
  <c r="FM23" i="8"/>
  <c r="FM21" i="8"/>
  <c r="FM26" i="8"/>
  <c r="FM15" i="8"/>
  <c r="FM17" i="8"/>
  <c r="FM34" i="8"/>
  <c r="FM11" i="8"/>
  <c r="FL151" i="7"/>
  <c r="FL150" i="7"/>
  <c r="FL149" i="7"/>
  <c r="BL48" i="9"/>
  <c r="BL46" i="9"/>
  <c r="BL47" i="9"/>
  <c r="BL49" i="9"/>
  <c r="BL43" i="9"/>
  <c r="BL42" i="9"/>
  <c r="BL45" i="9"/>
  <c r="BL40" i="9"/>
  <c r="BL36" i="9"/>
  <c r="BL34" i="9"/>
  <c r="BL41" i="9"/>
  <c r="BL44" i="9"/>
  <c r="BL37" i="9"/>
  <c r="BL28" i="9"/>
  <c r="BL26" i="9"/>
  <c r="BL38" i="9"/>
  <c r="BL29" i="9"/>
  <c r="BL35" i="9"/>
  <c r="BL30" i="9"/>
  <c r="BL23" i="9"/>
  <c r="BL21" i="9"/>
  <c r="BL19" i="9"/>
  <c r="BL17" i="9"/>
  <c r="BL15" i="9"/>
  <c r="BL13" i="9"/>
  <c r="BL33" i="9"/>
  <c r="BL39" i="9"/>
  <c r="BL24" i="9"/>
  <c r="BL27" i="9"/>
  <c r="BL25" i="9"/>
  <c r="BL18" i="9"/>
  <c r="BL31" i="9"/>
  <c r="BL20" i="9"/>
  <c r="BL16" i="9"/>
  <c r="BL12" i="9"/>
  <c r="BL9" i="9"/>
  <c r="BL3" i="9"/>
  <c r="BL32" i="9"/>
  <c r="BL22" i="9"/>
  <c r="BL14" i="9"/>
  <c r="BL8" i="9"/>
  <c r="BL2" i="9"/>
  <c r="BL11" i="9"/>
  <c r="BL6" i="9"/>
  <c r="BL4" i="9"/>
  <c r="BL7" i="9"/>
  <c r="BL5" i="9"/>
  <c r="BL10" i="9"/>
  <c r="IM151" i="7"/>
  <c r="IM150" i="7"/>
  <c r="IM149" i="7"/>
  <c r="BL151" i="7"/>
  <c r="BL55" i="8" s="1"/>
  <c r="BL149" i="7"/>
  <c r="BL150" i="7"/>
  <c r="BL54" i="9" s="1"/>
  <c r="JK55" i="9"/>
  <c r="JK53" i="9"/>
  <c r="JK54" i="9"/>
  <c r="JK47" i="9"/>
  <c r="JK44" i="9"/>
  <c r="JK48" i="9"/>
  <c r="JK45" i="9"/>
  <c r="JK46" i="9"/>
  <c r="JK43" i="9"/>
  <c r="JK41" i="9"/>
  <c r="JK39" i="9"/>
  <c r="JK49" i="9"/>
  <c r="JK42" i="9"/>
  <c r="JK36" i="9"/>
  <c r="JK34" i="9"/>
  <c r="JK32" i="9"/>
  <c r="JK31" i="9"/>
  <c r="JK29" i="9"/>
  <c r="JK33" i="9"/>
  <c r="JK35" i="9"/>
  <c r="JK26" i="9"/>
  <c r="JK40" i="9"/>
  <c r="JK27" i="9"/>
  <c r="JK23" i="9"/>
  <c r="JK21" i="9"/>
  <c r="JK19" i="9"/>
  <c r="JK17" i="9"/>
  <c r="JK15" i="9"/>
  <c r="JK13" i="9"/>
  <c r="JK38" i="9"/>
  <c r="JK37" i="9"/>
  <c r="JK28" i="9"/>
  <c r="JK18" i="9"/>
  <c r="JK11" i="9"/>
  <c r="JK9" i="9"/>
  <c r="JK7" i="9"/>
  <c r="JK30" i="9"/>
  <c r="JK12" i="9"/>
  <c r="JK24" i="9"/>
  <c r="JK25" i="9"/>
  <c r="JK14" i="9"/>
  <c r="JK6" i="9"/>
  <c r="JK2" i="9"/>
  <c r="JK22" i="9"/>
  <c r="JK5" i="9"/>
  <c r="JK16" i="9"/>
  <c r="JK20" i="9"/>
  <c r="JK3" i="9"/>
  <c r="JK10" i="9"/>
  <c r="JK8" i="9"/>
  <c r="JK4" i="9"/>
  <c r="JC55" i="8"/>
  <c r="JC53" i="8"/>
  <c r="JC54" i="8"/>
  <c r="JC46" i="8"/>
  <c r="JC43" i="8"/>
  <c r="JC41" i="8"/>
  <c r="JC39" i="8"/>
  <c r="JC37" i="8"/>
  <c r="JC49" i="8"/>
  <c r="JC48" i="8"/>
  <c r="JC44" i="8"/>
  <c r="JC31" i="8"/>
  <c r="JC47" i="8"/>
  <c r="JC29" i="8"/>
  <c r="JC26" i="8"/>
  <c r="JC45" i="8"/>
  <c r="JC40" i="8"/>
  <c r="JC42" i="8"/>
  <c r="JC22" i="8"/>
  <c r="JC21" i="8"/>
  <c r="JC19" i="8"/>
  <c r="JC17" i="8"/>
  <c r="JC15" i="8"/>
  <c r="JC13" i="8"/>
  <c r="JC11" i="8"/>
  <c r="JC9" i="8"/>
  <c r="JC7" i="8"/>
  <c r="JC5" i="8"/>
  <c r="JC36" i="8"/>
  <c r="JC32" i="8"/>
  <c r="JC16" i="8"/>
  <c r="JC3" i="8"/>
  <c r="JC33" i="8"/>
  <c r="JC27" i="8"/>
  <c r="JC24" i="8"/>
  <c r="JC10" i="8"/>
  <c r="JC34" i="8"/>
  <c r="JC38" i="8"/>
  <c r="JC35" i="8"/>
  <c r="JC12" i="8"/>
  <c r="JC23" i="8"/>
  <c r="JC18" i="8"/>
  <c r="JC25" i="8"/>
  <c r="JC20" i="8"/>
  <c r="JC30" i="8"/>
  <c r="JC14" i="8"/>
  <c r="JC28" i="8"/>
  <c r="JC2" i="8"/>
  <c r="JC6" i="8"/>
  <c r="JC4" i="8"/>
  <c r="JC8" i="8"/>
  <c r="IE55" i="9"/>
  <c r="IE54" i="9"/>
  <c r="IE49" i="9"/>
  <c r="IE44" i="9"/>
  <c r="IE45" i="9"/>
  <c r="IE46" i="9"/>
  <c r="IE53" i="9"/>
  <c r="IE43" i="9"/>
  <c r="IE41" i="9"/>
  <c r="IE39" i="9"/>
  <c r="IE48" i="9"/>
  <c r="IE42" i="9"/>
  <c r="IE40" i="9"/>
  <c r="IE47" i="9"/>
  <c r="IE36" i="9"/>
  <c r="IE34" i="9"/>
  <c r="IE32" i="9"/>
  <c r="IE31" i="9"/>
  <c r="IE29" i="9"/>
  <c r="IE38" i="9"/>
  <c r="IE33" i="9"/>
  <c r="IE28" i="9"/>
  <c r="IE35" i="9"/>
  <c r="IE26" i="9"/>
  <c r="IE25" i="9"/>
  <c r="IE30" i="9"/>
  <c r="IE23" i="9"/>
  <c r="IE21" i="9"/>
  <c r="IE19" i="9"/>
  <c r="IE17" i="9"/>
  <c r="IE15" i="9"/>
  <c r="IE13" i="9"/>
  <c r="IE37" i="9"/>
  <c r="IE11" i="9"/>
  <c r="IE9" i="9"/>
  <c r="IE7" i="9"/>
  <c r="IE20" i="9"/>
  <c r="IE12" i="9"/>
  <c r="IE27" i="9"/>
  <c r="IE22" i="9"/>
  <c r="IE18" i="9"/>
  <c r="IE10" i="9"/>
  <c r="IE2" i="9"/>
  <c r="IE24" i="9"/>
  <c r="IE3" i="9"/>
  <c r="IE16" i="9"/>
  <c r="IE8" i="9"/>
  <c r="IE6" i="9"/>
  <c r="IE4" i="9"/>
  <c r="IE14" i="9"/>
  <c r="IE5" i="9"/>
  <c r="HW55" i="8"/>
  <c r="HW53" i="8"/>
  <c r="HW45" i="8"/>
  <c r="HW43" i="8"/>
  <c r="HW41" i="8"/>
  <c r="HW39" i="8"/>
  <c r="HW49" i="8"/>
  <c r="HW44" i="8"/>
  <c r="HW37" i="8"/>
  <c r="HW46" i="8"/>
  <c r="HW54" i="8"/>
  <c r="HW40" i="8"/>
  <c r="HW34" i="8"/>
  <c r="HW36" i="8"/>
  <c r="HW33" i="8"/>
  <c r="HW29" i="8"/>
  <c r="HW26" i="8"/>
  <c r="HW23" i="8"/>
  <c r="HW47" i="8"/>
  <c r="HW42" i="8"/>
  <c r="HW38" i="8"/>
  <c r="HW35" i="8"/>
  <c r="HW30" i="8"/>
  <c r="HW21" i="8"/>
  <c r="HW19" i="8"/>
  <c r="HW17" i="8"/>
  <c r="HW15" i="8"/>
  <c r="HW13" i="8"/>
  <c r="HW11" i="8"/>
  <c r="HW9" i="8"/>
  <c r="HW7" i="8"/>
  <c r="HW5" i="8"/>
  <c r="HW27" i="8"/>
  <c r="HW24" i="8"/>
  <c r="HW22" i="8"/>
  <c r="HW8" i="8"/>
  <c r="HW3" i="8"/>
  <c r="HW48" i="8"/>
  <c r="HW18" i="8"/>
  <c r="HW31" i="8"/>
  <c r="HW32" i="8"/>
  <c r="HW28" i="8"/>
  <c r="HW20" i="8"/>
  <c r="HW4" i="8"/>
  <c r="HW6" i="8"/>
  <c r="HW14" i="8"/>
  <c r="HW25" i="8"/>
  <c r="HW16" i="8"/>
  <c r="HW10" i="8"/>
  <c r="HW12" i="8"/>
  <c r="HW2" i="8"/>
  <c r="HW53" i="9"/>
  <c r="HW55" i="9"/>
  <c r="HW54" i="9"/>
  <c r="HW49" i="9"/>
  <c r="HW48" i="9"/>
  <c r="HW47" i="9"/>
  <c r="HW44" i="9"/>
  <c r="HW43" i="9"/>
  <c r="HW41" i="9"/>
  <c r="HW39" i="9"/>
  <c r="HW46" i="9"/>
  <c r="HW45" i="9"/>
  <c r="HW42" i="9"/>
  <c r="HW40" i="9"/>
  <c r="HW36" i="9"/>
  <c r="HW34" i="9"/>
  <c r="HW32" i="9"/>
  <c r="HW31" i="9"/>
  <c r="HW29" i="9"/>
  <c r="HW38" i="9"/>
  <c r="HW30" i="9"/>
  <c r="HW26" i="9"/>
  <c r="HW33" i="9"/>
  <c r="HW23" i="9"/>
  <c r="HW21" i="9"/>
  <c r="HW19" i="9"/>
  <c r="HW17" i="9"/>
  <c r="HW15" i="9"/>
  <c r="HW13" i="9"/>
  <c r="HW37" i="9"/>
  <c r="HW27" i="9"/>
  <c r="HW24" i="9"/>
  <c r="HW11" i="9"/>
  <c r="HW9" i="9"/>
  <c r="HW7" i="9"/>
  <c r="HW35" i="9"/>
  <c r="HW18" i="9"/>
  <c r="HW28" i="9"/>
  <c r="HW20" i="9"/>
  <c r="HW8" i="9"/>
  <c r="HW14" i="9"/>
  <c r="HW6" i="9"/>
  <c r="HW2" i="9"/>
  <c r="HW4" i="9"/>
  <c r="HW25" i="9"/>
  <c r="HW16" i="9"/>
  <c r="HW22" i="9"/>
  <c r="HW5" i="9"/>
  <c r="HW3" i="9"/>
  <c r="HW10" i="9"/>
  <c r="HW12" i="9"/>
  <c r="HG55" i="8"/>
  <c r="HG53" i="8"/>
  <c r="HG46" i="8"/>
  <c r="HG47" i="8"/>
  <c r="HG54" i="8"/>
  <c r="HG45" i="8"/>
  <c r="HG43" i="8"/>
  <c r="HG41" i="8"/>
  <c r="HG39" i="8"/>
  <c r="HG49" i="8"/>
  <c r="HG40" i="8"/>
  <c r="HG36" i="8"/>
  <c r="HG38" i="8"/>
  <c r="HG35" i="8"/>
  <c r="HG22" i="8"/>
  <c r="HG42" i="8"/>
  <c r="HG30" i="8"/>
  <c r="HG25" i="8"/>
  <c r="HG44" i="8"/>
  <c r="HG48" i="8"/>
  <c r="HG31" i="8"/>
  <c r="HG21" i="8"/>
  <c r="HG19" i="8"/>
  <c r="HG17" i="8"/>
  <c r="HG15" i="8"/>
  <c r="HG13" i="8"/>
  <c r="HG11" i="8"/>
  <c r="HG9" i="8"/>
  <c r="HG7" i="8"/>
  <c r="HG5" i="8"/>
  <c r="HG27" i="8"/>
  <c r="HG24" i="8"/>
  <c r="HG20" i="8"/>
  <c r="HG4" i="8"/>
  <c r="HG2" i="8"/>
  <c r="HG14" i="8"/>
  <c r="HG33" i="8"/>
  <c r="HG32" i="8"/>
  <c r="HG28" i="8"/>
  <c r="HG37" i="8"/>
  <c r="HG34" i="8"/>
  <c r="HG29" i="8"/>
  <c r="HG26" i="8"/>
  <c r="HG23" i="8"/>
  <c r="HG16" i="8"/>
  <c r="HG6" i="8"/>
  <c r="HG3" i="8"/>
  <c r="HG8" i="8"/>
  <c r="HG18" i="8"/>
  <c r="HG10" i="8"/>
  <c r="HG12" i="8"/>
  <c r="GA55" i="9"/>
  <c r="GA53" i="9"/>
  <c r="GA54" i="9"/>
  <c r="GA46" i="9"/>
  <c r="GA48" i="9"/>
  <c r="GA43" i="9"/>
  <c r="GA41" i="9"/>
  <c r="GA39" i="9"/>
  <c r="GA45" i="9"/>
  <c r="GA44" i="9"/>
  <c r="GA49" i="9"/>
  <c r="GA40" i="9"/>
  <c r="GA42" i="9"/>
  <c r="GA36" i="9"/>
  <c r="GA34" i="9"/>
  <c r="GA32" i="9"/>
  <c r="GA33" i="9"/>
  <c r="GA31" i="9"/>
  <c r="GA29" i="9"/>
  <c r="GA35" i="9"/>
  <c r="GA37" i="9"/>
  <c r="GA28" i="9"/>
  <c r="GA26" i="9"/>
  <c r="GA38" i="9"/>
  <c r="GA27" i="9"/>
  <c r="GA23" i="9"/>
  <c r="GA21" i="9"/>
  <c r="GA19" i="9"/>
  <c r="GA17" i="9"/>
  <c r="GA15" i="9"/>
  <c r="GA13" i="9"/>
  <c r="GA47" i="9"/>
  <c r="GA11" i="9"/>
  <c r="GA9" i="9"/>
  <c r="GA7" i="9"/>
  <c r="GA25" i="9"/>
  <c r="GA22" i="9"/>
  <c r="GA14" i="9"/>
  <c r="GA30" i="9"/>
  <c r="GA24" i="9"/>
  <c r="GA16" i="9"/>
  <c r="GA12" i="9"/>
  <c r="GA10" i="9"/>
  <c r="GA20" i="9"/>
  <c r="GA2" i="9"/>
  <c r="GA8" i="9"/>
  <c r="GA5" i="9"/>
  <c r="GA18" i="9"/>
  <c r="GA6" i="9"/>
  <c r="GA4" i="9"/>
  <c r="GA3" i="9"/>
  <c r="FS54" i="9"/>
  <c r="FS55" i="9"/>
  <c r="FS53" i="9"/>
  <c r="FS45" i="9"/>
  <c r="FS47" i="9"/>
  <c r="FS43" i="9"/>
  <c r="FS41" i="9"/>
  <c r="FS39" i="9"/>
  <c r="FS42" i="9"/>
  <c r="FS49" i="9"/>
  <c r="FS40" i="9"/>
  <c r="FS48" i="9"/>
  <c r="FS46" i="9"/>
  <c r="FS36" i="9"/>
  <c r="FS34" i="9"/>
  <c r="FS32" i="9"/>
  <c r="FS31" i="9"/>
  <c r="FS29" i="9"/>
  <c r="FS38" i="9"/>
  <c r="FS33" i="9"/>
  <c r="FS28" i="9"/>
  <c r="FS26" i="9"/>
  <c r="FS25" i="9"/>
  <c r="FS23" i="9"/>
  <c r="FS21" i="9"/>
  <c r="FS19" i="9"/>
  <c r="FS17" i="9"/>
  <c r="FS15" i="9"/>
  <c r="FS13" i="9"/>
  <c r="FS37" i="9"/>
  <c r="FS35" i="9"/>
  <c r="FS44" i="9"/>
  <c r="FS11" i="9"/>
  <c r="FS9" i="9"/>
  <c r="FS7" i="9"/>
  <c r="FS20" i="9"/>
  <c r="FS12" i="9"/>
  <c r="FS30" i="9"/>
  <c r="FS22" i="9"/>
  <c r="FS27" i="9"/>
  <c r="FS10" i="9"/>
  <c r="FS2" i="9"/>
  <c r="FS4" i="9"/>
  <c r="FS14" i="9"/>
  <c r="FS6" i="9"/>
  <c r="FS3" i="9"/>
  <c r="FS16" i="9"/>
  <c r="FS24" i="9"/>
  <c r="FS8" i="9"/>
  <c r="FS18" i="9"/>
  <c r="FS5" i="9"/>
  <c r="FC150" i="7"/>
  <c r="FC149" i="7"/>
  <c r="FC151" i="7"/>
  <c r="DW55" i="8"/>
  <c r="DW53" i="8"/>
  <c r="DW49" i="8"/>
  <c r="DW45" i="8"/>
  <c r="DW43" i="8"/>
  <c r="DW41" i="8"/>
  <c r="DW39" i="8"/>
  <c r="DW38" i="8"/>
  <c r="DW44" i="8"/>
  <c r="DW54" i="8"/>
  <c r="DW48" i="8"/>
  <c r="DW37" i="8"/>
  <c r="DW47" i="8"/>
  <c r="DW40" i="8"/>
  <c r="DW34" i="8"/>
  <c r="DW27" i="8"/>
  <c r="DW42" i="8"/>
  <c r="DW21" i="8"/>
  <c r="DW19" i="8"/>
  <c r="DW17" i="8"/>
  <c r="DW15" i="8"/>
  <c r="DW13" i="8"/>
  <c r="DW11" i="8"/>
  <c r="DW9" i="8"/>
  <c r="DW7" i="8"/>
  <c r="DW5" i="8"/>
  <c r="DW35" i="8"/>
  <c r="DW14" i="8"/>
  <c r="DW8" i="8"/>
  <c r="DW36" i="8"/>
  <c r="DW30" i="8"/>
  <c r="DW46" i="8"/>
  <c r="DW31" i="8"/>
  <c r="DW33" i="8"/>
  <c r="DW32" i="8"/>
  <c r="DW23" i="8"/>
  <c r="DW10" i="8"/>
  <c r="DW3" i="8"/>
  <c r="DW26" i="8"/>
  <c r="DW12" i="8"/>
  <c r="DW4" i="8"/>
  <c r="DW20" i="8"/>
  <c r="DW28" i="8"/>
  <c r="DW25" i="8"/>
  <c r="DW22" i="8"/>
  <c r="DW29" i="8"/>
  <c r="DW16" i="8"/>
  <c r="DW18" i="8"/>
  <c r="DW2" i="8"/>
  <c r="DW24" i="8"/>
  <c r="DW6" i="8"/>
  <c r="CY54" i="9"/>
  <c r="CY49" i="9"/>
  <c r="CY53" i="9"/>
  <c r="CY55" i="9"/>
  <c r="CY48" i="9"/>
  <c r="CY47" i="9"/>
  <c r="CY46" i="9"/>
  <c r="CY43" i="9"/>
  <c r="CY41" i="9"/>
  <c r="CY45" i="9"/>
  <c r="CY39" i="9"/>
  <c r="CY36" i="9"/>
  <c r="CY34" i="9"/>
  <c r="CY32" i="9"/>
  <c r="CY40" i="9"/>
  <c r="CY44" i="9"/>
  <c r="CY38" i="9"/>
  <c r="CY31" i="9"/>
  <c r="CY29" i="9"/>
  <c r="CY42" i="9"/>
  <c r="CY37" i="9"/>
  <c r="CY30" i="9"/>
  <c r="CY28" i="9"/>
  <c r="CY26" i="9"/>
  <c r="CY33" i="9"/>
  <c r="CY23" i="9"/>
  <c r="CY21" i="9"/>
  <c r="CY19" i="9"/>
  <c r="CY17" i="9"/>
  <c r="CY15" i="9"/>
  <c r="CY13" i="9"/>
  <c r="CY35" i="9"/>
  <c r="CY24" i="9"/>
  <c r="CY11" i="9"/>
  <c r="CY9" i="9"/>
  <c r="CY18" i="9"/>
  <c r="CY27" i="9"/>
  <c r="CY20" i="9"/>
  <c r="CY8" i="9"/>
  <c r="CY16" i="9"/>
  <c r="CY7" i="9"/>
  <c r="CY6" i="9"/>
  <c r="CY2" i="9"/>
  <c r="CY22" i="9"/>
  <c r="CY25" i="9"/>
  <c r="CY10" i="9"/>
  <c r="CY3" i="9"/>
  <c r="CY12" i="9"/>
  <c r="CY5" i="9"/>
  <c r="CY14" i="9"/>
  <c r="CY4" i="9"/>
  <c r="CQ55" i="9"/>
  <c r="CQ54" i="9"/>
  <c r="CQ53" i="9"/>
  <c r="CQ49" i="9"/>
  <c r="CQ46" i="9"/>
  <c r="CQ43" i="9"/>
  <c r="CQ41" i="9"/>
  <c r="CQ48" i="9"/>
  <c r="CQ39" i="9"/>
  <c r="CQ47" i="9"/>
  <c r="CQ42" i="9"/>
  <c r="CQ38" i="9"/>
  <c r="CQ36" i="9"/>
  <c r="CQ34" i="9"/>
  <c r="CQ32" i="9"/>
  <c r="CQ31" i="9"/>
  <c r="CQ29" i="9"/>
  <c r="CQ44" i="9"/>
  <c r="CQ37" i="9"/>
  <c r="CQ45" i="9"/>
  <c r="CQ33" i="9"/>
  <c r="CQ28" i="9"/>
  <c r="CQ26" i="9"/>
  <c r="CQ40" i="9"/>
  <c r="CQ25" i="9"/>
  <c r="CQ23" i="9"/>
  <c r="CQ21" i="9"/>
  <c r="CQ19" i="9"/>
  <c r="CQ17" i="9"/>
  <c r="CQ15" i="9"/>
  <c r="CQ13" i="9"/>
  <c r="CQ22" i="9"/>
  <c r="CQ11" i="9"/>
  <c r="CQ9" i="9"/>
  <c r="CQ16" i="9"/>
  <c r="CQ35" i="9"/>
  <c r="CQ30" i="9"/>
  <c r="CQ27" i="9"/>
  <c r="CQ18" i="9"/>
  <c r="CQ20" i="9"/>
  <c r="CQ14" i="9"/>
  <c r="CQ10" i="9"/>
  <c r="CQ7" i="9"/>
  <c r="CQ6" i="9"/>
  <c r="CQ5" i="9"/>
  <c r="CQ4" i="9"/>
  <c r="CQ8" i="9"/>
  <c r="CQ2" i="9"/>
  <c r="CQ12" i="9"/>
  <c r="CQ24" i="9"/>
  <c r="CQ3" i="9"/>
  <c r="BC45" i="8"/>
  <c r="BC43" i="8"/>
  <c r="BC41" i="8"/>
  <c r="BC39" i="8"/>
  <c r="BC42" i="8"/>
  <c r="BC44" i="8"/>
  <c r="BC38" i="8"/>
  <c r="BC32" i="8"/>
  <c r="BC30" i="8"/>
  <c r="BC25" i="8"/>
  <c r="BC48" i="8"/>
  <c r="BC40" i="8"/>
  <c r="BC34" i="8"/>
  <c r="BC21" i="8"/>
  <c r="BC19" i="8"/>
  <c r="BC17" i="8"/>
  <c r="BC15" i="8"/>
  <c r="BC13" i="8"/>
  <c r="BC11" i="8"/>
  <c r="BC9" i="8"/>
  <c r="BC7" i="8"/>
  <c r="BC5" i="8"/>
  <c r="BC12" i="8"/>
  <c r="BC2" i="8"/>
  <c r="BC29" i="8"/>
  <c r="BC26" i="8"/>
  <c r="BC22" i="8"/>
  <c r="BC6" i="8"/>
  <c r="BC47" i="8"/>
  <c r="BC36" i="8"/>
  <c r="BC33" i="8"/>
  <c r="BC37" i="8"/>
  <c r="BC35" i="8"/>
  <c r="BC49" i="8"/>
  <c r="BC46" i="8"/>
  <c r="BC28" i="8"/>
  <c r="BC8" i="8"/>
  <c r="BC4" i="8"/>
  <c r="BC16" i="8"/>
  <c r="BC27" i="8"/>
  <c r="BC23" i="8"/>
  <c r="BC10" i="8"/>
  <c r="BC18" i="8"/>
  <c r="BC31" i="8"/>
  <c r="BC20" i="8"/>
  <c r="BC3" i="8"/>
  <c r="BC24" i="8"/>
  <c r="BC14" i="8"/>
  <c r="AE46" i="9"/>
  <c r="AE48" i="9"/>
  <c r="AE47" i="9"/>
  <c r="AE43" i="9"/>
  <c r="AE41" i="9"/>
  <c r="AE49" i="9"/>
  <c r="AE39" i="9"/>
  <c r="AE45" i="9"/>
  <c r="AE38" i="9"/>
  <c r="AE36" i="9"/>
  <c r="AE34" i="9"/>
  <c r="AE31" i="9"/>
  <c r="AE29" i="9"/>
  <c r="AE37" i="9"/>
  <c r="AE42" i="9"/>
  <c r="AE40" i="9"/>
  <c r="AE33" i="9"/>
  <c r="AE28" i="9"/>
  <c r="AE26" i="9"/>
  <c r="AE32" i="9"/>
  <c r="AE25" i="9"/>
  <c r="AE23" i="9"/>
  <c r="AE21" i="9"/>
  <c r="AE19" i="9"/>
  <c r="AE17" i="9"/>
  <c r="AE15" i="9"/>
  <c r="AE13" i="9"/>
  <c r="AE44" i="9"/>
  <c r="AE30" i="9"/>
  <c r="AE22" i="9"/>
  <c r="AE11" i="9"/>
  <c r="AE9" i="9"/>
  <c r="AE16" i="9"/>
  <c r="AE18" i="9"/>
  <c r="AE10" i="9"/>
  <c r="AE7" i="9"/>
  <c r="AE6" i="9"/>
  <c r="AE20" i="9"/>
  <c r="AE5" i="9"/>
  <c r="AE35" i="9"/>
  <c r="AE27" i="9"/>
  <c r="AE24" i="9"/>
  <c r="AE14" i="9"/>
  <c r="AE8" i="9"/>
  <c r="AE4" i="9"/>
  <c r="AE2" i="9"/>
  <c r="AE12" i="9"/>
  <c r="AE3" i="9"/>
  <c r="HQ149" i="7"/>
  <c r="HQ151" i="7"/>
  <c r="HQ150" i="7"/>
  <c r="JZ55" i="9"/>
  <c r="JZ53" i="9"/>
  <c r="JZ54" i="9"/>
  <c r="JZ49" i="9"/>
  <c r="JZ48" i="9"/>
  <c r="JZ46" i="9"/>
  <c r="JZ44" i="9"/>
  <c r="JZ45" i="9"/>
  <c r="JZ43" i="9"/>
  <c r="JZ40" i="9"/>
  <c r="JZ47" i="9"/>
  <c r="JZ42" i="9"/>
  <c r="JZ38" i="9"/>
  <c r="JZ41" i="9"/>
  <c r="JZ37" i="9"/>
  <c r="JZ35" i="9"/>
  <c r="JZ33" i="9"/>
  <c r="JZ32" i="9"/>
  <c r="JZ31" i="9"/>
  <c r="JZ29" i="9"/>
  <c r="JZ39" i="9"/>
  <c r="JZ30" i="9"/>
  <c r="JZ34" i="9"/>
  <c r="JZ27" i="9"/>
  <c r="JZ25" i="9"/>
  <c r="JZ26" i="9"/>
  <c r="JZ36" i="9"/>
  <c r="JZ28" i="9"/>
  <c r="JZ24" i="9"/>
  <c r="JZ22" i="9"/>
  <c r="JZ20" i="9"/>
  <c r="JZ18" i="9"/>
  <c r="JZ16" i="9"/>
  <c r="JZ14" i="9"/>
  <c r="JZ13" i="9"/>
  <c r="JZ21" i="9"/>
  <c r="JZ11" i="9"/>
  <c r="JZ9" i="9"/>
  <c r="JZ7" i="9"/>
  <c r="JZ5" i="9"/>
  <c r="JZ23" i="9"/>
  <c r="JZ12" i="9"/>
  <c r="JZ10" i="9"/>
  <c r="JZ6" i="9"/>
  <c r="JZ17" i="9"/>
  <c r="JZ8" i="9"/>
  <c r="JZ19" i="9"/>
  <c r="JZ15" i="9"/>
  <c r="JZ2" i="9"/>
  <c r="JZ3" i="9"/>
  <c r="JZ4" i="9"/>
  <c r="JR55" i="9"/>
  <c r="JR53" i="9"/>
  <c r="JR54" i="9"/>
  <c r="JR49" i="9"/>
  <c r="JR48" i="9"/>
  <c r="JR46" i="9"/>
  <c r="JR47" i="9"/>
  <c r="JR43" i="9"/>
  <c r="JR42" i="9"/>
  <c r="JR38" i="9"/>
  <c r="JR41" i="9"/>
  <c r="JR39" i="9"/>
  <c r="JR45" i="9"/>
  <c r="JR44" i="9"/>
  <c r="JR40" i="9"/>
  <c r="JR37" i="9"/>
  <c r="JR35" i="9"/>
  <c r="JR33" i="9"/>
  <c r="JR31" i="9"/>
  <c r="JR29" i="9"/>
  <c r="JR34" i="9"/>
  <c r="JR30" i="9"/>
  <c r="JR28" i="9"/>
  <c r="JR27" i="9"/>
  <c r="JR25" i="9"/>
  <c r="JR32" i="9"/>
  <c r="JR36" i="9"/>
  <c r="JR24" i="9"/>
  <c r="JR22" i="9"/>
  <c r="JR20" i="9"/>
  <c r="JR18" i="9"/>
  <c r="JR16" i="9"/>
  <c r="JR19" i="9"/>
  <c r="JR11" i="9"/>
  <c r="JR9" i="9"/>
  <c r="JR7" i="9"/>
  <c r="JR5" i="9"/>
  <c r="JR21" i="9"/>
  <c r="JR13" i="9"/>
  <c r="JR6" i="9"/>
  <c r="JR4" i="9"/>
  <c r="JR23" i="9"/>
  <c r="JR10" i="9"/>
  <c r="JR3" i="9"/>
  <c r="JR14" i="9"/>
  <c r="JR12" i="9"/>
  <c r="JR17" i="9"/>
  <c r="JR8" i="9"/>
  <c r="JR2" i="9"/>
  <c r="JR26" i="9"/>
  <c r="JR15" i="9"/>
  <c r="IT151" i="7"/>
  <c r="IT150" i="7"/>
  <c r="IT149" i="7"/>
  <c r="HN55" i="9"/>
  <c r="HN53" i="9"/>
  <c r="HN54" i="9"/>
  <c r="HN49" i="9"/>
  <c r="HN48" i="9"/>
  <c r="HN46" i="9"/>
  <c r="HN43" i="9"/>
  <c r="HN47" i="9"/>
  <c r="HN41" i="9"/>
  <c r="HN42" i="9"/>
  <c r="HN44" i="9"/>
  <c r="HN39" i="9"/>
  <c r="HN37" i="9"/>
  <c r="HN35" i="9"/>
  <c r="HN33" i="9"/>
  <c r="HN38" i="9"/>
  <c r="HN32" i="9"/>
  <c r="HN40" i="9"/>
  <c r="HN31" i="9"/>
  <c r="HN29" i="9"/>
  <c r="HN36" i="9"/>
  <c r="HN30" i="9"/>
  <c r="HN45" i="9"/>
  <c r="HN27" i="9"/>
  <c r="HN25" i="9"/>
  <c r="HN26" i="9"/>
  <c r="HN28" i="9"/>
  <c r="HN34" i="9"/>
  <c r="HN24" i="9"/>
  <c r="HN22" i="9"/>
  <c r="HN20" i="9"/>
  <c r="HN18" i="9"/>
  <c r="HN16" i="9"/>
  <c r="HN13" i="9"/>
  <c r="HN21" i="9"/>
  <c r="HN11" i="9"/>
  <c r="HN9" i="9"/>
  <c r="HN7" i="9"/>
  <c r="HN5" i="9"/>
  <c r="HN23" i="9"/>
  <c r="HN12" i="9"/>
  <c r="HN15" i="9"/>
  <c r="HN10" i="9"/>
  <c r="HN6" i="9"/>
  <c r="HN17" i="9"/>
  <c r="HN19" i="9"/>
  <c r="HN14" i="9"/>
  <c r="HN4" i="9"/>
  <c r="HN2" i="9"/>
  <c r="HN8" i="9"/>
  <c r="HN3" i="9"/>
  <c r="GH53" i="8"/>
  <c r="GH54" i="8"/>
  <c r="GH48" i="8"/>
  <c r="GH46" i="8"/>
  <c r="GH40" i="8"/>
  <c r="GH34" i="8"/>
  <c r="GH32" i="8"/>
  <c r="GH30" i="8"/>
  <c r="GH28" i="8"/>
  <c r="GH26" i="8"/>
  <c r="GH24" i="8"/>
  <c r="GH22" i="8"/>
  <c r="GH45" i="8"/>
  <c r="GH38" i="8"/>
  <c r="GH47" i="8"/>
  <c r="GH55" i="8"/>
  <c r="GH37" i="8"/>
  <c r="GH35" i="8"/>
  <c r="GH29" i="8"/>
  <c r="GH41" i="8"/>
  <c r="GH42" i="8"/>
  <c r="GH44" i="8"/>
  <c r="GH43" i="8"/>
  <c r="GH31" i="8"/>
  <c r="GH49" i="8"/>
  <c r="GH39" i="8"/>
  <c r="GH20" i="8"/>
  <c r="GH15" i="8"/>
  <c r="GH4" i="8"/>
  <c r="GH14" i="8"/>
  <c r="GH9" i="8"/>
  <c r="GH33" i="8"/>
  <c r="GH36" i="8"/>
  <c r="GH25" i="8"/>
  <c r="GH16" i="8"/>
  <c r="GH11" i="8"/>
  <c r="GH12" i="8"/>
  <c r="GH2" i="8"/>
  <c r="GH27" i="8"/>
  <c r="GH13" i="8"/>
  <c r="GH5" i="8"/>
  <c r="GH21" i="8"/>
  <c r="GH6" i="8"/>
  <c r="GH23" i="8"/>
  <c r="GH8" i="8"/>
  <c r="GH7" i="8"/>
  <c r="GH18" i="8"/>
  <c r="GH17" i="8"/>
  <c r="GH10" i="8"/>
  <c r="GH19" i="8"/>
  <c r="GH3" i="8"/>
  <c r="FR151" i="7"/>
  <c r="FR149" i="7"/>
  <c r="FR150" i="7"/>
  <c r="FB55" i="9"/>
  <c r="FB54" i="9"/>
  <c r="FB49" i="9"/>
  <c r="FB48" i="9"/>
  <c r="FB53" i="9"/>
  <c r="FB46" i="9"/>
  <c r="FB45" i="9"/>
  <c r="FB43" i="9"/>
  <c r="FB44" i="9"/>
  <c r="FB47" i="9"/>
  <c r="FB39" i="9"/>
  <c r="FB42" i="9"/>
  <c r="FB40" i="9"/>
  <c r="FB37" i="9"/>
  <c r="FB35" i="9"/>
  <c r="FB33" i="9"/>
  <c r="FB31" i="9"/>
  <c r="FB29" i="9"/>
  <c r="FB38" i="9"/>
  <c r="FB34" i="9"/>
  <c r="FB32" i="9"/>
  <c r="FB30" i="9"/>
  <c r="FB41" i="9"/>
  <c r="FB36" i="9"/>
  <c r="FB27" i="9"/>
  <c r="FB25" i="9"/>
  <c r="FB26" i="9"/>
  <c r="FB24" i="9"/>
  <c r="FB22" i="9"/>
  <c r="FB20" i="9"/>
  <c r="FB18" i="9"/>
  <c r="FB16" i="9"/>
  <c r="FB13" i="9"/>
  <c r="FB21" i="9"/>
  <c r="FB11" i="9"/>
  <c r="FB9" i="9"/>
  <c r="FB7" i="9"/>
  <c r="FB5" i="9"/>
  <c r="FB28" i="9"/>
  <c r="FB23" i="9"/>
  <c r="FB12" i="9"/>
  <c r="FB15" i="9"/>
  <c r="FB10" i="9"/>
  <c r="FB6" i="9"/>
  <c r="FB19" i="9"/>
  <c r="FB17" i="9"/>
  <c r="FB4" i="9"/>
  <c r="FB14" i="9"/>
  <c r="FB2" i="9"/>
  <c r="FB3" i="9"/>
  <c r="FB8" i="9"/>
  <c r="ED151" i="7"/>
  <c r="ED149" i="7"/>
  <c r="ED150" i="7"/>
  <c r="ED55" i="8"/>
  <c r="ED48" i="8"/>
  <c r="ED54" i="8"/>
  <c r="ED47" i="8"/>
  <c r="ED42" i="8"/>
  <c r="ED34" i="8"/>
  <c r="ED32" i="8"/>
  <c r="ED30" i="8"/>
  <c r="ED28" i="8"/>
  <c r="ED26" i="8"/>
  <c r="ED24" i="8"/>
  <c r="ED37" i="8"/>
  <c r="ED49" i="8"/>
  <c r="ED36" i="8"/>
  <c r="ED31" i="8"/>
  <c r="ED43" i="8"/>
  <c r="ED44" i="8"/>
  <c r="ED53" i="8"/>
  <c r="ED45" i="8"/>
  <c r="ED46" i="8"/>
  <c r="ED40" i="8"/>
  <c r="ED39" i="8"/>
  <c r="ED33" i="8"/>
  <c r="ED25" i="8"/>
  <c r="ED23" i="8"/>
  <c r="ED38" i="8"/>
  <c r="ED22" i="8"/>
  <c r="ED17" i="8"/>
  <c r="ED6" i="8"/>
  <c r="ED16" i="8"/>
  <c r="ED11" i="8"/>
  <c r="ED3" i="8"/>
  <c r="ED29" i="8"/>
  <c r="ED35" i="8"/>
  <c r="ED27" i="8"/>
  <c r="ED18" i="8"/>
  <c r="ED13" i="8"/>
  <c r="ED41" i="8"/>
  <c r="ED14" i="8"/>
  <c r="ED15" i="8"/>
  <c r="ED7" i="8"/>
  <c r="ED8" i="8"/>
  <c r="ED10" i="8"/>
  <c r="ED9" i="8"/>
  <c r="ED20" i="8"/>
  <c r="ED19" i="8"/>
  <c r="ED12" i="8"/>
  <c r="ED5" i="8"/>
  <c r="ED2" i="8"/>
  <c r="ED21" i="8"/>
  <c r="ED4" i="8"/>
  <c r="DN55" i="9"/>
  <c r="DN54" i="9"/>
  <c r="DN53" i="9"/>
  <c r="DN49" i="9"/>
  <c r="DN48" i="9"/>
  <c r="DN47" i="9"/>
  <c r="DN46" i="9"/>
  <c r="DN43" i="9"/>
  <c r="DN44" i="9"/>
  <c r="DN45" i="9"/>
  <c r="DN39" i="9"/>
  <c r="DN38" i="9"/>
  <c r="DN37" i="9"/>
  <c r="DN35" i="9"/>
  <c r="DN33" i="9"/>
  <c r="DN31" i="9"/>
  <c r="DN29" i="9"/>
  <c r="DN34" i="9"/>
  <c r="DN41" i="9"/>
  <c r="DN36" i="9"/>
  <c r="DN32" i="9"/>
  <c r="DN30" i="9"/>
  <c r="DN27" i="9"/>
  <c r="DN42" i="9"/>
  <c r="DN26" i="9"/>
  <c r="DN28" i="9"/>
  <c r="DN24" i="9"/>
  <c r="DN22" i="9"/>
  <c r="DN20" i="9"/>
  <c r="DN18" i="9"/>
  <c r="DN16" i="9"/>
  <c r="DN40" i="9"/>
  <c r="DN17" i="9"/>
  <c r="DN11" i="9"/>
  <c r="DN9" i="9"/>
  <c r="DN7" i="9"/>
  <c r="DN5" i="9"/>
  <c r="DN13" i="9"/>
  <c r="DN12" i="9"/>
  <c r="DN25" i="9"/>
  <c r="DN15" i="9"/>
  <c r="DN23" i="9"/>
  <c r="DN19" i="9"/>
  <c r="DN21" i="9"/>
  <c r="DN10" i="9"/>
  <c r="DN8" i="9"/>
  <c r="DN4" i="9"/>
  <c r="DN6" i="9"/>
  <c r="DN14" i="9"/>
  <c r="DN2" i="9"/>
  <c r="DN3" i="9"/>
  <c r="BB150" i="7"/>
  <c r="BB54" i="9" s="1"/>
  <c r="BB149" i="7"/>
  <c r="BB53" i="9" s="1"/>
  <c r="BB151" i="7"/>
  <c r="AL151" i="7"/>
  <c r="AL149" i="7"/>
  <c r="AL150" i="7"/>
  <c r="AL48" i="9"/>
  <c r="AL49" i="9"/>
  <c r="AL47" i="9"/>
  <c r="AL46" i="9"/>
  <c r="AL42" i="9"/>
  <c r="AL41" i="9"/>
  <c r="AL44" i="9"/>
  <c r="AL45" i="9"/>
  <c r="AL43" i="9"/>
  <c r="AL40" i="9"/>
  <c r="AL39" i="9"/>
  <c r="AL37" i="9"/>
  <c r="AL35" i="9"/>
  <c r="AL33" i="9"/>
  <c r="AL34" i="9"/>
  <c r="AL31" i="9"/>
  <c r="AL36" i="9"/>
  <c r="AL27" i="9"/>
  <c r="AL28" i="9"/>
  <c r="AL38" i="9"/>
  <c r="AL24" i="9"/>
  <c r="AL22" i="9"/>
  <c r="AL20" i="9"/>
  <c r="AL18" i="9"/>
  <c r="AL16" i="9"/>
  <c r="AL23" i="9"/>
  <c r="AL11" i="9"/>
  <c r="AL9" i="9"/>
  <c r="AL7" i="9"/>
  <c r="AL5" i="9"/>
  <c r="AL32" i="9"/>
  <c r="AL29" i="9"/>
  <c r="AL30" i="9"/>
  <c r="AL14" i="9"/>
  <c r="AL15" i="9"/>
  <c r="AL12" i="9"/>
  <c r="AL8" i="9"/>
  <c r="AL25" i="9"/>
  <c r="AL26" i="9"/>
  <c r="AL10" i="9"/>
  <c r="AL2" i="9"/>
  <c r="AL21" i="9"/>
  <c r="AL17" i="9"/>
  <c r="AL4" i="9"/>
  <c r="AL19" i="9"/>
  <c r="AL6" i="9"/>
  <c r="AL13" i="9"/>
  <c r="AL3" i="9"/>
  <c r="EG149" i="7"/>
  <c r="EG150" i="7"/>
  <c r="EG151" i="7"/>
  <c r="EG53" i="9"/>
  <c r="EG55" i="9"/>
  <c r="EG54" i="9"/>
  <c r="EG47" i="9"/>
  <c r="EG49" i="9"/>
  <c r="EG46" i="9"/>
  <c r="EG44" i="9"/>
  <c r="EG42" i="9"/>
  <c r="EG45" i="9"/>
  <c r="EG40" i="9"/>
  <c r="EG39" i="9"/>
  <c r="EG38" i="9"/>
  <c r="EG41" i="9"/>
  <c r="EG36" i="9"/>
  <c r="EG48" i="9"/>
  <c r="EG35" i="9"/>
  <c r="EG37" i="9"/>
  <c r="EG31" i="9"/>
  <c r="EG34" i="9"/>
  <c r="EG43" i="9"/>
  <c r="EG33" i="9"/>
  <c r="EG32" i="9"/>
  <c r="EG30" i="9"/>
  <c r="EG26" i="9"/>
  <c r="EG20" i="9"/>
  <c r="EG15" i="9"/>
  <c r="EG13" i="9"/>
  <c r="EG29" i="9"/>
  <c r="EG27" i="9"/>
  <c r="EG28" i="9"/>
  <c r="EG16" i="9"/>
  <c r="EG11" i="9"/>
  <c r="EG3" i="9"/>
  <c r="EG21" i="9"/>
  <c r="EG22" i="9"/>
  <c r="EG25" i="9"/>
  <c r="EG24" i="9"/>
  <c r="EG23" i="9"/>
  <c r="EG19" i="9"/>
  <c r="EG8" i="9"/>
  <c r="EG18" i="9"/>
  <c r="EG10" i="9"/>
  <c r="EG9" i="9"/>
  <c r="EG12" i="9"/>
  <c r="EG14" i="9"/>
  <c r="EG17" i="9"/>
  <c r="EG6" i="9"/>
  <c r="EG7" i="9"/>
  <c r="EG5" i="9"/>
  <c r="EG4" i="9"/>
  <c r="EG2" i="9"/>
  <c r="CS53" i="9"/>
  <c r="CS55" i="9"/>
  <c r="CS54" i="9"/>
  <c r="CS47" i="9"/>
  <c r="CS48" i="9"/>
  <c r="CS49" i="9"/>
  <c r="CS45" i="9"/>
  <c r="CS44" i="9"/>
  <c r="CS46" i="9"/>
  <c r="CS43" i="9"/>
  <c r="CS40" i="9"/>
  <c r="CS36" i="9"/>
  <c r="CS31" i="9"/>
  <c r="CS35" i="9"/>
  <c r="CS34" i="9"/>
  <c r="CS32" i="9"/>
  <c r="CS42" i="9"/>
  <c r="CS39" i="9"/>
  <c r="CS38" i="9"/>
  <c r="CS33" i="9"/>
  <c r="CS37" i="9"/>
  <c r="CS41" i="9"/>
  <c r="CS29" i="9"/>
  <c r="CS21" i="9"/>
  <c r="CS20" i="9"/>
  <c r="CS15" i="9"/>
  <c r="CS14" i="9"/>
  <c r="CS30" i="9"/>
  <c r="CS27" i="9"/>
  <c r="CS28" i="9"/>
  <c r="CS22" i="9"/>
  <c r="CS17" i="9"/>
  <c r="CS11" i="9"/>
  <c r="CS26" i="9"/>
  <c r="CS25" i="9"/>
  <c r="CS9" i="9"/>
  <c r="CS3" i="9"/>
  <c r="CS12" i="9"/>
  <c r="CS24" i="9"/>
  <c r="CS23" i="9"/>
  <c r="CS19" i="9"/>
  <c r="CS10" i="9"/>
  <c r="CS7" i="9"/>
  <c r="CS6" i="9"/>
  <c r="CS5" i="9"/>
  <c r="CS8" i="9"/>
  <c r="CS18" i="9"/>
  <c r="CS16" i="9"/>
  <c r="CS4" i="9"/>
  <c r="CS13" i="9"/>
  <c r="CS2" i="9"/>
  <c r="JT55" i="9"/>
  <c r="JT53" i="9"/>
  <c r="JT48" i="9"/>
  <c r="JT46" i="9"/>
  <c r="JT44" i="9"/>
  <c r="JT54" i="9"/>
  <c r="JT45" i="9"/>
  <c r="JT49" i="9"/>
  <c r="JT47" i="9"/>
  <c r="JT39" i="9"/>
  <c r="JT41" i="9"/>
  <c r="JT36" i="9"/>
  <c r="JT34" i="9"/>
  <c r="JT32" i="9"/>
  <c r="JT38" i="9"/>
  <c r="JT42" i="9"/>
  <c r="JT43" i="9"/>
  <c r="JT35" i="9"/>
  <c r="JT26" i="9"/>
  <c r="JT37" i="9"/>
  <c r="JT23" i="9"/>
  <c r="JT21" i="9"/>
  <c r="JT19" i="9"/>
  <c r="JT17" i="9"/>
  <c r="JT15" i="9"/>
  <c r="JT13" i="9"/>
  <c r="JT28" i="9"/>
  <c r="JT40" i="9"/>
  <c r="JT33" i="9"/>
  <c r="JT30" i="9"/>
  <c r="JT25" i="9"/>
  <c r="JT14" i="9"/>
  <c r="JT24" i="9"/>
  <c r="JT29" i="9"/>
  <c r="JT27" i="9"/>
  <c r="JT20" i="9"/>
  <c r="JT7" i="9"/>
  <c r="JT3" i="9"/>
  <c r="JT22" i="9"/>
  <c r="JT31" i="9"/>
  <c r="JT9" i="9"/>
  <c r="JT6" i="9"/>
  <c r="JT16" i="9"/>
  <c r="JT12" i="9"/>
  <c r="JT10" i="9"/>
  <c r="JT11" i="9"/>
  <c r="JT18" i="9"/>
  <c r="JT5" i="9"/>
  <c r="JT8" i="9"/>
  <c r="JT4" i="9"/>
  <c r="JT2" i="9"/>
  <c r="EV54" i="8"/>
  <c r="EV48" i="8"/>
  <c r="EV53" i="8"/>
  <c r="EV47" i="8"/>
  <c r="EV44" i="8"/>
  <c r="EV42" i="8"/>
  <c r="EV40" i="8"/>
  <c r="EV38" i="8"/>
  <c r="EV36" i="8"/>
  <c r="EV49" i="8"/>
  <c r="EV45" i="8"/>
  <c r="EV55" i="8"/>
  <c r="EV34" i="8"/>
  <c r="EV32" i="8"/>
  <c r="EV30" i="8"/>
  <c r="EV25" i="8"/>
  <c r="EV41" i="8"/>
  <c r="EV37" i="8"/>
  <c r="EV22" i="8"/>
  <c r="EV20" i="8"/>
  <c r="EV18" i="8"/>
  <c r="EV16" i="8"/>
  <c r="EV14" i="8"/>
  <c r="EV12" i="8"/>
  <c r="EV10" i="8"/>
  <c r="EV8" i="8"/>
  <c r="EV6" i="8"/>
  <c r="EV4" i="8"/>
  <c r="EV2" i="8"/>
  <c r="EV43" i="8"/>
  <c r="EV39" i="8"/>
  <c r="EV27" i="8"/>
  <c r="EV24" i="8"/>
  <c r="EV23" i="8"/>
  <c r="EV28" i="8"/>
  <c r="EV15" i="8"/>
  <c r="EV9" i="8"/>
  <c r="EV46" i="8"/>
  <c r="EV31" i="8"/>
  <c r="EV33" i="8"/>
  <c r="EV29" i="8"/>
  <c r="EV35" i="8"/>
  <c r="EV11" i="8"/>
  <c r="EV26" i="8"/>
  <c r="EV13" i="8"/>
  <c r="EV5" i="8"/>
  <c r="EV21" i="8"/>
  <c r="EV7" i="8"/>
  <c r="EV17" i="8"/>
  <c r="EV19" i="8"/>
  <c r="EV3" i="8"/>
  <c r="CZ54" i="8"/>
  <c r="CZ48" i="8"/>
  <c r="CZ46" i="8"/>
  <c r="CZ44" i="8"/>
  <c r="CZ42" i="8"/>
  <c r="CZ40" i="8"/>
  <c r="CZ38" i="8"/>
  <c r="CZ53" i="8"/>
  <c r="CZ55" i="8"/>
  <c r="CZ39" i="8"/>
  <c r="CZ36" i="8"/>
  <c r="CZ47" i="8"/>
  <c r="CZ34" i="8"/>
  <c r="CZ32" i="8"/>
  <c r="CZ49" i="8"/>
  <c r="CZ45" i="8"/>
  <c r="CZ37" i="8"/>
  <c r="CZ33" i="8"/>
  <c r="CZ29" i="8"/>
  <c r="CZ26" i="8"/>
  <c r="CZ24" i="8"/>
  <c r="CZ23" i="8"/>
  <c r="CZ22" i="8"/>
  <c r="CZ20" i="8"/>
  <c r="CZ18" i="8"/>
  <c r="CZ16" i="8"/>
  <c r="CZ14" i="8"/>
  <c r="CZ12" i="8"/>
  <c r="CZ10" i="8"/>
  <c r="CZ8" i="8"/>
  <c r="CZ6" i="8"/>
  <c r="CZ4" i="8"/>
  <c r="CZ2" i="8"/>
  <c r="CZ41" i="8"/>
  <c r="CZ43" i="8"/>
  <c r="CZ28" i="8"/>
  <c r="CZ19" i="8"/>
  <c r="CZ35" i="8"/>
  <c r="CZ13" i="8"/>
  <c r="CZ31" i="8"/>
  <c r="CZ25" i="8"/>
  <c r="CZ15" i="8"/>
  <c r="CZ11" i="8"/>
  <c r="CZ27" i="8"/>
  <c r="CZ21" i="8"/>
  <c r="CZ7" i="8"/>
  <c r="CZ30" i="8"/>
  <c r="CZ9" i="8"/>
  <c r="CZ17" i="8"/>
  <c r="CZ3" i="8"/>
  <c r="CZ5" i="8"/>
  <c r="AC55" i="8"/>
  <c r="AC49" i="8"/>
  <c r="AC47" i="8"/>
  <c r="AC45" i="8"/>
  <c r="AC43" i="8"/>
  <c r="AC41" i="8"/>
  <c r="AC39" i="8"/>
  <c r="AC37" i="8"/>
  <c r="AC46" i="8"/>
  <c r="AC34" i="8"/>
  <c r="AC32" i="8"/>
  <c r="AC30" i="8"/>
  <c r="AC28" i="8"/>
  <c r="AC26" i="8"/>
  <c r="AC40" i="8"/>
  <c r="AC33" i="8"/>
  <c r="AC21" i="8"/>
  <c r="AC19" i="8"/>
  <c r="AC17" i="8"/>
  <c r="AC15" i="8"/>
  <c r="AC13" i="8"/>
  <c r="AC11" i="8"/>
  <c r="AC9" i="8"/>
  <c r="AC7" i="8"/>
  <c r="AC5" i="8"/>
  <c r="AC3" i="8"/>
  <c r="AC42" i="8"/>
  <c r="AC36" i="8"/>
  <c r="AC29" i="8"/>
  <c r="AC24" i="8"/>
  <c r="AC48" i="8"/>
  <c r="AC44" i="8"/>
  <c r="AC18" i="8"/>
  <c r="AC12" i="8"/>
  <c r="AC31" i="8"/>
  <c r="AC14" i="8"/>
  <c r="AC20" i="8"/>
  <c r="AC6" i="8"/>
  <c r="AC27" i="8"/>
  <c r="AC23" i="8"/>
  <c r="AC22" i="8"/>
  <c r="AC4" i="8"/>
  <c r="AC16" i="8"/>
  <c r="AC8" i="8"/>
  <c r="AC38" i="8"/>
  <c r="AC10" i="8"/>
  <c r="AC25" i="8"/>
  <c r="AC2" i="8"/>
  <c r="AC35" i="8"/>
  <c r="DK54" i="8"/>
  <c r="DK46" i="8"/>
  <c r="DK49" i="8"/>
  <c r="DK53" i="8"/>
  <c r="DK44" i="8"/>
  <c r="DK42" i="8"/>
  <c r="DK40" i="8"/>
  <c r="DK47" i="8"/>
  <c r="DK39" i="8"/>
  <c r="DK36" i="8"/>
  <c r="DK55" i="8"/>
  <c r="DK37" i="8"/>
  <c r="DK43" i="8"/>
  <c r="DK34" i="8"/>
  <c r="DK48" i="8"/>
  <c r="DK29" i="8"/>
  <c r="DK45" i="8"/>
  <c r="DK24" i="8"/>
  <c r="DK22" i="8"/>
  <c r="DK20" i="8"/>
  <c r="DK18" i="8"/>
  <c r="DK16" i="8"/>
  <c r="DK14" i="8"/>
  <c r="DK12" i="8"/>
  <c r="DK10" i="8"/>
  <c r="DK8" i="8"/>
  <c r="DK6" i="8"/>
  <c r="DK4" i="8"/>
  <c r="DK41" i="8"/>
  <c r="DK19" i="8"/>
  <c r="DK32" i="8"/>
  <c r="DK31" i="8"/>
  <c r="DK13" i="8"/>
  <c r="DK33" i="8"/>
  <c r="DK35" i="8"/>
  <c r="DK38" i="8"/>
  <c r="DK15" i="8"/>
  <c r="DK3" i="8"/>
  <c r="DK27" i="8"/>
  <c r="DK17" i="8"/>
  <c r="DK9" i="8"/>
  <c r="DK26" i="8"/>
  <c r="DK28" i="8"/>
  <c r="DK11" i="8"/>
  <c r="DK30" i="8"/>
  <c r="DK23" i="8"/>
  <c r="DK25" i="8"/>
  <c r="DK5" i="8"/>
  <c r="DK21" i="8"/>
  <c r="DK7" i="8"/>
  <c r="DK2" i="8"/>
  <c r="J49" i="9"/>
  <c r="J47" i="9"/>
  <c r="J48" i="9"/>
  <c r="J44" i="9"/>
  <c r="J45" i="9"/>
  <c r="J43" i="9"/>
  <c r="J42" i="9"/>
  <c r="J41" i="9"/>
  <c r="J40" i="9"/>
  <c r="J39" i="9"/>
  <c r="J38" i="9"/>
  <c r="J36" i="9"/>
  <c r="J34" i="9"/>
  <c r="J35" i="9"/>
  <c r="J32" i="9"/>
  <c r="J30" i="9"/>
  <c r="J46" i="9"/>
  <c r="J33" i="9"/>
  <c r="J29" i="9"/>
  <c r="J28" i="9"/>
  <c r="J26" i="9"/>
  <c r="J37" i="9"/>
  <c r="J25" i="9"/>
  <c r="J23" i="9"/>
  <c r="J21" i="9"/>
  <c r="J19" i="9"/>
  <c r="J17" i="9"/>
  <c r="J15" i="9"/>
  <c r="J13" i="9"/>
  <c r="J24" i="9"/>
  <c r="J12" i="9"/>
  <c r="J10" i="9"/>
  <c r="J8" i="9"/>
  <c r="J6" i="9"/>
  <c r="J31" i="9"/>
  <c r="J27" i="9"/>
  <c r="J20" i="9"/>
  <c r="J9" i="9"/>
  <c r="J22" i="9"/>
  <c r="J18" i="9"/>
  <c r="J7" i="9"/>
  <c r="J14" i="9"/>
  <c r="J3" i="9"/>
  <c r="J16" i="9"/>
  <c r="J11" i="9"/>
  <c r="J4" i="9"/>
  <c r="J5" i="9"/>
  <c r="J2" i="9"/>
  <c r="CK54" i="8"/>
  <c r="CK48" i="8"/>
  <c r="CK46" i="8"/>
  <c r="CK44" i="8"/>
  <c r="CK42" i="8"/>
  <c r="CK40" i="8"/>
  <c r="CK38" i="8"/>
  <c r="CK36" i="8"/>
  <c r="CK45" i="8"/>
  <c r="CK39" i="8"/>
  <c r="CK35" i="8"/>
  <c r="CK33" i="8"/>
  <c r="CK31" i="8"/>
  <c r="CK29" i="8"/>
  <c r="CK27" i="8"/>
  <c r="CK25" i="8"/>
  <c r="CK55" i="8"/>
  <c r="CK41" i="8"/>
  <c r="CK53" i="8"/>
  <c r="CK22" i="8"/>
  <c r="CK20" i="8"/>
  <c r="CK18" i="8"/>
  <c r="CK16" i="8"/>
  <c r="CK14" i="8"/>
  <c r="CK12" i="8"/>
  <c r="CK10" i="8"/>
  <c r="CK8" i="8"/>
  <c r="CK6" i="8"/>
  <c r="CK4" i="8"/>
  <c r="CK2" i="8"/>
  <c r="CK34" i="8"/>
  <c r="CK28" i="8"/>
  <c r="CK43" i="8"/>
  <c r="CK47" i="8"/>
  <c r="CK49" i="8"/>
  <c r="CK37" i="8"/>
  <c r="CK26" i="8"/>
  <c r="CK24" i="8"/>
  <c r="CK9" i="8"/>
  <c r="CK19" i="8"/>
  <c r="CK32" i="8"/>
  <c r="CK30" i="8"/>
  <c r="CK21" i="8"/>
  <c r="CK5" i="8"/>
  <c r="CK13" i="8"/>
  <c r="CK7" i="8"/>
  <c r="CK15" i="8"/>
  <c r="CK23" i="8"/>
  <c r="CK17" i="8"/>
  <c r="CK3" i="8"/>
  <c r="CK11" i="8"/>
  <c r="CK53" i="9"/>
  <c r="CK47" i="9"/>
  <c r="CK49" i="9"/>
  <c r="CK48" i="9"/>
  <c r="CK55" i="9"/>
  <c r="CK45" i="9"/>
  <c r="CK46" i="9"/>
  <c r="CK44" i="9"/>
  <c r="CK54" i="9"/>
  <c r="CK43" i="9"/>
  <c r="CK34" i="9"/>
  <c r="CK32" i="9"/>
  <c r="CK40" i="9"/>
  <c r="CK36" i="9"/>
  <c r="CK31" i="9"/>
  <c r="CK33" i="9"/>
  <c r="CK41" i="9"/>
  <c r="CK37" i="9"/>
  <c r="CK35" i="9"/>
  <c r="CK28" i="9"/>
  <c r="CK39" i="9"/>
  <c r="CK38" i="9"/>
  <c r="CK42" i="9"/>
  <c r="CK29" i="9"/>
  <c r="CK25" i="9"/>
  <c r="CK24" i="9"/>
  <c r="CK19" i="9"/>
  <c r="CK18" i="9"/>
  <c r="CK12" i="9"/>
  <c r="CK20" i="9"/>
  <c r="CK15" i="9"/>
  <c r="CK11" i="9"/>
  <c r="CK3" i="9"/>
  <c r="CK13" i="9"/>
  <c r="CK27" i="9"/>
  <c r="CK26" i="9"/>
  <c r="CK30" i="9"/>
  <c r="CK16" i="9"/>
  <c r="CK9" i="9"/>
  <c r="CK5" i="9"/>
  <c r="CK4" i="9"/>
  <c r="CK23" i="9"/>
  <c r="CK17" i="9"/>
  <c r="CK6" i="9"/>
  <c r="CK2" i="9"/>
  <c r="CK22" i="9"/>
  <c r="CK14" i="9"/>
  <c r="CK21" i="9"/>
  <c r="CK7" i="9"/>
  <c r="CK10" i="9"/>
  <c r="CK8" i="9"/>
  <c r="JH150" i="7"/>
  <c r="JH149" i="7"/>
  <c r="JH151" i="7"/>
  <c r="JV149" i="7"/>
  <c r="JV151" i="7"/>
  <c r="JV150" i="7"/>
  <c r="DO151" i="7"/>
  <c r="DO150" i="7"/>
  <c r="DO149" i="7"/>
  <c r="GO55" i="8"/>
  <c r="GO53" i="8"/>
  <c r="GO49" i="8"/>
  <c r="GO47" i="8"/>
  <c r="GO46" i="8"/>
  <c r="GO45" i="8"/>
  <c r="GO43" i="8"/>
  <c r="GO41" i="8"/>
  <c r="GO39" i="8"/>
  <c r="GO37" i="8"/>
  <c r="GO48" i="8"/>
  <c r="GO42" i="8"/>
  <c r="GO34" i="8"/>
  <c r="GO32" i="8"/>
  <c r="GO30" i="8"/>
  <c r="GO28" i="8"/>
  <c r="GO26" i="8"/>
  <c r="GO24" i="8"/>
  <c r="GO54" i="8"/>
  <c r="GO44" i="8"/>
  <c r="GO36" i="8"/>
  <c r="GO21" i="8"/>
  <c r="GO19" i="8"/>
  <c r="GO17" i="8"/>
  <c r="GO15" i="8"/>
  <c r="GO13" i="8"/>
  <c r="GO11" i="8"/>
  <c r="GO9" i="8"/>
  <c r="GO7" i="8"/>
  <c r="GO5" i="8"/>
  <c r="GO3" i="8"/>
  <c r="GO40" i="8"/>
  <c r="GO31" i="8"/>
  <c r="GO23" i="8"/>
  <c r="GO12" i="8"/>
  <c r="GO27" i="8"/>
  <c r="GO6" i="8"/>
  <c r="GO33" i="8"/>
  <c r="GO35" i="8"/>
  <c r="GO38" i="8"/>
  <c r="GO29" i="8"/>
  <c r="GO8" i="8"/>
  <c r="GO2" i="8"/>
  <c r="GO14" i="8"/>
  <c r="GO22" i="8"/>
  <c r="GO16" i="8"/>
  <c r="GO10" i="8"/>
  <c r="GO18" i="8"/>
  <c r="GO25" i="8"/>
  <c r="GO20" i="8"/>
  <c r="GO4" i="8"/>
  <c r="BI48" i="9"/>
  <c r="BI49" i="9"/>
  <c r="BI46" i="9"/>
  <c r="BI47" i="9"/>
  <c r="BI43" i="9"/>
  <c r="BI45" i="9"/>
  <c r="BI44" i="9"/>
  <c r="BI41" i="9"/>
  <c r="BI39" i="9"/>
  <c r="BI42" i="9"/>
  <c r="BI40" i="9"/>
  <c r="BI35" i="9"/>
  <c r="BI32" i="9"/>
  <c r="BI38" i="9"/>
  <c r="BI37" i="9"/>
  <c r="BI36" i="9"/>
  <c r="BI30" i="9"/>
  <c r="BI31" i="9"/>
  <c r="BI33" i="9"/>
  <c r="BI34" i="9"/>
  <c r="BI20" i="9"/>
  <c r="BI19" i="9"/>
  <c r="BI13" i="9"/>
  <c r="BI28" i="9"/>
  <c r="BI27" i="9"/>
  <c r="BI29" i="9"/>
  <c r="BI21" i="9"/>
  <c r="BI16" i="9"/>
  <c r="BI10" i="9"/>
  <c r="BI26" i="9"/>
  <c r="BI23" i="9"/>
  <c r="BI22" i="9"/>
  <c r="BI15" i="9"/>
  <c r="BI8" i="9"/>
  <c r="BI4" i="9"/>
  <c r="BI2" i="9"/>
  <c r="BI24" i="9"/>
  <c r="BI14" i="9"/>
  <c r="BI25" i="9"/>
  <c r="BI6" i="9"/>
  <c r="BI5" i="9"/>
  <c r="BI12" i="9"/>
  <c r="BI3" i="9"/>
  <c r="BI18" i="9"/>
  <c r="BI17" i="9"/>
  <c r="BI11" i="9"/>
  <c r="BI7" i="9"/>
  <c r="BI9" i="9"/>
  <c r="E55" i="9"/>
  <c r="E48" i="9"/>
  <c r="E47" i="9"/>
  <c r="E43" i="9"/>
  <c r="E44" i="9"/>
  <c r="E46" i="9"/>
  <c r="E49" i="9"/>
  <c r="E40" i="9"/>
  <c r="E41" i="9"/>
  <c r="E37" i="9"/>
  <c r="E32" i="9"/>
  <c r="E39" i="9"/>
  <c r="E38" i="9"/>
  <c r="E45" i="9"/>
  <c r="E36" i="9"/>
  <c r="E33" i="9"/>
  <c r="E26" i="9"/>
  <c r="E34" i="9"/>
  <c r="E42" i="9"/>
  <c r="E35" i="9"/>
  <c r="E30" i="9"/>
  <c r="E29" i="9"/>
  <c r="E22" i="9"/>
  <c r="E27" i="9"/>
  <c r="E21" i="9"/>
  <c r="E16" i="9"/>
  <c r="E28" i="9"/>
  <c r="E31" i="9"/>
  <c r="E23" i="9"/>
  <c r="E18" i="9"/>
  <c r="E12" i="9"/>
  <c r="E10" i="9"/>
  <c r="E25" i="9"/>
  <c r="E24" i="9"/>
  <c r="E17" i="9"/>
  <c r="E4" i="9"/>
  <c r="E2" i="9"/>
  <c r="E19" i="9"/>
  <c r="E20" i="9"/>
  <c r="E11" i="9"/>
  <c r="E7" i="9"/>
  <c r="E15" i="9"/>
  <c r="E14" i="9"/>
  <c r="E13" i="9"/>
  <c r="E9" i="9"/>
  <c r="E3" i="9"/>
  <c r="E8" i="9"/>
  <c r="E6" i="9"/>
  <c r="E5" i="9"/>
  <c r="BW151" i="7"/>
  <c r="BW55" i="9" s="1"/>
  <c r="BW150" i="7"/>
  <c r="BW149" i="7"/>
  <c r="BD48" i="8"/>
  <c r="BD44" i="8"/>
  <c r="BD42" i="8"/>
  <c r="BD40" i="8"/>
  <c r="BD38" i="8"/>
  <c r="BD49" i="8"/>
  <c r="BD43" i="8"/>
  <c r="BD46" i="8"/>
  <c r="BD47" i="8"/>
  <c r="BD39" i="8"/>
  <c r="BD34" i="8"/>
  <c r="BD32" i="8"/>
  <c r="BD30" i="8"/>
  <c r="BD25" i="8"/>
  <c r="BD31" i="8"/>
  <c r="BD22" i="8"/>
  <c r="BD20" i="8"/>
  <c r="BD18" i="8"/>
  <c r="BD16" i="8"/>
  <c r="BD14" i="8"/>
  <c r="BD12" i="8"/>
  <c r="BD10" i="8"/>
  <c r="BD8" i="8"/>
  <c r="BD6" i="8"/>
  <c r="BD4" i="8"/>
  <c r="BD2" i="8"/>
  <c r="BD45" i="8"/>
  <c r="BD41" i="8"/>
  <c r="BD37" i="8"/>
  <c r="BD33" i="8"/>
  <c r="BD27" i="8"/>
  <c r="BD29" i="8"/>
  <c r="BD26" i="8"/>
  <c r="BD7" i="8"/>
  <c r="BD36" i="8"/>
  <c r="BD24" i="8"/>
  <c r="BD17" i="8"/>
  <c r="BD35" i="8"/>
  <c r="BD19" i="8"/>
  <c r="BD23" i="8"/>
  <c r="BD15" i="8"/>
  <c r="BD9" i="8"/>
  <c r="BD11" i="8"/>
  <c r="BD28" i="8"/>
  <c r="BD21" i="8"/>
  <c r="BD13" i="8"/>
  <c r="BD5" i="8"/>
  <c r="BD3" i="8"/>
  <c r="FV149" i="7"/>
  <c r="FV151" i="7"/>
  <c r="FV150" i="7"/>
  <c r="IB55" i="8"/>
  <c r="IB53" i="8"/>
  <c r="IB49" i="8"/>
  <c r="IB47" i="8"/>
  <c r="IB45" i="8"/>
  <c r="IB43" i="8"/>
  <c r="IB41" i="8"/>
  <c r="IB39" i="8"/>
  <c r="IB37" i="8"/>
  <c r="IB46" i="8"/>
  <c r="IB42" i="8"/>
  <c r="IB36" i="8"/>
  <c r="IB54" i="8"/>
  <c r="IB44" i="8"/>
  <c r="IB35" i="8"/>
  <c r="IB33" i="8"/>
  <c r="IB31" i="8"/>
  <c r="IB27" i="8"/>
  <c r="IB21" i="8"/>
  <c r="IB19" i="8"/>
  <c r="IB17" i="8"/>
  <c r="IB15" i="8"/>
  <c r="IB13" i="8"/>
  <c r="IB11" i="8"/>
  <c r="IB9" i="8"/>
  <c r="IB7" i="8"/>
  <c r="IB5" i="8"/>
  <c r="IB3" i="8"/>
  <c r="IB48" i="8"/>
  <c r="IB29" i="8"/>
  <c r="IB24" i="8"/>
  <c r="IB40" i="8"/>
  <c r="IB28" i="8"/>
  <c r="IB25" i="8"/>
  <c r="IB12" i="8"/>
  <c r="IB6" i="8"/>
  <c r="IB2" i="8"/>
  <c r="IB32" i="8"/>
  <c r="IB38" i="8"/>
  <c r="IB34" i="8"/>
  <c r="IB22" i="8"/>
  <c r="IB8" i="8"/>
  <c r="IB14" i="8"/>
  <c r="IB16" i="8"/>
  <c r="IB23" i="8"/>
  <c r="IB10" i="8"/>
  <c r="IB18" i="8"/>
  <c r="IB4" i="8"/>
  <c r="IB26" i="8"/>
  <c r="IB20" i="8"/>
  <c r="IB30" i="8"/>
  <c r="HT55" i="8"/>
  <c r="HT53" i="8"/>
  <c r="HT49" i="8"/>
  <c r="HT47" i="8"/>
  <c r="HT45" i="8"/>
  <c r="HT43" i="8"/>
  <c r="HT41" i="8"/>
  <c r="HT39" i="8"/>
  <c r="HT37" i="8"/>
  <c r="HT40" i="8"/>
  <c r="HT48" i="8"/>
  <c r="HT42" i="8"/>
  <c r="HT35" i="8"/>
  <c r="HT33" i="8"/>
  <c r="HT31" i="8"/>
  <c r="HT28" i="8"/>
  <c r="HT25" i="8"/>
  <c r="HT38" i="8"/>
  <c r="HT34" i="8"/>
  <c r="HT21" i="8"/>
  <c r="HT19" i="8"/>
  <c r="HT17" i="8"/>
  <c r="HT15" i="8"/>
  <c r="HT13" i="8"/>
  <c r="HT11" i="8"/>
  <c r="HT9" i="8"/>
  <c r="HT7" i="8"/>
  <c r="HT5" i="8"/>
  <c r="HT3" i="8"/>
  <c r="HT54" i="8"/>
  <c r="HT46" i="8"/>
  <c r="HT44" i="8"/>
  <c r="HT27" i="8"/>
  <c r="HT29" i="8"/>
  <c r="HT10" i="8"/>
  <c r="HT24" i="8"/>
  <c r="HT20" i="8"/>
  <c r="HT4" i="8"/>
  <c r="HT36" i="8"/>
  <c r="HT30" i="8"/>
  <c r="HT32" i="8"/>
  <c r="HT26" i="8"/>
  <c r="HT6" i="8"/>
  <c r="HT18" i="8"/>
  <c r="HT12" i="8"/>
  <c r="HT14" i="8"/>
  <c r="HT8" i="8"/>
  <c r="HT23" i="8"/>
  <c r="HT22" i="8"/>
  <c r="HT16" i="8"/>
  <c r="HT2" i="8"/>
  <c r="HL55" i="8"/>
  <c r="HL53" i="8"/>
  <c r="HL49" i="8"/>
  <c r="HL47" i="8"/>
  <c r="HL48" i="8"/>
  <c r="HL45" i="8"/>
  <c r="HL43" i="8"/>
  <c r="HL41" i="8"/>
  <c r="HL39" i="8"/>
  <c r="HL37" i="8"/>
  <c r="HL46" i="8"/>
  <c r="HL44" i="8"/>
  <c r="HL54" i="8"/>
  <c r="HL40" i="8"/>
  <c r="HL35" i="8"/>
  <c r="HL33" i="8"/>
  <c r="HL31" i="8"/>
  <c r="HL26" i="8"/>
  <c r="HL32" i="8"/>
  <c r="HL21" i="8"/>
  <c r="HL19" i="8"/>
  <c r="HL17" i="8"/>
  <c r="HL15" i="8"/>
  <c r="HL13" i="8"/>
  <c r="HL11" i="8"/>
  <c r="HL9" i="8"/>
  <c r="HL7" i="8"/>
  <c r="HL5" i="8"/>
  <c r="HL3" i="8"/>
  <c r="HL34" i="8"/>
  <c r="HL28" i="8"/>
  <c r="HL25" i="8"/>
  <c r="HL8" i="8"/>
  <c r="HL18" i="8"/>
  <c r="HL29" i="8"/>
  <c r="HL42" i="8"/>
  <c r="HL36" i="8"/>
  <c r="HL30" i="8"/>
  <c r="HL27" i="8"/>
  <c r="HL22" i="8"/>
  <c r="HL20" i="8"/>
  <c r="HL4" i="8"/>
  <c r="HL23" i="8"/>
  <c r="HL16" i="8"/>
  <c r="HL24" i="8"/>
  <c r="HL10" i="8"/>
  <c r="HL12" i="8"/>
  <c r="HL38" i="8"/>
  <c r="HL6" i="8"/>
  <c r="HL14" i="8"/>
  <c r="HL2" i="8"/>
  <c r="JQ55" i="8"/>
  <c r="JQ53" i="8"/>
  <c r="JQ49" i="8"/>
  <c r="JQ47" i="8"/>
  <c r="JQ45" i="8"/>
  <c r="JQ54" i="8"/>
  <c r="JQ43" i="8"/>
  <c r="JQ41" i="8"/>
  <c r="JQ39" i="8"/>
  <c r="JQ37" i="8"/>
  <c r="JQ35" i="8"/>
  <c r="JQ48" i="8"/>
  <c r="JQ46" i="8"/>
  <c r="JQ34" i="8"/>
  <c r="JQ32" i="8"/>
  <c r="JQ30" i="8"/>
  <c r="JQ28" i="8"/>
  <c r="JQ26" i="8"/>
  <c r="JQ24" i="8"/>
  <c r="JQ31" i="8"/>
  <c r="JQ21" i="8"/>
  <c r="JQ19" i="8"/>
  <c r="JQ17" i="8"/>
  <c r="JQ15" i="8"/>
  <c r="JQ13" i="8"/>
  <c r="JQ11" i="8"/>
  <c r="JQ9" i="8"/>
  <c r="JQ7" i="8"/>
  <c r="JQ5" i="8"/>
  <c r="JQ3" i="8"/>
  <c r="JQ42" i="8"/>
  <c r="JQ27" i="8"/>
  <c r="JQ23" i="8"/>
  <c r="JQ22" i="8"/>
  <c r="JQ44" i="8"/>
  <c r="JQ40" i="8"/>
  <c r="JQ16" i="8"/>
  <c r="JQ38" i="8"/>
  <c r="JQ29" i="8"/>
  <c r="JQ10" i="8"/>
  <c r="JQ36" i="8"/>
  <c r="JQ33" i="8"/>
  <c r="JQ12" i="8"/>
  <c r="JQ14" i="8"/>
  <c r="JQ6" i="8"/>
  <c r="JQ8" i="8"/>
  <c r="JQ18" i="8"/>
  <c r="JQ20" i="8"/>
  <c r="JQ4" i="8"/>
  <c r="JQ25" i="8"/>
  <c r="JQ2" i="8"/>
  <c r="BY49" i="8"/>
  <c r="BY47" i="8"/>
  <c r="BY45" i="8"/>
  <c r="BY43" i="8"/>
  <c r="BY41" i="8"/>
  <c r="BY39" i="8"/>
  <c r="BY37" i="8"/>
  <c r="BY46" i="8"/>
  <c r="BY44" i="8"/>
  <c r="BY36" i="8"/>
  <c r="BY34" i="8"/>
  <c r="BY32" i="8"/>
  <c r="BY30" i="8"/>
  <c r="BY28" i="8"/>
  <c r="BY26" i="8"/>
  <c r="BY38" i="8"/>
  <c r="BY23" i="8"/>
  <c r="BY21" i="8"/>
  <c r="BY19" i="8"/>
  <c r="BY17" i="8"/>
  <c r="BY15" i="8"/>
  <c r="BY13" i="8"/>
  <c r="BY11" i="8"/>
  <c r="BY9" i="8"/>
  <c r="BY7" i="8"/>
  <c r="BY5" i="8"/>
  <c r="BY3" i="8"/>
  <c r="BY25" i="8"/>
  <c r="BY48" i="8"/>
  <c r="BY40" i="8"/>
  <c r="BY31" i="8"/>
  <c r="BY14" i="8"/>
  <c r="BY2" i="8"/>
  <c r="BY33" i="8"/>
  <c r="BY27" i="8"/>
  <c r="BY8" i="8"/>
  <c r="BY42" i="8"/>
  <c r="BY35" i="8"/>
  <c r="BY24" i="8"/>
  <c r="BY10" i="8"/>
  <c r="BY16" i="8"/>
  <c r="BY18" i="8"/>
  <c r="BY29" i="8"/>
  <c r="BY12" i="8"/>
  <c r="BY20" i="8"/>
  <c r="BY6" i="8"/>
  <c r="BY4" i="8"/>
  <c r="BY22" i="8"/>
  <c r="BG151" i="7"/>
  <c r="BG149" i="7"/>
  <c r="BG150" i="7"/>
  <c r="AI46" i="8"/>
  <c r="AI44" i="8"/>
  <c r="AI42" i="8"/>
  <c r="AI40" i="8"/>
  <c r="AI48" i="8"/>
  <c r="AI45" i="8"/>
  <c r="AI38" i="8"/>
  <c r="AI36" i="8"/>
  <c r="AI43" i="8"/>
  <c r="AI35" i="8"/>
  <c r="AI28" i="8"/>
  <c r="AI25" i="8"/>
  <c r="AI49" i="8"/>
  <c r="AI47" i="8"/>
  <c r="AI41" i="8"/>
  <c r="AI22" i="8"/>
  <c r="AI20" i="8"/>
  <c r="AI18" i="8"/>
  <c r="AI16" i="8"/>
  <c r="AI14" i="8"/>
  <c r="AI12" i="8"/>
  <c r="AI10" i="8"/>
  <c r="AI8" i="8"/>
  <c r="AI6" i="8"/>
  <c r="AI37" i="8"/>
  <c r="AI31" i="8"/>
  <c r="AI15" i="8"/>
  <c r="AI2" i="8"/>
  <c r="AI32" i="8"/>
  <c r="AI26" i="8"/>
  <c r="AI23" i="8"/>
  <c r="AI9" i="8"/>
  <c r="AI34" i="8"/>
  <c r="AI33" i="8"/>
  <c r="AI29" i="8"/>
  <c r="AI39" i="8"/>
  <c r="AI11" i="8"/>
  <c r="AI4" i="8"/>
  <c r="AI27" i="8"/>
  <c r="AI17" i="8"/>
  <c r="AI19" i="8"/>
  <c r="AI13" i="8"/>
  <c r="AI30" i="8"/>
  <c r="AI21" i="8"/>
  <c r="AI5" i="8"/>
  <c r="AI3" i="8"/>
  <c r="AI7" i="8"/>
  <c r="AI24" i="8"/>
  <c r="HR54" i="8"/>
  <c r="HR47" i="8"/>
  <c r="HR53" i="8"/>
  <c r="HR55" i="8"/>
  <c r="HR49" i="8"/>
  <c r="HR48" i="8"/>
  <c r="HR41" i="8"/>
  <c r="HR35" i="8"/>
  <c r="HR33" i="8"/>
  <c r="HR31" i="8"/>
  <c r="HR29" i="8"/>
  <c r="HR27" i="8"/>
  <c r="HR25" i="8"/>
  <c r="HR23" i="8"/>
  <c r="HR36" i="8"/>
  <c r="HR39" i="8"/>
  <c r="HR30" i="8"/>
  <c r="HR40" i="8"/>
  <c r="HR42" i="8"/>
  <c r="HR46" i="8"/>
  <c r="HR43" i="8"/>
  <c r="HR37" i="8"/>
  <c r="HR32" i="8"/>
  <c r="HR24" i="8"/>
  <c r="HR22" i="8"/>
  <c r="HR34" i="8"/>
  <c r="HR26" i="8"/>
  <c r="HR21" i="8"/>
  <c r="HR16" i="8"/>
  <c r="HR5" i="8"/>
  <c r="HR44" i="8"/>
  <c r="HR15" i="8"/>
  <c r="HR10" i="8"/>
  <c r="HR2" i="8"/>
  <c r="HR45" i="8"/>
  <c r="HR38" i="8"/>
  <c r="HR17" i="8"/>
  <c r="HR12" i="8"/>
  <c r="HR19" i="8"/>
  <c r="HR18" i="8"/>
  <c r="HR11" i="8"/>
  <c r="HR4" i="8"/>
  <c r="HR28" i="8"/>
  <c r="HR20" i="8"/>
  <c r="HR13" i="8"/>
  <c r="HR14" i="8"/>
  <c r="HR6" i="8"/>
  <c r="HR7" i="8"/>
  <c r="HR9" i="8"/>
  <c r="HR8" i="8"/>
  <c r="HR3" i="8"/>
  <c r="HQ54" i="9"/>
  <c r="HQ53" i="9"/>
  <c r="HQ47" i="9"/>
  <c r="HQ49" i="9"/>
  <c r="HQ55" i="9"/>
  <c r="HQ46" i="9"/>
  <c r="HQ48" i="9"/>
  <c r="HQ45" i="9"/>
  <c r="HQ42" i="9"/>
  <c r="HQ43" i="9"/>
  <c r="HQ44" i="9"/>
  <c r="HQ39" i="9"/>
  <c r="HQ36" i="9"/>
  <c r="HQ31" i="9"/>
  <c r="HQ40" i="9"/>
  <c r="HQ37" i="9"/>
  <c r="HQ35" i="9"/>
  <c r="HQ34" i="9"/>
  <c r="HQ32" i="9"/>
  <c r="HQ30" i="9"/>
  <c r="HQ25" i="9"/>
  <c r="HQ38" i="9"/>
  <c r="HQ41" i="9"/>
  <c r="HQ33" i="9"/>
  <c r="HQ21" i="9"/>
  <c r="HQ20" i="9"/>
  <c r="HQ15" i="9"/>
  <c r="HQ14" i="9"/>
  <c r="HQ29" i="9"/>
  <c r="HQ27" i="9"/>
  <c r="HQ28" i="9"/>
  <c r="HQ22" i="9"/>
  <c r="HQ17" i="9"/>
  <c r="HQ11" i="9"/>
  <c r="HQ9" i="9"/>
  <c r="HQ26" i="9"/>
  <c r="HQ3" i="9"/>
  <c r="HQ24" i="9"/>
  <c r="HQ23" i="9"/>
  <c r="HQ16" i="9"/>
  <c r="HQ13" i="9"/>
  <c r="HQ10" i="9"/>
  <c r="HQ6" i="9"/>
  <c r="HQ12" i="9"/>
  <c r="HQ18" i="9"/>
  <c r="HQ19" i="9"/>
  <c r="HQ8" i="9"/>
  <c r="HQ5" i="9"/>
  <c r="HQ2" i="9"/>
  <c r="HQ7" i="9"/>
  <c r="HQ4" i="9"/>
  <c r="CS149" i="7"/>
  <c r="CS150" i="7"/>
  <c r="CS151" i="7"/>
  <c r="IZ55" i="8"/>
  <c r="IZ53" i="8"/>
  <c r="IZ49" i="8"/>
  <c r="IZ47" i="8"/>
  <c r="IZ46" i="8"/>
  <c r="IZ45" i="8"/>
  <c r="IZ43" i="8"/>
  <c r="IZ41" i="8"/>
  <c r="IZ39" i="8"/>
  <c r="IZ37" i="8"/>
  <c r="IZ38" i="8"/>
  <c r="IZ35" i="8"/>
  <c r="IZ54" i="8"/>
  <c r="IZ33" i="8"/>
  <c r="IZ31" i="8"/>
  <c r="IZ32" i="8"/>
  <c r="IZ28" i="8"/>
  <c r="IZ25" i="8"/>
  <c r="IZ23" i="8"/>
  <c r="IZ22" i="8"/>
  <c r="IZ21" i="8"/>
  <c r="IZ19" i="8"/>
  <c r="IZ17" i="8"/>
  <c r="IZ15" i="8"/>
  <c r="IZ13" i="8"/>
  <c r="IZ11" i="8"/>
  <c r="IZ9" i="8"/>
  <c r="IZ7" i="8"/>
  <c r="IZ5" i="8"/>
  <c r="IZ3" i="8"/>
  <c r="IZ44" i="8"/>
  <c r="IZ48" i="8"/>
  <c r="IZ40" i="8"/>
  <c r="IZ27" i="8"/>
  <c r="IZ18" i="8"/>
  <c r="IZ29" i="8"/>
  <c r="IZ12" i="8"/>
  <c r="IZ36" i="8"/>
  <c r="IZ42" i="8"/>
  <c r="IZ34" i="8"/>
  <c r="IZ30" i="8"/>
  <c r="IZ14" i="8"/>
  <c r="IZ26" i="8"/>
  <c r="IZ2" i="8"/>
  <c r="IZ16" i="8"/>
  <c r="IZ8" i="8"/>
  <c r="IZ10" i="8"/>
  <c r="IZ24" i="8"/>
  <c r="IZ20" i="8"/>
  <c r="IZ6" i="8"/>
  <c r="IZ4" i="8"/>
  <c r="IJ151" i="7"/>
  <c r="IJ150" i="7"/>
  <c r="IJ149" i="7"/>
  <c r="HD150" i="7"/>
  <c r="HD149" i="7"/>
  <c r="HD151" i="7"/>
  <c r="GN150" i="7"/>
  <c r="GN149" i="7"/>
  <c r="GN151" i="7"/>
  <c r="DT55" i="8"/>
  <c r="DT53" i="8"/>
  <c r="DT49" i="8"/>
  <c r="DT47" i="8"/>
  <c r="DT54" i="8"/>
  <c r="DT48" i="8"/>
  <c r="DT46" i="8"/>
  <c r="DT45" i="8"/>
  <c r="DT43" i="8"/>
  <c r="DT41" i="8"/>
  <c r="DT39" i="8"/>
  <c r="DT37" i="8"/>
  <c r="DT36" i="8"/>
  <c r="DT35" i="8"/>
  <c r="DT33" i="8"/>
  <c r="DT31" i="8"/>
  <c r="DT26" i="8"/>
  <c r="DT38" i="8"/>
  <c r="DT21" i="8"/>
  <c r="DT19" i="8"/>
  <c r="DT17" i="8"/>
  <c r="DT15" i="8"/>
  <c r="DT13" i="8"/>
  <c r="DT11" i="8"/>
  <c r="DT9" i="8"/>
  <c r="DT7" i="8"/>
  <c r="DT5" i="8"/>
  <c r="DT3" i="8"/>
  <c r="DT40" i="8"/>
  <c r="DT42" i="8"/>
  <c r="DT28" i="8"/>
  <c r="DT25" i="8"/>
  <c r="DT24" i="8"/>
  <c r="DT29" i="8"/>
  <c r="DT23" i="8"/>
  <c r="DT16" i="8"/>
  <c r="DT10" i="8"/>
  <c r="DT30" i="8"/>
  <c r="DT44" i="8"/>
  <c r="DT32" i="8"/>
  <c r="DT12" i="8"/>
  <c r="DT34" i="8"/>
  <c r="DT2" i="8"/>
  <c r="DT18" i="8"/>
  <c r="DT4" i="8"/>
  <c r="DT20" i="8"/>
  <c r="DT14" i="8"/>
  <c r="DT27" i="8"/>
  <c r="DT22" i="8"/>
  <c r="DT8" i="8"/>
  <c r="DT6" i="8"/>
  <c r="BH49" i="9"/>
  <c r="BH47" i="9"/>
  <c r="BH45" i="9"/>
  <c r="BH48" i="9"/>
  <c r="BH46" i="9"/>
  <c r="BH42" i="9"/>
  <c r="BH44" i="9"/>
  <c r="BH40" i="9"/>
  <c r="BH37" i="9"/>
  <c r="BH35" i="9"/>
  <c r="BH33" i="9"/>
  <c r="BH39" i="9"/>
  <c r="BH38" i="9"/>
  <c r="BH36" i="9"/>
  <c r="BH27" i="9"/>
  <c r="BH41" i="9"/>
  <c r="BH34" i="9"/>
  <c r="BH25" i="9"/>
  <c r="BH24" i="9"/>
  <c r="BH22" i="9"/>
  <c r="BH20" i="9"/>
  <c r="BH18" i="9"/>
  <c r="BH16" i="9"/>
  <c r="BH14" i="9"/>
  <c r="BH12" i="9"/>
  <c r="BH31" i="9"/>
  <c r="BH43" i="9"/>
  <c r="BH29" i="9"/>
  <c r="BH26" i="9"/>
  <c r="BH32" i="9"/>
  <c r="BH30" i="9"/>
  <c r="BH15" i="9"/>
  <c r="BH28" i="9"/>
  <c r="BH23" i="9"/>
  <c r="BH8" i="9"/>
  <c r="BH4" i="9"/>
  <c r="BH2" i="9"/>
  <c r="BH10" i="9"/>
  <c r="BH7" i="9"/>
  <c r="BH17" i="9"/>
  <c r="BH11" i="9"/>
  <c r="BH21" i="9"/>
  <c r="BH6" i="9"/>
  <c r="BH19" i="9"/>
  <c r="BH13" i="9"/>
  <c r="BH9" i="9"/>
  <c r="BH5" i="9"/>
  <c r="BH3" i="9"/>
  <c r="JG54" i="8"/>
  <c r="JG47" i="8"/>
  <c r="JG44" i="8"/>
  <c r="JG42" i="8"/>
  <c r="JG40" i="8"/>
  <c r="JG38" i="8"/>
  <c r="JG55" i="8"/>
  <c r="JG45" i="8"/>
  <c r="JG39" i="8"/>
  <c r="JG53" i="8"/>
  <c r="JG46" i="8"/>
  <c r="JG41" i="8"/>
  <c r="JG36" i="8"/>
  <c r="JG49" i="8"/>
  <c r="JG34" i="8"/>
  <c r="JG27" i="8"/>
  <c r="JG48" i="8"/>
  <c r="JG43" i="8"/>
  <c r="JG31" i="8"/>
  <c r="JG20" i="8"/>
  <c r="JG18" i="8"/>
  <c r="JG16" i="8"/>
  <c r="JG14" i="8"/>
  <c r="JG12" i="8"/>
  <c r="JG10" i="8"/>
  <c r="JG8" i="8"/>
  <c r="JG6" i="8"/>
  <c r="JG4" i="8"/>
  <c r="JG9" i="8"/>
  <c r="JG23" i="8"/>
  <c r="JG19" i="8"/>
  <c r="JG35" i="8"/>
  <c r="JG28" i="8"/>
  <c r="JG37" i="8"/>
  <c r="JG30" i="8"/>
  <c r="JG32" i="8"/>
  <c r="JG29" i="8"/>
  <c r="JG21" i="8"/>
  <c r="JG5" i="8"/>
  <c r="JG25" i="8"/>
  <c r="JG22" i="8"/>
  <c r="JG11" i="8"/>
  <c r="JG13" i="8"/>
  <c r="JG7" i="8"/>
  <c r="JG24" i="8"/>
  <c r="JG15" i="8"/>
  <c r="JG33" i="8"/>
  <c r="JG26" i="8"/>
  <c r="JG2" i="8"/>
  <c r="JG17" i="8"/>
  <c r="JG3" i="8"/>
  <c r="IA54" i="8"/>
  <c r="IA55" i="8"/>
  <c r="IA47" i="8"/>
  <c r="IA44" i="8"/>
  <c r="IA42" i="8"/>
  <c r="IA40" i="8"/>
  <c r="IA46" i="8"/>
  <c r="IA38" i="8"/>
  <c r="IA49" i="8"/>
  <c r="IA32" i="8"/>
  <c r="IA27" i="8"/>
  <c r="IA43" i="8"/>
  <c r="IA53" i="8"/>
  <c r="IA45" i="8"/>
  <c r="IA48" i="8"/>
  <c r="IA39" i="8"/>
  <c r="IA23" i="8"/>
  <c r="IA22" i="8"/>
  <c r="IA20" i="8"/>
  <c r="IA18" i="8"/>
  <c r="IA16" i="8"/>
  <c r="IA14" i="8"/>
  <c r="IA12" i="8"/>
  <c r="IA10" i="8"/>
  <c r="IA8" i="8"/>
  <c r="IA6" i="8"/>
  <c r="IA4" i="8"/>
  <c r="IA30" i="8"/>
  <c r="IA17" i="8"/>
  <c r="IA36" i="8"/>
  <c r="IA31" i="8"/>
  <c r="IA28" i="8"/>
  <c r="IA25" i="8"/>
  <c r="IA11" i="8"/>
  <c r="IA41" i="8"/>
  <c r="IA33" i="8"/>
  <c r="IA37" i="8"/>
  <c r="IA34" i="8"/>
  <c r="IA35" i="8"/>
  <c r="IA24" i="8"/>
  <c r="IA13" i="8"/>
  <c r="IA29" i="8"/>
  <c r="IA26" i="8"/>
  <c r="IA15" i="8"/>
  <c r="IA7" i="8"/>
  <c r="IA9" i="8"/>
  <c r="IA19" i="8"/>
  <c r="IA5" i="8"/>
  <c r="IA3" i="8"/>
  <c r="IA2" i="8"/>
  <c r="IA21" i="8"/>
  <c r="EI151" i="7"/>
  <c r="EI149" i="7"/>
  <c r="EI150" i="7"/>
  <c r="CE151" i="7"/>
  <c r="CE55" i="8" s="1"/>
  <c r="CE149" i="7"/>
  <c r="CE150" i="7"/>
  <c r="BO47" i="8"/>
  <c r="BO44" i="8"/>
  <c r="BO42" i="8"/>
  <c r="BO40" i="8"/>
  <c r="BO43" i="8"/>
  <c r="BO39" i="8"/>
  <c r="BO38" i="8"/>
  <c r="BO37" i="8"/>
  <c r="BO33" i="8"/>
  <c r="BO24" i="8"/>
  <c r="BO41" i="8"/>
  <c r="BO32" i="8"/>
  <c r="BO28" i="8"/>
  <c r="BO25" i="8"/>
  <c r="BO23" i="8"/>
  <c r="BO46" i="8"/>
  <c r="BO49" i="8"/>
  <c r="BO48" i="8"/>
  <c r="BO45" i="8"/>
  <c r="BO34" i="8"/>
  <c r="BO22" i="8"/>
  <c r="BO20" i="8"/>
  <c r="BO18" i="8"/>
  <c r="BO16" i="8"/>
  <c r="BO14" i="8"/>
  <c r="BO12" i="8"/>
  <c r="BO10" i="8"/>
  <c r="BO8" i="8"/>
  <c r="BO6" i="8"/>
  <c r="BO35" i="8"/>
  <c r="BO7" i="8"/>
  <c r="BO2" i="8"/>
  <c r="BO17" i="8"/>
  <c r="BO31" i="8"/>
  <c r="BO29" i="8"/>
  <c r="BO36" i="8"/>
  <c r="BO30" i="8"/>
  <c r="BO27" i="8"/>
  <c r="BO19" i="8"/>
  <c r="BO4" i="8"/>
  <c r="BO26" i="8"/>
  <c r="BO5" i="8"/>
  <c r="BO21" i="8"/>
  <c r="BO13" i="8"/>
  <c r="BO15" i="8"/>
  <c r="BO9" i="8"/>
  <c r="BO11" i="8"/>
  <c r="BO3" i="8"/>
  <c r="CA151" i="7"/>
  <c r="CA150" i="7"/>
  <c r="CA149" i="7"/>
  <c r="JY55" i="8"/>
  <c r="JY53" i="8"/>
  <c r="JY49" i="8"/>
  <c r="JY47" i="8"/>
  <c r="JY45" i="8"/>
  <c r="JY43" i="8"/>
  <c r="JY41" i="8"/>
  <c r="JY39" i="8"/>
  <c r="JY37" i="8"/>
  <c r="JY35" i="8"/>
  <c r="JY54" i="8"/>
  <c r="JY38" i="8"/>
  <c r="JY34" i="8"/>
  <c r="JY32" i="8"/>
  <c r="JY30" i="8"/>
  <c r="JY28" i="8"/>
  <c r="JY26" i="8"/>
  <c r="JY24" i="8"/>
  <c r="JY44" i="8"/>
  <c r="JY36" i="8"/>
  <c r="JY33" i="8"/>
  <c r="JY21" i="8"/>
  <c r="JY19" i="8"/>
  <c r="JY17" i="8"/>
  <c r="JY15" i="8"/>
  <c r="JY13" i="8"/>
  <c r="JY11" i="8"/>
  <c r="JY9" i="8"/>
  <c r="JY7" i="8"/>
  <c r="JY5" i="8"/>
  <c r="JY3" i="8"/>
  <c r="JY46" i="8"/>
  <c r="JY29" i="8"/>
  <c r="JY40" i="8"/>
  <c r="JY42" i="8"/>
  <c r="JY18" i="8"/>
  <c r="JY12" i="8"/>
  <c r="JY31" i="8"/>
  <c r="JY14" i="8"/>
  <c r="JY10" i="8"/>
  <c r="JY23" i="8"/>
  <c r="JY22" i="8"/>
  <c r="JY48" i="8"/>
  <c r="JY25" i="8"/>
  <c r="JY20" i="8"/>
  <c r="JY6" i="8"/>
  <c r="JY27" i="8"/>
  <c r="JY4" i="8"/>
  <c r="JY2" i="8"/>
  <c r="JY8" i="8"/>
  <c r="JY16" i="8"/>
  <c r="JI55" i="8"/>
  <c r="JI53" i="8"/>
  <c r="JI49" i="8"/>
  <c r="JI47" i="8"/>
  <c r="JI45" i="8"/>
  <c r="JI43" i="8"/>
  <c r="JI41" i="8"/>
  <c r="JI39" i="8"/>
  <c r="JI37" i="8"/>
  <c r="JI35" i="8"/>
  <c r="JI46" i="8"/>
  <c r="JI36" i="8"/>
  <c r="JI44" i="8"/>
  <c r="JI34" i="8"/>
  <c r="JI32" i="8"/>
  <c r="JI30" i="8"/>
  <c r="JI28" i="8"/>
  <c r="JI26" i="8"/>
  <c r="JI24" i="8"/>
  <c r="JI23" i="8"/>
  <c r="JI22" i="8"/>
  <c r="JI21" i="8"/>
  <c r="JI19" i="8"/>
  <c r="JI17" i="8"/>
  <c r="JI15" i="8"/>
  <c r="JI13" i="8"/>
  <c r="JI11" i="8"/>
  <c r="JI9" i="8"/>
  <c r="JI7" i="8"/>
  <c r="JI5" i="8"/>
  <c r="JI3" i="8"/>
  <c r="JI25" i="8"/>
  <c r="JI54" i="8"/>
  <c r="JI40" i="8"/>
  <c r="JI48" i="8"/>
  <c r="JI42" i="8"/>
  <c r="JI14" i="8"/>
  <c r="JI2" i="8"/>
  <c r="JI8" i="8"/>
  <c r="JI38" i="8"/>
  <c r="JI31" i="8"/>
  <c r="JI33" i="8"/>
  <c r="JI10" i="8"/>
  <c r="JI12" i="8"/>
  <c r="JI4" i="8"/>
  <c r="JI20" i="8"/>
  <c r="JI27" i="8"/>
  <c r="JI6" i="8"/>
  <c r="JI29" i="8"/>
  <c r="JI16" i="8"/>
  <c r="JI18" i="8"/>
  <c r="IC55" i="8"/>
  <c r="IC53" i="8"/>
  <c r="IC49" i="8"/>
  <c r="IC47" i="8"/>
  <c r="IC45" i="8"/>
  <c r="IC43" i="8"/>
  <c r="IC41" i="8"/>
  <c r="IC39" i="8"/>
  <c r="IC37" i="8"/>
  <c r="IC35" i="8"/>
  <c r="IC54" i="8"/>
  <c r="IC42" i="8"/>
  <c r="IC36" i="8"/>
  <c r="IC34" i="8"/>
  <c r="IC32" i="8"/>
  <c r="IC30" i="8"/>
  <c r="IC28" i="8"/>
  <c r="IC26" i="8"/>
  <c r="IC24" i="8"/>
  <c r="IC38" i="8"/>
  <c r="IC21" i="8"/>
  <c r="IC19" i="8"/>
  <c r="IC17" i="8"/>
  <c r="IC15" i="8"/>
  <c r="IC13" i="8"/>
  <c r="IC11" i="8"/>
  <c r="IC9" i="8"/>
  <c r="IC7" i="8"/>
  <c r="IC5" i="8"/>
  <c r="IC3" i="8"/>
  <c r="IC31" i="8"/>
  <c r="IC25" i="8"/>
  <c r="IC46" i="8"/>
  <c r="IC44" i="8"/>
  <c r="IC48" i="8"/>
  <c r="IC40" i="8"/>
  <c r="IC33" i="8"/>
  <c r="IC6" i="8"/>
  <c r="IC2" i="8"/>
  <c r="IC16" i="8"/>
  <c r="IC29" i="8"/>
  <c r="IC27" i="8"/>
  <c r="IC18" i="8"/>
  <c r="IC14" i="8"/>
  <c r="IC23" i="8"/>
  <c r="IC8" i="8"/>
  <c r="IC10" i="8"/>
  <c r="IC22" i="8"/>
  <c r="IC20" i="8"/>
  <c r="IC12" i="8"/>
  <c r="IC4" i="8"/>
  <c r="GG55" i="8"/>
  <c r="GG53" i="8"/>
  <c r="GG49" i="8"/>
  <c r="GG47" i="8"/>
  <c r="GG45" i="8"/>
  <c r="GG43" i="8"/>
  <c r="GG41" i="8"/>
  <c r="GG39" i="8"/>
  <c r="GG37" i="8"/>
  <c r="GG48" i="8"/>
  <c r="GG46" i="8"/>
  <c r="GG40" i="8"/>
  <c r="GG34" i="8"/>
  <c r="GG32" i="8"/>
  <c r="GG30" i="8"/>
  <c r="GG28" i="8"/>
  <c r="GG26" i="8"/>
  <c r="GG24" i="8"/>
  <c r="GG54" i="8"/>
  <c r="GG42" i="8"/>
  <c r="GG21" i="8"/>
  <c r="GG19" i="8"/>
  <c r="GG17" i="8"/>
  <c r="GG15" i="8"/>
  <c r="GG13" i="8"/>
  <c r="GG11" i="8"/>
  <c r="GG9" i="8"/>
  <c r="GG7" i="8"/>
  <c r="GG5" i="8"/>
  <c r="GG3" i="8"/>
  <c r="GG35" i="8"/>
  <c r="GG29" i="8"/>
  <c r="GG44" i="8"/>
  <c r="GG23" i="8"/>
  <c r="GG22" i="8"/>
  <c r="GG10" i="8"/>
  <c r="GG20" i="8"/>
  <c r="GG4" i="8"/>
  <c r="GG31" i="8"/>
  <c r="GG33" i="8"/>
  <c r="GG6" i="8"/>
  <c r="GG25" i="8"/>
  <c r="GG12" i="8"/>
  <c r="GG2" i="8"/>
  <c r="GG27" i="8"/>
  <c r="GG14" i="8"/>
  <c r="GG36" i="8"/>
  <c r="GG8" i="8"/>
  <c r="GG16" i="8"/>
  <c r="GG38" i="8"/>
  <c r="GG18" i="8"/>
  <c r="FA55" i="8"/>
  <c r="FA53" i="8"/>
  <c r="FA49" i="8"/>
  <c r="FA47" i="8"/>
  <c r="FA45" i="8"/>
  <c r="FA43" i="8"/>
  <c r="FA41" i="8"/>
  <c r="FA39" i="8"/>
  <c r="FA37" i="8"/>
  <c r="FA48" i="8"/>
  <c r="FA34" i="8"/>
  <c r="FA32" i="8"/>
  <c r="FA30" i="8"/>
  <c r="FA28" i="8"/>
  <c r="FA26" i="8"/>
  <c r="FA24" i="8"/>
  <c r="FA54" i="8"/>
  <c r="FA33" i="8"/>
  <c r="FA21" i="8"/>
  <c r="FA19" i="8"/>
  <c r="FA17" i="8"/>
  <c r="FA15" i="8"/>
  <c r="FA13" i="8"/>
  <c r="FA11" i="8"/>
  <c r="FA9" i="8"/>
  <c r="FA7" i="8"/>
  <c r="FA5" i="8"/>
  <c r="FA3" i="8"/>
  <c r="FA38" i="8"/>
  <c r="FA29" i="8"/>
  <c r="FA44" i="8"/>
  <c r="FA46" i="8"/>
  <c r="FA40" i="8"/>
  <c r="FA42" i="8"/>
  <c r="FA36" i="8"/>
  <c r="FA31" i="8"/>
  <c r="FA18" i="8"/>
  <c r="FA12" i="8"/>
  <c r="FA35" i="8"/>
  <c r="FA25" i="8"/>
  <c r="FA14" i="8"/>
  <c r="FA2" i="8"/>
  <c r="FA16" i="8"/>
  <c r="FA8" i="8"/>
  <c r="FA27" i="8"/>
  <c r="FA10" i="8"/>
  <c r="FA23" i="8"/>
  <c r="FA20" i="8"/>
  <c r="FA6" i="8"/>
  <c r="FA4" i="8"/>
  <c r="FA22" i="8"/>
  <c r="BY49" i="9"/>
  <c r="BY48" i="9"/>
  <c r="BY43" i="9"/>
  <c r="BY47" i="9"/>
  <c r="BY45" i="9"/>
  <c r="BY44" i="9"/>
  <c r="BY46" i="9"/>
  <c r="BY42" i="9"/>
  <c r="BY39" i="9"/>
  <c r="BY41" i="9"/>
  <c r="BY34" i="9"/>
  <c r="BY35" i="9"/>
  <c r="BY38" i="9"/>
  <c r="BY33" i="9"/>
  <c r="BY28" i="9"/>
  <c r="BY37" i="9"/>
  <c r="BY31" i="9"/>
  <c r="BY25" i="9"/>
  <c r="BY40" i="9"/>
  <c r="BY36" i="9"/>
  <c r="BY30" i="9"/>
  <c r="BY29" i="9"/>
  <c r="BY24" i="9"/>
  <c r="BY23" i="9"/>
  <c r="BY18" i="9"/>
  <c r="BY14" i="9"/>
  <c r="BY27" i="9"/>
  <c r="BY32" i="9"/>
  <c r="BY20" i="9"/>
  <c r="BY10" i="9"/>
  <c r="BY21" i="9"/>
  <c r="BY6" i="9"/>
  <c r="BY5" i="9"/>
  <c r="BY2" i="9"/>
  <c r="BY22" i="9"/>
  <c r="BY11" i="9"/>
  <c r="BY4" i="9"/>
  <c r="BY26" i="9"/>
  <c r="BY19" i="9"/>
  <c r="BY13" i="9"/>
  <c r="BY9" i="9"/>
  <c r="BY16" i="9"/>
  <c r="BY17" i="9"/>
  <c r="BY15" i="9"/>
  <c r="BY7" i="9"/>
  <c r="BY12" i="9"/>
  <c r="BY8" i="9"/>
  <c r="BY3" i="9"/>
  <c r="BQ150" i="7"/>
  <c r="BQ149" i="7"/>
  <c r="BQ53" i="9" s="1"/>
  <c r="BQ151" i="7"/>
  <c r="BQ48" i="9"/>
  <c r="BQ45" i="9"/>
  <c r="BQ49" i="9"/>
  <c r="BQ46" i="9"/>
  <c r="BQ43" i="9"/>
  <c r="BQ44" i="9"/>
  <c r="BQ47" i="9"/>
  <c r="BQ40" i="9"/>
  <c r="BQ38" i="9"/>
  <c r="BQ42" i="9"/>
  <c r="BQ37" i="9"/>
  <c r="BQ41" i="9"/>
  <c r="BQ39" i="9"/>
  <c r="BQ32" i="9"/>
  <c r="BQ36" i="9"/>
  <c r="BQ33" i="9"/>
  <c r="BQ26" i="9"/>
  <c r="BQ25" i="9"/>
  <c r="BQ30" i="9"/>
  <c r="BQ29" i="9"/>
  <c r="BQ34" i="9"/>
  <c r="BQ35" i="9"/>
  <c r="BQ27" i="9"/>
  <c r="BQ22" i="9"/>
  <c r="BQ28" i="9"/>
  <c r="BQ21" i="9"/>
  <c r="BQ16" i="9"/>
  <c r="BQ12" i="9"/>
  <c r="BQ31" i="9"/>
  <c r="BQ23" i="9"/>
  <c r="BQ18" i="9"/>
  <c r="BQ10" i="9"/>
  <c r="BQ4" i="9"/>
  <c r="BQ2" i="9"/>
  <c r="BQ19" i="9"/>
  <c r="BQ13" i="9"/>
  <c r="BQ20" i="9"/>
  <c r="BQ11" i="9"/>
  <c r="BQ7" i="9"/>
  <c r="BQ15" i="9"/>
  <c r="BQ14" i="9"/>
  <c r="BQ9" i="9"/>
  <c r="BQ24" i="9"/>
  <c r="BQ17" i="9"/>
  <c r="BQ8" i="9"/>
  <c r="BQ6" i="9"/>
  <c r="BQ5" i="9"/>
  <c r="BQ3" i="9"/>
  <c r="JO54" i="9"/>
  <c r="JO49" i="9"/>
  <c r="JO45" i="9"/>
  <c r="JO46" i="9"/>
  <c r="JO48" i="9"/>
  <c r="JO44" i="9"/>
  <c r="JO42" i="9"/>
  <c r="JO40" i="9"/>
  <c r="JO47" i="9"/>
  <c r="JO43" i="9"/>
  <c r="JO41" i="9"/>
  <c r="JO38" i="9"/>
  <c r="JO39" i="9"/>
  <c r="JO37" i="9"/>
  <c r="JO35" i="9"/>
  <c r="JO33" i="9"/>
  <c r="JO55" i="9"/>
  <c r="JO53" i="9"/>
  <c r="JO32" i="9"/>
  <c r="JO30" i="9"/>
  <c r="JO28" i="9"/>
  <c r="JO27" i="9"/>
  <c r="JO25" i="9"/>
  <c r="JO26" i="9"/>
  <c r="JO34" i="9"/>
  <c r="JO24" i="9"/>
  <c r="JO22" i="9"/>
  <c r="JO20" i="9"/>
  <c r="JO18" i="9"/>
  <c r="JO16" i="9"/>
  <c r="JO14" i="9"/>
  <c r="JO12" i="9"/>
  <c r="JO36" i="9"/>
  <c r="JO29" i="9"/>
  <c r="JO10" i="9"/>
  <c r="JO8" i="9"/>
  <c r="JO31" i="9"/>
  <c r="JO21" i="9"/>
  <c r="JO13" i="9"/>
  <c r="JO23" i="9"/>
  <c r="JO19" i="9"/>
  <c r="JO9" i="9"/>
  <c r="JO11" i="9"/>
  <c r="JO3" i="9"/>
  <c r="JO17" i="9"/>
  <c r="JO15" i="9"/>
  <c r="JO5" i="9"/>
  <c r="JO6" i="9"/>
  <c r="JO4" i="9"/>
  <c r="JO2" i="9"/>
  <c r="JO7" i="9"/>
  <c r="GU53" i="9"/>
  <c r="GU54" i="9"/>
  <c r="GU55" i="9"/>
  <c r="GU48" i="9"/>
  <c r="GU45" i="9"/>
  <c r="GU46" i="9"/>
  <c r="GU44" i="9"/>
  <c r="GU42" i="9"/>
  <c r="GU40" i="9"/>
  <c r="GU49" i="9"/>
  <c r="GU41" i="9"/>
  <c r="GU39" i="9"/>
  <c r="GU38" i="9"/>
  <c r="GU37" i="9"/>
  <c r="GU35" i="9"/>
  <c r="GU33" i="9"/>
  <c r="GU30" i="9"/>
  <c r="GU28" i="9"/>
  <c r="GU36" i="9"/>
  <c r="GU27" i="9"/>
  <c r="GU25" i="9"/>
  <c r="GU34" i="9"/>
  <c r="GU31" i="9"/>
  <c r="GU24" i="9"/>
  <c r="GU22" i="9"/>
  <c r="GU20" i="9"/>
  <c r="GU18" i="9"/>
  <c r="GU16" i="9"/>
  <c r="GU14" i="9"/>
  <c r="GU12" i="9"/>
  <c r="GU47" i="9"/>
  <c r="GU43" i="9"/>
  <c r="GU32" i="9"/>
  <c r="GU10" i="9"/>
  <c r="GU8" i="9"/>
  <c r="GU29" i="9"/>
  <c r="GU19" i="9"/>
  <c r="GU21" i="9"/>
  <c r="GU23" i="9"/>
  <c r="GU15" i="9"/>
  <c r="GU26" i="9"/>
  <c r="GU9" i="9"/>
  <c r="GU3" i="9"/>
  <c r="GU11" i="9"/>
  <c r="GU4" i="9"/>
  <c r="GU2" i="9"/>
  <c r="GU13" i="9"/>
  <c r="GU17" i="9"/>
  <c r="GU6" i="9"/>
  <c r="GU5" i="9"/>
  <c r="GU7" i="9"/>
  <c r="EA149" i="7"/>
  <c r="EA150" i="7"/>
  <c r="EA151" i="7"/>
  <c r="EA54" i="9"/>
  <c r="EA55" i="9"/>
  <c r="EA53" i="9"/>
  <c r="EA47" i="9"/>
  <c r="EA45" i="9"/>
  <c r="EA49" i="9"/>
  <c r="EA48" i="9"/>
  <c r="EA44" i="9"/>
  <c r="EA42" i="9"/>
  <c r="EA40" i="9"/>
  <c r="EA38" i="9"/>
  <c r="EA37" i="9"/>
  <c r="EA35" i="9"/>
  <c r="EA33" i="9"/>
  <c r="EA46" i="9"/>
  <c r="EA41" i="9"/>
  <c r="EA30" i="9"/>
  <c r="EA43" i="9"/>
  <c r="EA31" i="9"/>
  <c r="EA29" i="9"/>
  <c r="EA27" i="9"/>
  <c r="EA25" i="9"/>
  <c r="EA24" i="9"/>
  <c r="EA22" i="9"/>
  <c r="EA20" i="9"/>
  <c r="EA18" i="9"/>
  <c r="EA16" i="9"/>
  <c r="EA14" i="9"/>
  <c r="EA12" i="9"/>
  <c r="EA36" i="9"/>
  <c r="EA39" i="9"/>
  <c r="EA34" i="9"/>
  <c r="EA23" i="9"/>
  <c r="EA10" i="9"/>
  <c r="EA8" i="9"/>
  <c r="EA32" i="9"/>
  <c r="EA28" i="9"/>
  <c r="EA17" i="9"/>
  <c r="EA26" i="9"/>
  <c r="EA19" i="9"/>
  <c r="EA11" i="9"/>
  <c r="EA7" i="9"/>
  <c r="EA6" i="9"/>
  <c r="EA5" i="9"/>
  <c r="EA21" i="9"/>
  <c r="EA9" i="9"/>
  <c r="EA3" i="9"/>
  <c r="EA4" i="9"/>
  <c r="EA15" i="9"/>
  <c r="EA13" i="9"/>
  <c r="EA2" i="9"/>
  <c r="DJ48" i="8"/>
  <c r="DJ46" i="8"/>
  <c r="DJ54" i="8"/>
  <c r="DJ45" i="8"/>
  <c r="DJ40" i="8"/>
  <c r="DJ35" i="8"/>
  <c r="DJ33" i="8"/>
  <c r="DJ31" i="8"/>
  <c r="DJ29" i="8"/>
  <c r="DJ27" i="8"/>
  <c r="DJ25" i="8"/>
  <c r="DJ23" i="8"/>
  <c r="DJ47" i="8"/>
  <c r="DJ39" i="8"/>
  <c r="DJ36" i="8"/>
  <c r="DJ55" i="8"/>
  <c r="DJ49" i="8"/>
  <c r="DJ41" i="8"/>
  <c r="DJ26" i="8"/>
  <c r="DJ53" i="8"/>
  <c r="DJ43" i="8"/>
  <c r="DJ42" i="8"/>
  <c r="DJ34" i="8"/>
  <c r="DJ44" i="8"/>
  <c r="DJ38" i="8"/>
  <c r="DJ28" i="8"/>
  <c r="DJ30" i="8"/>
  <c r="DJ20" i="8"/>
  <c r="DJ9" i="8"/>
  <c r="DJ4" i="8"/>
  <c r="DJ37" i="8"/>
  <c r="DJ19" i="8"/>
  <c r="DJ14" i="8"/>
  <c r="DJ32" i="8"/>
  <c r="DJ21" i="8"/>
  <c r="DJ16" i="8"/>
  <c r="DJ5" i="8"/>
  <c r="DJ7" i="8"/>
  <c r="DJ6" i="8"/>
  <c r="DJ22" i="8"/>
  <c r="DJ15" i="8"/>
  <c r="DJ8" i="8"/>
  <c r="DJ24" i="8"/>
  <c r="DJ17" i="8"/>
  <c r="DJ18" i="8"/>
  <c r="DJ10" i="8"/>
  <c r="DJ11" i="8"/>
  <c r="DJ13" i="8"/>
  <c r="DJ12" i="8"/>
  <c r="DJ3" i="8"/>
  <c r="DJ2" i="8"/>
  <c r="GK54" i="8"/>
  <c r="GK48" i="8"/>
  <c r="GK46" i="8"/>
  <c r="GK44" i="8"/>
  <c r="GK42" i="8"/>
  <c r="GK40" i="8"/>
  <c r="GK38" i="8"/>
  <c r="GK36" i="8"/>
  <c r="GK47" i="8"/>
  <c r="GK53" i="8"/>
  <c r="GK39" i="8"/>
  <c r="GK35" i="8"/>
  <c r="GK33" i="8"/>
  <c r="GK31" i="8"/>
  <c r="GK29" i="8"/>
  <c r="GK27" i="8"/>
  <c r="GK25" i="8"/>
  <c r="GK55" i="8"/>
  <c r="GK34" i="8"/>
  <c r="GK20" i="8"/>
  <c r="GK18" i="8"/>
  <c r="GK16" i="8"/>
  <c r="GK14" i="8"/>
  <c r="GK12" i="8"/>
  <c r="GK10" i="8"/>
  <c r="GK8" i="8"/>
  <c r="GK6" i="8"/>
  <c r="GK4" i="8"/>
  <c r="GK2" i="8"/>
  <c r="GK41" i="8"/>
  <c r="GK30" i="8"/>
  <c r="GK43" i="8"/>
  <c r="GK45" i="8"/>
  <c r="GK49" i="8"/>
  <c r="GK37" i="8"/>
  <c r="GK26" i="8"/>
  <c r="GK19" i="8"/>
  <c r="GK23" i="8"/>
  <c r="GK13" i="8"/>
  <c r="GK32" i="8"/>
  <c r="GK15" i="8"/>
  <c r="GK5" i="8"/>
  <c r="GK21" i="8"/>
  <c r="GK7" i="8"/>
  <c r="GK24" i="8"/>
  <c r="GK22" i="8"/>
  <c r="GK17" i="8"/>
  <c r="GK9" i="8"/>
  <c r="GK28" i="8"/>
  <c r="GK11" i="8"/>
  <c r="GK3" i="8"/>
  <c r="BM48" i="8"/>
  <c r="BM46" i="8"/>
  <c r="BM44" i="8"/>
  <c r="BM42" i="8"/>
  <c r="BM40" i="8"/>
  <c r="BM38" i="8"/>
  <c r="BM36" i="8"/>
  <c r="BM39" i="8"/>
  <c r="BM47" i="8"/>
  <c r="BM35" i="8"/>
  <c r="BM33" i="8"/>
  <c r="BM31" i="8"/>
  <c r="BM29" i="8"/>
  <c r="BM27" i="8"/>
  <c r="BM25" i="8"/>
  <c r="BM49" i="8"/>
  <c r="BM34" i="8"/>
  <c r="BM22" i="8"/>
  <c r="BM20" i="8"/>
  <c r="BM18" i="8"/>
  <c r="BM16" i="8"/>
  <c r="BM14" i="8"/>
  <c r="BM12" i="8"/>
  <c r="BM10" i="8"/>
  <c r="BM8" i="8"/>
  <c r="BM6" i="8"/>
  <c r="BM4" i="8"/>
  <c r="BM2" i="8"/>
  <c r="BM30" i="8"/>
  <c r="BM41" i="8"/>
  <c r="BM43" i="8"/>
  <c r="BM19" i="8"/>
  <c r="BM28" i="8"/>
  <c r="BM13" i="8"/>
  <c r="BM45" i="8"/>
  <c r="BM32" i="8"/>
  <c r="BM15" i="8"/>
  <c r="BM11" i="8"/>
  <c r="BM26" i="8"/>
  <c r="BM21" i="8"/>
  <c r="BM7" i="8"/>
  <c r="BM24" i="8"/>
  <c r="BM37" i="8"/>
  <c r="BM23" i="8"/>
  <c r="BM17" i="8"/>
  <c r="BM9" i="8"/>
  <c r="BM3" i="8"/>
  <c r="BM5" i="8"/>
  <c r="JX54" i="9"/>
  <c r="JX55" i="9"/>
  <c r="JX47" i="9"/>
  <c r="JX45" i="9"/>
  <c r="JX53" i="9"/>
  <c r="JX46" i="9"/>
  <c r="JX48" i="9"/>
  <c r="JX44" i="9"/>
  <c r="JX42" i="9"/>
  <c r="JX41" i="9"/>
  <c r="JX40" i="9"/>
  <c r="JX39" i="9"/>
  <c r="JX49" i="9"/>
  <c r="JX37" i="9"/>
  <c r="JX35" i="9"/>
  <c r="JX33" i="9"/>
  <c r="JX43" i="9"/>
  <c r="JX38" i="9"/>
  <c r="JX27" i="9"/>
  <c r="JX25" i="9"/>
  <c r="JX36" i="9"/>
  <c r="JX31" i="9"/>
  <c r="JX28" i="9"/>
  <c r="JX29" i="9"/>
  <c r="JX24" i="9"/>
  <c r="JX22" i="9"/>
  <c r="JX20" i="9"/>
  <c r="JX18" i="9"/>
  <c r="JX16" i="9"/>
  <c r="JX14" i="9"/>
  <c r="JX12" i="9"/>
  <c r="JX32" i="9"/>
  <c r="JX34" i="9"/>
  <c r="JX23" i="9"/>
  <c r="JX17" i="9"/>
  <c r="JX26" i="9"/>
  <c r="JX30" i="9"/>
  <c r="JX19" i="9"/>
  <c r="JX11" i="9"/>
  <c r="JX15" i="9"/>
  <c r="JX8" i="9"/>
  <c r="JX2" i="9"/>
  <c r="JX21" i="9"/>
  <c r="JX5" i="9"/>
  <c r="JX13" i="9"/>
  <c r="JX9" i="9"/>
  <c r="JX6" i="9"/>
  <c r="JX3" i="9"/>
  <c r="JX4" i="9"/>
  <c r="JX10" i="9"/>
  <c r="JX7" i="9"/>
  <c r="HL54" i="9"/>
  <c r="HL55" i="9"/>
  <c r="HL47" i="9"/>
  <c r="HL45" i="9"/>
  <c r="HL46" i="9"/>
  <c r="HL49" i="9"/>
  <c r="HL44" i="9"/>
  <c r="HL53" i="9"/>
  <c r="HL42" i="9"/>
  <c r="HL41" i="9"/>
  <c r="HL48" i="9"/>
  <c r="HL43" i="9"/>
  <c r="HL40" i="9"/>
  <c r="HL39" i="9"/>
  <c r="HL37" i="9"/>
  <c r="HL35" i="9"/>
  <c r="HL33" i="9"/>
  <c r="HL34" i="9"/>
  <c r="HL27" i="9"/>
  <c r="HL25" i="9"/>
  <c r="HL31" i="9"/>
  <c r="HL28" i="9"/>
  <c r="HL29" i="9"/>
  <c r="HL24" i="9"/>
  <c r="HL22" i="9"/>
  <c r="HL20" i="9"/>
  <c r="HL18" i="9"/>
  <c r="HL16" i="9"/>
  <c r="HL14" i="9"/>
  <c r="HL12" i="9"/>
  <c r="HL32" i="9"/>
  <c r="HL38" i="9"/>
  <c r="HL36" i="9"/>
  <c r="HL30" i="9"/>
  <c r="HL23" i="9"/>
  <c r="HL17" i="9"/>
  <c r="HL19" i="9"/>
  <c r="HL21" i="9"/>
  <c r="HL11" i="9"/>
  <c r="HL26" i="9"/>
  <c r="HL8" i="9"/>
  <c r="HL2" i="9"/>
  <c r="HL10" i="9"/>
  <c r="HL4" i="9"/>
  <c r="HL6" i="9"/>
  <c r="HL15" i="9"/>
  <c r="HL13" i="9"/>
  <c r="HL3" i="9"/>
  <c r="HL7" i="9"/>
  <c r="HL5" i="9"/>
  <c r="HL9" i="9"/>
  <c r="GF150" i="7"/>
  <c r="GF149" i="7"/>
  <c r="GF151" i="7"/>
  <c r="DT53" i="9"/>
  <c r="DT54" i="9"/>
  <c r="DT47" i="9"/>
  <c r="DT45" i="9"/>
  <c r="DT46" i="9"/>
  <c r="DT55" i="9"/>
  <c r="DT48" i="9"/>
  <c r="DT42" i="9"/>
  <c r="DT49" i="9"/>
  <c r="DT44" i="9"/>
  <c r="DT41" i="9"/>
  <c r="DT40" i="9"/>
  <c r="DT37" i="9"/>
  <c r="DT35" i="9"/>
  <c r="DT33" i="9"/>
  <c r="DT39" i="9"/>
  <c r="DT43" i="9"/>
  <c r="DT36" i="9"/>
  <c r="DT38" i="9"/>
  <c r="DT27" i="9"/>
  <c r="DT25" i="9"/>
  <c r="DT29" i="9"/>
  <c r="DT31" i="9"/>
  <c r="DT24" i="9"/>
  <c r="DT22" i="9"/>
  <c r="DT20" i="9"/>
  <c r="DT18" i="9"/>
  <c r="DT16" i="9"/>
  <c r="DT14" i="9"/>
  <c r="DT12" i="9"/>
  <c r="DT34" i="9"/>
  <c r="DT26" i="9"/>
  <c r="DT15" i="9"/>
  <c r="DT32" i="9"/>
  <c r="DT28" i="9"/>
  <c r="DT30" i="9"/>
  <c r="DT23" i="9"/>
  <c r="DT4" i="9"/>
  <c r="DT8" i="9"/>
  <c r="DT2" i="9"/>
  <c r="DT19" i="9"/>
  <c r="DT21" i="9"/>
  <c r="DT10" i="9"/>
  <c r="DT7" i="9"/>
  <c r="DT17" i="9"/>
  <c r="DT5" i="9"/>
  <c r="DT13" i="9"/>
  <c r="DT6" i="9"/>
  <c r="DT11" i="9"/>
  <c r="DT3" i="9"/>
  <c r="DT9" i="9"/>
  <c r="DL55" i="9"/>
  <c r="DL47" i="9"/>
  <c r="DL53" i="9"/>
  <c r="DL45" i="9"/>
  <c r="DL48" i="9"/>
  <c r="DL54" i="9"/>
  <c r="DL44" i="9"/>
  <c r="DL43" i="9"/>
  <c r="DL46" i="9"/>
  <c r="DL49" i="9"/>
  <c r="DL42" i="9"/>
  <c r="DL41" i="9"/>
  <c r="DL37" i="9"/>
  <c r="DL35" i="9"/>
  <c r="DL33" i="9"/>
  <c r="DL39" i="9"/>
  <c r="DL34" i="9"/>
  <c r="DL32" i="9"/>
  <c r="DL40" i="9"/>
  <c r="DL30" i="9"/>
  <c r="DL27" i="9"/>
  <c r="DL38" i="9"/>
  <c r="DL29" i="9"/>
  <c r="DL28" i="9"/>
  <c r="DL24" i="9"/>
  <c r="DL22" i="9"/>
  <c r="DL20" i="9"/>
  <c r="DL18" i="9"/>
  <c r="DL16" i="9"/>
  <c r="DL14" i="9"/>
  <c r="DL12" i="9"/>
  <c r="DL36" i="9"/>
  <c r="DL13" i="9"/>
  <c r="DL23" i="9"/>
  <c r="DL31" i="9"/>
  <c r="DL21" i="9"/>
  <c r="DL11" i="9"/>
  <c r="DL9" i="9"/>
  <c r="DL2" i="9"/>
  <c r="DL25" i="9"/>
  <c r="DL26" i="9"/>
  <c r="DL6" i="9"/>
  <c r="DL5" i="9"/>
  <c r="DL10" i="9"/>
  <c r="DL8" i="9"/>
  <c r="DL4" i="9"/>
  <c r="DL17" i="9"/>
  <c r="DL19" i="9"/>
  <c r="DL15" i="9"/>
  <c r="DL7" i="9"/>
  <c r="DL3" i="9"/>
  <c r="AJ49" i="8"/>
  <c r="AJ45" i="8"/>
  <c r="AJ43" i="8"/>
  <c r="AJ41" i="8"/>
  <c r="AJ39" i="8"/>
  <c r="AJ37" i="8"/>
  <c r="AJ48" i="8"/>
  <c r="AJ47" i="8"/>
  <c r="AJ40" i="8"/>
  <c r="AJ42" i="8"/>
  <c r="AJ35" i="8"/>
  <c r="AJ33" i="8"/>
  <c r="AJ31" i="8"/>
  <c r="AJ28" i="8"/>
  <c r="AJ25" i="8"/>
  <c r="AJ44" i="8"/>
  <c r="AJ34" i="8"/>
  <c r="AJ21" i="8"/>
  <c r="AJ19" i="8"/>
  <c r="AJ17" i="8"/>
  <c r="AJ15" i="8"/>
  <c r="AJ13" i="8"/>
  <c r="AJ11" i="8"/>
  <c r="AJ9" i="8"/>
  <c r="AJ7" i="8"/>
  <c r="AJ5" i="8"/>
  <c r="AJ3" i="8"/>
  <c r="AJ36" i="8"/>
  <c r="AJ30" i="8"/>
  <c r="AJ27" i="8"/>
  <c r="AJ32" i="8"/>
  <c r="AJ26" i="8"/>
  <c r="AJ23" i="8"/>
  <c r="AJ10" i="8"/>
  <c r="AJ20" i="8"/>
  <c r="AJ29" i="8"/>
  <c r="AJ38" i="8"/>
  <c r="AJ22" i="8"/>
  <c r="AJ6" i="8"/>
  <c r="AJ46" i="8"/>
  <c r="AJ8" i="8"/>
  <c r="AJ16" i="8"/>
  <c r="AJ2" i="8"/>
  <c r="AJ18" i="8"/>
  <c r="AJ12" i="8"/>
  <c r="AJ24" i="8"/>
  <c r="AJ14" i="8"/>
  <c r="AJ4" i="8"/>
  <c r="AB49" i="8"/>
  <c r="AB48" i="8"/>
  <c r="AB45" i="8"/>
  <c r="AB43" i="8"/>
  <c r="AB41" i="8"/>
  <c r="AB39" i="8"/>
  <c r="AB37" i="8"/>
  <c r="AB44" i="8"/>
  <c r="AB46" i="8"/>
  <c r="AB40" i="8"/>
  <c r="AB35" i="8"/>
  <c r="AB33" i="8"/>
  <c r="AB31" i="8"/>
  <c r="AB47" i="8"/>
  <c r="AB26" i="8"/>
  <c r="AB32" i="8"/>
  <c r="AB21" i="8"/>
  <c r="AB19" i="8"/>
  <c r="AB17" i="8"/>
  <c r="AB15" i="8"/>
  <c r="AB13" i="8"/>
  <c r="AB11" i="8"/>
  <c r="AB9" i="8"/>
  <c r="AB7" i="8"/>
  <c r="AB5" i="8"/>
  <c r="AB3" i="8"/>
  <c r="AB42" i="8"/>
  <c r="AB38" i="8"/>
  <c r="AB34" i="8"/>
  <c r="AB28" i="8"/>
  <c r="AB25" i="8"/>
  <c r="AB30" i="8"/>
  <c r="AB27" i="8"/>
  <c r="AB24" i="8"/>
  <c r="AB8" i="8"/>
  <c r="AB18" i="8"/>
  <c r="AB36" i="8"/>
  <c r="AB20" i="8"/>
  <c r="AB29" i="8"/>
  <c r="AB6" i="8"/>
  <c r="AB23" i="8"/>
  <c r="AB22" i="8"/>
  <c r="AB14" i="8"/>
  <c r="AB16" i="8"/>
  <c r="AB10" i="8"/>
  <c r="AB4" i="8"/>
  <c r="AB2" i="8"/>
  <c r="AB12" i="8"/>
  <c r="T49" i="9"/>
  <c r="T47" i="9"/>
  <c r="T45" i="9"/>
  <c r="T48" i="9"/>
  <c r="T43" i="9"/>
  <c r="T42" i="9"/>
  <c r="T41" i="9"/>
  <c r="T40" i="9"/>
  <c r="T44" i="9"/>
  <c r="T46" i="9"/>
  <c r="T37" i="9"/>
  <c r="T35" i="9"/>
  <c r="T33" i="9"/>
  <c r="T36" i="9"/>
  <c r="T38" i="9"/>
  <c r="T30" i="9"/>
  <c r="T27" i="9"/>
  <c r="T34" i="9"/>
  <c r="T24" i="9"/>
  <c r="T22" i="9"/>
  <c r="T20" i="9"/>
  <c r="T18" i="9"/>
  <c r="T16" i="9"/>
  <c r="T14" i="9"/>
  <c r="T39" i="9"/>
  <c r="T21" i="9"/>
  <c r="T13" i="9"/>
  <c r="T32" i="9"/>
  <c r="T15" i="9"/>
  <c r="T29" i="9"/>
  <c r="T28" i="9"/>
  <c r="T17" i="9"/>
  <c r="T23" i="9"/>
  <c r="T9" i="9"/>
  <c r="T7" i="9"/>
  <c r="T4" i="9"/>
  <c r="T2" i="9"/>
  <c r="T26" i="9"/>
  <c r="T25" i="9"/>
  <c r="T31" i="9"/>
  <c r="T11" i="9"/>
  <c r="T19" i="9"/>
  <c r="T12" i="9"/>
  <c r="T5" i="9"/>
  <c r="T8" i="9"/>
  <c r="T6" i="9"/>
  <c r="T3" i="9"/>
  <c r="T10" i="9"/>
  <c r="GM53" i="9"/>
  <c r="GM55" i="9"/>
  <c r="GM47" i="9"/>
  <c r="GM46" i="9"/>
  <c r="GM45" i="9"/>
  <c r="GM44" i="9"/>
  <c r="GM42" i="9"/>
  <c r="GM40" i="9"/>
  <c r="GM49" i="9"/>
  <c r="GM54" i="9"/>
  <c r="GM38" i="9"/>
  <c r="GM48" i="9"/>
  <c r="GM37" i="9"/>
  <c r="GM35" i="9"/>
  <c r="GM33" i="9"/>
  <c r="GM30" i="9"/>
  <c r="GM28" i="9"/>
  <c r="GM41" i="9"/>
  <c r="GM31" i="9"/>
  <c r="GM29" i="9"/>
  <c r="GM27" i="9"/>
  <c r="GM25" i="9"/>
  <c r="GM43" i="9"/>
  <c r="GM24" i="9"/>
  <c r="GM22" i="9"/>
  <c r="GM20" i="9"/>
  <c r="GM18" i="9"/>
  <c r="GM16" i="9"/>
  <c r="GM14" i="9"/>
  <c r="GM12" i="9"/>
  <c r="GM39" i="9"/>
  <c r="GM36" i="9"/>
  <c r="GM34" i="9"/>
  <c r="GM23" i="9"/>
  <c r="GM10" i="9"/>
  <c r="GM8" i="9"/>
  <c r="GM17" i="9"/>
  <c r="GM32" i="9"/>
  <c r="GM19" i="9"/>
  <c r="GM26" i="9"/>
  <c r="GM11" i="9"/>
  <c r="GM7" i="9"/>
  <c r="GM6" i="9"/>
  <c r="GM5" i="9"/>
  <c r="GM21" i="9"/>
  <c r="GM3" i="9"/>
  <c r="GM9" i="9"/>
  <c r="GM15" i="9"/>
  <c r="GM2" i="9"/>
  <c r="GM13" i="9"/>
  <c r="GM4" i="9"/>
  <c r="AY151" i="7"/>
  <c r="AY150" i="7"/>
  <c r="AY149" i="7"/>
  <c r="FU149" i="7"/>
  <c r="FU151" i="7"/>
  <c r="FU150" i="7"/>
  <c r="FG54" i="8"/>
  <c r="FG53" i="8"/>
  <c r="FG46" i="8"/>
  <c r="FG44" i="8"/>
  <c r="FG42" i="8"/>
  <c r="FG40" i="8"/>
  <c r="FG49" i="8"/>
  <c r="FG36" i="8"/>
  <c r="FG55" i="8"/>
  <c r="FG45" i="8"/>
  <c r="FG38" i="8"/>
  <c r="FG39" i="8"/>
  <c r="FG35" i="8"/>
  <c r="FG28" i="8"/>
  <c r="FG25" i="8"/>
  <c r="FG48" i="8"/>
  <c r="FG41" i="8"/>
  <c r="FG47" i="8"/>
  <c r="FG43" i="8"/>
  <c r="FG22" i="8"/>
  <c r="FG20" i="8"/>
  <c r="FG18" i="8"/>
  <c r="FG16" i="8"/>
  <c r="FG14" i="8"/>
  <c r="FG12" i="8"/>
  <c r="FG10" i="8"/>
  <c r="FG8" i="8"/>
  <c r="FG6" i="8"/>
  <c r="FG4" i="8"/>
  <c r="FG34" i="8"/>
  <c r="FG33" i="8"/>
  <c r="FG24" i="8"/>
  <c r="FG15" i="8"/>
  <c r="FG2" i="8"/>
  <c r="FG30" i="8"/>
  <c r="FG27" i="8"/>
  <c r="FG9" i="8"/>
  <c r="FG37" i="8"/>
  <c r="FG31" i="8"/>
  <c r="FG11" i="8"/>
  <c r="FG17" i="8"/>
  <c r="FG29" i="8"/>
  <c r="FG19" i="8"/>
  <c r="FG32" i="8"/>
  <c r="FG13" i="8"/>
  <c r="FG23" i="8"/>
  <c r="FG21" i="8"/>
  <c r="FG26" i="8"/>
  <c r="FG7" i="8"/>
  <c r="FG5" i="8"/>
  <c r="FG3" i="8"/>
  <c r="IX54" i="9"/>
  <c r="IX55" i="9"/>
  <c r="IX53" i="9"/>
  <c r="IX47" i="9"/>
  <c r="IX49" i="9"/>
  <c r="IX45" i="9"/>
  <c r="IX46" i="9"/>
  <c r="IX41" i="9"/>
  <c r="IX44" i="9"/>
  <c r="IX48" i="9"/>
  <c r="IX43" i="9"/>
  <c r="IX39" i="9"/>
  <c r="IX38" i="9"/>
  <c r="IX40" i="9"/>
  <c r="IX42" i="9"/>
  <c r="IX36" i="9"/>
  <c r="IX34" i="9"/>
  <c r="IX32" i="9"/>
  <c r="IX33" i="9"/>
  <c r="IX30" i="9"/>
  <c r="IX26" i="9"/>
  <c r="IX27" i="9"/>
  <c r="IX37" i="9"/>
  <c r="IX23" i="9"/>
  <c r="IX21" i="9"/>
  <c r="IX19" i="9"/>
  <c r="IX17" i="9"/>
  <c r="IX15" i="9"/>
  <c r="IX35" i="9"/>
  <c r="IX14" i="9"/>
  <c r="IX29" i="9"/>
  <c r="IX22" i="9"/>
  <c r="IX10" i="9"/>
  <c r="IX8" i="9"/>
  <c r="IX6" i="9"/>
  <c r="IX4" i="9"/>
  <c r="IX28" i="9"/>
  <c r="IX31" i="9"/>
  <c r="IX24" i="9"/>
  <c r="IX13" i="9"/>
  <c r="IX20" i="9"/>
  <c r="IX11" i="9"/>
  <c r="IX7" i="9"/>
  <c r="IX18" i="9"/>
  <c r="IX25" i="9"/>
  <c r="IX9" i="9"/>
  <c r="IX16" i="9"/>
  <c r="IX3" i="9"/>
  <c r="IX5" i="9"/>
  <c r="IX12" i="9"/>
  <c r="IX2" i="9"/>
  <c r="EP55" i="8"/>
  <c r="EP48" i="8"/>
  <c r="EP35" i="8"/>
  <c r="EP33" i="8"/>
  <c r="EP31" i="8"/>
  <c r="EP29" i="8"/>
  <c r="EP27" i="8"/>
  <c r="EP25" i="8"/>
  <c r="EP23" i="8"/>
  <c r="EP46" i="8"/>
  <c r="EP42" i="8"/>
  <c r="EP54" i="8"/>
  <c r="EP44" i="8"/>
  <c r="EP32" i="8"/>
  <c r="EP26" i="8"/>
  <c r="EP39" i="8"/>
  <c r="EP53" i="8"/>
  <c r="EP47" i="8"/>
  <c r="EP41" i="8"/>
  <c r="EP40" i="8"/>
  <c r="EP49" i="8"/>
  <c r="EP43" i="8"/>
  <c r="EP28" i="8"/>
  <c r="EP37" i="8"/>
  <c r="EP34" i="8"/>
  <c r="EP24" i="8"/>
  <c r="EP17" i="8"/>
  <c r="EP12" i="8"/>
  <c r="EP30" i="8"/>
  <c r="EP22" i="8"/>
  <c r="EP11" i="8"/>
  <c r="EP6" i="8"/>
  <c r="EP36" i="8"/>
  <c r="EP38" i="8"/>
  <c r="EP13" i="8"/>
  <c r="EP8" i="8"/>
  <c r="EP18" i="8"/>
  <c r="EP3" i="8"/>
  <c r="EP45" i="8"/>
  <c r="EP19" i="8"/>
  <c r="EP5" i="8"/>
  <c r="EP4" i="8"/>
  <c r="EP21" i="8"/>
  <c r="EP20" i="8"/>
  <c r="EP15" i="8"/>
  <c r="EP14" i="8"/>
  <c r="EP7" i="8"/>
  <c r="EP16" i="8"/>
  <c r="EP9" i="8"/>
  <c r="EP2" i="8"/>
  <c r="EP10" i="8"/>
  <c r="DH151" i="7"/>
  <c r="DH149" i="7"/>
  <c r="DH150" i="7"/>
  <c r="FS150" i="7"/>
  <c r="FS149" i="7"/>
  <c r="FS151" i="7"/>
  <c r="FF54" i="9"/>
  <c r="FF55" i="9"/>
  <c r="FF53" i="9"/>
  <c r="FF47" i="9"/>
  <c r="FF45" i="9"/>
  <c r="FF46" i="9"/>
  <c r="FF44" i="9"/>
  <c r="FF49" i="9"/>
  <c r="FF48" i="9"/>
  <c r="FF43" i="9"/>
  <c r="FF38" i="9"/>
  <c r="FF39" i="9"/>
  <c r="FF41" i="9"/>
  <c r="FF36" i="9"/>
  <c r="FF34" i="9"/>
  <c r="FF35" i="9"/>
  <c r="FF32" i="9"/>
  <c r="FF30" i="9"/>
  <c r="FF37" i="9"/>
  <c r="FF40" i="9"/>
  <c r="FF31" i="9"/>
  <c r="FF28" i="9"/>
  <c r="FF26" i="9"/>
  <c r="FF33" i="9"/>
  <c r="FF42" i="9"/>
  <c r="FF23" i="9"/>
  <c r="FF21" i="9"/>
  <c r="FF19" i="9"/>
  <c r="FF17" i="9"/>
  <c r="FF15" i="9"/>
  <c r="FF20" i="9"/>
  <c r="FF14" i="9"/>
  <c r="FF25" i="9"/>
  <c r="FF10" i="9"/>
  <c r="FF8" i="9"/>
  <c r="FF6" i="9"/>
  <c r="FF4" i="9"/>
  <c r="FF27" i="9"/>
  <c r="FF29" i="9"/>
  <c r="FF16" i="9"/>
  <c r="FF13" i="9"/>
  <c r="FF22" i="9"/>
  <c r="FF9" i="9"/>
  <c r="FF24" i="9"/>
  <c r="FF7" i="9"/>
  <c r="FF5" i="9"/>
  <c r="FF18" i="9"/>
  <c r="FF11" i="9"/>
  <c r="FF12" i="9"/>
  <c r="FF2" i="9"/>
  <c r="FF3" i="9"/>
  <c r="Z49" i="9"/>
  <c r="Z47" i="9"/>
  <c r="Z48" i="9"/>
  <c r="Z44" i="9"/>
  <c r="Z46" i="9"/>
  <c r="Z45" i="9"/>
  <c r="Z41" i="9"/>
  <c r="Z42" i="9"/>
  <c r="Z39" i="9"/>
  <c r="Z38" i="9"/>
  <c r="Z36" i="9"/>
  <c r="Z34" i="9"/>
  <c r="Z33" i="9"/>
  <c r="Z32" i="9"/>
  <c r="Z30" i="9"/>
  <c r="Z35" i="9"/>
  <c r="Z43" i="9"/>
  <c r="Z37" i="9"/>
  <c r="Z31" i="9"/>
  <c r="Z28" i="9"/>
  <c r="Z26" i="9"/>
  <c r="Z29" i="9"/>
  <c r="Z27" i="9"/>
  <c r="Z40" i="9"/>
  <c r="Z25" i="9"/>
  <c r="Z23" i="9"/>
  <c r="Z21" i="9"/>
  <c r="Z19" i="9"/>
  <c r="Z17" i="9"/>
  <c r="Z15" i="9"/>
  <c r="Z18" i="9"/>
  <c r="Z12" i="9"/>
  <c r="Z10" i="9"/>
  <c r="Z8" i="9"/>
  <c r="Z6" i="9"/>
  <c r="Z14" i="9"/>
  <c r="Z20" i="9"/>
  <c r="Z16" i="9"/>
  <c r="Z13" i="9"/>
  <c r="Z7" i="9"/>
  <c r="Z2" i="9"/>
  <c r="Z24" i="9"/>
  <c r="Z22" i="9"/>
  <c r="Z9" i="9"/>
  <c r="Z5" i="9"/>
  <c r="Z3" i="9"/>
  <c r="Z4" i="9"/>
  <c r="Z11" i="9"/>
  <c r="CK151" i="7"/>
  <c r="CK149" i="7"/>
  <c r="CK150" i="7"/>
  <c r="HM150" i="7"/>
  <c r="HM151" i="7"/>
  <c r="HM149" i="7"/>
  <c r="BF149" i="7"/>
  <c r="BF151" i="7"/>
  <c r="BF150" i="7"/>
  <c r="JI53" i="9"/>
  <c r="JI49" i="9"/>
  <c r="JI54" i="9"/>
  <c r="JI55" i="9"/>
  <c r="JI48" i="9"/>
  <c r="JI46" i="9"/>
  <c r="JI47" i="9"/>
  <c r="JI45" i="9"/>
  <c r="JI43" i="9"/>
  <c r="JI44" i="9"/>
  <c r="JI41" i="9"/>
  <c r="JI38" i="9"/>
  <c r="JI39" i="9"/>
  <c r="JI40" i="9"/>
  <c r="JI34" i="9"/>
  <c r="JI37" i="9"/>
  <c r="JI29" i="9"/>
  <c r="JI42" i="9"/>
  <c r="JI35" i="9"/>
  <c r="JI28" i="9"/>
  <c r="JI36" i="9"/>
  <c r="JI32" i="9"/>
  <c r="JI31" i="9"/>
  <c r="JI26" i="9"/>
  <c r="JI25" i="9"/>
  <c r="JI24" i="9"/>
  <c r="JI33" i="9"/>
  <c r="JI27" i="9"/>
  <c r="JI23" i="9"/>
  <c r="JI18" i="9"/>
  <c r="JI14" i="9"/>
  <c r="JI30" i="9"/>
  <c r="JI20" i="9"/>
  <c r="JI10" i="9"/>
  <c r="JI17" i="9"/>
  <c r="JI16" i="9"/>
  <c r="JI7" i="9"/>
  <c r="JI6" i="9"/>
  <c r="JI5" i="9"/>
  <c r="JI2" i="9"/>
  <c r="JI12" i="9"/>
  <c r="JI11" i="9"/>
  <c r="JI4" i="9"/>
  <c r="JI19" i="9"/>
  <c r="JI22" i="9"/>
  <c r="JI15" i="9"/>
  <c r="JI13" i="9"/>
  <c r="JI8" i="9"/>
  <c r="JI21" i="9"/>
  <c r="JI3" i="9"/>
  <c r="JI9" i="9"/>
  <c r="JA150" i="7"/>
  <c r="JA149" i="7"/>
  <c r="JA151" i="7"/>
  <c r="HU55" i="8"/>
  <c r="HU53" i="8"/>
  <c r="HU49" i="8"/>
  <c r="HU47" i="8"/>
  <c r="HU45" i="8"/>
  <c r="HU43" i="8"/>
  <c r="HU41" i="8"/>
  <c r="HU39" i="8"/>
  <c r="HU37" i="8"/>
  <c r="HU48" i="8"/>
  <c r="HU54" i="8"/>
  <c r="HU40" i="8"/>
  <c r="HU34" i="8"/>
  <c r="HU32" i="8"/>
  <c r="HU30" i="8"/>
  <c r="HU28" i="8"/>
  <c r="HU26" i="8"/>
  <c r="HU24" i="8"/>
  <c r="HU36" i="8"/>
  <c r="HU38" i="8"/>
  <c r="HU35" i="8"/>
  <c r="HU21" i="8"/>
  <c r="HU19" i="8"/>
  <c r="HU17" i="8"/>
  <c r="HU15" i="8"/>
  <c r="HU13" i="8"/>
  <c r="HU11" i="8"/>
  <c r="HU9" i="8"/>
  <c r="HU7" i="8"/>
  <c r="HU5" i="8"/>
  <c r="HU3" i="8"/>
  <c r="HU46" i="8"/>
  <c r="HU42" i="8"/>
  <c r="HU44" i="8"/>
  <c r="HU31" i="8"/>
  <c r="HU20" i="8"/>
  <c r="HU4" i="8"/>
  <c r="HU22" i="8"/>
  <c r="HU14" i="8"/>
  <c r="HU33" i="8"/>
  <c r="HU23" i="8"/>
  <c r="HU16" i="8"/>
  <c r="HU2" i="8"/>
  <c r="HU29" i="8"/>
  <c r="HU12" i="8"/>
  <c r="HU6" i="8"/>
  <c r="HU8" i="8"/>
  <c r="HU25" i="8"/>
  <c r="HU27" i="8"/>
  <c r="HU10" i="8"/>
  <c r="HU18" i="8"/>
  <c r="HM55" i="8"/>
  <c r="HM53" i="8"/>
  <c r="HM49" i="8"/>
  <c r="HM47" i="8"/>
  <c r="HM45" i="8"/>
  <c r="HM43" i="8"/>
  <c r="HM41" i="8"/>
  <c r="HM39" i="8"/>
  <c r="HM37" i="8"/>
  <c r="HM54" i="8"/>
  <c r="HM34" i="8"/>
  <c r="HM32" i="8"/>
  <c r="HM30" i="8"/>
  <c r="HM28" i="8"/>
  <c r="HM26" i="8"/>
  <c r="HM24" i="8"/>
  <c r="HM33" i="8"/>
  <c r="HM21" i="8"/>
  <c r="HM19" i="8"/>
  <c r="HM17" i="8"/>
  <c r="HM15" i="8"/>
  <c r="HM13" i="8"/>
  <c r="HM11" i="8"/>
  <c r="HM9" i="8"/>
  <c r="HM7" i="8"/>
  <c r="HM5" i="8"/>
  <c r="HM3" i="8"/>
  <c r="HM48" i="8"/>
  <c r="HM44" i="8"/>
  <c r="HM29" i="8"/>
  <c r="HM40" i="8"/>
  <c r="HM42" i="8"/>
  <c r="HM36" i="8"/>
  <c r="HM25" i="8"/>
  <c r="HM18" i="8"/>
  <c r="HM12" i="8"/>
  <c r="HM35" i="8"/>
  <c r="HM38" i="8"/>
  <c r="HM14" i="8"/>
  <c r="HM16" i="8"/>
  <c r="HM8" i="8"/>
  <c r="HM27" i="8"/>
  <c r="HM22" i="8"/>
  <c r="HM10" i="8"/>
  <c r="HM31" i="8"/>
  <c r="HM20" i="8"/>
  <c r="HM4" i="8"/>
  <c r="HM23" i="8"/>
  <c r="HM6" i="8"/>
  <c r="HM2" i="8"/>
  <c r="HM46" i="8"/>
  <c r="GG49" i="9"/>
  <c r="GG48" i="9"/>
  <c r="GG46" i="9"/>
  <c r="GG54" i="9"/>
  <c r="GG53" i="9"/>
  <c r="GG55" i="9"/>
  <c r="GG43" i="9"/>
  <c r="GG47" i="9"/>
  <c r="GG45" i="9"/>
  <c r="GG41" i="9"/>
  <c r="GG44" i="9"/>
  <c r="GG38" i="9"/>
  <c r="GG35" i="9"/>
  <c r="GG42" i="9"/>
  <c r="GG37" i="9"/>
  <c r="GG40" i="9"/>
  <c r="GG30" i="9"/>
  <c r="GG36" i="9"/>
  <c r="GG32" i="9"/>
  <c r="GG39" i="9"/>
  <c r="GG33" i="9"/>
  <c r="GG34" i="9"/>
  <c r="GG31" i="9"/>
  <c r="GG29" i="9"/>
  <c r="GG26" i="9"/>
  <c r="GG20" i="9"/>
  <c r="GG27" i="9"/>
  <c r="GG19" i="9"/>
  <c r="GG13" i="9"/>
  <c r="GG28" i="9"/>
  <c r="GG21" i="9"/>
  <c r="GG16" i="9"/>
  <c r="GG10" i="9"/>
  <c r="GG17" i="9"/>
  <c r="GG8" i="9"/>
  <c r="GG2" i="9"/>
  <c r="GG18" i="9"/>
  <c r="GG23" i="9"/>
  <c r="GG22" i="9"/>
  <c r="GG15" i="9"/>
  <c r="GG9" i="9"/>
  <c r="GG6" i="9"/>
  <c r="GG5" i="9"/>
  <c r="GG24" i="9"/>
  <c r="GG4" i="9"/>
  <c r="GG3" i="9"/>
  <c r="GG25" i="9"/>
  <c r="GG14" i="9"/>
  <c r="GG7" i="9"/>
  <c r="GG12" i="9"/>
  <c r="GG11" i="9"/>
  <c r="FY55" i="9"/>
  <c r="FY53" i="9"/>
  <c r="FY49" i="9"/>
  <c r="FY48" i="9"/>
  <c r="FY46" i="9"/>
  <c r="FY54" i="9"/>
  <c r="FY47" i="9"/>
  <c r="FY43" i="9"/>
  <c r="FY42" i="9"/>
  <c r="FY44" i="9"/>
  <c r="FY41" i="9"/>
  <c r="FY38" i="9"/>
  <c r="FY39" i="9"/>
  <c r="FY33" i="9"/>
  <c r="FY40" i="9"/>
  <c r="FY35" i="9"/>
  <c r="FY36" i="9"/>
  <c r="FY31" i="9"/>
  <c r="FY34" i="9"/>
  <c r="FY45" i="9"/>
  <c r="FY29" i="9"/>
  <c r="FY27" i="9"/>
  <c r="FY23" i="9"/>
  <c r="FY18" i="9"/>
  <c r="FY37" i="9"/>
  <c r="FY17" i="9"/>
  <c r="FY30" i="9"/>
  <c r="FY28" i="9"/>
  <c r="FY32" i="9"/>
  <c r="FY19" i="9"/>
  <c r="FY10" i="9"/>
  <c r="FY25" i="9"/>
  <c r="FY22" i="9"/>
  <c r="FY14" i="9"/>
  <c r="FY11" i="9"/>
  <c r="FY2" i="9"/>
  <c r="FY15" i="9"/>
  <c r="FY26" i="9"/>
  <c r="FY24" i="9"/>
  <c r="FY8" i="9"/>
  <c r="FY4" i="9"/>
  <c r="FY20" i="9"/>
  <c r="FY13" i="9"/>
  <c r="FY12" i="9"/>
  <c r="FY9" i="9"/>
  <c r="FY7" i="9"/>
  <c r="FY3" i="9"/>
  <c r="FY6" i="9"/>
  <c r="FY5" i="9"/>
  <c r="FY21" i="9"/>
  <c r="FY16" i="9"/>
  <c r="FQ54" i="9"/>
  <c r="FQ55" i="9"/>
  <c r="FQ49" i="9"/>
  <c r="FQ53" i="9"/>
  <c r="FQ48" i="9"/>
  <c r="FQ46" i="9"/>
  <c r="FQ47" i="9"/>
  <c r="FQ43" i="9"/>
  <c r="FQ45" i="9"/>
  <c r="FQ44" i="9"/>
  <c r="FQ38" i="9"/>
  <c r="FQ37" i="9"/>
  <c r="FQ32" i="9"/>
  <c r="FQ42" i="9"/>
  <c r="FQ40" i="9"/>
  <c r="FQ39" i="9"/>
  <c r="FQ36" i="9"/>
  <c r="FQ33" i="9"/>
  <c r="FQ41" i="9"/>
  <c r="FQ29" i="9"/>
  <c r="FQ31" i="9"/>
  <c r="FQ34" i="9"/>
  <c r="FQ30" i="9"/>
  <c r="FQ25" i="9"/>
  <c r="FQ35" i="9"/>
  <c r="FQ27" i="9"/>
  <c r="FQ28" i="9"/>
  <c r="FQ21" i="9"/>
  <c r="FQ16" i="9"/>
  <c r="FQ15" i="9"/>
  <c r="FQ14" i="9"/>
  <c r="FQ26" i="9"/>
  <c r="FQ17" i="9"/>
  <c r="FQ10" i="9"/>
  <c r="FQ19" i="9"/>
  <c r="FQ18" i="9"/>
  <c r="FQ9" i="9"/>
  <c r="FQ7" i="9"/>
  <c r="FQ2" i="9"/>
  <c r="FQ20" i="9"/>
  <c r="FQ13" i="9"/>
  <c r="FQ24" i="9"/>
  <c r="FQ12" i="9"/>
  <c r="FQ23" i="9"/>
  <c r="FQ22" i="9"/>
  <c r="FQ8" i="9"/>
  <c r="FQ5" i="9"/>
  <c r="FQ3" i="9"/>
  <c r="FQ11" i="9"/>
  <c r="FQ6" i="9"/>
  <c r="FQ4" i="9"/>
  <c r="EC53" i="9"/>
  <c r="EC49" i="9"/>
  <c r="EC48" i="9"/>
  <c r="EC45" i="9"/>
  <c r="EC54" i="9"/>
  <c r="EC43" i="9"/>
  <c r="EC44" i="9"/>
  <c r="EC42" i="9"/>
  <c r="EC55" i="9"/>
  <c r="EC46" i="9"/>
  <c r="EC40" i="9"/>
  <c r="EC47" i="9"/>
  <c r="EC41" i="9"/>
  <c r="EC39" i="9"/>
  <c r="EC37" i="9"/>
  <c r="EC33" i="9"/>
  <c r="EC36" i="9"/>
  <c r="EC29" i="9"/>
  <c r="EC26" i="9"/>
  <c r="EC38" i="9"/>
  <c r="EC34" i="9"/>
  <c r="EC35" i="9"/>
  <c r="EC32" i="9"/>
  <c r="EC28" i="9"/>
  <c r="EC22" i="9"/>
  <c r="EC21" i="9"/>
  <c r="EC16" i="9"/>
  <c r="EC12" i="9"/>
  <c r="EC30" i="9"/>
  <c r="EC31" i="9"/>
  <c r="EC23" i="9"/>
  <c r="EC18" i="9"/>
  <c r="EC10" i="9"/>
  <c r="EC27" i="9"/>
  <c r="EC19" i="9"/>
  <c r="EC4" i="9"/>
  <c r="EC2" i="9"/>
  <c r="EC20" i="9"/>
  <c r="EC25" i="9"/>
  <c r="EC24" i="9"/>
  <c r="EC17" i="9"/>
  <c r="EC11" i="9"/>
  <c r="EC7" i="9"/>
  <c r="EC15" i="9"/>
  <c r="EC13" i="9"/>
  <c r="EC8" i="9"/>
  <c r="EC6" i="9"/>
  <c r="EC14" i="9"/>
  <c r="EC3" i="9"/>
  <c r="EC9" i="9"/>
  <c r="EC5" i="9"/>
  <c r="DU55" i="8"/>
  <c r="DU53" i="8"/>
  <c r="DU49" i="8"/>
  <c r="DU47" i="8"/>
  <c r="DU45" i="8"/>
  <c r="DU43" i="8"/>
  <c r="DU41" i="8"/>
  <c r="DU39" i="8"/>
  <c r="DU37" i="8"/>
  <c r="DU40" i="8"/>
  <c r="DU34" i="8"/>
  <c r="DU32" i="8"/>
  <c r="DU30" i="8"/>
  <c r="DU28" i="8"/>
  <c r="DU26" i="8"/>
  <c r="DU42" i="8"/>
  <c r="DU46" i="8"/>
  <c r="DU38" i="8"/>
  <c r="DU21" i="8"/>
  <c r="DU19" i="8"/>
  <c r="DU17" i="8"/>
  <c r="DU15" i="8"/>
  <c r="DU13" i="8"/>
  <c r="DU11" i="8"/>
  <c r="DU9" i="8"/>
  <c r="DU7" i="8"/>
  <c r="DU5" i="8"/>
  <c r="DU3" i="8"/>
  <c r="DU54" i="8"/>
  <c r="DU35" i="8"/>
  <c r="DU29" i="8"/>
  <c r="DU48" i="8"/>
  <c r="DU44" i="8"/>
  <c r="DU23" i="8"/>
  <c r="DU10" i="8"/>
  <c r="DU20" i="8"/>
  <c r="DU4" i="8"/>
  <c r="DU36" i="8"/>
  <c r="DU31" i="8"/>
  <c r="DU22" i="8"/>
  <c r="DU6" i="8"/>
  <c r="DU24" i="8"/>
  <c r="DU18" i="8"/>
  <c r="DU12" i="8"/>
  <c r="DU14" i="8"/>
  <c r="DU27" i="8"/>
  <c r="DU25" i="8"/>
  <c r="DU8" i="8"/>
  <c r="DU33" i="8"/>
  <c r="DU16" i="8"/>
  <c r="DU2" i="8"/>
  <c r="DM55" i="8"/>
  <c r="DM53" i="8"/>
  <c r="DM49" i="8"/>
  <c r="DM47" i="8"/>
  <c r="DM45" i="8"/>
  <c r="DM43" i="8"/>
  <c r="DM41" i="8"/>
  <c r="DM39" i="8"/>
  <c r="DM37" i="8"/>
  <c r="DM46" i="8"/>
  <c r="DM44" i="8"/>
  <c r="DM38" i="8"/>
  <c r="DM34" i="8"/>
  <c r="DM32" i="8"/>
  <c r="DM30" i="8"/>
  <c r="DM28" i="8"/>
  <c r="DM26" i="8"/>
  <c r="DM54" i="8"/>
  <c r="DM40" i="8"/>
  <c r="DM36" i="8"/>
  <c r="DM48" i="8"/>
  <c r="DM21" i="8"/>
  <c r="DM19" i="8"/>
  <c r="DM17" i="8"/>
  <c r="DM15" i="8"/>
  <c r="DM13" i="8"/>
  <c r="DM11" i="8"/>
  <c r="DM9" i="8"/>
  <c r="DM7" i="8"/>
  <c r="DM5" i="8"/>
  <c r="DM3" i="8"/>
  <c r="DM33" i="8"/>
  <c r="DM27" i="8"/>
  <c r="DM35" i="8"/>
  <c r="DM31" i="8"/>
  <c r="DM25" i="8"/>
  <c r="DM24" i="8"/>
  <c r="DM8" i="8"/>
  <c r="DM18" i="8"/>
  <c r="DM42" i="8"/>
  <c r="DM29" i="8"/>
  <c r="DM20" i="8"/>
  <c r="DM4" i="8"/>
  <c r="DM16" i="8"/>
  <c r="DM10" i="8"/>
  <c r="DM23" i="8"/>
  <c r="DM12" i="8"/>
  <c r="DM6" i="8"/>
  <c r="DM14" i="8"/>
  <c r="DM22" i="8"/>
  <c r="DM2" i="8"/>
  <c r="DE55" i="8"/>
  <c r="DE53" i="8"/>
  <c r="DE49" i="8"/>
  <c r="DE47" i="8"/>
  <c r="DE45" i="8"/>
  <c r="DE43" i="8"/>
  <c r="DE41" i="8"/>
  <c r="DE39" i="8"/>
  <c r="DE37" i="8"/>
  <c r="DE54" i="8"/>
  <c r="DE42" i="8"/>
  <c r="DE34" i="8"/>
  <c r="DE32" i="8"/>
  <c r="DE30" i="8"/>
  <c r="DE28" i="8"/>
  <c r="DE26" i="8"/>
  <c r="DE48" i="8"/>
  <c r="DE38" i="8"/>
  <c r="DE40" i="8"/>
  <c r="DE21" i="8"/>
  <c r="DE19" i="8"/>
  <c r="DE17" i="8"/>
  <c r="DE15" i="8"/>
  <c r="DE13" i="8"/>
  <c r="DE11" i="8"/>
  <c r="DE9" i="8"/>
  <c r="DE7" i="8"/>
  <c r="DE5" i="8"/>
  <c r="DE3" i="8"/>
  <c r="DE31" i="8"/>
  <c r="DE25" i="8"/>
  <c r="DE44" i="8"/>
  <c r="DE46" i="8"/>
  <c r="DE36" i="8"/>
  <c r="DE33" i="8"/>
  <c r="DE29" i="8"/>
  <c r="DE23" i="8"/>
  <c r="DE22" i="8"/>
  <c r="DE6" i="8"/>
  <c r="DE2" i="8"/>
  <c r="DE16" i="8"/>
  <c r="DE18" i="8"/>
  <c r="DE20" i="8"/>
  <c r="DE12" i="8"/>
  <c r="DE27" i="8"/>
  <c r="DE14" i="8"/>
  <c r="DE35" i="8"/>
  <c r="DE8" i="8"/>
  <c r="DE24" i="8"/>
  <c r="DE10" i="8"/>
  <c r="DE4" i="8"/>
  <c r="CW55" i="8"/>
  <c r="CW53" i="8"/>
  <c r="CW49" i="8"/>
  <c r="CW47" i="8"/>
  <c r="CW45" i="8"/>
  <c r="CW43" i="8"/>
  <c r="CW41" i="8"/>
  <c r="CW39" i="8"/>
  <c r="CW37" i="8"/>
  <c r="CW48" i="8"/>
  <c r="CW54" i="8"/>
  <c r="CW40" i="8"/>
  <c r="CW46" i="8"/>
  <c r="CW34" i="8"/>
  <c r="CW32" i="8"/>
  <c r="CW30" i="8"/>
  <c r="CW28" i="8"/>
  <c r="CW26" i="8"/>
  <c r="CW35" i="8"/>
  <c r="CW21" i="8"/>
  <c r="CW19" i="8"/>
  <c r="CW17" i="8"/>
  <c r="CW15" i="8"/>
  <c r="CW13" i="8"/>
  <c r="CW11" i="8"/>
  <c r="CW9" i="8"/>
  <c r="CW7" i="8"/>
  <c r="CW5" i="8"/>
  <c r="CW3" i="8"/>
  <c r="CW42" i="8"/>
  <c r="CW31" i="8"/>
  <c r="CW33" i="8"/>
  <c r="CW25" i="8"/>
  <c r="CW24" i="8"/>
  <c r="CW20" i="8"/>
  <c r="CW4" i="8"/>
  <c r="CW14" i="8"/>
  <c r="CW38" i="8"/>
  <c r="CW36" i="8"/>
  <c r="CW29" i="8"/>
  <c r="CW27" i="8"/>
  <c r="CW16" i="8"/>
  <c r="CW2" i="8"/>
  <c r="CW23" i="8"/>
  <c r="CW18" i="8"/>
  <c r="CW10" i="8"/>
  <c r="CW44" i="8"/>
  <c r="CW12" i="8"/>
  <c r="CW22" i="8"/>
  <c r="CW8" i="8"/>
  <c r="CW6" i="8"/>
  <c r="CO55" i="8"/>
  <c r="CO53" i="8"/>
  <c r="CO49" i="8"/>
  <c r="CO47" i="8"/>
  <c r="CO45" i="8"/>
  <c r="CO43" i="8"/>
  <c r="CO41" i="8"/>
  <c r="CO39" i="8"/>
  <c r="CO37" i="8"/>
  <c r="CO34" i="8"/>
  <c r="CO32" i="8"/>
  <c r="CO30" i="8"/>
  <c r="CO28" i="8"/>
  <c r="CO26" i="8"/>
  <c r="CO54" i="8"/>
  <c r="CO48" i="8"/>
  <c r="CO42" i="8"/>
  <c r="CO33" i="8"/>
  <c r="CO21" i="8"/>
  <c r="CO19" i="8"/>
  <c r="CO17" i="8"/>
  <c r="CO15" i="8"/>
  <c r="CO13" i="8"/>
  <c r="CO11" i="8"/>
  <c r="CO9" i="8"/>
  <c r="CO7" i="8"/>
  <c r="CO5" i="8"/>
  <c r="CO3" i="8"/>
  <c r="CO29" i="8"/>
  <c r="CO24" i="8"/>
  <c r="CO46" i="8"/>
  <c r="CO44" i="8"/>
  <c r="CO36" i="8"/>
  <c r="CO23" i="8"/>
  <c r="CO18" i="8"/>
  <c r="CO31" i="8"/>
  <c r="CO27" i="8"/>
  <c r="CO12" i="8"/>
  <c r="CO38" i="8"/>
  <c r="CO35" i="8"/>
  <c r="CO14" i="8"/>
  <c r="CO22" i="8"/>
  <c r="CO40" i="8"/>
  <c r="CO16" i="8"/>
  <c r="CO8" i="8"/>
  <c r="CO10" i="8"/>
  <c r="CO25" i="8"/>
  <c r="CO4" i="8"/>
  <c r="CO2" i="8"/>
  <c r="CO20" i="8"/>
  <c r="CO6" i="8"/>
  <c r="FW150" i="7"/>
  <c r="FW149" i="7"/>
  <c r="FW151" i="7"/>
  <c r="EY150" i="7"/>
  <c r="EY149" i="7"/>
  <c r="EY151" i="7"/>
  <c r="EY54" i="8"/>
  <c r="EY48" i="8"/>
  <c r="EY44" i="8"/>
  <c r="EY42" i="8"/>
  <c r="EY40" i="8"/>
  <c r="EY37" i="8"/>
  <c r="EY43" i="8"/>
  <c r="EY55" i="8"/>
  <c r="EY47" i="8"/>
  <c r="EY45" i="8"/>
  <c r="EY36" i="8"/>
  <c r="EY49" i="8"/>
  <c r="EY33" i="8"/>
  <c r="EY26" i="8"/>
  <c r="EY46" i="8"/>
  <c r="EY35" i="8"/>
  <c r="EY22" i="8"/>
  <c r="EY20" i="8"/>
  <c r="EY18" i="8"/>
  <c r="EY16" i="8"/>
  <c r="EY14" i="8"/>
  <c r="EY12" i="8"/>
  <c r="EY10" i="8"/>
  <c r="EY8" i="8"/>
  <c r="EY6" i="8"/>
  <c r="EY4" i="8"/>
  <c r="EY13" i="8"/>
  <c r="EY3" i="8"/>
  <c r="EY39" i="8"/>
  <c r="EY32" i="8"/>
  <c r="EY31" i="8"/>
  <c r="EY7" i="8"/>
  <c r="EY38" i="8"/>
  <c r="EY29" i="8"/>
  <c r="EY34" i="8"/>
  <c r="EY41" i="8"/>
  <c r="EY9" i="8"/>
  <c r="EY2" i="8"/>
  <c r="EY30" i="8"/>
  <c r="EY53" i="8"/>
  <c r="EY15" i="8"/>
  <c r="EY17" i="8"/>
  <c r="EY28" i="8"/>
  <c r="EY25" i="8"/>
  <c r="EY11" i="8"/>
  <c r="EY27" i="8"/>
  <c r="EY24" i="8"/>
  <c r="EY19" i="8"/>
  <c r="EY5" i="8"/>
  <c r="EY21" i="8"/>
  <c r="EY23" i="8"/>
  <c r="CM54" i="9"/>
  <c r="CM49" i="9"/>
  <c r="CM47" i="9"/>
  <c r="CM45" i="9"/>
  <c r="CM53" i="9"/>
  <c r="CM44" i="9"/>
  <c r="CM42" i="9"/>
  <c r="CM40" i="9"/>
  <c r="CM55" i="9"/>
  <c r="CM43" i="9"/>
  <c r="CM48" i="9"/>
  <c r="CM38" i="9"/>
  <c r="CM41" i="9"/>
  <c r="CM37" i="9"/>
  <c r="CM35" i="9"/>
  <c r="CM33" i="9"/>
  <c r="CM39" i="9"/>
  <c r="CM34" i="9"/>
  <c r="CM30" i="9"/>
  <c r="CM46" i="9"/>
  <c r="CM29" i="9"/>
  <c r="CM27" i="9"/>
  <c r="CM25" i="9"/>
  <c r="CM28" i="9"/>
  <c r="CM32" i="9"/>
  <c r="CM24" i="9"/>
  <c r="CM22" i="9"/>
  <c r="CM20" i="9"/>
  <c r="CM18" i="9"/>
  <c r="CM16" i="9"/>
  <c r="CM14" i="9"/>
  <c r="CM12" i="9"/>
  <c r="CM36" i="9"/>
  <c r="CM10" i="9"/>
  <c r="CM8" i="9"/>
  <c r="CM23" i="9"/>
  <c r="CM31" i="9"/>
  <c r="CM26" i="9"/>
  <c r="CM19" i="9"/>
  <c r="CM11" i="9"/>
  <c r="CM21" i="9"/>
  <c r="CM17" i="9"/>
  <c r="CM3" i="9"/>
  <c r="CM6" i="9"/>
  <c r="CM15" i="9"/>
  <c r="CM5" i="9"/>
  <c r="CM4" i="9"/>
  <c r="CM13" i="9"/>
  <c r="CM7" i="9"/>
  <c r="CM2" i="9"/>
  <c r="CM9" i="9"/>
  <c r="BW49" i="9"/>
  <c r="BW48" i="9"/>
  <c r="BW45" i="9"/>
  <c r="BW47" i="9"/>
  <c r="BW44" i="9"/>
  <c r="BW42" i="9"/>
  <c r="BW40" i="9"/>
  <c r="BW41" i="9"/>
  <c r="BW39" i="9"/>
  <c r="BW38" i="9"/>
  <c r="BW37" i="9"/>
  <c r="BW35" i="9"/>
  <c r="BW33" i="9"/>
  <c r="BW46" i="9"/>
  <c r="BW43" i="9"/>
  <c r="BW30" i="9"/>
  <c r="BW34" i="9"/>
  <c r="BW27" i="9"/>
  <c r="BW25" i="9"/>
  <c r="BW32" i="9"/>
  <c r="BW24" i="9"/>
  <c r="BW22" i="9"/>
  <c r="BW20" i="9"/>
  <c r="BW18" i="9"/>
  <c r="BW16" i="9"/>
  <c r="BW14" i="9"/>
  <c r="BW12" i="9"/>
  <c r="BW29" i="9"/>
  <c r="BW10" i="9"/>
  <c r="BW8" i="9"/>
  <c r="BW31" i="9"/>
  <c r="BW19" i="9"/>
  <c r="BW36" i="9"/>
  <c r="BW28" i="9"/>
  <c r="BW21" i="9"/>
  <c r="BW9" i="9"/>
  <c r="BW7" i="9"/>
  <c r="BW23" i="9"/>
  <c r="BW26" i="9"/>
  <c r="BW3" i="9"/>
  <c r="BW6" i="9"/>
  <c r="BW2" i="9"/>
  <c r="BW13" i="9"/>
  <c r="BW11" i="9"/>
  <c r="BW17" i="9"/>
  <c r="BW4" i="9"/>
  <c r="BW15" i="9"/>
  <c r="BW5" i="9"/>
  <c r="BG45" i="9"/>
  <c r="BG47" i="9"/>
  <c r="BG49" i="9"/>
  <c r="BG44" i="9"/>
  <c r="BG42" i="9"/>
  <c r="BG40" i="9"/>
  <c r="BG43" i="9"/>
  <c r="BG48" i="9"/>
  <c r="BG37" i="9"/>
  <c r="BG35" i="9"/>
  <c r="BG33" i="9"/>
  <c r="BG46" i="9"/>
  <c r="BG30" i="9"/>
  <c r="BG36" i="9"/>
  <c r="BG39" i="9"/>
  <c r="BG27" i="9"/>
  <c r="BG25" i="9"/>
  <c r="BG32" i="9"/>
  <c r="BG31" i="9"/>
  <c r="BG38" i="9"/>
  <c r="BG24" i="9"/>
  <c r="BG22" i="9"/>
  <c r="BG20" i="9"/>
  <c r="BG18" i="9"/>
  <c r="BG16" i="9"/>
  <c r="BG14" i="9"/>
  <c r="BG41" i="9"/>
  <c r="BG34" i="9"/>
  <c r="BG21" i="9"/>
  <c r="BG12" i="9"/>
  <c r="BG10" i="9"/>
  <c r="BG8" i="9"/>
  <c r="BG15" i="9"/>
  <c r="BG28" i="9"/>
  <c r="BG29" i="9"/>
  <c r="BG17" i="9"/>
  <c r="BG6" i="9"/>
  <c r="BG5" i="9"/>
  <c r="BG26" i="9"/>
  <c r="BG23" i="9"/>
  <c r="BG13" i="9"/>
  <c r="BG3" i="9"/>
  <c r="BG4" i="9"/>
  <c r="BG11" i="9"/>
  <c r="BG19" i="9"/>
  <c r="BG9" i="9"/>
  <c r="BG7" i="9"/>
  <c r="BG2" i="9"/>
  <c r="S45" i="9"/>
  <c r="S49" i="9"/>
  <c r="S46" i="9"/>
  <c r="S48" i="9"/>
  <c r="S44" i="9"/>
  <c r="S42" i="9"/>
  <c r="S40" i="9"/>
  <c r="S43" i="9"/>
  <c r="S41" i="9"/>
  <c r="S47" i="9"/>
  <c r="S37" i="9"/>
  <c r="S35" i="9"/>
  <c r="S33" i="9"/>
  <c r="S32" i="9"/>
  <c r="S30" i="9"/>
  <c r="S39" i="9"/>
  <c r="S36" i="9"/>
  <c r="S29" i="9"/>
  <c r="S27" i="9"/>
  <c r="S34" i="9"/>
  <c r="S26" i="9"/>
  <c r="S24" i="9"/>
  <c r="S22" i="9"/>
  <c r="S20" i="9"/>
  <c r="S18" i="9"/>
  <c r="S16" i="9"/>
  <c r="S14" i="9"/>
  <c r="S38" i="9"/>
  <c r="S31" i="9"/>
  <c r="S12" i="9"/>
  <c r="S10" i="9"/>
  <c r="S8" i="9"/>
  <c r="S21" i="9"/>
  <c r="S13" i="9"/>
  <c r="S28" i="9"/>
  <c r="S23" i="9"/>
  <c r="S15" i="9"/>
  <c r="S25" i="9"/>
  <c r="S11" i="9"/>
  <c r="S3" i="9"/>
  <c r="S9" i="9"/>
  <c r="S4" i="9"/>
  <c r="S19" i="9"/>
  <c r="S17" i="9"/>
  <c r="S6" i="9"/>
  <c r="S5" i="9"/>
  <c r="S2" i="9"/>
  <c r="S7" i="9"/>
  <c r="JF53" i="8"/>
  <c r="JF49" i="8"/>
  <c r="JF48" i="8"/>
  <c r="JF54" i="8"/>
  <c r="JF33" i="8"/>
  <c r="JF31" i="8"/>
  <c r="JF29" i="8"/>
  <c r="JF27" i="8"/>
  <c r="JF25" i="8"/>
  <c r="JF23" i="8"/>
  <c r="JF55" i="8"/>
  <c r="JF47" i="8"/>
  <c r="JF40" i="8"/>
  <c r="JF42" i="8"/>
  <c r="JF46" i="8"/>
  <c r="JF45" i="8"/>
  <c r="JF30" i="8"/>
  <c r="JF24" i="8"/>
  <c r="JF39" i="8"/>
  <c r="JF38" i="8"/>
  <c r="JF36" i="8"/>
  <c r="JF41" i="8"/>
  <c r="JF43" i="8"/>
  <c r="JF26" i="8"/>
  <c r="JF34" i="8"/>
  <c r="JF15" i="8"/>
  <c r="JF10" i="8"/>
  <c r="JF20" i="8"/>
  <c r="JF9" i="8"/>
  <c r="JF4" i="8"/>
  <c r="JF35" i="8"/>
  <c r="JF28" i="8"/>
  <c r="JF37" i="8"/>
  <c r="JF11" i="8"/>
  <c r="JF6" i="8"/>
  <c r="JF17" i="8"/>
  <c r="JF3" i="8"/>
  <c r="JF19" i="8"/>
  <c r="JF18" i="8"/>
  <c r="JF44" i="8"/>
  <c r="JF22" i="8"/>
  <c r="JF13" i="8"/>
  <c r="JF12" i="8"/>
  <c r="JF21" i="8"/>
  <c r="JF14" i="8"/>
  <c r="JF32" i="8"/>
  <c r="JF7" i="8"/>
  <c r="JF8" i="8"/>
  <c r="JF16" i="8"/>
  <c r="JF2" i="8"/>
  <c r="JF5" i="8"/>
  <c r="IP54" i="8"/>
  <c r="IP47" i="8"/>
  <c r="IP42" i="8"/>
  <c r="IP33" i="8"/>
  <c r="IP31" i="8"/>
  <c r="IP29" i="8"/>
  <c r="IP27" i="8"/>
  <c r="IP25" i="8"/>
  <c r="IP23" i="8"/>
  <c r="IP41" i="8"/>
  <c r="IP37" i="8"/>
  <c r="IP43" i="8"/>
  <c r="IP38" i="8"/>
  <c r="IP53" i="8"/>
  <c r="IP39" i="8"/>
  <c r="IP28" i="8"/>
  <c r="IP48" i="8"/>
  <c r="IP40" i="8"/>
  <c r="IP36" i="8"/>
  <c r="IP22" i="8"/>
  <c r="IP55" i="8"/>
  <c r="IP46" i="8"/>
  <c r="IP49" i="8"/>
  <c r="IP45" i="8"/>
  <c r="IP44" i="8"/>
  <c r="IP35" i="8"/>
  <c r="IP11" i="8"/>
  <c r="IP6" i="8"/>
  <c r="IP21" i="8"/>
  <c r="IP16" i="8"/>
  <c r="IP5" i="8"/>
  <c r="IP3" i="8"/>
  <c r="IP30" i="8"/>
  <c r="IP32" i="8"/>
  <c r="IP18" i="8"/>
  <c r="IP7" i="8"/>
  <c r="IP19" i="8"/>
  <c r="IP4" i="8"/>
  <c r="IP20" i="8"/>
  <c r="IP12" i="8"/>
  <c r="IP34" i="8"/>
  <c r="IP24" i="8"/>
  <c r="IP13" i="8"/>
  <c r="IP26" i="8"/>
  <c r="IP15" i="8"/>
  <c r="IP14" i="8"/>
  <c r="IP9" i="8"/>
  <c r="IP8" i="8"/>
  <c r="IP17" i="8"/>
  <c r="IP10" i="8"/>
  <c r="IP2" i="8"/>
  <c r="GT54" i="9"/>
  <c r="GT55" i="9"/>
  <c r="GT47" i="9"/>
  <c r="GT49" i="9"/>
  <c r="GT44" i="9"/>
  <c r="GT46" i="9"/>
  <c r="GT53" i="9"/>
  <c r="GT41" i="9"/>
  <c r="GT43" i="9"/>
  <c r="GT40" i="9"/>
  <c r="GT39" i="9"/>
  <c r="GT38" i="9"/>
  <c r="GT45" i="9"/>
  <c r="GT48" i="9"/>
  <c r="GT36" i="9"/>
  <c r="GT34" i="9"/>
  <c r="GT32" i="9"/>
  <c r="GT35" i="9"/>
  <c r="GT30" i="9"/>
  <c r="GT28" i="9"/>
  <c r="GT26" i="9"/>
  <c r="GT33" i="9"/>
  <c r="GT29" i="9"/>
  <c r="GT42" i="9"/>
  <c r="GT37" i="9"/>
  <c r="GT25" i="9"/>
  <c r="GT23" i="9"/>
  <c r="GT21" i="9"/>
  <c r="GT19" i="9"/>
  <c r="GT17" i="9"/>
  <c r="GT15" i="9"/>
  <c r="GT13" i="9"/>
  <c r="GT24" i="9"/>
  <c r="GT10" i="9"/>
  <c r="GT8" i="9"/>
  <c r="GT6" i="9"/>
  <c r="GT4" i="9"/>
  <c r="GT31" i="9"/>
  <c r="GT27" i="9"/>
  <c r="GT22" i="9"/>
  <c r="GT12" i="9"/>
  <c r="GT20" i="9"/>
  <c r="GT14" i="9"/>
  <c r="GT11" i="9"/>
  <c r="GT3" i="9"/>
  <c r="GT16" i="9"/>
  <c r="GT5" i="9"/>
  <c r="GT9" i="9"/>
  <c r="GT2" i="9"/>
  <c r="GT18" i="9"/>
  <c r="GT7" i="9"/>
  <c r="EX54" i="9"/>
  <c r="EX55" i="9"/>
  <c r="EX47" i="9"/>
  <c r="EX49" i="9"/>
  <c r="EX48" i="9"/>
  <c r="EX53" i="9"/>
  <c r="EX44" i="9"/>
  <c r="EX46" i="9"/>
  <c r="EX45" i="9"/>
  <c r="EX42" i="9"/>
  <c r="EX38" i="9"/>
  <c r="EX39" i="9"/>
  <c r="EX40" i="9"/>
  <c r="EX36" i="9"/>
  <c r="EX34" i="9"/>
  <c r="EX32" i="9"/>
  <c r="EX33" i="9"/>
  <c r="EX30" i="9"/>
  <c r="EX35" i="9"/>
  <c r="EX29" i="9"/>
  <c r="EX28" i="9"/>
  <c r="EX26" i="9"/>
  <c r="EX41" i="9"/>
  <c r="EX27" i="9"/>
  <c r="EX43" i="9"/>
  <c r="EX37" i="9"/>
  <c r="EX23" i="9"/>
  <c r="EX21" i="9"/>
  <c r="EX19" i="9"/>
  <c r="EX17" i="9"/>
  <c r="EX15" i="9"/>
  <c r="EX18" i="9"/>
  <c r="EX12" i="9"/>
  <c r="EX10" i="9"/>
  <c r="EX8" i="9"/>
  <c r="EX6" i="9"/>
  <c r="EX4" i="9"/>
  <c r="EX31" i="9"/>
  <c r="EX14" i="9"/>
  <c r="EX20" i="9"/>
  <c r="EX22" i="9"/>
  <c r="EX2" i="9"/>
  <c r="EX5" i="9"/>
  <c r="EX13" i="9"/>
  <c r="EX11" i="9"/>
  <c r="EX24" i="9"/>
  <c r="EX16" i="9"/>
  <c r="EX3" i="9"/>
  <c r="EX25" i="9"/>
  <c r="EX7" i="9"/>
  <c r="EX9" i="9"/>
  <c r="AP149" i="7"/>
  <c r="AP151" i="7"/>
  <c r="AP150" i="7"/>
  <c r="JU151" i="7"/>
  <c r="JU149" i="7"/>
  <c r="JU150" i="7"/>
  <c r="AK150" i="7"/>
  <c r="AK151" i="7"/>
  <c r="AK149" i="7"/>
  <c r="AK53" i="9" s="1"/>
  <c r="JH55" i="8"/>
  <c r="JH53" i="8"/>
  <c r="JH49" i="8"/>
  <c r="JH47" i="8"/>
  <c r="JH43" i="8"/>
  <c r="JH41" i="8"/>
  <c r="JH39" i="8"/>
  <c r="JH37" i="8"/>
  <c r="JH54" i="8"/>
  <c r="JH45" i="8"/>
  <c r="JH40" i="8"/>
  <c r="JH36" i="8"/>
  <c r="JH33" i="8"/>
  <c r="JH31" i="8"/>
  <c r="JH38" i="8"/>
  <c r="JH34" i="8"/>
  <c r="JH27" i="8"/>
  <c r="JH35" i="8"/>
  <c r="JH23" i="8"/>
  <c r="JH22" i="8"/>
  <c r="JH21" i="8"/>
  <c r="JH19" i="8"/>
  <c r="JH17" i="8"/>
  <c r="JH15" i="8"/>
  <c r="JH13" i="8"/>
  <c r="JH11" i="8"/>
  <c r="JH9" i="8"/>
  <c r="JH7" i="8"/>
  <c r="JH5" i="8"/>
  <c r="JH3" i="8"/>
  <c r="JH48" i="8"/>
  <c r="JH42" i="8"/>
  <c r="JH44" i="8"/>
  <c r="JH30" i="8"/>
  <c r="JH29" i="8"/>
  <c r="JH24" i="8"/>
  <c r="JH20" i="8"/>
  <c r="JH4" i="8"/>
  <c r="JH28" i="8"/>
  <c r="JH25" i="8"/>
  <c r="JH14" i="8"/>
  <c r="JH2" i="8"/>
  <c r="JH46" i="8"/>
  <c r="JH32" i="8"/>
  <c r="JH16" i="8"/>
  <c r="JH18" i="8"/>
  <c r="JH10" i="8"/>
  <c r="JH12" i="8"/>
  <c r="JH6" i="8"/>
  <c r="JH8" i="8"/>
  <c r="JH26" i="8"/>
  <c r="IZ54" i="9"/>
  <c r="IZ55" i="9"/>
  <c r="IZ49" i="9"/>
  <c r="IZ53" i="9"/>
  <c r="IZ47" i="9"/>
  <c r="IZ46" i="9"/>
  <c r="IZ45" i="9"/>
  <c r="IZ43" i="9"/>
  <c r="IZ40" i="9"/>
  <c r="IZ37" i="9"/>
  <c r="IZ35" i="9"/>
  <c r="IZ33" i="9"/>
  <c r="IZ41" i="9"/>
  <c r="IZ38" i="9"/>
  <c r="IZ44" i="9"/>
  <c r="IZ32" i="9"/>
  <c r="IZ42" i="9"/>
  <c r="IZ34" i="9"/>
  <c r="IZ31" i="9"/>
  <c r="IZ29" i="9"/>
  <c r="IZ27" i="9"/>
  <c r="IZ25" i="9"/>
  <c r="IZ28" i="9"/>
  <c r="IZ30" i="9"/>
  <c r="IZ24" i="9"/>
  <c r="IZ22" i="9"/>
  <c r="IZ20" i="9"/>
  <c r="IZ18" i="9"/>
  <c r="IZ16" i="9"/>
  <c r="IZ14" i="9"/>
  <c r="IZ12" i="9"/>
  <c r="IZ36" i="9"/>
  <c r="IZ26" i="9"/>
  <c r="IZ39" i="9"/>
  <c r="IZ48" i="9"/>
  <c r="IZ17" i="9"/>
  <c r="IZ21" i="9"/>
  <c r="IZ13" i="9"/>
  <c r="IZ6" i="9"/>
  <c r="IZ5" i="9"/>
  <c r="IZ10" i="9"/>
  <c r="IZ4" i="9"/>
  <c r="IZ2" i="9"/>
  <c r="IZ23" i="9"/>
  <c r="IZ15" i="9"/>
  <c r="IZ11" i="9"/>
  <c r="IZ8" i="9"/>
  <c r="IZ7" i="9"/>
  <c r="IZ19" i="9"/>
  <c r="IZ3" i="9"/>
  <c r="IZ9" i="9"/>
  <c r="IR55" i="8"/>
  <c r="IR53" i="8"/>
  <c r="IR49" i="8"/>
  <c r="IR47" i="8"/>
  <c r="IR54" i="8"/>
  <c r="IR48" i="8"/>
  <c r="IR46" i="8"/>
  <c r="IR45" i="8"/>
  <c r="IR43" i="8"/>
  <c r="IR41" i="8"/>
  <c r="IR39" i="8"/>
  <c r="IR37" i="8"/>
  <c r="IR35" i="8"/>
  <c r="IR33" i="8"/>
  <c r="IR31" i="8"/>
  <c r="IR40" i="8"/>
  <c r="IR36" i="8"/>
  <c r="IR30" i="8"/>
  <c r="IR26" i="8"/>
  <c r="IR21" i="8"/>
  <c r="IR19" i="8"/>
  <c r="IR17" i="8"/>
  <c r="IR15" i="8"/>
  <c r="IR13" i="8"/>
  <c r="IR11" i="8"/>
  <c r="IR9" i="8"/>
  <c r="IR7" i="8"/>
  <c r="IR5" i="8"/>
  <c r="IR3" i="8"/>
  <c r="IR42" i="8"/>
  <c r="IR44" i="8"/>
  <c r="IR28" i="8"/>
  <c r="IR25" i="8"/>
  <c r="IR16" i="8"/>
  <c r="IR10" i="8"/>
  <c r="IR32" i="8"/>
  <c r="IR29" i="8"/>
  <c r="IR34" i="8"/>
  <c r="IR12" i="8"/>
  <c r="IR27" i="8"/>
  <c r="IR20" i="8"/>
  <c r="IR24" i="8"/>
  <c r="IR14" i="8"/>
  <c r="IR6" i="8"/>
  <c r="IR38" i="8"/>
  <c r="IR8" i="8"/>
  <c r="IR23" i="8"/>
  <c r="IR4" i="8"/>
  <c r="IR18" i="8"/>
  <c r="IR22" i="8"/>
  <c r="IR2" i="8"/>
  <c r="GV54" i="9"/>
  <c r="GV53" i="9"/>
  <c r="GV55" i="9"/>
  <c r="GV47" i="9"/>
  <c r="GV48" i="9"/>
  <c r="GV45" i="9"/>
  <c r="GV49" i="9"/>
  <c r="GV46" i="9"/>
  <c r="GV44" i="9"/>
  <c r="GV41" i="9"/>
  <c r="GV38" i="9"/>
  <c r="GV37" i="9"/>
  <c r="GV35" i="9"/>
  <c r="GV33" i="9"/>
  <c r="GV43" i="9"/>
  <c r="GV42" i="9"/>
  <c r="GV34" i="9"/>
  <c r="GV36" i="9"/>
  <c r="GV27" i="9"/>
  <c r="GV25" i="9"/>
  <c r="GV39" i="9"/>
  <c r="GV30" i="9"/>
  <c r="GV31" i="9"/>
  <c r="GV24" i="9"/>
  <c r="GV22" i="9"/>
  <c r="GV20" i="9"/>
  <c r="GV18" i="9"/>
  <c r="GV16" i="9"/>
  <c r="GV14" i="9"/>
  <c r="GV12" i="9"/>
  <c r="GV40" i="9"/>
  <c r="GV29" i="9"/>
  <c r="GV19" i="9"/>
  <c r="GV32" i="9"/>
  <c r="GV28" i="9"/>
  <c r="GV15" i="9"/>
  <c r="GV13" i="9"/>
  <c r="GV23" i="9"/>
  <c r="GV7" i="9"/>
  <c r="GV6" i="9"/>
  <c r="GV5" i="9"/>
  <c r="GV2" i="9"/>
  <c r="GV26" i="9"/>
  <c r="GV8" i="9"/>
  <c r="GV4" i="9"/>
  <c r="GV3" i="9"/>
  <c r="GV21" i="9"/>
  <c r="GV17" i="9"/>
  <c r="GV9" i="9"/>
  <c r="GV10" i="9"/>
  <c r="GV11" i="9"/>
  <c r="GN55" i="8"/>
  <c r="GN53" i="8"/>
  <c r="GN49" i="8"/>
  <c r="GN47" i="8"/>
  <c r="GN46" i="8"/>
  <c r="GN45" i="8"/>
  <c r="GN43" i="8"/>
  <c r="GN41" i="8"/>
  <c r="GN39" i="8"/>
  <c r="GN37" i="8"/>
  <c r="GN54" i="8"/>
  <c r="GN35" i="8"/>
  <c r="GN33" i="8"/>
  <c r="GN31" i="8"/>
  <c r="GN42" i="8"/>
  <c r="GN38" i="8"/>
  <c r="GN32" i="8"/>
  <c r="GN28" i="8"/>
  <c r="GN25" i="8"/>
  <c r="GN23" i="8"/>
  <c r="GN22" i="8"/>
  <c r="GN48" i="8"/>
  <c r="GN21" i="8"/>
  <c r="GN19" i="8"/>
  <c r="GN17" i="8"/>
  <c r="GN15" i="8"/>
  <c r="GN13" i="8"/>
  <c r="GN11" i="8"/>
  <c r="GN9" i="8"/>
  <c r="GN7" i="8"/>
  <c r="GN5" i="8"/>
  <c r="GN3" i="8"/>
  <c r="GN44" i="8"/>
  <c r="GN30" i="8"/>
  <c r="GN27" i="8"/>
  <c r="GN24" i="8"/>
  <c r="GN18" i="8"/>
  <c r="GN12" i="8"/>
  <c r="GN40" i="8"/>
  <c r="GN36" i="8"/>
  <c r="GN34" i="8"/>
  <c r="GN14" i="8"/>
  <c r="GN16" i="8"/>
  <c r="GN8" i="8"/>
  <c r="GN26" i="8"/>
  <c r="GN10" i="8"/>
  <c r="GN29" i="8"/>
  <c r="GN4" i="8"/>
  <c r="GN2" i="8"/>
  <c r="GN6" i="8"/>
  <c r="GN20" i="8"/>
  <c r="DL151" i="7"/>
  <c r="DL150" i="7"/>
  <c r="DL149" i="7"/>
  <c r="AZ150" i="7"/>
  <c r="BA54" i="9" s="1"/>
  <c r="AZ149" i="7"/>
  <c r="BA53" i="9" s="1"/>
  <c r="AZ151" i="7"/>
  <c r="BA55" i="9" s="1"/>
  <c r="AJ49" i="9"/>
  <c r="AJ47" i="9"/>
  <c r="AJ45" i="9"/>
  <c r="AJ48" i="9"/>
  <c r="AJ46" i="9"/>
  <c r="AJ43" i="9"/>
  <c r="AJ41" i="9"/>
  <c r="AJ42" i="9"/>
  <c r="AJ39" i="9"/>
  <c r="AJ37" i="9"/>
  <c r="AJ35" i="9"/>
  <c r="AJ33" i="9"/>
  <c r="AJ40" i="9"/>
  <c r="AJ27" i="9"/>
  <c r="AJ29" i="9"/>
  <c r="AJ31" i="9"/>
  <c r="AJ36" i="9"/>
  <c r="AJ24" i="9"/>
  <c r="AJ22" i="9"/>
  <c r="AJ20" i="9"/>
  <c r="AJ18" i="9"/>
  <c r="AJ16" i="9"/>
  <c r="AJ14" i="9"/>
  <c r="AJ30" i="9"/>
  <c r="AJ34" i="9"/>
  <c r="AJ44" i="9"/>
  <c r="AJ38" i="9"/>
  <c r="AJ25" i="9"/>
  <c r="AJ19" i="9"/>
  <c r="AJ32" i="9"/>
  <c r="AJ28" i="9"/>
  <c r="AJ21" i="9"/>
  <c r="AJ13" i="9"/>
  <c r="AJ4" i="9"/>
  <c r="AJ2" i="9"/>
  <c r="AJ23" i="9"/>
  <c r="AJ15" i="9"/>
  <c r="AJ11" i="9"/>
  <c r="AJ10" i="9"/>
  <c r="AJ9" i="9"/>
  <c r="AJ5" i="9"/>
  <c r="AJ3" i="9"/>
  <c r="AJ12" i="9"/>
  <c r="AJ26" i="9"/>
  <c r="AJ17" i="9"/>
  <c r="AJ8" i="9"/>
  <c r="AJ6" i="9"/>
  <c r="AJ7" i="9"/>
  <c r="AB150" i="7"/>
  <c r="AC54" i="9" s="1"/>
  <c r="AB149" i="7"/>
  <c r="AB151" i="7"/>
  <c r="AC55" i="9" s="1"/>
  <c r="AB49" i="9"/>
  <c r="AB47" i="9"/>
  <c r="AB45" i="9"/>
  <c r="AB48" i="9"/>
  <c r="AB46" i="9"/>
  <c r="AB54" i="9"/>
  <c r="AB42" i="9"/>
  <c r="AB41" i="9"/>
  <c r="AB40" i="9"/>
  <c r="AB44" i="9"/>
  <c r="AB43" i="9"/>
  <c r="AB37" i="9"/>
  <c r="AB35" i="9"/>
  <c r="AB33" i="9"/>
  <c r="AB38" i="9"/>
  <c r="AB32" i="9"/>
  <c r="AB29" i="9"/>
  <c r="AB27" i="9"/>
  <c r="AB24" i="9"/>
  <c r="AB22" i="9"/>
  <c r="AB20" i="9"/>
  <c r="AB18" i="9"/>
  <c r="AB16" i="9"/>
  <c r="AB14" i="9"/>
  <c r="AB39" i="9"/>
  <c r="AB36" i="9"/>
  <c r="AB34" i="9"/>
  <c r="AB23" i="9"/>
  <c r="AB30" i="9"/>
  <c r="AB28" i="9"/>
  <c r="AB17" i="9"/>
  <c r="AB31" i="9"/>
  <c r="AB26" i="9"/>
  <c r="AB19" i="9"/>
  <c r="AB25" i="9"/>
  <c r="AB11" i="9"/>
  <c r="AB8" i="9"/>
  <c r="AB4" i="9"/>
  <c r="AB2" i="9"/>
  <c r="AB21" i="9"/>
  <c r="AB15" i="9"/>
  <c r="AB12" i="9"/>
  <c r="AB7" i="9"/>
  <c r="AB3" i="9"/>
  <c r="AB9" i="9"/>
  <c r="AB10" i="9"/>
  <c r="AB13" i="9"/>
  <c r="AB6" i="9"/>
  <c r="AB5" i="9"/>
  <c r="T150" i="7"/>
  <c r="T149" i="7"/>
  <c r="T151" i="7"/>
  <c r="L49" i="9"/>
  <c r="L47" i="9"/>
  <c r="L48" i="9"/>
  <c r="L45" i="9"/>
  <c r="L46" i="9"/>
  <c r="L42" i="9"/>
  <c r="L40" i="9"/>
  <c r="L37" i="9"/>
  <c r="L35" i="9"/>
  <c r="L33" i="9"/>
  <c r="L43" i="9"/>
  <c r="L41" i="9"/>
  <c r="L39" i="9"/>
  <c r="L34" i="9"/>
  <c r="L36" i="9"/>
  <c r="L31" i="9"/>
  <c r="L27" i="9"/>
  <c r="L30" i="9"/>
  <c r="L29" i="9"/>
  <c r="L24" i="9"/>
  <c r="L22" i="9"/>
  <c r="L20" i="9"/>
  <c r="L18" i="9"/>
  <c r="L16" i="9"/>
  <c r="L14" i="9"/>
  <c r="L28" i="9"/>
  <c r="L38" i="9"/>
  <c r="L19" i="9"/>
  <c r="L32" i="9"/>
  <c r="L44" i="9"/>
  <c r="L15" i="9"/>
  <c r="L13" i="9"/>
  <c r="L7" i="9"/>
  <c r="L12" i="9"/>
  <c r="L6" i="9"/>
  <c r="L5" i="9"/>
  <c r="L4" i="9"/>
  <c r="L2" i="9"/>
  <c r="L21" i="9"/>
  <c r="L23" i="9"/>
  <c r="L26" i="9"/>
  <c r="L25" i="9"/>
  <c r="L3" i="9"/>
  <c r="L11" i="9"/>
  <c r="L10" i="9"/>
  <c r="L17" i="9"/>
  <c r="L8" i="9"/>
  <c r="L9" i="9"/>
  <c r="HC151" i="7"/>
  <c r="HC149" i="7"/>
  <c r="HC150" i="7"/>
  <c r="GM151" i="7"/>
  <c r="GM149" i="7"/>
  <c r="GM150" i="7"/>
  <c r="FO55" i="9"/>
  <c r="FO54" i="9"/>
  <c r="FO53" i="9"/>
  <c r="FO46" i="9"/>
  <c r="FO49" i="9"/>
  <c r="FO45" i="9"/>
  <c r="FO44" i="9"/>
  <c r="FO42" i="9"/>
  <c r="FO40" i="9"/>
  <c r="FO47" i="9"/>
  <c r="FO43" i="9"/>
  <c r="FO48" i="9"/>
  <c r="FO38" i="9"/>
  <c r="FO41" i="9"/>
  <c r="FO37" i="9"/>
  <c r="FO35" i="9"/>
  <c r="FO33" i="9"/>
  <c r="FO30" i="9"/>
  <c r="FO34" i="9"/>
  <c r="FO39" i="9"/>
  <c r="FO31" i="9"/>
  <c r="FO32" i="9"/>
  <c r="FO27" i="9"/>
  <c r="FO25" i="9"/>
  <c r="FO36" i="9"/>
  <c r="FO26" i="9"/>
  <c r="FO24" i="9"/>
  <c r="FO22" i="9"/>
  <c r="FO20" i="9"/>
  <c r="FO18" i="9"/>
  <c r="FO16" i="9"/>
  <c r="FO14" i="9"/>
  <c r="FO12" i="9"/>
  <c r="FO29" i="9"/>
  <c r="FO28" i="9"/>
  <c r="FO17" i="9"/>
  <c r="FO10" i="9"/>
  <c r="FO8" i="9"/>
  <c r="FO19" i="9"/>
  <c r="FO21" i="9"/>
  <c r="FO23" i="9"/>
  <c r="FO6" i="9"/>
  <c r="FO5" i="9"/>
  <c r="FO3" i="9"/>
  <c r="FO15" i="9"/>
  <c r="FO9" i="9"/>
  <c r="FO2" i="9"/>
  <c r="FO11" i="9"/>
  <c r="FO13" i="9"/>
  <c r="FO7" i="9"/>
  <c r="FO4" i="9"/>
  <c r="CE49" i="9"/>
  <c r="CE45" i="9"/>
  <c r="CE46" i="9"/>
  <c r="CE47" i="9"/>
  <c r="CE44" i="9"/>
  <c r="CE42" i="9"/>
  <c r="CE40" i="9"/>
  <c r="CE43" i="9"/>
  <c r="CE41" i="9"/>
  <c r="CE38" i="9"/>
  <c r="CE48" i="9"/>
  <c r="CE37" i="9"/>
  <c r="CE35" i="9"/>
  <c r="CE33" i="9"/>
  <c r="CE30" i="9"/>
  <c r="CE32" i="9"/>
  <c r="CE29" i="9"/>
  <c r="CE27" i="9"/>
  <c r="CE25" i="9"/>
  <c r="CE39" i="9"/>
  <c r="CE34" i="9"/>
  <c r="CE31" i="9"/>
  <c r="CE26" i="9"/>
  <c r="CE24" i="9"/>
  <c r="CE22" i="9"/>
  <c r="CE20" i="9"/>
  <c r="CE18" i="9"/>
  <c r="CE16" i="9"/>
  <c r="CE14" i="9"/>
  <c r="CE12" i="9"/>
  <c r="CE36" i="9"/>
  <c r="CE10" i="9"/>
  <c r="CE8" i="9"/>
  <c r="CE21" i="9"/>
  <c r="CE13" i="9"/>
  <c r="CE28" i="9"/>
  <c r="CE23" i="9"/>
  <c r="CE11" i="9"/>
  <c r="CE3" i="9"/>
  <c r="CE19" i="9"/>
  <c r="CE7" i="9"/>
  <c r="CE17" i="9"/>
  <c r="CE9" i="9"/>
  <c r="CE2" i="9"/>
  <c r="CE15" i="9"/>
  <c r="CE6" i="9"/>
  <c r="CE5" i="9"/>
  <c r="CE4" i="9"/>
  <c r="AY46" i="8"/>
  <c r="AY49" i="8"/>
  <c r="AY44" i="8"/>
  <c r="AY42" i="8"/>
  <c r="AY40" i="8"/>
  <c r="AY39" i="8"/>
  <c r="AY36" i="8"/>
  <c r="AY47" i="8"/>
  <c r="AY37" i="8"/>
  <c r="AY41" i="8"/>
  <c r="AY34" i="8"/>
  <c r="AY43" i="8"/>
  <c r="AY29" i="8"/>
  <c r="AY48" i="8"/>
  <c r="AY45" i="8"/>
  <c r="AY24" i="8"/>
  <c r="AY22" i="8"/>
  <c r="AY20" i="8"/>
  <c r="AY18" i="8"/>
  <c r="AY16" i="8"/>
  <c r="AY14" i="8"/>
  <c r="AY12" i="8"/>
  <c r="AY10" i="8"/>
  <c r="AY8" i="8"/>
  <c r="AY6" i="8"/>
  <c r="AY38" i="8"/>
  <c r="AY28" i="8"/>
  <c r="AY25" i="8"/>
  <c r="AY23" i="8"/>
  <c r="AY19" i="8"/>
  <c r="AY13" i="8"/>
  <c r="AY32" i="8"/>
  <c r="AY31" i="8"/>
  <c r="AY33" i="8"/>
  <c r="AY35" i="8"/>
  <c r="AY15" i="8"/>
  <c r="AY3" i="8"/>
  <c r="AY21" i="8"/>
  <c r="AY7" i="8"/>
  <c r="AY27" i="8"/>
  <c r="AY17" i="8"/>
  <c r="AY9" i="8"/>
  <c r="AY30" i="8"/>
  <c r="AY26" i="8"/>
  <c r="AY11" i="8"/>
  <c r="AY2" i="8"/>
  <c r="AY4" i="8"/>
  <c r="AY5" i="8"/>
  <c r="HB55" i="8"/>
  <c r="HB48" i="8"/>
  <c r="HB35" i="8"/>
  <c r="HB33" i="8"/>
  <c r="HB31" i="8"/>
  <c r="HB29" i="8"/>
  <c r="HB27" i="8"/>
  <c r="HB25" i="8"/>
  <c r="HB23" i="8"/>
  <c r="HB49" i="8"/>
  <c r="HB42" i="8"/>
  <c r="HB54" i="8"/>
  <c r="HB46" i="8"/>
  <c r="HB44" i="8"/>
  <c r="HB47" i="8"/>
  <c r="HB39" i="8"/>
  <c r="HB32" i="8"/>
  <c r="HB26" i="8"/>
  <c r="HB41" i="8"/>
  <c r="HB40" i="8"/>
  <c r="HB38" i="8"/>
  <c r="HB53" i="8"/>
  <c r="HB43" i="8"/>
  <c r="HB45" i="8"/>
  <c r="HB37" i="8"/>
  <c r="HB28" i="8"/>
  <c r="HB17" i="8"/>
  <c r="HB12" i="8"/>
  <c r="HB36" i="8"/>
  <c r="HB24" i="8"/>
  <c r="HB11" i="8"/>
  <c r="HB6" i="8"/>
  <c r="HB30" i="8"/>
  <c r="HB13" i="8"/>
  <c r="HB8" i="8"/>
  <c r="HB19" i="8"/>
  <c r="HB5" i="8"/>
  <c r="HB4" i="8"/>
  <c r="HB2" i="8"/>
  <c r="HB21" i="8"/>
  <c r="HB20" i="8"/>
  <c r="HB15" i="8"/>
  <c r="HB14" i="8"/>
  <c r="HB7" i="8"/>
  <c r="HB34" i="8"/>
  <c r="HB16" i="8"/>
  <c r="HB22" i="8"/>
  <c r="HB9" i="8"/>
  <c r="HB10" i="8"/>
  <c r="HB3" i="8"/>
  <c r="HB18" i="8"/>
  <c r="AX48" i="8"/>
  <c r="AX47" i="8"/>
  <c r="AX46" i="8"/>
  <c r="AX45" i="8"/>
  <c r="AX40" i="8"/>
  <c r="AX35" i="8"/>
  <c r="AX33" i="8"/>
  <c r="AX31" i="8"/>
  <c r="AX29" i="8"/>
  <c r="AX27" i="8"/>
  <c r="AX25" i="8"/>
  <c r="AX23" i="8"/>
  <c r="AX39" i="8"/>
  <c r="AX36" i="8"/>
  <c r="AX41" i="8"/>
  <c r="AX49" i="8"/>
  <c r="AX26" i="8"/>
  <c r="AX37" i="8"/>
  <c r="AX34" i="8"/>
  <c r="AX43" i="8"/>
  <c r="AX42" i="8"/>
  <c r="AX44" i="8"/>
  <c r="AX28" i="8"/>
  <c r="AX20" i="8"/>
  <c r="AX9" i="8"/>
  <c r="AX38" i="8"/>
  <c r="AX19" i="8"/>
  <c r="AX14" i="8"/>
  <c r="AX32" i="8"/>
  <c r="AX30" i="8"/>
  <c r="AX21" i="8"/>
  <c r="AX16" i="8"/>
  <c r="AX5" i="8"/>
  <c r="AX4" i="8"/>
  <c r="AX7" i="8"/>
  <c r="AX6" i="8"/>
  <c r="AX24" i="8"/>
  <c r="AX22" i="8"/>
  <c r="AX15" i="8"/>
  <c r="AX8" i="8"/>
  <c r="AX17" i="8"/>
  <c r="AX18" i="8"/>
  <c r="AX10" i="8"/>
  <c r="AX11" i="8"/>
  <c r="AX2" i="8"/>
  <c r="AX12" i="8"/>
  <c r="AX13" i="8"/>
  <c r="AX3" i="8"/>
  <c r="JE55" i="9"/>
  <c r="JE54" i="9"/>
  <c r="JE53" i="9"/>
  <c r="JE47" i="9"/>
  <c r="JE49" i="9"/>
  <c r="JE46" i="9"/>
  <c r="JE44" i="9"/>
  <c r="JE48" i="9"/>
  <c r="JE42" i="9"/>
  <c r="JE43" i="9"/>
  <c r="JE40" i="9"/>
  <c r="JE45" i="9"/>
  <c r="JE39" i="9"/>
  <c r="JE41" i="9"/>
  <c r="JE36" i="9"/>
  <c r="JE35" i="9"/>
  <c r="JE37" i="9"/>
  <c r="JE32" i="9"/>
  <c r="JE31" i="9"/>
  <c r="JE28" i="9"/>
  <c r="JE38" i="9"/>
  <c r="JE34" i="9"/>
  <c r="JE33" i="9"/>
  <c r="JE26" i="9"/>
  <c r="JE20" i="9"/>
  <c r="JE15" i="9"/>
  <c r="JE25" i="9"/>
  <c r="JE13" i="9"/>
  <c r="JE27" i="9"/>
  <c r="JE30" i="9"/>
  <c r="JE16" i="9"/>
  <c r="JE11" i="9"/>
  <c r="JE9" i="9"/>
  <c r="JE22" i="9"/>
  <c r="JE14" i="9"/>
  <c r="JE3" i="9"/>
  <c r="JE29" i="9"/>
  <c r="JE24" i="9"/>
  <c r="JE23" i="9"/>
  <c r="JE8" i="9"/>
  <c r="JE18" i="9"/>
  <c r="JE7" i="9"/>
  <c r="JE6" i="9"/>
  <c r="JE21" i="9"/>
  <c r="JE19" i="9"/>
  <c r="JE17" i="9"/>
  <c r="JE12" i="9"/>
  <c r="JE2" i="9"/>
  <c r="JE5" i="9"/>
  <c r="JE10" i="9"/>
  <c r="JE4" i="9"/>
  <c r="HY54" i="8"/>
  <c r="HY48" i="8"/>
  <c r="HY46" i="8"/>
  <c r="HY44" i="8"/>
  <c r="HY42" i="8"/>
  <c r="HY40" i="8"/>
  <c r="HY38" i="8"/>
  <c r="HY36" i="8"/>
  <c r="HY49" i="8"/>
  <c r="HY47" i="8"/>
  <c r="HY43" i="8"/>
  <c r="HY35" i="8"/>
  <c r="HY33" i="8"/>
  <c r="HY31" i="8"/>
  <c r="HY29" i="8"/>
  <c r="HY27" i="8"/>
  <c r="HY25" i="8"/>
  <c r="HY55" i="8"/>
  <c r="HY45" i="8"/>
  <c r="HY37" i="8"/>
  <c r="HY22" i="8"/>
  <c r="HY20" i="8"/>
  <c r="HY18" i="8"/>
  <c r="HY16" i="8"/>
  <c r="HY14" i="8"/>
  <c r="HY12" i="8"/>
  <c r="HY10" i="8"/>
  <c r="HY8" i="8"/>
  <c r="HY6" i="8"/>
  <c r="HY4" i="8"/>
  <c r="HY2" i="8"/>
  <c r="HY41" i="8"/>
  <c r="HY24" i="8"/>
  <c r="HY53" i="8"/>
  <c r="HY13" i="8"/>
  <c r="HY7" i="8"/>
  <c r="HY30" i="8"/>
  <c r="HY32" i="8"/>
  <c r="HY28" i="8"/>
  <c r="HY39" i="8"/>
  <c r="HY34" i="8"/>
  <c r="HY9" i="8"/>
  <c r="HY3" i="8"/>
  <c r="HY5" i="8"/>
  <c r="HY26" i="8"/>
  <c r="HY21" i="8"/>
  <c r="HY15" i="8"/>
  <c r="HY23" i="8"/>
  <c r="HY17" i="8"/>
  <c r="HY11" i="8"/>
  <c r="HY19" i="8"/>
  <c r="DQ149" i="7"/>
  <c r="DQ151" i="7"/>
  <c r="DQ150" i="7"/>
  <c r="IN151" i="7"/>
  <c r="IN149" i="7"/>
  <c r="IN150" i="7"/>
  <c r="EF54" i="8"/>
  <c r="EF48" i="8"/>
  <c r="EF44" i="8"/>
  <c r="EF42" i="8"/>
  <c r="EF40" i="8"/>
  <c r="EF38" i="8"/>
  <c r="EF53" i="8"/>
  <c r="EF41" i="8"/>
  <c r="EF55" i="8"/>
  <c r="EF46" i="8"/>
  <c r="EF43" i="8"/>
  <c r="EF34" i="8"/>
  <c r="EF32" i="8"/>
  <c r="EF29" i="8"/>
  <c r="EF26" i="8"/>
  <c r="EF37" i="8"/>
  <c r="EF35" i="8"/>
  <c r="EF22" i="8"/>
  <c r="EF20" i="8"/>
  <c r="EF18" i="8"/>
  <c r="EF16" i="8"/>
  <c r="EF14" i="8"/>
  <c r="EF12" i="8"/>
  <c r="EF10" i="8"/>
  <c r="EF8" i="8"/>
  <c r="EF6" i="8"/>
  <c r="EF4" i="8"/>
  <c r="EF2" i="8"/>
  <c r="EF45" i="8"/>
  <c r="EF47" i="8"/>
  <c r="EF28" i="8"/>
  <c r="EF31" i="8"/>
  <c r="EF11" i="8"/>
  <c r="EF23" i="8"/>
  <c r="EF21" i="8"/>
  <c r="EF5" i="8"/>
  <c r="EF49" i="8"/>
  <c r="EF33" i="8"/>
  <c r="EF39" i="8"/>
  <c r="EF30" i="8"/>
  <c r="EF24" i="8"/>
  <c r="EF7" i="8"/>
  <c r="EF25" i="8"/>
  <c r="EF15" i="8"/>
  <c r="EF27" i="8"/>
  <c r="EF9" i="8"/>
  <c r="EF17" i="8"/>
  <c r="EF36" i="8"/>
  <c r="EF19" i="8"/>
  <c r="EF13" i="8"/>
  <c r="EF3" i="8"/>
  <c r="BT48" i="8"/>
  <c r="BT44" i="8"/>
  <c r="BT42" i="8"/>
  <c r="BT40" i="8"/>
  <c r="BT38" i="8"/>
  <c r="BT46" i="8"/>
  <c r="BT41" i="8"/>
  <c r="BT47" i="8"/>
  <c r="BT43" i="8"/>
  <c r="BT34" i="8"/>
  <c r="BT32" i="8"/>
  <c r="BT29" i="8"/>
  <c r="BT26" i="8"/>
  <c r="BT49" i="8"/>
  <c r="BT35" i="8"/>
  <c r="BT22" i="8"/>
  <c r="BT20" i="8"/>
  <c r="BT18" i="8"/>
  <c r="BT16" i="8"/>
  <c r="BT14" i="8"/>
  <c r="BT12" i="8"/>
  <c r="BT10" i="8"/>
  <c r="BT8" i="8"/>
  <c r="BT6" i="8"/>
  <c r="BT4" i="8"/>
  <c r="BT2" i="8"/>
  <c r="BT45" i="8"/>
  <c r="BT39" i="8"/>
  <c r="BT28" i="8"/>
  <c r="BT11" i="8"/>
  <c r="BT31" i="8"/>
  <c r="BT24" i="8"/>
  <c r="BT21" i="8"/>
  <c r="BT5" i="8"/>
  <c r="BT33" i="8"/>
  <c r="BT36" i="8"/>
  <c r="BT30" i="8"/>
  <c r="BT37" i="8"/>
  <c r="BT7" i="8"/>
  <c r="BT13" i="8"/>
  <c r="BT15" i="8"/>
  <c r="BT27" i="8"/>
  <c r="BT25" i="8"/>
  <c r="BT23" i="8"/>
  <c r="BT9" i="8"/>
  <c r="BT17" i="8"/>
  <c r="BT19" i="8"/>
  <c r="BT3" i="8"/>
  <c r="AG149" i="7"/>
  <c r="AG151" i="7"/>
  <c r="AH55" i="9" s="1"/>
  <c r="AG150" i="7"/>
  <c r="AH54" i="9" s="1"/>
  <c r="IQ53" i="9"/>
  <c r="IQ54" i="9"/>
  <c r="IQ49" i="9"/>
  <c r="IQ45" i="9"/>
  <c r="IQ55" i="9"/>
  <c r="IQ48" i="9"/>
  <c r="IQ42" i="9"/>
  <c r="IQ40" i="9"/>
  <c r="IQ47" i="9"/>
  <c r="IQ44" i="9"/>
  <c r="IQ38" i="9"/>
  <c r="IQ43" i="9"/>
  <c r="IQ41" i="9"/>
  <c r="IQ39" i="9"/>
  <c r="IQ37" i="9"/>
  <c r="IQ35" i="9"/>
  <c r="IQ33" i="9"/>
  <c r="IQ30" i="9"/>
  <c r="IQ28" i="9"/>
  <c r="IQ36" i="9"/>
  <c r="IQ27" i="9"/>
  <c r="IQ25" i="9"/>
  <c r="IQ31" i="9"/>
  <c r="IQ32" i="9"/>
  <c r="IQ29" i="9"/>
  <c r="IQ24" i="9"/>
  <c r="IQ22" i="9"/>
  <c r="IQ20" i="9"/>
  <c r="IQ18" i="9"/>
  <c r="IQ16" i="9"/>
  <c r="IQ14" i="9"/>
  <c r="IQ12" i="9"/>
  <c r="IQ46" i="9"/>
  <c r="IQ26" i="9"/>
  <c r="IQ21" i="9"/>
  <c r="IQ10" i="9"/>
  <c r="IQ8" i="9"/>
  <c r="IQ34" i="9"/>
  <c r="IQ15" i="9"/>
  <c r="IQ17" i="9"/>
  <c r="IQ9" i="9"/>
  <c r="IQ6" i="9"/>
  <c r="IQ5" i="9"/>
  <c r="IQ4" i="9"/>
  <c r="IQ19" i="9"/>
  <c r="IQ7" i="9"/>
  <c r="IQ3" i="9"/>
  <c r="IQ23" i="9"/>
  <c r="IQ13" i="9"/>
  <c r="IQ11" i="9"/>
  <c r="IQ2" i="9"/>
  <c r="HK150" i="7"/>
  <c r="HK151" i="7"/>
  <c r="HK149" i="7"/>
  <c r="CU54" i="8"/>
  <c r="CU53" i="8"/>
  <c r="CU46" i="8"/>
  <c r="CU44" i="8"/>
  <c r="CU42" i="8"/>
  <c r="CU40" i="8"/>
  <c r="CU47" i="8"/>
  <c r="CU45" i="8"/>
  <c r="CU55" i="8"/>
  <c r="CU49" i="8"/>
  <c r="CU38" i="8"/>
  <c r="CU36" i="8"/>
  <c r="CU37" i="8"/>
  <c r="CU35" i="8"/>
  <c r="CU28" i="8"/>
  <c r="CU25" i="8"/>
  <c r="CU48" i="8"/>
  <c r="CU41" i="8"/>
  <c r="CU22" i="8"/>
  <c r="CU20" i="8"/>
  <c r="CU18" i="8"/>
  <c r="CU16" i="8"/>
  <c r="CU14" i="8"/>
  <c r="CU12" i="8"/>
  <c r="CU10" i="8"/>
  <c r="CU8" i="8"/>
  <c r="CU6" i="8"/>
  <c r="CU4" i="8"/>
  <c r="CU32" i="8"/>
  <c r="CU15" i="8"/>
  <c r="CU2" i="8"/>
  <c r="CU34" i="8"/>
  <c r="CU33" i="8"/>
  <c r="CU9" i="8"/>
  <c r="CU43" i="8"/>
  <c r="CU39" i="8"/>
  <c r="CU23" i="8"/>
  <c r="CU11" i="8"/>
  <c r="CU29" i="8"/>
  <c r="CU24" i="8"/>
  <c r="CU17" i="8"/>
  <c r="CU19" i="8"/>
  <c r="CU31" i="8"/>
  <c r="CU13" i="8"/>
  <c r="CU27" i="8"/>
  <c r="CU21" i="8"/>
  <c r="CU7" i="8"/>
  <c r="CU5" i="8"/>
  <c r="CU30" i="8"/>
  <c r="CU26" i="8"/>
  <c r="CU3" i="8"/>
  <c r="AQ47" i="8"/>
  <c r="AQ44" i="8"/>
  <c r="AQ42" i="8"/>
  <c r="AQ40" i="8"/>
  <c r="AQ49" i="8"/>
  <c r="AQ38" i="8"/>
  <c r="AQ46" i="8"/>
  <c r="AQ48" i="8"/>
  <c r="AQ32" i="8"/>
  <c r="AQ39" i="8"/>
  <c r="AQ30" i="8"/>
  <c r="AQ27" i="8"/>
  <c r="AQ41" i="8"/>
  <c r="AQ43" i="8"/>
  <c r="AQ23" i="8"/>
  <c r="AQ22" i="8"/>
  <c r="AQ20" i="8"/>
  <c r="AQ18" i="8"/>
  <c r="AQ16" i="8"/>
  <c r="AQ14" i="8"/>
  <c r="AQ12" i="8"/>
  <c r="AQ10" i="8"/>
  <c r="AQ8" i="8"/>
  <c r="AQ6" i="8"/>
  <c r="AQ34" i="8"/>
  <c r="AQ17" i="8"/>
  <c r="AQ4" i="8"/>
  <c r="AQ35" i="8"/>
  <c r="AQ24" i="8"/>
  <c r="AQ11" i="8"/>
  <c r="AQ45" i="8"/>
  <c r="AQ31" i="8"/>
  <c r="AQ37" i="8"/>
  <c r="AQ36" i="8"/>
  <c r="AQ26" i="8"/>
  <c r="AQ13" i="8"/>
  <c r="AQ3" i="8"/>
  <c r="AQ28" i="8"/>
  <c r="AQ19" i="8"/>
  <c r="AQ5" i="8"/>
  <c r="AQ33" i="8"/>
  <c r="AQ21" i="8"/>
  <c r="AQ25" i="8"/>
  <c r="AQ15" i="8"/>
  <c r="AQ7" i="8"/>
  <c r="AQ9" i="8"/>
  <c r="AQ2" i="8"/>
  <c r="AQ29" i="8"/>
  <c r="FV54" i="9"/>
  <c r="FV55" i="9"/>
  <c r="FV47" i="9"/>
  <c r="FV53" i="9"/>
  <c r="FV48" i="9"/>
  <c r="FV49" i="9"/>
  <c r="FV46" i="9"/>
  <c r="FV44" i="9"/>
  <c r="FV45" i="9"/>
  <c r="FV43" i="9"/>
  <c r="FV38" i="9"/>
  <c r="FV41" i="9"/>
  <c r="FV40" i="9"/>
  <c r="FV39" i="9"/>
  <c r="FV36" i="9"/>
  <c r="FV34" i="9"/>
  <c r="FV32" i="9"/>
  <c r="FV30" i="9"/>
  <c r="FV35" i="9"/>
  <c r="FV33" i="9"/>
  <c r="FV29" i="9"/>
  <c r="FV28" i="9"/>
  <c r="FV26" i="9"/>
  <c r="FV37" i="9"/>
  <c r="FV42" i="9"/>
  <c r="FV23" i="9"/>
  <c r="FV21" i="9"/>
  <c r="FV19" i="9"/>
  <c r="FV17" i="9"/>
  <c r="FV15" i="9"/>
  <c r="FV31" i="9"/>
  <c r="FV24" i="9"/>
  <c r="FV18" i="9"/>
  <c r="FV10" i="9"/>
  <c r="FV8" i="9"/>
  <c r="FV6" i="9"/>
  <c r="FV4" i="9"/>
  <c r="FV27" i="9"/>
  <c r="FV20" i="9"/>
  <c r="FV12" i="9"/>
  <c r="FV5" i="9"/>
  <c r="FV25" i="9"/>
  <c r="FV22" i="9"/>
  <c r="FV14" i="9"/>
  <c r="FV13" i="9"/>
  <c r="FV9" i="9"/>
  <c r="FV16" i="9"/>
  <c r="FV3" i="9"/>
  <c r="FV7" i="9"/>
  <c r="FV2" i="9"/>
  <c r="FV11" i="9"/>
  <c r="EP149" i="7"/>
  <c r="EP150" i="7"/>
  <c r="EP151" i="7"/>
  <c r="CT54" i="8"/>
  <c r="CT47" i="8"/>
  <c r="CT53" i="8"/>
  <c r="CT55" i="8"/>
  <c r="CT49" i="8"/>
  <c r="CT41" i="8"/>
  <c r="CT35" i="8"/>
  <c r="CT33" i="8"/>
  <c r="CT31" i="8"/>
  <c r="CT29" i="8"/>
  <c r="CT27" i="8"/>
  <c r="CT25" i="8"/>
  <c r="CT23" i="8"/>
  <c r="CT43" i="8"/>
  <c r="CT30" i="8"/>
  <c r="CT46" i="8"/>
  <c r="CT45" i="8"/>
  <c r="CT44" i="8"/>
  <c r="CT40" i="8"/>
  <c r="CT48" i="8"/>
  <c r="CT38" i="8"/>
  <c r="CT32" i="8"/>
  <c r="CT21" i="8"/>
  <c r="CT16" i="8"/>
  <c r="CT5" i="8"/>
  <c r="CT28" i="8"/>
  <c r="CT15" i="8"/>
  <c r="CT10" i="8"/>
  <c r="CT2" i="8"/>
  <c r="CT34" i="8"/>
  <c r="CT42" i="8"/>
  <c r="CT36" i="8"/>
  <c r="CT37" i="8"/>
  <c r="CT39" i="8"/>
  <c r="CT17" i="8"/>
  <c r="CT12" i="8"/>
  <c r="CT26" i="8"/>
  <c r="CT9" i="8"/>
  <c r="CT8" i="8"/>
  <c r="CT24" i="8"/>
  <c r="CT19" i="8"/>
  <c r="CT18" i="8"/>
  <c r="CT11" i="8"/>
  <c r="CT20" i="8"/>
  <c r="CT13" i="8"/>
  <c r="CT14" i="8"/>
  <c r="CT6" i="8"/>
  <c r="CT3" i="8"/>
  <c r="CT22" i="8"/>
  <c r="CT4" i="8"/>
  <c r="CT7" i="8"/>
  <c r="CT54" i="9"/>
  <c r="CT55" i="9"/>
  <c r="CT53" i="9"/>
  <c r="CT47" i="9"/>
  <c r="CT48" i="9"/>
  <c r="CT45" i="9"/>
  <c r="CT46" i="9"/>
  <c r="CT49" i="9"/>
  <c r="CT44" i="9"/>
  <c r="CT43" i="9"/>
  <c r="CT41" i="9"/>
  <c r="CT38" i="9"/>
  <c r="CT39" i="9"/>
  <c r="CT40" i="9"/>
  <c r="CT42" i="9"/>
  <c r="CT36" i="9"/>
  <c r="CT34" i="9"/>
  <c r="CT35" i="9"/>
  <c r="CT32" i="9"/>
  <c r="CT30" i="9"/>
  <c r="CT37" i="9"/>
  <c r="CT33" i="9"/>
  <c r="CT31" i="9"/>
  <c r="CT28" i="9"/>
  <c r="CT26" i="9"/>
  <c r="CT29" i="9"/>
  <c r="CT25" i="9"/>
  <c r="CT23" i="9"/>
  <c r="CT21" i="9"/>
  <c r="CT19" i="9"/>
  <c r="CT17" i="9"/>
  <c r="CT15" i="9"/>
  <c r="CT20" i="9"/>
  <c r="CT14" i="9"/>
  <c r="CT10" i="9"/>
  <c r="CT8" i="9"/>
  <c r="CT6" i="9"/>
  <c r="CT4" i="9"/>
  <c r="CT27" i="9"/>
  <c r="CT16" i="9"/>
  <c r="CT13" i="9"/>
  <c r="CT12" i="9"/>
  <c r="CT22" i="9"/>
  <c r="CT24" i="9"/>
  <c r="CT5" i="9"/>
  <c r="CT18" i="9"/>
  <c r="CT7" i="9"/>
  <c r="CT11" i="9"/>
  <c r="CT2" i="9"/>
  <c r="CT9" i="9"/>
  <c r="CT3" i="9"/>
  <c r="AH49" i="9"/>
  <c r="AH47" i="9"/>
  <c r="AH45" i="9"/>
  <c r="AH44" i="9"/>
  <c r="AH42" i="9"/>
  <c r="AH39" i="9"/>
  <c r="AH46" i="9"/>
  <c r="AH43" i="9"/>
  <c r="AH38" i="9"/>
  <c r="AH36" i="9"/>
  <c r="AH34" i="9"/>
  <c r="AH40" i="9"/>
  <c r="AH35" i="9"/>
  <c r="AH32" i="9"/>
  <c r="AH30" i="9"/>
  <c r="AH37" i="9"/>
  <c r="AH31" i="9"/>
  <c r="AH48" i="9"/>
  <c r="AH41" i="9"/>
  <c r="AH28" i="9"/>
  <c r="AH26" i="9"/>
  <c r="AH33" i="9"/>
  <c r="AH25" i="9"/>
  <c r="AH23" i="9"/>
  <c r="AH21" i="9"/>
  <c r="AH19" i="9"/>
  <c r="AH17" i="9"/>
  <c r="AH15" i="9"/>
  <c r="AH20" i="9"/>
  <c r="AH14" i="9"/>
  <c r="AH12" i="9"/>
  <c r="AH10" i="9"/>
  <c r="AH8" i="9"/>
  <c r="AH6" i="9"/>
  <c r="AH27" i="9"/>
  <c r="AH29" i="9"/>
  <c r="AH16" i="9"/>
  <c r="AH13" i="9"/>
  <c r="AH22" i="9"/>
  <c r="AH24" i="9"/>
  <c r="AH5" i="9"/>
  <c r="AH4" i="9"/>
  <c r="AH18" i="9"/>
  <c r="AH11" i="9"/>
  <c r="AH7" i="9"/>
  <c r="AH2" i="9"/>
  <c r="AH3" i="9"/>
  <c r="AH9" i="9"/>
  <c r="DY54" i="8"/>
  <c r="DY48" i="8"/>
  <c r="DY46" i="8"/>
  <c r="DY44" i="8"/>
  <c r="DY42" i="8"/>
  <c r="DY40" i="8"/>
  <c r="DY38" i="8"/>
  <c r="DY36" i="8"/>
  <c r="DY47" i="8"/>
  <c r="DY53" i="8"/>
  <c r="DY49" i="8"/>
  <c r="DY39" i="8"/>
  <c r="DY35" i="8"/>
  <c r="DY33" i="8"/>
  <c r="DY31" i="8"/>
  <c r="DY29" i="8"/>
  <c r="DY27" i="8"/>
  <c r="DY25" i="8"/>
  <c r="DY55" i="8"/>
  <c r="DY34" i="8"/>
  <c r="DY22" i="8"/>
  <c r="DY20" i="8"/>
  <c r="DY18" i="8"/>
  <c r="DY16" i="8"/>
  <c r="DY14" i="8"/>
  <c r="DY12" i="8"/>
  <c r="DY10" i="8"/>
  <c r="DY8" i="8"/>
  <c r="DY6" i="8"/>
  <c r="DY4" i="8"/>
  <c r="DY2" i="8"/>
  <c r="DY30" i="8"/>
  <c r="DY41" i="8"/>
  <c r="DY43" i="8"/>
  <c r="DY45" i="8"/>
  <c r="DY19" i="8"/>
  <c r="DY24" i="8"/>
  <c r="DY13" i="8"/>
  <c r="DY32" i="8"/>
  <c r="DY37" i="8"/>
  <c r="DY26" i="8"/>
  <c r="DY15" i="8"/>
  <c r="DY28" i="8"/>
  <c r="DY3" i="8"/>
  <c r="DY5" i="8"/>
  <c r="DY21" i="8"/>
  <c r="DY7" i="8"/>
  <c r="DY17" i="8"/>
  <c r="DY9" i="8"/>
  <c r="DY11" i="8"/>
  <c r="DY23" i="8"/>
  <c r="FT151" i="7"/>
  <c r="FT149" i="7"/>
  <c r="FT150" i="7"/>
  <c r="P48" i="8"/>
  <c r="P44" i="8"/>
  <c r="P42" i="8"/>
  <c r="P40" i="8"/>
  <c r="P38" i="8"/>
  <c r="P47" i="8"/>
  <c r="P46" i="8"/>
  <c r="P43" i="8"/>
  <c r="P37" i="8"/>
  <c r="P45" i="8"/>
  <c r="P36" i="8"/>
  <c r="P34" i="8"/>
  <c r="P32" i="8"/>
  <c r="P28" i="8"/>
  <c r="P22" i="8"/>
  <c r="P20" i="8"/>
  <c r="P18" i="8"/>
  <c r="P16" i="8"/>
  <c r="P14" i="8"/>
  <c r="P12" i="8"/>
  <c r="P10" i="8"/>
  <c r="P8" i="8"/>
  <c r="P6" i="8"/>
  <c r="P4" i="8"/>
  <c r="P2" i="8"/>
  <c r="P49" i="8"/>
  <c r="P41" i="8"/>
  <c r="P30" i="8"/>
  <c r="P25" i="8"/>
  <c r="P24" i="8"/>
  <c r="P13" i="8"/>
  <c r="P33" i="8"/>
  <c r="P7" i="8"/>
  <c r="P3" i="8"/>
  <c r="P29" i="8"/>
  <c r="P39" i="8"/>
  <c r="P35" i="8"/>
  <c r="P31" i="8"/>
  <c r="P9" i="8"/>
  <c r="P15" i="8"/>
  <c r="P17" i="8"/>
  <c r="P11" i="8"/>
  <c r="P19" i="8"/>
  <c r="P27" i="8"/>
  <c r="P23" i="8"/>
  <c r="P21" i="8"/>
  <c r="P26" i="8"/>
  <c r="P5" i="8"/>
  <c r="EW151" i="7"/>
  <c r="EW149" i="7"/>
  <c r="EW150" i="7"/>
  <c r="FF149" i="7"/>
  <c r="FF151" i="7"/>
  <c r="FF150" i="7"/>
  <c r="DR54" i="9"/>
  <c r="DR55" i="9"/>
  <c r="DR53" i="9"/>
  <c r="DR47" i="9"/>
  <c r="DR49" i="9"/>
  <c r="DR48" i="9"/>
  <c r="DR46" i="9"/>
  <c r="DR44" i="9"/>
  <c r="DR43" i="9"/>
  <c r="DR45" i="9"/>
  <c r="DR42" i="9"/>
  <c r="DR38" i="9"/>
  <c r="DR39" i="9"/>
  <c r="DR41" i="9"/>
  <c r="DR36" i="9"/>
  <c r="DR34" i="9"/>
  <c r="DR30" i="9"/>
  <c r="DR29" i="9"/>
  <c r="DR37" i="9"/>
  <c r="DR35" i="9"/>
  <c r="DR28" i="9"/>
  <c r="DR26" i="9"/>
  <c r="DR31" i="9"/>
  <c r="DR25" i="9"/>
  <c r="DR33" i="9"/>
  <c r="DR40" i="9"/>
  <c r="DR32" i="9"/>
  <c r="DR23" i="9"/>
  <c r="DR21" i="9"/>
  <c r="DR19" i="9"/>
  <c r="DR17" i="9"/>
  <c r="DR15" i="9"/>
  <c r="DR12" i="9"/>
  <c r="DR20" i="9"/>
  <c r="DR10" i="9"/>
  <c r="DR8" i="9"/>
  <c r="DR6" i="9"/>
  <c r="DR4" i="9"/>
  <c r="DR27" i="9"/>
  <c r="DR22" i="9"/>
  <c r="DR14" i="9"/>
  <c r="DR7" i="9"/>
  <c r="DR24" i="9"/>
  <c r="DR16" i="9"/>
  <c r="DR13" i="9"/>
  <c r="DR5" i="9"/>
  <c r="DR11" i="9"/>
  <c r="DR9" i="9"/>
  <c r="DR18" i="9"/>
  <c r="DR2" i="9"/>
  <c r="DR3" i="9"/>
  <c r="CD47" i="9"/>
  <c r="CD49" i="9"/>
  <c r="CD48" i="9"/>
  <c r="CD46" i="9"/>
  <c r="CD44" i="9"/>
  <c r="CD45" i="9"/>
  <c r="CD42" i="9"/>
  <c r="CD40" i="9"/>
  <c r="CD38" i="9"/>
  <c r="CD39" i="9"/>
  <c r="CD43" i="9"/>
  <c r="CD41" i="9"/>
  <c r="CD36" i="9"/>
  <c r="CD34" i="9"/>
  <c r="CD37" i="9"/>
  <c r="CD30" i="9"/>
  <c r="CD33" i="9"/>
  <c r="CD31" i="9"/>
  <c r="CD29" i="9"/>
  <c r="CD35" i="9"/>
  <c r="CD28" i="9"/>
  <c r="CD26" i="9"/>
  <c r="CD27" i="9"/>
  <c r="CD23" i="9"/>
  <c r="CD21" i="9"/>
  <c r="CD19" i="9"/>
  <c r="CD17" i="9"/>
  <c r="CD15" i="9"/>
  <c r="CD16" i="9"/>
  <c r="CD10" i="9"/>
  <c r="CD8" i="9"/>
  <c r="CD6" i="9"/>
  <c r="CD4" i="9"/>
  <c r="CD32" i="9"/>
  <c r="CD12" i="9"/>
  <c r="CD24" i="9"/>
  <c r="CD14" i="9"/>
  <c r="CD11" i="9"/>
  <c r="CD5" i="9"/>
  <c r="CD7" i="9"/>
  <c r="CD25" i="9"/>
  <c r="CD22" i="9"/>
  <c r="CD18" i="9"/>
  <c r="CD20" i="9"/>
  <c r="CD9" i="9"/>
  <c r="CD2" i="9"/>
  <c r="CD3" i="9"/>
  <c r="CD13" i="9"/>
  <c r="Z46" i="8"/>
  <c r="Z49" i="8"/>
  <c r="Z39" i="8"/>
  <c r="Z35" i="8"/>
  <c r="Z33" i="8"/>
  <c r="Z31" i="8"/>
  <c r="Z29" i="8"/>
  <c r="Z27" i="8"/>
  <c r="Z25" i="8"/>
  <c r="Z23" i="8"/>
  <c r="Z44" i="8"/>
  <c r="Z37" i="8"/>
  <c r="Z36" i="8"/>
  <c r="Z38" i="8"/>
  <c r="Z34" i="8"/>
  <c r="Z28" i="8"/>
  <c r="Z47" i="8"/>
  <c r="Z40" i="8"/>
  <c r="Z41" i="8"/>
  <c r="Z48" i="8"/>
  <c r="Z43" i="8"/>
  <c r="Z42" i="8"/>
  <c r="Z45" i="8"/>
  <c r="Z30" i="8"/>
  <c r="Z19" i="8"/>
  <c r="Z14" i="8"/>
  <c r="Z13" i="8"/>
  <c r="Z8" i="8"/>
  <c r="Z3" i="8"/>
  <c r="Z32" i="8"/>
  <c r="Z15" i="8"/>
  <c r="Z10" i="8"/>
  <c r="Z12" i="8"/>
  <c r="Z24" i="8"/>
  <c r="Z20" i="8"/>
  <c r="Z5" i="8"/>
  <c r="Z21" i="8"/>
  <c r="Z7" i="8"/>
  <c r="Z22" i="8"/>
  <c r="Z26" i="8"/>
  <c r="Z17" i="8"/>
  <c r="Z16" i="8"/>
  <c r="Z9" i="8"/>
  <c r="Z18" i="8"/>
  <c r="Z2" i="8"/>
  <c r="Z11" i="8"/>
  <c r="Z4" i="8"/>
  <c r="Z6" i="8"/>
  <c r="HA55" i="9"/>
  <c r="HA54" i="9"/>
  <c r="HA53" i="9"/>
  <c r="HA49" i="9"/>
  <c r="HA47" i="9"/>
  <c r="HA46" i="9"/>
  <c r="HA48" i="9"/>
  <c r="HA42" i="9"/>
  <c r="HA44" i="9"/>
  <c r="HA41" i="9"/>
  <c r="HA45" i="9"/>
  <c r="HA43" i="9"/>
  <c r="HA37" i="9"/>
  <c r="HA32" i="9"/>
  <c r="HA39" i="9"/>
  <c r="HA38" i="9"/>
  <c r="HA34" i="9"/>
  <c r="HA31" i="9"/>
  <c r="HA30" i="9"/>
  <c r="HA36" i="9"/>
  <c r="HA26" i="9"/>
  <c r="HA40" i="9"/>
  <c r="HA35" i="9"/>
  <c r="HA33" i="9"/>
  <c r="HA29" i="9"/>
  <c r="HA22" i="9"/>
  <c r="HA17" i="9"/>
  <c r="HA27" i="9"/>
  <c r="HA16" i="9"/>
  <c r="HA28" i="9"/>
  <c r="HA25" i="9"/>
  <c r="HA18" i="9"/>
  <c r="HA11" i="9"/>
  <c r="HA9" i="9"/>
  <c r="HA24" i="9"/>
  <c r="HA13" i="9"/>
  <c r="HA10" i="9"/>
  <c r="HA8" i="9"/>
  <c r="HA3" i="9"/>
  <c r="HA20" i="9"/>
  <c r="HA19" i="9"/>
  <c r="HA15" i="9"/>
  <c r="HA7" i="9"/>
  <c r="HA23" i="9"/>
  <c r="HA21" i="9"/>
  <c r="HA12" i="9"/>
  <c r="HA4" i="9"/>
  <c r="HA2" i="9"/>
  <c r="HA6" i="9"/>
  <c r="HA5" i="9"/>
  <c r="HA14" i="9"/>
  <c r="DI53" i="9"/>
  <c r="DI49" i="9"/>
  <c r="DI47" i="9"/>
  <c r="DI54" i="9"/>
  <c r="DI48" i="9"/>
  <c r="DI55" i="9"/>
  <c r="DI45" i="9"/>
  <c r="DI44" i="9"/>
  <c r="DI42" i="9"/>
  <c r="DI46" i="9"/>
  <c r="DI41" i="9"/>
  <c r="DI43" i="9"/>
  <c r="DI40" i="9"/>
  <c r="DI39" i="9"/>
  <c r="DI35" i="9"/>
  <c r="DI31" i="9"/>
  <c r="DI33" i="9"/>
  <c r="DI34" i="9"/>
  <c r="DI32" i="9"/>
  <c r="DI30" i="9"/>
  <c r="DI37" i="9"/>
  <c r="DI25" i="9"/>
  <c r="DI38" i="9"/>
  <c r="DI36" i="9"/>
  <c r="DI24" i="9"/>
  <c r="DI19" i="9"/>
  <c r="DI29" i="9"/>
  <c r="DI27" i="9"/>
  <c r="DI26" i="9"/>
  <c r="DI21" i="9"/>
  <c r="DI11" i="9"/>
  <c r="DI14" i="9"/>
  <c r="DI8" i="9"/>
  <c r="DI7" i="9"/>
  <c r="DI6" i="9"/>
  <c r="DI3" i="9"/>
  <c r="DI20" i="9"/>
  <c r="DI5" i="9"/>
  <c r="DI4" i="9"/>
  <c r="DI28" i="9"/>
  <c r="DI22" i="9"/>
  <c r="DI18" i="9"/>
  <c r="DI17" i="9"/>
  <c r="DI16" i="9"/>
  <c r="DI12" i="9"/>
  <c r="DI10" i="9"/>
  <c r="DI23" i="9"/>
  <c r="DI15" i="9"/>
  <c r="DI9" i="9"/>
  <c r="DI13" i="9"/>
  <c r="DI2" i="9"/>
  <c r="IV55" i="9"/>
  <c r="IV53" i="9"/>
  <c r="IV48" i="9"/>
  <c r="IV46" i="9"/>
  <c r="IV44" i="9"/>
  <c r="IV47" i="9"/>
  <c r="IV54" i="9"/>
  <c r="IV49" i="9"/>
  <c r="IV45" i="9"/>
  <c r="IV41" i="9"/>
  <c r="IV40" i="9"/>
  <c r="IV42" i="9"/>
  <c r="IV38" i="9"/>
  <c r="IV36" i="9"/>
  <c r="IV34" i="9"/>
  <c r="IV32" i="9"/>
  <c r="IV39" i="9"/>
  <c r="IV33" i="9"/>
  <c r="IV26" i="9"/>
  <c r="IV43" i="9"/>
  <c r="IV28" i="9"/>
  <c r="IV30" i="9"/>
  <c r="IV35" i="9"/>
  <c r="IV23" i="9"/>
  <c r="IV21" i="9"/>
  <c r="IV19" i="9"/>
  <c r="IV17" i="9"/>
  <c r="IV15" i="9"/>
  <c r="IV13" i="9"/>
  <c r="IV37" i="9"/>
  <c r="IV24" i="9"/>
  <c r="IV18" i="9"/>
  <c r="IV29" i="9"/>
  <c r="IV31" i="9"/>
  <c r="IV27" i="9"/>
  <c r="IV20" i="9"/>
  <c r="IV3" i="9"/>
  <c r="IV22" i="9"/>
  <c r="IV12" i="9"/>
  <c r="IV25" i="9"/>
  <c r="IV14" i="9"/>
  <c r="IV5" i="9"/>
  <c r="IV2" i="9"/>
  <c r="IV10" i="9"/>
  <c r="IV9" i="9"/>
  <c r="IV11" i="9"/>
  <c r="IV16" i="9"/>
  <c r="IV6" i="9"/>
  <c r="IV8" i="9"/>
  <c r="IV4" i="9"/>
  <c r="IV7" i="9"/>
  <c r="DP54" i="8"/>
  <c r="DP48" i="8"/>
  <c r="DP47" i="8"/>
  <c r="DP55" i="8"/>
  <c r="DP44" i="8"/>
  <c r="DP42" i="8"/>
  <c r="DP40" i="8"/>
  <c r="DP38" i="8"/>
  <c r="DP49" i="8"/>
  <c r="DP53" i="8"/>
  <c r="DP43" i="8"/>
  <c r="DP46" i="8"/>
  <c r="DP39" i="8"/>
  <c r="DP34" i="8"/>
  <c r="DP32" i="8"/>
  <c r="DP37" i="8"/>
  <c r="DP30" i="8"/>
  <c r="DP25" i="8"/>
  <c r="DP31" i="8"/>
  <c r="DP22" i="8"/>
  <c r="DP20" i="8"/>
  <c r="DP18" i="8"/>
  <c r="DP16" i="8"/>
  <c r="DP14" i="8"/>
  <c r="DP12" i="8"/>
  <c r="DP10" i="8"/>
  <c r="DP8" i="8"/>
  <c r="DP6" i="8"/>
  <c r="DP4" i="8"/>
  <c r="DP2" i="8"/>
  <c r="DP45" i="8"/>
  <c r="DP41" i="8"/>
  <c r="DP33" i="8"/>
  <c r="DP27" i="8"/>
  <c r="DP7" i="8"/>
  <c r="DP23" i="8"/>
  <c r="DP17" i="8"/>
  <c r="DP35" i="8"/>
  <c r="DP29" i="8"/>
  <c r="DP36" i="8"/>
  <c r="DP24" i="8"/>
  <c r="DP19" i="8"/>
  <c r="DP26" i="8"/>
  <c r="DP9" i="8"/>
  <c r="DP11" i="8"/>
  <c r="DP28" i="8"/>
  <c r="DP21" i="8"/>
  <c r="DP13" i="8"/>
  <c r="DP3" i="8"/>
  <c r="DP5" i="8"/>
  <c r="DP15" i="8"/>
  <c r="BN149" i="7"/>
  <c r="BO53" i="9" s="1"/>
  <c r="BN151" i="7"/>
  <c r="BN150" i="7"/>
  <c r="IG54" i="8"/>
  <c r="IG48" i="8"/>
  <c r="IG46" i="8"/>
  <c r="IG53" i="8"/>
  <c r="IG44" i="8"/>
  <c r="IG42" i="8"/>
  <c r="IG40" i="8"/>
  <c r="IG38" i="8"/>
  <c r="IG36" i="8"/>
  <c r="IG37" i="8"/>
  <c r="IG45" i="8"/>
  <c r="IG33" i="8"/>
  <c r="IG31" i="8"/>
  <c r="IG29" i="8"/>
  <c r="IG27" i="8"/>
  <c r="IG25" i="8"/>
  <c r="IG55" i="8"/>
  <c r="IG47" i="8"/>
  <c r="IG49" i="8"/>
  <c r="IG43" i="8"/>
  <c r="IG35" i="8"/>
  <c r="IG30" i="8"/>
  <c r="IG23" i="8"/>
  <c r="IG20" i="8"/>
  <c r="IG18" i="8"/>
  <c r="IG16" i="8"/>
  <c r="IG14" i="8"/>
  <c r="IG12" i="8"/>
  <c r="IG10" i="8"/>
  <c r="IG8" i="8"/>
  <c r="IG6" i="8"/>
  <c r="IG4" i="8"/>
  <c r="IG2" i="8"/>
  <c r="IG26" i="8"/>
  <c r="IG22" i="8"/>
  <c r="IG41" i="8"/>
  <c r="IG15" i="8"/>
  <c r="IG3" i="8"/>
  <c r="IG32" i="8"/>
  <c r="IG9" i="8"/>
  <c r="IG34" i="8"/>
  <c r="IG39" i="8"/>
  <c r="IG11" i="8"/>
  <c r="IG28" i="8"/>
  <c r="IG17" i="8"/>
  <c r="IG19" i="8"/>
  <c r="IG24" i="8"/>
  <c r="IG13" i="8"/>
  <c r="IG21" i="8"/>
  <c r="IG7" i="8"/>
  <c r="IG5" i="8"/>
  <c r="KB54" i="8"/>
  <c r="KB48" i="8"/>
  <c r="KB55" i="8"/>
  <c r="KB49" i="8"/>
  <c r="KB46" i="8"/>
  <c r="KB45" i="8"/>
  <c r="KB44" i="8"/>
  <c r="KB42" i="8"/>
  <c r="KB40" i="8"/>
  <c r="KB38" i="8"/>
  <c r="KB36" i="8"/>
  <c r="KB35" i="8"/>
  <c r="KB53" i="8"/>
  <c r="KB34" i="8"/>
  <c r="KB32" i="8"/>
  <c r="KB30" i="8"/>
  <c r="KB31" i="8"/>
  <c r="KB27" i="8"/>
  <c r="KB24" i="8"/>
  <c r="KB22" i="8"/>
  <c r="KB47" i="8"/>
  <c r="KB20" i="8"/>
  <c r="KB18" i="8"/>
  <c r="KB16" i="8"/>
  <c r="KB14" i="8"/>
  <c r="KB12" i="8"/>
  <c r="KB10" i="8"/>
  <c r="KB8" i="8"/>
  <c r="KB6" i="8"/>
  <c r="KB4" i="8"/>
  <c r="KB2" i="8"/>
  <c r="KB39" i="8"/>
  <c r="KB41" i="8"/>
  <c r="KB43" i="8"/>
  <c r="KB29" i="8"/>
  <c r="KB26" i="8"/>
  <c r="KB17" i="8"/>
  <c r="KB28" i="8"/>
  <c r="KB11" i="8"/>
  <c r="KB37" i="8"/>
  <c r="KB23" i="8"/>
  <c r="KB13" i="8"/>
  <c r="KB19" i="8"/>
  <c r="KB25" i="8"/>
  <c r="KB21" i="8"/>
  <c r="KB15" i="8"/>
  <c r="KB7" i="8"/>
  <c r="KB33" i="8"/>
  <c r="KB3" i="8"/>
  <c r="KB9" i="8"/>
  <c r="KB5" i="8"/>
  <c r="AN48" i="9"/>
  <c r="AN47" i="9"/>
  <c r="AN46" i="9"/>
  <c r="AN49" i="9"/>
  <c r="AN45" i="9"/>
  <c r="AN44" i="9"/>
  <c r="AN41" i="9"/>
  <c r="AN42" i="9"/>
  <c r="AN40" i="9"/>
  <c r="AN38" i="9"/>
  <c r="AN36" i="9"/>
  <c r="AN34" i="9"/>
  <c r="AN39" i="9"/>
  <c r="AN43" i="9"/>
  <c r="AN33" i="9"/>
  <c r="AN35" i="9"/>
  <c r="AN30" i="9"/>
  <c r="AN28" i="9"/>
  <c r="AN26" i="9"/>
  <c r="AN37" i="9"/>
  <c r="AN32" i="9"/>
  <c r="AN29" i="9"/>
  <c r="AN23" i="9"/>
  <c r="AN21" i="9"/>
  <c r="AN19" i="9"/>
  <c r="AN17" i="9"/>
  <c r="AN15" i="9"/>
  <c r="AN13" i="9"/>
  <c r="AN27" i="9"/>
  <c r="AN25" i="9"/>
  <c r="AN18" i="9"/>
  <c r="AN31" i="9"/>
  <c r="AN7" i="9"/>
  <c r="AN6" i="9"/>
  <c r="AN16" i="9"/>
  <c r="AN11" i="9"/>
  <c r="AN5" i="9"/>
  <c r="AN3" i="9"/>
  <c r="AN24" i="9"/>
  <c r="AN20" i="9"/>
  <c r="AN14" i="9"/>
  <c r="AN2" i="9"/>
  <c r="AN12" i="9"/>
  <c r="AN22" i="9"/>
  <c r="AN10" i="9"/>
  <c r="AN8" i="9"/>
  <c r="AN9" i="9"/>
  <c r="AN4" i="9"/>
  <c r="ES150" i="7"/>
  <c r="ES151" i="7"/>
  <c r="ES149" i="7"/>
  <c r="FD151" i="7"/>
  <c r="FD150" i="7"/>
  <c r="FD149" i="7"/>
  <c r="FD54" i="8"/>
  <c r="FD48" i="8"/>
  <c r="FD55" i="8"/>
  <c r="FD49" i="8"/>
  <c r="FD46" i="8"/>
  <c r="FD44" i="8"/>
  <c r="FD42" i="8"/>
  <c r="FD40" i="8"/>
  <c r="FD38" i="8"/>
  <c r="FD36" i="8"/>
  <c r="FD53" i="8"/>
  <c r="FD34" i="8"/>
  <c r="FD32" i="8"/>
  <c r="FD43" i="8"/>
  <c r="FD31" i="8"/>
  <c r="FD27" i="8"/>
  <c r="FD24" i="8"/>
  <c r="FD22" i="8"/>
  <c r="FD20" i="8"/>
  <c r="FD18" i="8"/>
  <c r="FD16" i="8"/>
  <c r="FD14" i="8"/>
  <c r="FD12" i="8"/>
  <c r="FD10" i="8"/>
  <c r="FD8" i="8"/>
  <c r="FD6" i="8"/>
  <c r="FD4" i="8"/>
  <c r="FD2" i="8"/>
  <c r="FD45" i="8"/>
  <c r="FD41" i="8"/>
  <c r="FD47" i="8"/>
  <c r="FD37" i="8"/>
  <c r="FD29" i="8"/>
  <c r="FD26" i="8"/>
  <c r="FD39" i="8"/>
  <c r="FD17" i="8"/>
  <c r="FD33" i="8"/>
  <c r="FD11" i="8"/>
  <c r="FD35" i="8"/>
  <c r="FD30" i="8"/>
  <c r="FD13" i="8"/>
  <c r="FD25" i="8"/>
  <c r="FD9" i="8"/>
  <c r="FD28" i="8"/>
  <c r="FD19" i="8"/>
  <c r="FD23" i="8"/>
  <c r="FD21" i="8"/>
  <c r="FD5" i="8"/>
  <c r="FD7" i="8"/>
  <c r="FD15" i="8"/>
  <c r="FD3" i="8"/>
  <c r="FD55" i="9"/>
  <c r="FD54" i="9"/>
  <c r="FD53" i="9"/>
  <c r="FD48" i="9"/>
  <c r="FD46" i="9"/>
  <c r="FD49" i="9"/>
  <c r="FD47" i="9"/>
  <c r="FD43" i="9"/>
  <c r="FD44" i="9"/>
  <c r="FD41" i="9"/>
  <c r="FD40" i="9"/>
  <c r="FD42" i="9"/>
  <c r="FD38" i="9"/>
  <c r="FD36" i="9"/>
  <c r="FD34" i="9"/>
  <c r="FD37" i="9"/>
  <c r="FD45" i="9"/>
  <c r="FD33" i="9"/>
  <c r="FD35" i="9"/>
  <c r="FD28" i="9"/>
  <c r="FD26" i="9"/>
  <c r="FD30" i="9"/>
  <c r="FD23" i="9"/>
  <c r="FD21" i="9"/>
  <c r="FD19" i="9"/>
  <c r="FD17" i="9"/>
  <c r="FD15" i="9"/>
  <c r="FD13" i="9"/>
  <c r="FD32" i="9"/>
  <c r="FD25" i="9"/>
  <c r="FD27" i="9"/>
  <c r="FD16" i="9"/>
  <c r="FD39" i="9"/>
  <c r="FD31" i="9"/>
  <c r="FD29" i="9"/>
  <c r="FD5" i="9"/>
  <c r="FD4" i="9"/>
  <c r="FD22" i="9"/>
  <c r="FD14" i="9"/>
  <c r="FD9" i="9"/>
  <c r="FD3" i="9"/>
  <c r="FD24" i="9"/>
  <c r="FD20" i="9"/>
  <c r="FD11" i="9"/>
  <c r="FD10" i="9"/>
  <c r="FD7" i="9"/>
  <c r="FD18" i="9"/>
  <c r="FD6" i="9"/>
  <c r="FD12" i="9"/>
  <c r="FD2" i="9"/>
  <c r="FD8" i="9"/>
  <c r="BL48" i="8"/>
  <c r="BL49" i="8"/>
  <c r="BL44" i="8"/>
  <c r="BL42" i="8"/>
  <c r="BL40" i="8"/>
  <c r="BL38" i="8"/>
  <c r="BL45" i="8"/>
  <c r="BL39" i="8"/>
  <c r="BL41" i="8"/>
  <c r="BL34" i="8"/>
  <c r="BL32" i="8"/>
  <c r="BL27" i="8"/>
  <c r="BL33" i="8"/>
  <c r="BL22" i="8"/>
  <c r="BL20" i="8"/>
  <c r="BL18" i="8"/>
  <c r="BL16" i="8"/>
  <c r="BL14" i="8"/>
  <c r="BL12" i="8"/>
  <c r="BL10" i="8"/>
  <c r="BL8" i="8"/>
  <c r="BL6" i="8"/>
  <c r="BL4" i="8"/>
  <c r="BL2" i="8"/>
  <c r="BL47" i="8"/>
  <c r="BL46" i="8"/>
  <c r="BL43" i="8"/>
  <c r="BL36" i="8"/>
  <c r="BL35" i="8"/>
  <c r="BL29" i="8"/>
  <c r="BL26" i="8"/>
  <c r="BL37" i="8"/>
  <c r="BL25" i="8"/>
  <c r="BL23" i="8"/>
  <c r="BL9" i="8"/>
  <c r="BL19" i="8"/>
  <c r="BL31" i="8"/>
  <c r="BL21" i="8"/>
  <c r="BL5" i="8"/>
  <c r="BL11" i="8"/>
  <c r="BL13" i="8"/>
  <c r="BL30" i="8"/>
  <c r="BL28" i="8"/>
  <c r="BL7" i="8"/>
  <c r="BL24" i="8"/>
  <c r="BL15" i="8"/>
  <c r="BL3" i="8"/>
  <c r="BL17" i="8"/>
  <c r="HU150" i="7"/>
  <c r="HU151" i="7"/>
  <c r="HU149" i="7"/>
  <c r="AO149" i="7"/>
  <c r="AO150" i="7"/>
  <c r="AO54" i="9" s="1"/>
  <c r="AO151" i="7"/>
  <c r="IM55" i="8"/>
  <c r="IM53" i="8"/>
  <c r="IM47" i="8"/>
  <c r="IM45" i="8"/>
  <c r="IM43" i="8"/>
  <c r="IM41" i="8"/>
  <c r="IM39" i="8"/>
  <c r="IM36" i="8"/>
  <c r="IM49" i="8"/>
  <c r="IM46" i="8"/>
  <c r="IM42" i="8"/>
  <c r="IM54" i="8"/>
  <c r="IM44" i="8"/>
  <c r="IM38" i="8"/>
  <c r="IM32" i="8"/>
  <c r="IM25" i="8"/>
  <c r="IM48" i="8"/>
  <c r="IM40" i="8"/>
  <c r="IM35" i="8"/>
  <c r="IM34" i="8"/>
  <c r="IM21" i="8"/>
  <c r="IM19" i="8"/>
  <c r="IM17" i="8"/>
  <c r="IM15" i="8"/>
  <c r="IM13" i="8"/>
  <c r="IM11" i="8"/>
  <c r="IM9" i="8"/>
  <c r="IM7" i="8"/>
  <c r="IM5" i="8"/>
  <c r="IM22" i="8"/>
  <c r="IM12" i="8"/>
  <c r="IM2" i="8"/>
  <c r="IM27" i="8"/>
  <c r="IM24" i="8"/>
  <c r="IM6" i="8"/>
  <c r="IM37" i="8"/>
  <c r="IM31" i="8"/>
  <c r="IM30" i="8"/>
  <c r="IM28" i="8"/>
  <c r="IM8" i="8"/>
  <c r="IM33" i="8"/>
  <c r="IM18" i="8"/>
  <c r="IM4" i="8"/>
  <c r="IM3" i="8"/>
  <c r="IM20" i="8"/>
  <c r="IM14" i="8"/>
  <c r="IM26" i="8"/>
  <c r="IM16" i="8"/>
  <c r="IM23" i="8"/>
  <c r="IM29" i="8"/>
  <c r="IM10" i="8"/>
  <c r="HO55" i="8"/>
  <c r="HO53" i="8"/>
  <c r="HO54" i="8"/>
  <c r="HO49" i="8"/>
  <c r="HO46" i="8"/>
  <c r="HO45" i="8"/>
  <c r="HO43" i="8"/>
  <c r="HO41" i="8"/>
  <c r="HO39" i="8"/>
  <c r="HO42" i="8"/>
  <c r="HO38" i="8"/>
  <c r="HO48" i="8"/>
  <c r="HO47" i="8"/>
  <c r="HO37" i="8"/>
  <c r="HO44" i="8"/>
  <c r="HO32" i="8"/>
  <c r="HO23" i="8"/>
  <c r="HO31" i="8"/>
  <c r="HO27" i="8"/>
  <c r="HO24" i="8"/>
  <c r="HO22" i="8"/>
  <c r="HO40" i="8"/>
  <c r="HO33" i="8"/>
  <c r="HO21" i="8"/>
  <c r="HO19" i="8"/>
  <c r="HO17" i="8"/>
  <c r="HO15" i="8"/>
  <c r="HO13" i="8"/>
  <c r="HO11" i="8"/>
  <c r="HO9" i="8"/>
  <c r="HO7" i="8"/>
  <c r="HO5" i="8"/>
  <c r="HO28" i="8"/>
  <c r="HO6" i="8"/>
  <c r="HO16" i="8"/>
  <c r="HO35" i="8"/>
  <c r="HO34" i="8"/>
  <c r="HO29" i="8"/>
  <c r="HO36" i="8"/>
  <c r="HO25" i="8"/>
  <c r="HO18" i="8"/>
  <c r="HO3" i="8"/>
  <c r="HO30" i="8"/>
  <c r="HO10" i="8"/>
  <c r="HO2" i="8"/>
  <c r="HO26" i="8"/>
  <c r="HO20" i="8"/>
  <c r="HO12" i="8"/>
  <c r="HO14" i="8"/>
  <c r="HO8" i="8"/>
  <c r="HO4" i="8"/>
  <c r="FK54" i="9"/>
  <c r="FK53" i="9"/>
  <c r="FK49" i="9"/>
  <c r="FK55" i="9"/>
  <c r="FK48" i="9"/>
  <c r="FK47" i="9"/>
  <c r="FK43" i="9"/>
  <c r="FK41" i="9"/>
  <c r="FK45" i="9"/>
  <c r="FK46" i="9"/>
  <c r="FK42" i="9"/>
  <c r="FK39" i="9"/>
  <c r="FK36" i="9"/>
  <c r="FK34" i="9"/>
  <c r="FK32" i="9"/>
  <c r="FK31" i="9"/>
  <c r="FK29" i="9"/>
  <c r="FK44" i="9"/>
  <c r="FK37" i="9"/>
  <c r="FK30" i="9"/>
  <c r="FK28" i="9"/>
  <c r="FK26" i="9"/>
  <c r="FK35" i="9"/>
  <c r="FK40" i="9"/>
  <c r="FK33" i="9"/>
  <c r="FK23" i="9"/>
  <c r="FK21" i="9"/>
  <c r="FK19" i="9"/>
  <c r="FK17" i="9"/>
  <c r="FK15" i="9"/>
  <c r="FK13" i="9"/>
  <c r="FK38" i="9"/>
  <c r="FK25" i="9"/>
  <c r="FK24" i="9"/>
  <c r="FK11" i="9"/>
  <c r="FK9" i="9"/>
  <c r="FK7" i="9"/>
  <c r="FK27" i="9"/>
  <c r="FK18" i="9"/>
  <c r="FK20" i="9"/>
  <c r="FK16" i="9"/>
  <c r="FK8" i="9"/>
  <c r="FK12" i="9"/>
  <c r="FK6" i="9"/>
  <c r="FK22" i="9"/>
  <c r="FK2" i="9"/>
  <c r="FK5" i="9"/>
  <c r="FK14" i="9"/>
  <c r="FK3" i="9"/>
  <c r="FK4" i="9"/>
  <c r="FK10" i="9"/>
  <c r="FC55" i="8"/>
  <c r="FC53" i="8"/>
  <c r="FC54" i="8"/>
  <c r="FC49" i="8"/>
  <c r="FC46" i="8"/>
  <c r="FC45" i="8"/>
  <c r="FC43" i="8"/>
  <c r="FC41" i="8"/>
  <c r="FC39" i="8"/>
  <c r="FC42" i="8"/>
  <c r="FC38" i="8"/>
  <c r="FC37" i="8"/>
  <c r="FC32" i="8"/>
  <c r="FC23" i="8"/>
  <c r="FC44" i="8"/>
  <c r="FC31" i="8"/>
  <c r="FC27" i="8"/>
  <c r="FC24" i="8"/>
  <c r="FC48" i="8"/>
  <c r="FC40" i="8"/>
  <c r="FC33" i="8"/>
  <c r="FC21" i="8"/>
  <c r="FC19" i="8"/>
  <c r="FC17" i="8"/>
  <c r="FC15" i="8"/>
  <c r="FC13" i="8"/>
  <c r="FC11" i="8"/>
  <c r="FC9" i="8"/>
  <c r="FC7" i="8"/>
  <c r="FC5" i="8"/>
  <c r="FC29" i="8"/>
  <c r="FC26" i="8"/>
  <c r="FC22" i="8"/>
  <c r="FC6" i="8"/>
  <c r="FC16" i="8"/>
  <c r="FC35" i="8"/>
  <c r="FC34" i="8"/>
  <c r="FC30" i="8"/>
  <c r="FC47" i="8"/>
  <c r="FC36" i="8"/>
  <c r="FC28" i="8"/>
  <c r="FC18" i="8"/>
  <c r="FC3" i="8"/>
  <c r="FC8" i="8"/>
  <c r="FC25" i="8"/>
  <c r="FC10" i="8"/>
  <c r="FC20" i="8"/>
  <c r="FC12" i="8"/>
  <c r="FC14" i="8"/>
  <c r="FC2" i="8"/>
  <c r="FC4" i="8"/>
  <c r="DW55" i="9"/>
  <c r="DW49" i="9"/>
  <c r="DW48" i="9"/>
  <c r="DW46" i="9"/>
  <c r="DW53" i="9"/>
  <c r="DW43" i="9"/>
  <c r="DW41" i="9"/>
  <c r="DW54" i="9"/>
  <c r="DW45" i="9"/>
  <c r="DW44" i="9"/>
  <c r="DW39" i="9"/>
  <c r="DW47" i="9"/>
  <c r="DW40" i="9"/>
  <c r="DW38" i="9"/>
  <c r="DW36" i="9"/>
  <c r="DW34" i="9"/>
  <c r="DW32" i="9"/>
  <c r="DW35" i="9"/>
  <c r="DW31" i="9"/>
  <c r="DW29" i="9"/>
  <c r="DW37" i="9"/>
  <c r="DW28" i="9"/>
  <c r="DW26" i="9"/>
  <c r="DW23" i="9"/>
  <c r="DW21" i="9"/>
  <c r="DW19" i="9"/>
  <c r="DW17" i="9"/>
  <c r="DW15" i="9"/>
  <c r="DW13" i="9"/>
  <c r="DW33" i="9"/>
  <c r="DW30" i="9"/>
  <c r="DW25" i="9"/>
  <c r="DW42" i="9"/>
  <c r="DW11" i="9"/>
  <c r="DW9" i="9"/>
  <c r="DW27" i="9"/>
  <c r="DW24" i="9"/>
  <c r="DW16" i="9"/>
  <c r="DW18" i="9"/>
  <c r="DW14" i="9"/>
  <c r="DW22" i="9"/>
  <c r="DW8" i="9"/>
  <c r="DW2" i="9"/>
  <c r="DW20" i="9"/>
  <c r="DW5" i="9"/>
  <c r="DW7" i="9"/>
  <c r="DW12" i="9"/>
  <c r="DW10" i="9"/>
  <c r="DW3" i="9"/>
  <c r="DW6" i="9"/>
  <c r="DW4" i="9"/>
  <c r="DO55" i="9"/>
  <c r="DO54" i="9"/>
  <c r="DO53" i="9"/>
  <c r="DO46" i="9"/>
  <c r="DO49" i="9"/>
  <c r="DO47" i="9"/>
  <c r="DO43" i="9"/>
  <c r="DO41" i="9"/>
  <c r="DO44" i="9"/>
  <c r="DO39" i="9"/>
  <c r="DO40" i="9"/>
  <c r="DO48" i="9"/>
  <c r="DO45" i="9"/>
  <c r="DO36" i="9"/>
  <c r="DO34" i="9"/>
  <c r="DO32" i="9"/>
  <c r="DO42" i="9"/>
  <c r="DO33" i="9"/>
  <c r="DO31" i="9"/>
  <c r="DO29" i="9"/>
  <c r="DO38" i="9"/>
  <c r="DO35" i="9"/>
  <c r="DO28" i="9"/>
  <c r="DO26" i="9"/>
  <c r="DO27" i="9"/>
  <c r="DO23" i="9"/>
  <c r="DO21" i="9"/>
  <c r="DO19" i="9"/>
  <c r="DO17" i="9"/>
  <c r="DO15" i="9"/>
  <c r="DO13" i="9"/>
  <c r="DO37" i="9"/>
  <c r="DO11" i="9"/>
  <c r="DO9" i="9"/>
  <c r="DO22" i="9"/>
  <c r="DO14" i="9"/>
  <c r="DO30" i="9"/>
  <c r="DO24" i="9"/>
  <c r="DO25" i="9"/>
  <c r="DO10" i="9"/>
  <c r="DO2" i="9"/>
  <c r="DO12" i="9"/>
  <c r="DO6" i="9"/>
  <c r="DO20" i="9"/>
  <c r="DO18" i="9"/>
  <c r="DO16" i="9"/>
  <c r="DO5" i="9"/>
  <c r="DO4" i="9"/>
  <c r="DO8" i="9"/>
  <c r="DO3" i="9"/>
  <c r="DO7" i="9"/>
  <c r="G151" i="7"/>
  <c r="G150" i="7"/>
  <c r="H54" i="9" s="1"/>
  <c r="G149" i="7"/>
  <c r="CB151" i="7"/>
  <c r="CB150" i="7"/>
  <c r="CB149" i="7"/>
  <c r="JZ149" i="7"/>
  <c r="JZ151" i="7"/>
  <c r="JZ150" i="7"/>
  <c r="JJ55" i="9"/>
  <c r="JJ53" i="9"/>
  <c r="JJ54" i="9"/>
  <c r="JJ49" i="9"/>
  <c r="JJ48" i="9"/>
  <c r="JJ46" i="9"/>
  <c r="JJ47" i="9"/>
  <c r="JJ45" i="9"/>
  <c r="JJ43" i="9"/>
  <c r="JJ41" i="9"/>
  <c r="JJ42" i="9"/>
  <c r="JJ40" i="9"/>
  <c r="JJ39" i="9"/>
  <c r="JJ38" i="9"/>
  <c r="JJ37" i="9"/>
  <c r="JJ35" i="9"/>
  <c r="JJ33" i="9"/>
  <c r="JJ44" i="9"/>
  <c r="JJ31" i="9"/>
  <c r="JJ29" i="9"/>
  <c r="JJ32" i="9"/>
  <c r="JJ36" i="9"/>
  <c r="JJ27" i="9"/>
  <c r="JJ25" i="9"/>
  <c r="JJ34" i="9"/>
  <c r="JJ24" i="9"/>
  <c r="JJ22" i="9"/>
  <c r="JJ20" i="9"/>
  <c r="JJ18" i="9"/>
  <c r="JJ16" i="9"/>
  <c r="JJ23" i="9"/>
  <c r="JJ14" i="9"/>
  <c r="JJ17" i="9"/>
  <c r="JJ11" i="9"/>
  <c r="JJ9" i="9"/>
  <c r="JJ7" i="9"/>
  <c r="JJ5" i="9"/>
  <c r="JJ30" i="9"/>
  <c r="JJ19" i="9"/>
  <c r="JJ26" i="9"/>
  <c r="JJ12" i="9"/>
  <c r="JJ4" i="9"/>
  <c r="JJ28" i="9"/>
  <c r="JJ15" i="9"/>
  <c r="JJ13" i="9"/>
  <c r="JJ8" i="9"/>
  <c r="JJ2" i="9"/>
  <c r="JJ21" i="9"/>
  <c r="JJ6" i="9"/>
  <c r="JJ3" i="9"/>
  <c r="JJ10" i="9"/>
  <c r="IL49" i="8"/>
  <c r="IL55" i="8"/>
  <c r="IL38" i="8"/>
  <c r="IL34" i="8"/>
  <c r="IL32" i="8"/>
  <c r="IL30" i="8"/>
  <c r="IL28" i="8"/>
  <c r="IL26" i="8"/>
  <c r="IL24" i="8"/>
  <c r="IL22" i="8"/>
  <c r="IL43" i="8"/>
  <c r="IL36" i="8"/>
  <c r="IL48" i="8"/>
  <c r="IL45" i="8"/>
  <c r="IL35" i="8"/>
  <c r="IL33" i="8"/>
  <c r="IL27" i="8"/>
  <c r="IL53" i="8"/>
  <c r="IL54" i="8"/>
  <c r="IL40" i="8"/>
  <c r="IL42" i="8"/>
  <c r="IL41" i="8"/>
  <c r="IL47" i="8"/>
  <c r="IL46" i="8"/>
  <c r="IL37" i="8"/>
  <c r="IL29" i="8"/>
  <c r="IL44" i="8"/>
  <c r="IL18" i="8"/>
  <c r="IL13" i="8"/>
  <c r="IL12" i="8"/>
  <c r="IL7" i="8"/>
  <c r="IL2" i="8"/>
  <c r="IL39" i="8"/>
  <c r="IL31" i="8"/>
  <c r="IL14" i="8"/>
  <c r="IL9" i="8"/>
  <c r="IL23" i="8"/>
  <c r="IL10" i="8"/>
  <c r="IL11" i="8"/>
  <c r="IL19" i="8"/>
  <c r="IL20" i="8"/>
  <c r="IL6" i="8"/>
  <c r="IL21" i="8"/>
  <c r="IL16" i="8"/>
  <c r="IL15" i="8"/>
  <c r="IL8" i="8"/>
  <c r="IL4" i="8"/>
  <c r="IL17" i="8"/>
  <c r="IL25" i="8"/>
  <c r="IL5" i="8"/>
  <c r="IL3" i="8"/>
  <c r="ID54" i="8"/>
  <c r="ID47" i="8"/>
  <c r="ID49" i="8"/>
  <c r="ID34" i="8"/>
  <c r="ID32" i="8"/>
  <c r="ID30" i="8"/>
  <c r="ID28" i="8"/>
  <c r="ID26" i="8"/>
  <c r="ID24" i="8"/>
  <c r="ID22" i="8"/>
  <c r="ID53" i="8"/>
  <c r="ID48" i="8"/>
  <c r="ID41" i="8"/>
  <c r="ID55" i="8"/>
  <c r="ID46" i="8"/>
  <c r="ID43" i="8"/>
  <c r="ID42" i="8"/>
  <c r="ID31" i="8"/>
  <c r="ID25" i="8"/>
  <c r="ID37" i="8"/>
  <c r="ID44" i="8"/>
  <c r="ID45" i="8"/>
  <c r="ID40" i="8"/>
  <c r="ID36" i="8"/>
  <c r="ID27" i="8"/>
  <c r="ID16" i="8"/>
  <c r="ID11" i="8"/>
  <c r="ID23" i="8"/>
  <c r="ID21" i="8"/>
  <c r="ID10" i="8"/>
  <c r="ID5" i="8"/>
  <c r="ID38" i="8"/>
  <c r="ID33" i="8"/>
  <c r="ID29" i="8"/>
  <c r="ID39" i="8"/>
  <c r="ID35" i="8"/>
  <c r="ID12" i="8"/>
  <c r="ID7" i="8"/>
  <c r="ID15" i="8"/>
  <c r="ID8" i="8"/>
  <c r="ID9" i="8"/>
  <c r="ID17" i="8"/>
  <c r="ID18" i="8"/>
  <c r="ID20" i="8"/>
  <c r="ID19" i="8"/>
  <c r="ID2" i="8"/>
  <c r="ID13" i="8"/>
  <c r="ID4" i="8"/>
  <c r="ID14" i="8"/>
  <c r="ID6" i="8"/>
  <c r="ID3" i="8"/>
  <c r="HF49" i="8"/>
  <c r="HF53" i="8"/>
  <c r="HF46" i="8"/>
  <c r="HF55" i="8"/>
  <c r="HF41" i="8"/>
  <c r="HF34" i="8"/>
  <c r="HF32" i="8"/>
  <c r="HF30" i="8"/>
  <c r="HF28" i="8"/>
  <c r="HF26" i="8"/>
  <c r="HF24" i="8"/>
  <c r="HF22" i="8"/>
  <c r="HF40" i="8"/>
  <c r="HF36" i="8"/>
  <c r="HF54" i="8"/>
  <c r="HF42" i="8"/>
  <c r="HF27" i="8"/>
  <c r="HF23" i="8"/>
  <c r="HF35" i="8"/>
  <c r="HF44" i="8"/>
  <c r="HF43" i="8"/>
  <c r="HF48" i="8"/>
  <c r="HF45" i="8"/>
  <c r="HF47" i="8"/>
  <c r="HF39" i="8"/>
  <c r="HF29" i="8"/>
  <c r="HF21" i="8"/>
  <c r="HF10" i="8"/>
  <c r="HF5" i="8"/>
  <c r="HF38" i="8"/>
  <c r="HF20" i="8"/>
  <c r="HF15" i="8"/>
  <c r="HF4" i="8"/>
  <c r="HF2" i="8"/>
  <c r="HF31" i="8"/>
  <c r="HF33" i="8"/>
  <c r="HF37" i="8"/>
  <c r="HF17" i="8"/>
  <c r="HF6" i="8"/>
  <c r="HF25" i="8"/>
  <c r="HF14" i="8"/>
  <c r="HF13" i="8"/>
  <c r="HF3" i="8"/>
  <c r="HF8" i="8"/>
  <c r="HF7" i="8"/>
  <c r="HF16" i="8"/>
  <c r="HF9" i="8"/>
  <c r="HF18" i="8"/>
  <c r="HF19" i="8"/>
  <c r="HF11" i="8"/>
  <c r="HF12" i="8"/>
  <c r="GX47" i="8"/>
  <c r="GX46" i="8"/>
  <c r="GX53" i="8"/>
  <c r="GX49" i="8"/>
  <c r="GX55" i="8"/>
  <c r="GX48" i="8"/>
  <c r="GX44" i="8"/>
  <c r="GX39" i="8"/>
  <c r="GX34" i="8"/>
  <c r="GX32" i="8"/>
  <c r="GX30" i="8"/>
  <c r="GX28" i="8"/>
  <c r="GX26" i="8"/>
  <c r="GX24" i="8"/>
  <c r="GX22" i="8"/>
  <c r="GX40" i="8"/>
  <c r="GX45" i="8"/>
  <c r="GX37" i="8"/>
  <c r="GX25" i="8"/>
  <c r="GX33" i="8"/>
  <c r="GX42" i="8"/>
  <c r="GX41" i="8"/>
  <c r="GX54" i="8"/>
  <c r="GX43" i="8"/>
  <c r="GX35" i="8"/>
  <c r="GX27" i="8"/>
  <c r="GX19" i="8"/>
  <c r="GX8" i="8"/>
  <c r="GX18" i="8"/>
  <c r="GX13" i="8"/>
  <c r="GX36" i="8"/>
  <c r="GX29" i="8"/>
  <c r="GX38" i="8"/>
  <c r="GX31" i="8"/>
  <c r="GX20" i="8"/>
  <c r="GX15" i="8"/>
  <c r="GX4" i="8"/>
  <c r="GX10" i="8"/>
  <c r="GX12" i="8"/>
  <c r="GX11" i="8"/>
  <c r="GX2" i="8"/>
  <c r="GX6" i="8"/>
  <c r="GX21" i="8"/>
  <c r="GX14" i="8"/>
  <c r="GX7" i="8"/>
  <c r="GX23" i="8"/>
  <c r="GX16" i="8"/>
  <c r="GX3" i="8"/>
  <c r="GX9" i="8"/>
  <c r="GX17" i="8"/>
  <c r="GX5" i="8"/>
  <c r="GX55" i="9"/>
  <c r="GX53" i="9"/>
  <c r="GX54" i="9"/>
  <c r="GX49" i="9"/>
  <c r="GX48" i="9"/>
  <c r="GX46" i="9"/>
  <c r="GX47" i="9"/>
  <c r="GX45" i="9"/>
  <c r="GX43" i="9"/>
  <c r="GX42" i="9"/>
  <c r="GX40" i="9"/>
  <c r="GX39" i="9"/>
  <c r="GX41" i="9"/>
  <c r="GX38" i="9"/>
  <c r="GX37" i="9"/>
  <c r="GX35" i="9"/>
  <c r="GX33" i="9"/>
  <c r="GX44" i="9"/>
  <c r="GX31" i="9"/>
  <c r="GX29" i="9"/>
  <c r="GX27" i="9"/>
  <c r="GX25" i="9"/>
  <c r="GX30" i="9"/>
  <c r="GX34" i="9"/>
  <c r="GX32" i="9"/>
  <c r="GX24" i="9"/>
  <c r="GX22" i="9"/>
  <c r="GX20" i="9"/>
  <c r="GX18" i="9"/>
  <c r="GX16" i="9"/>
  <c r="GX26" i="9"/>
  <c r="GX23" i="9"/>
  <c r="GX14" i="9"/>
  <c r="GX36" i="9"/>
  <c r="GX17" i="9"/>
  <c r="GX11" i="9"/>
  <c r="GX9" i="9"/>
  <c r="GX7" i="9"/>
  <c r="GX5" i="9"/>
  <c r="GX28" i="9"/>
  <c r="GX19" i="9"/>
  <c r="GX4" i="9"/>
  <c r="GX13" i="9"/>
  <c r="GX12" i="9"/>
  <c r="GX2" i="9"/>
  <c r="GX6" i="9"/>
  <c r="GX21" i="9"/>
  <c r="GX10" i="9"/>
  <c r="GX8" i="9"/>
  <c r="GX3" i="9"/>
  <c r="GX15" i="9"/>
  <c r="FZ150" i="7"/>
  <c r="FZ151" i="7"/>
  <c r="FZ149" i="7"/>
  <c r="FR54" i="8"/>
  <c r="FR47" i="8"/>
  <c r="FR49" i="8"/>
  <c r="FR34" i="8"/>
  <c r="FR32" i="8"/>
  <c r="FR30" i="8"/>
  <c r="FR28" i="8"/>
  <c r="FR26" i="8"/>
  <c r="FR24" i="8"/>
  <c r="FR22" i="8"/>
  <c r="FR46" i="8"/>
  <c r="FR41" i="8"/>
  <c r="FR55" i="8"/>
  <c r="FR43" i="8"/>
  <c r="FR31" i="8"/>
  <c r="FR25" i="8"/>
  <c r="FR42" i="8"/>
  <c r="FR53" i="8"/>
  <c r="FR44" i="8"/>
  <c r="FR45" i="8"/>
  <c r="FR40" i="8"/>
  <c r="FR39" i="8"/>
  <c r="FR27" i="8"/>
  <c r="FR37" i="8"/>
  <c r="FR16" i="8"/>
  <c r="FR11" i="8"/>
  <c r="FR29" i="8"/>
  <c r="FR21" i="8"/>
  <c r="FR10" i="8"/>
  <c r="FR5" i="8"/>
  <c r="FR48" i="8"/>
  <c r="FR36" i="8"/>
  <c r="FR38" i="8"/>
  <c r="FR33" i="8"/>
  <c r="FR35" i="8"/>
  <c r="FR12" i="8"/>
  <c r="FR7" i="8"/>
  <c r="FR23" i="8"/>
  <c r="FR14" i="8"/>
  <c r="FR13" i="8"/>
  <c r="FR6" i="8"/>
  <c r="FR2" i="8"/>
  <c r="FR15" i="8"/>
  <c r="FR8" i="8"/>
  <c r="FR9" i="8"/>
  <c r="FR17" i="8"/>
  <c r="FR18" i="8"/>
  <c r="FR20" i="8"/>
  <c r="FR19" i="8"/>
  <c r="FR3" i="8"/>
  <c r="FR4" i="8"/>
  <c r="ET49" i="8"/>
  <c r="ET53" i="8"/>
  <c r="ET46" i="8"/>
  <c r="ET55" i="8"/>
  <c r="ET47" i="8"/>
  <c r="ET41" i="8"/>
  <c r="ET34" i="8"/>
  <c r="ET32" i="8"/>
  <c r="ET30" i="8"/>
  <c r="ET28" i="8"/>
  <c r="ET26" i="8"/>
  <c r="ET24" i="8"/>
  <c r="ET40" i="8"/>
  <c r="ET36" i="8"/>
  <c r="ET54" i="8"/>
  <c r="ET42" i="8"/>
  <c r="ET27" i="8"/>
  <c r="ET23" i="8"/>
  <c r="ET35" i="8"/>
  <c r="ET44" i="8"/>
  <c r="ET43" i="8"/>
  <c r="ET45" i="8"/>
  <c r="ET48" i="8"/>
  <c r="ET29" i="8"/>
  <c r="ET25" i="8"/>
  <c r="ET21" i="8"/>
  <c r="ET10" i="8"/>
  <c r="ET5" i="8"/>
  <c r="ET20" i="8"/>
  <c r="ET15" i="8"/>
  <c r="ET4" i="8"/>
  <c r="ET2" i="8"/>
  <c r="ET39" i="8"/>
  <c r="ET31" i="8"/>
  <c r="ET38" i="8"/>
  <c r="ET33" i="8"/>
  <c r="ET22" i="8"/>
  <c r="ET17" i="8"/>
  <c r="ET6" i="8"/>
  <c r="ET12" i="8"/>
  <c r="ET14" i="8"/>
  <c r="ET13" i="8"/>
  <c r="ET37" i="8"/>
  <c r="ET8" i="8"/>
  <c r="ET7" i="8"/>
  <c r="ET16" i="8"/>
  <c r="ET9" i="8"/>
  <c r="ET18" i="8"/>
  <c r="ET3" i="8"/>
  <c r="ET11" i="8"/>
  <c r="ET19" i="8"/>
  <c r="DF55" i="9"/>
  <c r="DF49" i="9"/>
  <c r="DF54" i="9"/>
  <c r="DF48" i="9"/>
  <c r="DF47" i="9"/>
  <c r="DF45" i="9"/>
  <c r="DF53" i="9"/>
  <c r="DF43" i="9"/>
  <c r="DF41" i="9"/>
  <c r="DF40" i="9"/>
  <c r="DF39" i="9"/>
  <c r="DF44" i="9"/>
  <c r="DF38" i="9"/>
  <c r="DF37" i="9"/>
  <c r="DF35" i="9"/>
  <c r="DF33" i="9"/>
  <c r="DF36" i="9"/>
  <c r="DF31" i="9"/>
  <c r="DF29" i="9"/>
  <c r="DF42" i="9"/>
  <c r="DF32" i="9"/>
  <c r="DF46" i="9"/>
  <c r="DF27" i="9"/>
  <c r="DF34" i="9"/>
  <c r="DF30" i="9"/>
  <c r="DF26" i="9"/>
  <c r="DF24" i="9"/>
  <c r="DF22" i="9"/>
  <c r="DF20" i="9"/>
  <c r="DF18" i="9"/>
  <c r="DF16" i="9"/>
  <c r="DF28" i="9"/>
  <c r="DF25" i="9"/>
  <c r="DF15" i="9"/>
  <c r="DF14" i="9"/>
  <c r="DF11" i="9"/>
  <c r="DF9" i="9"/>
  <c r="DF7" i="9"/>
  <c r="DF5" i="9"/>
  <c r="DF19" i="9"/>
  <c r="DF21" i="9"/>
  <c r="DF13" i="9"/>
  <c r="DF12" i="9"/>
  <c r="DF17" i="9"/>
  <c r="DF23" i="9"/>
  <c r="DF3" i="9"/>
  <c r="DF2" i="9"/>
  <c r="DF6" i="9"/>
  <c r="DF8" i="9"/>
  <c r="DF4" i="9"/>
  <c r="DF10" i="9"/>
  <c r="CP55" i="8"/>
  <c r="CP48" i="8"/>
  <c r="CP49" i="8"/>
  <c r="CP43" i="8"/>
  <c r="CP34" i="8"/>
  <c r="CP32" i="8"/>
  <c r="CP30" i="8"/>
  <c r="CP28" i="8"/>
  <c r="CP26" i="8"/>
  <c r="CP24" i="8"/>
  <c r="CP42" i="8"/>
  <c r="CP38" i="8"/>
  <c r="CP54" i="8"/>
  <c r="CP44" i="8"/>
  <c r="CP39" i="8"/>
  <c r="CP29" i="8"/>
  <c r="CP23" i="8"/>
  <c r="CP47" i="8"/>
  <c r="CP46" i="8"/>
  <c r="CP45" i="8"/>
  <c r="CP53" i="8"/>
  <c r="CP40" i="8"/>
  <c r="CP37" i="8"/>
  <c r="CP31" i="8"/>
  <c r="CP27" i="8"/>
  <c r="CP12" i="8"/>
  <c r="CP7" i="8"/>
  <c r="CP41" i="8"/>
  <c r="CP22" i="8"/>
  <c r="CP17" i="8"/>
  <c r="CP6" i="8"/>
  <c r="CP33" i="8"/>
  <c r="CP36" i="8"/>
  <c r="CP35" i="8"/>
  <c r="CP19" i="8"/>
  <c r="CP8" i="8"/>
  <c r="CP14" i="8"/>
  <c r="CP16" i="8"/>
  <c r="CP15" i="8"/>
  <c r="CP3" i="8"/>
  <c r="CP10" i="8"/>
  <c r="CP9" i="8"/>
  <c r="CP25" i="8"/>
  <c r="CP18" i="8"/>
  <c r="CP11" i="8"/>
  <c r="CP20" i="8"/>
  <c r="CP5" i="8"/>
  <c r="CP13" i="8"/>
  <c r="CP21" i="8"/>
  <c r="CP2" i="8"/>
  <c r="CP4" i="8"/>
  <c r="BJ151" i="7"/>
  <c r="BJ150" i="7"/>
  <c r="BK54" i="9" s="1"/>
  <c r="BJ149" i="7"/>
  <c r="AT151" i="7"/>
  <c r="AT55" i="8" s="1"/>
  <c r="AT149" i="7"/>
  <c r="AT150" i="7"/>
  <c r="IW54" i="8"/>
  <c r="IW48" i="8"/>
  <c r="IW46" i="8"/>
  <c r="IW44" i="8"/>
  <c r="IW42" i="8"/>
  <c r="IW40" i="8"/>
  <c r="IW38" i="8"/>
  <c r="IW36" i="8"/>
  <c r="IW47" i="8"/>
  <c r="IW53" i="8"/>
  <c r="IW39" i="8"/>
  <c r="IW33" i="8"/>
  <c r="IW31" i="8"/>
  <c r="IW29" i="8"/>
  <c r="IW27" i="8"/>
  <c r="IW25" i="8"/>
  <c r="IW55" i="8"/>
  <c r="IW41" i="8"/>
  <c r="IW37" i="8"/>
  <c r="IW35" i="8"/>
  <c r="IW34" i="8"/>
  <c r="IW20" i="8"/>
  <c r="IW18" i="8"/>
  <c r="IW16" i="8"/>
  <c r="IW14" i="8"/>
  <c r="IW12" i="8"/>
  <c r="IW10" i="8"/>
  <c r="IW8" i="8"/>
  <c r="IW6" i="8"/>
  <c r="IW4" i="8"/>
  <c r="IW2" i="8"/>
  <c r="IW43" i="8"/>
  <c r="IW49" i="8"/>
  <c r="IW45" i="8"/>
  <c r="IW30" i="8"/>
  <c r="IW19" i="8"/>
  <c r="IW13" i="8"/>
  <c r="IW32" i="8"/>
  <c r="IW23" i="8"/>
  <c r="IW15" i="8"/>
  <c r="IW24" i="8"/>
  <c r="IW21" i="8"/>
  <c r="IW7" i="8"/>
  <c r="IW26" i="8"/>
  <c r="IW17" i="8"/>
  <c r="IW9" i="8"/>
  <c r="IW22" i="8"/>
  <c r="IW11" i="8"/>
  <c r="IW3" i="8"/>
  <c r="IW5" i="8"/>
  <c r="IW28" i="8"/>
  <c r="FE54" i="8"/>
  <c r="FE48" i="8"/>
  <c r="FE46" i="8"/>
  <c r="FE44" i="8"/>
  <c r="FE42" i="8"/>
  <c r="FE40" i="8"/>
  <c r="FE38" i="8"/>
  <c r="FE36" i="8"/>
  <c r="FE47" i="8"/>
  <c r="FE49" i="8"/>
  <c r="FE41" i="8"/>
  <c r="FE35" i="8"/>
  <c r="FE33" i="8"/>
  <c r="FE31" i="8"/>
  <c r="FE29" i="8"/>
  <c r="FE27" i="8"/>
  <c r="FE25" i="8"/>
  <c r="FE55" i="8"/>
  <c r="FE43" i="8"/>
  <c r="FE22" i="8"/>
  <c r="FE20" i="8"/>
  <c r="FE18" i="8"/>
  <c r="FE16" i="8"/>
  <c r="FE14" i="8"/>
  <c r="FE12" i="8"/>
  <c r="FE10" i="8"/>
  <c r="FE8" i="8"/>
  <c r="FE6" i="8"/>
  <c r="FE4" i="8"/>
  <c r="FE2" i="8"/>
  <c r="FE45" i="8"/>
  <c r="FE30" i="8"/>
  <c r="FE53" i="8"/>
  <c r="FE23" i="8"/>
  <c r="FE32" i="8"/>
  <c r="FE11" i="8"/>
  <c r="FE24" i="8"/>
  <c r="FE21" i="8"/>
  <c r="FE5" i="8"/>
  <c r="FE34" i="8"/>
  <c r="FE37" i="8"/>
  <c r="FE28" i="8"/>
  <c r="FE7" i="8"/>
  <c r="FE9" i="8"/>
  <c r="FE17" i="8"/>
  <c r="FE3" i="8"/>
  <c r="FE19" i="8"/>
  <c r="FE13" i="8"/>
  <c r="FE39" i="8"/>
  <c r="FE26" i="8"/>
  <c r="FE15" i="8"/>
  <c r="EW54" i="8"/>
  <c r="EW48" i="8"/>
  <c r="EW46" i="8"/>
  <c r="EW44" i="8"/>
  <c r="EW42" i="8"/>
  <c r="EW40" i="8"/>
  <c r="EW38" i="8"/>
  <c r="EW36" i="8"/>
  <c r="EW45" i="8"/>
  <c r="EW39" i="8"/>
  <c r="EW35" i="8"/>
  <c r="EW33" i="8"/>
  <c r="EW31" i="8"/>
  <c r="EW29" i="8"/>
  <c r="EW27" i="8"/>
  <c r="EW25" i="8"/>
  <c r="EW55" i="8"/>
  <c r="EW41" i="8"/>
  <c r="EW53" i="8"/>
  <c r="EW37" i="8"/>
  <c r="EW22" i="8"/>
  <c r="EW20" i="8"/>
  <c r="EW18" i="8"/>
  <c r="EW16" i="8"/>
  <c r="EW14" i="8"/>
  <c r="EW12" i="8"/>
  <c r="EW10" i="8"/>
  <c r="EW8" i="8"/>
  <c r="EW6" i="8"/>
  <c r="EW4" i="8"/>
  <c r="EW2" i="8"/>
  <c r="EW47" i="8"/>
  <c r="EW34" i="8"/>
  <c r="EW28" i="8"/>
  <c r="EW43" i="8"/>
  <c r="EW49" i="8"/>
  <c r="EW23" i="8"/>
  <c r="EW9" i="8"/>
  <c r="EW19" i="8"/>
  <c r="EW32" i="8"/>
  <c r="EW30" i="8"/>
  <c r="EW21" i="8"/>
  <c r="EW5" i="8"/>
  <c r="EW7" i="8"/>
  <c r="EW15" i="8"/>
  <c r="EW17" i="8"/>
  <c r="EW11" i="8"/>
  <c r="EW24" i="8"/>
  <c r="EW26" i="8"/>
  <c r="EW13" i="8"/>
  <c r="EW3" i="8"/>
  <c r="CC47" i="9"/>
  <c r="CC48" i="9"/>
  <c r="CC44" i="9"/>
  <c r="CC43" i="9"/>
  <c r="CC49" i="9"/>
  <c r="CC42" i="9"/>
  <c r="CC40" i="9"/>
  <c r="CC32" i="9"/>
  <c r="CC37" i="9"/>
  <c r="CC41" i="9"/>
  <c r="CC39" i="9"/>
  <c r="CC34" i="9"/>
  <c r="CC31" i="9"/>
  <c r="CC45" i="9"/>
  <c r="CC36" i="9"/>
  <c r="CC46" i="9"/>
  <c r="CC30" i="9"/>
  <c r="CC26" i="9"/>
  <c r="CC38" i="9"/>
  <c r="CC35" i="9"/>
  <c r="CC33" i="9"/>
  <c r="CC28" i="9"/>
  <c r="CC25" i="9"/>
  <c r="CC22" i="9"/>
  <c r="CC17" i="9"/>
  <c r="CC16" i="9"/>
  <c r="CC27" i="9"/>
  <c r="CC29" i="9"/>
  <c r="CC18" i="9"/>
  <c r="CC11" i="9"/>
  <c r="CC15" i="9"/>
  <c r="CC10" i="9"/>
  <c r="CC8" i="9"/>
  <c r="CC3" i="9"/>
  <c r="CC23" i="9"/>
  <c r="CC12" i="9"/>
  <c r="CC24" i="9"/>
  <c r="CC21" i="9"/>
  <c r="CC13" i="9"/>
  <c r="CC19" i="9"/>
  <c r="CC5" i="9"/>
  <c r="CC2" i="9"/>
  <c r="CC9" i="9"/>
  <c r="CC7" i="9"/>
  <c r="CC20" i="9"/>
  <c r="CC6" i="9"/>
  <c r="CC4" i="9"/>
  <c r="CC14" i="9"/>
  <c r="BE49" i="9"/>
  <c r="BE47" i="9"/>
  <c r="BE45" i="9"/>
  <c r="BE46" i="9"/>
  <c r="BE44" i="9"/>
  <c r="BE41" i="9"/>
  <c r="BE48" i="9"/>
  <c r="BE38" i="9"/>
  <c r="BE43" i="9"/>
  <c r="BE37" i="9"/>
  <c r="BE40" i="9"/>
  <c r="BE33" i="9"/>
  <c r="BE31" i="9"/>
  <c r="BE35" i="9"/>
  <c r="BE34" i="9"/>
  <c r="BE32" i="9"/>
  <c r="BE36" i="9"/>
  <c r="BE29" i="9"/>
  <c r="BE26" i="9"/>
  <c r="BE30" i="9"/>
  <c r="BE27" i="9"/>
  <c r="BE16" i="9"/>
  <c r="BE42" i="9"/>
  <c r="BE21" i="9"/>
  <c r="BE39" i="9"/>
  <c r="BE28" i="9"/>
  <c r="BE23" i="9"/>
  <c r="BE11" i="9"/>
  <c r="BE13" i="9"/>
  <c r="BE3" i="9"/>
  <c r="BE22" i="9"/>
  <c r="BE15" i="9"/>
  <c r="BE7" i="9"/>
  <c r="BE6" i="9"/>
  <c r="BE24" i="9"/>
  <c r="BE20" i="9"/>
  <c r="BE19" i="9"/>
  <c r="BE9" i="9"/>
  <c r="BE10" i="9"/>
  <c r="BE17" i="9"/>
  <c r="BE12" i="9"/>
  <c r="BE14" i="9"/>
  <c r="BE18" i="9"/>
  <c r="BE25" i="9"/>
  <c r="BE8" i="9"/>
  <c r="BE5" i="9"/>
  <c r="BE2" i="9"/>
  <c r="BE4" i="9"/>
  <c r="Q55" i="9"/>
  <c r="Q49" i="9"/>
  <c r="Q47" i="9"/>
  <c r="Q44" i="9"/>
  <c r="Q46" i="9"/>
  <c r="Q48" i="9"/>
  <c r="Q45" i="9"/>
  <c r="Q38" i="9"/>
  <c r="Q37" i="9"/>
  <c r="Q42" i="9"/>
  <c r="Q40" i="9"/>
  <c r="Q34" i="9"/>
  <c r="Q35" i="9"/>
  <c r="Q41" i="9"/>
  <c r="Q36" i="9"/>
  <c r="Q30" i="9"/>
  <c r="Q39" i="9"/>
  <c r="Q33" i="9"/>
  <c r="Q32" i="9"/>
  <c r="Q43" i="9"/>
  <c r="Q26" i="9"/>
  <c r="Q28" i="9"/>
  <c r="Q22" i="9"/>
  <c r="Q17" i="9"/>
  <c r="Q16" i="9"/>
  <c r="Q31" i="9"/>
  <c r="Q29" i="9"/>
  <c r="Q27" i="9"/>
  <c r="Q18" i="9"/>
  <c r="Q11" i="9"/>
  <c r="Q10" i="9"/>
  <c r="Q8" i="9"/>
  <c r="Q3" i="9"/>
  <c r="Q15" i="9"/>
  <c r="Q23" i="9"/>
  <c r="Q24" i="9"/>
  <c r="Q25" i="9"/>
  <c r="Q20" i="9"/>
  <c r="Q19" i="9"/>
  <c r="Q14" i="9"/>
  <c r="Q6" i="9"/>
  <c r="Q13" i="9"/>
  <c r="Q12" i="9"/>
  <c r="Q2" i="9"/>
  <c r="Q7" i="9"/>
  <c r="Q5" i="9"/>
  <c r="Q9" i="9"/>
  <c r="Q4" i="9"/>
  <c r="Q21" i="9"/>
  <c r="JT54" i="8"/>
  <c r="JT48" i="8"/>
  <c r="JT53" i="8"/>
  <c r="JT47" i="8"/>
  <c r="JT45" i="8"/>
  <c r="JT44" i="8"/>
  <c r="JT42" i="8"/>
  <c r="JT40" i="8"/>
  <c r="JT38" i="8"/>
  <c r="JT36" i="8"/>
  <c r="JT49" i="8"/>
  <c r="JT35" i="8"/>
  <c r="JT55" i="8"/>
  <c r="JT34" i="8"/>
  <c r="JT32" i="8"/>
  <c r="JT30" i="8"/>
  <c r="JT25" i="8"/>
  <c r="JT43" i="8"/>
  <c r="JT20" i="8"/>
  <c r="JT18" i="8"/>
  <c r="JT16" i="8"/>
  <c r="JT14" i="8"/>
  <c r="JT12" i="8"/>
  <c r="JT10" i="8"/>
  <c r="JT8" i="8"/>
  <c r="JT6" i="8"/>
  <c r="JT4" i="8"/>
  <c r="JT2" i="8"/>
  <c r="JT46" i="8"/>
  <c r="JT39" i="8"/>
  <c r="JT27" i="8"/>
  <c r="JT24" i="8"/>
  <c r="JT23" i="8"/>
  <c r="JT41" i="8"/>
  <c r="JT31" i="8"/>
  <c r="JT15" i="8"/>
  <c r="JT37" i="8"/>
  <c r="JT33" i="8"/>
  <c r="JT9" i="8"/>
  <c r="JT28" i="8"/>
  <c r="JT22" i="8"/>
  <c r="JT11" i="8"/>
  <c r="JT7" i="8"/>
  <c r="JT3" i="8"/>
  <c r="JT29" i="8"/>
  <c r="JT26" i="8"/>
  <c r="JT17" i="8"/>
  <c r="JT19" i="8"/>
  <c r="JT13" i="8"/>
  <c r="JT5" i="8"/>
  <c r="JT21" i="8"/>
  <c r="EC150" i="7"/>
  <c r="EC151" i="7"/>
  <c r="EC149" i="7"/>
  <c r="AS49" i="8"/>
  <c r="AS47" i="8"/>
  <c r="AS45" i="8"/>
  <c r="AS43" i="8"/>
  <c r="AS41" i="8"/>
  <c r="AS39" i="8"/>
  <c r="AS37" i="8"/>
  <c r="AS46" i="8"/>
  <c r="AS42" i="8"/>
  <c r="AS34" i="8"/>
  <c r="AS32" i="8"/>
  <c r="AS30" i="8"/>
  <c r="AS28" i="8"/>
  <c r="AS26" i="8"/>
  <c r="AS38" i="8"/>
  <c r="AS21" i="8"/>
  <c r="AS19" i="8"/>
  <c r="AS17" i="8"/>
  <c r="AS15" i="8"/>
  <c r="AS13" i="8"/>
  <c r="AS11" i="8"/>
  <c r="AS9" i="8"/>
  <c r="AS7" i="8"/>
  <c r="AS5" i="8"/>
  <c r="AS3" i="8"/>
  <c r="AS40" i="8"/>
  <c r="AS36" i="8"/>
  <c r="AS31" i="8"/>
  <c r="AS25" i="8"/>
  <c r="AS48" i="8"/>
  <c r="AS44" i="8"/>
  <c r="AS33" i="8"/>
  <c r="AS35" i="8"/>
  <c r="AS27" i="8"/>
  <c r="AS22" i="8"/>
  <c r="AS6" i="8"/>
  <c r="AS2" i="8"/>
  <c r="AS16" i="8"/>
  <c r="AS29" i="8"/>
  <c r="AS18" i="8"/>
  <c r="AS4" i="8"/>
  <c r="AS20" i="8"/>
  <c r="AS12" i="8"/>
  <c r="AS24" i="8"/>
  <c r="AS14" i="8"/>
  <c r="AS23" i="8"/>
  <c r="AS8" i="8"/>
  <c r="AS10" i="8"/>
  <c r="E49" i="8"/>
  <c r="E47" i="8"/>
  <c r="E46" i="8"/>
  <c r="E45" i="8"/>
  <c r="E43" i="8"/>
  <c r="E41" i="8"/>
  <c r="E39" i="8"/>
  <c r="E37" i="8"/>
  <c r="E48" i="8"/>
  <c r="E36" i="8"/>
  <c r="E42" i="8"/>
  <c r="E34" i="8"/>
  <c r="E32" i="8"/>
  <c r="E30" i="8"/>
  <c r="E28" i="8"/>
  <c r="E26" i="8"/>
  <c r="E44" i="8"/>
  <c r="E21" i="8"/>
  <c r="E19" i="8"/>
  <c r="E17" i="8"/>
  <c r="E15" i="8"/>
  <c r="E13" i="8"/>
  <c r="E11" i="8"/>
  <c r="E9" i="8"/>
  <c r="E7" i="8"/>
  <c r="E5" i="8"/>
  <c r="E3" i="8"/>
  <c r="E40" i="8"/>
  <c r="E38" i="8"/>
  <c r="E24" i="8"/>
  <c r="E35" i="8"/>
  <c r="E29" i="8"/>
  <c r="E12" i="8"/>
  <c r="E23" i="8"/>
  <c r="E22" i="8"/>
  <c r="E6" i="8"/>
  <c r="E31" i="8"/>
  <c r="E33" i="8"/>
  <c r="E8" i="8"/>
  <c r="E2" i="8"/>
  <c r="E27" i="8"/>
  <c r="E20" i="8"/>
  <c r="E14" i="8"/>
  <c r="E16" i="8"/>
  <c r="E10" i="8"/>
  <c r="E4" i="8"/>
  <c r="E18" i="8"/>
  <c r="E25" i="8"/>
  <c r="BN49" i="8"/>
  <c r="BN47" i="8"/>
  <c r="BN44" i="8"/>
  <c r="BN35" i="8"/>
  <c r="BN33" i="8"/>
  <c r="BN31" i="8"/>
  <c r="BN29" i="8"/>
  <c r="BN27" i="8"/>
  <c r="BN25" i="8"/>
  <c r="BN23" i="8"/>
  <c r="BN43" i="8"/>
  <c r="BN45" i="8"/>
  <c r="BN40" i="8"/>
  <c r="BN39" i="8"/>
  <c r="BN30" i="8"/>
  <c r="BN37" i="8"/>
  <c r="BN24" i="8"/>
  <c r="BN41" i="8"/>
  <c r="BN42" i="8"/>
  <c r="BN46" i="8"/>
  <c r="BN28" i="8"/>
  <c r="BN13" i="8"/>
  <c r="BN8" i="8"/>
  <c r="BN18" i="8"/>
  <c r="BN7" i="8"/>
  <c r="BN2" i="8"/>
  <c r="BN32" i="8"/>
  <c r="BN38" i="8"/>
  <c r="BN20" i="8"/>
  <c r="BN9" i="8"/>
  <c r="BN36" i="8"/>
  <c r="BN19" i="8"/>
  <c r="BN12" i="8"/>
  <c r="BN26" i="8"/>
  <c r="BN5" i="8"/>
  <c r="BN4" i="8"/>
  <c r="BN21" i="8"/>
  <c r="BN34" i="8"/>
  <c r="BN22" i="8"/>
  <c r="BN14" i="8"/>
  <c r="BN15" i="8"/>
  <c r="BN48" i="8"/>
  <c r="BN17" i="8"/>
  <c r="BN16" i="8"/>
  <c r="BN3" i="8"/>
  <c r="BN6" i="8"/>
  <c r="BN10" i="8"/>
  <c r="BN11" i="8"/>
  <c r="AP49" i="9"/>
  <c r="AP47" i="9"/>
  <c r="AP45" i="9"/>
  <c r="AP44" i="9"/>
  <c r="AP46" i="9"/>
  <c r="AP43" i="9"/>
  <c r="AP48" i="9"/>
  <c r="AP39" i="9"/>
  <c r="AP38" i="9"/>
  <c r="AP36" i="9"/>
  <c r="AP34" i="9"/>
  <c r="AP42" i="9"/>
  <c r="AP41" i="9"/>
  <c r="AP37" i="9"/>
  <c r="AP30" i="9"/>
  <c r="AP40" i="9"/>
  <c r="AP35" i="9"/>
  <c r="AP28" i="9"/>
  <c r="AP26" i="9"/>
  <c r="AP31" i="9"/>
  <c r="AP29" i="9"/>
  <c r="AP32" i="9"/>
  <c r="AP23" i="9"/>
  <c r="AP21" i="9"/>
  <c r="AP19" i="9"/>
  <c r="AP17" i="9"/>
  <c r="AP15" i="9"/>
  <c r="AP33" i="9"/>
  <c r="AP22" i="9"/>
  <c r="AP13" i="9"/>
  <c r="AP16" i="9"/>
  <c r="AP12" i="9"/>
  <c r="AP10" i="9"/>
  <c r="AP8" i="9"/>
  <c r="AP6" i="9"/>
  <c r="AP27" i="9"/>
  <c r="AP18" i="9"/>
  <c r="AP14" i="9"/>
  <c r="AP11" i="9"/>
  <c r="AP24" i="9"/>
  <c r="AP9" i="9"/>
  <c r="AP25" i="9"/>
  <c r="AP7" i="9"/>
  <c r="AP20" i="9"/>
  <c r="AP5" i="9"/>
  <c r="AP2" i="9"/>
  <c r="AP4" i="9"/>
  <c r="AP3" i="9"/>
  <c r="EO55" i="9"/>
  <c r="EO53" i="9"/>
  <c r="EO54" i="9"/>
  <c r="EO49" i="9"/>
  <c r="EO47" i="9"/>
  <c r="EO44" i="9"/>
  <c r="EO42" i="9"/>
  <c r="EO48" i="9"/>
  <c r="EO45" i="9"/>
  <c r="EO43" i="9"/>
  <c r="EO40" i="9"/>
  <c r="EO32" i="9"/>
  <c r="EO37" i="9"/>
  <c r="EO41" i="9"/>
  <c r="EO34" i="9"/>
  <c r="EO31" i="9"/>
  <c r="EO38" i="9"/>
  <c r="EO30" i="9"/>
  <c r="EO46" i="9"/>
  <c r="EO35" i="9"/>
  <c r="EO26" i="9"/>
  <c r="EO39" i="9"/>
  <c r="EO36" i="9"/>
  <c r="EO33" i="9"/>
  <c r="EO28" i="9"/>
  <c r="EO22" i="9"/>
  <c r="EO17" i="9"/>
  <c r="EO16" i="9"/>
  <c r="EO29" i="9"/>
  <c r="EO27" i="9"/>
  <c r="EO18" i="9"/>
  <c r="EO11" i="9"/>
  <c r="EO23" i="9"/>
  <c r="EO10" i="9"/>
  <c r="EO8" i="9"/>
  <c r="EO3" i="9"/>
  <c r="EO25" i="9"/>
  <c r="EO24" i="9"/>
  <c r="EO14" i="9"/>
  <c r="EO13" i="9"/>
  <c r="EO7" i="9"/>
  <c r="EO12" i="9"/>
  <c r="EO4" i="9"/>
  <c r="EO21" i="9"/>
  <c r="EO20" i="9"/>
  <c r="EO15" i="9"/>
  <c r="EO9" i="9"/>
  <c r="EO5" i="9"/>
  <c r="EO2" i="9"/>
  <c r="EO6" i="9"/>
  <c r="EO19" i="9"/>
  <c r="EN54" i="8"/>
  <c r="EN48" i="8"/>
  <c r="EN44" i="8"/>
  <c r="EN42" i="8"/>
  <c r="EN40" i="8"/>
  <c r="EN38" i="8"/>
  <c r="EN47" i="8"/>
  <c r="EN46" i="8"/>
  <c r="EN55" i="8"/>
  <c r="EN49" i="8"/>
  <c r="EN43" i="8"/>
  <c r="EN37" i="8"/>
  <c r="EN45" i="8"/>
  <c r="EN36" i="8"/>
  <c r="EN34" i="8"/>
  <c r="EN32" i="8"/>
  <c r="EN28" i="8"/>
  <c r="EN22" i="8"/>
  <c r="EN20" i="8"/>
  <c r="EN18" i="8"/>
  <c r="EN16" i="8"/>
  <c r="EN14" i="8"/>
  <c r="EN12" i="8"/>
  <c r="EN10" i="8"/>
  <c r="EN8" i="8"/>
  <c r="EN6" i="8"/>
  <c r="EN4" i="8"/>
  <c r="EN2" i="8"/>
  <c r="EN53" i="8"/>
  <c r="EN41" i="8"/>
  <c r="EN30" i="8"/>
  <c r="EN25" i="8"/>
  <c r="EN13" i="8"/>
  <c r="EN35" i="8"/>
  <c r="EN27" i="8"/>
  <c r="EN7" i="8"/>
  <c r="EN3" i="8"/>
  <c r="EN39" i="8"/>
  <c r="EN31" i="8"/>
  <c r="EN29" i="8"/>
  <c r="EN26" i="8"/>
  <c r="EN9" i="8"/>
  <c r="EN24" i="8"/>
  <c r="EN11" i="8"/>
  <c r="EN19" i="8"/>
  <c r="EN23" i="8"/>
  <c r="EN21" i="8"/>
  <c r="EN33" i="8"/>
  <c r="EN15" i="8"/>
  <c r="EN17" i="8"/>
  <c r="EN5" i="8"/>
  <c r="GR151" i="7"/>
  <c r="GR149" i="7"/>
  <c r="GR150" i="7"/>
  <c r="IS55" i="9"/>
  <c r="IS49" i="9"/>
  <c r="IS53" i="9"/>
  <c r="IS48" i="9"/>
  <c r="IS46" i="9"/>
  <c r="IS54" i="9"/>
  <c r="IS47" i="9"/>
  <c r="IS44" i="9"/>
  <c r="IS43" i="9"/>
  <c r="IS45" i="9"/>
  <c r="IS42" i="9"/>
  <c r="IS35" i="9"/>
  <c r="IS40" i="9"/>
  <c r="IS37" i="9"/>
  <c r="IS38" i="9"/>
  <c r="IS32" i="9"/>
  <c r="IS30" i="9"/>
  <c r="IS29" i="9"/>
  <c r="IS28" i="9"/>
  <c r="IS39" i="9"/>
  <c r="IS33" i="9"/>
  <c r="IS36" i="9"/>
  <c r="IS34" i="9"/>
  <c r="IS41" i="9"/>
  <c r="IS27" i="9"/>
  <c r="IS20" i="9"/>
  <c r="IS19" i="9"/>
  <c r="IS13" i="9"/>
  <c r="IS31" i="9"/>
  <c r="IS25" i="9"/>
  <c r="IS21" i="9"/>
  <c r="IS16" i="9"/>
  <c r="IS10" i="9"/>
  <c r="IS18" i="9"/>
  <c r="IS8" i="9"/>
  <c r="IS2" i="9"/>
  <c r="IS12" i="9"/>
  <c r="IS26" i="9"/>
  <c r="IS24" i="9"/>
  <c r="IS9" i="9"/>
  <c r="IS6" i="9"/>
  <c r="IS5" i="9"/>
  <c r="IS23" i="9"/>
  <c r="IS17" i="9"/>
  <c r="IS3" i="9"/>
  <c r="IS22" i="9"/>
  <c r="IS14" i="9"/>
  <c r="IS15" i="9"/>
  <c r="IS4" i="9"/>
  <c r="IS11" i="9"/>
  <c r="IS7" i="9"/>
  <c r="U48" i="9"/>
  <c r="U43" i="9"/>
  <c r="U46" i="9"/>
  <c r="U49" i="9"/>
  <c r="U47" i="9"/>
  <c r="U44" i="9"/>
  <c r="U39" i="9"/>
  <c r="U42" i="9"/>
  <c r="U36" i="9"/>
  <c r="U41" i="9"/>
  <c r="U32" i="9"/>
  <c r="U37" i="9"/>
  <c r="U31" i="9"/>
  <c r="U35" i="9"/>
  <c r="U29" i="9"/>
  <c r="U30" i="9"/>
  <c r="U38" i="9"/>
  <c r="U40" i="9"/>
  <c r="U33" i="9"/>
  <c r="U45" i="9"/>
  <c r="U26" i="9"/>
  <c r="U34" i="9"/>
  <c r="U15" i="9"/>
  <c r="U25" i="9"/>
  <c r="U20" i="9"/>
  <c r="U28" i="9"/>
  <c r="U27" i="9"/>
  <c r="U22" i="9"/>
  <c r="U12" i="9"/>
  <c r="U10" i="9"/>
  <c r="U23" i="9"/>
  <c r="U13" i="9"/>
  <c r="U9" i="9"/>
  <c r="U7" i="9"/>
  <c r="U4" i="9"/>
  <c r="U2" i="9"/>
  <c r="U24" i="9"/>
  <c r="U16" i="9"/>
  <c r="U6" i="9"/>
  <c r="U5" i="9"/>
  <c r="U19" i="9"/>
  <c r="U21" i="9"/>
  <c r="U8" i="9"/>
  <c r="U17" i="9"/>
  <c r="U18" i="9"/>
  <c r="U14" i="9"/>
  <c r="U11" i="9"/>
  <c r="U3" i="9"/>
  <c r="JO54" i="8"/>
  <c r="JO49" i="8"/>
  <c r="JO44" i="8"/>
  <c r="JO42" i="8"/>
  <c r="JO40" i="8"/>
  <c r="JO38" i="8"/>
  <c r="JO48" i="8"/>
  <c r="JO41" i="8"/>
  <c r="JO53" i="8"/>
  <c r="JO55" i="8"/>
  <c r="JO43" i="8"/>
  <c r="JO37" i="8"/>
  <c r="JO31" i="8"/>
  <c r="JO29" i="8"/>
  <c r="JO24" i="8"/>
  <c r="JO46" i="8"/>
  <c r="JO47" i="8"/>
  <c r="JO45" i="8"/>
  <c r="JO39" i="8"/>
  <c r="JO35" i="8"/>
  <c r="JO33" i="8"/>
  <c r="JO20" i="8"/>
  <c r="JO18" i="8"/>
  <c r="JO16" i="8"/>
  <c r="JO14" i="8"/>
  <c r="JO12" i="8"/>
  <c r="JO10" i="8"/>
  <c r="JO8" i="8"/>
  <c r="JO6" i="8"/>
  <c r="JO4" i="8"/>
  <c r="JO30" i="8"/>
  <c r="JO22" i="8"/>
  <c r="JO11" i="8"/>
  <c r="JO26" i="8"/>
  <c r="JO21" i="8"/>
  <c r="JO5" i="8"/>
  <c r="JO32" i="8"/>
  <c r="JO34" i="8"/>
  <c r="JO36" i="8"/>
  <c r="JO7" i="8"/>
  <c r="JO3" i="8"/>
  <c r="JO25" i="8"/>
  <c r="JO13" i="8"/>
  <c r="JO27" i="8"/>
  <c r="JO15" i="8"/>
  <c r="JO2" i="8"/>
  <c r="JO9" i="8"/>
  <c r="JO17" i="8"/>
  <c r="JO28" i="8"/>
  <c r="JO23" i="8"/>
  <c r="JO19" i="8"/>
  <c r="II54" i="8"/>
  <c r="II46" i="8"/>
  <c r="II49" i="8"/>
  <c r="II53" i="8"/>
  <c r="II44" i="8"/>
  <c r="II42" i="8"/>
  <c r="II40" i="8"/>
  <c r="II38" i="8"/>
  <c r="II48" i="8"/>
  <c r="II39" i="8"/>
  <c r="II35" i="8"/>
  <c r="II55" i="8"/>
  <c r="II37" i="8"/>
  <c r="II34" i="8"/>
  <c r="II45" i="8"/>
  <c r="II29" i="8"/>
  <c r="II24" i="8"/>
  <c r="II41" i="8"/>
  <c r="II47" i="8"/>
  <c r="II43" i="8"/>
  <c r="II30" i="8"/>
  <c r="II20" i="8"/>
  <c r="II18" i="8"/>
  <c r="II16" i="8"/>
  <c r="II14" i="8"/>
  <c r="II12" i="8"/>
  <c r="II10" i="8"/>
  <c r="II8" i="8"/>
  <c r="II6" i="8"/>
  <c r="II4" i="8"/>
  <c r="II33" i="8"/>
  <c r="II26" i="8"/>
  <c r="II19" i="8"/>
  <c r="II13" i="8"/>
  <c r="II28" i="8"/>
  <c r="II25" i="8"/>
  <c r="II15" i="8"/>
  <c r="II3" i="8"/>
  <c r="II17" i="8"/>
  <c r="II9" i="8"/>
  <c r="II2" i="8"/>
  <c r="II36" i="8"/>
  <c r="II23" i="8"/>
  <c r="II22" i="8"/>
  <c r="II27" i="8"/>
  <c r="II11" i="8"/>
  <c r="II31" i="8"/>
  <c r="II21" i="8"/>
  <c r="II7" i="8"/>
  <c r="II32" i="8"/>
  <c r="II5" i="8"/>
  <c r="EY55" i="9"/>
  <c r="EY49" i="9"/>
  <c r="EY54" i="9"/>
  <c r="EY47" i="9"/>
  <c r="EY45" i="9"/>
  <c r="EY53" i="9"/>
  <c r="EY44" i="9"/>
  <c r="EY42" i="9"/>
  <c r="EY40" i="9"/>
  <c r="EY46" i="9"/>
  <c r="EY48" i="9"/>
  <c r="EY43" i="9"/>
  <c r="EY38" i="9"/>
  <c r="EY37" i="9"/>
  <c r="EY35" i="9"/>
  <c r="EY33" i="9"/>
  <c r="EY39" i="9"/>
  <c r="EY34" i="9"/>
  <c r="EY30" i="9"/>
  <c r="EY27" i="9"/>
  <c r="EY25" i="9"/>
  <c r="EY41" i="9"/>
  <c r="EY28" i="9"/>
  <c r="EY24" i="9"/>
  <c r="EY22" i="9"/>
  <c r="EY20" i="9"/>
  <c r="EY18" i="9"/>
  <c r="EY16" i="9"/>
  <c r="EY14" i="9"/>
  <c r="EY12" i="9"/>
  <c r="EY36" i="9"/>
  <c r="EY29" i="9"/>
  <c r="EY10" i="9"/>
  <c r="EY8" i="9"/>
  <c r="EY23" i="9"/>
  <c r="EY32" i="9"/>
  <c r="EY31" i="9"/>
  <c r="EY19" i="9"/>
  <c r="EY13" i="9"/>
  <c r="EY11" i="9"/>
  <c r="EY26" i="9"/>
  <c r="EY21" i="9"/>
  <c r="EY7" i="9"/>
  <c r="EY3" i="9"/>
  <c r="EY5" i="9"/>
  <c r="EY17" i="9"/>
  <c r="EY9" i="9"/>
  <c r="EY15" i="9"/>
  <c r="EY6" i="9"/>
  <c r="EY4" i="9"/>
  <c r="EY2" i="9"/>
  <c r="AI149" i="7"/>
  <c r="AI53" i="9" s="1"/>
  <c r="AI150" i="7"/>
  <c r="AI151" i="7"/>
  <c r="IO54" i="9"/>
  <c r="IO53" i="9"/>
  <c r="IO55" i="9"/>
  <c r="IO47" i="9"/>
  <c r="IO46" i="9"/>
  <c r="IO45" i="9"/>
  <c r="IO42" i="9"/>
  <c r="IO41" i="9"/>
  <c r="IO49" i="9"/>
  <c r="IO43" i="9"/>
  <c r="IO39" i="9"/>
  <c r="IO40" i="9"/>
  <c r="IO37" i="9"/>
  <c r="IO32" i="9"/>
  <c r="IO33" i="9"/>
  <c r="IO31" i="9"/>
  <c r="IO29" i="9"/>
  <c r="IO44" i="9"/>
  <c r="IO36" i="9"/>
  <c r="IO34" i="9"/>
  <c r="IO26" i="9"/>
  <c r="IO25" i="9"/>
  <c r="IO35" i="9"/>
  <c r="IO48" i="9"/>
  <c r="IO38" i="9"/>
  <c r="IO27" i="9"/>
  <c r="IO30" i="9"/>
  <c r="IO16" i="9"/>
  <c r="IO21" i="9"/>
  <c r="IO12" i="9"/>
  <c r="IO28" i="9"/>
  <c r="IO23" i="9"/>
  <c r="IO11" i="9"/>
  <c r="IO9" i="9"/>
  <c r="IO24" i="9"/>
  <c r="IO14" i="9"/>
  <c r="IO7" i="9"/>
  <c r="IO3" i="9"/>
  <c r="IO17" i="9"/>
  <c r="IO6" i="9"/>
  <c r="IO20" i="9"/>
  <c r="IO19" i="9"/>
  <c r="IO22" i="9"/>
  <c r="IO15" i="9"/>
  <c r="IO13" i="9"/>
  <c r="IO8" i="9"/>
  <c r="IO18" i="9"/>
  <c r="IO10" i="9"/>
  <c r="IO2" i="9"/>
  <c r="IO5" i="9"/>
  <c r="IO4" i="9"/>
  <c r="JL54" i="8"/>
  <c r="JL48" i="8"/>
  <c r="JL44" i="8"/>
  <c r="JL42" i="8"/>
  <c r="JL40" i="8"/>
  <c r="JL38" i="8"/>
  <c r="JL36" i="8"/>
  <c r="JL47" i="8"/>
  <c r="JL46" i="8"/>
  <c r="JL43" i="8"/>
  <c r="JL37" i="8"/>
  <c r="JL55" i="8"/>
  <c r="JL34" i="8"/>
  <c r="JL32" i="8"/>
  <c r="JL30" i="8"/>
  <c r="JL49" i="8"/>
  <c r="JL39" i="8"/>
  <c r="JL35" i="8"/>
  <c r="JL28" i="8"/>
  <c r="JL20" i="8"/>
  <c r="JL18" i="8"/>
  <c r="JL16" i="8"/>
  <c r="JL14" i="8"/>
  <c r="JL12" i="8"/>
  <c r="JL10" i="8"/>
  <c r="JL8" i="8"/>
  <c r="JL6" i="8"/>
  <c r="JL4" i="8"/>
  <c r="JL2" i="8"/>
  <c r="JL41" i="8"/>
  <c r="JL53" i="8"/>
  <c r="JL25" i="8"/>
  <c r="JL22" i="8"/>
  <c r="JL13" i="8"/>
  <c r="JL45" i="8"/>
  <c r="JL7" i="8"/>
  <c r="JL3" i="8"/>
  <c r="JL31" i="8"/>
  <c r="JL29" i="8"/>
  <c r="JL33" i="8"/>
  <c r="JL9" i="8"/>
  <c r="JL19" i="8"/>
  <c r="JL5" i="8"/>
  <c r="JL27" i="8"/>
  <c r="JL21" i="8"/>
  <c r="JL26" i="8"/>
  <c r="JL24" i="8"/>
  <c r="JL15" i="8"/>
  <c r="JL17" i="8"/>
  <c r="JL23" i="8"/>
  <c r="JL11" i="8"/>
  <c r="HX54" i="8"/>
  <c r="HX48" i="8"/>
  <c r="HX46" i="8"/>
  <c r="HX44" i="8"/>
  <c r="HX42" i="8"/>
  <c r="HX40" i="8"/>
  <c r="HX38" i="8"/>
  <c r="HX36" i="8"/>
  <c r="HX53" i="8"/>
  <c r="HX39" i="8"/>
  <c r="HX55" i="8"/>
  <c r="HX34" i="8"/>
  <c r="HX32" i="8"/>
  <c r="HX30" i="8"/>
  <c r="HX33" i="8"/>
  <c r="HX29" i="8"/>
  <c r="HX26" i="8"/>
  <c r="HX23" i="8"/>
  <c r="HX47" i="8"/>
  <c r="HX22" i="8"/>
  <c r="HX20" i="8"/>
  <c r="HX18" i="8"/>
  <c r="HX16" i="8"/>
  <c r="HX14" i="8"/>
  <c r="HX12" i="8"/>
  <c r="HX10" i="8"/>
  <c r="HX8" i="8"/>
  <c r="HX6" i="8"/>
  <c r="HX4" i="8"/>
  <c r="HX2" i="8"/>
  <c r="HX41" i="8"/>
  <c r="HX49" i="8"/>
  <c r="HX43" i="8"/>
  <c r="HX45" i="8"/>
  <c r="HX28" i="8"/>
  <c r="HX19" i="8"/>
  <c r="HX13" i="8"/>
  <c r="HX31" i="8"/>
  <c r="HX15" i="8"/>
  <c r="HX3" i="8"/>
  <c r="HX5" i="8"/>
  <c r="HX21" i="8"/>
  <c r="HX7" i="8"/>
  <c r="HX25" i="8"/>
  <c r="HX35" i="8"/>
  <c r="HX27" i="8"/>
  <c r="HX17" i="8"/>
  <c r="HX9" i="8"/>
  <c r="HX37" i="8"/>
  <c r="HX11" i="8"/>
  <c r="HX24" i="8"/>
  <c r="HD55" i="8"/>
  <c r="HD53" i="8"/>
  <c r="HD49" i="8"/>
  <c r="HD47" i="8"/>
  <c r="HD54" i="8"/>
  <c r="HD45" i="8"/>
  <c r="HD43" i="8"/>
  <c r="HD41" i="8"/>
  <c r="HD39" i="8"/>
  <c r="HD37" i="8"/>
  <c r="HD48" i="8"/>
  <c r="HD42" i="8"/>
  <c r="HD38" i="8"/>
  <c r="HD35" i="8"/>
  <c r="HD33" i="8"/>
  <c r="HD31" i="8"/>
  <c r="HD40" i="8"/>
  <c r="HD29" i="8"/>
  <c r="HD24" i="8"/>
  <c r="HD21" i="8"/>
  <c r="HD19" i="8"/>
  <c r="HD17" i="8"/>
  <c r="HD15" i="8"/>
  <c r="HD13" i="8"/>
  <c r="HD11" i="8"/>
  <c r="HD9" i="8"/>
  <c r="HD7" i="8"/>
  <c r="HD5" i="8"/>
  <c r="HD3" i="8"/>
  <c r="HD46" i="8"/>
  <c r="HD44" i="8"/>
  <c r="HD32" i="8"/>
  <c r="HD26" i="8"/>
  <c r="HD6" i="8"/>
  <c r="HD30" i="8"/>
  <c r="HD27" i="8"/>
  <c r="HD16" i="8"/>
  <c r="HD28" i="8"/>
  <c r="HD34" i="8"/>
  <c r="HD18" i="8"/>
  <c r="HD20" i="8"/>
  <c r="HD12" i="8"/>
  <c r="HD36" i="8"/>
  <c r="HD25" i="8"/>
  <c r="HD14" i="8"/>
  <c r="HD23" i="8"/>
  <c r="HD22" i="8"/>
  <c r="HD8" i="8"/>
  <c r="HD10" i="8"/>
  <c r="HD2" i="8"/>
  <c r="HD4" i="8"/>
  <c r="CW150" i="7"/>
  <c r="CW151" i="7"/>
  <c r="CW149" i="7"/>
  <c r="FQ55" i="8"/>
  <c r="FQ53" i="8"/>
  <c r="FQ49" i="8"/>
  <c r="FQ47" i="8"/>
  <c r="FQ45" i="8"/>
  <c r="FQ43" i="8"/>
  <c r="FQ41" i="8"/>
  <c r="FQ39" i="8"/>
  <c r="FQ37" i="8"/>
  <c r="FQ54" i="8"/>
  <c r="FQ48" i="8"/>
  <c r="FQ42" i="8"/>
  <c r="FQ36" i="8"/>
  <c r="FQ34" i="8"/>
  <c r="FQ32" i="8"/>
  <c r="FQ30" i="8"/>
  <c r="FQ28" i="8"/>
  <c r="FQ26" i="8"/>
  <c r="FQ24" i="8"/>
  <c r="FQ38" i="8"/>
  <c r="FQ21" i="8"/>
  <c r="FQ19" i="8"/>
  <c r="FQ17" i="8"/>
  <c r="FQ15" i="8"/>
  <c r="FQ13" i="8"/>
  <c r="FQ11" i="8"/>
  <c r="FQ9" i="8"/>
  <c r="FQ7" i="8"/>
  <c r="FQ5" i="8"/>
  <c r="FQ3" i="8"/>
  <c r="FQ31" i="8"/>
  <c r="FQ25" i="8"/>
  <c r="FQ44" i="8"/>
  <c r="FQ33" i="8"/>
  <c r="FQ22" i="8"/>
  <c r="FQ6" i="8"/>
  <c r="FQ2" i="8"/>
  <c r="FQ46" i="8"/>
  <c r="FQ16" i="8"/>
  <c r="FQ29" i="8"/>
  <c r="FQ40" i="8"/>
  <c r="FQ35" i="8"/>
  <c r="FQ18" i="8"/>
  <c r="FQ23" i="8"/>
  <c r="FQ14" i="8"/>
  <c r="FQ8" i="8"/>
  <c r="FQ10" i="8"/>
  <c r="FQ4" i="8"/>
  <c r="FQ27" i="8"/>
  <c r="FQ12" i="8"/>
  <c r="FQ20" i="8"/>
  <c r="BA48" i="9"/>
  <c r="BA47" i="9"/>
  <c r="BA49" i="9"/>
  <c r="BA43" i="9"/>
  <c r="BA45" i="9"/>
  <c r="BA46" i="9"/>
  <c r="BA44" i="9"/>
  <c r="BA42" i="9"/>
  <c r="BA40" i="9"/>
  <c r="BA32" i="9"/>
  <c r="BA39" i="9"/>
  <c r="BA33" i="9"/>
  <c r="BA41" i="9"/>
  <c r="BA35" i="9"/>
  <c r="BA34" i="9"/>
  <c r="BA31" i="9"/>
  <c r="BA30" i="9"/>
  <c r="BA29" i="9"/>
  <c r="BA27" i="9"/>
  <c r="BA38" i="9"/>
  <c r="BA36" i="9"/>
  <c r="BA25" i="9"/>
  <c r="BA23" i="9"/>
  <c r="BA18" i="9"/>
  <c r="BA17" i="9"/>
  <c r="BA37" i="9"/>
  <c r="BA19" i="9"/>
  <c r="BA12" i="9"/>
  <c r="BA10" i="9"/>
  <c r="BA11" i="9"/>
  <c r="BA9" i="9"/>
  <c r="BA4" i="9"/>
  <c r="BA2" i="9"/>
  <c r="BA21" i="9"/>
  <c r="BA20" i="9"/>
  <c r="BA13" i="9"/>
  <c r="BA26" i="9"/>
  <c r="BA22" i="9"/>
  <c r="BA28" i="9"/>
  <c r="BA8" i="9"/>
  <c r="BA5" i="9"/>
  <c r="BA7" i="9"/>
  <c r="BA15" i="9"/>
  <c r="BA24" i="9"/>
  <c r="BA3" i="9"/>
  <c r="BA14" i="9"/>
  <c r="BA16" i="9"/>
  <c r="BA6" i="9"/>
  <c r="AS48" i="9"/>
  <c r="AS43" i="9"/>
  <c r="AS46" i="9"/>
  <c r="AS42" i="9"/>
  <c r="AS41" i="9"/>
  <c r="AS49" i="9"/>
  <c r="AS37" i="9"/>
  <c r="AS44" i="9"/>
  <c r="AS36" i="9"/>
  <c r="AS38" i="9"/>
  <c r="AS33" i="9"/>
  <c r="AS47" i="9"/>
  <c r="AS29" i="9"/>
  <c r="AS39" i="9"/>
  <c r="AS32" i="9"/>
  <c r="AS40" i="9"/>
  <c r="AS34" i="9"/>
  <c r="AS35" i="9"/>
  <c r="AS45" i="9"/>
  <c r="AS27" i="9"/>
  <c r="AS26" i="9"/>
  <c r="AS21" i="9"/>
  <c r="AS16" i="9"/>
  <c r="AS31" i="9"/>
  <c r="AS15" i="9"/>
  <c r="AS14" i="9"/>
  <c r="AS28" i="9"/>
  <c r="AS30" i="9"/>
  <c r="AS17" i="9"/>
  <c r="AS12" i="9"/>
  <c r="AS10" i="9"/>
  <c r="AS24" i="9"/>
  <c r="AS4" i="9"/>
  <c r="AS2" i="9"/>
  <c r="AS25" i="9"/>
  <c r="AS19" i="9"/>
  <c r="AS20" i="9"/>
  <c r="AS22" i="9"/>
  <c r="AS9" i="9"/>
  <c r="AS23" i="9"/>
  <c r="AS6" i="9"/>
  <c r="AS13" i="9"/>
  <c r="AS18" i="9"/>
  <c r="AS11" i="9"/>
  <c r="AS5" i="9"/>
  <c r="AS3" i="9"/>
  <c r="AS8" i="9"/>
  <c r="AS7" i="9"/>
  <c r="FW55" i="9"/>
  <c r="FW49" i="9"/>
  <c r="FW48" i="9"/>
  <c r="FW45" i="9"/>
  <c r="FW44" i="9"/>
  <c r="FW42" i="9"/>
  <c r="FW40" i="9"/>
  <c r="FW46" i="9"/>
  <c r="FW53" i="9"/>
  <c r="FW54" i="9"/>
  <c r="FW43" i="9"/>
  <c r="FW38" i="9"/>
  <c r="FW39" i="9"/>
  <c r="FW37" i="9"/>
  <c r="FW35" i="9"/>
  <c r="FW33" i="9"/>
  <c r="FW30" i="9"/>
  <c r="FW34" i="9"/>
  <c r="FW36" i="9"/>
  <c r="FW27" i="9"/>
  <c r="FW25" i="9"/>
  <c r="FW47" i="9"/>
  <c r="FW32" i="9"/>
  <c r="FW28" i="9"/>
  <c r="FW24" i="9"/>
  <c r="FW22" i="9"/>
  <c r="FW20" i="9"/>
  <c r="FW18" i="9"/>
  <c r="FW16" i="9"/>
  <c r="FW14" i="9"/>
  <c r="FW12" i="9"/>
  <c r="FW29" i="9"/>
  <c r="FW19" i="9"/>
  <c r="FW10" i="9"/>
  <c r="FW8" i="9"/>
  <c r="FW13" i="9"/>
  <c r="FW41" i="9"/>
  <c r="FW15" i="9"/>
  <c r="FW31" i="9"/>
  <c r="FW4" i="9"/>
  <c r="FW21" i="9"/>
  <c r="FW23" i="9"/>
  <c r="FW26" i="9"/>
  <c r="FW3" i="9"/>
  <c r="FW9" i="9"/>
  <c r="FW7" i="9"/>
  <c r="FW6" i="9"/>
  <c r="FW2" i="9"/>
  <c r="FW11" i="9"/>
  <c r="FW17" i="9"/>
  <c r="FW5" i="9"/>
  <c r="S149" i="7"/>
  <c r="S151" i="7"/>
  <c r="S150" i="7"/>
  <c r="GB151" i="7"/>
  <c r="GB149" i="7"/>
  <c r="GB150" i="7"/>
  <c r="JX55" i="8"/>
  <c r="JX53" i="8"/>
  <c r="JX49" i="8"/>
  <c r="JX47" i="8"/>
  <c r="JX48" i="8"/>
  <c r="JX43" i="8"/>
  <c r="JX41" i="8"/>
  <c r="JX39" i="8"/>
  <c r="JX37" i="8"/>
  <c r="JX45" i="8"/>
  <c r="JX44" i="8"/>
  <c r="JX54" i="8"/>
  <c r="JX38" i="8"/>
  <c r="JX40" i="8"/>
  <c r="JX33" i="8"/>
  <c r="JX31" i="8"/>
  <c r="JX26" i="8"/>
  <c r="JX36" i="8"/>
  <c r="JX35" i="8"/>
  <c r="JX32" i="8"/>
  <c r="JX21" i="8"/>
  <c r="JX19" i="8"/>
  <c r="JX17" i="8"/>
  <c r="JX15" i="8"/>
  <c r="JX13" i="8"/>
  <c r="JX11" i="8"/>
  <c r="JX9" i="8"/>
  <c r="JX7" i="8"/>
  <c r="JX5" i="8"/>
  <c r="JX3" i="8"/>
  <c r="JX46" i="8"/>
  <c r="JX42" i="8"/>
  <c r="JX34" i="8"/>
  <c r="JX28" i="8"/>
  <c r="JX25" i="8"/>
  <c r="JX27" i="8"/>
  <c r="JX23" i="8"/>
  <c r="JX8" i="8"/>
  <c r="JX18" i="8"/>
  <c r="JX24" i="8"/>
  <c r="JX20" i="8"/>
  <c r="JX4" i="8"/>
  <c r="JX16" i="8"/>
  <c r="JX30" i="8"/>
  <c r="JX29" i="8"/>
  <c r="JX10" i="8"/>
  <c r="JX22" i="8"/>
  <c r="JX12" i="8"/>
  <c r="JX14" i="8"/>
  <c r="JX6" i="8"/>
  <c r="JX2" i="8"/>
  <c r="JP55" i="8"/>
  <c r="JP53" i="8"/>
  <c r="JP49" i="8"/>
  <c r="JP47" i="8"/>
  <c r="JP54" i="8"/>
  <c r="JP43" i="8"/>
  <c r="JP41" i="8"/>
  <c r="JP39" i="8"/>
  <c r="JP37" i="8"/>
  <c r="JP48" i="8"/>
  <c r="JP42" i="8"/>
  <c r="JP46" i="8"/>
  <c r="JP38" i="8"/>
  <c r="JP33" i="8"/>
  <c r="JP31" i="8"/>
  <c r="JP29" i="8"/>
  <c r="JP24" i="8"/>
  <c r="JP30" i="8"/>
  <c r="JP21" i="8"/>
  <c r="JP19" i="8"/>
  <c r="JP17" i="8"/>
  <c r="JP15" i="8"/>
  <c r="JP13" i="8"/>
  <c r="JP11" i="8"/>
  <c r="JP9" i="8"/>
  <c r="JP7" i="8"/>
  <c r="JP5" i="8"/>
  <c r="JP3" i="8"/>
  <c r="JP44" i="8"/>
  <c r="JP45" i="8"/>
  <c r="JP32" i="8"/>
  <c r="JP26" i="8"/>
  <c r="JP35" i="8"/>
  <c r="JP6" i="8"/>
  <c r="JP16" i="8"/>
  <c r="JP34" i="8"/>
  <c r="JP36" i="8"/>
  <c r="JP40" i="8"/>
  <c r="JP28" i="8"/>
  <c r="JP25" i="8"/>
  <c r="JP18" i="8"/>
  <c r="JP27" i="8"/>
  <c r="JP2" i="8"/>
  <c r="JP14" i="8"/>
  <c r="JP8" i="8"/>
  <c r="JP10" i="8"/>
  <c r="JP23" i="8"/>
  <c r="JP22" i="8"/>
  <c r="JP4" i="8"/>
  <c r="JP20" i="8"/>
  <c r="JP12" i="8"/>
  <c r="HT54" i="9"/>
  <c r="HT55" i="9"/>
  <c r="HT53" i="9"/>
  <c r="HT49" i="9"/>
  <c r="HT47" i="9"/>
  <c r="HT45" i="9"/>
  <c r="HT48" i="9"/>
  <c r="HT46" i="9"/>
  <c r="HT44" i="9"/>
  <c r="HT43" i="9"/>
  <c r="HT42" i="9"/>
  <c r="HT37" i="9"/>
  <c r="HT35" i="9"/>
  <c r="HT33" i="9"/>
  <c r="HT40" i="9"/>
  <c r="HT38" i="9"/>
  <c r="HT41" i="9"/>
  <c r="HT29" i="9"/>
  <c r="HT27" i="9"/>
  <c r="HT25" i="9"/>
  <c r="HT24" i="9"/>
  <c r="HT22" i="9"/>
  <c r="HT20" i="9"/>
  <c r="HT18" i="9"/>
  <c r="HT16" i="9"/>
  <c r="HT14" i="9"/>
  <c r="HT12" i="9"/>
  <c r="HT36" i="9"/>
  <c r="HT34" i="9"/>
  <c r="HT39" i="9"/>
  <c r="HT26" i="9"/>
  <c r="HT19" i="9"/>
  <c r="HT32" i="9"/>
  <c r="HT31" i="9"/>
  <c r="HT28" i="9"/>
  <c r="HT21" i="9"/>
  <c r="HT30" i="9"/>
  <c r="HT17" i="9"/>
  <c r="HT2" i="9"/>
  <c r="HT9" i="9"/>
  <c r="HT5" i="9"/>
  <c r="HT7" i="9"/>
  <c r="HT3" i="9"/>
  <c r="HT15" i="9"/>
  <c r="HT23" i="9"/>
  <c r="HT11" i="9"/>
  <c r="HT10" i="9"/>
  <c r="HT13" i="9"/>
  <c r="HT8" i="9"/>
  <c r="HT6" i="9"/>
  <c r="HT4" i="9"/>
  <c r="HD54" i="9"/>
  <c r="HD53" i="9"/>
  <c r="HD55" i="9"/>
  <c r="HD47" i="9"/>
  <c r="HD45" i="9"/>
  <c r="HD49" i="9"/>
  <c r="HD46" i="9"/>
  <c r="HD48" i="9"/>
  <c r="HD44" i="9"/>
  <c r="HD41" i="9"/>
  <c r="HD40" i="9"/>
  <c r="HD39" i="9"/>
  <c r="HD43" i="9"/>
  <c r="HD37" i="9"/>
  <c r="HD35" i="9"/>
  <c r="HD33" i="9"/>
  <c r="HD42" i="9"/>
  <c r="HD36" i="9"/>
  <c r="HD30" i="9"/>
  <c r="HD28" i="9"/>
  <c r="HD27" i="9"/>
  <c r="HD25" i="9"/>
  <c r="HD32" i="9"/>
  <c r="HD38" i="9"/>
  <c r="HD31" i="9"/>
  <c r="HD34" i="9"/>
  <c r="HD24" i="9"/>
  <c r="HD22" i="9"/>
  <c r="HD20" i="9"/>
  <c r="HD18" i="9"/>
  <c r="HD16" i="9"/>
  <c r="HD14" i="9"/>
  <c r="HD12" i="9"/>
  <c r="HD21" i="9"/>
  <c r="HD13" i="9"/>
  <c r="HD15" i="9"/>
  <c r="HD29" i="9"/>
  <c r="HD17" i="9"/>
  <c r="HD9" i="9"/>
  <c r="HD19" i="9"/>
  <c r="HD2" i="9"/>
  <c r="HD26" i="9"/>
  <c r="HD23" i="9"/>
  <c r="HD7" i="9"/>
  <c r="HD5" i="9"/>
  <c r="HD10" i="9"/>
  <c r="HD4" i="9"/>
  <c r="HD3" i="9"/>
  <c r="HD11" i="9"/>
  <c r="HD6" i="9"/>
  <c r="HD8" i="9"/>
  <c r="FX151" i="7"/>
  <c r="FX150" i="7"/>
  <c r="FX149" i="7"/>
  <c r="FP55" i="8"/>
  <c r="FP53" i="8"/>
  <c r="FP49" i="8"/>
  <c r="FP47" i="8"/>
  <c r="FP45" i="8"/>
  <c r="FP43" i="8"/>
  <c r="FP41" i="8"/>
  <c r="FP39" i="8"/>
  <c r="FP37" i="8"/>
  <c r="FP46" i="8"/>
  <c r="FP48" i="8"/>
  <c r="FP42" i="8"/>
  <c r="FP36" i="8"/>
  <c r="FP54" i="8"/>
  <c r="FP44" i="8"/>
  <c r="FP35" i="8"/>
  <c r="FP33" i="8"/>
  <c r="FP31" i="8"/>
  <c r="FP40" i="8"/>
  <c r="FP30" i="8"/>
  <c r="FP27" i="8"/>
  <c r="FP21" i="8"/>
  <c r="FP19" i="8"/>
  <c r="FP17" i="8"/>
  <c r="FP15" i="8"/>
  <c r="FP13" i="8"/>
  <c r="FP11" i="8"/>
  <c r="FP9" i="8"/>
  <c r="FP7" i="8"/>
  <c r="FP5" i="8"/>
  <c r="FP3" i="8"/>
  <c r="FP29" i="8"/>
  <c r="FP24" i="8"/>
  <c r="FP12" i="8"/>
  <c r="FP26" i="8"/>
  <c r="FP22" i="8"/>
  <c r="FP6" i="8"/>
  <c r="FP2" i="8"/>
  <c r="FP32" i="8"/>
  <c r="FP38" i="8"/>
  <c r="FP34" i="8"/>
  <c r="FP28" i="8"/>
  <c r="FP25" i="8"/>
  <c r="FP23" i="8"/>
  <c r="FP8" i="8"/>
  <c r="FP20" i="8"/>
  <c r="FP14" i="8"/>
  <c r="FP16" i="8"/>
  <c r="FP10" i="8"/>
  <c r="FP18" i="8"/>
  <c r="FP4" i="8"/>
  <c r="DL55" i="8"/>
  <c r="DL53" i="8"/>
  <c r="DL49" i="8"/>
  <c r="DL47" i="8"/>
  <c r="DL45" i="8"/>
  <c r="DL43" i="8"/>
  <c r="DL41" i="8"/>
  <c r="DL39" i="8"/>
  <c r="DL37" i="8"/>
  <c r="DL48" i="8"/>
  <c r="DL46" i="8"/>
  <c r="DL44" i="8"/>
  <c r="DL38" i="8"/>
  <c r="DL54" i="8"/>
  <c r="DL35" i="8"/>
  <c r="DL33" i="8"/>
  <c r="DL31" i="8"/>
  <c r="DL42" i="8"/>
  <c r="DL29" i="8"/>
  <c r="DL21" i="8"/>
  <c r="DL19" i="8"/>
  <c r="DL17" i="8"/>
  <c r="DL15" i="8"/>
  <c r="DL13" i="8"/>
  <c r="DL11" i="8"/>
  <c r="DL9" i="8"/>
  <c r="DL7" i="8"/>
  <c r="DL5" i="8"/>
  <c r="DL3" i="8"/>
  <c r="DL40" i="8"/>
  <c r="DL26" i="8"/>
  <c r="DL23" i="8"/>
  <c r="DL32" i="8"/>
  <c r="DL14" i="8"/>
  <c r="DL28" i="8"/>
  <c r="DL25" i="8"/>
  <c r="DL24" i="8"/>
  <c r="DL8" i="8"/>
  <c r="DL34" i="8"/>
  <c r="DL36" i="8"/>
  <c r="DL30" i="8"/>
  <c r="DL27" i="8"/>
  <c r="DL10" i="8"/>
  <c r="DL22" i="8"/>
  <c r="DL16" i="8"/>
  <c r="DL18" i="8"/>
  <c r="DL12" i="8"/>
  <c r="DL20" i="8"/>
  <c r="DL4" i="8"/>
  <c r="DL2" i="8"/>
  <c r="DL6" i="8"/>
  <c r="AZ49" i="8"/>
  <c r="AZ45" i="8"/>
  <c r="AZ43" i="8"/>
  <c r="AZ41" i="8"/>
  <c r="AZ39" i="8"/>
  <c r="AZ37" i="8"/>
  <c r="AZ48" i="8"/>
  <c r="AZ47" i="8"/>
  <c r="AZ44" i="8"/>
  <c r="AZ38" i="8"/>
  <c r="AZ35" i="8"/>
  <c r="AZ33" i="8"/>
  <c r="AZ31" i="8"/>
  <c r="AZ29" i="8"/>
  <c r="AZ46" i="8"/>
  <c r="AZ42" i="8"/>
  <c r="AZ21" i="8"/>
  <c r="AZ19" i="8"/>
  <c r="AZ17" i="8"/>
  <c r="AZ15" i="8"/>
  <c r="AZ13" i="8"/>
  <c r="AZ11" i="8"/>
  <c r="AZ9" i="8"/>
  <c r="AZ7" i="8"/>
  <c r="AZ5" i="8"/>
  <c r="AZ3" i="8"/>
  <c r="AZ26" i="8"/>
  <c r="AZ23" i="8"/>
  <c r="AZ14" i="8"/>
  <c r="AZ40" i="8"/>
  <c r="AZ32" i="8"/>
  <c r="AZ8" i="8"/>
  <c r="AZ4" i="8"/>
  <c r="AZ36" i="8"/>
  <c r="AZ34" i="8"/>
  <c r="AZ30" i="8"/>
  <c r="AZ10" i="8"/>
  <c r="AZ6" i="8"/>
  <c r="AZ25" i="8"/>
  <c r="AZ24" i="8"/>
  <c r="AZ22" i="8"/>
  <c r="AZ2" i="8"/>
  <c r="AZ27" i="8"/>
  <c r="AZ16" i="8"/>
  <c r="AZ18" i="8"/>
  <c r="AZ12" i="8"/>
  <c r="AZ20" i="8"/>
  <c r="AZ28" i="8"/>
  <c r="CE49" i="8"/>
  <c r="CE44" i="8"/>
  <c r="CE42" i="8"/>
  <c r="CE40" i="8"/>
  <c r="CE41" i="8"/>
  <c r="CE43" i="8"/>
  <c r="CE37" i="8"/>
  <c r="CE39" i="8"/>
  <c r="CE31" i="8"/>
  <c r="CE29" i="8"/>
  <c r="CE48" i="8"/>
  <c r="CE47" i="8"/>
  <c r="CE46" i="8"/>
  <c r="CE33" i="8"/>
  <c r="CE22" i="8"/>
  <c r="CE20" i="8"/>
  <c r="CE18" i="8"/>
  <c r="CE16" i="8"/>
  <c r="CE14" i="8"/>
  <c r="CE12" i="8"/>
  <c r="CE10" i="8"/>
  <c r="CE8" i="8"/>
  <c r="CE6" i="8"/>
  <c r="CE4" i="8"/>
  <c r="CE34" i="8"/>
  <c r="CE11" i="8"/>
  <c r="CE36" i="8"/>
  <c r="CE35" i="8"/>
  <c r="CE28" i="8"/>
  <c r="CE25" i="8"/>
  <c r="CE21" i="8"/>
  <c r="CE5" i="8"/>
  <c r="CE45" i="8"/>
  <c r="CE32" i="8"/>
  <c r="CE30" i="8"/>
  <c r="CE27" i="8"/>
  <c r="CE23" i="8"/>
  <c r="CE7" i="8"/>
  <c r="CE3" i="8"/>
  <c r="CE19" i="8"/>
  <c r="CE38" i="8"/>
  <c r="CE13" i="8"/>
  <c r="CE26" i="8"/>
  <c r="CE15" i="8"/>
  <c r="CE24" i="8"/>
  <c r="CE9" i="8"/>
  <c r="CE17" i="8"/>
  <c r="CE2" i="8"/>
  <c r="JV53" i="8"/>
  <c r="JV47" i="8"/>
  <c r="JV46" i="8"/>
  <c r="JV45" i="8"/>
  <c r="JV49" i="8"/>
  <c r="JV39" i="8"/>
  <c r="JV33" i="8"/>
  <c r="JV31" i="8"/>
  <c r="JV29" i="8"/>
  <c r="JV27" i="8"/>
  <c r="JV25" i="8"/>
  <c r="JV23" i="8"/>
  <c r="JV44" i="8"/>
  <c r="JV37" i="8"/>
  <c r="JV55" i="8"/>
  <c r="JV54" i="8"/>
  <c r="JV35" i="8"/>
  <c r="JV48" i="8"/>
  <c r="JV34" i="8"/>
  <c r="JV28" i="8"/>
  <c r="JV40" i="8"/>
  <c r="JV41" i="8"/>
  <c r="JV30" i="8"/>
  <c r="JV32" i="8"/>
  <c r="JV24" i="8"/>
  <c r="JV19" i="8"/>
  <c r="JV14" i="8"/>
  <c r="JV13" i="8"/>
  <c r="JV8" i="8"/>
  <c r="JV3" i="8"/>
  <c r="JV42" i="8"/>
  <c r="JV36" i="8"/>
  <c r="JV43" i="8"/>
  <c r="JV38" i="8"/>
  <c r="JV15" i="8"/>
  <c r="JV10" i="8"/>
  <c r="JV17" i="8"/>
  <c r="JV16" i="8"/>
  <c r="JV9" i="8"/>
  <c r="JV26" i="8"/>
  <c r="JV18" i="8"/>
  <c r="JV11" i="8"/>
  <c r="JV12" i="8"/>
  <c r="JV22" i="8"/>
  <c r="JV20" i="8"/>
  <c r="JV21" i="8"/>
  <c r="JV7" i="8"/>
  <c r="JV6" i="8"/>
  <c r="JV2" i="8"/>
  <c r="JV4" i="8"/>
  <c r="JV5" i="8"/>
  <c r="IH149" i="7"/>
  <c r="IH151" i="7"/>
  <c r="IH150" i="7"/>
  <c r="JQ53" i="9"/>
  <c r="JQ54" i="9"/>
  <c r="JQ55" i="9"/>
  <c r="JQ49" i="9"/>
  <c r="JQ48" i="9"/>
  <c r="JQ46" i="9"/>
  <c r="JQ47" i="9"/>
  <c r="JQ43" i="9"/>
  <c r="JQ44" i="9"/>
  <c r="JQ45" i="9"/>
  <c r="JQ38" i="9"/>
  <c r="JQ36" i="9"/>
  <c r="JQ40" i="9"/>
  <c r="JQ39" i="9"/>
  <c r="JQ32" i="9"/>
  <c r="JQ34" i="9"/>
  <c r="JQ33" i="9"/>
  <c r="JQ30" i="9"/>
  <c r="JQ25" i="9"/>
  <c r="JQ37" i="9"/>
  <c r="JQ35" i="9"/>
  <c r="JQ42" i="9"/>
  <c r="JQ41" i="9"/>
  <c r="JQ26" i="9"/>
  <c r="JQ31" i="9"/>
  <c r="JQ15" i="9"/>
  <c r="JQ20" i="9"/>
  <c r="JQ29" i="9"/>
  <c r="JQ28" i="9"/>
  <c r="JQ22" i="9"/>
  <c r="JQ10" i="9"/>
  <c r="JQ13" i="9"/>
  <c r="JQ2" i="9"/>
  <c r="JQ27" i="9"/>
  <c r="JQ6" i="9"/>
  <c r="JQ5" i="9"/>
  <c r="JQ21" i="9"/>
  <c r="JQ17" i="9"/>
  <c r="JQ12" i="9"/>
  <c r="JQ8" i="9"/>
  <c r="JQ4" i="9"/>
  <c r="JQ16" i="9"/>
  <c r="JQ9" i="9"/>
  <c r="JQ7" i="9"/>
  <c r="JQ14" i="9"/>
  <c r="JQ11" i="9"/>
  <c r="JQ24" i="9"/>
  <c r="JQ19" i="9"/>
  <c r="JQ23" i="9"/>
  <c r="JQ18" i="9"/>
  <c r="JQ3" i="9"/>
  <c r="JA54" i="9"/>
  <c r="JA49" i="9"/>
  <c r="JA55" i="9"/>
  <c r="JA48" i="9"/>
  <c r="JA46" i="9"/>
  <c r="JA45" i="9"/>
  <c r="JA44" i="9"/>
  <c r="JA43" i="9"/>
  <c r="JA42" i="9"/>
  <c r="JA53" i="9"/>
  <c r="JA40" i="9"/>
  <c r="JA39" i="9"/>
  <c r="JA41" i="9"/>
  <c r="JA32" i="9"/>
  <c r="JA47" i="9"/>
  <c r="JA37" i="9"/>
  <c r="JA38" i="9"/>
  <c r="JA34" i="9"/>
  <c r="JA36" i="9"/>
  <c r="JA35" i="9"/>
  <c r="JA26" i="9"/>
  <c r="JA33" i="9"/>
  <c r="JA29" i="9"/>
  <c r="JA22" i="9"/>
  <c r="JA21" i="9"/>
  <c r="JA16" i="9"/>
  <c r="JA12" i="9"/>
  <c r="JA28" i="9"/>
  <c r="JA31" i="9"/>
  <c r="JA30" i="9"/>
  <c r="JA27" i="9"/>
  <c r="JA23" i="9"/>
  <c r="JA18" i="9"/>
  <c r="JA10" i="9"/>
  <c r="JA4" i="9"/>
  <c r="JA2" i="9"/>
  <c r="JA15" i="9"/>
  <c r="JA9" i="9"/>
  <c r="JA25" i="9"/>
  <c r="JA19" i="9"/>
  <c r="JA11" i="9"/>
  <c r="JA7" i="9"/>
  <c r="JA14" i="9"/>
  <c r="JA13" i="9"/>
  <c r="JA20" i="9"/>
  <c r="JA24" i="9"/>
  <c r="JA5" i="9"/>
  <c r="JA8" i="9"/>
  <c r="JA17" i="9"/>
  <c r="JA6" i="9"/>
  <c r="JA3" i="9"/>
  <c r="IK55" i="8"/>
  <c r="IK53" i="8"/>
  <c r="IK49" i="8"/>
  <c r="IK47" i="8"/>
  <c r="IK45" i="8"/>
  <c r="IK43" i="8"/>
  <c r="IK41" i="8"/>
  <c r="IK39" i="8"/>
  <c r="IK37" i="8"/>
  <c r="IK35" i="8"/>
  <c r="IK46" i="8"/>
  <c r="IK54" i="8"/>
  <c r="IK44" i="8"/>
  <c r="IK38" i="8"/>
  <c r="IK34" i="8"/>
  <c r="IK32" i="8"/>
  <c r="IK30" i="8"/>
  <c r="IK28" i="8"/>
  <c r="IK26" i="8"/>
  <c r="IK24" i="8"/>
  <c r="IK40" i="8"/>
  <c r="IK21" i="8"/>
  <c r="IK19" i="8"/>
  <c r="IK17" i="8"/>
  <c r="IK15" i="8"/>
  <c r="IK13" i="8"/>
  <c r="IK11" i="8"/>
  <c r="IK9" i="8"/>
  <c r="IK7" i="8"/>
  <c r="IK5" i="8"/>
  <c r="IK3" i="8"/>
  <c r="IK33" i="8"/>
  <c r="IK27" i="8"/>
  <c r="IK48" i="8"/>
  <c r="IK42" i="8"/>
  <c r="IK29" i="8"/>
  <c r="IK8" i="8"/>
  <c r="IK22" i="8"/>
  <c r="IK18" i="8"/>
  <c r="IK36" i="8"/>
  <c r="IK31" i="8"/>
  <c r="IK23" i="8"/>
  <c r="IK20" i="8"/>
  <c r="IK4" i="8"/>
  <c r="IK25" i="8"/>
  <c r="IK10" i="8"/>
  <c r="IK12" i="8"/>
  <c r="IK6" i="8"/>
  <c r="IK14" i="8"/>
  <c r="IK2" i="8"/>
  <c r="IK16" i="8"/>
  <c r="GW54" i="9"/>
  <c r="GW49" i="9"/>
  <c r="GW53" i="9"/>
  <c r="GW48" i="9"/>
  <c r="GW46" i="9"/>
  <c r="GW55" i="9"/>
  <c r="GW43" i="9"/>
  <c r="GW47" i="9"/>
  <c r="GW44" i="9"/>
  <c r="GW45" i="9"/>
  <c r="GW42" i="9"/>
  <c r="GW39" i="9"/>
  <c r="GW40" i="9"/>
  <c r="GW34" i="9"/>
  <c r="GW38" i="9"/>
  <c r="GW36" i="9"/>
  <c r="GW37" i="9"/>
  <c r="GW29" i="9"/>
  <c r="GW28" i="9"/>
  <c r="GW41" i="9"/>
  <c r="GW32" i="9"/>
  <c r="GW35" i="9"/>
  <c r="GW24" i="9"/>
  <c r="GW31" i="9"/>
  <c r="GW26" i="9"/>
  <c r="GW25" i="9"/>
  <c r="GW23" i="9"/>
  <c r="GW18" i="9"/>
  <c r="GW14" i="9"/>
  <c r="GW27" i="9"/>
  <c r="GW33" i="9"/>
  <c r="GW30" i="9"/>
  <c r="GW20" i="9"/>
  <c r="GW10" i="9"/>
  <c r="GW15" i="9"/>
  <c r="GW7" i="9"/>
  <c r="GW6" i="9"/>
  <c r="GW5" i="9"/>
  <c r="GW2" i="9"/>
  <c r="GW17" i="9"/>
  <c r="GW16" i="9"/>
  <c r="GW11" i="9"/>
  <c r="GW4" i="9"/>
  <c r="GW21" i="9"/>
  <c r="GW22" i="9"/>
  <c r="GW13" i="9"/>
  <c r="GW19" i="9"/>
  <c r="GW12" i="9"/>
  <c r="GW8" i="9"/>
  <c r="GW9" i="9"/>
  <c r="GW3" i="9"/>
  <c r="FY55" i="8"/>
  <c r="FY53" i="8"/>
  <c r="FY49" i="8"/>
  <c r="FY47" i="8"/>
  <c r="FY45" i="8"/>
  <c r="FY43" i="8"/>
  <c r="FY41" i="8"/>
  <c r="FY39" i="8"/>
  <c r="FY37" i="8"/>
  <c r="FY46" i="8"/>
  <c r="FY44" i="8"/>
  <c r="FY38" i="8"/>
  <c r="FY54" i="8"/>
  <c r="FY34" i="8"/>
  <c r="FY32" i="8"/>
  <c r="FY30" i="8"/>
  <c r="FY28" i="8"/>
  <c r="FY26" i="8"/>
  <c r="FY24" i="8"/>
  <c r="FY40" i="8"/>
  <c r="FY36" i="8"/>
  <c r="FY21" i="8"/>
  <c r="FY19" i="8"/>
  <c r="FY17" i="8"/>
  <c r="FY15" i="8"/>
  <c r="FY13" i="8"/>
  <c r="FY11" i="8"/>
  <c r="FY9" i="8"/>
  <c r="FY7" i="8"/>
  <c r="FY5" i="8"/>
  <c r="FY3" i="8"/>
  <c r="FY33" i="8"/>
  <c r="FY27" i="8"/>
  <c r="FY48" i="8"/>
  <c r="FY42" i="8"/>
  <c r="FY35" i="8"/>
  <c r="FY8" i="8"/>
  <c r="FY23" i="8"/>
  <c r="FY18" i="8"/>
  <c r="FY29" i="8"/>
  <c r="FY20" i="8"/>
  <c r="FY4" i="8"/>
  <c r="FY16" i="8"/>
  <c r="FY25" i="8"/>
  <c r="FY10" i="8"/>
  <c r="FY12" i="8"/>
  <c r="FY14" i="8"/>
  <c r="FY22" i="8"/>
  <c r="FY6" i="8"/>
  <c r="FY2" i="8"/>
  <c r="FY31" i="8"/>
  <c r="FQ150" i="7"/>
  <c r="FQ149" i="7"/>
  <c r="FQ151" i="7"/>
  <c r="FI54" i="9"/>
  <c r="FI49" i="9"/>
  <c r="FI53" i="9"/>
  <c r="FI48" i="9"/>
  <c r="FI46" i="9"/>
  <c r="FI55" i="9"/>
  <c r="FI45" i="9"/>
  <c r="FI47" i="9"/>
  <c r="FI43" i="9"/>
  <c r="FI42" i="9"/>
  <c r="FI41" i="9"/>
  <c r="FI40" i="9"/>
  <c r="FI44" i="9"/>
  <c r="FI35" i="9"/>
  <c r="FI34" i="9"/>
  <c r="FI36" i="9"/>
  <c r="FI32" i="9"/>
  <c r="FI37" i="9"/>
  <c r="FI33" i="9"/>
  <c r="FI29" i="9"/>
  <c r="FI28" i="9"/>
  <c r="FI38" i="9"/>
  <c r="FI39" i="9"/>
  <c r="FI25" i="9"/>
  <c r="FI19" i="9"/>
  <c r="FI30" i="9"/>
  <c r="FI26" i="9"/>
  <c r="FI24" i="9"/>
  <c r="FI12" i="9"/>
  <c r="FI27" i="9"/>
  <c r="FI31" i="9"/>
  <c r="FI15" i="9"/>
  <c r="FI10" i="9"/>
  <c r="FI14" i="9"/>
  <c r="FI2" i="9"/>
  <c r="FI17" i="9"/>
  <c r="FI16" i="9"/>
  <c r="FI21" i="9"/>
  <c r="FI7" i="9"/>
  <c r="FI22" i="9"/>
  <c r="FI18" i="9"/>
  <c r="FI3" i="9"/>
  <c r="FI8" i="9"/>
  <c r="FI20" i="9"/>
  <c r="FI23" i="9"/>
  <c r="FI11" i="9"/>
  <c r="FI4" i="9"/>
  <c r="FI9" i="9"/>
  <c r="FI13" i="9"/>
  <c r="FI6" i="9"/>
  <c r="FI5" i="9"/>
  <c r="EK49" i="9"/>
  <c r="EK55" i="9"/>
  <c r="EK48" i="9"/>
  <c r="EK54" i="9"/>
  <c r="EK53" i="9"/>
  <c r="EK47" i="9"/>
  <c r="EK46" i="9"/>
  <c r="EK45" i="9"/>
  <c r="EK43" i="9"/>
  <c r="EK44" i="9"/>
  <c r="EK41" i="9"/>
  <c r="EK40" i="9"/>
  <c r="EK39" i="9"/>
  <c r="EK42" i="9"/>
  <c r="EK34" i="9"/>
  <c r="EK35" i="9"/>
  <c r="EK36" i="9"/>
  <c r="EK32" i="9"/>
  <c r="EK29" i="9"/>
  <c r="EK31" i="9"/>
  <c r="EK30" i="9"/>
  <c r="EK28" i="9"/>
  <c r="EK38" i="9"/>
  <c r="EK37" i="9"/>
  <c r="EK24" i="9"/>
  <c r="EK23" i="9"/>
  <c r="EK18" i="9"/>
  <c r="EK14" i="9"/>
  <c r="EK27" i="9"/>
  <c r="EK33" i="9"/>
  <c r="EK20" i="9"/>
  <c r="EK10" i="9"/>
  <c r="EK22" i="9"/>
  <c r="EK13" i="9"/>
  <c r="EK7" i="9"/>
  <c r="EK6" i="9"/>
  <c r="EK5" i="9"/>
  <c r="EK2" i="9"/>
  <c r="EK15" i="9"/>
  <c r="EK11" i="9"/>
  <c r="EK4" i="9"/>
  <c r="EK25" i="9"/>
  <c r="EK26" i="9"/>
  <c r="EK9" i="9"/>
  <c r="EK19" i="9"/>
  <c r="EK16" i="9"/>
  <c r="EK12" i="9"/>
  <c r="EK17" i="9"/>
  <c r="EK21" i="9"/>
  <c r="EK8" i="9"/>
  <c r="EK3" i="9"/>
  <c r="EC55" i="8"/>
  <c r="EC53" i="8"/>
  <c r="EC49" i="8"/>
  <c r="EC47" i="8"/>
  <c r="EC46" i="8"/>
  <c r="EC45" i="8"/>
  <c r="EC43" i="8"/>
  <c r="EC41" i="8"/>
  <c r="EC39" i="8"/>
  <c r="EC37" i="8"/>
  <c r="EC48" i="8"/>
  <c r="EC36" i="8"/>
  <c r="EC42" i="8"/>
  <c r="EC34" i="8"/>
  <c r="EC32" i="8"/>
  <c r="EC30" i="8"/>
  <c r="EC28" i="8"/>
  <c r="EC26" i="8"/>
  <c r="EC54" i="8"/>
  <c r="EC44" i="8"/>
  <c r="EC21" i="8"/>
  <c r="EC19" i="8"/>
  <c r="EC17" i="8"/>
  <c r="EC15" i="8"/>
  <c r="EC13" i="8"/>
  <c r="EC11" i="8"/>
  <c r="EC9" i="8"/>
  <c r="EC7" i="8"/>
  <c r="EC5" i="8"/>
  <c r="EC3" i="8"/>
  <c r="EC24" i="8"/>
  <c r="EC12" i="8"/>
  <c r="EC38" i="8"/>
  <c r="EC31" i="8"/>
  <c r="EC25" i="8"/>
  <c r="EC22" i="8"/>
  <c r="EC6" i="8"/>
  <c r="EC33" i="8"/>
  <c r="EC29" i="8"/>
  <c r="EC40" i="8"/>
  <c r="EC35" i="8"/>
  <c r="EC8" i="8"/>
  <c r="EC2" i="8"/>
  <c r="EC14" i="8"/>
  <c r="EC16" i="8"/>
  <c r="EC27" i="8"/>
  <c r="EC10" i="8"/>
  <c r="EC18" i="8"/>
  <c r="EC23" i="8"/>
  <c r="EC4" i="8"/>
  <c r="EC20" i="8"/>
  <c r="AS150" i="7"/>
  <c r="AS54" i="9" s="1"/>
  <c r="AS149" i="7"/>
  <c r="AS53" i="9" s="1"/>
  <c r="AS151" i="7"/>
  <c r="AS55" i="9" s="1"/>
  <c r="II54" i="9"/>
  <c r="II55" i="9"/>
  <c r="II49" i="9"/>
  <c r="II48" i="9"/>
  <c r="II45" i="9"/>
  <c r="II53" i="9"/>
  <c r="II47" i="9"/>
  <c r="II44" i="9"/>
  <c r="II42" i="9"/>
  <c r="II40" i="9"/>
  <c r="II46" i="9"/>
  <c r="II38" i="9"/>
  <c r="II39" i="9"/>
  <c r="II43" i="9"/>
  <c r="II37" i="9"/>
  <c r="II35" i="9"/>
  <c r="II33" i="9"/>
  <c r="II30" i="9"/>
  <c r="II28" i="9"/>
  <c r="II34" i="9"/>
  <c r="II36" i="9"/>
  <c r="II27" i="9"/>
  <c r="II25" i="9"/>
  <c r="II41" i="9"/>
  <c r="II31" i="9"/>
  <c r="II24" i="9"/>
  <c r="II22" i="9"/>
  <c r="II20" i="9"/>
  <c r="II18" i="9"/>
  <c r="II16" i="9"/>
  <c r="II14" i="9"/>
  <c r="II12" i="9"/>
  <c r="II32" i="9"/>
  <c r="II19" i="9"/>
  <c r="II10" i="9"/>
  <c r="II8" i="9"/>
  <c r="II13" i="9"/>
  <c r="II29" i="9"/>
  <c r="II15" i="9"/>
  <c r="II21" i="9"/>
  <c r="II4" i="9"/>
  <c r="II23" i="9"/>
  <c r="II26" i="9"/>
  <c r="II3" i="9"/>
  <c r="II11" i="9"/>
  <c r="II5" i="9"/>
  <c r="II2" i="9"/>
  <c r="II17" i="9"/>
  <c r="II7" i="9"/>
  <c r="II9" i="9"/>
  <c r="II6" i="9"/>
  <c r="HS54" i="9"/>
  <c r="HS53" i="9"/>
  <c r="HS45" i="9"/>
  <c r="HS47" i="9"/>
  <c r="HS55" i="9"/>
  <c r="HS42" i="9"/>
  <c r="HS40" i="9"/>
  <c r="HS48" i="9"/>
  <c r="HS46" i="9"/>
  <c r="HS49" i="9"/>
  <c r="HS38" i="9"/>
  <c r="HS44" i="9"/>
  <c r="HS37" i="9"/>
  <c r="HS35" i="9"/>
  <c r="HS33" i="9"/>
  <c r="HS41" i="9"/>
  <c r="HS43" i="9"/>
  <c r="HS39" i="9"/>
  <c r="HS36" i="9"/>
  <c r="HS30" i="9"/>
  <c r="HS28" i="9"/>
  <c r="HS32" i="9"/>
  <c r="HS29" i="9"/>
  <c r="HS27" i="9"/>
  <c r="HS25" i="9"/>
  <c r="HS31" i="9"/>
  <c r="HS24" i="9"/>
  <c r="HS22" i="9"/>
  <c r="HS20" i="9"/>
  <c r="HS18" i="9"/>
  <c r="HS16" i="9"/>
  <c r="HS14" i="9"/>
  <c r="HS12" i="9"/>
  <c r="HS34" i="9"/>
  <c r="HS26" i="9"/>
  <c r="HS15" i="9"/>
  <c r="HS10" i="9"/>
  <c r="HS8" i="9"/>
  <c r="HS23" i="9"/>
  <c r="HS13" i="9"/>
  <c r="HS7" i="9"/>
  <c r="HS19" i="9"/>
  <c r="HS21" i="9"/>
  <c r="HS4" i="9"/>
  <c r="HS3" i="9"/>
  <c r="HS5" i="9"/>
  <c r="HS6" i="9"/>
  <c r="HS2" i="9"/>
  <c r="HS11" i="9"/>
  <c r="HS17" i="9"/>
  <c r="HS9" i="9"/>
  <c r="EA54" i="8"/>
  <c r="EA55" i="8"/>
  <c r="EA44" i="8"/>
  <c r="EA42" i="8"/>
  <c r="EA40" i="8"/>
  <c r="EA46" i="8"/>
  <c r="EA43" i="8"/>
  <c r="EA47" i="8"/>
  <c r="EA39" i="8"/>
  <c r="EA38" i="8"/>
  <c r="EA41" i="8"/>
  <c r="EA33" i="8"/>
  <c r="EA24" i="8"/>
  <c r="EA49" i="8"/>
  <c r="EA36" i="8"/>
  <c r="EA32" i="8"/>
  <c r="EA28" i="8"/>
  <c r="EA25" i="8"/>
  <c r="EA23" i="8"/>
  <c r="EA48" i="8"/>
  <c r="EA53" i="8"/>
  <c r="EA45" i="8"/>
  <c r="EA34" i="8"/>
  <c r="EA22" i="8"/>
  <c r="EA20" i="8"/>
  <c r="EA18" i="8"/>
  <c r="EA16" i="8"/>
  <c r="EA14" i="8"/>
  <c r="EA12" i="8"/>
  <c r="EA10" i="8"/>
  <c r="EA8" i="8"/>
  <c r="EA6" i="8"/>
  <c r="EA4" i="8"/>
  <c r="EA30" i="8"/>
  <c r="EA27" i="8"/>
  <c r="EA7" i="8"/>
  <c r="EA2" i="8"/>
  <c r="EA17" i="8"/>
  <c r="EA31" i="8"/>
  <c r="EA37" i="8"/>
  <c r="EA29" i="8"/>
  <c r="EA19" i="8"/>
  <c r="EA21" i="8"/>
  <c r="EA13" i="8"/>
  <c r="EA35" i="8"/>
  <c r="EA15" i="8"/>
  <c r="EA9" i="8"/>
  <c r="EA11" i="8"/>
  <c r="EA26" i="8"/>
  <c r="EA3" i="8"/>
  <c r="EA5" i="8"/>
  <c r="S49" i="8"/>
  <c r="S44" i="8"/>
  <c r="S42" i="8"/>
  <c r="S40" i="8"/>
  <c r="S48" i="8"/>
  <c r="S41" i="8"/>
  <c r="S46" i="8"/>
  <c r="S43" i="8"/>
  <c r="S37" i="8"/>
  <c r="S45" i="8"/>
  <c r="S31" i="8"/>
  <c r="S29" i="8"/>
  <c r="S47" i="8"/>
  <c r="S33" i="8"/>
  <c r="S22" i="8"/>
  <c r="S20" i="8"/>
  <c r="S18" i="8"/>
  <c r="S16" i="8"/>
  <c r="S14" i="8"/>
  <c r="S12" i="8"/>
  <c r="S10" i="8"/>
  <c r="S8" i="8"/>
  <c r="S6" i="8"/>
  <c r="S11" i="8"/>
  <c r="S39" i="8"/>
  <c r="S38" i="8"/>
  <c r="S34" i="8"/>
  <c r="S26" i="8"/>
  <c r="S23" i="8"/>
  <c r="S21" i="8"/>
  <c r="S5" i="8"/>
  <c r="S35" i="8"/>
  <c r="S30" i="8"/>
  <c r="S7" i="8"/>
  <c r="S3" i="8"/>
  <c r="S17" i="8"/>
  <c r="S32" i="8"/>
  <c r="S28" i="8"/>
  <c r="S2" i="8"/>
  <c r="S36" i="8"/>
  <c r="S19" i="8"/>
  <c r="S25" i="8"/>
  <c r="S27" i="8"/>
  <c r="S24" i="8"/>
  <c r="S13" i="8"/>
  <c r="S15" i="8"/>
  <c r="S4" i="8"/>
  <c r="S9" i="8"/>
  <c r="JF54" i="9"/>
  <c r="JF55" i="9"/>
  <c r="JF47" i="9"/>
  <c r="JF48" i="9"/>
  <c r="JF46" i="9"/>
  <c r="JF45" i="9"/>
  <c r="JF41" i="9"/>
  <c r="JF53" i="9"/>
  <c r="JF49" i="9"/>
  <c r="JF42" i="9"/>
  <c r="JF40" i="9"/>
  <c r="JF39" i="9"/>
  <c r="JF38" i="9"/>
  <c r="JF44" i="9"/>
  <c r="JF36" i="9"/>
  <c r="JF34" i="9"/>
  <c r="JF32" i="9"/>
  <c r="JF35" i="9"/>
  <c r="JF30" i="9"/>
  <c r="JF28" i="9"/>
  <c r="JF37" i="9"/>
  <c r="JF26" i="9"/>
  <c r="JF43" i="9"/>
  <c r="JF33" i="9"/>
  <c r="JF31" i="9"/>
  <c r="JF25" i="9"/>
  <c r="JF23" i="9"/>
  <c r="JF21" i="9"/>
  <c r="JF19" i="9"/>
  <c r="JF17" i="9"/>
  <c r="JF15" i="9"/>
  <c r="JF13" i="9"/>
  <c r="JF24" i="9"/>
  <c r="JF10" i="9"/>
  <c r="JF8" i="9"/>
  <c r="JF6" i="9"/>
  <c r="JF4" i="9"/>
  <c r="JF27" i="9"/>
  <c r="JF29" i="9"/>
  <c r="JF16" i="9"/>
  <c r="JF11" i="9"/>
  <c r="JF22" i="9"/>
  <c r="JF3" i="9"/>
  <c r="JF20" i="9"/>
  <c r="JF14" i="9"/>
  <c r="JF9" i="9"/>
  <c r="JF12" i="9"/>
  <c r="JF18" i="9"/>
  <c r="JF7" i="9"/>
  <c r="JF2" i="9"/>
  <c r="JF5" i="9"/>
  <c r="CL54" i="9"/>
  <c r="CL55" i="9"/>
  <c r="CL53" i="9"/>
  <c r="CL47" i="9"/>
  <c r="CL48" i="9"/>
  <c r="CL49" i="9"/>
  <c r="CL46" i="9"/>
  <c r="CL44" i="9"/>
  <c r="CL38" i="9"/>
  <c r="CL39" i="9"/>
  <c r="CL45" i="9"/>
  <c r="CL42" i="9"/>
  <c r="CL41" i="9"/>
  <c r="CL36" i="9"/>
  <c r="CL34" i="9"/>
  <c r="CL32" i="9"/>
  <c r="CL33" i="9"/>
  <c r="CL30" i="9"/>
  <c r="CL35" i="9"/>
  <c r="CL43" i="9"/>
  <c r="CL28" i="9"/>
  <c r="CL26" i="9"/>
  <c r="CL27" i="9"/>
  <c r="CL40" i="9"/>
  <c r="CL37" i="9"/>
  <c r="CL23" i="9"/>
  <c r="CL21" i="9"/>
  <c r="CL19" i="9"/>
  <c r="CL17" i="9"/>
  <c r="CL15" i="9"/>
  <c r="CL18" i="9"/>
  <c r="CL12" i="9"/>
  <c r="CL10" i="9"/>
  <c r="CL8" i="9"/>
  <c r="CL6" i="9"/>
  <c r="CL4" i="9"/>
  <c r="CL29" i="9"/>
  <c r="CL31" i="9"/>
  <c r="CL14" i="9"/>
  <c r="CL13" i="9"/>
  <c r="CL25" i="9"/>
  <c r="CL20" i="9"/>
  <c r="CL22" i="9"/>
  <c r="CL24" i="9"/>
  <c r="CL9" i="9"/>
  <c r="CL2" i="9"/>
  <c r="CL16" i="9"/>
  <c r="CL7" i="9"/>
  <c r="CL3" i="9"/>
  <c r="CL5" i="9"/>
  <c r="CL11" i="9"/>
  <c r="BC151" i="7"/>
  <c r="BC150" i="7"/>
  <c r="BC149" i="7"/>
  <c r="JP54" i="9"/>
  <c r="JP53" i="9"/>
  <c r="JP55" i="9"/>
  <c r="JP47" i="9"/>
  <c r="JP49" i="9"/>
  <c r="JP45" i="9"/>
  <c r="JP48" i="9"/>
  <c r="JP46" i="9"/>
  <c r="JP41" i="9"/>
  <c r="JP44" i="9"/>
  <c r="JP40" i="9"/>
  <c r="JP39" i="9"/>
  <c r="JP43" i="9"/>
  <c r="JP42" i="9"/>
  <c r="JP37" i="9"/>
  <c r="JP35" i="9"/>
  <c r="JP33" i="9"/>
  <c r="JP38" i="9"/>
  <c r="JP36" i="9"/>
  <c r="JP32" i="9"/>
  <c r="JP30" i="9"/>
  <c r="JP28" i="9"/>
  <c r="JP27" i="9"/>
  <c r="JP25" i="9"/>
  <c r="JP31" i="9"/>
  <c r="JP34" i="9"/>
  <c r="JP24" i="9"/>
  <c r="JP22" i="9"/>
  <c r="JP20" i="9"/>
  <c r="JP18" i="9"/>
  <c r="JP16" i="9"/>
  <c r="JP14" i="9"/>
  <c r="JP12" i="9"/>
  <c r="JP21" i="9"/>
  <c r="JP13" i="9"/>
  <c r="JP15" i="9"/>
  <c r="JP29" i="9"/>
  <c r="JP26" i="9"/>
  <c r="JP17" i="9"/>
  <c r="JP19" i="9"/>
  <c r="JP9" i="9"/>
  <c r="JP2" i="9"/>
  <c r="JP4" i="9"/>
  <c r="JP23" i="9"/>
  <c r="JP8" i="9"/>
  <c r="JP6" i="9"/>
  <c r="JP3" i="9"/>
  <c r="JP11" i="9"/>
  <c r="JP5" i="9"/>
  <c r="JP10" i="9"/>
  <c r="JP7" i="9"/>
  <c r="IB54" i="9"/>
  <c r="IB55" i="9"/>
  <c r="IB53" i="9"/>
  <c r="IB47" i="9"/>
  <c r="IB45" i="9"/>
  <c r="IB46" i="9"/>
  <c r="IB49" i="9"/>
  <c r="IB48" i="9"/>
  <c r="IB43" i="9"/>
  <c r="IB44" i="9"/>
  <c r="IB42" i="9"/>
  <c r="IB39" i="9"/>
  <c r="IB38" i="9"/>
  <c r="IB37" i="9"/>
  <c r="IB35" i="9"/>
  <c r="IB33" i="9"/>
  <c r="IB32" i="9"/>
  <c r="IB41" i="9"/>
  <c r="IB27" i="9"/>
  <c r="IB25" i="9"/>
  <c r="IB40" i="9"/>
  <c r="IB30" i="9"/>
  <c r="IB26" i="9"/>
  <c r="IB24" i="9"/>
  <c r="IB22" i="9"/>
  <c r="IB20" i="9"/>
  <c r="IB18" i="9"/>
  <c r="IB16" i="9"/>
  <c r="IB14" i="9"/>
  <c r="IB12" i="9"/>
  <c r="IB28" i="9"/>
  <c r="IB34" i="9"/>
  <c r="IB36" i="9"/>
  <c r="IB21" i="9"/>
  <c r="IB31" i="9"/>
  <c r="IB23" i="9"/>
  <c r="IB13" i="9"/>
  <c r="IB19" i="9"/>
  <c r="IB10" i="9"/>
  <c r="IB9" i="9"/>
  <c r="IB7" i="9"/>
  <c r="IB2" i="9"/>
  <c r="IB29" i="9"/>
  <c r="IB17" i="9"/>
  <c r="IB11" i="9"/>
  <c r="IB4" i="9"/>
  <c r="IB8" i="9"/>
  <c r="IB6" i="9"/>
  <c r="IB5" i="9"/>
  <c r="IB3" i="9"/>
  <c r="IB15" i="9"/>
  <c r="GV55" i="8"/>
  <c r="GV53" i="8"/>
  <c r="GV49" i="8"/>
  <c r="GV47" i="8"/>
  <c r="GV45" i="8"/>
  <c r="GV43" i="8"/>
  <c r="GV41" i="8"/>
  <c r="GV39" i="8"/>
  <c r="GV37" i="8"/>
  <c r="GV54" i="8"/>
  <c r="GV46" i="8"/>
  <c r="GV40" i="8"/>
  <c r="GV36" i="8"/>
  <c r="GV35" i="8"/>
  <c r="GV33" i="8"/>
  <c r="GV31" i="8"/>
  <c r="GV34" i="8"/>
  <c r="GV30" i="8"/>
  <c r="GV27" i="8"/>
  <c r="GV23" i="8"/>
  <c r="GV22" i="8"/>
  <c r="GV21" i="8"/>
  <c r="GV19" i="8"/>
  <c r="GV17" i="8"/>
  <c r="GV15" i="8"/>
  <c r="GV13" i="8"/>
  <c r="GV11" i="8"/>
  <c r="GV9" i="8"/>
  <c r="GV7" i="8"/>
  <c r="GV5" i="8"/>
  <c r="GV3" i="8"/>
  <c r="GV48" i="8"/>
  <c r="GV42" i="8"/>
  <c r="GV29" i="8"/>
  <c r="GV24" i="8"/>
  <c r="GV20" i="8"/>
  <c r="GV4" i="8"/>
  <c r="GV14" i="8"/>
  <c r="GV2" i="8"/>
  <c r="GV44" i="8"/>
  <c r="GV38" i="8"/>
  <c r="GV32" i="8"/>
  <c r="GV16" i="8"/>
  <c r="GV26" i="8"/>
  <c r="GV18" i="8"/>
  <c r="GV10" i="8"/>
  <c r="GV12" i="8"/>
  <c r="GV25" i="8"/>
  <c r="GV28" i="8"/>
  <c r="GV8" i="8"/>
  <c r="GV6" i="8"/>
  <c r="BH150" i="7"/>
  <c r="BH149" i="7"/>
  <c r="BH151" i="7"/>
  <c r="AZ49" i="9"/>
  <c r="AZ47" i="9"/>
  <c r="AZ45" i="9"/>
  <c r="AZ48" i="9"/>
  <c r="AZ43" i="9"/>
  <c r="AZ44" i="9"/>
  <c r="AZ42" i="9"/>
  <c r="AZ37" i="9"/>
  <c r="AZ35" i="9"/>
  <c r="AZ33" i="9"/>
  <c r="AZ41" i="9"/>
  <c r="AZ39" i="9"/>
  <c r="AZ34" i="9"/>
  <c r="AZ32" i="9"/>
  <c r="AZ30" i="9"/>
  <c r="AZ27" i="9"/>
  <c r="AZ38" i="9"/>
  <c r="AZ28" i="9"/>
  <c r="AZ24" i="9"/>
  <c r="AZ22" i="9"/>
  <c r="AZ20" i="9"/>
  <c r="AZ18" i="9"/>
  <c r="AZ16" i="9"/>
  <c r="AZ14" i="9"/>
  <c r="AZ46" i="9"/>
  <c r="AZ36" i="9"/>
  <c r="AZ25" i="9"/>
  <c r="AZ13" i="9"/>
  <c r="AZ40" i="9"/>
  <c r="AZ23" i="9"/>
  <c r="AZ31" i="9"/>
  <c r="AZ19" i="9"/>
  <c r="AZ12" i="9"/>
  <c r="AZ29" i="9"/>
  <c r="AZ11" i="9"/>
  <c r="AZ9" i="9"/>
  <c r="AZ4" i="9"/>
  <c r="AZ2" i="9"/>
  <c r="AZ21" i="9"/>
  <c r="AZ26" i="9"/>
  <c r="AZ6" i="9"/>
  <c r="AZ5" i="9"/>
  <c r="AZ17" i="9"/>
  <c r="AZ10" i="9"/>
  <c r="AZ3" i="9"/>
  <c r="AZ7" i="9"/>
  <c r="AZ15" i="9"/>
  <c r="AZ8" i="9"/>
  <c r="AR49" i="8"/>
  <c r="AR45" i="8"/>
  <c r="AR43" i="8"/>
  <c r="AR41" i="8"/>
  <c r="AR39" i="8"/>
  <c r="AR37" i="8"/>
  <c r="AR46" i="8"/>
  <c r="AR42" i="8"/>
  <c r="AR44" i="8"/>
  <c r="AR36" i="8"/>
  <c r="AR35" i="8"/>
  <c r="AR33" i="8"/>
  <c r="AR31" i="8"/>
  <c r="AR30" i="8"/>
  <c r="AR27" i="8"/>
  <c r="AR21" i="8"/>
  <c r="AR19" i="8"/>
  <c r="AR17" i="8"/>
  <c r="AR15" i="8"/>
  <c r="AR13" i="8"/>
  <c r="AR11" i="8"/>
  <c r="AR9" i="8"/>
  <c r="AR7" i="8"/>
  <c r="AR5" i="8"/>
  <c r="AR3" i="8"/>
  <c r="AR40" i="8"/>
  <c r="AR47" i="8"/>
  <c r="AR48" i="8"/>
  <c r="AR29" i="8"/>
  <c r="AR24" i="8"/>
  <c r="AR12" i="8"/>
  <c r="AR22" i="8"/>
  <c r="AR6" i="8"/>
  <c r="AR2" i="8"/>
  <c r="AR38" i="8"/>
  <c r="AR32" i="8"/>
  <c r="AR8" i="8"/>
  <c r="AR28" i="8"/>
  <c r="AR26" i="8"/>
  <c r="AR18" i="8"/>
  <c r="AR25" i="8"/>
  <c r="AR20" i="8"/>
  <c r="AR34" i="8"/>
  <c r="AR14" i="8"/>
  <c r="AR23" i="8"/>
  <c r="AR16" i="8"/>
  <c r="AR4" i="8"/>
  <c r="AR10" i="8"/>
  <c r="L49" i="8"/>
  <c r="L47" i="8"/>
  <c r="L45" i="8"/>
  <c r="L43" i="8"/>
  <c r="L41" i="8"/>
  <c r="L39" i="8"/>
  <c r="L37" i="8"/>
  <c r="L40" i="8"/>
  <c r="L46" i="8"/>
  <c r="L35" i="8"/>
  <c r="L33" i="8"/>
  <c r="L31" i="8"/>
  <c r="L34" i="8"/>
  <c r="L30" i="8"/>
  <c r="L27" i="8"/>
  <c r="L24" i="8"/>
  <c r="L42" i="8"/>
  <c r="L23" i="8"/>
  <c r="L21" i="8"/>
  <c r="L19" i="8"/>
  <c r="L17" i="8"/>
  <c r="L15" i="8"/>
  <c r="L13" i="8"/>
  <c r="L11" i="8"/>
  <c r="L9" i="8"/>
  <c r="L7" i="8"/>
  <c r="L5" i="8"/>
  <c r="L3" i="8"/>
  <c r="L44" i="8"/>
  <c r="L38" i="8"/>
  <c r="L29" i="8"/>
  <c r="L36" i="8"/>
  <c r="L20" i="8"/>
  <c r="L48" i="8"/>
  <c r="L32" i="8"/>
  <c r="L28" i="8"/>
  <c r="L25" i="8"/>
  <c r="L14" i="8"/>
  <c r="L2" i="8"/>
  <c r="L16" i="8"/>
  <c r="L6" i="8"/>
  <c r="L26" i="8"/>
  <c r="L22" i="8"/>
  <c r="L8" i="8"/>
  <c r="L18" i="8"/>
  <c r="L10" i="8"/>
  <c r="L12" i="8"/>
  <c r="L4" i="8"/>
  <c r="EQ54" i="8"/>
  <c r="EQ49" i="8"/>
  <c r="EQ44" i="8"/>
  <c r="EQ42" i="8"/>
  <c r="EQ40" i="8"/>
  <c r="EQ46" i="8"/>
  <c r="EQ47" i="8"/>
  <c r="EQ41" i="8"/>
  <c r="EQ43" i="8"/>
  <c r="EQ37" i="8"/>
  <c r="EQ48" i="8"/>
  <c r="EQ39" i="8"/>
  <c r="EQ53" i="8"/>
  <c r="EQ36" i="8"/>
  <c r="EQ31" i="8"/>
  <c r="EQ29" i="8"/>
  <c r="EQ55" i="8"/>
  <c r="EQ45" i="8"/>
  <c r="EQ38" i="8"/>
  <c r="EQ33" i="8"/>
  <c r="EQ22" i="8"/>
  <c r="EQ20" i="8"/>
  <c r="EQ18" i="8"/>
  <c r="EQ16" i="8"/>
  <c r="EQ14" i="8"/>
  <c r="EQ12" i="8"/>
  <c r="EQ10" i="8"/>
  <c r="EQ8" i="8"/>
  <c r="EQ6" i="8"/>
  <c r="EQ4" i="8"/>
  <c r="EQ35" i="8"/>
  <c r="EQ30" i="8"/>
  <c r="EQ27" i="8"/>
  <c r="EQ11" i="8"/>
  <c r="EQ21" i="8"/>
  <c r="EQ5" i="8"/>
  <c r="EQ28" i="8"/>
  <c r="EQ32" i="8"/>
  <c r="EQ7" i="8"/>
  <c r="EQ3" i="8"/>
  <c r="EQ24" i="8"/>
  <c r="EQ19" i="8"/>
  <c r="EQ23" i="8"/>
  <c r="EQ26" i="8"/>
  <c r="EQ13" i="8"/>
  <c r="EQ15" i="8"/>
  <c r="EQ25" i="8"/>
  <c r="EQ9" i="8"/>
  <c r="EQ17" i="8"/>
  <c r="EQ34" i="8"/>
  <c r="EQ2" i="8"/>
  <c r="IH48" i="8"/>
  <c r="IH46" i="8"/>
  <c r="IH54" i="8"/>
  <c r="IH53" i="8"/>
  <c r="IH45" i="8"/>
  <c r="IH40" i="8"/>
  <c r="IH33" i="8"/>
  <c r="IH31" i="8"/>
  <c r="IH29" i="8"/>
  <c r="IH27" i="8"/>
  <c r="IH25" i="8"/>
  <c r="IH23" i="8"/>
  <c r="IH39" i="8"/>
  <c r="IH35" i="8"/>
  <c r="IH55" i="8"/>
  <c r="IH41" i="8"/>
  <c r="IH44" i="8"/>
  <c r="IH26" i="8"/>
  <c r="IH22" i="8"/>
  <c r="IH34" i="8"/>
  <c r="IH28" i="8"/>
  <c r="IH38" i="8"/>
  <c r="IH36" i="8"/>
  <c r="IH32" i="8"/>
  <c r="IH20" i="8"/>
  <c r="IH9" i="8"/>
  <c r="IH4" i="8"/>
  <c r="IH19" i="8"/>
  <c r="IH14" i="8"/>
  <c r="IH47" i="8"/>
  <c r="IH42" i="8"/>
  <c r="IH37" i="8"/>
  <c r="IH49" i="8"/>
  <c r="IH43" i="8"/>
  <c r="IH30" i="8"/>
  <c r="IH21" i="8"/>
  <c r="IH16" i="8"/>
  <c r="IH5" i="8"/>
  <c r="IH17" i="8"/>
  <c r="IH2" i="8"/>
  <c r="IH18" i="8"/>
  <c r="IH10" i="8"/>
  <c r="IH24" i="8"/>
  <c r="IH11" i="8"/>
  <c r="IH13" i="8"/>
  <c r="IH12" i="8"/>
  <c r="IH7" i="8"/>
  <c r="IH6" i="8"/>
  <c r="IH8" i="8"/>
  <c r="IH3" i="8"/>
  <c r="IH15" i="8"/>
  <c r="FN149" i="7"/>
  <c r="FN151" i="7"/>
  <c r="FN150" i="7"/>
  <c r="DZ47" i="8"/>
  <c r="DZ49" i="8"/>
  <c r="DZ44" i="8"/>
  <c r="DZ35" i="8"/>
  <c r="DZ33" i="8"/>
  <c r="DZ31" i="8"/>
  <c r="DZ29" i="8"/>
  <c r="DZ27" i="8"/>
  <c r="DZ25" i="8"/>
  <c r="DZ23" i="8"/>
  <c r="DZ46" i="8"/>
  <c r="DZ43" i="8"/>
  <c r="DZ55" i="8"/>
  <c r="DZ54" i="8"/>
  <c r="DZ45" i="8"/>
  <c r="DZ40" i="8"/>
  <c r="DZ30" i="8"/>
  <c r="DZ41" i="8"/>
  <c r="DZ24" i="8"/>
  <c r="DZ42" i="8"/>
  <c r="DZ48" i="8"/>
  <c r="DZ53" i="8"/>
  <c r="DZ36" i="8"/>
  <c r="DZ13" i="8"/>
  <c r="DZ8" i="8"/>
  <c r="DZ18" i="8"/>
  <c r="DZ7" i="8"/>
  <c r="DZ2" i="8"/>
  <c r="DZ38" i="8"/>
  <c r="DZ32" i="8"/>
  <c r="DZ37" i="8"/>
  <c r="DZ34" i="8"/>
  <c r="DZ20" i="8"/>
  <c r="DZ9" i="8"/>
  <c r="DZ4" i="8"/>
  <c r="DZ5" i="8"/>
  <c r="DZ21" i="8"/>
  <c r="DZ6" i="8"/>
  <c r="DZ22" i="8"/>
  <c r="DZ14" i="8"/>
  <c r="DZ15" i="8"/>
  <c r="DZ17" i="8"/>
  <c r="DZ16" i="8"/>
  <c r="DZ11" i="8"/>
  <c r="DZ10" i="8"/>
  <c r="DZ39" i="8"/>
  <c r="DZ28" i="8"/>
  <c r="DZ19" i="8"/>
  <c r="DZ26" i="8"/>
  <c r="DZ12" i="8"/>
  <c r="DZ3" i="8"/>
  <c r="JE149" i="7"/>
  <c r="JE151" i="7"/>
  <c r="JE150" i="7"/>
  <c r="AF48" i="8"/>
  <c r="AF49" i="8"/>
  <c r="AF47" i="8"/>
  <c r="AF46" i="8"/>
  <c r="AF44" i="8"/>
  <c r="AF42" i="8"/>
  <c r="AF40" i="8"/>
  <c r="AF38" i="8"/>
  <c r="AF36" i="8"/>
  <c r="AF34" i="8"/>
  <c r="AF32" i="8"/>
  <c r="AF31" i="8"/>
  <c r="AF27" i="8"/>
  <c r="AF22" i="8"/>
  <c r="AF20" i="8"/>
  <c r="AF18" i="8"/>
  <c r="AF16" i="8"/>
  <c r="AF14" i="8"/>
  <c r="AF12" i="8"/>
  <c r="AF10" i="8"/>
  <c r="AF8" i="8"/>
  <c r="AF6" i="8"/>
  <c r="AF4" i="8"/>
  <c r="AF2" i="8"/>
  <c r="AF43" i="8"/>
  <c r="AF45" i="8"/>
  <c r="AF39" i="8"/>
  <c r="AF29" i="8"/>
  <c r="AF26" i="8"/>
  <c r="AF17" i="8"/>
  <c r="AF37" i="8"/>
  <c r="AF28" i="8"/>
  <c r="AF11" i="8"/>
  <c r="AF33" i="8"/>
  <c r="AF41" i="8"/>
  <c r="AF35" i="8"/>
  <c r="AF30" i="8"/>
  <c r="AF13" i="8"/>
  <c r="AF24" i="8"/>
  <c r="AF23" i="8"/>
  <c r="AF15" i="8"/>
  <c r="AF7" i="8"/>
  <c r="AF9" i="8"/>
  <c r="AF25" i="8"/>
  <c r="AF19" i="8"/>
  <c r="AF5" i="8"/>
  <c r="AF3" i="8"/>
  <c r="AF21" i="8"/>
  <c r="CU151" i="7"/>
  <c r="CU149" i="7"/>
  <c r="CU150" i="7"/>
  <c r="HJ54" i="9"/>
  <c r="HJ55" i="9"/>
  <c r="HJ47" i="9"/>
  <c r="HJ49" i="9"/>
  <c r="HJ48" i="9"/>
  <c r="HJ53" i="9"/>
  <c r="HJ45" i="9"/>
  <c r="HJ42" i="9"/>
  <c r="HJ44" i="9"/>
  <c r="HJ43" i="9"/>
  <c r="HJ38" i="9"/>
  <c r="HJ41" i="9"/>
  <c r="HJ40" i="9"/>
  <c r="HJ36" i="9"/>
  <c r="HJ34" i="9"/>
  <c r="HJ32" i="9"/>
  <c r="HJ33" i="9"/>
  <c r="HJ30" i="9"/>
  <c r="HJ35" i="9"/>
  <c r="HJ29" i="9"/>
  <c r="HJ26" i="9"/>
  <c r="HJ46" i="9"/>
  <c r="HJ27" i="9"/>
  <c r="HJ37" i="9"/>
  <c r="HJ23" i="9"/>
  <c r="HJ21" i="9"/>
  <c r="HJ19" i="9"/>
  <c r="HJ17" i="9"/>
  <c r="HJ15" i="9"/>
  <c r="HJ18" i="9"/>
  <c r="HJ12" i="9"/>
  <c r="HJ10" i="9"/>
  <c r="HJ8" i="9"/>
  <c r="HJ6" i="9"/>
  <c r="HJ4" i="9"/>
  <c r="HJ39" i="9"/>
  <c r="HJ31" i="9"/>
  <c r="HJ14" i="9"/>
  <c r="HJ20" i="9"/>
  <c r="HJ22" i="9"/>
  <c r="HJ28" i="9"/>
  <c r="HJ13" i="9"/>
  <c r="HJ2" i="9"/>
  <c r="HJ9" i="9"/>
  <c r="HJ11" i="9"/>
  <c r="HJ25" i="9"/>
  <c r="HJ24" i="9"/>
  <c r="HJ16" i="9"/>
  <c r="HJ7" i="9"/>
  <c r="HJ5" i="9"/>
  <c r="HJ3" i="9"/>
  <c r="HZ149" i="7"/>
  <c r="HZ151" i="7"/>
  <c r="HZ150" i="7"/>
  <c r="AG49" i="9"/>
  <c r="AG47" i="9"/>
  <c r="AG44" i="9"/>
  <c r="AG45" i="9"/>
  <c r="AG42" i="9"/>
  <c r="AG41" i="9"/>
  <c r="AG39" i="9"/>
  <c r="AG43" i="9"/>
  <c r="AG40" i="9"/>
  <c r="AG36" i="9"/>
  <c r="AG48" i="9"/>
  <c r="AG38" i="9"/>
  <c r="AG33" i="9"/>
  <c r="AG35" i="9"/>
  <c r="AG34" i="9"/>
  <c r="AG31" i="9"/>
  <c r="AG46" i="9"/>
  <c r="AG37" i="9"/>
  <c r="AG21" i="9"/>
  <c r="AG20" i="9"/>
  <c r="AG15" i="9"/>
  <c r="AG14" i="9"/>
  <c r="AG32" i="9"/>
  <c r="AG27" i="9"/>
  <c r="AG22" i="9"/>
  <c r="AG17" i="9"/>
  <c r="AG11" i="9"/>
  <c r="AG26" i="9"/>
  <c r="AG9" i="9"/>
  <c r="AG3" i="9"/>
  <c r="AG29" i="9"/>
  <c r="AG18" i="9"/>
  <c r="AG10" i="9"/>
  <c r="AG7" i="9"/>
  <c r="AG6" i="9"/>
  <c r="AG25" i="9"/>
  <c r="AG19" i="9"/>
  <c r="AG23" i="9"/>
  <c r="AG4" i="9"/>
  <c r="AG30" i="9"/>
  <c r="AG12" i="9"/>
  <c r="AG16" i="9"/>
  <c r="AG28" i="9"/>
  <c r="AG13" i="9"/>
  <c r="AG8" i="9"/>
  <c r="AG5" i="9"/>
  <c r="AG2" i="9"/>
  <c r="AG24" i="9"/>
  <c r="GT149" i="7"/>
  <c r="GT151" i="7"/>
  <c r="GT150" i="7"/>
  <c r="AM151" i="7"/>
  <c r="AM55" i="8" s="1"/>
  <c r="AM150" i="7"/>
  <c r="AM149" i="7"/>
  <c r="JY55" i="9"/>
  <c r="JY53" i="9"/>
  <c r="JY49" i="9"/>
  <c r="JY48" i="9"/>
  <c r="JY46" i="9"/>
  <c r="JY47" i="9"/>
  <c r="JY54" i="9"/>
  <c r="JY44" i="9"/>
  <c r="JY45" i="9"/>
  <c r="JY43" i="9"/>
  <c r="JY41" i="9"/>
  <c r="JY40" i="9"/>
  <c r="JY39" i="9"/>
  <c r="JY38" i="9"/>
  <c r="JY33" i="9"/>
  <c r="JY42" i="9"/>
  <c r="JY32" i="9"/>
  <c r="JY34" i="9"/>
  <c r="JY36" i="9"/>
  <c r="JY35" i="9"/>
  <c r="JY31" i="9"/>
  <c r="JY28" i="9"/>
  <c r="JY37" i="9"/>
  <c r="JY30" i="9"/>
  <c r="JY27" i="9"/>
  <c r="JY29" i="9"/>
  <c r="JY26" i="9"/>
  <c r="JY17" i="9"/>
  <c r="JY25" i="9"/>
  <c r="JY22" i="9"/>
  <c r="JY13" i="9"/>
  <c r="JY24" i="9"/>
  <c r="JY10" i="9"/>
  <c r="JY15" i="9"/>
  <c r="JY14" i="9"/>
  <c r="JY8" i="9"/>
  <c r="JY2" i="9"/>
  <c r="JY23" i="9"/>
  <c r="JY16" i="9"/>
  <c r="JY21" i="9"/>
  <c r="JY20" i="9"/>
  <c r="JY11" i="9"/>
  <c r="JY5" i="9"/>
  <c r="JY19" i="9"/>
  <c r="JY18" i="9"/>
  <c r="JY7" i="9"/>
  <c r="JY12" i="9"/>
  <c r="JY4" i="9"/>
  <c r="JY9" i="9"/>
  <c r="JY3" i="9"/>
  <c r="JY6" i="9"/>
  <c r="IS55" i="8"/>
  <c r="IS53" i="8"/>
  <c r="IS49" i="8"/>
  <c r="IS47" i="8"/>
  <c r="IS45" i="8"/>
  <c r="IS43" i="8"/>
  <c r="IS41" i="8"/>
  <c r="IS39" i="8"/>
  <c r="IS37" i="8"/>
  <c r="IS35" i="8"/>
  <c r="IS40" i="8"/>
  <c r="IS34" i="8"/>
  <c r="IS32" i="8"/>
  <c r="IS30" i="8"/>
  <c r="IS28" i="8"/>
  <c r="IS26" i="8"/>
  <c r="IS24" i="8"/>
  <c r="IS54" i="8"/>
  <c r="IS46" i="8"/>
  <c r="IS42" i="8"/>
  <c r="IS48" i="8"/>
  <c r="IS21" i="8"/>
  <c r="IS19" i="8"/>
  <c r="IS17" i="8"/>
  <c r="IS15" i="8"/>
  <c r="IS13" i="8"/>
  <c r="IS11" i="8"/>
  <c r="IS9" i="8"/>
  <c r="IS7" i="8"/>
  <c r="IS5" i="8"/>
  <c r="IS3" i="8"/>
  <c r="IS29" i="8"/>
  <c r="IS44" i="8"/>
  <c r="IS38" i="8"/>
  <c r="IS23" i="8"/>
  <c r="IS22" i="8"/>
  <c r="IS10" i="8"/>
  <c r="IS25" i="8"/>
  <c r="IS20" i="8"/>
  <c r="IS4" i="8"/>
  <c r="IS31" i="8"/>
  <c r="IS36" i="8"/>
  <c r="IS33" i="8"/>
  <c r="IS27" i="8"/>
  <c r="IS6" i="8"/>
  <c r="IS12" i="8"/>
  <c r="IS14" i="8"/>
  <c r="IS8" i="8"/>
  <c r="IS16" i="8"/>
  <c r="IS18" i="8"/>
  <c r="IS2" i="8"/>
  <c r="IK55" i="9"/>
  <c r="IK54" i="9"/>
  <c r="IK49" i="9"/>
  <c r="IK48" i="9"/>
  <c r="IK46" i="9"/>
  <c r="IK53" i="9"/>
  <c r="IK47" i="9"/>
  <c r="IK43" i="9"/>
  <c r="IK41" i="9"/>
  <c r="IK40" i="9"/>
  <c r="IK38" i="9"/>
  <c r="IK42" i="9"/>
  <c r="IK39" i="9"/>
  <c r="IK33" i="9"/>
  <c r="IK35" i="9"/>
  <c r="IK44" i="9"/>
  <c r="IK36" i="9"/>
  <c r="IK37" i="9"/>
  <c r="IK31" i="9"/>
  <c r="IK34" i="9"/>
  <c r="IK27" i="9"/>
  <c r="IK32" i="9"/>
  <c r="IK23" i="9"/>
  <c r="IK18" i="9"/>
  <c r="IK45" i="9"/>
  <c r="IK26" i="9"/>
  <c r="IK25" i="9"/>
  <c r="IK17" i="9"/>
  <c r="IK30" i="9"/>
  <c r="IK29" i="9"/>
  <c r="IK19" i="9"/>
  <c r="IK10" i="9"/>
  <c r="IK15" i="9"/>
  <c r="IK11" i="9"/>
  <c r="IK2" i="9"/>
  <c r="IK16" i="9"/>
  <c r="IK24" i="9"/>
  <c r="IK28" i="9"/>
  <c r="IK21" i="9"/>
  <c r="IK20" i="9"/>
  <c r="IK8" i="9"/>
  <c r="IK4" i="9"/>
  <c r="IK13" i="9"/>
  <c r="IK7" i="9"/>
  <c r="IK22" i="9"/>
  <c r="IK14" i="9"/>
  <c r="IK3" i="9"/>
  <c r="IK9" i="9"/>
  <c r="IK12" i="9"/>
  <c r="IK6" i="9"/>
  <c r="IK5" i="9"/>
  <c r="IC54" i="9"/>
  <c r="IC53" i="9"/>
  <c r="IC49" i="9"/>
  <c r="IC55" i="9"/>
  <c r="IC48" i="9"/>
  <c r="IC46" i="9"/>
  <c r="IC47" i="9"/>
  <c r="IC43" i="9"/>
  <c r="IC45" i="9"/>
  <c r="IC42" i="9"/>
  <c r="IC44" i="9"/>
  <c r="IC41" i="9"/>
  <c r="IC37" i="9"/>
  <c r="IC36" i="9"/>
  <c r="IC33" i="9"/>
  <c r="IC34" i="9"/>
  <c r="IC29" i="9"/>
  <c r="IC38" i="9"/>
  <c r="IC31" i="9"/>
  <c r="IC28" i="9"/>
  <c r="IC25" i="9"/>
  <c r="IC39" i="9"/>
  <c r="IC35" i="9"/>
  <c r="IC32" i="9"/>
  <c r="IC27" i="9"/>
  <c r="IC21" i="9"/>
  <c r="IC16" i="9"/>
  <c r="IC15" i="9"/>
  <c r="IC14" i="9"/>
  <c r="IC30" i="9"/>
  <c r="IC40" i="9"/>
  <c r="IC17" i="9"/>
  <c r="IC10" i="9"/>
  <c r="IC20" i="9"/>
  <c r="IC12" i="9"/>
  <c r="IC9" i="9"/>
  <c r="IC7" i="9"/>
  <c r="IC2" i="9"/>
  <c r="IC22" i="9"/>
  <c r="IC26" i="9"/>
  <c r="IC18" i="9"/>
  <c r="IC8" i="9"/>
  <c r="IC6" i="9"/>
  <c r="IC24" i="9"/>
  <c r="IC19" i="9"/>
  <c r="IC13" i="9"/>
  <c r="IC23" i="9"/>
  <c r="IC11" i="9"/>
  <c r="IC4" i="9"/>
  <c r="IC5" i="9"/>
  <c r="IC3" i="9"/>
  <c r="HU55" i="9"/>
  <c r="HU49" i="9"/>
  <c r="HU53" i="9"/>
  <c r="HU48" i="9"/>
  <c r="HU46" i="9"/>
  <c r="HU47" i="9"/>
  <c r="HU45" i="9"/>
  <c r="HU54" i="9"/>
  <c r="HU44" i="9"/>
  <c r="HU43" i="9"/>
  <c r="HU42" i="9"/>
  <c r="HU41" i="9"/>
  <c r="HU40" i="9"/>
  <c r="HU39" i="9"/>
  <c r="HU35" i="9"/>
  <c r="HU34" i="9"/>
  <c r="HU38" i="9"/>
  <c r="HU36" i="9"/>
  <c r="HU37" i="9"/>
  <c r="HU28" i="9"/>
  <c r="HU33" i="9"/>
  <c r="HU32" i="9"/>
  <c r="HU31" i="9"/>
  <c r="HU30" i="9"/>
  <c r="HU25" i="9"/>
  <c r="HU26" i="9"/>
  <c r="HU19" i="9"/>
  <c r="HU29" i="9"/>
  <c r="HU27" i="9"/>
  <c r="HU24" i="9"/>
  <c r="HU12" i="9"/>
  <c r="HU15" i="9"/>
  <c r="HU10" i="9"/>
  <c r="HU17" i="9"/>
  <c r="HU16" i="9"/>
  <c r="HU2" i="9"/>
  <c r="HU18" i="9"/>
  <c r="HU23" i="9"/>
  <c r="HU22" i="9"/>
  <c r="HU13" i="9"/>
  <c r="HU7" i="9"/>
  <c r="HU21" i="9"/>
  <c r="HU3" i="9"/>
  <c r="HU20" i="9"/>
  <c r="HU14" i="9"/>
  <c r="HU11" i="9"/>
  <c r="HU8" i="9"/>
  <c r="HU6" i="9"/>
  <c r="HU5" i="9"/>
  <c r="HU4" i="9"/>
  <c r="HU9" i="9"/>
  <c r="HE53" i="9"/>
  <c r="HE55" i="9"/>
  <c r="HE49" i="9"/>
  <c r="HE54" i="9"/>
  <c r="HE48" i="9"/>
  <c r="HE46" i="9"/>
  <c r="HE47" i="9"/>
  <c r="HE45" i="9"/>
  <c r="HE43" i="9"/>
  <c r="HE38" i="9"/>
  <c r="HE42" i="9"/>
  <c r="HE36" i="9"/>
  <c r="HE32" i="9"/>
  <c r="HE39" i="9"/>
  <c r="HE37" i="9"/>
  <c r="HE25" i="9"/>
  <c r="HE40" i="9"/>
  <c r="HE44" i="9"/>
  <c r="HE35" i="9"/>
  <c r="HE41" i="9"/>
  <c r="HE33" i="9"/>
  <c r="HE30" i="9"/>
  <c r="HE28" i="9"/>
  <c r="HE26" i="9"/>
  <c r="HE31" i="9"/>
  <c r="HE27" i="9"/>
  <c r="HE15" i="9"/>
  <c r="HE20" i="9"/>
  <c r="HE34" i="9"/>
  <c r="HE29" i="9"/>
  <c r="HE22" i="9"/>
  <c r="HE10" i="9"/>
  <c r="HE19" i="9"/>
  <c r="HE18" i="9"/>
  <c r="HE2" i="9"/>
  <c r="HE14" i="9"/>
  <c r="HE6" i="9"/>
  <c r="HE5" i="9"/>
  <c r="HE21" i="9"/>
  <c r="HE24" i="9"/>
  <c r="HE16" i="9"/>
  <c r="HE13" i="9"/>
  <c r="HE8" i="9"/>
  <c r="HE9" i="9"/>
  <c r="HE17" i="9"/>
  <c r="HE12" i="9"/>
  <c r="HE4" i="9"/>
  <c r="HE3" i="9"/>
  <c r="HE23" i="9"/>
  <c r="HE7" i="9"/>
  <c r="HE11" i="9"/>
  <c r="GG150" i="7"/>
  <c r="GG151" i="7"/>
  <c r="GG149" i="7"/>
  <c r="FA55" i="9"/>
  <c r="FA53" i="9"/>
  <c r="FA49" i="9"/>
  <c r="FA48" i="9"/>
  <c r="FA47" i="9"/>
  <c r="FA46" i="9"/>
  <c r="FA45" i="9"/>
  <c r="FA43" i="9"/>
  <c r="FA41" i="9"/>
  <c r="FA44" i="9"/>
  <c r="FA40" i="9"/>
  <c r="FA54" i="9"/>
  <c r="FA39" i="9"/>
  <c r="FA33" i="9"/>
  <c r="FA34" i="9"/>
  <c r="FA31" i="9"/>
  <c r="FA32" i="9"/>
  <c r="FA30" i="9"/>
  <c r="FA42" i="9"/>
  <c r="FA38" i="9"/>
  <c r="FA35" i="9"/>
  <c r="FA27" i="9"/>
  <c r="FA26" i="9"/>
  <c r="FA36" i="9"/>
  <c r="FA37" i="9"/>
  <c r="FA28" i="9"/>
  <c r="FA17" i="9"/>
  <c r="FA22" i="9"/>
  <c r="FA13" i="9"/>
  <c r="FA24" i="9"/>
  <c r="FA10" i="9"/>
  <c r="FA21" i="9"/>
  <c r="FA20" i="9"/>
  <c r="FA8" i="9"/>
  <c r="FA2" i="9"/>
  <c r="FA23" i="9"/>
  <c r="FA29" i="9"/>
  <c r="FA25" i="9"/>
  <c r="FA18" i="9"/>
  <c r="FA12" i="9"/>
  <c r="FA15" i="9"/>
  <c r="FA11" i="9"/>
  <c r="FA16" i="9"/>
  <c r="FA19" i="9"/>
  <c r="FA5" i="9"/>
  <c r="FA7" i="9"/>
  <c r="FA6" i="9"/>
  <c r="FA14" i="9"/>
  <c r="FA9" i="9"/>
  <c r="FA4" i="9"/>
  <c r="FA3" i="9"/>
  <c r="ES55" i="8"/>
  <c r="ES53" i="8"/>
  <c r="ES49" i="8"/>
  <c r="ES47" i="8"/>
  <c r="ES54" i="8"/>
  <c r="ES45" i="8"/>
  <c r="ES43" i="8"/>
  <c r="ES41" i="8"/>
  <c r="ES39" i="8"/>
  <c r="ES37" i="8"/>
  <c r="ES38" i="8"/>
  <c r="ES34" i="8"/>
  <c r="ES32" i="8"/>
  <c r="ES30" i="8"/>
  <c r="ES28" i="8"/>
  <c r="ES26" i="8"/>
  <c r="ES46" i="8"/>
  <c r="ES40" i="8"/>
  <c r="ES31" i="8"/>
  <c r="ES24" i="8"/>
  <c r="ES21" i="8"/>
  <c r="ES19" i="8"/>
  <c r="ES17" i="8"/>
  <c r="ES15" i="8"/>
  <c r="ES13" i="8"/>
  <c r="ES11" i="8"/>
  <c r="ES9" i="8"/>
  <c r="ES7" i="8"/>
  <c r="ES5" i="8"/>
  <c r="ES3" i="8"/>
  <c r="ES27" i="8"/>
  <c r="ES23" i="8"/>
  <c r="ES42" i="8"/>
  <c r="ES44" i="8"/>
  <c r="ES16" i="8"/>
  <c r="ES25" i="8"/>
  <c r="ES10" i="8"/>
  <c r="ES36" i="8"/>
  <c r="ES48" i="8"/>
  <c r="ES33" i="8"/>
  <c r="ES12" i="8"/>
  <c r="ES20" i="8"/>
  <c r="ES35" i="8"/>
  <c r="ES29" i="8"/>
  <c r="ES14" i="8"/>
  <c r="ES22" i="8"/>
  <c r="ES8" i="8"/>
  <c r="ES4" i="8"/>
  <c r="ES18" i="8"/>
  <c r="ES2" i="8"/>
  <c r="ES6" i="8"/>
  <c r="DU49" i="9"/>
  <c r="DU54" i="9"/>
  <c r="DU53" i="9"/>
  <c r="DU48" i="9"/>
  <c r="DU55" i="9"/>
  <c r="DU46" i="9"/>
  <c r="DU47" i="9"/>
  <c r="DU43" i="9"/>
  <c r="DU45" i="9"/>
  <c r="DU42" i="9"/>
  <c r="DU44" i="9"/>
  <c r="DU41" i="9"/>
  <c r="DU39" i="9"/>
  <c r="DU40" i="9"/>
  <c r="DU35" i="9"/>
  <c r="DU32" i="9"/>
  <c r="DU38" i="9"/>
  <c r="DU37" i="9"/>
  <c r="DU30" i="9"/>
  <c r="DU25" i="9"/>
  <c r="DU36" i="9"/>
  <c r="DU33" i="9"/>
  <c r="DU34" i="9"/>
  <c r="DU29" i="9"/>
  <c r="DU20" i="9"/>
  <c r="DU26" i="9"/>
  <c r="DU19" i="9"/>
  <c r="DU13" i="9"/>
  <c r="DU28" i="9"/>
  <c r="DU27" i="9"/>
  <c r="DU31" i="9"/>
  <c r="DU21" i="9"/>
  <c r="DU16" i="9"/>
  <c r="DU10" i="9"/>
  <c r="DU24" i="9"/>
  <c r="DU8" i="9"/>
  <c r="DU2" i="9"/>
  <c r="DU17" i="9"/>
  <c r="DU6" i="9"/>
  <c r="DU5" i="9"/>
  <c r="DU14" i="9"/>
  <c r="DU3" i="9"/>
  <c r="DU18" i="9"/>
  <c r="DU15" i="9"/>
  <c r="DU23" i="9"/>
  <c r="DU22" i="9"/>
  <c r="DU11" i="9"/>
  <c r="DU9" i="9"/>
  <c r="DU12" i="9"/>
  <c r="DU7" i="9"/>
  <c r="DU4" i="9"/>
  <c r="DE150" i="7"/>
  <c r="DE149" i="7"/>
  <c r="DE151" i="7"/>
  <c r="CW49" i="9"/>
  <c r="CW55" i="9"/>
  <c r="CW54" i="9"/>
  <c r="CW48" i="9"/>
  <c r="CW45" i="9"/>
  <c r="CW46" i="9"/>
  <c r="CW43" i="9"/>
  <c r="CW53" i="9"/>
  <c r="CW42" i="9"/>
  <c r="CW41" i="9"/>
  <c r="CW44" i="9"/>
  <c r="CW40" i="9"/>
  <c r="CW35" i="9"/>
  <c r="CW34" i="9"/>
  <c r="CW39" i="9"/>
  <c r="CW36" i="9"/>
  <c r="CW32" i="9"/>
  <c r="CW29" i="9"/>
  <c r="CW38" i="9"/>
  <c r="CW31" i="9"/>
  <c r="CW33" i="9"/>
  <c r="CW28" i="9"/>
  <c r="CW37" i="9"/>
  <c r="CW47" i="9"/>
  <c r="CW19" i="9"/>
  <c r="CW24" i="9"/>
  <c r="CW12" i="9"/>
  <c r="CW30" i="9"/>
  <c r="CW27" i="9"/>
  <c r="CW15" i="9"/>
  <c r="CW10" i="9"/>
  <c r="CW23" i="9"/>
  <c r="CW22" i="9"/>
  <c r="CW2" i="9"/>
  <c r="CW26" i="9"/>
  <c r="CW20" i="9"/>
  <c r="CW14" i="9"/>
  <c r="CW18" i="9"/>
  <c r="CW3" i="9"/>
  <c r="CW13" i="9"/>
  <c r="CW4" i="9"/>
  <c r="CW25" i="9"/>
  <c r="CW21" i="9"/>
  <c r="CW16" i="9"/>
  <c r="CW17" i="9"/>
  <c r="CW7" i="9"/>
  <c r="CW9" i="9"/>
  <c r="CW11" i="9"/>
  <c r="CW6" i="9"/>
  <c r="CW5" i="9"/>
  <c r="CW8" i="9"/>
  <c r="CG55" i="8"/>
  <c r="CG53" i="8"/>
  <c r="CG49" i="8"/>
  <c r="CG47" i="8"/>
  <c r="CG54" i="8"/>
  <c r="CG45" i="8"/>
  <c r="CG43" i="8"/>
  <c r="CG41" i="8"/>
  <c r="CG39" i="8"/>
  <c r="CG37" i="8"/>
  <c r="CG38" i="8"/>
  <c r="CG46" i="8"/>
  <c r="CG34" i="8"/>
  <c r="CG32" i="8"/>
  <c r="CG30" i="8"/>
  <c r="CG28" i="8"/>
  <c r="CG26" i="8"/>
  <c r="CG31" i="8"/>
  <c r="CG24" i="8"/>
  <c r="CG21" i="8"/>
  <c r="CG19" i="8"/>
  <c r="CG17" i="8"/>
  <c r="CG15" i="8"/>
  <c r="CG13" i="8"/>
  <c r="CG11" i="8"/>
  <c r="CG9" i="8"/>
  <c r="CG7" i="8"/>
  <c r="CG5" i="8"/>
  <c r="CG3" i="8"/>
  <c r="CG48" i="8"/>
  <c r="CG40" i="8"/>
  <c r="CG27" i="8"/>
  <c r="CG23" i="8"/>
  <c r="CG42" i="8"/>
  <c r="CG44" i="8"/>
  <c r="CG35" i="8"/>
  <c r="CG16" i="8"/>
  <c r="CG10" i="8"/>
  <c r="CG29" i="8"/>
  <c r="CG12" i="8"/>
  <c r="CG33" i="8"/>
  <c r="CG18" i="8"/>
  <c r="CG4" i="8"/>
  <c r="CG20" i="8"/>
  <c r="CG2" i="8"/>
  <c r="CG14" i="8"/>
  <c r="CG22" i="8"/>
  <c r="CG8" i="8"/>
  <c r="CG25" i="8"/>
  <c r="CG36" i="8"/>
  <c r="CG6" i="8"/>
  <c r="BI150" i="7"/>
  <c r="BI151" i="7"/>
  <c r="BI149" i="7"/>
  <c r="DK150" i="7"/>
  <c r="DK149" i="7"/>
  <c r="DK151" i="7"/>
  <c r="CM54" i="8"/>
  <c r="CM48" i="8"/>
  <c r="CM44" i="8"/>
  <c r="CM42" i="8"/>
  <c r="CM40" i="8"/>
  <c r="CM37" i="8"/>
  <c r="CM49" i="8"/>
  <c r="CM43" i="8"/>
  <c r="CM55" i="8"/>
  <c r="CM45" i="8"/>
  <c r="CM41" i="8"/>
  <c r="CM36" i="8"/>
  <c r="CM38" i="8"/>
  <c r="CM33" i="8"/>
  <c r="CM26" i="8"/>
  <c r="CM47" i="8"/>
  <c r="CM46" i="8"/>
  <c r="CM39" i="8"/>
  <c r="CM35" i="8"/>
  <c r="CM22" i="8"/>
  <c r="CM20" i="8"/>
  <c r="CM18" i="8"/>
  <c r="CM16" i="8"/>
  <c r="CM14" i="8"/>
  <c r="CM12" i="8"/>
  <c r="CM10" i="8"/>
  <c r="CM8" i="8"/>
  <c r="CM6" i="8"/>
  <c r="CM4" i="8"/>
  <c r="CM29" i="8"/>
  <c r="CM13" i="8"/>
  <c r="CM3" i="8"/>
  <c r="CM53" i="8"/>
  <c r="CM7" i="8"/>
  <c r="CM32" i="8"/>
  <c r="CM31" i="8"/>
  <c r="CM30" i="8"/>
  <c r="CM34" i="8"/>
  <c r="CM24" i="8"/>
  <c r="CM9" i="8"/>
  <c r="CM2" i="8"/>
  <c r="CM21" i="8"/>
  <c r="CM15" i="8"/>
  <c r="CM17" i="8"/>
  <c r="CM28" i="8"/>
  <c r="CM23" i="8"/>
  <c r="CM11" i="8"/>
  <c r="CM25" i="8"/>
  <c r="CM19" i="8"/>
  <c r="CM5" i="8"/>
  <c r="CM27" i="8"/>
  <c r="AI49" i="9"/>
  <c r="AI45" i="9"/>
  <c r="AI48" i="9"/>
  <c r="AI47" i="9"/>
  <c r="AI44" i="9"/>
  <c r="AI42" i="9"/>
  <c r="AI40" i="9"/>
  <c r="AI46" i="9"/>
  <c r="AI43" i="9"/>
  <c r="AI39" i="9"/>
  <c r="AI37" i="9"/>
  <c r="AI35" i="9"/>
  <c r="AI33" i="9"/>
  <c r="AI36" i="9"/>
  <c r="AI32" i="9"/>
  <c r="AI30" i="9"/>
  <c r="AI34" i="9"/>
  <c r="AI27" i="9"/>
  <c r="AI25" i="9"/>
  <c r="AI24" i="9"/>
  <c r="AI22" i="9"/>
  <c r="AI20" i="9"/>
  <c r="AI18" i="9"/>
  <c r="AI16" i="9"/>
  <c r="AI14" i="9"/>
  <c r="AI41" i="9"/>
  <c r="AI26" i="9"/>
  <c r="AI15" i="9"/>
  <c r="AI12" i="9"/>
  <c r="AI10" i="9"/>
  <c r="AI8" i="9"/>
  <c r="AI31" i="9"/>
  <c r="AI38" i="9"/>
  <c r="AI29" i="9"/>
  <c r="AI28" i="9"/>
  <c r="AI21" i="9"/>
  <c r="AI23" i="9"/>
  <c r="AI19" i="9"/>
  <c r="AI9" i="9"/>
  <c r="AI3" i="9"/>
  <c r="AI11" i="9"/>
  <c r="AI17" i="9"/>
  <c r="AI7" i="9"/>
  <c r="AI13" i="9"/>
  <c r="AI6" i="9"/>
  <c r="AI5" i="9"/>
  <c r="AI2" i="9"/>
  <c r="AI4" i="9"/>
  <c r="IP54" i="9"/>
  <c r="IP55" i="9"/>
  <c r="IP53" i="9"/>
  <c r="IP47" i="9"/>
  <c r="IP49" i="9"/>
  <c r="IP48" i="9"/>
  <c r="IP43" i="9"/>
  <c r="IP42" i="9"/>
  <c r="IP45" i="9"/>
  <c r="IP44" i="9"/>
  <c r="IP38" i="9"/>
  <c r="IP39" i="9"/>
  <c r="IP36" i="9"/>
  <c r="IP34" i="9"/>
  <c r="IP32" i="9"/>
  <c r="IP30" i="9"/>
  <c r="IP46" i="9"/>
  <c r="IP29" i="9"/>
  <c r="IP28" i="9"/>
  <c r="IP26" i="9"/>
  <c r="IP41" i="9"/>
  <c r="IP25" i="9"/>
  <c r="IP35" i="9"/>
  <c r="IP33" i="9"/>
  <c r="IP40" i="9"/>
  <c r="IP23" i="9"/>
  <c r="IP21" i="9"/>
  <c r="IP19" i="9"/>
  <c r="IP17" i="9"/>
  <c r="IP15" i="9"/>
  <c r="IP12" i="9"/>
  <c r="IP27" i="9"/>
  <c r="IP20" i="9"/>
  <c r="IP10" i="9"/>
  <c r="IP8" i="9"/>
  <c r="IP6" i="9"/>
  <c r="IP4" i="9"/>
  <c r="IP22" i="9"/>
  <c r="IP14" i="9"/>
  <c r="IP18" i="9"/>
  <c r="IP9" i="9"/>
  <c r="IP5" i="9"/>
  <c r="IP37" i="9"/>
  <c r="IP31" i="9"/>
  <c r="IP11" i="9"/>
  <c r="IP24" i="9"/>
  <c r="IP13" i="9"/>
  <c r="IP2" i="9"/>
  <c r="IP3" i="9"/>
  <c r="IP16" i="9"/>
  <c r="IP7" i="9"/>
  <c r="HR54" i="9"/>
  <c r="HR55" i="9"/>
  <c r="HR47" i="9"/>
  <c r="HR53" i="9"/>
  <c r="HR49" i="9"/>
  <c r="HR45" i="9"/>
  <c r="HR44" i="9"/>
  <c r="HR48" i="9"/>
  <c r="HR46" i="9"/>
  <c r="HR38" i="9"/>
  <c r="HR41" i="9"/>
  <c r="HR42" i="9"/>
  <c r="HR39" i="9"/>
  <c r="HR36" i="9"/>
  <c r="HR34" i="9"/>
  <c r="HR32" i="9"/>
  <c r="HR43" i="9"/>
  <c r="HR35" i="9"/>
  <c r="HR30" i="9"/>
  <c r="HR40" i="9"/>
  <c r="HR37" i="9"/>
  <c r="HR31" i="9"/>
  <c r="HR26" i="9"/>
  <c r="HR33" i="9"/>
  <c r="HR28" i="9"/>
  <c r="HR23" i="9"/>
  <c r="HR21" i="9"/>
  <c r="HR19" i="9"/>
  <c r="HR17" i="9"/>
  <c r="HR15" i="9"/>
  <c r="HR25" i="9"/>
  <c r="HR20" i="9"/>
  <c r="HR14" i="9"/>
  <c r="HR10" i="9"/>
  <c r="HR8" i="9"/>
  <c r="HR6" i="9"/>
  <c r="HR4" i="9"/>
  <c r="HR29" i="9"/>
  <c r="HR27" i="9"/>
  <c r="HR16" i="9"/>
  <c r="HR13" i="9"/>
  <c r="HR24" i="9"/>
  <c r="HR9" i="9"/>
  <c r="HR7" i="9"/>
  <c r="HR5" i="9"/>
  <c r="HR12" i="9"/>
  <c r="HR11" i="9"/>
  <c r="HR18" i="9"/>
  <c r="HR2" i="9"/>
  <c r="HR3" i="9"/>
  <c r="HR22" i="9"/>
  <c r="GD54" i="8"/>
  <c r="GD47" i="8"/>
  <c r="GD55" i="8"/>
  <c r="GD42" i="8"/>
  <c r="GD35" i="8"/>
  <c r="GD33" i="8"/>
  <c r="GD31" i="8"/>
  <c r="GD29" i="8"/>
  <c r="GD27" i="8"/>
  <c r="GD25" i="8"/>
  <c r="GD23" i="8"/>
  <c r="GD41" i="8"/>
  <c r="GD37" i="8"/>
  <c r="GD43" i="8"/>
  <c r="GD53" i="8"/>
  <c r="GD28" i="8"/>
  <c r="GD49" i="8"/>
  <c r="GD39" i="8"/>
  <c r="GD22" i="8"/>
  <c r="GD46" i="8"/>
  <c r="GD40" i="8"/>
  <c r="GD48" i="8"/>
  <c r="GD30" i="8"/>
  <c r="GD36" i="8"/>
  <c r="GD34" i="8"/>
  <c r="GD11" i="8"/>
  <c r="GD6" i="8"/>
  <c r="GD21" i="8"/>
  <c r="GD16" i="8"/>
  <c r="GD5" i="8"/>
  <c r="GD3" i="8"/>
  <c r="GD38" i="8"/>
  <c r="GD44" i="8"/>
  <c r="GD45" i="8"/>
  <c r="GD32" i="8"/>
  <c r="GD18" i="8"/>
  <c r="GD7" i="8"/>
  <c r="GD19" i="8"/>
  <c r="GD4" i="8"/>
  <c r="GD20" i="8"/>
  <c r="GD12" i="8"/>
  <c r="GD13" i="8"/>
  <c r="GD15" i="8"/>
  <c r="GD14" i="8"/>
  <c r="GD26" i="8"/>
  <c r="GD24" i="8"/>
  <c r="GD9" i="8"/>
  <c r="GD8" i="8"/>
  <c r="GD2" i="8"/>
  <c r="GD17" i="8"/>
  <c r="GD10" i="8"/>
  <c r="GD54" i="9"/>
  <c r="GD55" i="9"/>
  <c r="GD53" i="9"/>
  <c r="GD47" i="9"/>
  <c r="GD49" i="9"/>
  <c r="GD45" i="9"/>
  <c r="GD48" i="9"/>
  <c r="GD44" i="9"/>
  <c r="GD43" i="9"/>
  <c r="GD46" i="9"/>
  <c r="GD42" i="9"/>
  <c r="GD41" i="9"/>
  <c r="GD38" i="9"/>
  <c r="GD40" i="9"/>
  <c r="GD36" i="9"/>
  <c r="GD34" i="9"/>
  <c r="GD32" i="9"/>
  <c r="GD30" i="9"/>
  <c r="GD39" i="9"/>
  <c r="GD37" i="9"/>
  <c r="GD29" i="9"/>
  <c r="GD28" i="9"/>
  <c r="GD26" i="9"/>
  <c r="GD31" i="9"/>
  <c r="GD25" i="9"/>
  <c r="GD35" i="9"/>
  <c r="GD33" i="9"/>
  <c r="GD23" i="9"/>
  <c r="GD21" i="9"/>
  <c r="GD19" i="9"/>
  <c r="GD17" i="9"/>
  <c r="GD15" i="9"/>
  <c r="GD12" i="9"/>
  <c r="GD20" i="9"/>
  <c r="GD10" i="9"/>
  <c r="GD8" i="9"/>
  <c r="GD6" i="9"/>
  <c r="GD4" i="9"/>
  <c r="GD27" i="9"/>
  <c r="GD22" i="9"/>
  <c r="GD14" i="9"/>
  <c r="GD24" i="9"/>
  <c r="GD16" i="9"/>
  <c r="GD9" i="9"/>
  <c r="GD5" i="9"/>
  <c r="GD11" i="9"/>
  <c r="GD13" i="9"/>
  <c r="GD18" i="9"/>
  <c r="GD7" i="9"/>
  <c r="GD2" i="9"/>
  <c r="GD3" i="9"/>
  <c r="EH54" i="9"/>
  <c r="EH55" i="9"/>
  <c r="EH47" i="9"/>
  <c r="EH49" i="9"/>
  <c r="EH53" i="9"/>
  <c r="EH48" i="9"/>
  <c r="EH44" i="9"/>
  <c r="EH46" i="9"/>
  <c r="EH45" i="9"/>
  <c r="EH41" i="9"/>
  <c r="EH42" i="9"/>
  <c r="EH40" i="9"/>
  <c r="EH43" i="9"/>
  <c r="EH38" i="9"/>
  <c r="EH39" i="9"/>
  <c r="EH36" i="9"/>
  <c r="EH34" i="9"/>
  <c r="EH35" i="9"/>
  <c r="EH30" i="9"/>
  <c r="EH32" i="9"/>
  <c r="EH33" i="9"/>
  <c r="EH28" i="9"/>
  <c r="EH26" i="9"/>
  <c r="EH37" i="9"/>
  <c r="EH29" i="9"/>
  <c r="EH25" i="9"/>
  <c r="EH23" i="9"/>
  <c r="EH21" i="9"/>
  <c r="EH19" i="9"/>
  <c r="EH17" i="9"/>
  <c r="EH15" i="9"/>
  <c r="EH13" i="9"/>
  <c r="EH24" i="9"/>
  <c r="EH10" i="9"/>
  <c r="EH8" i="9"/>
  <c r="EH6" i="9"/>
  <c r="EH4" i="9"/>
  <c r="EH31" i="9"/>
  <c r="EH27" i="9"/>
  <c r="EH22" i="9"/>
  <c r="EH9" i="9"/>
  <c r="EH12" i="9"/>
  <c r="EH5" i="9"/>
  <c r="EH3" i="9"/>
  <c r="EH16" i="9"/>
  <c r="EH11" i="9"/>
  <c r="EH14" i="9"/>
  <c r="EH20" i="9"/>
  <c r="EH2" i="9"/>
  <c r="EH18" i="9"/>
  <c r="EH7" i="9"/>
  <c r="DJ54" i="9"/>
  <c r="DJ55" i="9"/>
  <c r="DJ47" i="9"/>
  <c r="DJ53" i="9"/>
  <c r="DJ48" i="9"/>
  <c r="DJ46" i="9"/>
  <c r="DJ45" i="9"/>
  <c r="DJ44" i="9"/>
  <c r="DJ49" i="9"/>
  <c r="DJ38" i="9"/>
  <c r="DJ40" i="9"/>
  <c r="DJ39" i="9"/>
  <c r="DJ42" i="9"/>
  <c r="DJ36" i="9"/>
  <c r="DJ34" i="9"/>
  <c r="DJ43" i="9"/>
  <c r="DJ30" i="9"/>
  <c r="DJ32" i="9"/>
  <c r="DJ29" i="9"/>
  <c r="DJ28" i="9"/>
  <c r="DJ26" i="9"/>
  <c r="DJ37" i="9"/>
  <c r="DJ25" i="9"/>
  <c r="DJ35" i="9"/>
  <c r="DJ41" i="9"/>
  <c r="DJ33" i="9"/>
  <c r="DJ23" i="9"/>
  <c r="DJ21" i="9"/>
  <c r="DJ19" i="9"/>
  <c r="DJ17" i="9"/>
  <c r="DJ15" i="9"/>
  <c r="DJ31" i="9"/>
  <c r="DJ24" i="9"/>
  <c r="DJ18" i="9"/>
  <c r="DJ10" i="9"/>
  <c r="DJ8" i="9"/>
  <c r="DJ6" i="9"/>
  <c r="DJ4" i="9"/>
  <c r="DJ27" i="9"/>
  <c r="DJ20" i="9"/>
  <c r="DJ12" i="9"/>
  <c r="DJ5" i="9"/>
  <c r="DJ22" i="9"/>
  <c r="DJ16" i="9"/>
  <c r="DJ7" i="9"/>
  <c r="DJ3" i="9"/>
  <c r="DJ2" i="9"/>
  <c r="DJ14" i="9"/>
  <c r="DJ11" i="9"/>
  <c r="DJ13" i="9"/>
  <c r="DJ9" i="9"/>
  <c r="CL53" i="8"/>
  <c r="CL47" i="8"/>
  <c r="CL46" i="8"/>
  <c r="CL39" i="8"/>
  <c r="CL35" i="8"/>
  <c r="CL33" i="8"/>
  <c r="CL31" i="8"/>
  <c r="CL29" i="8"/>
  <c r="CL27" i="8"/>
  <c r="CL25" i="8"/>
  <c r="CL23" i="8"/>
  <c r="CL44" i="8"/>
  <c r="CL37" i="8"/>
  <c r="CL55" i="8"/>
  <c r="CL36" i="8"/>
  <c r="CL48" i="8"/>
  <c r="CL40" i="8"/>
  <c r="CL34" i="8"/>
  <c r="CL28" i="8"/>
  <c r="CL41" i="8"/>
  <c r="CL43" i="8"/>
  <c r="CL42" i="8"/>
  <c r="CL54" i="8"/>
  <c r="CL49" i="8"/>
  <c r="CL45" i="8"/>
  <c r="CL30" i="8"/>
  <c r="CL19" i="8"/>
  <c r="CL14" i="8"/>
  <c r="CL13" i="8"/>
  <c r="CL8" i="8"/>
  <c r="CL3" i="8"/>
  <c r="CL32" i="8"/>
  <c r="CL38" i="8"/>
  <c r="CL15" i="8"/>
  <c r="CL10" i="8"/>
  <c r="CL20" i="8"/>
  <c r="CL5" i="8"/>
  <c r="CL2" i="8"/>
  <c r="CL21" i="8"/>
  <c r="CL7" i="8"/>
  <c r="CL6" i="8"/>
  <c r="CL26" i="8"/>
  <c r="CL22" i="8"/>
  <c r="CL24" i="8"/>
  <c r="CL17" i="8"/>
  <c r="CL16" i="8"/>
  <c r="CL9" i="8"/>
  <c r="CL18" i="8"/>
  <c r="CL11" i="8"/>
  <c r="CL12" i="8"/>
  <c r="CL4" i="8"/>
  <c r="BN49" i="9"/>
  <c r="BN47" i="9"/>
  <c r="BN48" i="9"/>
  <c r="BN45" i="9"/>
  <c r="BN44" i="9"/>
  <c r="BN41" i="9"/>
  <c r="BN46" i="9"/>
  <c r="BN43" i="9"/>
  <c r="BN38" i="9"/>
  <c r="BN39" i="9"/>
  <c r="BN36" i="9"/>
  <c r="BN34" i="9"/>
  <c r="BN33" i="9"/>
  <c r="BN30" i="9"/>
  <c r="BN37" i="9"/>
  <c r="BN28" i="9"/>
  <c r="BN26" i="9"/>
  <c r="BN27" i="9"/>
  <c r="BN32" i="9"/>
  <c r="BN42" i="9"/>
  <c r="BN40" i="9"/>
  <c r="BN31" i="9"/>
  <c r="BN23" i="9"/>
  <c r="BN21" i="9"/>
  <c r="BN19" i="9"/>
  <c r="BN17" i="9"/>
  <c r="BN15" i="9"/>
  <c r="BN14" i="9"/>
  <c r="BN22" i="9"/>
  <c r="BN10" i="9"/>
  <c r="BN8" i="9"/>
  <c r="BN6" i="9"/>
  <c r="BN29" i="9"/>
  <c r="BN35" i="9"/>
  <c r="BN24" i="9"/>
  <c r="BN13" i="9"/>
  <c r="BN18" i="9"/>
  <c r="BN11" i="9"/>
  <c r="BN7" i="9"/>
  <c r="BN25" i="9"/>
  <c r="BN20" i="9"/>
  <c r="BN16" i="9"/>
  <c r="BN5" i="9"/>
  <c r="BN3" i="9"/>
  <c r="BN12" i="9"/>
  <c r="BN2" i="9"/>
  <c r="BN4" i="9"/>
  <c r="BN9" i="9"/>
  <c r="J49" i="8"/>
  <c r="J48" i="8"/>
  <c r="J35" i="8"/>
  <c r="J33" i="8"/>
  <c r="J31" i="8"/>
  <c r="J29" i="8"/>
  <c r="J27" i="8"/>
  <c r="J25" i="8"/>
  <c r="J23" i="8"/>
  <c r="J45" i="8"/>
  <c r="J40" i="8"/>
  <c r="J38" i="8"/>
  <c r="J42" i="8"/>
  <c r="J41" i="8"/>
  <c r="J43" i="8"/>
  <c r="J44" i="8"/>
  <c r="J47" i="8"/>
  <c r="J26" i="8"/>
  <c r="J46" i="8"/>
  <c r="J37" i="8"/>
  <c r="J30" i="8"/>
  <c r="J15" i="8"/>
  <c r="J10" i="8"/>
  <c r="J20" i="8"/>
  <c r="J9" i="8"/>
  <c r="J4" i="8"/>
  <c r="J36" i="8"/>
  <c r="J32" i="8"/>
  <c r="J39" i="8"/>
  <c r="J34" i="8"/>
  <c r="J22" i="8"/>
  <c r="J11" i="8"/>
  <c r="J6" i="8"/>
  <c r="J21" i="8"/>
  <c r="J14" i="8"/>
  <c r="J3" i="8"/>
  <c r="J7" i="8"/>
  <c r="J8" i="8"/>
  <c r="J28" i="8"/>
  <c r="J16" i="8"/>
  <c r="J17" i="8"/>
  <c r="J19" i="8"/>
  <c r="J18" i="8"/>
  <c r="J24" i="8"/>
  <c r="J12" i="8"/>
  <c r="J2" i="8"/>
  <c r="J13" i="8"/>
  <c r="J5" i="8"/>
  <c r="IO149" i="7"/>
  <c r="IO150" i="7"/>
  <c r="IO151" i="7"/>
  <c r="JL55" i="9"/>
  <c r="JL49" i="9"/>
  <c r="JL48" i="9"/>
  <c r="JL46" i="9"/>
  <c r="JL44" i="9"/>
  <c r="JL53" i="9"/>
  <c r="JL45" i="9"/>
  <c r="JL54" i="9"/>
  <c r="JL42" i="9"/>
  <c r="JL43" i="9"/>
  <c r="JL36" i="9"/>
  <c r="JL34" i="9"/>
  <c r="JL32" i="9"/>
  <c r="JL40" i="9"/>
  <c r="JL38" i="9"/>
  <c r="JL47" i="9"/>
  <c r="JL33" i="9"/>
  <c r="JL39" i="9"/>
  <c r="JL41" i="9"/>
  <c r="JL29" i="9"/>
  <c r="JL26" i="9"/>
  <c r="JL31" i="9"/>
  <c r="JL37" i="9"/>
  <c r="JL27" i="9"/>
  <c r="JL23" i="9"/>
  <c r="JL21" i="9"/>
  <c r="JL19" i="9"/>
  <c r="JL17" i="9"/>
  <c r="JL15" i="9"/>
  <c r="JL13" i="9"/>
  <c r="JL30" i="9"/>
  <c r="JL35" i="9"/>
  <c r="JL12" i="9"/>
  <c r="JL22" i="9"/>
  <c r="JL28" i="9"/>
  <c r="JL25" i="9"/>
  <c r="JL24" i="9"/>
  <c r="JL14" i="9"/>
  <c r="JL11" i="9"/>
  <c r="JL18" i="9"/>
  <c r="JL10" i="9"/>
  <c r="JL8" i="9"/>
  <c r="JL3" i="9"/>
  <c r="JL20" i="9"/>
  <c r="JL16" i="9"/>
  <c r="JL5" i="9"/>
  <c r="JL4" i="9"/>
  <c r="JL7" i="9"/>
  <c r="JL2" i="9"/>
  <c r="JL6" i="9"/>
  <c r="JL9" i="9"/>
  <c r="HX55" i="9"/>
  <c r="HX53" i="9"/>
  <c r="HX48" i="9"/>
  <c r="HX46" i="9"/>
  <c r="HX47" i="9"/>
  <c r="HX44" i="9"/>
  <c r="HX54" i="9"/>
  <c r="HX45" i="9"/>
  <c r="HX36" i="9"/>
  <c r="HX34" i="9"/>
  <c r="HX32" i="9"/>
  <c r="HX41" i="9"/>
  <c r="HX49" i="9"/>
  <c r="HX33" i="9"/>
  <c r="HX39" i="9"/>
  <c r="HX35" i="9"/>
  <c r="HX30" i="9"/>
  <c r="HX26" i="9"/>
  <c r="HX37" i="9"/>
  <c r="HX29" i="9"/>
  <c r="HX28" i="9"/>
  <c r="HX40" i="9"/>
  <c r="HX38" i="9"/>
  <c r="HX23" i="9"/>
  <c r="HX21" i="9"/>
  <c r="HX19" i="9"/>
  <c r="HX17" i="9"/>
  <c r="HX15" i="9"/>
  <c r="HX13" i="9"/>
  <c r="HX27" i="9"/>
  <c r="HX43" i="9"/>
  <c r="HX18" i="9"/>
  <c r="HX31" i="9"/>
  <c r="HX25" i="9"/>
  <c r="HX12" i="9"/>
  <c r="HX14" i="9"/>
  <c r="HX6" i="9"/>
  <c r="HX11" i="9"/>
  <c r="HX5" i="9"/>
  <c r="HX4" i="9"/>
  <c r="HX3" i="9"/>
  <c r="HX20" i="9"/>
  <c r="HX16" i="9"/>
  <c r="HX7" i="9"/>
  <c r="HX2" i="9"/>
  <c r="HX24" i="9"/>
  <c r="HX22" i="9"/>
  <c r="HX42" i="9"/>
  <c r="HX8" i="9"/>
  <c r="HX10" i="9"/>
  <c r="HX9" i="9"/>
  <c r="EN55" i="9"/>
  <c r="EN53" i="9"/>
  <c r="EN54" i="9"/>
  <c r="EN49" i="9"/>
  <c r="EN48" i="9"/>
  <c r="EN46" i="9"/>
  <c r="EN47" i="9"/>
  <c r="EN45" i="9"/>
  <c r="EN44" i="9"/>
  <c r="EN42" i="9"/>
  <c r="EN43" i="9"/>
  <c r="EN41" i="9"/>
  <c r="EN36" i="9"/>
  <c r="EN34" i="9"/>
  <c r="EN33" i="9"/>
  <c r="EN32" i="9"/>
  <c r="EN39" i="9"/>
  <c r="EN37" i="9"/>
  <c r="EN29" i="9"/>
  <c r="EN28" i="9"/>
  <c r="EN26" i="9"/>
  <c r="EN40" i="9"/>
  <c r="EN31" i="9"/>
  <c r="EN38" i="9"/>
  <c r="EN27" i="9"/>
  <c r="EN23" i="9"/>
  <c r="EN21" i="9"/>
  <c r="EN19" i="9"/>
  <c r="EN17" i="9"/>
  <c r="EN15" i="9"/>
  <c r="EN13" i="9"/>
  <c r="EN35" i="9"/>
  <c r="EN25" i="9"/>
  <c r="EN12" i="9"/>
  <c r="EN22" i="9"/>
  <c r="EN24" i="9"/>
  <c r="EN14" i="9"/>
  <c r="EN16" i="9"/>
  <c r="EN11" i="9"/>
  <c r="EN10" i="9"/>
  <c r="EN8" i="9"/>
  <c r="EN3" i="9"/>
  <c r="EN30" i="9"/>
  <c r="EN5" i="9"/>
  <c r="EN4" i="9"/>
  <c r="EN7" i="9"/>
  <c r="EN20" i="9"/>
  <c r="EN18" i="9"/>
  <c r="EN9" i="9"/>
  <c r="EN2" i="9"/>
  <c r="EN6" i="9"/>
  <c r="BD151" i="7"/>
  <c r="BD149" i="7"/>
  <c r="BD150" i="7"/>
  <c r="IX149" i="7"/>
  <c r="IX150" i="7"/>
  <c r="IX151" i="7"/>
  <c r="O151" i="7"/>
  <c r="O150" i="7"/>
  <c r="O149" i="7"/>
  <c r="JX150" i="7"/>
  <c r="JX149" i="7"/>
  <c r="JX151" i="7"/>
  <c r="JP150" i="7"/>
  <c r="JP149" i="7"/>
  <c r="JP151" i="7"/>
  <c r="JH54" i="9"/>
  <c r="JH53" i="9"/>
  <c r="JH55" i="9"/>
  <c r="JH47" i="9"/>
  <c r="JH48" i="9"/>
  <c r="JH45" i="9"/>
  <c r="JH49" i="9"/>
  <c r="JH46" i="9"/>
  <c r="JH43" i="9"/>
  <c r="JH44" i="9"/>
  <c r="JH37" i="9"/>
  <c r="JH35" i="9"/>
  <c r="JH33" i="9"/>
  <c r="JH38" i="9"/>
  <c r="JH40" i="9"/>
  <c r="JH34" i="9"/>
  <c r="JH36" i="9"/>
  <c r="JH27" i="9"/>
  <c r="JH25" i="9"/>
  <c r="JH41" i="9"/>
  <c r="JH30" i="9"/>
  <c r="JH39" i="9"/>
  <c r="JH29" i="9"/>
  <c r="JH28" i="9"/>
  <c r="JH24" i="9"/>
  <c r="JH22" i="9"/>
  <c r="JH20" i="9"/>
  <c r="JH18" i="9"/>
  <c r="JH16" i="9"/>
  <c r="JH14" i="9"/>
  <c r="JH12" i="9"/>
  <c r="JH42" i="9"/>
  <c r="JH32" i="9"/>
  <c r="JH19" i="9"/>
  <c r="JH26" i="9"/>
  <c r="JH31" i="9"/>
  <c r="JH15" i="9"/>
  <c r="JH13" i="9"/>
  <c r="JH17" i="9"/>
  <c r="JH7" i="9"/>
  <c r="JH6" i="9"/>
  <c r="JH5" i="9"/>
  <c r="JH2" i="9"/>
  <c r="JH21" i="9"/>
  <c r="JH3" i="9"/>
  <c r="JH11" i="9"/>
  <c r="JH10" i="9"/>
  <c r="JH23" i="9"/>
  <c r="JH9" i="9"/>
  <c r="JH8" i="9"/>
  <c r="JH4" i="9"/>
  <c r="IZ150" i="7"/>
  <c r="IZ149" i="7"/>
  <c r="IZ151" i="7"/>
  <c r="IR54" i="9"/>
  <c r="IR53" i="9"/>
  <c r="IR47" i="9"/>
  <c r="IR45" i="9"/>
  <c r="IR55" i="9"/>
  <c r="IR44" i="9"/>
  <c r="IR49" i="9"/>
  <c r="IR42" i="9"/>
  <c r="IR46" i="9"/>
  <c r="IR48" i="9"/>
  <c r="IR40" i="9"/>
  <c r="IR39" i="9"/>
  <c r="IR37" i="9"/>
  <c r="IR35" i="9"/>
  <c r="IR33" i="9"/>
  <c r="IR43" i="9"/>
  <c r="IR36" i="9"/>
  <c r="IR32" i="9"/>
  <c r="IR27" i="9"/>
  <c r="IR25" i="9"/>
  <c r="IR29" i="9"/>
  <c r="IR24" i="9"/>
  <c r="IR22" i="9"/>
  <c r="IR20" i="9"/>
  <c r="IR18" i="9"/>
  <c r="IR16" i="9"/>
  <c r="IR14" i="9"/>
  <c r="IR12" i="9"/>
  <c r="IR28" i="9"/>
  <c r="IR38" i="9"/>
  <c r="IR34" i="9"/>
  <c r="IR31" i="9"/>
  <c r="IR26" i="9"/>
  <c r="IR15" i="9"/>
  <c r="IR41" i="9"/>
  <c r="IR17" i="9"/>
  <c r="IR4" i="9"/>
  <c r="IR19" i="9"/>
  <c r="IR8" i="9"/>
  <c r="IR2" i="9"/>
  <c r="IR23" i="9"/>
  <c r="IR10" i="9"/>
  <c r="IR6" i="9"/>
  <c r="IR30" i="9"/>
  <c r="IR21" i="9"/>
  <c r="IR7" i="9"/>
  <c r="IR9" i="9"/>
  <c r="IR3" i="9"/>
  <c r="IR5" i="9"/>
  <c r="IR11" i="9"/>
  <c r="IR13" i="9"/>
  <c r="IB151" i="7"/>
  <c r="IB150" i="7"/>
  <c r="IB149" i="7"/>
  <c r="HT150" i="7"/>
  <c r="HT149" i="7"/>
  <c r="HT151" i="7"/>
  <c r="FP151" i="7"/>
  <c r="FP150" i="7"/>
  <c r="FP149" i="7"/>
  <c r="EB150" i="7"/>
  <c r="EB149" i="7"/>
  <c r="EB151" i="7"/>
  <c r="DD151" i="7"/>
  <c r="DD150" i="7"/>
  <c r="DD149" i="7"/>
  <c r="DD55" i="8"/>
  <c r="DD53" i="8"/>
  <c r="DD49" i="8"/>
  <c r="DD47" i="8"/>
  <c r="DD45" i="8"/>
  <c r="DD43" i="8"/>
  <c r="DD41" i="8"/>
  <c r="DD39" i="8"/>
  <c r="DD37" i="8"/>
  <c r="DD46" i="8"/>
  <c r="DD42" i="8"/>
  <c r="DD54" i="8"/>
  <c r="DD44" i="8"/>
  <c r="DD36" i="8"/>
  <c r="DD35" i="8"/>
  <c r="DD33" i="8"/>
  <c r="DD31" i="8"/>
  <c r="DD30" i="8"/>
  <c r="DD27" i="8"/>
  <c r="DD40" i="8"/>
  <c r="DD38" i="8"/>
  <c r="DD21" i="8"/>
  <c r="DD19" i="8"/>
  <c r="DD17" i="8"/>
  <c r="DD15" i="8"/>
  <c r="DD13" i="8"/>
  <c r="DD11" i="8"/>
  <c r="DD9" i="8"/>
  <c r="DD7" i="8"/>
  <c r="DD5" i="8"/>
  <c r="DD3" i="8"/>
  <c r="DD48" i="8"/>
  <c r="DD29" i="8"/>
  <c r="DD12" i="8"/>
  <c r="DD23" i="8"/>
  <c r="DD22" i="8"/>
  <c r="DD6" i="8"/>
  <c r="DD2" i="8"/>
  <c r="DD32" i="8"/>
  <c r="DD34" i="8"/>
  <c r="DD8" i="8"/>
  <c r="DD25" i="8"/>
  <c r="DD4" i="8"/>
  <c r="DD20" i="8"/>
  <c r="DD14" i="8"/>
  <c r="DD16" i="8"/>
  <c r="DD26" i="8"/>
  <c r="DD28" i="8"/>
  <c r="DD24" i="8"/>
  <c r="DD10" i="8"/>
  <c r="DD18" i="8"/>
  <c r="CV55" i="8"/>
  <c r="CV53" i="8"/>
  <c r="CV49" i="8"/>
  <c r="CV47" i="8"/>
  <c r="CV45" i="8"/>
  <c r="CV43" i="8"/>
  <c r="CV41" i="8"/>
  <c r="CV39" i="8"/>
  <c r="CV37" i="8"/>
  <c r="CV54" i="8"/>
  <c r="CV40" i="8"/>
  <c r="CV42" i="8"/>
  <c r="CV35" i="8"/>
  <c r="CV33" i="8"/>
  <c r="CV31" i="8"/>
  <c r="CV46" i="8"/>
  <c r="CV44" i="8"/>
  <c r="CV28" i="8"/>
  <c r="CV25" i="8"/>
  <c r="CV34" i="8"/>
  <c r="CV21" i="8"/>
  <c r="CV19" i="8"/>
  <c r="CV17" i="8"/>
  <c r="CV15" i="8"/>
  <c r="CV13" i="8"/>
  <c r="CV11" i="8"/>
  <c r="CV9" i="8"/>
  <c r="CV7" i="8"/>
  <c r="CV5" i="8"/>
  <c r="CV3" i="8"/>
  <c r="CV48" i="8"/>
  <c r="CV30" i="8"/>
  <c r="CV27" i="8"/>
  <c r="CV10" i="8"/>
  <c r="CV24" i="8"/>
  <c r="CV20" i="8"/>
  <c r="CV4" i="8"/>
  <c r="CV38" i="8"/>
  <c r="CV36" i="8"/>
  <c r="CV29" i="8"/>
  <c r="CV22" i="8"/>
  <c r="CV6" i="8"/>
  <c r="CV16" i="8"/>
  <c r="CV23" i="8"/>
  <c r="CV18" i="8"/>
  <c r="CV12" i="8"/>
  <c r="CV32" i="8"/>
  <c r="CV14" i="8"/>
  <c r="CV26" i="8"/>
  <c r="CV2" i="8"/>
  <c r="CV8" i="8"/>
  <c r="AR49" i="9"/>
  <c r="AR47" i="9"/>
  <c r="AR45" i="9"/>
  <c r="AR48" i="9"/>
  <c r="AR46" i="9"/>
  <c r="AR54" i="9"/>
  <c r="AR44" i="9"/>
  <c r="AR43" i="9"/>
  <c r="AR37" i="9"/>
  <c r="AR35" i="9"/>
  <c r="AR33" i="9"/>
  <c r="AR41" i="9"/>
  <c r="AR40" i="9"/>
  <c r="AR32" i="9"/>
  <c r="AR31" i="9"/>
  <c r="AR27" i="9"/>
  <c r="AR38" i="9"/>
  <c r="AR36" i="9"/>
  <c r="AR30" i="9"/>
  <c r="AR42" i="9"/>
  <c r="AR26" i="9"/>
  <c r="AR24" i="9"/>
  <c r="AR22" i="9"/>
  <c r="AR20" i="9"/>
  <c r="AR18" i="9"/>
  <c r="AR16" i="9"/>
  <c r="AR14" i="9"/>
  <c r="AR39" i="9"/>
  <c r="AR34" i="9"/>
  <c r="AR29" i="9"/>
  <c r="AR25" i="9"/>
  <c r="AR21" i="9"/>
  <c r="AR28" i="9"/>
  <c r="AR23" i="9"/>
  <c r="AR13" i="9"/>
  <c r="AR10" i="9"/>
  <c r="AR17" i="9"/>
  <c r="AR4" i="9"/>
  <c r="AR2" i="9"/>
  <c r="AR19" i="9"/>
  <c r="AR15" i="9"/>
  <c r="AR11" i="9"/>
  <c r="AR12" i="9"/>
  <c r="AR7" i="9"/>
  <c r="AR8" i="9"/>
  <c r="AR6" i="9"/>
  <c r="AR5" i="9"/>
  <c r="AR3" i="9"/>
  <c r="AR9" i="9"/>
  <c r="L150" i="7"/>
  <c r="L149" i="7"/>
  <c r="L53" i="9" s="1"/>
  <c r="L151" i="7"/>
  <c r="L55" i="9" s="1"/>
  <c r="JG151" i="7"/>
  <c r="JG150" i="7"/>
  <c r="JG149" i="7"/>
  <c r="IA151" i="7"/>
  <c r="IA149" i="7"/>
  <c r="IA150" i="7"/>
  <c r="EQ55" i="9"/>
  <c r="EQ54" i="9"/>
  <c r="EQ53" i="9"/>
  <c r="EQ49" i="9"/>
  <c r="EQ45" i="9"/>
  <c r="EQ46" i="9"/>
  <c r="EQ48" i="9"/>
  <c r="EQ47" i="9"/>
  <c r="EQ44" i="9"/>
  <c r="EQ42" i="9"/>
  <c r="EQ40" i="9"/>
  <c r="EQ43" i="9"/>
  <c r="EQ41" i="9"/>
  <c r="EQ38" i="9"/>
  <c r="EQ37" i="9"/>
  <c r="EQ35" i="9"/>
  <c r="EQ33" i="9"/>
  <c r="EQ30" i="9"/>
  <c r="EQ32" i="9"/>
  <c r="EQ27" i="9"/>
  <c r="EQ25" i="9"/>
  <c r="EQ39" i="9"/>
  <c r="EQ36" i="9"/>
  <c r="EQ26" i="9"/>
  <c r="EQ34" i="9"/>
  <c r="EQ24" i="9"/>
  <c r="EQ22" i="9"/>
  <c r="EQ20" i="9"/>
  <c r="EQ18" i="9"/>
  <c r="EQ16" i="9"/>
  <c r="EQ14" i="9"/>
  <c r="EQ12" i="9"/>
  <c r="EQ31" i="9"/>
  <c r="EQ10" i="9"/>
  <c r="EQ8" i="9"/>
  <c r="EQ29" i="9"/>
  <c r="EQ21" i="9"/>
  <c r="EQ13" i="9"/>
  <c r="EQ28" i="9"/>
  <c r="EQ23" i="9"/>
  <c r="EQ17" i="9"/>
  <c r="EQ19" i="9"/>
  <c r="EQ15" i="9"/>
  <c r="EQ11" i="9"/>
  <c r="EQ3" i="9"/>
  <c r="EQ4" i="9"/>
  <c r="EQ6" i="9"/>
  <c r="EQ2" i="9"/>
  <c r="EQ7" i="9"/>
  <c r="EQ9" i="9"/>
  <c r="EQ5" i="9"/>
  <c r="EI54" i="9"/>
  <c r="EI55" i="9"/>
  <c r="EI49" i="9"/>
  <c r="EI48" i="9"/>
  <c r="EI45" i="9"/>
  <c r="EI53" i="9"/>
  <c r="EI44" i="9"/>
  <c r="EI42" i="9"/>
  <c r="EI40" i="9"/>
  <c r="EI47" i="9"/>
  <c r="EI46" i="9"/>
  <c r="EI41" i="9"/>
  <c r="EI43" i="9"/>
  <c r="EI38" i="9"/>
  <c r="EI39" i="9"/>
  <c r="EI37" i="9"/>
  <c r="EI35" i="9"/>
  <c r="EI33" i="9"/>
  <c r="EI30" i="9"/>
  <c r="EI27" i="9"/>
  <c r="EI25" i="9"/>
  <c r="EI32" i="9"/>
  <c r="EI24" i="9"/>
  <c r="EI22" i="9"/>
  <c r="EI20" i="9"/>
  <c r="EI18" i="9"/>
  <c r="EI16" i="9"/>
  <c r="EI14" i="9"/>
  <c r="EI12" i="9"/>
  <c r="EI34" i="9"/>
  <c r="EI10" i="9"/>
  <c r="EI8" i="9"/>
  <c r="EI31" i="9"/>
  <c r="EI19" i="9"/>
  <c r="EI36" i="9"/>
  <c r="EI29" i="9"/>
  <c r="EI28" i="9"/>
  <c r="EI21" i="9"/>
  <c r="EI9" i="9"/>
  <c r="EI13" i="9"/>
  <c r="EI23" i="9"/>
  <c r="EI26" i="9"/>
  <c r="EI3" i="9"/>
  <c r="EI5" i="9"/>
  <c r="EI11" i="9"/>
  <c r="EI2" i="9"/>
  <c r="EI17" i="9"/>
  <c r="EI15" i="9"/>
  <c r="EI6" i="9"/>
  <c r="EI4" i="9"/>
  <c r="EI7" i="9"/>
  <c r="DS54" i="9"/>
  <c r="DS55" i="9"/>
  <c r="DS49" i="9"/>
  <c r="DS45" i="9"/>
  <c r="DS46" i="9"/>
  <c r="DS44" i="9"/>
  <c r="DS42" i="9"/>
  <c r="DS40" i="9"/>
  <c r="DS47" i="9"/>
  <c r="DS48" i="9"/>
  <c r="DS38" i="9"/>
  <c r="DS41" i="9"/>
  <c r="DS37" i="9"/>
  <c r="DS35" i="9"/>
  <c r="DS33" i="9"/>
  <c r="DS43" i="9"/>
  <c r="DS30" i="9"/>
  <c r="DS53" i="9"/>
  <c r="DS36" i="9"/>
  <c r="DS27" i="9"/>
  <c r="DS25" i="9"/>
  <c r="DS34" i="9"/>
  <c r="DS31" i="9"/>
  <c r="DS24" i="9"/>
  <c r="DS22" i="9"/>
  <c r="DS20" i="9"/>
  <c r="DS18" i="9"/>
  <c r="DS16" i="9"/>
  <c r="DS14" i="9"/>
  <c r="DS12" i="9"/>
  <c r="DS39" i="9"/>
  <c r="DS21" i="9"/>
  <c r="DS10" i="9"/>
  <c r="DS8" i="9"/>
  <c r="DS29" i="9"/>
  <c r="DS15" i="9"/>
  <c r="DS32" i="9"/>
  <c r="DS28" i="9"/>
  <c r="DS17" i="9"/>
  <c r="DS13" i="9"/>
  <c r="DS6" i="9"/>
  <c r="DS5" i="9"/>
  <c r="DS26" i="9"/>
  <c r="DS23" i="9"/>
  <c r="DS4" i="9"/>
  <c r="DS3" i="9"/>
  <c r="DS11" i="9"/>
  <c r="DS9" i="9"/>
  <c r="DS19" i="9"/>
  <c r="DS2" i="9"/>
  <c r="DS7" i="9"/>
  <c r="DC55" i="9"/>
  <c r="DC54" i="9"/>
  <c r="DC53" i="9"/>
  <c r="DC45" i="9"/>
  <c r="DC48" i="9"/>
  <c r="DC46" i="9"/>
  <c r="DC44" i="9"/>
  <c r="DC42" i="9"/>
  <c r="DC40" i="9"/>
  <c r="DC43" i="9"/>
  <c r="DC38" i="9"/>
  <c r="DC49" i="9"/>
  <c r="DC47" i="9"/>
  <c r="DC37" i="9"/>
  <c r="DC35" i="9"/>
  <c r="DC33" i="9"/>
  <c r="DC41" i="9"/>
  <c r="DC30" i="9"/>
  <c r="DC32" i="9"/>
  <c r="DC34" i="9"/>
  <c r="DC39" i="9"/>
  <c r="DC31" i="9"/>
  <c r="DC27" i="9"/>
  <c r="DC25" i="9"/>
  <c r="DC36" i="9"/>
  <c r="DC26" i="9"/>
  <c r="DC24" i="9"/>
  <c r="DC22" i="9"/>
  <c r="DC20" i="9"/>
  <c r="DC18" i="9"/>
  <c r="DC16" i="9"/>
  <c r="DC14" i="9"/>
  <c r="DC12" i="9"/>
  <c r="DC28" i="9"/>
  <c r="DC17" i="9"/>
  <c r="DC10" i="9"/>
  <c r="DC8" i="9"/>
  <c r="DC29" i="9"/>
  <c r="DC13" i="9"/>
  <c r="DC9" i="9"/>
  <c r="DC19" i="9"/>
  <c r="DC15" i="9"/>
  <c r="DC6" i="9"/>
  <c r="DC5" i="9"/>
  <c r="DC3" i="9"/>
  <c r="DC21" i="9"/>
  <c r="DC11" i="9"/>
  <c r="DC4" i="9"/>
  <c r="DC2" i="9"/>
  <c r="DC7" i="9"/>
  <c r="DC23" i="9"/>
  <c r="JV54" i="9"/>
  <c r="JV55" i="9"/>
  <c r="JV47" i="9"/>
  <c r="JV49" i="9"/>
  <c r="JV53" i="9"/>
  <c r="JV48" i="9"/>
  <c r="JV45" i="9"/>
  <c r="JV42" i="9"/>
  <c r="JV44" i="9"/>
  <c r="JV43" i="9"/>
  <c r="JV41" i="9"/>
  <c r="JV38" i="9"/>
  <c r="JV46" i="9"/>
  <c r="JV36" i="9"/>
  <c r="JV34" i="9"/>
  <c r="JV32" i="9"/>
  <c r="JV33" i="9"/>
  <c r="JV30" i="9"/>
  <c r="JV35" i="9"/>
  <c r="JV29" i="9"/>
  <c r="JV39" i="9"/>
  <c r="JV26" i="9"/>
  <c r="JV40" i="9"/>
  <c r="JV27" i="9"/>
  <c r="JV37" i="9"/>
  <c r="JV23" i="9"/>
  <c r="JV21" i="9"/>
  <c r="JV19" i="9"/>
  <c r="JV17" i="9"/>
  <c r="JV15" i="9"/>
  <c r="JV18" i="9"/>
  <c r="JV12" i="9"/>
  <c r="JV10" i="9"/>
  <c r="JV8" i="9"/>
  <c r="JV6" i="9"/>
  <c r="JV4" i="9"/>
  <c r="JV28" i="9"/>
  <c r="JV31" i="9"/>
  <c r="JV14" i="9"/>
  <c r="JV22" i="9"/>
  <c r="JV24" i="9"/>
  <c r="JV13" i="9"/>
  <c r="JV9" i="9"/>
  <c r="JV7" i="9"/>
  <c r="JV2" i="9"/>
  <c r="JV11" i="9"/>
  <c r="JV20" i="9"/>
  <c r="JV16" i="9"/>
  <c r="JV25" i="9"/>
  <c r="JV5" i="9"/>
  <c r="JV3" i="9"/>
  <c r="IH54" i="9"/>
  <c r="IH55" i="9"/>
  <c r="IH53" i="9"/>
  <c r="IH47" i="9"/>
  <c r="IH49" i="9"/>
  <c r="IH48" i="9"/>
  <c r="IH45" i="9"/>
  <c r="IH44" i="9"/>
  <c r="IH43" i="9"/>
  <c r="IH46" i="9"/>
  <c r="IH38" i="9"/>
  <c r="IH40" i="9"/>
  <c r="IH41" i="9"/>
  <c r="IH36" i="9"/>
  <c r="IH34" i="9"/>
  <c r="IH32" i="9"/>
  <c r="IH30" i="9"/>
  <c r="IH35" i="9"/>
  <c r="IH39" i="9"/>
  <c r="IH29" i="9"/>
  <c r="IH26" i="9"/>
  <c r="IH37" i="9"/>
  <c r="IH42" i="9"/>
  <c r="IH33" i="9"/>
  <c r="IH28" i="9"/>
  <c r="IH23" i="9"/>
  <c r="IH21" i="9"/>
  <c r="IH19" i="9"/>
  <c r="IH17" i="9"/>
  <c r="IH15" i="9"/>
  <c r="IH31" i="9"/>
  <c r="IH24" i="9"/>
  <c r="IH18" i="9"/>
  <c r="IH10" i="9"/>
  <c r="IH8" i="9"/>
  <c r="IH6" i="9"/>
  <c r="IH4" i="9"/>
  <c r="IH27" i="9"/>
  <c r="IH20" i="9"/>
  <c r="IH12" i="9"/>
  <c r="IH22" i="9"/>
  <c r="IH13" i="9"/>
  <c r="IH5" i="9"/>
  <c r="IH25" i="9"/>
  <c r="IH9" i="9"/>
  <c r="IH16" i="9"/>
  <c r="IH3" i="9"/>
  <c r="IH11" i="9"/>
  <c r="IH2" i="9"/>
  <c r="IH7" i="9"/>
  <c r="IH14" i="9"/>
  <c r="FN49" i="8"/>
  <c r="FN46" i="8"/>
  <c r="FN55" i="8"/>
  <c r="FN48" i="8"/>
  <c r="FN43" i="8"/>
  <c r="FN35" i="8"/>
  <c r="FN33" i="8"/>
  <c r="FN31" i="8"/>
  <c r="FN29" i="8"/>
  <c r="FN27" i="8"/>
  <c r="FN25" i="8"/>
  <c r="FN23" i="8"/>
  <c r="FN38" i="8"/>
  <c r="FN54" i="8"/>
  <c r="FN47" i="8"/>
  <c r="FN39" i="8"/>
  <c r="FN24" i="8"/>
  <c r="FN41" i="8"/>
  <c r="FN40" i="8"/>
  <c r="FN37" i="8"/>
  <c r="FN32" i="8"/>
  <c r="FN42" i="8"/>
  <c r="FN53" i="8"/>
  <c r="FN44" i="8"/>
  <c r="FN45" i="8"/>
  <c r="FN36" i="8"/>
  <c r="FN34" i="8"/>
  <c r="FN26" i="8"/>
  <c r="FN28" i="8"/>
  <c r="FN18" i="8"/>
  <c r="FN7" i="8"/>
  <c r="FN17" i="8"/>
  <c r="FN12" i="8"/>
  <c r="FN19" i="8"/>
  <c r="FN14" i="8"/>
  <c r="FN5" i="8"/>
  <c r="FN4" i="8"/>
  <c r="FN21" i="8"/>
  <c r="FN20" i="8"/>
  <c r="FN13" i="8"/>
  <c r="FN6" i="8"/>
  <c r="FN22" i="8"/>
  <c r="FN15" i="8"/>
  <c r="FN16" i="8"/>
  <c r="FN8" i="8"/>
  <c r="FN9" i="8"/>
  <c r="FN30" i="8"/>
  <c r="FN11" i="8"/>
  <c r="FN10" i="8"/>
  <c r="FN3" i="8"/>
  <c r="FN2" i="8"/>
  <c r="DQ54" i="9"/>
  <c r="DQ53" i="9"/>
  <c r="DQ47" i="9"/>
  <c r="DQ55" i="9"/>
  <c r="DQ49" i="9"/>
  <c r="DQ45" i="9"/>
  <c r="DQ46" i="9"/>
  <c r="DQ44" i="9"/>
  <c r="DQ42" i="9"/>
  <c r="DQ41" i="9"/>
  <c r="DQ43" i="9"/>
  <c r="DQ38" i="9"/>
  <c r="DQ37" i="9"/>
  <c r="DQ39" i="9"/>
  <c r="DQ33" i="9"/>
  <c r="DQ31" i="9"/>
  <c r="DQ36" i="9"/>
  <c r="DQ29" i="9"/>
  <c r="DQ48" i="9"/>
  <c r="DQ40" i="9"/>
  <c r="DQ30" i="9"/>
  <c r="DQ26" i="9"/>
  <c r="DQ35" i="9"/>
  <c r="DQ27" i="9"/>
  <c r="DQ16" i="9"/>
  <c r="DQ25" i="9"/>
  <c r="DQ21" i="9"/>
  <c r="DQ12" i="9"/>
  <c r="DQ32" i="9"/>
  <c r="DQ34" i="9"/>
  <c r="DQ28" i="9"/>
  <c r="DQ23" i="9"/>
  <c r="DQ11" i="9"/>
  <c r="DQ22" i="9"/>
  <c r="DQ15" i="9"/>
  <c r="DQ3" i="9"/>
  <c r="DQ7" i="9"/>
  <c r="DQ6" i="9"/>
  <c r="DQ24" i="9"/>
  <c r="DQ9" i="9"/>
  <c r="DQ20" i="9"/>
  <c r="DQ17" i="9"/>
  <c r="DQ14" i="9"/>
  <c r="DQ19" i="9"/>
  <c r="DQ18" i="9"/>
  <c r="DQ4" i="9"/>
  <c r="DQ8" i="9"/>
  <c r="DQ13" i="9"/>
  <c r="DQ10" i="9"/>
  <c r="DQ2" i="9"/>
  <c r="DQ5" i="9"/>
  <c r="AW48" i="8"/>
  <c r="AW46" i="8"/>
  <c r="AW44" i="8"/>
  <c r="AW42" i="8"/>
  <c r="AW40" i="8"/>
  <c r="AW38" i="8"/>
  <c r="AW36" i="8"/>
  <c r="AW47" i="8"/>
  <c r="AW37" i="8"/>
  <c r="AW45" i="8"/>
  <c r="AW35" i="8"/>
  <c r="AW33" i="8"/>
  <c r="AW31" i="8"/>
  <c r="AW29" i="8"/>
  <c r="AW27" i="8"/>
  <c r="AW25" i="8"/>
  <c r="AW24" i="8"/>
  <c r="AW23" i="8"/>
  <c r="AW22" i="8"/>
  <c r="AW20" i="8"/>
  <c r="AW18" i="8"/>
  <c r="AW16" i="8"/>
  <c r="AW14" i="8"/>
  <c r="AW12" i="8"/>
  <c r="AW10" i="8"/>
  <c r="AW8" i="8"/>
  <c r="AW6" i="8"/>
  <c r="AW4" i="8"/>
  <c r="AW2" i="8"/>
  <c r="AW49" i="8"/>
  <c r="AW41" i="8"/>
  <c r="AW26" i="8"/>
  <c r="AW43" i="8"/>
  <c r="AW39" i="8"/>
  <c r="AW15" i="8"/>
  <c r="AW3" i="8"/>
  <c r="AW28" i="8"/>
  <c r="AW9" i="8"/>
  <c r="AW32" i="8"/>
  <c r="AW34" i="8"/>
  <c r="AW11" i="8"/>
  <c r="AW13" i="8"/>
  <c r="AW5" i="8"/>
  <c r="AW21" i="8"/>
  <c r="AW7" i="8"/>
  <c r="AW30" i="8"/>
  <c r="AW17" i="8"/>
  <c r="AW19" i="8"/>
  <c r="CJ54" i="8"/>
  <c r="CJ48" i="8"/>
  <c r="CJ53" i="8"/>
  <c r="CJ47" i="8"/>
  <c r="CJ44" i="8"/>
  <c r="CJ42" i="8"/>
  <c r="CJ40" i="8"/>
  <c r="CJ38" i="8"/>
  <c r="CJ49" i="8"/>
  <c r="CJ46" i="8"/>
  <c r="CJ45" i="8"/>
  <c r="CJ34" i="8"/>
  <c r="CJ32" i="8"/>
  <c r="CJ30" i="8"/>
  <c r="CJ25" i="8"/>
  <c r="CJ36" i="8"/>
  <c r="CJ22" i="8"/>
  <c r="CJ20" i="8"/>
  <c r="CJ18" i="8"/>
  <c r="CJ16" i="8"/>
  <c r="CJ14" i="8"/>
  <c r="CJ12" i="8"/>
  <c r="CJ10" i="8"/>
  <c r="CJ8" i="8"/>
  <c r="CJ6" i="8"/>
  <c r="CJ4" i="8"/>
  <c r="CJ2" i="8"/>
  <c r="CJ41" i="8"/>
  <c r="CJ43" i="8"/>
  <c r="CJ55" i="8"/>
  <c r="CJ27" i="8"/>
  <c r="CJ24" i="8"/>
  <c r="CJ23" i="8"/>
  <c r="CJ15" i="8"/>
  <c r="CJ39" i="8"/>
  <c r="CJ37" i="8"/>
  <c r="CJ29" i="8"/>
  <c r="CJ26" i="8"/>
  <c r="CJ9" i="8"/>
  <c r="CJ31" i="8"/>
  <c r="CJ33" i="8"/>
  <c r="CJ28" i="8"/>
  <c r="CJ11" i="8"/>
  <c r="CJ13" i="8"/>
  <c r="CJ5" i="8"/>
  <c r="CJ21" i="8"/>
  <c r="CJ7" i="8"/>
  <c r="CJ35" i="8"/>
  <c r="CJ17" i="8"/>
  <c r="CJ3" i="8"/>
  <c r="CJ19" i="8"/>
  <c r="AF151" i="7"/>
  <c r="AF150" i="7"/>
  <c r="AF149" i="7"/>
  <c r="M150" i="7"/>
  <c r="M149" i="7"/>
  <c r="M151" i="7"/>
  <c r="HK53" i="9"/>
  <c r="HK55" i="9"/>
  <c r="HK49" i="9"/>
  <c r="HK47" i="9"/>
  <c r="HK45" i="9"/>
  <c r="HK48" i="9"/>
  <c r="HK46" i="9"/>
  <c r="HK42" i="9"/>
  <c r="HK40" i="9"/>
  <c r="HK44" i="9"/>
  <c r="HK54" i="9"/>
  <c r="HK43" i="9"/>
  <c r="HK38" i="9"/>
  <c r="HK41" i="9"/>
  <c r="HK39" i="9"/>
  <c r="HK37" i="9"/>
  <c r="HK35" i="9"/>
  <c r="HK33" i="9"/>
  <c r="HK34" i="9"/>
  <c r="HK30" i="9"/>
  <c r="HK28" i="9"/>
  <c r="HK27" i="9"/>
  <c r="HK25" i="9"/>
  <c r="HK32" i="9"/>
  <c r="HK29" i="9"/>
  <c r="HK24" i="9"/>
  <c r="HK22" i="9"/>
  <c r="HK20" i="9"/>
  <c r="HK18" i="9"/>
  <c r="HK16" i="9"/>
  <c r="HK14" i="9"/>
  <c r="HK12" i="9"/>
  <c r="HK36" i="9"/>
  <c r="HK10" i="9"/>
  <c r="HK8" i="9"/>
  <c r="HK23" i="9"/>
  <c r="HK31" i="9"/>
  <c r="HK21" i="9"/>
  <c r="HK11" i="9"/>
  <c r="HK26" i="9"/>
  <c r="HK7" i="9"/>
  <c r="HK3" i="9"/>
  <c r="HK9" i="9"/>
  <c r="HK17" i="9"/>
  <c r="HK4" i="9"/>
  <c r="HK15" i="9"/>
  <c r="HK19" i="9"/>
  <c r="HK13" i="9"/>
  <c r="HK6" i="9"/>
  <c r="HK2" i="9"/>
  <c r="HK5" i="9"/>
  <c r="JM55" i="9"/>
  <c r="JM54" i="9"/>
  <c r="JM49" i="9"/>
  <c r="JM53" i="9"/>
  <c r="JM47" i="9"/>
  <c r="JM46" i="9"/>
  <c r="JM48" i="9"/>
  <c r="JM44" i="9"/>
  <c r="JM42" i="9"/>
  <c r="JM45" i="9"/>
  <c r="JM40" i="9"/>
  <c r="JM43" i="9"/>
  <c r="JM39" i="9"/>
  <c r="JM37" i="9"/>
  <c r="JM32" i="9"/>
  <c r="JM34" i="9"/>
  <c r="JM31" i="9"/>
  <c r="JM41" i="9"/>
  <c r="JM30" i="9"/>
  <c r="JM38" i="9"/>
  <c r="JM26" i="9"/>
  <c r="JM35" i="9"/>
  <c r="JM33" i="9"/>
  <c r="JM27" i="9"/>
  <c r="JM22" i="9"/>
  <c r="JM17" i="9"/>
  <c r="JM16" i="9"/>
  <c r="JM29" i="9"/>
  <c r="JM28" i="9"/>
  <c r="JM18" i="9"/>
  <c r="JM11" i="9"/>
  <c r="JM9" i="9"/>
  <c r="JM10" i="9"/>
  <c r="JM8" i="9"/>
  <c r="JM3" i="9"/>
  <c r="JM25" i="9"/>
  <c r="JM20" i="9"/>
  <c r="JM19" i="9"/>
  <c r="JM36" i="9"/>
  <c r="JM21" i="9"/>
  <c r="JM23" i="9"/>
  <c r="JM7" i="9"/>
  <c r="JM5" i="9"/>
  <c r="JM12" i="9"/>
  <c r="JM24" i="9"/>
  <c r="JM2" i="9"/>
  <c r="JM15" i="9"/>
  <c r="JM14" i="9"/>
  <c r="JM6" i="9"/>
  <c r="JM4" i="9"/>
  <c r="JM13" i="9"/>
  <c r="DI149" i="7"/>
  <c r="DI150" i="7"/>
  <c r="DI151" i="7"/>
  <c r="GL47" i="8"/>
  <c r="GL49" i="8"/>
  <c r="GL44" i="8"/>
  <c r="GL35" i="8"/>
  <c r="GL33" i="8"/>
  <c r="GL31" i="8"/>
  <c r="GL29" i="8"/>
  <c r="GL27" i="8"/>
  <c r="GL25" i="8"/>
  <c r="GL23" i="8"/>
  <c r="GL43" i="8"/>
  <c r="GL36" i="8"/>
  <c r="GL55" i="8"/>
  <c r="GL54" i="8"/>
  <c r="GL46" i="8"/>
  <c r="GL45" i="8"/>
  <c r="GL40" i="8"/>
  <c r="GL41" i="8"/>
  <c r="GL30" i="8"/>
  <c r="GL42" i="8"/>
  <c r="GL38" i="8"/>
  <c r="GL48" i="8"/>
  <c r="GL53" i="8"/>
  <c r="GL39" i="8"/>
  <c r="GL24" i="8"/>
  <c r="GL13" i="8"/>
  <c r="GL8" i="8"/>
  <c r="GL18" i="8"/>
  <c r="GL7" i="8"/>
  <c r="GL2" i="8"/>
  <c r="GL37" i="8"/>
  <c r="GL32" i="8"/>
  <c r="GL28" i="8"/>
  <c r="GL34" i="8"/>
  <c r="GL20" i="8"/>
  <c r="GL9" i="8"/>
  <c r="GL4" i="8"/>
  <c r="GL21" i="8"/>
  <c r="GL6" i="8"/>
  <c r="GL14" i="8"/>
  <c r="GL3" i="8"/>
  <c r="GL22" i="8"/>
  <c r="GL15" i="8"/>
  <c r="GL17" i="8"/>
  <c r="GL16" i="8"/>
  <c r="GL26" i="8"/>
  <c r="GL11" i="8"/>
  <c r="GL10" i="8"/>
  <c r="GL19" i="8"/>
  <c r="GL12" i="8"/>
  <c r="GL5" i="8"/>
  <c r="JU55" i="9"/>
  <c r="JU53" i="9"/>
  <c r="JU54" i="9"/>
  <c r="JU47" i="9"/>
  <c r="JU48" i="9"/>
  <c r="JU45" i="9"/>
  <c r="JU46" i="9"/>
  <c r="JU49" i="9"/>
  <c r="JU42" i="9"/>
  <c r="JU44" i="9"/>
  <c r="JU43" i="9"/>
  <c r="JU41" i="9"/>
  <c r="JU39" i="9"/>
  <c r="JU38" i="9"/>
  <c r="JU34" i="9"/>
  <c r="JU36" i="9"/>
  <c r="JU31" i="9"/>
  <c r="JU35" i="9"/>
  <c r="JU29" i="9"/>
  <c r="JU33" i="9"/>
  <c r="JU32" i="9"/>
  <c r="JU28" i="9"/>
  <c r="JU40" i="9"/>
  <c r="JU24" i="9"/>
  <c r="JU19" i="9"/>
  <c r="JU18" i="9"/>
  <c r="JU12" i="9"/>
  <c r="JU27" i="9"/>
  <c r="JU26" i="9"/>
  <c r="JU37" i="9"/>
  <c r="JU20" i="9"/>
  <c r="JU15" i="9"/>
  <c r="JU11" i="9"/>
  <c r="JU9" i="9"/>
  <c r="JU25" i="9"/>
  <c r="JU7" i="9"/>
  <c r="JU3" i="9"/>
  <c r="JU22" i="9"/>
  <c r="JU21" i="9"/>
  <c r="JU14" i="9"/>
  <c r="JU23" i="9"/>
  <c r="JU30" i="9"/>
  <c r="JU5" i="9"/>
  <c r="JU4" i="9"/>
  <c r="JU10" i="9"/>
  <c r="JU6" i="9"/>
  <c r="JU2" i="9"/>
  <c r="JU17" i="9"/>
  <c r="JU13" i="9"/>
  <c r="JU8" i="9"/>
  <c r="JU16" i="9"/>
  <c r="HA54" i="8"/>
  <c r="HA48" i="8"/>
  <c r="HA46" i="8"/>
  <c r="HA44" i="8"/>
  <c r="HA42" i="8"/>
  <c r="HA40" i="8"/>
  <c r="HA38" i="8"/>
  <c r="HA36" i="8"/>
  <c r="HA55" i="8"/>
  <c r="HA43" i="8"/>
  <c r="HA37" i="8"/>
  <c r="HA35" i="8"/>
  <c r="HA33" i="8"/>
  <c r="HA31" i="8"/>
  <c r="HA29" i="8"/>
  <c r="HA27" i="8"/>
  <c r="HA25" i="8"/>
  <c r="HA39" i="8"/>
  <c r="HA20" i="8"/>
  <c r="HA18" i="8"/>
  <c r="HA16" i="8"/>
  <c r="HA14" i="8"/>
  <c r="HA12" i="8"/>
  <c r="HA10" i="8"/>
  <c r="HA8" i="8"/>
  <c r="HA6" i="8"/>
  <c r="HA4" i="8"/>
  <c r="HA2" i="8"/>
  <c r="HA49" i="8"/>
  <c r="HA47" i="8"/>
  <c r="HA32" i="8"/>
  <c r="HA26" i="8"/>
  <c r="HA41" i="8"/>
  <c r="HA53" i="8"/>
  <c r="HA34" i="8"/>
  <c r="HA7" i="8"/>
  <c r="HA3" i="8"/>
  <c r="HA23" i="8"/>
  <c r="HA17" i="8"/>
  <c r="HA45" i="8"/>
  <c r="HA30" i="8"/>
  <c r="HA28" i="8"/>
  <c r="HA19" i="8"/>
  <c r="HA5" i="8"/>
  <c r="HA21" i="8"/>
  <c r="HA13" i="8"/>
  <c r="HA15" i="8"/>
  <c r="HA24" i="8"/>
  <c r="HA22" i="8"/>
  <c r="HA9" i="8"/>
  <c r="HA11" i="8"/>
  <c r="DP151" i="7"/>
  <c r="DP149" i="7"/>
  <c r="DP150" i="7"/>
  <c r="AW149" i="7"/>
  <c r="AW151" i="7"/>
  <c r="AW150" i="7"/>
  <c r="IG53" i="9"/>
  <c r="IG54" i="9"/>
  <c r="IG49" i="9"/>
  <c r="IG47" i="9"/>
  <c r="IG46" i="9"/>
  <c r="IG55" i="9"/>
  <c r="IG48" i="9"/>
  <c r="IG45" i="9"/>
  <c r="IG44" i="9"/>
  <c r="IG42" i="9"/>
  <c r="IG43" i="9"/>
  <c r="IG41" i="9"/>
  <c r="IG39" i="9"/>
  <c r="IG35" i="9"/>
  <c r="IG40" i="9"/>
  <c r="IG31" i="9"/>
  <c r="IG30" i="9"/>
  <c r="IG33" i="9"/>
  <c r="IG32" i="9"/>
  <c r="IG28" i="9"/>
  <c r="IG37" i="9"/>
  <c r="IG34" i="9"/>
  <c r="IG36" i="9"/>
  <c r="IG29" i="9"/>
  <c r="IG25" i="9"/>
  <c r="IG38" i="9"/>
  <c r="IG24" i="9"/>
  <c r="IG19" i="9"/>
  <c r="IG27" i="9"/>
  <c r="IG21" i="9"/>
  <c r="IG11" i="9"/>
  <c r="IG9" i="9"/>
  <c r="IG8" i="9"/>
  <c r="IG6" i="9"/>
  <c r="IG3" i="9"/>
  <c r="IG22" i="9"/>
  <c r="IG13" i="9"/>
  <c r="IG5" i="9"/>
  <c r="IG4" i="9"/>
  <c r="IG23" i="9"/>
  <c r="IG26" i="9"/>
  <c r="IG12" i="9"/>
  <c r="IG7" i="9"/>
  <c r="IG20" i="9"/>
  <c r="IG10" i="9"/>
  <c r="IG16" i="9"/>
  <c r="IG17" i="9"/>
  <c r="IG18" i="9"/>
  <c r="IG15" i="9"/>
  <c r="IG14" i="9"/>
  <c r="IG2" i="9"/>
  <c r="FM53" i="9"/>
  <c r="FM55" i="9"/>
  <c r="FM54" i="9"/>
  <c r="FM47" i="9"/>
  <c r="FM49" i="9"/>
  <c r="FM48" i="9"/>
  <c r="FM46" i="9"/>
  <c r="FM45" i="9"/>
  <c r="FM44" i="9"/>
  <c r="FM42" i="9"/>
  <c r="FM43" i="9"/>
  <c r="FM40" i="9"/>
  <c r="FM38" i="9"/>
  <c r="FM41" i="9"/>
  <c r="FM33" i="9"/>
  <c r="FM31" i="9"/>
  <c r="FM39" i="9"/>
  <c r="FM37" i="9"/>
  <c r="FM36" i="9"/>
  <c r="FM29" i="9"/>
  <c r="FM27" i="9"/>
  <c r="FM34" i="9"/>
  <c r="FM35" i="9"/>
  <c r="FM23" i="9"/>
  <c r="FM32" i="9"/>
  <c r="FM22" i="9"/>
  <c r="FM17" i="9"/>
  <c r="FM13" i="9"/>
  <c r="FM28" i="9"/>
  <c r="FM25" i="9"/>
  <c r="FM24" i="9"/>
  <c r="FM19" i="9"/>
  <c r="FM11" i="9"/>
  <c r="FM9" i="9"/>
  <c r="FM12" i="9"/>
  <c r="FM5" i="9"/>
  <c r="FM4" i="9"/>
  <c r="FM3" i="9"/>
  <c r="FM18" i="9"/>
  <c r="FM10" i="9"/>
  <c r="FM30" i="9"/>
  <c r="FM20" i="9"/>
  <c r="FM26" i="9"/>
  <c r="FM16" i="9"/>
  <c r="FM15" i="9"/>
  <c r="FM8" i="9"/>
  <c r="FM21" i="9"/>
  <c r="FM14" i="9"/>
  <c r="FM2" i="9"/>
  <c r="FM6" i="9"/>
  <c r="FM7" i="9"/>
  <c r="DA54" i="8"/>
  <c r="DA48" i="8"/>
  <c r="DA46" i="8"/>
  <c r="DA44" i="8"/>
  <c r="DA42" i="8"/>
  <c r="DA40" i="8"/>
  <c r="DA38" i="8"/>
  <c r="DA36" i="8"/>
  <c r="DA49" i="8"/>
  <c r="DA43" i="8"/>
  <c r="DA35" i="8"/>
  <c r="DA33" i="8"/>
  <c r="DA31" i="8"/>
  <c r="DA29" i="8"/>
  <c r="DA27" i="8"/>
  <c r="DA25" i="8"/>
  <c r="DA53" i="8"/>
  <c r="DA45" i="8"/>
  <c r="DA37" i="8"/>
  <c r="DA22" i="8"/>
  <c r="DA20" i="8"/>
  <c r="DA18" i="8"/>
  <c r="DA16" i="8"/>
  <c r="DA14" i="8"/>
  <c r="DA12" i="8"/>
  <c r="DA10" i="8"/>
  <c r="DA8" i="8"/>
  <c r="DA6" i="8"/>
  <c r="DA4" i="8"/>
  <c r="DA2" i="8"/>
  <c r="DA39" i="8"/>
  <c r="DA41" i="8"/>
  <c r="DA55" i="8"/>
  <c r="DA47" i="8"/>
  <c r="DA34" i="8"/>
  <c r="DA13" i="8"/>
  <c r="DA26" i="8"/>
  <c r="DA7" i="8"/>
  <c r="DA30" i="8"/>
  <c r="DA32" i="8"/>
  <c r="DA9" i="8"/>
  <c r="DA3" i="8"/>
  <c r="DA28" i="8"/>
  <c r="DA11" i="8"/>
  <c r="DA19" i="8"/>
  <c r="DA21" i="8"/>
  <c r="DA15" i="8"/>
  <c r="DA17" i="8"/>
  <c r="DA23" i="8"/>
  <c r="DA24" i="8"/>
  <c r="DA5" i="8"/>
  <c r="DX151" i="7"/>
  <c r="DX149" i="7"/>
  <c r="DX150" i="7"/>
  <c r="GY151" i="7"/>
  <c r="GY150" i="7"/>
  <c r="GY149" i="7"/>
  <c r="X151" i="7"/>
  <c r="X149" i="7"/>
  <c r="X150" i="7"/>
  <c r="KA55" i="8"/>
  <c r="KA53" i="8"/>
  <c r="KA54" i="8"/>
  <c r="KA49" i="8"/>
  <c r="KA46" i="8"/>
  <c r="KA43" i="8"/>
  <c r="KA41" i="8"/>
  <c r="KA39" i="8"/>
  <c r="KA47" i="8"/>
  <c r="KA42" i="8"/>
  <c r="KA45" i="8"/>
  <c r="KA38" i="8"/>
  <c r="KA37" i="8"/>
  <c r="KA32" i="8"/>
  <c r="KA23" i="8"/>
  <c r="KA31" i="8"/>
  <c r="KA27" i="8"/>
  <c r="KA24" i="8"/>
  <c r="KA22" i="8"/>
  <c r="KA40" i="8"/>
  <c r="KA48" i="8"/>
  <c r="KA36" i="8"/>
  <c r="KA33" i="8"/>
  <c r="KA21" i="8"/>
  <c r="KA19" i="8"/>
  <c r="KA17" i="8"/>
  <c r="KA15" i="8"/>
  <c r="KA13" i="8"/>
  <c r="KA11" i="8"/>
  <c r="KA9" i="8"/>
  <c r="KA7" i="8"/>
  <c r="KA5" i="8"/>
  <c r="KA25" i="8"/>
  <c r="KA6" i="8"/>
  <c r="KA34" i="8"/>
  <c r="KA16" i="8"/>
  <c r="KA28" i="8"/>
  <c r="KA35" i="8"/>
  <c r="KA30" i="8"/>
  <c r="KA29" i="8"/>
  <c r="KA44" i="8"/>
  <c r="KA18" i="8"/>
  <c r="KA3" i="8"/>
  <c r="KA26" i="8"/>
  <c r="KA4" i="8"/>
  <c r="KA20" i="8"/>
  <c r="KA12" i="8"/>
  <c r="KA14" i="8"/>
  <c r="KA8" i="8"/>
  <c r="KA10" i="8"/>
  <c r="KA2" i="8"/>
  <c r="JS55" i="8"/>
  <c r="JS53" i="8"/>
  <c r="JS46" i="8"/>
  <c r="JS47" i="8"/>
  <c r="JS45" i="8"/>
  <c r="JS54" i="8"/>
  <c r="JS43" i="8"/>
  <c r="JS41" i="8"/>
  <c r="JS39" i="8"/>
  <c r="JS40" i="8"/>
  <c r="JS36" i="8"/>
  <c r="JS35" i="8"/>
  <c r="JS48" i="8"/>
  <c r="JS42" i="8"/>
  <c r="JS30" i="8"/>
  <c r="JS22" i="8"/>
  <c r="JS44" i="8"/>
  <c r="JS25" i="8"/>
  <c r="JS49" i="8"/>
  <c r="JS37" i="8"/>
  <c r="JS31" i="8"/>
  <c r="JS21" i="8"/>
  <c r="JS19" i="8"/>
  <c r="JS17" i="8"/>
  <c r="JS15" i="8"/>
  <c r="JS13" i="8"/>
  <c r="JS11" i="8"/>
  <c r="JS9" i="8"/>
  <c r="JS7" i="8"/>
  <c r="JS5" i="8"/>
  <c r="JS29" i="8"/>
  <c r="JS26" i="8"/>
  <c r="JS20" i="8"/>
  <c r="JS4" i="8"/>
  <c r="JS2" i="8"/>
  <c r="JS14" i="8"/>
  <c r="JS33" i="8"/>
  <c r="JS32" i="8"/>
  <c r="JS34" i="8"/>
  <c r="JS16" i="8"/>
  <c r="JS8" i="8"/>
  <c r="JS24" i="8"/>
  <c r="JS38" i="8"/>
  <c r="JS18" i="8"/>
  <c r="JS10" i="8"/>
  <c r="JS28" i="8"/>
  <c r="JS23" i="8"/>
  <c r="JS12" i="8"/>
  <c r="JS6" i="8"/>
  <c r="JS3" i="8"/>
  <c r="JS27" i="8"/>
  <c r="JK55" i="8"/>
  <c r="JK53" i="8"/>
  <c r="JK45" i="8"/>
  <c r="JK48" i="8"/>
  <c r="JK43" i="8"/>
  <c r="JK41" i="8"/>
  <c r="JK39" i="8"/>
  <c r="JK47" i="8"/>
  <c r="JK38" i="8"/>
  <c r="JK35" i="8"/>
  <c r="JK54" i="8"/>
  <c r="JK49" i="8"/>
  <c r="JK36" i="8"/>
  <c r="JK33" i="8"/>
  <c r="JK40" i="8"/>
  <c r="JK37" i="8"/>
  <c r="JK28" i="8"/>
  <c r="JK42" i="8"/>
  <c r="JK44" i="8"/>
  <c r="JK46" i="8"/>
  <c r="JK23" i="8"/>
  <c r="JK21" i="8"/>
  <c r="JK19" i="8"/>
  <c r="JK17" i="8"/>
  <c r="JK15" i="8"/>
  <c r="JK13" i="8"/>
  <c r="JK11" i="8"/>
  <c r="JK9" i="8"/>
  <c r="JK7" i="8"/>
  <c r="JK5" i="8"/>
  <c r="JK25" i="8"/>
  <c r="JK18" i="8"/>
  <c r="JK12" i="8"/>
  <c r="JK31" i="8"/>
  <c r="JK30" i="8"/>
  <c r="JK29" i="8"/>
  <c r="JK32" i="8"/>
  <c r="JK27" i="8"/>
  <c r="JK24" i="8"/>
  <c r="JK14" i="8"/>
  <c r="JK2" i="8"/>
  <c r="JK22" i="8"/>
  <c r="JK4" i="8"/>
  <c r="JK34" i="8"/>
  <c r="JK20" i="8"/>
  <c r="JK6" i="8"/>
  <c r="JK16" i="8"/>
  <c r="JK8" i="8"/>
  <c r="JK26" i="8"/>
  <c r="JK10" i="8"/>
  <c r="JK3" i="8"/>
  <c r="CI150" i="7"/>
  <c r="CI151" i="7"/>
  <c r="CI149" i="7"/>
  <c r="BS47" i="8"/>
  <c r="BS46" i="8"/>
  <c r="BS45" i="8"/>
  <c r="BS43" i="8"/>
  <c r="BS41" i="8"/>
  <c r="BS39" i="8"/>
  <c r="BS48" i="8"/>
  <c r="BS37" i="8"/>
  <c r="BS36" i="8"/>
  <c r="BS31" i="8"/>
  <c r="BS42" i="8"/>
  <c r="BS38" i="8"/>
  <c r="BS29" i="8"/>
  <c r="BS26" i="8"/>
  <c r="BS49" i="8"/>
  <c r="BS44" i="8"/>
  <c r="BS40" i="8"/>
  <c r="BS21" i="8"/>
  <c r="BS19" i="8"/>
  <c r="BS17" i="8"/>
  <c r="BS15" i="8"/>
  <c r="BS13" i="8"/>
  <c r="BS11" i="8"/>
  <c r="BS9" i="8"/>
  <c r="BS7" i="8"/>
  <c r="BS5" i="8"/>
  <c r="BS16" i="8"/>
  <c r="BS3" i="8"/>
  <c r="BS10" i="8"/>
  <c r="BS32" i="8"/>
  <c r="BS33" i="8"/>
  <c r="BS35" i="8"/>
  <c r="BS34" i="8"/>
  <c r="BS25" i="8"/>
  <c r="BS12" i="8"/>
  <c r="BS14" i="8"/>
  <c r="BS6" i="8"/>
  <c r="BS2" i="8"/>
  <c r="BS22" i="8"/>
  <c r="BS30" i="8"/>
  <c r="BS28" i="8"/>
  <c r="BS24" i="8"/>
  <c r="BS8" i="8"/>
  <c r="BS27" i="8"/>
  <c r="BS23" i="8"/>
  <c r="BS18" i="8"/>
  <c r="BS20" i="8"/>
  <c r="BS4" i="8"/>
  <c r="W151" i="7"/>
  <c r="W150" i="7"/>
  <c r="W149" i="7"/>
  <c r="W49" i="9"/>
  <c r="W46" i="9"/>
  <c r="W47" i="9"/>
  <c r="W48" i="9"/>
  <c r="W43" i="9"/>
  <c r="W41" i="9"/>
  <c r="W45" i="9"/>
  <c r="W42" i="9"/>
  <c r="W39" i="9"/>
  <c r="W40" i="9"/>
  <c r="W44" i="9"/>
  <c r="W38" i="9"/>
  <c r="W36" i="9"/>
  <c r="W34" i="9"/>
  <c r="W31" i="9"/>
  <c r="W29" i="9"/>
  <c r="W35" i="9"/>
  <c r="W37" i="9"/>
  <c r="W28" i="9"/>
  <c r="W26" i="9"/>
  <c r="W32" i="9"/>
  <c r="W25" i="9"/>
  <c r="W23" i="9"/>
  <c r="W21" i="9"/>
  <c r="W19" i="9"/>
  <c r="W17" i="9"/>
  <c r="W15" i="9"/>
  <c r="W13" i="9"/>
  <c r="W33" i="9"/>
  <c r="W20" i="9"/>
  <c r="W11" i="9"/>
  <c r="W9" i="9"/>
  <c r="W14" i="9"/>
  <c r="W27" i="9"/>
  <c r="W30" i="9"/>
  <c r="W16" i="9"/>
  <c r="W24" i="9"/>
  <c r="W5" i="9"/>
  <c r="W4" i="9"/>
  <c r="W2" i="9"/>
  <c r="W3" i="9"/>
  <c r="W18" i="9"/>
  <c r="W22" i="9"/>
  <c r="W10" i="9"/>
  <c r="W6" i="9"/>
  <c r="W12" i="9"/>
  <c r="W8" i="9"/>
  <c r="W7" i="9"/>
  <c r="G46" i="9"/>
  <c r="G47" i="9"/>
  <c r="G49" i="9"/>
  <c r="G43" i="9"/>
  <c r="G41" i="9"/>
  <c r="G48" i="9"/>
  <c r="G39" i="9"/>
  <c r="G44" i="9"/>
  <c r="G38" i="9"/>
  <c r="G36" i="9"/>
  <c r="G34" i="9"/>
  <c r="G42" i="9"/>
  <c r="G37" i="9"/>
  <c r="G31" i="9"/>
  <c r="G29" i="9"/>
  <c r="G40" i="9"/>
  <c r="G45" i="9"/>
  <c r="G33" i="9"/>
  <c r="G30" i="9"/>
  <c r="G28" i="9"/>
  <c r="G26" i="9"/>
  <c r="G25" i="9"/>
  <c r="G23" i="9"/>
  <c r="G21" i="9"/>
  <c r="G19" i="9"/>
  <c r="G17" i="9"/>
  <c r="G15" i="9"/>
  <c r="G13" i="9"/>
  <c r="G35" i="9"/>
  <c r="G27" i="9"/>
  <c r="G16" i="9"/>
  <c r="G11" i="9"/>
  <c r="G9" i="9"/>
  <c r="G32" i="9"/>
  <c r="G8" i="9"/>
  <c r="G18" i="9"/>
  <c r="G20" i="9"/>
  <c r="G5" i="9"/>
  <c r="G4" i="9"/>
  <c r="G2" i="9"/>
  <c r="G14" i="9"/>
  <c r="G24" i="9"/>
  <c r="G12" i="9"/>
  <c r="G6" i="9"/>
  <c r="G3" i="9"/>
  <c r="G10" i="9"/>
  <c r="G22" i="9"/>
  <c r="G7" i="9"/>
  <c r="JR151" i="7"/>
  <c r="JR149" i="7"/>
  <c r="JR150" i="7"/>
  <c r="IT53" i="8"/>
  <c r="IT54" i="8"/>
  <c r="IT48" i="8"/>
  <c r="IT46" i="8"/>
  <c r="IT47" i="8"/>
  <c r="IT40" i="8"/>
  <c r="IT34" i="8"/>
  <c r="IT32" i="8"/>
  <c r="IT30" i="8"/>
  <c r="IT28" i="8"/>
  <c r="IT26" i="8"/>
  <c r="IT24" i="8"/>
  <c r="IT22" i="8"/>
  <c r="IT45" i="8"/>
  <c r="IT55" i="8"/>
  <c r="IT29" i="8"/>
  <c r="IT41" i="8"/>
  <c r="IT42" i="8"/>
  <c r="IT44" i="8"/>
  <c r="IT43" i="8"/>
  <c r="IT49" i="8"/>
  <c r="IT39" i="8"/>
  <c r="IT36" i="8"/>
  <c r="IT31" i="8"/>
  <c r="IT37" i="8"/>
  <c r="IT25" i="8"/>
  <c r="IT20" i="8"/>
  <c r="IT15" i="8"/>
  <c r="IT4" i="8"/>
  <c r="IT23" i="8"/>
  <c r="IT14" i="8"/>
  <c r="IT9" i="8"/>
  <c r="IT33" i="8"/>
  <c r="IT38" i="8"/>
  <c r="IT16" i="8"/>
  <c r="IT11" i="8"/>
  <c r="IT13" i="8"/>
  <c r="IT5" i="8"/>
  <c r="IT21" i="8"/>
  <c r="IT6" i="8"/>
  <c r="IT8" i="8"/>
  <c r="IT7" i="8"/>
  <c r="IT35" i="8"/>
  <c r="IT18" i="8"/>
  <c r="IT17" i="8"/>
  <c r="IT10" i="8"/>
  <c r="IT19" i="8"/>
  <c r="IT3" i="8"/>
  <c r="IT12" i="8"/>
  <c r="IT2" i="8"/>
  <c r="IT27" i="8"/>
  <c r="IL150" i="7"/>
  <c r="IL149" i="7"/>
  <c r="IL151" i="7"/>
  <c r="ID151" i="7"/>
  <c r="ID149" i="7"/>
  <c r="ID150" i="7"/>
  <c r="HV150" i="7"/>
  <c r="HV149" i="7"/>
  <c r="HV151" i="7"/>
  <c r="HF149" i="7"/>
  <c r="HF151" i="7"/>
  <c r="HF150" i="7"/>
  <c r="GP151" i="7"/>
  <c r="GP149" i="7"/>
  <c r="GP150" i="7"/>
  <c r="GP55" i="9"/>
  <c r="GP53" i="9"/>
  <c r="GP54" i="9"/>
  <c r="GP49" i="9"/>
  <c r="GP48" i="9"/>
  <c r="GP46" i="9"/>
  <c r="GP47" i="9"/>
  <c r="GP43" i="9"/>
  <c r="GP45" i="9"/>
  <c r="GP42" i="9"/>
  <c r="GP44" i="9"/>
  <c r="GP37" i="9"/>
  <c r="GP35" i="9"/>
  <c r="GP33" i="9"/>
  <c r="GP41" i="9"/>
  <c r="GP40" i="9"/>
  <c r="GP36" i="9"/>
  <c r="GP31" i="9"/>
  <c r="GP29" i="9"/>
  <c r="GP34" i="9"/>
  <c r="GP32" i="9"/>
  <c r="GP27" i="9"/>
  <c r="GP25" i="9"/>
  <c r="GP39" i="9"/>
  <c r="GP38" i="9"/>
  <c r="GP28" i="9"/>
  <c r="GP24" i="9"/>
  <c r="GP22" i="9"/>
  <c r="GP20" i="9"/>
  <c r="GP18" i="9"/>
  <c r="GP16" i="9"/>
  <c r="GP21" i="9"/>
  <c r="GP12" i="9"/>
  <c r="GP15" i="9"/>
  <c r="GP11" i="9"/>
  <c r="GP9" i="9"/>
  <c r="GP7" i="9"/>
  <c r="GP5" i="9"/>
  <c r="GP17" i="9"/>
  <c r="GP14" i="9"/>
  <c r="GP10" i="9"/>
  <c r="GP30" i="9"/>
  <c r="GP8" i="9"/>
  <c r="GP23" i="9"/>
  <c r="GP19" i="9"/>
  <c r="GP6" i="9"/>
  <c r="GP26" i="9"/>
  <c r="GP13" i="9"/>
  <c r="GP4" i="9"/>
  <c r="GP3" i="9"/>
  <c r="GP2" i="9"/>
  <c r="GH151" i="7"/>
  <c r="GH150" i="7"/>
  <c r="GH149" i="7"/>
  <c r="GH55" i="9"/>
  <c r="GH53" i="9"/>
  <c r="GH54" i="9"/>
  <c r="GH49" i="9"/>
  <c r="GH48" i="9"/>
  <c r="GH46" i="9"/>
  <c r="GH43" i="9"/>
  <c r="GH47" i="9"/>
  <c r="GH44" i="9"/>
  <c r="GH39" i="9"/>
  <c r="GH42" i="9"/>
  <c r="GH40" i="9"/>
  <c r="GH37" i="9"/>
  <c r="GH35" i="9"/>
  <c r="GH33" i="9"/>
  <c r="GH34" i="9"/>
  <c r="GH31" i="9"/>
  <c r="GH29" i="9"/>
  <c r="GH45" i="9"/>
  <c r="GH36" i="9"/>
  <c r="GH30" i="9"/>
  <c r="GH32" i="9"/>
  <c r="GH27" i="9"/>
  <c r="GH25" i="9"/>
  <c r="GH38" i="9"/>
  <c r="GH41" i="9"/>
  <c r="GH24" i="9"/>
  <c r="GH22" i="9"/>
  <c r="GH20" i="9"/>
  <c r="GH18" i="9"/>
  <c r="GH16" i="9"/>
  <c r="GH19" i="9"/>
  <c r="GH13" i="9"/>
  <c r="GH28" i="9"/>
  <c r="GH11" i="9"/>
  <c r="GH9" i="9"/>
  <c r="GH7" i="9"/>
  <c r="GH5" i="9"/>
  <c r="GH15" i="9"/>
  <c r="GH12" i="9"/>
  <c r="GH26" i="9"/>
  <c r="GH4" i="9"/>
  <c r="GH17" i="9"/>
  <c r="GH3" i="9"/>
  <c r="GH23" i="9"/>
  <c r="GH21" i="9"/>
  <c r="GH8" i="9"/>
  <c r="GH2" i="9"/>
  <c r="GH10" i="9"/>
  <c r="GH6" i="9"/>
  <c r="GH14" i="9"/>
  <c r="ET55" i="9"/>
  <c r="ET54" i="9"/>
  <c r="ET53" i="9"/>
  <c r="ET49" i="9"/>
  <c r="ET48" i="9"/>
  <c r="ET47" i="9"/>
  <c r="ET46" i="9"/>
  <c r="ET43" i="9"/>
  <c r="ET42" i="9"/>
  <c r="ET39" i="9"/>
  <c r="ET44" i="9"/>
  <c r="ET38" i="9"/>
  <c r="ET45" i="9"/>
  <c r="ET41" i="9"/>
  <c r="ET37" i="9"/>
  <c r="ET35" i="9"/>
  <c r="ET33" i="9"/>
  <c r="ET40" i="9"/>
  <c r="ET31" i="9"/>
  <c r="ET29" i="9"/>
  <c r="ET30" i="9"/>
  <c r="ET27" i="9"/>
  <c r="ET25" i="9"/>
  <c r="ET36" i="9"/>
  <c r="ET34" i="9"/>
  <c r="ET24" i="9"/>
  <c r="ET22" i="9"/>
  <c r="ET20" i="9"/>
  <c r="ET18" i="9"/>
  <c r="ET16" i="9"/>
  <c r="ET28" i="9"/>
  <c r="ET19" i="9"/>
  <c r="ET11" i="9"/>
  <c r="ET9" i="9"/>
  <c r="ET7" i="9"/>
  <c r="ET5" i="9"/>
  <c r="ET32" i="9"/>
  <c r="ET21" i="9"/>
  <c r="ET13" i="9"/>
  <c r="ET6" i="9"/>
  <c r="ET12" i="9"/>
  <c r="ET4" i="9"/>
  <c r="ET26" i="9"/>
  <c r="ET14" i="9"/>
  <c r="ET10" i="9"/>
  <c r="ET23" i="9"/>
  <c r="ET8" i="9"/>
  <c r="ET3" i="9"/>
  <c r="ET17" i="9"/>
  <c r="ET2" i="9"/>
  <c r="ET15" i="9"/>
  <c r="DV151" i="7"/>
  <c r="DV150" i="7"/>
  <c r="DV149" i="7"/>
  <c r="DN150" i="7"/>
  <c r="DN151" i="7"/>
  <c r="DN149" i="7"/>
  <c r="DN49" i="8"/>
  <c r="DN46" i="8"/>
  <c r="DN34" i="8"/>
  <c r="DN32" i="8"/>
  <c r="DN30" i="8"/>
  <c r="DN28" i="8"/>
  <c r="DN26" i="8"/>
  <c r="DN24" i="8"/>
  <c r="DN54" i="8"/>
  <c r="DN53" i="8"/>
  <c r="DN43" i="8"/>
  <c r="DN55" i="8"/>
  <c r="DN45" i="8"/>
  <c r="DN33" i="8"/>
  <c r="DN27" i="8"/>
  <c r="DN44" i="8"/>
  <c r="DN36" i="8"/>
  <c r="DN47" i="8"/>
  <c r="DN40" i="8"/>
  <c r="DN42" i="8"/>
  <c r="DN41" i="8"/>
  <c r="DN29" i="8"/>
  <c r="DN37" i="8"/>
  <c r="DN18" i="8"/>
  <c r="DN13" i="8"/>
  <c r="DN12" i="8"/>
  <c r="DN7" i="8"/>
  <c r="DN2" i="8"/>
  <c r="DN39" i="8"/>
  <c r="DN35" i="8"/>
  <c r="DN48" i="8"/>
  <c r="DN38" i="8"/>
  <c r="DN14" i="8"/>
  <c r="DN9" i="8"/>
  <c r="DN16" i="8"/>
  <c r="DN15" i="8"/>
  <c r="DN8" i="8"/>
  <c r="DN17" i="8"/>
  <c r="DN31" i="8"/>
  <c r="DN10" i="8"/>
  <c r="DN23" i="8"/>
  <c r="DN11" i="8"/>
  <c r="DN19" i="8"/>
  <c r="DN25" i="8"/>
  <c r="DN20" i="8"/>
  <c r="DN22" i="8"/>
  <c r="DN21" i="8"/>
  <c r="DN3" i="8"/>
  <c r="DN4" i="8"/>
  <c r="DN5" i="8"/>
  <c r="DN6" i="8"/>
  <c r="DF151" i="7"/>
  <c r="DF149" i="7"/>
  <c r="DF150" i="7"/>
  <c r="BR48" i="8"/>
  <c r="BR42" i="8"/>
  <c r="BR34" i="8"/>
  <c r="BR32" i="8"/>
  <c r="BR30" i="8"/>
  <c r="BR28" i="8"/>
  <c r="BR26" i="8"/>
  <c r="BR24" i="8"/>
  <c r="BR37" i="8"/>
  <c r="BR41" i="8"/>
  <c r="BR31" i="8"/>
  <c r="BR47" i="8"/>
  <c r="BR46" i="8"/>
  <c r="BR49" i="8"/>
  <c r="BR43" i="8"/>
  <c r="BR44" i="8"/>
  <c r="BR45" i="8"/>
  <c r="BR33" i="8"/>
  <c r="BR25" i="8"/>
  <c r="BR23" i="8"/>
  <c r="BR40" i="8"/>
  <c r="BR22" i="8"/>
  <c r="BR17" i="8"/>
  <c r="BR6" i="8"/>
  <c r="BR29" i="8"/>
  <c r="BR16" i="8"/>
  <c r="BR11" i="8"/>
  <c r="BR3" i="8"/>
  <c r="BR38" i="8"/>
  <c r="BR36" i="8"/>
  <c r="BR39" i="8"/>
  <c r="BR35" i="8"/>
  <c r="BR18" i="8"/>
  <c r="BR13" i="8"/>
  <c r="BR21" i="8"/>
  <c r="BR14" i="8"/>
  <c r="BR2" i="8"/>
  <c r="BR15" i="8"/>
  <c r="BR7" i="8"/>
  <c r="BR8" i="8"/>
  <c r="BR10" i="8"/>
  <c r="BR9" i="8"/>
  <c r="BR27" i="8"/>
  <c r="BR4" i="8"/>
  <c r="BR19" i="8"/>
  <c r="BR12" i="8"/>
  <c r="BR20" i="8"/>
  <c r="BR5" i="8"/>
  <c r="AL48" i="8"/>
  <c r="AL47" i="8"/>
  <c r="AL45" i="8"/>
  <c r="AL34" i="8"/>
  <c r="AL32" i="8"/>
  <c r="AL30" i="8"/>
  <c r="AL28" i="8"/>
  <c r="AL26" i="8"/>
  <c r="AL24" i="8"/>
  <c r="AL44" i="8"/>
  <c r="AL39" i="8"/>
  <c r="AL37" i="8"/>
  <c r="AL41" i="8"/>
  <c r="AL38" i="8"/>
  <c r="AL49" i="8"/>
  <c r="AL40" i="8"/>
  <c r="AL46" i="8"/>
  <c r="AL42" i="8"/>
  <c r="AL25" i="8"/>
  <c r="AL43" i="8"/>
  <c r="AL36" i="8"/>
  <c r="AL33" i="8"/>
  <c r="AL29" i="8"/>
  <c r="AL14" i="8"/>
  <c r="AL9" i="8"/>
  <c r="AL19" i="8"/>
  <c r="AL8" i="8"/>
  <c r="AL3" i="8"/>
  <c r="AL35" i="8"/>
  <c r="AL23" i="8"/>
  <c r="AL21" i="8"/>
  <c r="AL10" i="8"/>
  <c r="AL5" i="8"/>
  <c r="AL16" i="8"/>
  <c r="AL2" i="8"/>
  <c r="AL18" i="8"/>
  <c r="AL17" i="8"/>
  <c r="AL12" i="8"/>
  <c r="AL11" i="8"/>
  <c r="AL20" i="8"/>
  <c r="AL13" i="8"/>
  <c r="AL27" i="8"/>
  <c r="AL22" i="8"/>
  <c r="AL7" i="8"/>
  <c r="AL15" i="8"/>
  <c r="AL6" i="8"/>
  <c r="AL31" i="8"/>
  <c r="AL4" i="8"/>
  <c r="AD55" i="9"/>
  <c r="AD48" i="9"/>
  <c r="AD46" i="9"/>
  <c r="AD45" i="9"/>
  <c r="AD47" i="9"/>
  <c r="AD49" i="9"/>
  <c r="AD44" i="9"/>
  <c r="AD43" i="9"/>
  <c r="AD39" i="9"/>
  <c r="AD40" i="9"/>
  <c r="AD37" i="9"/>
  <c r="AD35" i="9"/>
  <c r="AD33" i="9"/>
  <c r="AD31" i="9"/>
  <c r="AD30" i="9"/>
  <c r="AD42" i="9"/>
  <c r="AD38" i="9"/>
  <c r="AD29" i="9"/>
  <c r="AD27" i="9"/>
  <c r="AD26" i="9"/>
  <c r="AD36" i="9"/>
  <c r="AD34" i="9"/>
  <c r="AD41" i="9"/>
  <c r="AD32" i="9"/>
  <c r="AD24" i="9"/>
  <c r="AD22" i="9"/>
  <c r="AD20" i="9"/>
  <c r="AD18" i="9"/>
  <c r="AD16" i="9"/>
  <c r="AD28" i="9"/>
  <c r="AD13" i="9"/>
  <c r="AD21" i="9"/>
  <c r="AD11" i="9"/>
  <c r="AD9" i="9"/>
  <c r="AD7" i="9"/>
  <c r="AD5" i="9"/>
  <c r="AD23" i="9"/>
  <c r="AD19" i="9"/>
  <c r="AD10" i="9"/>
  <c r="AD6" i="9"/>
  <c r="AD25" i="9"/>
  <c r="AD17" i="9"/>
  <c r="AD12" i="9"/>
  <c r="AD15" i="9"/>
  <c r="AD8" i="9"/>
  <c r="AD14" i="9"/>
  <c r="AD2" i="9"/>
  <c r="AD3" i="9"/>
  <c r="AD4" i="9"/>
  <c r="N47" i="8"/>
  <c r="N46" i="8"/>
  <c r="N49" i="8"/>
  <c r="N44" i="8"/>
  <c r="N39" i="8"/>
  <c r="N36" i="8"/>
  <c r="N34" i="8"/>
  <c r="N32" i="8"/>
  <c r="N30" i="8"/>
  <c r="N28" i="8"/>
  <c r="N26" i="8"/>
  <c r="N24" i="8"/>
  <c r="N40" i="8"/>
  <c r="N43" i="8"/>
  <c r="N25" i="8"/>
  <c r="N33" i="8"/>
  <c r="N45" i="8"/>
  <c r="N48" i="8"/>
  <c r="N35" i="8"/>
  <c r="N27" i="8"/>
  <c r="N31" i="8"/>
  <c r="N19" i="8"/>
  <c r="N8" i="8"/>
  <c r="N18" i="8"/>
  <c r="N13" i="8"/>
  <c r="N38" i="8"/>
  <c r="N29" i="8"/>
  <c r="N41" i="8"/>
  <c r="N37" i="8"/>
  <c r="N20" i="8"/>
  <c r="N15" i="8"/>
  <c r="N16" i="8"/>
  <c r="N4" i="8"/>
  <c r="N17" i="8"/>
  <c r="N9" i="8"/>
  <c r="N10" i="8"/>
  <c r="N12" i="8"/>
  <c r="N11" i="8"/>
  <c r="N6" i="8"/>
  <c r="N5" i="8"/>
  <c r="N3" i="8"/>
  <c r="N42" i="8"/>
  <c r="N14" i="8"/>
  <c r="N22" i="8"/>
  <c r="N2" i="8"/>
  <c r="N23" i="8"/>
  <c r="N21" i="8"/>
  <c r="N7" i="8"/>
  <c r="N48" i="9"/>
  <c r="N47" i="9"/>
  <c r="N45" i="9"/>
  <c r="N49" i="9"/>
  <c r="N46" i="9"/>
  <c r="N41" i="9"/>
  <c r="N39" i="9"/>
  <c r="N40" i="9"/>
  <c r="N43" i="9"/>
  <c r="N42" i="9"/>
  <c r="N37" i="9"/>
  <c r="N35" i="9"/>
  <c r="N33" i="9"/>
  <c r="N38" i="9"/>
  <c r="N31" i="9"/>
  <c r="N34" i="9"/>
  <c r="N32" i="9"/>
  <c r="N27" i="9"/>
  <c r="N36" i="9"/>
  <c r="N44" i="9"/>
  <c r="N24" i="9"/>
  <c r="N22" i="9"/>
  <c r="N20" i="9"/>
  <c r="N18" i="9"/>
  <c r="N16" i="9"/>
  <c r="N23" i="9"/>
  <c r="N14" i="9"/>
  <c r="N17" i="9"/>
  <c r="N11" i="9"/>
  <c r="N9" i="9"/>
  <c r="N7" i="9"/>
  <c r="N5" i="9"/>
  <c r="N30" i="9"/>
  <c r="N29" i="9"/>
  <c r="N28" i="9"/>
  <c r="N19" i="9"/>
  <c r="N21" i="9"/>
  <c r="N12" i="9"/>
  <c r="N26" i="9"/>
  <c r="N8" i="9"/>
  <c r="N2" i="9"/>
  <c r="N10" i="9"/>
  <c r="N25" i="9"/>
  <c r="N13" i="9"/>
  <c r="N3" i="9"/>
  <c r="N4" i="9"/>
  <c r="N6" i="9"/>
  <c r="N15" i="9"/>
  <c r="IF151" i="7"/>
  <c r="IF149" i="7"/>
  <c r="IF150" i="7"/>
  <c r="IF54" i="8"/>
  <c r="IF48" i="8"/>
  <c r="IF53" i="8"/>
  <c r="IF44" i="8"/>
  <c r="IF42" i="8"/>
  <c r="IF40" i="8"/>
  <c r="IF38" i="8"/>
  <c r="IF36" i="8"/>
  <c r="IF55" i="8"/>
  <c r="IF47" i="8"/>
  <c r="IF41" i="8"/>
  <c r="IF37" i="8"/>
  <c r="IF34" i="8"/>
  <c r="IF32" i="8"/>
  <c r="IF30" i="8"/>
  <c r="IF46" i="8"/>
  <c r="IF28" i="8"/>
  <c r="IF49" i="8"/>
  <c r="IF43" i="8"/>
  <c r="IF35" i="8"/>
  <c r="IF23" i="8"/>
  <c r="IF20" i="8"/>
  <c r="IF18" i="8"/>
  <c r="IF16" i="8"/>
  <c r="IF14" i="8"/>
  <c r="IF12" i="8"/>
  <c r="IF10" i="8"/>
  <c r="IF8" i="8"/>
  <c r="IF6" i="8"/>
  <c r="IF4" i="8"/>
  <c r="IF2" i="8"/>
  <c r="IF45" i="8"/>
  <c r="IF31" i="8"/>
  <c r="IF25" i="8"/>
  <c r="IF21" i="8"/>
  <c r="IF5" i="8"/>
  <c r="IF33" i="8"/>
  <c r="IF29" i="8"/>
  <c r="IF26" i="8"/>
  <c r="IF15" i="8"/>
  <c r="IF3" i="8"/>
  <c r="IF39" i="8"/>
  <c r="IF17" i="8"/>
  <c r="IF7" i="8"/>
  <c r="IF9" i="8"/>
  <c r="IF22" i="8"/>
  <c r="IF27" i="8"/>
  <c r="IF19" i="8"/>
  <c r="IF11" i="8"/>
  <c r="IF24" i="8"/>
  <c r="IF13" i="8"/>
  <c r="GR54" i="8"/>
  <c r="GR48" i="8"/>
  <c r="GR44" i="8"/>
  <c r="GR42" i="8"/>
  <c r="GR40" i="8"/>
  <c r="GR38" i="8"/>
  <c r="GR36" i="8"/>
  <c r="GR53" i="8"/>
  <c r="GR47" i="8"/>
  <c r="GR41" i="8"/>
  <c r="GR55" i="8"/>
  <c r="GR49" i="8"/>
  <c r="GR43" i="8"/>
  <c r="GR34" i="8"/>
  <c r="GR32" i="8"/>
  <c r="GR29" i="8"/>
  <c r="GR26" i="8"/>
  <c r="GR35" i="8"/>
  <c r="GR20" i="8"/>
  <c r="GR18" i="8"/>
  <c r="GR16" i="8"/>
  <c r="GR14" i="8"/>
  <c r="GR12" i="8"/>
  <c r="GR10" i="8"/>
  <c r="GR8" i="8"/>
  <c r="GR6" i="8"/>
  <c r="GR4" i="8"/>
  <c r="GR2" i="8"/>
  <c r="GR45" i="8"/>
  <c r="GR46" i="8"/>
  <c r="GR28" i="8"/>
  <c r="GR37" i="8"/>
  <c r="GR30" i="8"/>
  <c r="GR11" i="8"/>
  <c r="GR33" i="8"/>
  <c r="GR25" i="8"/>
  <c r="GR21" i="8"/>
  <c r="GR5" i="8"/>
  <c r="GR39" i="8"/>
  <c r="GR27" i="8"/>
  <c r="GR24" i="8"/>
  <c r="GR23" i="8"/>
  <c r="GR7" i="8"/>
  <c r="GR22" i="8"/>
  <c r="GR9" i="8"/>
  <c r="GR17" i="8"/>
  <c r="GR19" i="8"/>
  <c r="GR31" i="8"/>
  <c r="GR13" i="8"/>
  <c r="GR15" i="8"/>
  <c r="GR3" i="8"/>
  <c r="AV48" i="9"/>
  <c r="AV49" i="9"/>
  <c r="AV46" i="9"/>
  <c r="AV41" i="9"/>
  <c r="AV42" i="9"/>
  <c r="AV47" i="9"/>
  <c r="AV45" i="9"/>
  <c r="AV38" i="9"/>
  <c r="AV36" i="9"/>
  <c r="AV34" i="9"/>
  <c r="AV39" i="9"/>
  <c r="AV35" i="9"/>
  <c r="AV43" i="9"/>
  <c r="AV37" i="9"/>
  <c r="AV28" i="9"/>
  <c r="AV26" i="9"/>
  <c r="AV44" i="9"/>
  <c r="AV40" i="9"/>
  <c r="AV31" i="9"/>
  <c r="AV32" i="9"/>
  <c r="AV23" i="9"/>
  <c r="AV21" i="9"/>
  <c r="AV19" i="9"/>
  <c r="AV17" i="9"/>
  <c r="AV15" i="9"/>
  <c r="AV13" i="9"/>
  <c r="AV33" i="9"/>
  <c r="AV27" i="9"/>
  <c r="AV20" i="9"/>
  <c r="AV25" i="9"/>
  <c r="AV30" i="9"/>
  <c r="AV29" i="9"/>
  <c r="AV16" i="9"/>
  <c r="AV14" i="9"/>
  <c r="AV18" i="9"/>
  <c r="AV8" i="9"/>
  <c r="AV7" i="9"/>
  <c r="AV6" i="9"/>
  <c r="AV3" i="9"/>
  <c r="AV24" i="9"/>
  <c r="AV4" i="9"/>
  <c r="AV22" i="9"/>
  <c r="AV2" i="9"/>
  <c r="AV10" i="9"/>
  <c r="AV12" i="9"/>
  <c r="AV11" i="9"/>
  <c r="AV9" i="9"/>
  <c r="AV5" i="9"/>
  <c r="H48" i="9"/>
  <c r="H46" i="9"/>
  <c r="H49" i="9"/>
  <c r="H47" i="9"/>
  <c r="H45" i="9"/>
  <c r="H43" i="9"/>
  <c r="H42" i="9"/>
  <c r="H41" i="9"/>
  <c r="H38" i="9"/>
  <c r="H36" i="9"/>
  <c r="H34" i="9"/>
  <c r="H40" i="9"/>
  <c r="H44" i="9"/>
  <c r="H30" i="9"/>
  <c r="H28" i="9"/>
  <c r="H26" i="9"/>
  <c r="H37" i="9"/>
  <c r="H25" i="9"/>
  <c r="H23" i="9"/>
  <c r="H21" i="9"/>
  <c r="H19" i="9"/>
  <c r="H17" i="9"/>
  <c r="H15" i="9"/>
  <c r="H13" i="9"/>
  <c r="H31" i="9"/>
  <c r="H35" i="9"/>
  <c r="H39" i="9"/>
  <c r="H32" i="9"/>
  <c r="H27" i="9"/>
  <c r="H33" i="9"/>
  <c r="H20" i="9"/>
  <c r="H29" i="9"/>
  <c r="H22" i="9"/>
  <c r="H18" i="9"/>
  <c r="H14" i="9"/>
  <c r="H3" i="9"/>
  <c r="H24" i="9"/>
  <c r="H16" i="9"/>
  <c r="H10" i="9"/>
  <c r="H5" i="9"/>
  <c r="H4" i="9"/>
  <c r="H9" i="9"/>
  <c r="H12" i="9"/>
  <c r="H2" i="9"/>
  <c r="H11" i="9"/>
  <c r="H8" i="9"/>
  <c r="H7" i="9"/>
  <c r="H6" i="9"/>
  <c r="AO55" i="9" l="1"/>
  <c r="BR54" i="9"/>
  <c r="CD53" i="9"/>
  <c r="BL53" i="9"/>
  <c r="BN54" i="9"/>
  <c r="I54" i="9"/>
  <c r="AD53" i="9"/>
  <c r="M53" i="8"/>
  <c r="F55" i="8"/>
  <c r="BQ55" i="9"/>
  <c r="AY53" i="9"/>
  <c r="BW53" i="9"/>
  <c r="AW55" i="9"/>
  <c r="S54" i="9"/>
  <c r="CA53" i="9"/>
  <c r="K53" i="8"/>
  <c r="BV53" i="9"/>
  <c r="AO53" i="8"/>
  <c r="X53" i="8"/>
  <c r="O53" i="8"/>
  <c r="AL53" i="8"/>
  <c r="I53" i="8"/>
  <c r="AX53" i="8"/>
  <c r="AF53" i="8"/>
  <c r="S53" i="8"/>
  <c r="V53" i="9"/>
  <c r="J53" i="8"/>
  <c r="AJ55" i="9"/>
  <c r="AY54" i="9"/>
  <c r="AB53" i="9"/>
  <c r="AK55" i="9"/>
  <c r="Z53" i="9"/>
  <c r="AR53" i="9"/>
  <c r="J55" i="9"/>
  <c r="Z53" i="8"/>
  <c r="BU54" i="9"/>
  <c r="AQ53" i="9"/>
  <c r="AF55" i="9"/>
  <c r="AM53" i="9"/>
  <c r="BH54" i="8"/>
  <c r="CD55" i="9"/>
  <c r="G54" i="9"/>
  <c r="R54" i="9"/>
  <c r="BF54" i="9"/>
  <c r="AK54" i="8"/>
  <c r="AE54" i="9"/>
  <c r="BE54" i="9"/>
  <c r="L54" i="8"/>
  <c r="O54" i="8"/>
  <c r="AW53" i="9"/>
  <c r="BH53" i="9"/>
  <c r="BG53" i="9"/>
  <c r="AD54" i="8"/>
  <c r="AN54" i="8"/>
  <c r="CB53" i="9"/>
  <c r="AC54" i="8"/>
  <c r="AA53" i="9"/>
  <c r="BR55" i="8"/>
  <c r="E55" i="8"/>
  <c r="BY53" i="9"/>
  <c r="AZ55" i="8"/>
  <c r="Q54" i="9"/>
  <c r="BN55" i="8"/>
  <c r="CE55" i="9"/>
  <c r="H55" i="8"/>
  <c r="F55" i="9"/>
  <c r="I55" i="8"/>
  <c r="R53" i="9"/>
  <c r="P55" i="8"/>
  <c r="AG55" i="8"/>
  <c r="AN53" i="9"/>
  <c r="BS55" i="9"/>
  <c r="AU55" i="9"/>
  <c r="CD54" i="9"/>
  <c r="E54" i="8"/>
  <c r="AL54" i="9"/>
  <c r="M55" i="9"/>
  <c r="J55" i="8"/>
  <c r="AP55" i="9"/>
  <c r="Z55" i="8"/>
  <c r="T55" i="8"/>
  <c r="O55" i="8"/>
  <c r="BI53" i="9"/>
  <c r="AF55" i="8"/>
  <c r="BC54" i="9"/>
  <c r="BG55" i="8"/>
  <c r="AN55" i="8"/>
  <c r="CC55" i="8"/>
  <c r="BZ55" i="8"/>
  <c r="X55" i="8"/>
  <c r="AW54" i="9"/>
  <c r="BI55" i="8"/>
  <c r="L55" i="8"/>
  <c r="AR55" i="8"/>
  <c r="AP55" i="8"/>
  <c r="AJ55" i="8"/>
  <c r="BB55" i="8"/>
  <c r="AH55" i="8"/>
  <c r="BE55" i="8"/>
  <c r="AE55" i="8"/>
  <c r="BO55" i="8"/>
  <c r="N55" i="8"/>
  <c r="W55" i="8"/>
  <c r="BS55" i="8"/>
  <c r="BC55" i="8"/>
  <c r="G55" i="8"/>
  <c r="BT55" i="8"/>
  <c r="CA55" i="8"/>
  <c r="BY55" i="8"/>
  <c r="AL55" i="8"/>
  <c r="BH55" i="8"/>
  <c r="AX55" i="8"/>
  <c r="BM55" i="8"/>
  <c r="CE53" i="9"/>
  <c r="BW55" i="8"/>
  <c r="AC53" i="9"/>
  <c r="AV55" i="8"/>
  <c r="AT54" i="8"/>
  <c r="P54" i="8"/>
  <c r="AX54" i="8"/>
  <c r="BF55" i="9"/>
  <c r="E54" i="9"/>
  <c r="BE54" i="8"/>
  <c r="AE55" i="9"/>
  <c r="BM54" i="9"/>
  <c r="K53" i="9"/>
  <c r="U53" i="8"/>
  <c r="AZ55" i="9"/>
  <c r="BY54" i="8"/>
  <c r="AL54" i="8"/>
  <c r="AK54" i="9"/>
  <c r="AD54" i="9"/>
  <c r="BW54" i="8"/>
  <c r="M54" i="9"/>
  <c r="H55" i="9"/>
  <c r="BR54" i="8"/>
  <c r="BI54" i="8"/>
  <c r="AM54" i="9"/>
  <c r="AR54" i="8"/>
  <c r="AI54" i="8"/>
  <c r="AP54" i="8"/>
  <c r="F54" i="8"/>
  <c r="I54" i="8"/>
  <c r="J54" i="9"/>
  <c r="AQ54" i="9"/>
  <c r="BP55" i="9"/>
  <c r="K54" i="8"/>
  <c r="R55" i="8"/>
  <c r="N54" i="8"/>
  <c r="W54" i="8"/>
  <c r="BD53" i="9"/>
  <c r="CC54" i="9"/>
  <c r="BJ55" i="9"/>
  <c r="G53" i="9"/>
  <c r="BG54" i="9"/>
  <c r="AV54" i="8"/>
  <c r="Y54" i="8"/>
  <c r="CD54" i="8"/>
  <c r="BP54" i="8"/>
  <c r="Q54" i="8"/>
  <c r="R53" i="8"/>
  <c r="AJ54" i="8"/>
  <c r="G55" i="9"/>
  <c r="AG55" i="9"/>
  <c r="CB55" i="9"/>
  <c r="BE55" i="9"/>
  <c r="CC53" i="9"/>
  <c r="AG54" i="8"/>
  <c r="AB54" i="8"/>
  <c r="CA54" i="8"/>
  <c r="AH54" i="8"/>
  <c r="BZ53" i="9"/>
  <c r="BS54" i="8"/>
  <c r="AU54" i="8"/>
  <c r="Y53" i="8"/>
  <c r="AT53" i="9"/>
  <c r="AY53" i="8"/>
  <c r="AJ54" i="9"/>
  <c r="BE53" i="9"/>
  <c r="AE54" i="8"/>
  <c r="AN53" i="8"/>
  <c r="I55" i="9"/>
  <c r="BX55" i="9"/>
  <c r="AO55" i="8"/>
  <c r="BR53" i="8"/>
  <c r="AU55" i="8"/>
  <c r="AX53" i="9"/>
  <c r="BT54" i="9"/>
  <c r="BU55" i="8"/>
  <c r="BV55" i="8"/>
  <c r="AI54" i="9"/>
  <c r="BY53" i="8"/>
  <c r="I53" i="9"/>
  <c r="BX53" i="9"/>
  <c r="AV54" i="9"/>
  <c r="F54" i="9"/>
  <c r="BV54" i="8"/>
  <c r="X54" i="9"/>
  <c r="AW53" i="8"/>
  <c r="BN53" i="9"/>
  <c r="P53" i="8"/>
  <c r="AQ53" i="8"/>
  <c r="T53" i="9"/>
  <c r="AB53" i="8"/>
  <c r="H53" i="9"/>
  <c r="BS53" i="8"/>
  <c r="BN55" i="9"/>
  <c r="AM53" i="8"/>
  <c r="L53" i="8"/>
  <c r="BC53" i="8"/>
  <c r="T55" i="9"/>
  <c r="U55" i="9"/>
  <c r="AS54" i="8"/>
  <c r="AS53" i="8"/>
  <c r="Q53" i="9"/>
  <c r="BJ53" i="9"/>
  <c r="CB54" i="9"/>
  <c r="T54" i="9"/>
  <c r="AZ53" i="8"/>
  <c r="BD54" i="8"/>
  <c r="AV53" i="8"/>
  <c r="AE53" i="8"/>
  <c r="BP54" i="9"/>
  <c r="V53" i="8"/>
  <c r="AO54" i="8"/>
  <c r="BB53" i="8"/>
  <c r="BM55" i="9"/>
  <c r="BT55" i="9"/>
  <c r="R54" i="8"/>
  <c r="K54" i="9"/>
  <c r="AG53" i="9"/>
  <c r="E53" i="9"/>
  <c r="BI54" i="9"/>
  <c r="AD55" i="8"/>
  <c r="Y53" i="9"/>
  <c r="CD55" i="8"/>
  <c r="CB53" i="8"/>
  <c r="CB54" i="8"/>
  <c r="BP53" i="8"/>
  <c r="K55" i="9"/>
  <c r="BK55" i="8"/>
  <c r="CE54" i="9"/>
  <c r="AB55" i="9"/>
  <c r="BG55" i="9"/>
  <c r="BF53" i="8"/>
  <c r="J53" i="9"/>
  <c r="BZ54" i="8"/>
  <c r="AU53" i="8"/>
  <c r="AQ55" i="9"/>
  <c r="BM53" i="9"/>
  <c r="AI55" i="8"/>
  <c r="BO54" i="9"/>
  <c r="N53" i="8"/>
  <c r="W55" i="9"/>
  <c r="AG54" i="9"/>
  <c r="AI53" i="8"/>
  <c r="AP54" i="9"/>
  <c r="BW54" i="9"/>
  <c r="BG53" i="8"/>
  <c r="BQ54" i="8"/>
  <c r="H53" i="8"/>
  <c r="CD53" i="8"/>
  <c r="X54" i="8"/>
  <c r="AA53" i="8"/>
  <c r="CC54" i="8"/>
  <c r="AX54" i="9"/>
  <c r="BP55" i="8"/>
  <c r="P55" i="9"/>
  <c r="X53" i="9"/>
  <c r="BH53" i="8"/>
  <c r="BL53" i="8"/>
  <c r="AQ54" i="8"/>
  <c r="AL53" i="9"/>
  <c r="AD53" i="8"/>
  <c r="K55" i="8"/>
  <c r="BP53" i="9"/>
  <c r="O55" i="9"/>
  <c r="AA55" i="8"/>
  <c r="CC53" i="8"/>
  <c r="AX55" i="9"/>
  <c r="BO55" i="9"/>
  <c r="BI55" i="9"/>
  <c r="BC54" i="8"/>
  <c r="Y55" i="8"/>
  <c r="AK53" i="8"/>
  <c r="AT55" i="9"/>
  <c r="W53" i="8"/>
  <c r="T54" i="8"/>
  <c r="BR53" i="9"/>
  <c r="V54" i="8"/>
  <c r="V55" i="8"/>
  <c r="AT53" i="8"/>
  <c r="BB54" i="8"/>
  <c r="BZ55" i="9"/>
  <c r="G54" i="8"/>
  <c r="CA54" i="9"/>
  <c r="BX54" i="9"/>
  <c r="BF54" i="8"/>
  <c r="BE53" i="8"/>
  <c r="BD54" i="9"/>
  <c r="BA53" i="8"/>
  <c r="AW55" i="8"/>
  <c r="AL55" i="9"/>
  <c r="BQ53" i="8"/>
  <c r="AM54" i="8"/>
  <c r="AU53" i="9"/>
  <c r="AO53" i="9"/>
  <c r="AK55" i="8"/>
  <c r="F53" i="8"/>
  <c r="P54" i="9"/>
  <c r="G53" i="8"/>
  <c r="BC53" i="9"/>
  <c r="CA55" i="9"/>
  <c r="BJ54" i="8"/>
  <c r="BK54" i="8"/>
  <c r="BK53" i="8"/>
  <c r="BU53" i="8"/>
  <c r="BU54" i="8"/>
  <c r="AY55" i="9"/>
  <c r="BD55" i="9"/>
  <c r="BA55" i="8"/>
  <c r="T53" i="8"/>
  <c r="BR55" i="9"/>
  <c r="BU53" i="9"/>
  <c r="BK53" i="9"/>
  <c r="BF55" i="8"/>
  <c r="M53" i="9"/>
  <c r="BJ53" i="8"/>
  <c r="BV55" i="9"/>
  <c r="BX54" i="8"/>
  <c r="BX53" i="8"/>
  <c r="Y54" i="9"/>
  <c r="U54" i="8"/>
  <c r="BN54" i="8"/>
  <c r="AY55" i="8"/>
  <c r="AB55" i="8"/>
  <c r="N53" i="9"/>
  <c r="W54" i="9"/>
  <c r="AI55" i="9"/>
  <c r="CE53" i="8"/>
  <c r="AZ54" i="8"/>
  <c r="U53" i="9"/>
  <c r="CC55" i="9"/>
  <c r="AN54" i="9"/>
  <c r="L54" i="9"/>
  <c r="S53" i="9"/>
  <c r="BQ55" i="8"/>
  <c r="AU54" i="9"/>
  <c r="N54" i="9"/>
  <c r="W53" i="9"/>
  <c r="AW54" i="8"/>
  <c r="AF54" i="8"/>
  <c r="AZ54" i="9"/>
  <c r="S54" i="8"/>
  <c r="CE54" i="8"/>
  <c r="U54" i="9"/>
  <c r="AS55" i="8"/>
  <c r="AH53" i="9"/>
  <c r="AQ55" i="8"/>
  <c r="BT54" i="8"/>
  <c r="AY54" i="8"/>
  <c r="S55" i="9"/>
  <c r="AJ53" i="8"/>
  <c r="BQ54" i="9"/>
  <c r="BO53" i="8"/>
  <c r="BH54" i="9"/>
  <c r="AC53" i="8"/>
  <c r="AE53" i="9"/>
  <c r="BL55" i="9"/>
  <c r="AH53" i="8"/>
  <c r="BB55" i="9"/>
  <c r="BZ53" i="8"/>
  <c r="CB55" i="8"/>
  <c r="O53" i="9"/>
  <c r="BC55" i="9"/>
  <c r="CA53" i="8"/>
  <c r="AF54" i="9"/>
  <c r="BV53" i="8"/>
  <c r="BW53" i="8"/>
  <c r="BX55" i="8"/>
  <c r="BG54" i="8"/>
  <c r="M54" i="8"/>
  <c r="BI53" i="8"/>
  <c r="AM55" i="9"/>
  <c r="AT54" i="9"/>
  <c r="P53" i="9"/>
  <c r="BJ54" i="9"/>
  <c r="O54" i="9"/>
  <c r="AG53" i="8"/>
  <c r="AF53" i="9"/>
  <c r="AP53" i="8"/>
  <c r="BS54" i="9"/>
  <c r="M55" i="8"/>
  <c r="BH55" i="9"/>
  <c r="BK55" i="9"/>
  <c r="J54" i="8"/>
  <c r="AZ53" i="9"/>
  <c r="S55" i="8"/>
  <c r="AP53" i="9"/>
  <c r="BL54" i="8"/>
  <c r="AJ53" i="9"/>
  <c r="BM53" i="8"/>
  <c r="BM54" i="8"/>
  <c r="BO54" i="8"/>
  <c r="BD55" i="8"/>
  <c r="H54" i="8"/>
  <c r="Q53" i="8"/>
  <c r="X55" i="9"/>
  <c r="BF53" i="9"/>
  <c r="BJ55" i="8"/>
  <c r="Y55" i="9"/>
  <c r="N55" i="9"/>
  <c r="AN55" i="9"/>
  <c r="BS53" i="9"/>
  <c r="AV53" i="9"/>
  <c r="AR55" i="9"/>
  <c r="AR53" i="8"/>
  <c r="BN53" i="8"/>
  <c r="E53" i="8"/>
  <c r="Z54" i="8"/>
  <c r="BT53" i="8"/>
  <c r="BD53" i="8"/>
  <c r="Q55" i="8"/>
</calcChain>
</file>

<file path=xl/sharedStrings.xml><?xml version="1.0" encoding="utf-8"?>
<sst xmlns="http://schemas.openxmlformats.org/spreadsheetml/2006/main" count="1356" uniqueCount="223">
  <si>
    <t>S&amp;P500</t>
  </si>
  <si>
    <t>Dow Jones</t>
  </si>
  <si>
    <t>Nasdaq</t>
  </si>
  <si>
    <t>Russell</t>
  </si>
  <si>
    <t>Volatility Index</t>
  </si>
  <si>
    <t>.INX</t>
  </si>
  <si>
    <t>.DJI</t>
  </si>
  <si>
    <t>.IXIC</t>
  </si>
  <si>
    <t>RUT</t>
  </si>
  <si>
    <t>VIX</t>
  </si>
  <si>
    <t>Day Return:</t>
  </si>
  <si>
    <t>Portfolio Balances</t>
  </si>
  <si>
    <t>Account Value</t>
  </si>
  <si>
    <t>Positions</t>
  </si>
  <si>
    <t>Cash Value</t>
  </si>
  <si>
    <t>Unrealized Gains</t>
  </si>
  <si>
    <t>Realized Gains</t>
  </si>
  <si>
    <t>Biggest Gainer</t>
  </si>
  <si>
    <t>Biggest Losser</t>
  </si>
  <si>
    <t>Starting Balance</t>
  </si>
  <si>
    <t>Portfolio Return</t>
  </si>
  <si>
    <t>Min</t>
  </si>
  <si>
    <t>Biggest Loser</t>
  </si>
  <si>
    <t>Max</t>
  </si>
  <si>
    <t>Biggest Winner</t>
  </si>
  <si>
    <t>Group 1</t>
  </si>
  <si>
    <t>LUMN</t>
  </si>
  <si>
    <t>Lumen Tech</t>
  </si>
  <si>
    <t>CVX</t>
  </si>
  <si>
    <t>Chevron</t>
  </si>
  <si>
    <t>Neglected Beta</t>
  </si>
  <si>
    <t>LPSN</t>
  </si>
  <si>
    <t>LivePerson, Inc</t>
  </si>
  <si>
    <t>LNTH</t>
  </si>
  <si>
    <t>Lantheus Holdings</t>
  </si>
  <si>
    <t>Group 3</t>
  </si>
  <si>
    <t>AMPL</t>
  </si>
  <si>
    <t>Amplitude</t>
  </si>
  <si>
    <t>KR</t>
  </si>
  <si>
    <t>Kroger</t>
  </si>
  <si>
    <t>High Dividend Yield</t>
  </si>
  <si>
    <t>MC</t>
  </si>
  <si>
    <t>Moelis &amp; Co</t>
  </si>
  <si>
    <t>EGLE</t>
  </si>
  <si>
    <t>Eagle Bulk Shipping</t>
  </si>
  <si>
    <t>Group</t>
  </si>
  <si>
    <t>TICKER</t>
  </si>
  <si>
    <t>C</t>
  </si>
  <si>
    <t>NOW</t>
  </si>
  <si>
    <t>ALGN</t>
  </si>
  <si>
    <t>DOW</t>
  </si>
  <si>
    <t>CDNS</t>
  </si>
  <si>
    <t>VEEV</t>
  </si>
  <si>
    <t>AZN</t>
  </si>
  <si>
    <t>ZEN</t>
  </si>
  <si>
    <t>VMW</t>
  </si>
  <si>
    <t>FIVN</t>
  </si>
  <si>
    <t>EQH</t>
  </si>
  <si>
    <t>BBWI</t>
  </si>
  <si>
    <t>BWA</t>
  </si>
  <si>
    <t>ETV</t>
  </si>
  <si>
    <t>EWBC</t>
  </si>
  <si>
    <t>SYNH</t>
  </si>
  <si>
    <t>ITT</t>
  </si>
  <si>
    <t>OSK</t>
  </si>
  <si>
    <t>AL</t>
  </si>
  <si>
    <t>ACIW</t>
  </si>
  <si>
    <t>JBT</t>
  </si>
  <si>
    <t>MGNI</t>
  </si>
  <si>
    <t>R</t>
  </si>
  <si>
    <t>UNVR</t>
  </si>
  <si>
    <t>NKTR</t>
  </si>
  <si>
    <t>REZI</t>
  </si>
  <si>
    <t>GBT</t>
  </si>
  <si>
    <t>CBT</t>
  </si>
  <si>
    <t>OI</t>
  </si>
  <si>
    <t>KRO</t>
  </si>
  <si>
    <t>RCUS</t>
  </si>
  <si>
    <t>VRTS</t>
  </si>
  <si>
    <t>GES</t>
  </si>
  <si>
    <t>SNY</t>
  </si>
  <si>
    <t>EPAC</t>
  </si>
  <si>
    <t>CMCO</t>
  </si>
  <si>
    <t>BCOR</t>
  </si>
  <si>
    <t>TALO</t>
  </si>
  <si>
    <t>DXPE</t>
  </si>
  <si>
    <t>PBYI</t>
  </si>
  <si>
    <t>FLNT</t>
  </si>
  <si>
    <t>CONN</t>
  </si>
  <si>
    <t>IVC</t>
  </si>
  <si>
    <t>VRCA</t>
  </si>
  <si>
    <t>CVLG</t>
  </si>
  <si>
    <t>GTE</t>
  </si>
  <si>
    <t>Tickers</t>
  </si>
  <si>
    <t>Frequency</t>
  </si>
  <si>
    <t>Type</t>
  </si>
  <si>
    <t>Pay Date</t>
  </si>
  <si>
    <t>Dividend per share</t>
  </si>
  <si>
    <t>Shares</t>
  </si>
  <si>
    <t>Total Dividend</t>
  </si>
  <si>
    <t>Quarterly</t>
  </si>
  <si>
    <t>Dividend</t>
  </si>
  <si>
    <t>Cumulative Dividends</t>
  </si>
  <si>
    <t>Purchase</t>
  </si>
  <si>
    <t>1/10/2022 Close</t>
  </si>
  <si>
    <t>FF</t>
  </si>
  <si>
    <t>LPG</t>
  </si>
  <si>
    <t>ECVT</t>
  </si>
  <si>
    <t>OMF</t>
  </si>
  <si>
    <t>BKE</t>
  </si>
  <si>
    <t>IEP</t>
  </si>
  <si>
    <t>FLMN</t>
  </si>
  <si>
    <t>DHIL</t>
  </si>
  <si>
    <t>ITIC</t>
  </si>
  <si>
    <t>ORI</t>
  </si>
  <si>
    <t>AMSF</t>
  </si>
  <si>
    <t>AM</t>
  </si>
  <si>
    <t>CFFN</t>
  </si>
  <si>
    <t>T</t>
  </si>
  <si>
    <t>AROC</t>
  </si>
  <si>
    <t>SBR</t>
  </si>
  <si>
    <t>BCC</t>
  </si>
  <si>
    <t>DVN</t>
  </si>
  <si>
    <t>ISSC</t>
  </si>
  <si>
    <t>NPK</t>
  </si>
  <si>
    <t>MO</t>
  </si>
  <si>
    <t>HESM</t>
  </si>
  <si>
    <t>ETD</t>
  </si>
  <si>
    <t>RTLR</t>
  </si>
  <si>
    <t>VGR</t>
  </si>
  <si>
    <t>ENB</t>
  </si>
  <si>
    <t>KMI</t>
  </si>
  <si>
    <t>Low Leverage, High Div</t>
  </si>
  <si>
    <t>PBA</t>
  </si>
  <si>
    <t>XOM</t>
  </si>
  <si>
    <t>OKE</t>
  </si>
  <si>
    <t>WMB</t>
  </si>
  <si>
    <t>CNA</t>
  </si>
  <si>
    <t>COTY</t>
  </si>
  <si>
    <t>KHC</t>
  </si>
  <si>
    <t>Low Beta</t>
  </si>
  <si>
    <t>VZ</t>
  </si>
  <si>
    <t>MRK</t>
  </si>
  <si>
    <t>DUK</t>
  </si>
  <si>
    <t>BDX</t>
  </si>
  <si>
    <t>CL</t>
  </si>
  <si>
    <t>D</t>
  </si>
  <si>
    <t>KMB</t>
  </si>
  <si>
    <t>CNC</t>
  </si>
  <si>
    <t>AEP</t>
  </si>
  <si>
    <t>BAX</t>
  </si>
  <si>
    <t>GIS</t>
  </si>
  <si>
    <t>BIIB</t>
  </si>
  <si>
    <t>TSN</t>
  </si>
  <si>
    <t>WEC</t>
  </si>
  <si>
    <t>ED</t>
  </si>
  <si>
    <t>HRL</t>
  </si>
  <si>
    <t>MKC</t>
  </si>
  <si>
    <t>CHD</t>
  </si>
  <si>
    <t>AEE</t>
  </si>
  <si>
    <t>CERN</t>
  </si>
  <si>
    <t>K</t>
  </si>
  <si>
    <t>CLX</t>
  </si>
  <si>
    <t>DGX</t>
  </si>
  <si>
    <t>CMS</t>
  </si>
  <si>
    <t>CAG</t>
  </si>
  <si>
    <t>EVRG</t>
  </si>
  <si>
    <t>LNT</t>
  </si>
  <si>
    <t>SJM</t>
  </si>
  <si>
    <t>CPB</t>
  </si>
  <si>
    <t>ATO</t>
  </si>
  <si>
    <t>UWMC</t>
  </si>
  <si>
    <t>NI</t>
  </si>
  <si>
    <t>TWKS</t>
  </si>
  <si>
    <t>CHNG</t>
  </si>
  <si>
    <t>REYN</t>
  </si>
  <si>
    <t>QDEL</t>
  </si>
  <si>
    <t>FLO</t>
  </si>
  <si>
    <t>RKLB</t>
  </si>
  <si>
    <t>FCN</t>
  </si>
  <si>
    <t>CWAN</t>
  </si>
  <si>
    <t>VIRT</t>
  </si>
  <si>
    <t>PINC</t>
  </si>
  <si>
    <t>HE</t>
  </si>
  <si>
    <t>PNM</t>
  </si>
  <si>
    <t>HAIN</t>
  </si>
  <si>
    <t>AJRD</t>
  </si>
  <si>
    <t>SFM</t>
  </si>
  <si>
    <t>AVA</t>
  </si>
  <si>
    <t>TR</t>
  </si>
  <si>
    <t>THS</t>
  </si>
  <si>
    <t>TOTAL VALUE</t>
  </si>
  <si>
    <t>Russell 2000</t>
  </si>
  <si>
    <t>S&amp;P 500</t>
  </si>
  <si>
    <t>TOTAL (HOLDING PERIOD) RETURN</t>
  </si>
  <si>
    <t>DAILY RETURN</t>
  </si>
  <si>
    <t>ASAM 21-22 Current Portfolio Positions by Group</t>
  </si>
  <si>
    <t>Total Cost</t>
  </si>
  <si>
    <t>Starting Cash after inception</t>
  </si>
  <si>
    <t>TOTAL COST</t>
  </si>
  <si>
    <t>Transactions History</t>
  </si>
  <si>
    <t>Date</t>
  </si>
  <si>
    <t>Security</t>
  </si>
  <si>
    <t>Action</t>
  </si>
  <si>
    <t>Quantity</t>
  </si>
  <si>
    <t>Price</t>
  </si>
  <si>
    <t>Total</t>
  </si>
  <si>
    <t>Cash</t>
  </si>
  <si>
    <t>Deposit</t>
  </si>
  <si>
    <t>NYSE: PBA</t>
  </si>
  <si>
    <t>Buy</t>
  </si>
  <si>
    <t>NYSE: XOM</t>
  </si>
  <si>
    <t>NYSE: OKE</t>
  </si>
  <si>
    <t>NYSE: LUMN</t>
  </si>
  <si>
    <t>NYSE: KMI</t>
  </si>
  <si>
    <t>NYSE: ENB</t>
  </si>
  <si>
    <t>NYSE: WMB</t>
  </si>
  <si>
    <t>NYSE: CNA</t>
  </si>
  <si>
    <t>NYSE: CVX</t>
  </si>
  <si>
    <t>NYSE: COTY</t>
  </si>
  <si>
    <t>NASDAQ: KHC</t>
  </si>
  <si>
    <t>Sell</t>
  </si>
  <si>
    <t>MGLN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</si>
</sst>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(&quot;$&quot;* #,##0.00_);_(&quot;$&quot;* \(#,##0.00\);_(&quot;$&quot;* &quot;-&quot;??_);_(@_)"/>
    <numFmt numFmtId="164" formatCode="m/d/yyyy\ h:mm:ss"/>
    <numFmt numFmtId="165" formatCode="0.0000%"/>
    <numFmt numFmtId="166" formatCode="0.000%"/>
    <numFmt numFmtId="167" formatCode="&quot;$&quot;#,##0.00"/>
    <numFmt numFmtId="168" formatCode="m/d/yyyy"/>
    <numFmt numFmtId="169" formatCode="&quot;$&quot;#,##0.0000"/>
  </numFmts>
  <fonts count="11">
    <font>
      <sz val="10"/>
      <color rgb="FF000000"/>
      <name val="Arial"/>
      <scheme val="minor"/>
    </font>
    <font>
      <sz val="10"/>
      <color theme="1"/>
      <name val="Arial"/>
      <scheme val="minor"/>
    </font>
    <font>
      <b/>
      <sz val="10"/>
      <color theme="1"/>
      <name val="Arial"/>
      <scheme val="minor"/>
    </font>
    <font>
      <sz val="10"/>
      <color theme="1"/>
      <name val="Arial"/>
    </font>
    <font>
      <sz val="10"/>
      <color rgb="FF232629"/>
      <name val="Ui-monospace"/>
    </font>
    <font>
      <sz val="10"/>
      <color rgb="FF232629"/>
      <name val="Arial"/>
    </font>
    <font>
      <sz val="10"/>
      <color theme="1"/>
      <name val="Arial"/>
      <scheme val="minor"/>
    </font>
    <font>
      <b/>
      <sz val="12"/>
      <color theme="1"/>
      <name val="Arial"/>
      <scheme val="minor"/>
    </font>
    <font>
      <sz val="10"/>
      <color theme="1"/>
      <name val="Arial"/>
    </font>
    <font>
      <sz val="11"/>
      <color theme="1"/>
      <name val="Arial"/>
      <scheme val="minor"/>
    </font>
    <font>
      <sz val="10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rgb="FFE3E6E8"/>
        <bgColor rgb="FFE3E6E8"/>
      </patternFill>
    </fill>
    <fill>
      <patternFill patternType="solid">
        <fgColor rgb="FFB7E1CD"/>
        <bgColor rgb="FFB7E1CD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5">
    <xf numFmtId="0" fontId="0" fillId="0" borderId="0" xfId="0" applyFont="1" applyAlignment="1"/>
    <xf numFmtId="0" fontId="1" fillId="0" borderId="0" xfId="0" applyFont="1"/>
    <xf numFmtId="0" fontId="1" fillId="0" borderId="0" xfId="0" applyFont="1" applyAlignment="1"/>
    <xf numFmtId="44" fontId="1" fillId="0" borderId="0" xfId="0" applyNumberFormat="1" applyFont="1"/>
    <xf numFmtId="165" fontId="1" fillId="0" borderId="0" xfId="0" applyNumberFormat="1" applyFont="1"/>
    <xf numFmtId="0" fontId="1" fillId="0" borderId="0" xfId="0" applyFont="1" applyAlignment="1">
      <alignment horizontal="center"/>
    </xf>
    <xf numFmtId="0" fontId="3" fillId="0" borderId="0" xfId="0" applyFont="1" applyAlignment="1"/>
    <xf numFmtId="166" fontId="1" fillId="0" borderId="0" xfId="0" applyNumberFormat="1" applyFont="1"/>
    <xf numFmtId="44" fontId="3" fillId="0" borderId="0" xfId="0" applyNumberFormat="1" applyFont="1" applyAlignment="1">
      <alignment horizontal="right"/>
    </xf>
    <xf numFmtId="0" fontId="3" fillId="0" borderId="0" xfId="0" applyFont="1" applyAlignment="1"/>
    <xf numFmtId="10" fontId="3" fillId="0" borderId="0" xfId="0" applyNumberFormat="1" applyFont="1" applyAlignment="1">
      <alignment horizontal="right"/>
    </xf>
    <xf numFmtId="167" fontId="1" fillId="0" borderId="0" xfId="0" applyNumberFormat="1" applyFont="1"/>
    <xf numFmtId="168" fontId="1" fillId="0" borderId="0" xfId="0" applyNumberFormat="1" applyFont="1" applyAlignment="1">
      <alignment horizontal="left"/>
    </xf>
    <xf numFmtId="10" fontId="1" fillId="0" borderId="0" xfId="0" applyNumberFormat="1" applyFont="1" applyAlignment="1"/>
    <xf numFmtId="10" fontId="1" fillId="0" borderId="0" xfId="0" applyNumberFormat="1" applyFont="1"/>
    <xf numFmtId="168" fontId="4" fillId="2" borderId="0" xfId="0" applyNumberFormat="1" applyFont="1" applyFill="1" applyAlignment="1">
      <alignment horizontal="left"/>
    </xf>
    <xf numFmtId="0" fontId="5" fillId="2" borderId="0" xfId="0" applyFont="1" applyFill="1" applyAlignment="1">
      <alignment horizontal="left"/>
    </xf>
    <xf numFmtId="0" fontId="2" fillId="0" borderId="0" xfId="0" applyFont="1" applyAlignment="1"/>
    <xf numFmtId="0" fontId="6" fillId="0" borderId="0" xfId="0" applyFont="1" applyAlignment="1"/>
    <xf numFmtId="0" fontId="7" fillId="0" borderId="0" xfId="0" applyFont="1" applyAlignment="1">
      <alignment horizontal="center"/>
    </xf>
    <xf numFmtId="169" fontId="7" fillId="0" borderId="0" xfId="0" applyNumberFormat="1" applyFont="1" applyAlignment="1">
      <alignment horizontal="center"/>
    </xf>
    <xf numFmtId="167" fontId="7" fillId="0" borderId="0" xfId="0" applyNumberFormat="1" applyFont="1" applyAlignment="1">
      <alignment horizontal="center"/>
    </xf>
    <xf numFmtId="0" fontId="8" fillId="0" borderId="0" xfId="0" applyFont="1" applyAlignment="1"/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6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7" fontId="1" fillId="0" borderId="0" xfId="0" applyNumberFormat="1" applyFont="1"/>
    <xf numFmtId="169" fontId="3" fillId="0" borderId="0" xfId="0" applyNumberFormat="1" applyFont="1" applyAlignment="1">
      <alignment horizontal="center"/>
    </xf>
    <xf numFmtId="167" fontId="1" fillId="0" borderId="0" xfId="0" applyNumberFormat="1" applyFont="1" applyAlignment="1"/>
    <xf numFmtId="169" fontId="1" fillId="0" borderId="0" xfId="0" applyNumberFormat="1" applyFont="1"/>
    <xf numFmtId="14" fontId="1" fillId="0" borderId="0" xfId="0" applyNumberFormat="1" applyFont="1"/>
    <xf numFmtId="0" fontId="1" fillId="0" borderId="0" xfId="0" applyFont="1" applyAlignment="1"/>
    <xf numFmtId="0" fontId="1" fillId="0" borderId="0" xfId="0" applyFont="1" applyAlignment="1">
      <alignment horizontal="center"/>
    </xf>
    <xf numFmtId="44" fontId="1" fillId="0" borderId="0" xfId="0" applyNumberFormat="1" applyFont="1" applyAlignment="1">
      <alignment horizontal="center"/>
    </xf>
    <xf numFmtId="168" fontId="2" fillId="0" borderId="0" xfId="0" applyNumberFormat="1" applyFont="1"/>
    <xf numFmtId="0" fontId="2" fillId="0" borderId="0" xfId="0" applyFont="1"/>
    <xf numFmtId="0" fontId="7" fillId="0" borderId="0" xfId="0" applyFont="1" applyAlignment="1">
      <alignment horizontal="left"/>
    </xf>
    <xf numFmtId="168" fontId="1" fillId="0" borderId="0" xfId="0" applyNumberFormat="1" applyFont="1" applyAlignment="1"/>
    <xf numFmtId="0" fontId="7" fillId="3" borderId="0" xfId="0" applyFont="1" applyFill="1" applyAlignment="1">
      <alignment horizontal="center"/>
    </xf>
    <xf numFmtId="44" fontId="3" fillId="0" borderId="0" xfId="0" applyNumberFormat="1" applyFont="1" applyAlignment="1">
      <alignment horizontal="center" vertical="top"/>
    </xf>
    <xf numFmtId="44" fontId="3" fillId="0" borderId="0" xfId="0" applyNumberFormat="1" applyFont="1" applyAlignment="1">
      <alignment horizontal="center" vertical="top"/>
    </xf>
    <xf numFmtId="44" fontId="3" fillId="0" borderId="0" xfId="0" applyNumberFormat="1" applyFont="1" applyAlignment="1">
      <alignment horizontal="right"/>
    </xf>
    <xf numFmtId="0" fontId="3" fillId="3" borderId="0" xfId="0" applyFont="1" applyFill="1" applyAlignment="1"/>
    <xf numFmtId="0" fontId="6" fillId="0" borderId="0" xfId="0" applyFont="1"/>
    <xf numFmtId="168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 vertical="top"/>
    </xf>
    <xf numFmtId="0" fontId="3" fillId="0" borderId="0" xfId="0" applyFont="1" applyAlignment="1">
      <alignment horizontal="center"/>
    </xf>
    <xf numFmtId="0" fontId="9" fillId="0" borderId="0" xfId="0" applyFont="1" applyAlignment="1"/>
    <xf numFmtId="168" fontId="6" fillId="0" borderId="0" xfId="0" applyNumberFormat="1" applyFont="1" applyAlignment="1">
      <alignment horizontal="center"/>
    </xf>
    <xf numFmtId="0" fontId="10" fillId="0" borderId="0" xfId="0" applyFont="1" applyAlignment="1">
      <alignment horizontal="center" vertical="top"/>
    </xf>
    <xf numFmtId="0" fontId="8" fillId="0" borderId="0" xfId="0" applyFont="1" applyAlignment="1">
      <alignment horizontal="center" vertical="top"/>
    </xf>
    <xf numFmtId="44" fontId="8" fillId="0" borderId="0" xfId="0" applyNumberFormat="1" applyFont="1" applyAlignment="1">
      <alignment horizontal="center" vertical="top"/>
    </xf>
    <xf numFmtId="0" fontId="3" fillId="0" borderId="0" xfId="0" applyFont="1" applyAlignment="1">
      <alignment horizontal="center" vertical="top"/>
    </xf>
    <xf numFmtId="0" fontId="8" fillId="0" borderId="0" xfId="0" applyFont="1" applyAlignment="1">
      <alignment horizontal="left" vertical="top"/>
    </xf>
    <xf numFmtId="167" fontId="8" fillId="0" borderId="0" xfId="0" applyNumberFormat="1" applyFont="1" applyAlignment="1">
      <alignment horizontal="center" vertical="top"/>
    </xf>
    <xf numFmtId="0" fontId="3" fillId="0" borderId="0" xfId="0" applyFont="1" applyAlignment="1"/>
    <xf numFmtId="0" fontId="0" fillId="0" borderId="0" xfId="0" applyFont="1" applyAlignment="1"/>
    <xf numFmtId="0" fontId="1" fillId="0" borderId="0" xfId="0" applyFont="1" applyAlignment="1">
      <alignment horizontal="center"/>
    </xf>
    <xf numFmtId="0" fontId="1" fillId="0" borderId="0" xfId="0" applyFont="1" applyAlignment="1"/>
    <xf numFmtId="164" fontId="1" fillId="0" borderId="0" xfId="0" applyNumberFormat="1" applyFont="1"/>
    <xf numFmtId="0" fontId="1" fillId="0" borderId="0" xfId="0" applyFont="1"/>
    <xf numFmtId="0" fontId="1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0" fontId="7" fillId="0" borderId="0" xfId="0" applyFont="1" applyAlignment="1">
      <alignment horizontal="center"/>
    </xf>
  </cellXfs>
  <cellStyles count="1">
    <cellStyle name="Normal" xfId="0" builtinId="0"/>
  </cellStyles>
  <dxfs count="2"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1">
                <a:solidFill>
                  <a:srgbClr val="F3F3F3"/>
                </a:solidFill>
                <a:latin typeface="Arial black"/>
              </a:defRPr>
            </a:pPr>
            <a:r>
              <a:rPr lang="en-US" b="1">
                <a:solidFill>
                  <a:srgbClr val="F3F3F3"/>
                </a:solidFill>
                <a:latin typeface="Arial black"/>
              </a:rPr>
              <a:t>Portfolio Performance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invertIfNegative val="1"/>
          <c:cat>
            <c:strRef>
              <c:f>Positions!$B$2:$B$50</c:f>
              <c:strCache>
                <c:ptCount val="49"/>
                <c:pt idx="0">
                  <c:v>Tickers</c:v>
                </c:pt>
                <c:pt idx="1">
                  <c:v>C</c:v>
                </c:pt>
                <c:pt idx="2">
                  <c:v>NOW</c:v>
                </c:pt>
                <c:pt idx="3">
                  <c:v>ALGN</c:v>
                </c:pt>
                <c:pt idx="4">
                  <c:v>DOW</c:v>
                </c:pt>
                <c:pt idx="5">
                  <c:v>CDNS</c:v>
                </c:pt>
                <c:pt idx="6">
                  <c:v>VEEV</c:v>
                </c:pt>
                <c:pt idx="7">
                  <c:v>AZN</c:v>
                </c:pt>
                <c:pt idx="8">
                  <c:v>ZEN</c:v>
                </c:pt>
                <c:pt idx="9">
                  <c:v>VMW</c:v>
                </c:pt>
                <c:pt idx="10">
                  <c:v>FIVN</c:v>
                </c:pt>
                <c:pt idx="11">
                  <c:v>EQH</c:v>
                </c:pt>
                <c:pt idx="12">
                  <c:v>BBWI</c:v>
                </c:pt>
                <c:pt idx="13">
                  <c:v>BWA</c:v>
                </c:pt>
                <c:pt idx="14">
                  <c:v>ETV</c:v>
                </c:pt>
                <c:pt idx="15">
                  <c:v>EWBC</c:v>
                </c:pt>
                <c:pt idx="16">
                  <c:v>SYNH</c:v>
                </c:pt>
                <c:pt idx="17">
                  <c:v>ITT</c:v>
                </c:pt>
                <c:pt idx="18">
                  <c:v>OSK</c:v>
                </c:pt>
                <c:pt idx="19">
                  <c:v>AL</c:v>
                </c:pt>
                <c:pt idx="20">
                  <c:v>ACIW</c:v>
                </c:pt>
                <c:pt idx="21">
                  <c:v>LPSN</c:v>
                </c:pt>
                <c:pt idx="22">
                  <c:v>JBT</c:v>
                </c:pt>
                <c:pt idx="23">
                  <c:v>MGNI</c:v>
                </c:pt>
                <c:pt idx="24">
                  <c:v>R</c:v>
                </c:pt>
                <c:pt idx="25">
                  <c:v>UNVR</c:v>
                </c:pt>
                <c:pt idx="26">
                  <c:v>NKTR</c:v>
                </c:pt>
                <c:pt idx="27">
                  <c:v>REZI</c:v>
                </c:pt>
                <c:pt idx="28">
                  <c:v>GBT</c:v>
                </c:pt>
                <c:pt idx="29">
                  <c:v>CBT</c:v>
                </c:pt>
                <c:pt idx="30">
                  <c:v>OI</c:v>
                </c:pt>
                <c:pt idx="31">
                  <c:v>KRO</c:v>
                </c:pt>
                <c:pt idx="32">
                  <c:v>RCUS</c:v>
                </c:pt>
                <c:pt idx="33">
                  <c:v>VRTS</c:v>
                </c:pt>
                <c:pt idx="34">
                  <c:v>GES</c:v>
                </c:pt>
                <c:pt idx="35">
                  <c:v>SNY</c:v>
                </c:pt>
                <c:pt idx="36">
                  <c:v>EPAC</c:v>
                </c:pt>
                <c:pt idx="37">
                  <c:v>CMCO</c:v>
                </c:pt>
                <c:pt idx="38">
                  <c:v>LNTH</c:v>
                </c:pt>
                <c:pt idx="39">
                  <c:v>BCOR</c:v>
                </c:pt>
                <c:pt idx="40">
                  <c:v>TALO</c:v>
                </c:pt>
                <c:pt idx="41">
                  <c:v>DXPE</c:v>
                </c:pt>
                <c:pt idx="42">
                  <c:v>PBYI</c:v>
                </c:pt>
                <c:pt idx="43">
                  <c:v>FLNT</c:v>
                </c:pt>
                <c:pt idx="44">
                  <c:v>CONN</c:v>
                </c:pt>
                <c:pt idx="45">
                  <c:v>IVC</c:v>
                </c:pt>
                <c:pt idx="46">
                  <c:v>VRCA</c:v>
                </c:pt>
                <c:pt idx="47">
                  <c:v>CVLG</c:v>
                </c:pt>
                <c:pt idx="48">
                  <c:v>GTE</c:v>
                </c:pt>
              </c:strCache>
            </c:strRef>
          </c:cat>
          <c:val>
            <c:numRef>
              <c:f>Positions!$B$2:$B$50</c:f>
              <c:numCache>
                <c:formatCode>General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70-7A42-B2DC-878CD8480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6484541"/>
        <c:axId val="1101064044"/>
      </c:barChart>
      <c:catAx>
        <c:axId val="34648454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01064044"/>
        <c:crosses val="autoZero"/>
        <c:auto val="1"/>
        <c:lblAlgn val="ctr"/>
        <c:lblOffset val="100"/>
        <c:noMultiLvlLbl val="1"/>
      </c:catAx>
      <c:valAx>
        <c:axId val="1101064044"/>
        <c:scaling>
          <c:orientation val="minMax"/>
        </c:scaling>
        <c:delete val="0"/>
        <c:axPos val="l"/>
        <c:numFmt formatCode="General" sourceLinked="1"/>
        <c:majorTickMark val="cross"/>
        <c:minorTickMark val="cross"/>
        <c:tickLblPos val="nextTo"/>
        <c:spPr>
          <a:ln>
            <a:noFill/>
          </a:ln>
        </c:spPr>
        <c:crossAx val="346484541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666666"/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1">
                <a:solidFill>
                  <a:schemeClr val="dk1"/>
                </a:solidFill>
                <a:latin typeface="+mn-lt"/>
              </a:defRPr>
            </a:pPr>
            <a:r>
              <a:rPr b="1">
                <a:solidFill>
                  <a:schemeClr val="dk1"/>
                </a:solidFill>
                <a:latin typeface="+mn-lt"/>
              </a:rPr>
              <a:t>Neglected Beta Total Value since 1/10/2022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'Total Value'!$A$149</c:f>
              <c:strCache>
                <c:ptCount val="1"/>
                <c:pt idx="0">
                  <c:v>Neglected Beta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'Total Value'!$B$148:$KB$148</c:f>
              <c:strCache>
                <c:ptCount val="82"/>
                <c:pt idx="2">
                  <c:v>1/10/2022</c:v>
                </c:pt>
                <c:pt idx="3">
                  <c:v>1/11/2022</c:v>
                </c:pt>
                <c:pt idx="4">
                  <c:v>1/12/2022</c:v>
                </c:pt>
                <c:pt idx="5">
                  <c:v>1/13/2022</c:v>
                </c:pt>
                <c:pt idx="6">
                  <c:v>1/14/2022</c:v>
                </c:pt>
                <c:pt idx="7">
                  <c:v>1/18/2022</c:v>
                </c:pt>
                <c:pt idx="8">
                  <c:v>1/19/2022</c:v>
                </c:pt>
                <c:pt idx="9">
                  <c:v>1/20/2022</c:v>
                </c:pt>
                <c:pt idx="10">
                  <c:v>1/21/2022</c:v>
                </c:pt>
                <c:pt idx="11">
                  <c:v>1/24/2022</c:v>
                </c:pt>
                <c:pt idx="12">
                  <c:v>1/25/2022</c:v>
                </c:pt>
                <c:pt idx="13">
                  <c:v>1/26/2022</c:v>
                </c:pt>
                <c:pt idx="14">
                  <c:v>1/27/2022</c:v>
                </c:pt>
                <c:pt idx="15">
                  <c:v>1/28/2022</c:v>
                </c:pt>
                <c:pt idx="16">
                  <c:v>1/31/2022</c:v>
                </c:pt>
                <c:pt idx="17">
                  <c:v>2/1/2022</c:v>
                </c:pt>
                <c:pt idx="18">
                  <c:v>2/2/2022</c:v>
                </c:pt>
                <c:pt idx="19">
                  <c:v>2/3/2022</c:v>
                </c:pt>
                <c:pt idx="20">
                  <c:v>2/4/2022</c:v>
                </c:pt>
                <c:pt idx="21">
                  <c:v>2/7/2022</c:v>
                </c:pt>
                <c:pt idx="22">
                  <c:v>2/8/2022</c:v>
                </c:pt>
                <c:pt idx="23">
                  <c:v>2/9/2022</c:v>
                </c:pt>
                <c:pt idx="24">
                  <c:v>2/10/2022</c:v>
                </c:pt>
                <c:pt idx="25">
                  <c:v>2/11/2022</c:v>
                </c:pt>
                <c:pt idx="26">
                  <c:v>2/14/2022</c:v>
                </c:pt>
                <c:pt idx="27">
                  <c:v>2/15/2022</c:v>
                </c:pt>
                <c:pt idx="28">
                  <c:v>2/16/2022</c:v>
                </c:pt>
                <c:pt idx="29">
                  <c:v>2/17/2022</c:v>
                </c:pt>
                <c:pt idx="30">
                  <c:v>2/18/2022</c:v>
                </c:pt>
                <c:pt idx="31">
                  <c:v>2/22/2022</c:v>
                </c:pt>
                <c:pt idx="32">
                  <c:v>2/23/2022</c:v>
                </c:pt>
                <c:pt idx="33">
                  <c:v>2/24/2022</c:v>
                </c:pt>
                <c:pt idx="34">
                  <c:v>2/25/2022</c:v>
                </c:pt>
                <c:pt idx="35">
                  <c:v>2/28/2022</c:v>
                </c:pt>
                <c:pt idx="36">
                  <c:v>3/1/2022</c:v>
                </c:pt>
                <c:pt idx="37">
                  <c:v>3/2/2022</c:v>
                </c:pt>
                <c:pt idx="38">
                  <c:v>3/3/2022</c:v>
                </c:pt>
                <c:pt idx="39">
                  <c:v>3/4/2022</c:v>
                </c:pt>
                <c:pt idx="40">
                  <c:v>3/7/2022</c:v>
                </c:pt>
                <c:pt idx="41">
                  <c:v>3/8/2022</c:v>
                </c:pt>
                <c:pt idx="42">
                  <c:v>3/9/2022</c:v>
                </c:pt>
                <c:pt idx="43">
                  <c:v>3/10/2022</c:v>
                </c:pt>
                <c:pt idx="44">
                  <c:v>3/11/2022</c:v>
                </c:pt>
                <c:pt idx="45">
                  <c:v>3/14/2022</c:v>
                </c:pt>
                <c:pt idx="46">
                  <c:v>3/15/2022</c:v>
                </c:pt>
                <c:pt idx="47">
                  <c:v>3/16/2022</c:v>
                </c:pt>
                <c:pt idx="48">
                  <c:v>3/17/2022</c:v>
                </c:pt>
                <c:pt idx="49">
                  <c:v>3/18/2022</c:v>
                </c:pt>
                <c:pt idx="50">
                  <c:v>3/21/2022</c:v>
                </c:pt>
                <c:pt idx="51">
                  <c:v>3/22/2022</c:v>
                </c:pt>
                <c:pt idx="52">
                  <c:v>3/23/2022</c:v>
                </c:pt>
                <c:pt idx="53">
                  <c:v>3/24/2022</c:v>
                </c:pt>
                <c:pt idx="54">
                  <c:v>3/25/2022</c:v>
                </c:pt>
                <c:pt idx="55">
                  <c:v>3/28/2022</c:v>
                </c:pt>
                <c:pt idx="56">
                  <c:v>3/29/2022</c:v>
                </c:pt>
                <c:pt idx="57">
                  <c:v>3/30/2022</c:v>
                </c:pt>
                <c:pt idx="58">
                  <c:v>3/31/2022</c:v>
                </c:pt>
                <c:pt idx="59">
                  <c:v>4/1/2022</c:v>
                </c:pt>
                <c:pt idx="60">
                  <c:v>4/4/2022</c:v>
                </c:pt>
                <c:pt idx="61">
                  <c:v>4/5/2022</c:v>
                </c:pt>
                <c:pt idx="62">
                  <c:v>4/6/2022</c:v>
                </c:pt>
                <c:pt idx="63">
                  <c:v>4/7/2022</c:v>
                </c:pt>
                <c:pt idx="64">
                  <c:v>4/8/2022</c:v>
                </c:pt>
                <c:pt idx="65">
                  <c:v>4/11/2022</c:v>
                </c:pt>
                <c:pt idx="66">
                  <c:v>4/12/2022</c:v>
                </c:pt>
                <c:pt idx="67">
                  <c:v>4/13/2022</c:v>
                </c:pt>
                <c:pt idx="68">
                  <c:v>4/14/2022</c:v>
                </c:pt>
                <c:pt idx="69">
                  <c:v>4/18/2022</c:v>
                </c:pt>
                <c:pt idx="70">
                  <c:v>4/19/2022</c:v>
                </c:pt>
                <c:pt idx="71">
                  <c:v>4/20/2022</c:v>
                </c:pt>
                <c:pt idx="72">
                  <c:v>4/21/2022</c:v>
                </c:pt>
                <c:pt idx="73">
                  <c:v>4/22/2022</c:v>
                </c:pt>
                <c:pt idx="74">
                  <c:v>4/25/2022</c:v>
                </c:pt>
                <c:pt idx="75">
                  <c:v>4/26/2022</c:v>
                </c:pt>
                <c:pt idx="76">
                  <c:v>4/27/2022</c:v>
                </c:pt>
                <c:pt idx="77">
                  <c:v>4/28/2022</c:v>
                </c:pt>
                <c:pt idx="78">
                  <c:v>4/29/2022</c:v>
                </c:pt>
                <c:pt idx="79">
                  <c:v>5/2/2022</c:v>
                </c:pt>
                <c:pt idx="80">
                  <c:v>5/3/2022</c:v>
                </c:pt>
                <c:pt idx="81">
                  <c:v>5/4/2022</c:v>
                </c:pt>
              </c:strCache>
            </c:strRef>
          </c:cat>
          <c:val>
            <c:numRef>
              <c:f>'Total Value'!$B$149:$KB$149</c:f>
              <c:numCache>
                <c:formatCode>General</c:formatCode>
                <c:ptCount val="287"/>
                <c:pt idx="2" formatCode="&quot;$&quot;#,##0.00">
                  <c:v>327530.85000000003</c:v>
                </c:pt>
                <c:pt idx="3" formatCode="&quot;$&quot;#,##0.00">
                  <c:v>331666.68</c:v>
                </c:pt>
                <c:pt idx="4" formatCode="&quot;$&quot;#,##0.00">
                  <c:v>330422.90000000014</c:v>
                </c:pt>
                <c:pt idx="5" formatCode="&quot;$&quot;#,##0.00">
                  <c:v>323363.53999999992</c:v>
                </c:pt>
                <c:pt idx="6" formatCode="&quot;$&quot;#,##0.00">
                  <c:v>323883.93000000005</c:v>
                </c:pt>
                <c:pt idx="7" formatCode="&quot;$&quot;#,##0.00">
                  <c:v>316645.32999999978</c:v>
                </c:pt>
                <c:pt idx="8" formatCode="&quot;$&quot;#,##0.00">
                  <c:v>314553.16000000003</c:v>
                </c:pt>
                <c:pt idx="9" formatCode="&quot;$&quot;#,##0.00">
                  <c:v>311849.37999999995</c:v>
                </c:pt>
                <c:pt idx="10" formatCode="&quot;$&quot;#,##0.00">
                  <c:v>305721.46999999997</c:v>
                </c:pt>
                <c:pt idx="11" formatCode="&quot;$&quot;#,##0.00">
                  <c:v>308532.40000000008</c:v>
                </c:pt>
                <c:pt idx="12" formatCode="&quot;$&quot;#,##0.00">
                  <c:v>304299.01999999996</c:v>
                </c:pt>
                <c:pt idx="13" formatCode="&quot;$&quot;#,##0.00">
                  <c:v>302198.37999999995</c:v>
                </c:pt>
                <c:pt idx="14" formatCode="&quot;$&quot;#,##0.00">
                  <c:v>306075.18999999994</c:v>
                </c:pt>
                <c:pt idx="15" formatCode="&quot;$&quot;#,##0.00">
                  <c:v>313164.57000000007</c:v>
                </c:pt>
                <c:pt idx="16" formatCode="&quot;$&quot;#,##0.00">
                  <c:v>320762.37999999989</c:v>
                </c:pt>
                <c:pt idx="17" formatCode="&quot;$&quot;#,##0.00">
                  <c:v>324920.44999999995</c:v>
                </c:pt>
                <c:pt idx="18" formatCode="&quot;$&quot;#,##0.00">
                  <c:v>324233.90000000008</c:v>
                </c:pt>
                <c:pt idx="19" formatCode="&quot;$&quot;#,##0.00">
                  <c:v>316642.44999999984</c:v>
                </c:pt>
                <c:pt idx="20" formatCode="&quot;$&quot;#,##0.00">
                  <c:v>319591.39000000019</c:v>
                </c:pt>
                <c:pt idx="21" formatCode="&quot;$&quot;#,##0.00">
                  <c:v>320157.35000000009</c:v>
                </c:pt>
                <c:pt idx="22" formatCode="&quot;$&quot;#,##0.00">
                  <c:v>325809.51000000007</c:v>
                </c:pt>
                <c:pt idx="23" formatCode="&quot;$&quot;#,##0.00">
                  <c:v>333502.1700000001</c:v>
                </c:pt>
                <c:pt idx="24" formatCode="&quot;$&quot;#,##0.00">
                  <c:v>331685.96999999986</c:v>
                </c:pt>
                <c:pt idx="25" formatCode="&quot;$&quot;#,##0.00">
                  <c:v>324577.32999999996</c:v>
                </c:pt>
                <c:pt idx="26" formatCode="&quot;$&quot;#,##0.00">
                  <c:v>322469.00999999995</c:v>
                </c:pt>
                <c:pt idx="27" formatCode="&quot;$&quot;#,##0.00">
                  <c:v>328903.49</c:v>
                </c:pt>
                <c:pt idx="28" formatCode="&quot;$&quot;#,##0.00">
                  <c:v>329134.61000000004</c:v>
                </c:pt>
                <c:pt idx="29" formatCode="&quot;$&quot;#,##0.00">
                  <c:v>318568.92</c:v>
                </c:pt>
                <c:pt idx="30" formatCode="&quot;$&quot;#,##0.00">
                  <c:v>314369.12999999995</c:v>
                </c:pt>
                <c:pt idx="31" formatCode="&quot;$&quot;#,##0.00">
                  <c:v>312055.31999999995</c:v>
                </c:pt>
                <c:pt idx="32" formatCode="&quot;$&quot;#,##0.00">
                  <c:v>306260.52999999997</c:v>
                </c:pt>
                <c:pt idx="33" formatCode="&quot;$&quot;#,##0.00">
                  <c:v>311055.63000000006</c:v>
                </c:pt>
                <c:pt idx="34" formatCode="&quot;$&quot;#,##0.00">
                  <c:v>316658.89000000007</c:v>
                </c:pt>
                <c:pt idx="35" formatCode="&quot;$&quot;#,##0.00">
                  <c:v>313166.46999999991</c:v>
                </c:pt>
                <c:pt idx="36" formatCode="&quot;$&quot;#,##0.00">
                  <c:v>308707</c:v>
                </c:pt>
                <c:pt idx="37" formatCode="&quot;$&quot;#,##0.00">
                  <c:v>315634.8899999999</c:v>
                </c:pt>
                <c:pt idx="38" formatCode="&quot;$&quot;#,##0.00">
                  <c:v>305094.09999999974</c:v>
                </c:pt>
                <c:pt idx="39" formatCode="&quot;$&quot;#,##0.00">
                  <c:v>297767.39999999997</c:v>
                </c:pt>
                <c:pt idx="40" formatCode="&quot;$&quot;#,##0.00">
                  <c:v>286948.91999999987</c:v>
                </c:pt>
                <c:pt idx="41" formatCode="&quot;$&quot;#,##0.00">
                  <c:v>285709.51000000007</c:v>
                </c:pt>
                <c:pt idx="42" formatCode="&quot;$&quot;#,##0.00">
                  <c:v>297685.82</c:v>
                </c:pt>
                <c:pt idx="43" formatCode="&quot;$&quot;#,##0.00">
                  <c:v>293161.09999999992</c:v>
                </c:pt>
                <c:pt idx="44" formatCode="&quot;$&quot;#,##0.00">
                  <c:v>286052.54999999987</c:v>
                </c:pt>
                <c:pt idx="45" formatCode="&quot;$&quot;#,##0.00">
                  <c:v>280777.40000000002</c:v>
                </c:pt>
                <c:pt idx="46" formatCode="&quot;$&quot;#,##0.00">
                  <c:v>285618.32000000007</c:v>
                </c:pt>
                <c:pt idx="47" formatCode="&quot;$&quot;#,##0.00">
                  <c:v>297138.70000000013</c:v>
                </c:pt>
                <c:pt idx="48" formatCode="&quot;$&quot;#,##0.00">
                  <c:v>303645.93999999971</c:v>
                </c:pt>
                <c:pt idx="49" formatCode="&quot;$&quot;#,##0.00">
                  <c:v>307600.43000000005</c:v>
                </c:pt>
                <c:pt idx="50" formatCode="&quot;$&quot;#,##0.00">
                  <c:v>305797.81999999972</c:v>
                </c:pt>
                <c:pt idx="51" formatCode="&quot;$&quot;#,##0.00">
                  <c:v>311235.89000000007</c:v>
                </c:pt>
                <c:pt idx="52" formatCode="&quot;$&quot;#,##0.00">
                  <c:v>305200.24</c:v>
                </c:pt>
                <c:pt idx="53" formatCode="&quot;$&quot;#,##0.00">
                  <c:v>308785.14999999991</c:v>
                </c:pt>
                <c:pt idx="54" formatCode="&quot;$&quot;#,##0.00">
                  <c:v>306805.24999999988</c:v>
                </c:pt>
                <c:pt idx="55" formatCode="&quot;$&quot;#,##0.00">
                  <c:v>308212.31</c:v>
                </c:pt>
                <c:pt idx="56" formatCode="&quot;$&quot;#,##0.00">
                  <c:v>314843.65000000002</c:v>
                </c:pt>
                <c:pt idx="57" formatCode="&quot;$&quot;#,##0.00">
                  <c:v>308659.55000000005</c:v>
                </c:pt>
                <c:pt idx="58" formatCode="&quot;$&quot;#,##0.00">
                  <c:v>302940.24000000017</c:v>
                </c:pt>
                <c:pt idx="59" formatCode="&quot;$&quot;#,##0.00">
                  <c:v>302935.53000000003</c:v>
                </c:pt>
                <c:pt idx="60" formatCode="&quot;$&quot;#,##0.00">
                  <c:v>306505.65999999986</c:v>
                </c:pt>
                <c:pt idx="61" formatCode="&quot;$&quot;#,##0.00">
                  <c:v>300829.61000000016</c:v>
                </c:pt>
                <c:pt idx="62" formatCode="&quot;$&quot;#,##0.00">
                  <c:v>294256.40999999992</c:v>
                </c:pt>
                <c:pt idx="63" formatCode="&quot;$&quot;#,##0.00">
                  <c:v>293717.14</c:v>
                </c:pt>
                <c:pt idx="64" formatCode="&quot;$&quot;#,##0.00">
                  <c:v>292136.24000000011</c:v>
                </c:pt>
                <c:pt idx="65" formatCode="&quot;$&quot;#,##0.00">
                  <c:v>290304.53000000009</c:v>
                </c:pt>
                <c:pt idx="66" formatCode="&quot;$&quot;#,##0.00">
                  <c:v>289216.92000000016</c:v>
                </c:pt>
                <c:pt idx="67" formatCode="&quot;$&quot;#,##0.00">
                  <c:v>294046.21000000014</c:v>
                </c:pt>
                <c:pt idx="68" formatCode="&quot;$&quot;#,##0.00">
                  <c:v>291807.62999999989</c:v>
                </c:pt>
                <c:pt idx="69" formatCode="&quot;$&quot;#,##0.00">
                  <c:v>291055.08999999991</c:v>
                </c:pt>
                <c:pt idx="70" formatCode="&quot;$&quot;#,##0.00">
                  <c:v>298592.25000000012</c:v>
                </c:pt>
                <c:pt idx="71" formatCode="&quot;$&quot;#,##0.00">
                  <c:v>298248.56</c:v>
                </c:pt>
                <c:pt idx="72" formatCode="&quot;$&quot;#,##0.00">
                  <c:v>292672.86</c:v>
                </c:pt>
                <c:pt idx="73" formatCode="&quot;$&quot;#,##0.00">
                  <c:v>284660.13000000006</c:v>
                </c:pt>
                <c:pt idx="74" formatCode="&quot;$&quot;#,##0.00">
                  <c:v>285465.40999999992</c:v>
                </c:pt>
                <c:pt idx="75" formatCode="&quot;$&quot;#,##0.00">
                  <c:v>278913.49999999994</c:v>
                </c:pt>
                <c:pt idx="76" formatCode="&quot;$&quot;#,##0.00">
                  <c:v>279988.60999999993</c:v>
                </c:pt>
                <c:pt idx="77" formatCode="&quot;$&quot;#,##0.00">
                  <c:v>284881.40999999997</c:v>
                </c:pt>
                <c:pt idx="78" formatCode="&quot;$&quot;#,##0.00">
                  <c:v>276843.41000000009</c:v>
                </c:pt>
                <c:pt idx="79" formatCode="&quot;$&quot;#,##0.00">
                  <c:v>280638.07000000012</c:v>
                </c:pt>
                <c:pt idx="80" formatCode="&quot;$&quot;#,##0.00">
                  <c:v>282803.27</c:v>
                </c:pt>
                <c:pt idx="81" formatCode="&quot;$&quot;#,##0.00">
                  <c:v>291226.49</c:v>
                </c:pt>
                <c:pt idx="82" formatCode="&quot;$&quot;#,##0.00">
                  <c:v>0</c:v>
                </c:pt>
                <c:pt idx="83" formatCode="&quot;$&quot;#,##0.00">
                  <c:v>0</c:v>
                </c:pt>
                <c:pt idx="84" formatCode="&quot;$&quot;#,##0.00">
                  <c:v>0</c:v>
                </c:pt>
                <c:pt idx="85" formatCode="&quot;$&quot;#,##0.00">
                  <c:v>0</c:v>
                </c:pt>
                <c:pt idx="86" formatCode="&quot;$&quot;#,##0.00">
                  <c:v>0</c:v>
                </c:pt>
                <c:pt idx="87" formatCode="&quot;$&quot;#,##0.00">
                  <c:v>0</c:v>
                </c:pt>
                <c:pt idx="88" formatCode="&quot;$&quot;#,##0.00">
                  <c:v>0</c:v>
                </c:pt>
                <c:pt idx="89" formatCode="&quot;$&quot;#,##0.00">
                  <c:v>0</c:v>
                </c:pt>
                <c:pt idx="90" formatCode="&quot;$&quot;#,##0.00">
                  <c:v>0</c:v>
                </c:pt>
                <c:pt idx="91" formatCode="&quot;$&quot;#,##0.00">
                  <c:v>0</c:v>
                </c:pt>
                <c:pt idx="92" formatCode="&quot;$&quot;#,##0.00">
                  <c:v>0</c:v>
                </c:pt>
                <c:pt idx="93" formatCode="&quot;$&quot;#,##0.00">
                  <c:v>0</c:v>
                </c:pt>
                <c:pt idx="94" formatCode="&quot;$&quot;#,##0.00">
                  <c:v>0</c:v>
                </c:pt>
                <c:pt idx="95" formatCode="&quot;$&quot;#,##0.00">
                  <c:v>0</c:v>
                </c:pt>
                <c:pt idx="96" formatCode="&quot;$&quot;#,##0.00">
                  <c:v>0</c:v>
                </c:pt>
                <c:pt idx="97" formatCode="&quot;$&quot;#,##0.00">
                  <c:v>0</c:v>
                </c:pt>
                <c:pt idx="98" formatCode="&quot;$&quot;#,##0.00">
                  <c:v>0</c:v>
                </c:pt>
                <c:pt idx="99" formatCode="&quot;$&quot;#,##0.00">
                  <c:v>0</c:v>
                </c:pt>
                <c:pt idx="100" formatCode="&quot;$&quot;#,##0.00">
                  <c:v>0</c:v>
                </c:pt>
                <c:pt idx="101" formatCode="&quot;$&quot;#,##0.00">
                  <c:v>0</c:v>
                </c:pt>
                <c:pt idx="102" formatCode="&quot;$&quot;#,##0.00">
                  <c:v>0</c:v>
                </c:pt>
                <c:pt idx="103" formatCode="&quot;$&quot;#,##0.00">
                  <c:v>0</c:v>
                </c:pt>
                <c:pt idx="104" formatCode="&quot;$&quot;#,##0.00">
                  <c:v>0</c:v>
                </c:pt>
                <c:pt idx="105" formatCode="&quot;$&quot;#,##0.00">
                  <c:v>0</c:v>
                </c:pt>
                <c:pt idx="106" formatCode="&quot;$&quot;#,##0.00">
                  <c:v>0</c:v>
                </c:pt>
                <c:pt idx="107" formatCode="&quot;$&quot;#,##0.00">
                  <c:v>0</c:v>
                </c:pt>
                <c:pt idx="108" formatCode="&quot;$&quot;#,##0.00">
                  <c:v>0</c:v>
                </c:pt>
                <c:pt idx="109" formatCode="&quot;$&quot;#,##0.00">
                  <c:v>0</c:v>
                </c:pt>
                <c:pt idx="110" formatCode="&quot;$&quot;#,##0.00">
                  <c:v>0</c:v>
                </c:pt>
                <c:pt idx="111" formatCode="&quot;$&quot;#,##0.00">
                  <c:v>0</c:v>
                </c:pt>
                <c:pt idx="112" formatCode="&quot;$&quot;#,##0.00">
                  <c:v>0</c:v>
                </c:pt>
                <c:pt idx="113" formatCode="&quot;$&quot;#,##0.00">
                  <c:v>0</c:v>
                </c:pt>
                <c:pt idx="114" formatCode="&quot;$&quot;#,##0.00">
                  <c:v>0</c:v>
                </c:pt>
                <c:pt idx="115" formatCode="&quot;$&quot;#,##0.00">
                  <c:v>0</c:v>
                </c:pt>
                <c:pt idx="116" formatCode="&quot;$&quot;#,##0.00">
                  <c:v>0</c:v>
                </c:pt>
                <c:pt idx="117" formatCode="&quot;$&quot;#,##0.00">
                  <c:v>0</c:v>
                </c:pt>
                <c:pt idx="118" formatCode="&quot;$&quot;#,##0.00">
                  <c:v>0</c:v>
                </c:pt>
                <c:pt idx="119" formatCode="&quot;$&quot;#,##0.00">
                  <c:v>0</c:v>
                </c:pt>
                <c:pt idx="120" formatCode="&quot;$&quot;#,##0.00">
                  <c:v>0</c:v>
                </c:pt>
                <c:pt idx="121" formatCode="&quot;$&quot;#,##0.00">
                  <c:v>0</c:v>
                </c:pt>
                <c:pt idx="122" formatCode="&quot;$&quot;#,##0.00">
                  <c:v>0</c:v>
                </c:pt>
                <c:pt idx="123" formatCode="&quot;$&quot;#,##0.00">
                  <c:v>0</c:v>
                </c:pt>
                <c:pt idx="124" formatCode="&quot;$&quot;#,##0.00">
                  <c:v>0</c:v>
                </c:pt>
                <c:pt idx="125" formatCode="&quot;$&quot;#,##0.00">
                  <c:v>0</c:v>
                </c:pt>
                <c:pt idx="126" formatCode="&quot;$&quot;#,##0.00">
                  <c:v>0</c:v>
                </c:pt>
                <c:pt idx="127" formatCode="&quot;$&quot;#,##0.00">
                  <c:v>0</c:v>
                </c:pt>
                <c:pt idx="128" formatCode="&quot;$&quot;#,##0.00">
                  <c:v>0</c:v>
                </c:pt>
                <c:pt idx="129" formatCode="&quot;$&quot;#,##0.00">
                  <c:v>0</c:v>
                </c:pt>
                <c:pt idx="130" formatCode="&quot;$&quot;#,##0.00">
                  <c:v>0</c:v>
                </c:pt>
                <c:pt idx="131" formatCode="&quot;$&quot;#,##0.00">
                  <c:v>0</c:v>
                </c:pt>
                <c:pt idx="132" formatCode="&quot;$&quot;#,##0.00">
                  <c:v>0</c:v>
                </c:pt>
                <c:pt idx="133" formatCode="&quot;$&quot;#,##0.00">
                  <c:v>0</c:v>
                </c:pt>
                <c:pt idx="134" formatCode="&quot;$&quot;#,##0.00">
                  <c:v>0</c:v>
                </c:pt>
                <c:pt idx="135" formatCode="&quot;$&quot;#,##0.00">
                  <c:v>0</c:v>
                </c:pt>
                <c:pt idx="136" formatCode="&quot;$&quot;#,##0.00">
                  <c:v>0</c:v>
                </c:pt>
                <c:pt idx="137" formatCode="&quot;$&quot;#,##0.00">
                  <c:v>0</c:v>
                </c:pt>
                <c:pt idx="138" formatCode="&quot;$&quot;#,##0.00">
                  <c:v>0</c:v>
                </c:pt>
                <c:pt idx="139" formatCode="&quot;$&quot;#,##0.00">
                  <c:v>0</c:v>
                </c:pt>
                <c:pt idx="140" formatCode="&quot;$&quot;#,##0.00">
                  <c:v>0</c:v>
                </c:pt>
                <c:pt idx="141" formatCode="&quot;$&quot;#,##0.00">
                  <c:v>0</c:v>
                </c:pt>
                <c:pt idx="142" formatCode="&quot;$&quot;#,##0.00">
                  <c:v>0</c:v>
                </c:pt>
                <c:pt idx="143" formatCode="&quot;$&quot;#,##0.00">
                  <c:v>0</c:v>
                </c:pt>
                <c:pt idx="144" formatCode="&quot;$&quot;#,##0.00">
                  <c:v>0</c:v>
                </c:pt>
                <c:pt idx="145" formatCode="&quot;$&quot;#,##0.00">
                  <c:v>0</c:v>
                </c:pt>
                <c:pt idx="146" formatCode="&quot;$&quot;#,##0.00">
                  <c:v>0</c:v>
                </c:pt>
                <c:pt idx="147" formatCode="&quot;$&quot;#,##0.00">
                  <c:v>0</c:v>
                </c:pt>
                <c:pt idx="148" formatCode="&quot;$&quot;#,##0.00">
                  <c:v>0</c:v>
                </c:pt>
                <c:pt idx="149" formatCode="&quot;$&quot;#,##0.00">
                  <c:v>0</c:v>
                </c:pt>
                <c:pt idx="150" formatCode="&quot;$&quot;#,##0.00">
                  <c:v>0</c:v>
                </c:pt>
                <c:pt idx="151" formatCode="&quot;$&quot;#,##0.00">
                  <c:v>0</c:v>
                </c:pt>
                <c:pt idx="152" formatCode="&quot;$&quot;#,##0.00">
                  <c:v>0</c:v>
                </c:pt>
                <c:pt idx="153" formatCode="&quot;$&quot;#,##0.00">
                  <c:v>0</c:v>
                </c:pt>
                <c:pt idx="154" formatCode="&quot;$&quot;#,##0.00">
                  <c:v>0</c:v>
                </c:pt>
                <c:pt idx="155" formatCode="&quot;$&quot;#,##0.00">
                  <c:v>0</c:v>
                </c:pt>
                <c:pt idx="156" formatCode="&quot;$&quot;#,##0.00">
                  <c:v>0</c:v>
                </c:pt>
                <c:pt idx="157" formatCode="&quot;$&quot;#,##0.00">
                  <c:v>0</c:v>
                </c:pt>
                <c:pt idx="158" formatCode="&quot;$&quot;#,##0.00">
                  <c:v>0</c:v>
                </c:pt>
                <c:pt idx="159" formatCode="&quot;$&quot;#,##0.00">
                  <c:v>0</c:v>
                </c:pt>
                <c:pt idx="160" formatCode="&quot;$&quot;#,##0.00">
                  <c:v>0</c:v>
                </c:pt>
                <c:pt idx="161" formatCode="&quot;$&quot;#,##0.00">
                  <c:v>0</c:v>
                </c:pt>
                <c:pt idx="162" formatCode="&quot;$&quot;#,##0.00">
                  <c:v>0</c:v>
                </c:pt>
                <c:pt idx="163" formatCode="&quot;$&quot;#,##0.00">
                  <c:v>0</c:v>
                </c:pt>
                <c:pt idx="164" formatCode="&quot;$&quot;#,##0.00">
                  <c:v>0</c:v>
                </c:pt>
                <c:pt idx="165" formatCode="&quot;$&quot;#,##0.00">
                  <c:v>0</c:v>
                </c:pt>
                <c:pt idx="166" formatCode="&quot;$&quot;#,##0.00">
                  <c:v>0</c:v>
                </c:pt>
                <c:pt idx="167" formatCode="&quot;$&quot;#,##0.00">
                  <c:v>0</c:v>
                </c:pt>
                <c:pt idx="168" formatCode="&quot;$&quot;#,##0.00">
                  <c:v>0</c:v>
                </c:pt>
                <c:pt idx="169" formatCode="&quot;$&quot;#,##0.00">
                  <c:v>0</c:v>
                </c:pt>
                <c:pt idx="170" formatCode="&quot;$&quot;#,##0.00">
                  <c:v>0</c:v>
                </c:pt>
                <c:pt idx="171" formatCode="&quot;$&quot;#,##0.00">
                  <c:v>0</c:v>
                </c:pt>
                <c:pt idx="172" formatCode="&quot;$&quot;#,##0.00">
                  <c:v>0</c:v>
                </c:pt>
                <c:pt idx="173" formatCode="&quot;$&quot;#,##0.00">
                  <c:v>0</c:v>
                </c:pt>
                <c:pt idx="174" formatCode="&quot;$&quot;#,##0.00">
                  <c:v>0</c:v>
                </c:pt>
                <c:pt idx="175" formatCode="&quot;$&quot;#,##0.00">
                  <c:v>0</c:v>
                </c:pt>
                <c:pt idx="176" formatCode="&quot;$&quot;#,##0.00">
                  <c:v>0</c:v>
                </c:pt>
                <c:pt idx="177" formatCode="&quot;$&quot;#,##0.00">
                  <c:v>0</c:v>
                </c:pt>
                <c:pt idx="178" formatCode="&quot;$&quot;#,##0.00">
                  <c:v>0</c:v>
                </c:pt>
                <c:pt idx="179" formatCode="&quot;$&quot;#,##0.00">
                  <c:v>0</c:v>
                </c:pt>
                <c:pt idx="180" formatCode="&quot;$&quot;#,##0.00">
                  <c:v>0</c:v>
                </c:pt>
                <c:pt idx="181" formatCode="&quot;$&quot;#,##0.00">
                  <c:v>0</c:v>
                </c:pt>
                <c:pt idx="182" formatCode="&quot;$&quot;#,##0.00">
                  <c:v>0</c:v>
                </c:pt>
                <c:pt idx="183" formatCode="&quot;$&quot;#,##0.00">
                  <c:v>0</c:v>
                </c:pt>
                <c:pt idx="184" formatCode="&quot;$&quot;#,##0.00">
                  <c:v>0</c:v>
                </c:pt>
                <c:pt idx="185" formatCode="&quot;$&quot;#,##0.00">
                  <c:v>0</c:v>
                </c:pt>
                <c:pt idx="186" formatCode="&quot;$&quot;#,##0.00">
                  <c:v>0</c:v>
                </c:pt>
                <c:pt idx="187" formatCode="&quot;$&quot;#,##0.00">
                  <c:v>0</c:v>
                </c:pt>
                <c:pt idx="188" formatCode="&quot;$&quot;#,##0.00">
                  <c:v>0</c:v>
                </c:pt>
                <c:pt idx="189" formatCode="&quot;$&quot;#,##0.00">
                  <c:v>0</c:v>
                </c:pt>
                <c:pt idx="190" formatCode="&quot;$&quot;#,##0.00">
                  <c:v>0</c:v>
                </c:pt>
                <c:pt idx="191" formatCode="&quot;$&quot;#,##0.00">
                  <c:v>0</c:v>
                </c:pt>
                <c:pt idx="192" formatCode="&quot;$&quot;#,##0.00">
                  <c:v>0</c:v>
                </c:pt>
                <c:pt idx="193" formatCode="&quot;$&quot;#,##0.00">
                  <c:v>0</c:v>
                </c:pt>
                <c:pt idx="194" formatCode="&quot;$&quot;#,##0.00">
                  <c:v>0</c:v>
                </c:pt>
                <c:pt idx="195" formatCode="&quot;$&quot;#,##0.00">
                  <c:v>0</c:v>
                </c:pt>
                <c:pt idx="196" formatCode="&quot;$&quot;#,##0.00">
                  <c:v>0</c:v>
                </c:pt>
                <c:pt idx="197" formatCode="&quot;$&quot;#,##0.00">
                  <c:v>0</c:v>
                </c:pt>
                <c:pt idx="198" formatCode="&quot;$&quot;#,##0.00">
                  <c:v>0</c:v>
                </c:pt>
                <c:pt idx="199" formatCode="&quot;$&quot;#,##0.00">
                  <c:v>0</c:v>
                </c:pt>
                <c:pt idx="200" formatCode="&quot;$&quot;#,##0.00">
                  <c:v>0</c:v>
                </c:pt>
                <c:pt idx="201" formatCode="&quot;$&quot;#,##0.00">
                  <c:v>0</c:v>
                </c:pt>
                <c:pt idx="202" formatCode="&quot;$&quot;#,##0.00">
                  <c:v>0</c:v>
                </c:pt>
                <c:pt idx="203" formatCode="&quot;$&quot;#,##0.00">
                  <c:v>0</c:v>
                </c:pt>
                <c:pt idx="204" formatCode="&quot;$&quot;#,##0.00">
                  <c:v>0</c:v>
                </c:pt>
                <c:pt idx="205" formatCode="&quot;$&quot;#,##0.00">
                  <c:v>0</c:v>
                </c:pt>
                <c:pt idx="206" formatCode="&quot;$&quot;#,##0.00">
                  <c:v>0</c:v>
                </c:pt>
                <c:pt idx="207" formatCode="&quot;$&quot;#,##0.00">
                  <c:v>0</c:v>
                </c:pt>
                <c:pt idx="208" formatCode="&quot;$&quot;#,##0.00">
                  <c:v>0</c:v>
                </c:pt>
                <c:pt idx="209" formatCode="&quot;$&quot;#,##0.00">
                  <c:v>0</c:v>
                </c:pt>
                <c:pt idx="210" formatCode="&quot;$&quot;#,##0.00">
                  <c:v>0</c:v>
                </c:pt>
                <c:pt idx="211" formatCode="&quot;$&quot;#,##0.00">
                  <c:v>0</c:v>
                </c:pt>
                <c:pt idx="212" formatCode="&quot;$&quot;#,##0.00">
                  <c:v>0</c:v>
                </c:pt>
                <c:pt idx="213" formatCode="&quot;$&quot;#,##0.00">
                  <c:v>0</c:v>
                </c:pt>
                <c:pt idx="214" formatCode="&quot;$&quot;#,##0.00">
                  <c:v>0</c:v>
                </c:pt>
                <c:pt idx="215" formatCode="&quot;$&quot;#,##0.00">
                  <c:v>0</c:v>
                </c:pt>
                <c:pt idx="216" formatCode="&quot;$&quot;#,##0.00">
                  <c:v>0</c:v>
                </c:pt>
                <c:pt idx="217" formatCode="&quot;$&quot;#,##0.00">
                  <c:v>0</c:v>
                </c:pt>
                <c:pt idx="218" formatCode="&quot;$&quot;#,##0.00">
                  <c:v>0</c:v>
                </c:pt>
                <c:pt idx="219" formatCode="&quot;$&quot;#,##0.00">
                  <c:v>0</c:v>
                </c:pt>
                <c:pt idx="220" formatCode="&quot;$&quot;#,##0.00">
                  <c:v>0</c:v>
                </c:pt>
                <c:pt idx="221" formatCode="&quot;$&quot;#,##0.00">
                  <c:v>0</c:v>
                </c:pt>
                <c:pt idx="222" formatCode="&quot;$&quot;#,##0.00">
                  <c:v>0</c:v>
                </c:pt>
                <c:pt idx="223" formatCode="&quot;$&quot;#,##0.00">
                  <c:v>0</c:v>
                </c:pt>
                <c:pt idx="224" formatCode="&quot;$&quot;#,##0.00">
                  <c:v>0</c:v>
                </c:pt>
                <c:pt idx="225" formatCode="&quot;$&quot;#,##0.00">
                  <c:v>0</c:v>
                </c:pt>
                <c:pt idx="226" formatCode="&quot;$&quot;#,##0.00">
                  <c:v>0</c:v>
                </c:pt>
                <c:pt idx="227" formatCode="&quot;$&quot;#,##0.00">
                  <c:v>0</c:v>
                </c:pt>
                <c:pt idx="228" formatCode="&quot;$&quot;#,##0.00">
                  <c:v>0</c:v>
                </c:pt>
                <c:pt idx="229" formatCode="&quot;$&quot;#,##0.00">
                  <c:v>0</c:v>
                </c:pt>
                <c:pt idx="230" formatCode="&quot;$&quot;#,##0.00">
                  <c:v>0</c:v>
                </c:pt>
                <c:pt idx="231" formatCode="&quot;$&quot;#,##0.00">
                  <c:v>0</c:v>
                </c:pt>
                <c:pt idx="232" formatCode="&quot;$&quot;#,##0.00">
                  <c:v>0</c:v>
                </c:pt>
                <c:pt idx="233" formatCode="&quot;$&quot;#,##0.00">
                  <c:v>0</c:v>
                </c:pt>
                <c:pt idx="234" formatCode="&quot;$&quot;#,##0.00">
                  <c:v>0</c:v>
                </c:pt>
                <c:pt idx="235" formatCode="&quot;$&quot;#,##0.00">
                  <c:v>0</c:v>
                </c:pt>
                <c:pt idx="236" formatCode="&quot;$&quot;#,##0.00">
                  <c:v>0</c:v>
                </c:pt>
                <c:pt idx="237" formatCode="&quot;$&quot;#,##0.00">
                  <c:v>0</c:v>
                </c:pt>
                <c:pt idx="238" formatCode="&quot;$&quot;#,##0.00">
                  <c:v>0</c:v>
                </c:pt>
                <c:pt idx="239" formatCode="&quot;$&quot;#,##0.00">
                  <c:v>0</c:v>
                </c:pt>
                <c:pt idx="240" formatCode="&quot;$&quot;#,##0.00">
                  <c:v>0</c:v>
                </c:pt>
                <c:pt idx="241" formatCode="&quot;$&quot;#,##0.00">
                  <c:v>0</c:v>
                </c:pt>
                <c:pt idx="242" formatCode="&quot;$&quot;#,##0.00">
                  <c:v>0</c:v>
                </c:pt>
                <c:pt idx="243" formatCode="&quot;$&quot;#,##0.00">
                  <c:v>0</c:v>
                </c:pt>
                <c:pt idx="244" formatCode="&quot;$&quot;#,##0.00">
                  <c:v>0</c:v>
                </c:pt>
                <c:pt idx="245" formatCode="&quot;$&quot;#,##0.00">
                  <c:v>0</c:v>
                </c:pt>
                <c:pt idx="246" formatCode="&quot;$&quot;#,##0.00">
                  <c:v>0</c:v>
                </c:pt>
                <c:pt idx="247" formatCode="&quot;$&quot;#,##0.00">
                  <c:v>0</c:v>
                </c:pt>
                <c:pt idx="248" formatCode="&quot;$&quot;#,##0.00">
                  <c:v>0</c:v>
                </c:pt>
                <c:pt idx="249" formatCode="&quot;$&quot;#,##0.00">
                  <c:v>0</c:v>
                </c:pt>
                <c:pt idx="250" formatCode="&quot;$&quot;#,##0.00">
                  <c:v>0</c:v>
                </c:pt>
                <c:pt idx="251" formatCode="&quot;$&quot;#,##0.00">
                  <c:v>0</c:v>
                </c:pt>
                <c:pt idx="252" formatCode="&quot;$&quot;#,##0.00">
                  <c:v>0</c:v>
                </c:pt>
                <c:pt idx="253" formatCode="&quot;$&quot;#,##0.00">
                  <c:v>0</c:v>
                </c:pt>
                <c:pt idx="254" formatCode="&quot;$&quot;#,##0.00">
                  <c:v>0</c:v>
                </c:pt>
                <c:pt idx="255" formatCode="&quot;$&quot;#,##0.00">
                  <c:v>0</c:v>
                </c:pt>
                <c:pt idx="256" formatCode="&quot;$&quot;#,##0.00">
                  <c:v>0</c:v>
                </c:pt>
                <c:pt idx="257" formatCode="&quot;$&quot;#,##0.00">
                  <c:v>0</c:v>
                </c:pt>
                <c:pt idx="258" formatCode="&quot;$&quot;#,##0.00">
                  <c:v>0</c:v>
                </c:pt>
                <c:pt idx="259" formatCode="&quot;$&quot;#,##0.00">
                  <c:v>0</c:v>
                </c:pt>
                <c:pt idx="260" formatCode="&quot;$&quot;#,##0.00">
                  <c:v>0</c:v>
                </c:pt>
                <c:pt idx="261" formatCode="&quot;$&quot;#,##0.00">
                  <c:v>0</c:v>
                </c:pt>
                <c:pt idx="262" formatCode="&quot;$&quot;#,##0.00">
                  <c:v>0</c:v>
                </c:pt>
                <c:pt idx="263" formatCode="&quot;$&quot;#,##0.00">
                  <c:v>0</c:v>
                </c:pt>
                <c:pt idx="264" formatCode="&quot;$&quot;#,##0.00">
                  <c:v>0</c:v>
                </c:pt>
                <c:pt idx="265" formatCode="&quot;$&quot;#,##0.00">
                  <c:v>0</c:v>
                </c:pt>
                <c:pt idx="266" formatCode="&quot;$&quot;#,##0.00">
                  <c:v>0</c:v>
                </c:pt>
                <c:pt idx="267" formatCode="&quot;$&quot;#,##0.00">
                  <c:v>0</c:v>
                </c:pt>
                <c:pt idx="268" formatCode="&quot;$&quot;#,##0.00">
                  <c:v>0</c:v>
                </c:pt>
                <c:pt idx="269" formatCode="&quot;$&quot;#,##0.00">
                  <c:v>0</c:v>
                </c:pt>
                <c:pt idx="270" formatCode="&quot;$&quot;#,##0.00">
                  <c:v>0</c:v>
                </c:pt>
                <c:pt idx="271" formatCode="&quot;$&quot;#,##0.00">
                  <c:v>0</c:v>
                </c:pt>
                <c:pt idx="272" formatCode="&quot;$&quot;#,##0.00">
                  <c:v>0</c:v>
                </c:pt>
                <c:pt idx="273" formatCode="&quot;$&quot;#,##0.00">
                  <c:v>0</c:v>
                </c:pt>
                <c:pt idx="274" formatCode="&quot;$&quot;#,##0.00">
                  <c:v>0</c:v>
                </c:pt>
                <c:pt idx="275" formatCode="&quot;$&quot;#,##0.00">
                  <c:v>0</c:v>
                </c:pt>
                <c:pt idx="276" formatCode="&quot;$&quot;#,##0.00">
                  <c:v>0</c:v>
                </c:pt>
                <c:pt idx="277" formatCode="&quot;$&quot;#,##0.00">
                  <c:v>0</c:v>
                </c:pt>
                <c:pt idx="278" formatCode="&quot;$&quot;#,##0.00">
                  <c:v>0</c:v>
                </c:pt>
                <c:pt idx="279" formatCode="&quot;$&quot;#,##0.00">
                  <c:v>0</c:v>
                </c:pt>
                <c:pt idx="280" formatCode="&quot;$&quot;#,##0.00">
                  <c:v>0</c:v>
                </c:pt>
                <c:pt idx="281" formatCode="&quot;$&quot;#,##0.00">
                  <c:v>0</c:v>
                </c:pt>
                <c:pt idx="282" formatCode="&quot;$&quot;#,##0.00">
                  <c:v>0</c:v>
                </c:pt>
                <c:pt idx="283" formatCode="&quot;$&quot;#,##0.00">
                  <c:v>0</c:v>
                </c:pt>
                <c:pt idx="284" formatCode="&quot;$&quot;#,##0.00">
                  <c:v>0</c:v>
                </c:pt>
                <c:pt idx="285" formatCode="&quot;$&quot;#,##0.00">
                  <c:v>0</c:v>
                </c:pt>
                <c:pt idx="286" formatCode="&quot;$&quot;#,##0.00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07E6-6147-A690-2FAE9D416BBA}"/>
            </c:ext>
          </c:extLst>
        </c:ser>
        <c:ser>
          <c:idx val="1"/>
          <c:order val="1"/>
          <c:tx>
            <c:strRef>
              <c:f>'Total Value'!$A$150</c:f>
              <c:strCache>
                <c:ptCount val="1"/>
                <c:pt idx="0">
                  <c:v>Russell 2000</c:v>
                </c:pt>
              </c:strCache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'Total Value'!$B$148:$KB$148</c:f>
              <c:strCache>
                <c:ptCount val="82"/>
                <c:pt idx="2">
                  <c:v>1/10/2022</c:v>
                </c:pt>
                <c:pt idx="3">
                  <c:v>1/11/2022</c:v>
                </c:pt>
                <c:pt idx="4">
                  <c:v>1/12/2022</c:v>
                </c:pt>
                <c:pt idx="5">
                  <c:v>1/13/2022</c:v>
                </c:pt>
                <c:pt idx="6">
                  <c:v>1/14/2022</c:v>
                </c:pt>
                <c:pt idx="7">
                  <c:v>1/18/2022</c:v>
                </c:pt>
                <c:pt idx="8">
                  <c:v>1/19/2022</c:v>
                </c:pt>
                <c:pt idx="9">
                  <c:v>1/20/2022</c:v>
                </c:pt>
                <c:pt idx="10">
                  <c:v>1/21/2022</c:v>
                </c:pt>
                <c:pt idx="11">
                  <c:v>1/24/2022</c:v>
                </c:pt>
                <c:pt idx="12">
                  <c:v>1/25/2022</c:v>
                </c:pt>
                <c:pt idx="13">
                  <c:v>1/26/2022</c:v>
                </c:pt>
                <c:pt idx="14">
                  <c:v>1/27/2022</c:v>
                </c:pt>
                <c:pt idx="15">
                  <c:v>1/28/2022</c:v>
                </c:pt>
                <c:pt idx="16">
                  <c:v>1/31/2022</c:v>
                </c:pt>
                <c:pt idx="17">
                  <c:v>2/1/2022</c:v>
                </c:pt>
                <c:pt idx="18">
                  <c:v>2/2/2022</c:v>
                </c:pt>
                <c:pt idx="19">
                  <c:v>2/3/2022</c:v>
                </c:pt>
                <c:pt idx="20">
                  <c:v>2/4/2022</c:v>
                </c:pt>
                <c:pt idx="21">
                  <c:v>2/7/2022</c:v>
                </c:pt>
                <c:pt idx="22">
                  <c:v>2/8/2022</c:v>
                </c:pt>
                <c:pt idx="23">
                  <c:v>2/9/2022</c:v>
                </c:pt>
                <c:pt idx="24">
                  <c:v>2/10/2022</c:v>
                </c:pt>
                <c:pt idx="25">
                  <c:v>2/11/2022</c:v>
                </c:pt>
                <c:pt idx="26">
                  <c:v>2/14/2022</c:v>
                </c:pt>
                <c:pt idx="27">
                  <c:v>2/15/2022</c:v>
                </c:pt>
                <c:pt idx="28">
                  <c:v>2/16/2022</c:v>
                </c:pt>
                <c:pt idx="29">
                  <c:v>2/17/2022</c:v>
                </c:pt>
                <c:pt idx="30">
                  <c:v>2/18/2022</c:v>
                </c:pt>
                <c:pt idx="31">
                  <c:v>2/22/2022</c:v>
                </c:pt>
                <c:pt idx="32">
                  <c:v>2/23/2022</c:v>
                </c:pt>
                <c:pt idx="33">
                  <c:v>2/24/2022</c:v>
                </c:pt>
                <c:pt idx="34">
                  <c:v>2/25/2022</c:v>
                </c:pt>
                <c:pt idx="35">
                  <c:v>2/28/2022</c:v>
                </c:pt>
                <c:pt idx="36">
                  <c:v>3/1/2022</c:v>
                </c:pt>
                <c:pt idx="37">
                  <c:v>3/2/2022</c:v>
                </c:pt>
                <c:pt idx="38">
                  <c:v>3/3/2022</c:v>
                </c:pt>
                <c:pt idx="39">
                  <c:v>3/4/2022</c:v>
                </c:pt>
                <c:pt idx="40">
                  <c:v>3/7/2022</c:v>
                </c:pt>
                <c:pt idx="41">
                  <c:v>3/8/2022</c:v>
                </c:pt>
                <c:pt idx="42">
                  <c:v>3/9/2022</c:v>
                </c:pt>
                <c:pt idx="43">
                  <c:v>3/10/2022</c:v>
                </c:pt>
                <c:pt idx="44">
                  <c:v>3/11/2022</c:v>
                </c:pt>
                <c:pt idx="45">
                  <c:v>3/14/2022</c:v>
                </c:pt>
                <c:pt idx="46">
                  <c:v>3/15/2022</c:v>
                </c:pt>
                <c:pt idx="47">
                  <c:v>3/16/2022</c:v>
                </c:pt>
                <c:pt idx="48">
                  <c:v>3/17/2022</c:v>
                </c:pt>
                <c:pt idx="49">
                  <c:v>3/18/2022</c:v>
                </c:pt>
                <c:pt idx="50">
                  <c:v>3/21/2022</c:v>
                </c:pt>
                <c:pt idx="51">
                  <c:v>3/22/2022</c:v>
                </c:pt>
                <c:pt idx="52">
                  <c:v>3/23/2022</c:v>
                </c:pt>
                <c:pt idx="53">
                  <c:v>3/24/2022</c:v>
                </c:pt>
                <c:pt idx="54">
                  <c:v>3/25/2022</c:v>
                </c:pt>
                <c:pt idx="55">
                  <c:v>3/28/2022</c:v>
                </c:pt>
                <c:pt idx="56">
                  <c:v>3/29/2022</c:v>
                </c:pt>
                <c:pt idx="57">
                  <c:v>3/30/2022</c:v>
                </c:pt>
                <c:pt idx="58">
                  <c:v>3/31/2022</c:v>
                </c:pt>
                <c:pt idx="59">
                  <c:v>4/1/2022</c:v>
                </c:pt>
                <c:pt idx="60">
                  <c:v>4/4/2022</c:v>
                </c:pt>
                <c:pt idx="61">
                  <c:v>4/5/2022</c:v>
                </c:pt>
                <c:pt idx="62">
                  <c:v>4/6/2022</c:v>
                </c:pt>
                <c:pt idx="63">
                  <c:v>4/7/2022</c:v>
                </c:pt>
                <c:pt idx="64">
                  <c:v>4/8/2022</c:v>
                </c:pt>
                <c:pt idx="65">
                  <c:v>4/11/2022</c:v>
                </c:pt>
                <c:pt idx="66">
                  <c:v>4/12/2022</c:v>
                </c:pt>
                <c:pt idx="67">
                  <c:v>4/13/2022</c:v>
                </c:pt>
                <c:pt idx="68">
                  <c:v>4/14/2022</c:v>
                </c:pt>
                <c:pt idx="69">
                  <c:v>4/18/2022</c:v>
                </c:pt>
                <c:pt idx="70">
                  <c:v>4/19/2022</c:v>
                </c:pt>
                <c:pt idx="71">
                  <c:v>4/20/2022</c:v>
                </c:pt>
                <c:pt idx="72">
                  <c:v>4/21/2022</c:v>
                </c:pt>
                <c:pt idx="73">
                  <c:v>4/22/2022</c:v>
                </c:pt>
                <c:pt idx="74">
                  <c:v>4/25/2022</c:v>
                </c:pt>
                <c:pt idx="75">
                  <c:v>4/26/2022</c:v>
                </c:pt>
                <c:pt idx="76">
                  <c:v>4/27/2022</c:v>
                </c:pt>
                <c:pt idx="77">
                  <c:v>4/28/2022</c:v>
                </c:pt>
                <c:pt idx="78">
                  <c:v>4/29/2022</c:v>
                </c:pt>
                <c:pt idx="79">
                  <c:v>5/2/2022</c:v>
                </c:pt>
                <c:pt idx="80">
                  <c:v>5/3/2022</c:v>
                </c:pt>
                <c:pt idx="81">
                  <c:v>5/4/2022</c:v>
                </c:pt>
              </c:strCache>
            </c:strRef>
          </c:cat>
          <c:val>
            <c:numRef>
              <c:f>'Total Value'!$B$150:$KB$150</c:f>
              <c:numCache>
                <c:formatCode>General</c:formatCode>
                <c:ptCount val="287"/>
                <c:pt idx="2" formatCode="&quot;$&quot;#,##0.00">
                  <c:v>2138.16</c:v>
                </c:pt>
                <c:pt idx="3" formatCode="&quot;$&quot;#,##0.00">
                  <c:v>2194</c:v>
                </c:pt>
                <c:pt idx="4" formatCode="&quot;$&quot;#,##0.00">
                  <c:v>2176.06</c:v>
                </c:pt>
                <c:pt idx="5" formatCode="&quot;$&quot;#,##0.00">
                  <c:v>2159.44</c:v>
                </c:pt>
                <c:pt idx="6" formatCode="&quot;$&quot;#,##0.00">
                  <c:v>2162.46</c:v>
                </c:pt>
                <c:pt idx="7" formatCode="&quot;$&quot;#,##0.00">
                  <c:v>2096.23</c:v>
                </c:pt>
                <c:pt idx="8" formatCode="&quot;$&quot;#,##0.00">
                  <c:v>2062.7800000000002</c:v>
                </c:pt>
                <c:pt idx="9" formatCode="&quot;$&quot;#,##0.00">
                  <c:v>2024.04</c:v>
                </c:pt>
                <c:pt idx="10" formatCode="&quot;$&quot;#,##0.00">
                  <c:v>1987.92</c:v>
                </c:pt>
                <c:pt idx="11" formatCode="&quot;$&quot;#,##0.00">
                  <c:v>2033.51</c:v>
                </c:pt>
                <c:pt idx="12" formatCode="&quot;$&quot;#,##0.00">
                  <c:v>2004.03</c:v>
                </c:pt>
                <c:pt idx="13" formatCode="&quot;$&quot;#,##0.00">
                  <c:v>1976.46</c:v>
                </c:pt>
                <c:pt idx="14" formatCode="&quot;$&quot;#,##0.00">
                  <c:v>1931.29</c:v>
                </c:pt>
                <c:pt idx="15" formatCode="&quot;$&quot;#,##0.00">
                  <c:v>1968.51</c:v>
                </c:pt>
                <c:pt idx="16" formatCode="&quot;$&quot;#,##0.00">
                  <c:v>2028.45</c:v>
                </c:pt>
                <c:pt idx="17" formatCode="&quot;$&quot;#,##0.00">
                  <c:v>2050.7399999999998</c:v>
                </c:pt>
                <c:pt idx="18" formatCode="&quot;$&quot;#,##0.00">
                  <c:v>2029.52</c:v>
                </c:pt>
                <c:pt idx="19" formatCode="&quot;$&quot;#,##0.00">
                  <c:v>1991.03</c:v>
                </c:pt>
                <c:pt idx="20" formatCode="&quot;$&quot;#,##0.00">
                  <c:v>2002.36</c:v>
                </c:pt>
                <c:pt idx="21" formatCode="&quot;$&quot;#,##0.00">
                  <c:v>2012.6</c:v>
                </c:pt>
                <c:pt idx="22" formatCode="&quot;$&quot;#,##0.00">
                  <c:v>2045.37</c:v>
                </c:pt>
                <c:pt idx="23" formatCode="&quot;$&quot;#,##0.00">
                  <c:v>2083.5</c:v>
                </c:pt>
                <c:pt idx="24" formatCode="&quot;$&quot;#,##0.00">
                  <c:v>2051.16</c:v>
                </c:pt>
                <c:pt idx="25" formatCode="&quot;$&quot;#,##0.00">
                  <c:v>2030.15</c:v>
                </c:pt>
                <c:pt idx="26" formatCode="&quot;$&quot;#,##0.00">
                  <c:v>2020.79</c:v>
                </c:pt>
                <c:pt idx="27" formatCode="&quot;$&quot;#,##0.00">
                  <c:v>2076.46</c:v>
                </c:pt>
                <c:pt idx="28" formatCode="&quot;$&quot;#,##0.00">
                  <c:v>2079.31</c:v>
                </c:pt>
                <c:pt idx="29" formatCode="&quot;$&quot;#,##0.00">
                  <c:v>2028.09</c:v>
                </c:pt>
                <c:pt idx="30" formatCode="&quot;$&quot;#,##0.00">
                  <c:v>2009.33</c:v>
                </c:pt>
                <c:pt idx="31" formatCode="&quot;$&quot;#,##0.00">
                  <c:v>1980.17</c:v>
                </c:pt>
                <c:pt idx="32" formatCode="&quot;$&quot;#,##0.00">
                  <c:v>1944.09</c:v>
                </c:pt>
                <c:pt idx="33" formatCode="&quot;$&quot;#,##0.00">
                  <c:v>1996</c:v>
                </c:pt>
                <c:pt idx="34" formatCode="&quot;$&quot;#,##0.00">
                  <c:v>2040.93</c:v>
                </c:pt>
                <c:pt idx="35" formatCode="&quot;$&quot;#,##0.00">
                  <c:v>2048.09</c:v>
                </c:pt>
                <c:pt idx="36" formatCode="&quot;$&quot;#,##0.00">
                  <c:v>2008.51</c:v>
                </c:pt>
                <c:pt idx="37" formatCode="&quot;$&quot;#,##0.00">
                  <c:v>2058.87</c:v>
                </c:pt>
                <c:pt idx="38" formatCode="&quot;$&quot;#,##0.00">
                  <c:v>2032.41</c:v>
                </c:pt>
                <c:pt idx="39" formatCode="&quot;$&quot;#,##0.00">
                  <c:v>2000.9</c:v>
                </c:pt>
                <c:pt idx="40" formatCode="&quot;$&quot;#,##0.00">
                  <c:v>1951.33</c:v>
                </c:pt>
                <c:pt idx="41" formatCode="&quot;$&quot;#,##0.00">
                  <c:v>1963.01</c:v>
                </c:pt>
                <c:pt idx="42" formatCode="&quot;$&quot;#,##0.00">
                  <c:v>2016.29</c:v>
                </c:pt>
                <c:pt idx="43" formatCode="&quot;$&quot;#,##0.00">
                  <c:v>2011.67</c:v>
                </c:pt>
                <c:pt idx="44" formatCode="&quot;$&quot;#,##0.00">
                  <c:v>1979.67</c:v>
                </c:pt>
                <c:pt idx="45" formatCode="&quot;$&quot;#,##0.00">
                  <c:v>1941.72</c:v>
                </c:pt>
                <c:pt idx="46" formatCode="&quot;$&quot;#,##0.00">
                  <c:v>1968.97</c:v>
                </c:pt>
                <c:pt idx="47" formatCode="&quot;$&quot;#,##0.00">
                  <c:v>2030.72</c:v>
                </c:pt>
                <c:pt idx="48" formatCode="&quot;$&quot;#,##0.00">
                  <c:v>2065.02</c:v>
                </c:pt>
                <c:pt idx="49" formatCode="&quot;$&quot;#,##0.00">
                  <c:v>2086.14</c:v>
                </c:pt>
                <c:pt idx="50" formatCode="&quot;$&quot;#,##0.00">
                  <c:v>2065.94</c:v>
                </c:pt>
                <c:pt idx="51" formatCode="&quot;$&quot;#,##0.00">
                  <c:v>2088.34</c:v>
                </c:pt>
                <c:pt idx="52" formatCode="&quot;$&quot;#,##0.00">
                  <c:v>2052.21</c:v>
                </c:pt>
                <c:pt idx="53" formatCode="&quot;$&quot;#,##0.00">
                  <c:v>2075.44</c:v>
                </c:pt>
                <c:pt idx="54" formatCode="&quot;$&quot;#,##0.00">
                  <c:v>2077.98</c:v>
                </c:pt>
                <c:pt idx="55" formatCode="&quot;$&quot;#,##0.00">
                  <c:v>2078.06</c:v>
                </c:pt>
                <c:pt idx="56" formatCode="&quot;$&quot;#,##0.00">
                  <c:v>2133.1</c:v>
                </c:pt>
                <c:pt idx="57" formatCode="&quot;$&quot;#,##0.00">
                  <c:v>2091.0700000000002</c:v>
                </c:pt>
                <c:pt idx="58" formatCode="&quot;$&quot;#,##0.00">
                  <c:v>2070.13</c:v>
                </c:pt>
                <c:pt idx="59" formatCode="&quot;$&quot;#,##0.00">
                  <c:v>2091.11</c:v>
                </c:pt>
                <c:pt idx="60" formatCode="&quot;$&quot;#,##0.00">
                  <c:v>2095.44</c:v>
                </c:pt>
                <c:pt idx="61" formatCode="&quot;$&quot;#,##0.00">
                  <c:v>2046.04</c:v>
                </c:pt>
                <c:pt idx="62" formatCode="&quot;$&quot;#,##0.00">
                  <c:v>2016.94</c:v>
                </c:pt>
                <c:pt idx="63" formatCode="&quot;$&quot;#,##0.00">
                  <c:v>2009.8</c:v>
                </c:pt>
                <c:pt idx="64" formatCode="&quot;$&quot;#,##0.00">
                  <c:v>1994.56</c:v>
                </c:pt>
                <c:pt idx="65" formatCode="&quot;$&quot;#,##0.00">
                  <c:v>1980.32</c:v>
                </c:pt>
                <c:pt idx="66" formatCode="&quot;$&quot;#,##0.00">
                  <c:v>1986.94</c:v>
                </c:pt>
                <c:pt idx="67" formatCode="&quot;$&quot;#,##0.00">
                  <c:v>2025.1</c:v>
                </c:pt>
                <c:pt idx="68" formatCode="&quot;$&quot;#,##0.00">
                  <c:v>2004.98</c:v>
                </c:pt>
                <c:pt idx="69" formatCode="&quot;$&quot;#,##0.00">
                  <c:v>1990.13</c:v>
                </c:pt>
                <c:pt idx="70" formatCode="&quot;$&quot;#,##0.00">
                  <c:v>2030.77</c:v>
                </c:pt>
                <c:pt idx="71" formatCode="&quot;$&quot;#,##0.00">
                  <c:v>2038.19</c:v>
                </c:pt>
                <c:pt idx="72" formatCode="&quot;$&quot;#,##0.00">
                  <c:v>1991.46</c:v>
                </c:pt>
                <c:pt idx="73" formatCode="&quot;$&quot;#,##0.00">
                  <c:v>1940.66</c:v>
                </c:pt>
                <c:pt idx="74" formatCode="&quot;$&quot;#,##0.00">
                  <c:v>1954.2</c:v>
                </c:pt>
                <c:pt idx="75" formatCode="&quot;$&quot;#,##0.00">
                  <c:v>1890.47</c:v>
                </c:pt>
                <c:pt idx="76" formatCode="&quot;$&quot;#,##0.00">
                  <c:v>1884.04</c:v>
                </c:pt>
                <c:pt idx="77" formatCode="&quot;$&quot;#,##0.00">
                  <c:v>1917.94</c:v>
                </c:pt>
                <c:pt idx="78" formatCode="&quot;$&quot;#,##0.00">
                  <c:v>1864.1</c:v>
                </c:pt>
                <c:pt idx="79" formatCode="&quot;$&quot;#,##0.00">
                  <c:v>1882.91</c:v>
                </c:pt>
                <c:pt idx="80" formatCode="&quot;$&quot;#,##0.00">
                  <c:v>1898.86</c:v>
                </c:pt>
                <c:pt idx="81" formatCode="&quot;$&quot;#,##0.00">
                  <c:v>1949.92</c:v>
                </c:pt>
                <c:pt idx="82" formatCode="&quot;$&quot;#,##0.00">
                  <c:v>0</c:v>
                </c:pt>
                <c:pt idx="83" formatCode="&quot;$&quot;#,##0.00">
                  <c:v>0</c:v>
                </c:pt>
                <c:pt idx="84" formatCode="&quot;$&quot;#,##0.00">
                  <c:v>0</c:v>
                </c:pt>
                <c:pt idx="85" formatCode="&quot;$&quot;#,##0.00">
                  <c:v>0</c:v>
                </c:pt>
                <c:pt idx="86" formatCode="&quot;$&quot;#,##0.00">
                  <c:v>0</c:v>
                </c:pt>
                <c:pt idx="87" formatCode="&quot;$&quot;#,##0.00">
                  <c:v>0</c:v>
                </c:pt>
                <c:pt idx="88" formatCode="&quot;$&quot;#,##0.00">
                  <c:v>0</c:v>
                </c:pt>
                <c:pt idx="89" formatCode="&quot;$&quot;#,##0.00">
                  <c:v>0</c:v>
                </c:pt>
                <c:pt idx="90" formatCode="&quot;$&quot;#,##0.00">
                  <c:v>0</c:v>
                </c:pt>
                <c:pt idx="91" formatCode="&quot;$&quot;#,##0.00">
                  <c:v>0</c:v>
                </c:pt>
                <c:pt idx="92" formatCode="&quot;$&quot;#,##0.00">
                  <c:v>0</c:v>
                </c:pt>
                <c:pt idx="93" formatCode="&quot;$&quot;#,##0.00">
                  <c:v>0</c:v>
                </c:pt>
                <c:pt idx="94" formatCode="&quot;$&quot;#,##0.00">
                  <c:v>0</c:v>
                </c:pt>
                <c:pt idx="95" formatCode="&quot;$&quot;#,##0.00">
                  <c:v>0</c:v>
                </c:pt>
                <c:pt idx="96" formatCode="&quot;$&quot;#,##0.00">
                  <c:v>0</c:v>
                </c:pt>
                <c:pt idx="97" formatCode="&quot;$&quot;#,##0.00">
                  <c:v>0</c:v>
                </c:pt>
                <c:pt idx="98" formatCode="&quot;$&quot;#,##0.00">
                  <c:v>0</c:v>
                </c:pt>
                <c:pt idx="99" formatCode="&quot;$&quot;#,##0.00">
                  <c:v>0</c:v>
                </c:pt>
                <c:pt idx="100" formatCode="&quot;$&quot;#,##0.00">
                  <c:v>0</c:v>
                </c:pt>
                <c:pt idx="101" formatCode="&quot;$&quot;#,##0.00">
                  <c:v>0</c:v>
                </c:pt>
                <c:pt idx="102" formatCode="&quot;$&quot;#,##0.00">
                  <c:v>0</c:v>
                </c:pt>
                <c:pt idx="103" formatCode="&quot;$&quot;#,##0.00">
                  <c:v>0</c:v>
                </c:pt>
                <c:pt idx="104" formatCode="&quot;$&quot;#,##0.00">
                  <c:v>0</c:v>
                </c:pt>
                <c:pt idx="105" formatCode="&quot;$&quot;#,##0.00">
                  <c:v>0</c:v>
                </c:pt>
                <c:pt idx="106" formatCode="&quot;$&quot;#,##0.00">
                  <c:v>0</c:v>
                </c:pt>
                <c:pt idx="107" formatCode="&quot;$&quot;#,##0.00">
                  <c:v>0</c:v>
                </c:pt>
                <c:pt idx="108" formatCode="&quot;$&quot;#,##0.00">
                  <c:v>0</c:v>
                </c:pt>
                <c:pt idx="109" formatCode="&quot;$&quot;#,##0.00">
                  <c:v>0</c:v>
                </c:pt>
                <c:pt idx="110" formatCode="&quot;$&quot;#,##0.00">
                  <c:v>0</c:v>
                </c:pt>
                <c:pt idx="111" formatCode="&quot;$&quot;#,##0.00">
                  <c:v>0</c:v>
                </c:pt>
                <c:pt idx="112" formatCode="&quot;$&quot;#,##0.00">
                  <c:v>0</c:v>
                </c:pt>
                <c:pt idx="113" formatCode="&quot;$&quot;#,##0.00">
                  <c:v>0</c:v>
                </c:pt>
                <c:pt idx="114" formatCode="&quot;$&quot;#,##0.00">
                  <c:v>0</c:v>
                </c:pt>
                <c:pt idx="115" formatCode="&quot;$&quot;#,##0.00">
                  <c:v>0</c:v>
                </c:pt>
                <c:pt idx="116" formatCode="&quot;$&quot;#,##0.00">
                  <c:v>0</c:v>
                </c:pt>
                <c:pt idx="117" formatCode="&quot;$&quot;#,##0.00">
                  <c:v>0</c:v>
                </c:pt>
                <c:pt idx="118" formatCode="&quot;$&quot;#,##0.00">
                  <c:v>0</c:v>
                </c:pt>
                <c:pt idx="119" formatCode="&quot;$&quot;#,##0.00">
                  <c:v>0</c:v>
                </c:pt>
                <c:pt idx="120" formatCode="&quot;$&quot;#,##0.00">
                  <c:v>0</c:v>
                </c:pt>
                <c:pt idx="121" formatCode="&quot;$&quot;#,##0.00">
                  <c:v>0</c:v>
                </c:pt>
                <c:pt idx="122" formatCode="&quot;$&quot;#,##0.00">
                  <c:v>0</c:v>
                </c:pt>
                <c:pt idx="123" formatCode="&quot;$&quot;#,##0.00">
                  <c:v>0</c:v>
                </c:pt>
                <c:pt idx="124" formatCode="&quot;$&quot;#,##0.00">
                  <c:v>0</c:v>
                </c:pt>
                <c:pt idx="125" formatCode="&quot;$&quot;#,##0.00">
                  <c:v>0</c:v>
                </c:pt>
                <c:pt idx="126" formatCode="&quot;$&quot;#,##0.00">
                  <c:v>0</c:v>
                </c:pt>
                <c:pt idx="127" formatCode="&quot;$&quot;#,##0.00">
                  <c:v>0</c:v>
                </c:pt>
                <c:pt idx="128" formatCode="&quot;$&quot;#,##0.00">
                  <c:v>0</c:v>
                </c:pt>
                <c:pt idx="129" formatCode="&quot;$&quot;#,##0.00">
                  <c:v>0</c:v>
                </c:pt>
                <c:pt idx="130" formatCode="&quot;$&quot;#,##0.00">
                  <c:v>0</c:v>
                </c:pt>
                <c:pt idx="131" formatCode="&quot;$&quot;#,##0.00">
                  <c:v>0</c:v>
                </c:pt>
                <c:pt idx="132" formatCode="&quot;$&quot;#,##0.00">
                  <c:v>0</c:v>
                </c:pt>
                <c:pt idx="133" formatCode="&quot;$&quot;#,##0.00">
                  <c:v>0</c:v>
                </c:pt>
                <c:pt idx="134" formatCode="&quot;$&quot;#,##0.00">
                  <c:v>0</c:v>
                </c:pt>
                <c:pt idx="135" formatCode="&quot;$&quot;#,##0.00">
                  <c:v>0</c:v>
                </c:pt>
                <c:pt idx="136" formatCode="&quot;$&quot;#,##0.00">
                  <c:v>0</c:v>
                </c:pt>
                <c:pt idx="137" formatCode="&quot;$&quot;#,##0.00">
                  <c:v>0</c:v>
                </c:pt>
                <c:pt idx="138" formatCode="&quot;$&quot;#,##0.00">
                  <c:v>0</c:v>
                </c:pt>
                <c:pt idx="139" formatCode="&quot;$&quot;#,##0.00">
                  <c:v>0</c:v>
                </c:pt>
                <c:pt idx="140" formatCode="&quot;$&quot;#,##0.00">
                  <c:v>0</c:v>
                </c:pt>
                <c:pt idx="141" formatCode="&quot;$&quot;#,##0.00">
                  <c:v>0</c:v>
                </c:pt>
                <c:pt idx="142" formatCode="&quot;$&quot;#,##0.00">
                  <c:v>0</c:v>
                </c:pt>
                <c:pt idx="143" formatCode="&quot;$&quot;#,##0.00">
                  <c:v>0</c:v>
                </c:pt>
                <c:pt idx="144" formatCode="&quot;$&quot;#,##0.00">
                  <c:v>0</c:v>
                </c:pt>
                <c:pt idx="145" formatCode="&quot;$&quot;#,##0.00">
                  <c:v>0</c:v>
                </c:pt>
                <c:pt idx="146" formatCode="&quot;$&quot;#,##0.00">
                  <c:v>0</c:v>
                </c:pt>
                <c:pt idx="147" formatCode="&quot;$&quot;#,##0.00">
                  <c:v>0</c:v>
                </c:pt>
                <c:pt idx="148" formatCode="&quot;$&quot;#,##0.00">
                  <c:v>0</c:v>
                </c:pt>
                <c:pt idx="149" formatCode="&quot;$&quot;#,##0.00">
                  <c:v>0</c:v>
                </c:pt>
                <c:pt idx="150" formatCode="&quot;$&quot;#,##0.00">
                  <c:v>0</c:v>
                </c:pt>
                <c:pt idx="151" formatCode="&quot;$&quot;#,##0.00">
                  <c:v>0</c:v>
                </c:pt>
                <c:pt idx="152" formatCode="&quot;$&quot;#,##0.00">
                  <c:v>0</c:v>
                </c:pt>
                <c:pt idx="153" formatCode="&quot;$&quot;#,##0.00">
                  <c:v>0</c:v>
                </c:pt>
                <c:pt idx="154" formatCode="&quot;$&quot;#,##0.00">
                  <c:v>0</c:v>
                </c:pt>
                <c:pt idx="155" formatCode="&quot;$&quot;#,##0.00">
                  <c:v>0</c:v>
                </c:pt>
                <c:pt idx="156" formatCode="&quot;$&quot;#,##0.00">
                  <c:v>0</c:v>
                </c:pt>
                <c:pt idx="157" formatCode="&quot;$&quot;#,##0.00">
                  <c:v>0</c:v>
                </c:pt>
                <c:pt idx="158" formatCode="&quot;$&quot;#,##0.00">
                  <c:v>0</c:v>
                </c:pt>
                <c:pt idx="159" formatCode="&quot;$&quot;#,##0.00">
                  <c:v>0</c:v>
                </c:pt>
                <c:pt idx="160" formatCode="&quot;$&quot;#,##0.00">
                  <c:v>0</c:v>
                </c:pt>
                <c:pt idx="161" formatCode="&quot;$&quot;#,##0.00">
                  <c:v>0</c:v>
                </c:pt>
                <c:pt idx="162" formatCode="&quot;$&quot;#,##0.00">
                  <c:v>0</c:v>
                </c:pt>
                <c:pt idx="163" formatCode="&quot;$&quot;#,##0.00">
                  <c:v>0</c:v>
                </c:pt>
                <c:pt idx="164" formatCode="&quot;$&quot;#,##0.00">
                  <c:v>0</c:v>
                </c:pt>
                <c:pt idx="165" formatCode="&quot;$&quot;#,##0.00">
                  <c:v>0</c:v>
                </c:pt>
                <c:pt idx="166" formatCode="&quot;$&quot;#,##0.00">
                  <c:v>0</c:v>
                </c:pt>
                <c:pt idx="167" formatCode="&quot;$&quot;#,##0.00">
                  <c:v>0</c:v>
                </c:pt>
                <c:pt idx="168" formatCode="&quot;$&quot;#,##0.00">
                  <c:v>0</c:v>
                </c:pt>
                <c:pt idx="169" formatCode="&quot;$&quot;#,##0.00">
                  <c:v>0</c:v>
                </c:pt>
                <c:pt idx="170" formatCode="&quot;$&quot;#,##0.00">
                  <c:v>0</c:v>
                </c:pt>
                <c:pt idx="171" formatCode="&quot;$&quot;#,##0.00">
                  <c:v>0</c:v>
                </c:pt>
                <c:pt idx="172" formatCode="&quot;$&quot;#,##0.00">
                  <c:v>0</c:v>
                </c:pt>
                <c:pt idx="173" formatCode="&quot;$&quot;#,##0.00">
                  <c:v>0</c:v>
                </c:pt>
                <c:pt idx="174" formatCode="&quot;$&quot;#,##0.00">
                  <c:v>0</c:v>
                </c:pt>
                <c:pt idx="175" formatCode="&quot;$&quot;#,##0.00">
                  <c:v>0</c:v>
                </c:pt>
                <c:pt idx="176" formatCode="&quot;$&quot;#,##0.00">
                  <c:v>0</c:v>
                </c:pt>
                <c:pt idx="177" formatCode="&quot;$&quot;#,##0.00">
                  <c:v>0</c:v>
                </c:pt>
                <c:pt idx="178" formatCode="&quot;$&quot;#,##0.00">
                  <c:v>0</c:v>
                </c:pt>
                <c:pt idx="179" formatCode="&quot;$&quot;#,##0.00">
                  <c:v>0</c:v>
                </c:pt>
                <c:pt idx="180" formatCode="&quot;$&quot;#,##0.00">
                  <c:v>0</c:v>
                </c:pt>
                <c:pt idx="181" formatCode="&quot;$&quot;#,##0.00">
                  <c:v>0</c:v>
                </c:pt>
                <c:pt idx="182" formatCode="&quot;$&quot;#,##0.00">
                  <c:v>0</c:v>
                </c:pt>
                <c:pt idx="183" formatCode="&quot;$&quot;#,##0.00">
                  <c:v>0</c:v>
                </c:pt>
                <c:pt idx="184" formatCode="&quot;$&quot;#,##0.00">
                  <c:v>0</c:v>
                </c:pt>
                <c:pt idx="185" formatCode="&quot;$&quot;#,##0.00">
                  <c:v>0</c:v>
                </c:pt>
                <c:pt idx="186" formatCode="&quot;$&quot;#,##0.00">
                  <c:v>0</c:v>
                </c:pt>
                <c:pt idx="187" formatCode="&quot;$&quot;#,##0.00">
                  <c:v>0</c:v>
                </c:pt>
                <c:pt idx="188" formatCode="&quot;$&quot;#,##0.00">
                  <c:v>0</c:v>
                </c:pt>
                <c:pt idx="189" formatCode="&quot;$&quot;#,##0.00">
                  <c:v>0</c:v>
                </c:pt>
                <c:pt idx="190" formatCode="&quot;$&quot;#,##0.00">
                  <c:v>0</c:v>
                </c:pt>
                <c:pt idx="191" formatCode="&quot;$&quot;#,##0.00">
                  <c:v>0</c:v>
                </c:pt>
                <c:pt idx="192" formatCode="&quot;$&quot;#,##0.00">
                  <c:v>0</c:v>
                </c:pt>
                <c:pt idx="193" formatCode="&quot;$&quot;#,##0.00">
                  <c:v>0</c:v>
                </c:pt>
                <c:pt idx="194" formatCode="&quot;$&quot;#,##0.00">
                  <c:v>0</c:v>
                </c:pt>
                <c:pt idx="195" formatCode="&quot;$&quot;#,##0.00">
                  <c:v>0</c:v>
                </c:pt>
                <c:pt idx="196" formatCode="&quot;$&quot;#,##0.00">
                  <c:v>0</c:v>
                </c:pt>
                <c:pt idx="197" formatCode="&quot;$&quot;#,##0.00">
                  <c:v>0</c:v>
                </c:pt>
                <c:pt idx="198" formatCode="&quot;$&quot;#,##0.00">
                  <c:v>0</c:v>
                </c:pt>
                <c:pt idx="199" formatCode="&quot;$&quot;#,##0.00">
                  <c:v>0</c:v>
                </c:pt>
                <c:pt idx="200" formatCode="&quot;$&quot;#,##0.00">
                  <c:v>0</c:v>
                </c:pt>
                <c:pt idx="201" formatCode="&quot;$&quot;#,##0.00">
                  <c:v>0</c:v>
                </c:pt>
                <c:pt idx="202" formatCode="&quot;$&quot;#,##0.00">
                  <c:v>0</c:v>
                </c:pt>
                <c:pt idx="203" formatCode="&quot;$&quot;#,##0.00">
                  <c:v>0</c:v>
                </c:pt>
                <c:pt idx="204" formatCode="&quot;$&quot;#,##0.00">
                  <c:v>0</c:v>
                </c:pt>
                <c:pt idx="205" formatCode="&quot;$&quot;#,##0.00">
                  <c:v>0</c:v>
                </c:pt>
                <c:pt idx="206" formatCode="&quot;$&quot;#,##0.00">
                  <c:v>0</c:v>
                </c:pt>
                <c:pt idx="207" formatCode="&quot;$&quot;#,##0.00">
                  <c:v>0</c:v>
                </c:pt>
                <c:pt idx="208" formatCode="&quot;$&quot;#,##0.00">
                  <c:v>0</c:v>
                </c:pt>
                <c:pt idx="209" formatCode="&quot;$&quot;#,##0.00">
                  <c:v>0</c:v>
                </c:pt>
                <c:pt idx="210" formatCode="&quot;$&quot;#,##0.00">
                  <c:v>0</c:v>
                </c:pt>
                <c:pt idx="211" formatCode="&quot;$&quot;#,##0.00">
                  <c:v>0</c:v>
                </c:pt>
                <c:pt idx="212" formatCode="&quot;$&quot;#,##0.00">
                  <c:v>0</c:v>
                </c:pt>
                <c:pt idx="213" formatCode="&quot;$&quot;#,##0.00">
                  <c:v>0</c:v>
                </c:pt>
                <c:pt idx="214" formatCode="&quot;$&quot;#,##0.00">
                  <c:v>0</c:v>
                </c:pt>
                <c:pt idx="215" formatCode="&quot;$&quot;#,##0.00">
                  <c:v>0</c:v>
                </c:pt>
                <c:pt idx="216" formatCode="&quot;$&quot;#,##0.00">
                  <c:v>0</c:v>
                </c:pt>
                <c:pt idx="217" formatCode="&quot;$&quot;#,##0.00">
                  <c:v>0</c:v>
                </c:pt>
                <c:pt idx="218" formatCode="&quot;$&quot;#,##0.00">
                  <c:v>0</c:v>
                </c:pt>
                <c:pt idx="219" formatCode="&quot;$&quot;#,##0.00">
                  <c:v>0</c:v>
                </c:pt>
                <c:pt idx="220" formatCode="&quot;$&quot;#,##0.00">
                  <c:v>0</c:v>
                </c:pt>
                <c:pt idx="221" formatCode="&quot;$&quot;#,##0.00">
                  <c:v>0</c:v>
                </c:pt>
                <c:pt idx="222" formatCode="&quot;$&quot;#,##0.00">
                  <c:v>0</c:v>
                </c:pt>
                <c:pt idx="223" formatCode="&quot;$&quot;#,##0.00">
                  <c:v>0</c:v>
                </c:pt>
                <c:pt idx="224" formatCode="&quot;$&quot;#,##0.00">
                  <c:v>0</c:v>
                </c:pt>
                <c:pt idx="225" formatCode="&quot;$&quot;#,##0.00">
                  <c:v>0</c:v>
                </c:pt>
                <c:pt idx="226" formatCode="&quot;$&quot;#,##0.00">
                  <c:v>0</c:v>
                </c:pt>
                <c:pt idx="227" formatCode="&quot;$&quot;#,##0.00">
                  <c:v>0</c:v>
                </c:pt>
                <c:pt idx="228" formatCode="&quot;$&quot;#,##0.00">
                  <c:v>0</c:v>
                </c:pt>
                <c:pt idx="229" formatCode="&quot;$&quot;#,##0.00">
                  <c:v>0</c:v>
                </c:pt>
                <c:pt idx="230" formatCode="&quot;$&quot;#,##0.00">
                  <c:v>0</c:v>
                </c:pt>
                <c:pt idx="231" formatCode="&quot;$&quot;#,##0.00">
                  <c:v>0</c:v>
                </c:pt>
                <c:pt idx="232" formatCode="&quot;$&quot;#,##0.00">
                  <c:v>0</c:v>
                </c:pt>
                <c:pt idx="233" formatCode="&quot;$&quot;#,##0.00">
                  <c:v>0</c:v>
                </c:pt>
                <c:pt idx="234" formatCode="&quot;$&quot;#,##0.00">
                  <c:v>0</c:v>
                </c:pt>
                <c:pt idx="235" formatCode="&quot;$&quot;#,##0.00">
                  <c:v>0</c:v>
                </c:pt>
                <c:pt idx="236" formatCode="&quot;$&quot;#,##0.00">
                  <c:v>0</c:v>
                </c:pt>
                <c:pt idx="237" formatCode="&quot;$&quot;#,##0.00">
                  <c:v>0</c:v>
                </c:pt>
                <c:pt idx="238" formatCode="&quot;$&quot;#,##0.00">
                  <c:v>0</c:v>
                </c:pt>
                <c:pt idx="239" formatCode="&quot;$&quot;#,##0.00">
                  <c:v>0</c:v>
                </c:pt>
                <c:pt idx="240" formatCode="&quot;$&quot;#,##0.00">
                  <c:v>0</c:v>
                </c:pt>
                <c:pt idx="241" formatCode="&quot;$&quot;#,##0.00">
                  <c:v>0</c:v>
                </c:pt>
                <c:pt idx="242" formatCode="&quot;$&quot;#,##0.00">
                  <c:v>0</c:v>
                </c:pt>
                <c:pt idx="243" formatCode="&quot;$&quot;#,##0.00">
                  <c:v>0</c:v>
                </c:pt>
                <c:pt idx="244" formatCode="&quot;$&quot;#,##0.00">
                  <c:v>0</c:v>
                </c:pt>
                <c:pt idx="245" formatCode="&quot;$&quot;#,##0.00">
                  <c:v>0</c:v>
                </c:pt>
                <c:pt idx="246" formatCode="&quot;$&quot;#,##0.00">
                  <c:v>0</c:v>
                </c:pt>
                <c:pt idx="247" formatCode="&quot;$&quot;#,##0.00">
                  <c:v>0</c:v>
                </c:pt>
                <c:pt idx="248" formatCode="&quot;$&quot;#,##0.00">
                  <c:v>0</c:v>
                </c:pt>
                <c:pt idx="249" formatCode="&quot;$&quot;#,##0.00">
                  <c:v>0</c:v>
                </c:pt>
                <c:pt idx="250" formatCode="&quot;$&quot;#,##0.00">
                  <c:v>0</c:v>
                </c:pt>
                <c:pt idx="251" formatCode="&quot;$&quot;#,##0.00">
                  <c:v>0</c:v>
                </c:pt>
                <c:pt idx="252" formatCode="&quot;$&quot;#,##0.00">
                  <c:v>0</c:v>
                </c:pt>
                <c:pt idx="253" formatCode="&quot;$&quot;#,##0.00">
                  <c:v>0</c:v>
                </c:pt>
                <c:pt idx="254" formatCode="&quot;$&quot;#,##0.00">
                  <c:v>0</c:v>
                </c:pt>
                <c:pt idx="255" formatCode="&quot;$&quot;#,##0.00">
                  <c:v>0</c:v>
                </c:pt>
                <c:pt idx="256" formatCode="&quot;$&quot;#,##0.00">
                  <c:v>0</c:v>
                </c:pt>
                <c:pt idx="257" formatCode="&quot;$&quot;#,##0.00">
                  <c:v>0</c:v>
                </c:pt>
                <c:pt idx="258" formatCode="&quot;$&quot;#,##0.00">
                  <c:v>0</c:v>
                </c:pt>
                <c:pt idx="259" formatCode="&quot;$&quot;#,##0.00">
                  <c:v>0</c:v>
                </c:pt>
                <c:pt idx="260" formatCode="&quot;$&quot;#,##0.00">
                  <c:v>0</c:v>
                </c:pt>
                <c:pt idx="261" formatCode="&quot;$&quot;#,##0.00">
                  <c:v>0</c:v>
                </c:pt>
                <c:pt idx="262" formatCode="&quot;$&quot;#,##0.00">
                  <c:v>0</c:v>
                </c:pt>
                <c:pt idx="263" formatCode="&quot;$&quot;#,##0.00">
                  <c:v>0</c:v>
                </c:pt>
                <c:pt idx="264" formatCode="&quot;$&quot;#,##0.00">
                  <c:v>0</c:v>
                </c:pt>
                <c:pt idx="265" formatCode="&quot;$&quot;#,##0.00">
                  <c:v>0</c:v>
                </c:pt>
                <c:pt idx="266" formatCode="&quot;$&quot;#,##0.00">
                  <c:v>0</c:v>
                </c:pt>
                <c:pt idx="267" formatCode="&quot;$&quot;#,##0.00">
                  <c:v>0</c:v>
                </c:pt>
                <c:pt idx="268" formatCode="&quot;$&quot;#,##0.00">
                  <c:v>0</c:v>
                </c:pt>
                <c:pt idx="269" formatCode="&quot;$&quot;#,##0.00">
                  <c:v>0</c:v>
                </c:pt>
                <c:pt idx="270" formatCode="&quot;$&quot;#,##0.00">
                  <c:v>0</c:v>
                </c:pt>
                <c:pt idx="271" formatCode="&quot;$&quot;#,##0.00">
                  <c:v>0</c:v>
                </c:pt>
                <c:pt idx="272" formatCode="&quot;$&quot;#,##0.00">
                  <c:v>0</c:v>
                </c:pt>
                <c:pt idx="273" formatCode="&quot;$&quot;#,##0.00">
                  <c:v>0</c:v>
                </c:pt>
                <c:pt idx="274" formatCode="&quot;$&quot;#,##0.00">
                  <c:v>0</c:v>
                </c:pt>
                <c:pt idx="275" formatCode="&quot;$&quot;#,##0.00">
                  <c:v>0</c:v>
                </c:pt>
                <c:pt idx="276" formatCode="&quot;$&quot;#,##0.00">
                  <c:v>0</c:v>
                </c:pt>
                <c:pt idx="277" formatCode="&quot;$&quot;#,##0.00">
                  <c:v>0</c:v>
                </c:pt>
                <c:pt idx="278" formatCode="&quot;$&quot;#,##0.00">
                  <c:v>0</c:v>
                </c:pt>
                <c:pt idx="279" formatCode="&quot;$&quot;#,##0.00">
                  <c:v>0</c:v>
                </c:pt>
                <c:pt idx="280" formatCode="&quot;$&quot;#,##0.00">
                  <c:v>0</c:v>
                </c:pt>
                <c:pt idx="281" formatCode="&quot;$&quot;#,##0.00">
                  <c:v>0</c:v>
                </c:pt>
                <c:pt idx="282" formatCode="&quot;$&quot;#,##0.00">
                  <c:v>0</c:v>
                </c:pt>
                <c:pt idx="283" formatCode="&quot;$&quot;#,##0.00">
                  <c:v>0</c:v>
                </c:pt>
                <c:pt idx="284" formatCode="&quot;$&quot;#,##0.00">
                  <c:v>0</c:v>
                </c:pt>
                <c:pt idx="285" formatCode="&quot;$&quot;#,##0.00">
                  <c:v>0</c:v>
                </c:pt>
                <c:pt idx="286" formatCode="&quot;$&quot;#,##0.00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07E6-6147-A690-2FAE9D416BBA}"/>
            </c:ext>
          </c:extLst>
        </c:ser>
        <c:ser>
          <c:idx val="2"/>
          <c:order val="2"/>
          <c:tx>
            <c:strRef>
              <c:f>'Total Value'!$A$151</c:f>
              <c:strCache>
                <c:ptCount val="1"/>
                <c:pt idx="0">
                  <c:v>S&amp;P 500</c:v>
                </c:pt>
              </c:strCache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'Total Value'!$B$148:$KB$148</c:f>
              <c:strCache>
                <c:ptCount val="82"/>
                <c:pt idx="2">
                  <c:v>1/10/2022</c:v>
                </c:pt>
                <c:pt idx="3">
                  <c:v>1/11/2022</c:v>
                </c:pt>
                <c:pt idx="4">
                  <c:v>1/12/2022</c:v>
                </c:pt>
                <c:pt idx="5">
                  <c:v>1/13/2022</c:v>
                </c:pt>
                <c:pt idx="6">
                  <c:v>1/14/2022</c:v>
                </c:pt>
                <c:pt idx="7">
                  <c:v>1/18/2022</c:v>
                </c:pt>
                <c:pt idx="8">
                  <c:v>1/19/2022</c:v>
                </c:pt>
                <c:pt idx="9">
                  <c:v>1/20/2022</c:v>
                </c:pt>
                <c:pt idx="10">
                  <c:v>1/21/2022</c:v>
                </c:pt>
                <c:pt idx="11">
                  <c:v>1/24/2022</c:v>
                </c:pt>
                <c:pt idx="12">
                  <c:v>1/25/2022</c:v>
                </c:pt>
                <c:pt idx="13">
                  <c:v>1/26/2022</c:v>
                </c:pt>
                <c:pt idx="14">
                  <c:v>1/27/2022</c:v>
                </c:pt>
                <c:pt idx="15">
                  <c:v>1/28/2022</c:v>
                </c:pt>
                <c:pt idx="16">
                  <c:v>1/31/2022</c:v>
                </c:pt>
                <c:pt idx="17">
                  <c:v>2/1/2022</c:v>
                </c:pt>
                <c:pt idx="18">
                  <c:v>2/2/2022</c:v>
                </c:pt>
                <c:pt idx="19">
                  <c:v>2/3/2022</c:v>
                </c:pt>
                <c:pt idx="20">
                  <c:v>2/4/2022</c:v>
                </c:pt>
                <c:pt idx="21">
                  <c:v>2/7/2022</c:v>
                </c:pt>
                <c:pt idx="22">
                  <c:v>2/8/2022</c:v>
                </c:pt>
                <c:pt idx="23">
                  <c:v>2/9/2022</c:v>
                </c:pt>
                <c:pt idx="24">
                  <c:v>2/10/2022</c:v>
                </c:pt>
                <c:pt idx="25">
                  <c:v>2/11/2022</c:v>
                </c:pt>
                <c:pt idx="26">
                  <c:v>2/14/2022</c:v>
                </c:pt>
                <c:pt idx="27">
                  <c:v>2/15/2022</c:v>
                </c:pt>
                <c:pt idx="28">
                  <c:v>2/16/2022</c:v>
                </c:pt>
                <c:pt idx="29">
                  <c:v>2/17/2022</c:v>
                </c:pt>
                <c:pt idx="30">
                  <c:v>2/18/2022</c:v>
                </c:pt>
                <c:pt idx="31">
                  <c:v>2/22/2022</c:v>
                </c:pt>
                <c:pt idx="32">
                  <c:v>2/23/2022</c:v>
                </c:pt>
                <c:pt idx="33">
                  <c:v>2/24/2022</c:v>
                </c:pt>
                <c:pt idx="34">
                  <c:v>2/25/2022</c:v>
                </c:pt>
                <c:pt idx="35">
                  <c:v>2/28/2022</c:v>
                </c:pt>
                <c:pt idx="36">
                  <c:v>3/1/2022</c:v>
                </c:pt>
                <c:pt idx="37">
                  <c:v>3/2/2022</c:v>
                </c:pt>
                <c:pt idx="38">
                  <c:v>3/3/2022</c:v>
                </c:pt>
                <c:pt idx="39">
                  <c:v>3/4/2022</c:v>
                </c:pt>
                <c:pt idx="40">
                  <c:v>3/7/2022</c:v>
                </c:pt>
                <c:pt idx="41">
                  <c:v>3/8/2022</c:v>
                </c:pt>
                <c:pt idx="42">
                  <c:v>3/9/2022</c:v>
                </c:pt>
                <c:pt idx="43">
                  <c:v>3/10/2022</c:v>
                </c:pt>
                <c:pt idx="44">
                  <c:v>3/11/2022</c:v>
                </c:pt>
                <c:pt idx="45">
                  <c:v>3/14/2022</c:v>
                </c:pt>
                <c:pt idx="46">
                  <c:v>3/15/2022</c:v>
                </c:pt>
                <c:pt idx="47">
                  <c:v>3/16/2022</c:v>
                </c:pt>
                <c:pt idx="48">
                  <c:v>3/17/2022</c:v>
                </c:pt>
                <c:pt idx="49">
                  <c:v>3/18/2022</c:v>
                </c:pt>
                <c:pt idx="50">
                  <c:v>3/21/2022</c:v>
                </c:pt>
                <c:pt idx="51">
                  <c:v>3/22/2022</c:v>
                </c:pt>
                <c:pt idx="52">
                  <c:v>3/23/2022</c:v>
                </c:pt>
                <c:pt idx="53">
                  <c:v>3/24/2022</c:v>
                </c:pt>
                <c:pt idx="54">
                  <c:v>3/25/2022</c:v>
                </c:pt>
                <c:pt idx="55">
                  <c:v>3/28/2022</c:v>
                </c:pt>
                <c:pt idx="56">
                  <c:v>3/29/2022</c:v>
                </c:pt>
                <c:pt idx="57">
                  <c:v>3/30/2022</c:v>
                </c:pt>
                <c:pt idx="58">
                  <c:v>3/31/2022</c:v>
                </c:pt>
                <c:pt idx="59">
                  <c:v>4/1/2022</c:v>
                </c:pt>
                <c:pt idx="60">
                  <c:v>4/4/2022</c:v>
                </c:pt>
                <c:pt idx="61">
                  <c:v>4/5/2022</c:v>
                </c:pt>
                <c:pt idx="62">
                  <c:v>4/6/2022</c:v>
                </c:pt>
                <c:pt idx="63">
                  <c:v>4/7/2022</c:v>
                </c:pt>
                <c:pt idx="64">
                  <c:v>4/8/2022</c:v>
                </c:pt>
                <c:pt idx="65">
                  <c:v>4/11/2022</c:v>
                </c:pt>
                <c:pt idx="66">
                  <c:v>4/12/2022</c:v>
                </c:pt>
                <c:pt idx="67">
                  <c:v>4/13/2022</c:v>
                </c:pt>
                <c:pt idx="68">
                  <c:v>4/14/2022</c:v>
                </c:pt>
                <c:pt idx="69">
                  <c:v>4/18/2022</c:v>
                </c:pt>
                <c:pt idx="70">
                  <c:v>4/19/2022</c:v>
                </c:pt>
                <c:pt idx="71">
                  <c:v>4/20/2022</c:v>
                </c:pt>
                <c:pt idx="72">
                  <c:v>4/21/2022</c:v>
                </c:pt>
                <c:pt idx="73">
                  <c:v>4/22/2022</c:v>
                </c:pt>
                <c:pt idx="74">
                  <c:v>4/25/2022</c:v>
                </c:pt>
                <c:pt idx="75">
                  <c:v>4/26/2022</c:v>
                </c:pt>
                <c:pt idx="76">
                  <c:v>4/27/2022</c:v>
                </c:pt>
                <c:pt idx="77">
                  <c:v>4/28/2022</c:v>
                </c:pt>
                <c:pt idx="78">
                  <c:v>4/29/2022</c:v>
                </c:pt>
                <c:pt idx="79">
                  <c:v>5/2/2022</c:v>
                </c:pt>
                <c:pt idx="80">
                  <c:v>5/3/2022</c:v>
                </c:pt>
                <c:pt idx="81">
                  <c:v>5/4/2022</c:v>
                </c:pt>
              </c:strCache>
            </c:strRef>
          </c:cat>
          <c:val>
            <c:numRef>
              <c:f>'Total Value'!$B$151:$KB$151</c:f>
              <c:numCache>
                <c:formatCode>General</c:formatCode>
                <c:ptCount val="287"/>
                <c:pt idx="2" formatCode="&quot;$&quot;#,##0.00">
                  <c:v>4670.29</c:v>
                </c:pt>
                <c:pt idx="3" formatCode="&quot;$&quot;#,##0.00">
                  <c:v>4713.07</c:v>
                </c:pt>
                <c:pt idx="4" formatCode="&quot;$&quot;#,##0.00">
                  <c:v>4726.3500000000004</c:v>
                </c:pt>
                <c:pt idx="5" formatCode="&quot;$&quot;#,##0.00">
                  <c:v>4659.03</c:v>
                </c:pt>
                <c:pt idx="6" formatCode="&quot;$&quot;#,##0.00">
                  <c:v>4662.8500000000004</c:v>
                </c:pt>
                <c:pt idx="7" formatCode="&quot;$&quot;#,##0.00">
                  <c:v>4577.1099999999997</c:v>
                </c:pt>
                <c:pt idx="8" formatCode="&quot;$&quot;#,##0.00">
                  <c:v>4532.76</c:v>
                </c:pt>
                <c:pt idx="9" formatCode="&quot;$&quot;#,##0.00">
                  <c:v>4482.7299999999996</c:v>
                </c:pt>
                <c:pt idx="10" formatCode="&quot;$&quot;#,##0.00">
                  <c:v>4397.9399999999996</c:v>
                </c:pt>
                <c:pt idx="11" formatCode="&quot;$&quot;#,##0.00">
                  <c:v>4410.13</c:v>
                </c:pt>
                <c:pt idx="12" formatCode="&quot;$&quot;#,##0.00">
                  <c:v>4356.45</c:v>
                </c:pt>
                <c:pt idx="13" formatCode="&quot;$&quot;#,##0.00">
                  <c:v>4349.93</c:v>
                </c:pt>
                <c:pt idx="14" formatCode="&quot;$&quot;#,##0.00">
                  <c:v>4326.51</c:v>
                </c:pt>
                <c:pt idx="15" formatCode="&quot;$&quot;#,##0.00">
                  <c:v>4431.8500000000004</c:v>
                </c:pt>
                <c:pt idx="16" formatCode="&quot;$&quot;#,##0.00">
                  <c:v>4515.55</c:v>
                </c:pt>
                <c:pt idx="17" formatCode="&quot;$&quot;#,##0.00">
                  <c:v>4546.54</c:v>
                </c:pt>
                <c:pt idx="18" formatCode="&quot;$&quot;#,##0.00">
                  <c:v>4589.38</c:v>
                </c:pt>
                <c:pt idx="19" formatCode="&quot;$&quot;#,##0.00">
                  <c:v>4477.4399999999996</c:v>
                </c:pt>
                <c:pt idx="20" formatCode="&quot;$&quot;#,##0.00">
                  <c:v>4500.53</c:v>
                </c:pt>
                <c:pt idx="21" formatCode="&quot;$&quot;#,##0.00">
                  <c:v>4483.87</c:v>
                </c:pt>
                <c:pt idx="22" formatCode="&quot;$&quot;#,##0.00">
                  <c:v>4521.54</c:v>
                </c:pt>
                <c:pt idx="23" formatCode="&quot;$&quot;#,##0.00">
                  <c:v>4587.18</c:v>
                </c:pt>
                <c:pt idx="24" formatCode="&quot;$&quot;#,##0.00">
                  <c:v>4504.08</c:v>
                </c:pt>
                <c:pt idx="25" formatCode="&quot;$&quot;#,##0.00">
                  <c:v>4418.6400000000003</c:v>
                </c:pt>
                <c:pt idx="26" formatCode="&quot;$&quot;#,##0.00">
                  <c:v>4401.67</c:v>
                </c:pt>
                <c:pt idx="27" formatCode="&quot;$&quot;#,##0.00">
                  <c:v>4471.07</c:v>
                </c:pt>
                <c:pt idx="28" formatCode="&quot;$&quot;#,##0.00">
                  <c:v>4475.01</c:v>
                </c:pt>
                <c:pt idx="29" formatCode="&quot;$&quot;#,##0.00">
                  <c:v>4380.26</c:v>
                </c:pt>
                <c:pt idx="30" formatCode="&quot;$&quot;#,##0.00">
                  <c:v>4348.87</c:v>
                </c:pt>
                <c:pt idx="31" formatCode="&quot;$&quot;#,##0.00">
                  <c:v>4304.76</c:v>
                </c:pt>
                <c:pt idx="32" formatCode="&quot;$&quot;#,##0.00">
                  <c:v>4225.5</c:v>
                </c:pt>
                <c:pt idx="33" formatCode="&quot;$&quot;#,##0.00">
                  <c:v>4288.7</c:v>
                </c:pt>
                <c:pt idx="34" formatCode="&quot;$&quot;#,##0.00">
                  <c:v>4384.6499999999996</c:v>
                </c:pt>
                <c:pt idx="35" formatCode="&quot;$&quot;#,##0.00">
                  <c:v>4373.9399999999996</c:v>
                </c:pt>
                <c:pt idx="36" formatCode="&quot;$&quot;#,##0.00">
                  <c:v>4306.26</c:v>
                </c:pt>
                <c:pt idx="37" formatCode="&quot;$&quot;#,##0.00">
                  <c:v>4386.54</c:v>
                </c:pt>
                <c:pt idx="38" formatCode="&quot;$&quot;#,##0.00">
                  <c:v>4363.49</c:v>
                </c:pt>
                <c:pt idx="39" formatCode="&quot;$&quot;#,##0.00">
                  <c:v>4328.87</c:v>
                </c:pt>
                <c:pt idx="40" formatCode="&quot;$&quot;#,##0.00">
                  <c:v>4201.09</c:v>
                </c:pt>
                <c:pt idx="41" formatCode="&quot;$&quot;#,##0.00">
                  <c:v>4170.7</c:v>
                </c:pt>
                <c:pt idx="42" formatCode="&quot;$&quot;#,##0.00">
                  <c:v>4277.88</c:v>
                </c:pt>
                <c:pt idx="43" formatCode="&quot;$&quot;#,##0.00">
                  <c:v>4259.5200000000004</c:v>
                </c:pt>
                <c:pt idx="44" formatCode="&quot;$&quot;#,##0.00">
                  <c:v>4204.3100000000004</c:v>
                </c:pt>
                <c:pt idx="45" formatCode="&quot;$&quot;#,##0.00">
                  <c:v>4173.1099999999997</c:v>
                </c:pt>
                <c:pt idx="46" formatCode="&quot;$&quot;#,##0.00">
                  <c:v>4262.45</c:v>
                </c:pt>
                <c:pt idx="47" formatCode="&quot;$&quot;#,##0.00">
                  <c:v>4357.8599999999997</c:v>
                </c:pt>
                <c:pt idx="48" formatCode="&quot;$&quot;#,##0.00">
                  <c:v>4411.67</c:v>
                </c:pt>
                <c:pt idx="49" formatCode="&quot;$&quot;#,##0.00">
                  <c:v>4463.12</c:v>
                </c:pt>
                <c:pt idx="50" formatCode="&quot;$&quot;#,##0.00">
                  <c:v>4461.18</c:v>
                </c:pt>
                <c:pt idx="51" formatCode="&quot;$&quot;#,##0.00">
                  <c:v>4511.6099999999997</c:v>
                </c:pt>
                <c:pt idx="52" formatCode="&quot;$&quot;#,##0.00">
                  <c:v>4456.24</c:v>
                </c:pt>
                <c:pt idx="53" formatCode="&quot;$&quot;#,##0.00">
                  <c:v>4520.16</c:v>
                </c:pt>
                <c:pt idx="54" formatCode="&quot;$&quot;#,##0.00">
                  <c:v>4543.0600000000004</c:v>
                </c:pt>
                <c:pt idx="55" formatCode="&quot;$&quot;#,##0.00">
                  <c:v>4575.5200000000004</c:v>
                </c:pt>
                <c:pt idx="56" formatCode="&quot;$&quot;#,##0.00">
                  <c:v>4631.6000000000004</c:v>
                </c:pt>
                <c:pt idx="57" formatCode="&quot;$&quot;#,##0.00">
                  <c:v>4602.45</c:v>
                </c:pt>
                <c:pt idx="58" formatCode="&quot;$&quot;#,##0.00">
                  <c:v>4530.41</c:v>
                </c:pt>
                <c:pt idx="59" formatCode="&quot;$&quot;#,##0.00">
                  <c:v>4545.8599999999997</c:v>
                </c:pt>
                <c:pt idx="60" formatCode="&quot;$&quot;#,##0.00">
                  <c:v>4582.6400000000003</c:v>
                </c:pt>
                <c:pt idx="61" formatCode="&quot;$&quot;#,##0.00">
                  <c:v>4525.12</c:v>
                </c:pt>
                <c:pt idx="62" formatCode="&quot;$&quot;#,##0.00">
                  <c:v>4481.1499999999996</c:v>
                </c:pt>
                <c:pt idx="63" formatCode="&quot;$&quot;#,##0.00">
                  <c:v>4500.21</c:v>
                </c:pt>
                <c:pt idx="64" formatCode="&quot;$&quot;#,##0.00">
                  <c:v>4488.28</c:v>
                </c:pt>
                <c:pt idx="65" formatCode="&quot;$&quot;#,##0.00">
                  <c:v>4412.53</c:v>
                </c:pt>
                <c:pt idx="66" formatCode="&quot;$&quot;#,##0.00">
                  <c:v>4397.45</c:v>
                </c:pt>
                <c:pt idx="67" formatCode="&quot;$&quot;#,##0.00">
                  <c:v>4446.59</c:v>
                </c:pt>
                <c:pt idx="68" formatCode="&quot;$&quot;#,##0.00">
                  <c:v>4392.59</c:v>
                </c:pt>
                <c:pt idx="69" formatCode="&quot;$&quot;#,##0.00">
                  <c:v>4391.6899999999996</c:v>
                </c:pt>
                <c:pt idx="70" formatCode="&quot;$&quot;#,##0.00">
                  <c:v>4462.21</c:v>
                </c:pt>
                <c:pt idx="71" formatCode="&quot;$&quot;#,##0.00">
                  <c:v>4459.45</c:v>
                </c:pt>
                <c:pt idx="72" formatCode="&quot;$&quot;#,##0.00">
                  <c:v>4393.66</c:v>
                </c:pt>
                <c:pt idx="73" formatCode="&quot;$&quot;#,##0.00">
                  <c:v>4271.78</c:v>
                </c:pt>
                <c:pt idx="74" formatCode="&quot;$&quot;#,##0.00">
                  <c:v>4296.12</c:v>
                </c:pt>
                <c:pt idx="75" formatCode="&quot;$&quot;#,##0.00">
                  <c:v>4175.2</c:v>
                </c:pt>
                <c:pt idx="76" formatCode="&quot;$&quot;#,##0.00">
                  <c:v>4183.96</c:v>
                </c:pt>
                <c:pt idx="77" formatCode="&quot;$&quot;#,##0.00">
                  <c:v>4287.5</c:v>
                </c:pt>
                <c:pt idx="78" formatCode="&quot;$&quot;#,##0.00">
                  <c:v>4131.93</c:v>
                </c:pt>
                <c:pt idx="79" formatCode="&quot;$&quot;#,##0.00">
                  <c:v>4155.38</c:v>
                </c:pt>
                <c:pt idx="80" formatCode="&quot;$&quot;#,##0.00">
                  <c:v>4175.4799999999996</c:v>
                </c:pt>
                <c:pt idx="81" formatCode="&quot;$&quot;#,##0.00">
                  <c:v>4300.17</c:v>
                </c:pt>
                <c:pt idx="82" formatCode="&quot;$&quot;#,##0.00">
                  <c:v>0</c:v>
                </c:pt>
                <c:pt idx="83" formatCode="&quot;$&quot;#,##0.00">
                  <c:v>0</c:v>
                </c:pt>
                <c:pt idx="84" formatCode="&quot;$&quot;#,##0.00">
                  <c:v>0</c:v>
                </c:pt>
                <c:pt idx="85" formatCode="&quot;$&quot;#,##0.00">
                  <c:v>0</c:v>
                </c:pt>
                <c:pt idx="86" formatCode="&quot;$&quot;#,##0.00">
                  <c:v>0</c:v>
                </c:pt>
                <c:pt idx="87" formatCode="&quot;$&quot;#,##0.00">
                  <c:v>0</c:v>
                </c:pt>
                <c:pt idx="88" formatCode="&quot;$&quot;#,##0.00">
                  <c:v>0</c:v>
                </c:pt>
                <c:pt idx="89" formatCode="&quot;$&quot;#,##0.00">
                  <c:v>0</c:v>
                </c:pt>
                <c:pt idx="90" formatCode="&quot;$&quot;#,##0.00">
                  <c:v>0</c:v>
                </c:pt>
                <c:pt idx="91" formatCode="&quot;$&quot;#,##0.00">
                  <c:v>0</c:v>
                </c:pt>
                <c:pt idx="92" formatCode="&quot;$&quot;#,##0.00">
                  <c:v>0</c:v>
                </c:pt>
                <c:pt idx="93" formatCode="&quot;$&quot;#,##0.00">
                  <c:v>0</c:v>
                </c:pt>
                <c:pt idx="94" formatCode="&quot;$&quot;#,##0.00">
                  <c:v>0</c:v>
                </c:pt>
                <c:pt idx="95" formatCode="&quot;$&quot;#,##0.00">
                  <c:v>0</c:v>
                </c:pt>
                <c:pt idx="96" formatCode="&quot;$&quot;#,##0.00">
                  <c:v>0</c:v>
                </c:pt>
                <c:pt idx="97" formatCode="&quot;$&quot;#,##0.00">
                  <c:v>0</c:v>
                </c:pt>
                <c:pt idx="98" formatCode="&quot;$&quot;#,##0.00">
                  <c:v>0</c:v>
                </c:pt>
                <c:pt idx="99" formatCode="&quot;$&quot;#,##0.00">
                  <c:v>0</c:v>
                </c:pt>
                <c:pt idx="100" formatCode="&quot;$&quot;#,##0.00">
                  <c:v>0</c:v>
                </c:pt>
                <c:pt idx="101" formatCode="&quot;$&quot;#,##0.00">
                  <c:v>0</c:v>
                </c:pt>
                <c:pt idx="102" formatCode="&quot;$&quot;#,##0.00">
                  <c:v>0</c:v>
                </c:pt>
                <c:pt idx="103" formatCode="&quot;$&quot;#,##0.00">
                  <c:v>0</c:v>
                </c:pt>
                <c:pt idx="104" formatCode="&quot;$&quot;#,##0.00">
                  <c:v>0</c:v>
                </c:pt>
                <c:pt idx="105" formatCode="&quot;$&quot;#,##0.00">
                  <c:v>0</c:v>
                </c:pt>
                <c:pt idx="106" formatCode="&quot;$&quot;#,##0.00">
                  <c:v>0</c:v>
                </c:pt>
                <c:pt idx="107" formatCode="&quot;$&quot;#,##0.00">
                  <c:v>0</c:v>
                </c:pt>
                <c:pt idx="108" formatCode="&quot;$&quot;#,##0.00">
                  <c:v>0</c:v>
                </c:pt>
                <c:pt idx="109" formatCode="&quot;$&quot;#,##0.00">
                  <c:v>0</c:v>
                </c:pt>
                <c:pt idx="110" formatCode="&quot;$&quot;#,##0.00">
                  <c:v>0</c:v>
                </c:pt>
                <c:pt idx="111" formatCode="&quot;$&quot;#,##0.00">
                  <c:v>0</c:v>
                </c:pt>
                <c:pt idx="112" formatCode="&quot;$&quot;#,##0.00">
                  <c:v>0</c:v>
                </c:pt>
                <c:pt idx="113" formatCode="&quot;$&quot;#,##0.00">
                  <c:v>0</c:v>
                </c:pt>
                <c:pt idx="114" formatCode="&quot;$&quot;#,##0.00">
                  <c:v>0</c:v>
                </c:pt>
                <c:pt idx="115" formatCode="&quot;$&quot;#,##0.00">
                  <c:v>0</c:v>
                </c:pt>
                <c:pt idx="116" formatCode="&quot;$&quot;#,##0.00">
                  <c:v>0</c:v>
                </c:pt>
                <c:pt idx="117" formatCode="&quot;$&quot;#,##0.00">
                  <c:v>0</c:v>
                </c:pt>
                <c:pt idx="118" formatCode="&quot;$&quot;#,##0.00">
                  <c:v>0</c:v>
                </c:pt>
                <c:pt idx="119" formatCode="&quot;$&quot;#,##0.00">
                  <c:v>0</c:v>
                </c:pt>
                <c:pt idx="120" formatCode="&quot;$&quot;#,##0.00">
                  <c:v>0</c:v>
                </c:pt>
                <c:pt idx="121" formatCode="&quot;$&quot;#,##0.00">
                  <c:v>0</c:v>
                </c:pt>
                <c:pt idx="122" formatCode="&quot;$&quot;#,##0.00">
                  <c:v>0</c:v>
                </c:pt>
                <c:pt idx="123" formatCode="&quot;$&quot;#,##0.00">
                  <c:v>0</c:v>
                </c:pt>
                <c:pt idx="124" formatCode="&quot;$&quot;#,##0.00">
                  <c:v>0</c:v>
                </c:pt>
                <c:pt idx="125" formatCode="&quot;$&quot;#,##0.00">
                  <c:v>0</c:v>
                </c:pt>
                <c:pt idx="126" formatCode="&quot;$&quot;#,##0.00">
                  <c:v>0</c:v>
                </c:pt>
                <c:pt idx="127" formatCode="&quot;$&quot;#,##0.00">
                  <c:v>0</c:v>
                </c:pt>
                <c:pt idx="128" formatCode="&quot;$&quot;#,##0.00">
                  <c:v>0</c:v>
                </c:pt>
                <c:pt idx="129" formatCode="&quot;$&quot;#,##0.00">
                  <c:v>0</c:v>
                </c:pt>
                <c:pt idx="130" formatCode="&quot;$&quot;#,##0.00">
                  <c:v>0</c:v>
                </c:pt>
                <c:pt idx="131" formatCode="&quot;$&quot;#,##0.00">
                  <c:v>0</c:v>
                </c:pt>
                <c:pt idx="132" formatCode="&quot;$&quot;#,##0.00">
                  <c:v>0</c:v>
                </c:pt>
                <c:pt idx="133" formatCode="&quot;$&quot;#,##0.00">
                  <c:v>0</c:v>
                </c:pt>
                <c:pt idx="134" formatCode="&quot;$&quot;#,##0.00">
                  <c:v>0</c:v>
                </c:pt>
                <c:pt idx="135" formatCode="&quot;$&quot;#,##0.00">
                  <c:v>0</c:v>
                </c:pt>
                <c:pt idx="136" formatCode="&quot;$&quot;#,##0.00">
                  <c:v>0</c:v>
                </c:pt>
                <c:pt idx="137" formatCode="&quot;$&quot;#,##0.00">
                  <c:v>0</c:v>
                </c:pt>
                <c:pt idx="138" formatCode="&quot;$&quot;#,##0.00">
                  <c:v>0</c:v>
                </c:pt>
                <c:pt idx="139" formatCode="&quot;$&quot;#,##0.00">
                  <c:v>0</c:v>
                </c:pt>
                <c:pt idx="140" formatCode="&quot;$&quot;#,##0.00">
                  <c:v>0</c:v>
                </c:pt>
                <c:pt idx="141" formatCode="&quot;$&quot;#,##0.00">
                  <c:v>0</c:v>
                </c:pt>
                <c:pt idx="142" formatCode="&quot;$&quot;#,##0.00">
                  <c:v>0</c:v>
                </c:pt>
                <c:pt idx="143" formatCode="&quot;$&quot;#,##0.00">
                  <c:v>0</c:v>
                </c:pt>
                <c:pt idx="144" formatCode="&quot;$&quot;#,##0.00">
                  <c:v>0</c:v>
                </c:pt>
                <c:pt idx="145" formatCode="&quot;$&quot;#,##0.00">
                  <c:v>0</c:v>
                </c:pt>
                <c:pt idx="146" formatCode="&quot;$&quot;#,##0.00">
                  <c:v>0</c:v>
                </c:pt>
                <c:pt idx="147" formatCode="&quot;$&quot;#,##0.00">
                  <c:v>0</c:v>
                </c:pt>
                <c:pt idx="148" formatCode="&quot;$&quot;#,##0.00">
                  <c:v>0</c:v>
                </c:pt>
                <c:pt idx="149" formatCode="&quot;$&quot;#,##0.00">
                  <c:v>0</c:v>
                </c:pt>
                <c:pt idx="150" formatCode="&quot;$&quot;#,##0.00">
                  <c:v>0</c:v>
                </c:pt>
                <c:pt idx="151" formatCode="&quot;$&quot;#,##0.00">
                  <c:v>0</c:v>
                </c:pt>
                <c:pt idx="152" formatCode="&quot;$&quot;#,##0.00">
                  <c:v>0</c:v>
                </c:pt>
                <c:pt idx="153" formatCode="&quot;$&quot;#,##0.00">
                  <c:v>0</c:v>
                </c:pt>
                <c:pt idx="154" formatCode="&quot;$&quot;#,##0.00">
                  <c:v>0</c:v>
                </c:pt>
                <c:pt idx="155" formatCode="&quot;$&quot;#,##0.00">
                  <c:v>0</c:v>
                </c:pt>
                <c:pt idx="156" formatCode="&quot;$&quot;#,##0.00">
                  <c:v>0</c:v>
                </c:pt>
                <c:pt idx="157" formatCode="&quot;$&quot;#,##0.00">
                  <c:v>0</c:v>
                </c:pt>
                <c:pt idx="158" formatCode="&quot;$&quot;#,##0.00">
                  <c:v>0</c:v>
                </c:pt>
                <c:pt idx="159" formatCode="&quot;$&quot;#,##0.00">
                  <c:v>0</c:v>
                </c:pt>
                <c:pt idx="160" formatCode="&quot;$&quot;#,##0.00">
                  <c:v>0</c:v>
                </c:pt>
                <c:pt idx="161" formatCode="&quot;$&quot;#,##0.00">
                  <c:v>0</c:v>
                </c:pt>
                <c:pt idx="162" formatCode="&quot;$&quot;#,##0.00">
                  <c:v>0</c:v>
                </c:pt>
                <c:pt idx="163" formatCode="&quot;$&quot;#,##0.00">
                  <c:v>0</c:v>
                </c:pt>
                <c:pt idx="164" formatCode="&quot;$&quot;#,##0.00">
                  <c:v>0</c:v>
                </c:pt>
                <c:pt idx="165" formatCode="&quot;$&quot;#,##0.00">
                  <c:v>0</c:v>
                </c:pt>
                <c:pt idx="166" formatCode="&quot;$&quot;#,##0.00">
                  <c:v>0</c:v>
                </c:pt>
                <c:pt idx="167" formatCode="&quot;$&quot;#,##0.00">
                  <c:v>0</c:v>
                </c:pt>
                <c:pt idx="168" formatCode="&quot;$&quot;#,##0.00">
                  <c:v>0</c:v>
                </c:pt>
                <c:pt idx="169" formatCode="&quot;$&quot;#,##0.00">
                  <c:v>0</c:v>
                </c:pt>
                <c:pt idx="170" formatCode="&quot;$&quot;#,##0.00">
                  <c:v>0</c:v>
                </c:pt>
                <c:pt idx="171" formatCode="&quot;$&quot;#,##0.00">
                  <c:v>0</c:v>
                </c:pt>
                <c:pt idx="172" formatCode="&quot;$&quot;#,##0.00">
                  <c:v>0</c:v>
                </c:pt>
                <c:pt idx="173" formatCode="&quot;$&quot;#,##0.00">
                  <c:v>0</c:v>
                </c:pt>
                <c:pt idx="174" formatCode="&quot;$&quot;#,##0.00">
                  <c:v>0</c:v>
                </c:pt>
                <c:pt idx="175" formatCode="&quot;$&quot;#,##0.00">
                  <c:v>0</c:v>
                </c:pt>
                <c:pt idx="176" formatCode="&quot;$&quot;#,##0.00">
                  <c:v>0</c:v>
                </c:pt>
                <c:pt idx="177" formatCode="&quot;$&quot;#,##0.00">
                  <c:v>0</c:v>
                </c:pt>
                <c:pt idx="178" formatCode="&quot;$&quot;#,##0.00">
                  <c:v>0</c:v>
                </c:pt>
                <c:pt idx="179" formatCode="&quot;$&quot;#,##0.00">
                  <c:v>0</c:v>
                </c:pt>
                <c:pt idx="180" formatCode="&quot;$&quot;#,##0.00">
                  <c:v>0</c:v>
                </c:pt>
                <c:pt idx="181" formatCode="&quot;$&quot;#,##0.00">
                  <c:v>0</c:v>
                </c:pt>
                <c:pt idx="182" formatCode="&quot;$&quot;#,##0.00">
                  <c:v>0</c:v>
                </c:pt>
                <c:pt idx="183" formatCode="&quot;$&quot;#,##0.00">
                  <c:v>0</c:v>
                </c:pt>
                <c:pt idx="184" formatCode="&quot;$&quot;#,##0.00">
                  <c:v>0</c:v>
                </c:pt>
                <c:pt idx="185" formatCode="&quot;$&quot;#,##0.00">
                  <c:v>0</c:v>
                </c:pt>
                <c:pt idx="186" formatCode="&quot;$&quot;#,##0.00">
                  <c:v>0</c:v>
                </c:pt>
                <c:pt idx="187" formatCode="&quot;$&quot;#,##0.00">
                  <c:v>0</c:v>
                </c:pt>
                <c:pt idx="188" formatCode="&quot;$&quot;#,##0.00">
                  <c:v>0</c:v>
                </c:pt>
                <c:pt idx="189" formatCode="&quot;$&quot;#,##0.00">
                  <c:v>0</c:v>
                </c:pt>
                <c:pt idx="190" formatCode="&quot;$&quot;#,##0.00">
                  <c:v>0</c:v>
                </c:pt>
                <c:pt idx="191" formatCode="&quot;$&quot;#,##0.00">
                  <c:v>0</c:v>
                </c:pt>
                <c:pt idx="192" formatCode="&quot;$&quot;#,##0.00">
                  <c:v>0</c:v>
                </c:pt>
                <c:pt idx="193" formatCode="&quot;$&quot;#,##0.00">
                  <c:v>0</c:v>
                </c:pt>
                <c:pt idx="194" formatCode="&quot;$&quot;#,##0.00">
                  <c:v>0</c:v>
                </c:pt>
                <c:pt idx="195" formatCode="&quot;$&quot;#,##0.00">
                  <c:v>0</c:v>
                </c:pt>
                <c:pt idx="196" formatCode="&quot;$&quot;#,##0.00">
                  <c:v>0</c:v>
                </c:pt>
                <c:pt idx="197" formatCode="&quot;$&quot;#,##0.00">
                  <c:v>0</c:v>
                </c:pt>
                <c:pt idx="198" formatCode="&quot;$&quot;#,##0.00">
                  <c:v>0</c:v>
                </c:pt>
                <c:pt idx="199" formatCode="&quot;$&quot;#,##0.00">
                  <c:v>0</c:v>
                </c:pt>
                <c:pt idx="200" formatCode="&quot;$&quot;#,##0.00">
                  <c:v>0</c:v>
                </c:pt>
                <c:pt idx="201" formatCode="&quot;$&quot;#,##0.00">
                  <c:v>0</c:v>
                </c:pt>
                <c:pt idx="202" formatCode="&quot;$&quot;#,##0.00">
                  <c:v>0</c:v>
                </c:pt>
                <c:pt idx="203" formatCode="&quot;$&quot;#,##0.00">
                  <c:v>0</c:v>
                </c:pt>
                <c:pt idx="204" formatCode="&quot;$&quot;#,##0.00">
                  <c:v>0</c:v>
                </c:pt>
                <c:pt idx="205" formatCode="&quot;$&quot;#,##0.00">
                  <c:v>0</c:v>
                </c:pt>
                <c:pt idx="206" formatCode="&quot;$&quot;#,##0.00">
                  <c:v>0</c:v>
                </c:pt>
                <c:pt idx="207" formatCode="&quot;$&quot;#,##0.00">
                  <c:v>0</c:v>
                </c:pt>
                <c:pt idx="208" formatCode="&quot;$&quot;#,##0.00">
                  <c:v>0</c:v>
                </c:pt>
                <c:pt idx="209" formatCode="&quot;$&quot;#,##0.00">
                  <c:v>0</c:v>
                </c:pt>
                <c:pt idx="210" formatCode="&quot;$&quot;#,##0.00">
                  <c:v>0</c:v>
                </c:pt>
                <c:pt idx="211" formatCode="&quot;$&quot;#,##0.00">
                  <c:v>0</c:v>
                </c:pt>
                <c:pt idx="212" formatCode="&quot;$&quot;#,##0.00">
                  <c:v>0</c:v>
                </c:pt>
                <c:pt idx="213" formatCode="&quot;$&quot;#,##0.00">
                  <c:v>0</c:v>
                </c:pt>
                <c:pt idx="214" formatCode="&quot;$&quot;#,##0.00">
                  <c:v>0</c:v>
                </c:pt>
                <c:pt idx="215" formatCode="&quot;$&quot;#,##0.00">
                  <c:v>0</c:v>
                </c:pt>
                <c:pt idx="216" formatCode="&quot;$&quot;#,##0.00">
                  <c:v>0</c:v>
                </c:pt>
                <c:pt idx="217" formatCode="&quot;$&quot;#,##0.00">
                  <c:v>0</c:v>
                </c:pt>
                <c:pt idx="218" formatCode="&quot;$&quot;#,##0.00">
                  <c:v>0</c:v>
                </c:pt>
                <c:pt idx="219" formatCode="&quot;$&quot;#,##0.00">
                  <c:v>0</c:v>
                </c:pt>
                <c:pt idx="220" formatCode="&quot;$&quot;#,##0.00">
                  <c:v>0</c:v>
                </c:pt>
                <c:pt idx="221" formatCode="&quot;$&quot;#,##0.00">
                  <c:v>0</c:v>
                </c:pt>
                <c:pt idx="222" formatCode="&quot;$&quot;#,##0.00">
                  <c:v>0</c:v>
                </c:pt>
                <c:pt idx="223" formatCode="&quot;$&quot;#,##0.00">
                  <c:v>0</c:v>
                </c:pt>
                <c:pt idx="224" formatCode="&quot;$&quot;#,##0.00">
                  <c:v>0</c:v>
                </c:pt>
                <c:pt idx="225" formatCode="&quot;$&quot;#,##0.00">
                  <c:v>0</c:v>
                </c:pt>
                <c:pt idx="226" formatCode="&quot;$&quot;#,##0.00">
                  <c:v>0</c:v>
                </c:pt>
                <c:pt idx="227" formatCode="&quot;$&quot;#,##0.00">
                  <c:v>0</c:v>
                </c:pt>
                <c:pt idx="228" formatCode="&quot;$&quot;#,##0.00">
                  <c:v>0</c:v>
                </c:pt>
                <c:pt idx="229" formatCode="&quot;$&quot;#,##0.00">
                  <c:v>0</c:v>
                </c:pt>
                <c:pt idx="230" formatCode="&quot;$&quot;#,##0.00">
                  <c:v>0</c:v>
                </c:pt>
                <c:pt idx="231" formatCode="&quot;$&quot;#,##0.00">
                  <c:v>0</c:v>
                </c:pt>
                <c:pt idx="232" formatCode="&quot;$&quot;#,##0.00">
                  <c:v>0</c:v>
                </c:pt>
                <c:pt idx="233" formatCode="&quot;$&quot;#,##0.00">
                  <c:v>0</c:v>
                </c:pt>
                <c:pt idx="234" formatCode="&quot;$&quot;#,##0.00">
                  <c:v>0</c:v>
                </c:pt>
                <c:pt idx="235" formatCode="&quot;$&quot;#,##0.00">
                  <c:v>0</c:v>
                </c:pt>
                <c:pt idx="236" formatCode="&quot;$&quot;#,##0.00">
                  <c:v>0</c:v>
                </c:pt>
                <c:pt idx="237" formatCode="&quot;$&quot;#,##0.00">
                  <c:v>0</c:v>
                </c:pt>
                <c:pt idx="238" formatCode="&quot;$&quot;#,##0.00">
                  <c:v>0</c:v>
                </c:pt>
                <c:pt idx="239" formatCode="&quot;$&quot;#,##0.00">
                  <c:v>0</c:v>
                </c:pt>
                <c:pt idx="240" formatCode="&quot;$&quot;#,##0.00">
                  <c:v>0</c:v>
                </c:pt>
                <c:pt idx="241" formatCode="&quot;$&quot;#,##0.00">
                  <c:v>0</c:v>
                </c:pt>
                <c:pt idx="242" formatCode="&quot;$&quot;#,##0.00">
                  <c:v>0</c:v>
                </c:pt>
                <c:pt idx="243" formatCode="&quot;$&quot;#,##0.00">
                  <c:v>0</c:v>
                </c:pt>
                <c:pt idx="244" formatCode="&quot;$&quot;#,##0.00">
                  <c:v>0</c:v>
                </c:pt>
                <c:pt idx="245" formatCode="&quot;$&quot;#,##0.00">
                  <c:v>0</c:v>
                </c:pt>
                <c:pt idx="246" formatCode="&quot;$&quot;#,##0.00">
                  <c:v>0</c:v>
                </c:pt>
                <c:pt idx="247" formatCode="&quot;$&quot;#,##0.00">
                  <c:v>0</c:v>
                </c:pt>
                <c:pt idx="248" formatCode="&quot;$&quot;#,##0.00">
                  <c:v>0</c:v>
                </c:pt>
                <c:pt idx="249" formatCode="&quot;$&quot;#,##0.00">
                  <c:v>0</c:v>
                </c:pt>
                <c:pt idx="250" formatCode="&quot;$&quot;#,##0.00">
                  <c:v>0</c:v>
                </c:pt>
                <c:pt idx="251" formatCode="&quot;$&quot;#,##0.00">
                  <c:v>0</c:v>
                </c:pt>
                <c:pt idx="252" formatCode="&quot;$&quot;#,##0.00">
                  <c:v>0</c:v>
                </c:pt>
                <c:pt idx="253" formatCode="&quot;$&quot;#,##0.00">
                  <c:v>0</c:v>
                </c:pt>
                <c:pt idx="254" formatCode="&quot;$&quot;#,##0.00">
                  <c:v>0</c:v>
                </c:pt>
                <c:pt idx="255" formatCode="&quot;$&quot;#,##0.00">
                  <c:v>0</c:v>
                </c:pt>
                <c:pt idx="256" formatCode="&quot;$&quot;#,##0.00">
                  <c:v>0</c:v>
                </c:pt>
                <c:pt idx="257" formatCode="&quot;$&quot;#,##0.00">
                  <c:v>0</c:v>
                </c:pt>
                <c:pt idx="258" formatCode="&quot;$&quot;#,##0.00">
                  <c:v>0</c:v>
                </c:pt>
                <c:pt idx="259" formatCode="&quot;$&quot;#,##0.00">
                  <c:v>0</c:v>
                </c:pt>
                <c:pt idx="260" formatCode="&quot;$&quot;#,##0.00">
                  <c:v>0</c:v>
                </c:pt>
                <c:pt idx="261" formatCode="&quot;$&quot;#,##0.00">
                  <c:v>0</c:v>
                </c:pt>
                <c:pt idx="262" formatCode="&quot;$&quot;#,##0.00">
                  <c:v>0</c:v>
                </c:pt>
                <c:pt idx="263" formatCode="&quot;$&quot;#,##0.00">
                  <c:v>0</c:v>
                </c:pt>
                <c:pt idx="264" formatCode="&quot;$&quot;#,##0.00">
                  <c:v>0</c:v>
                </c:pt>
                <c:pt idx="265" formatCode="&quot;$&quot;#,##0.00">
                  <c:v>0</c:v>
                </c:pt>
                <c:pt idx="266" formatCode="&quot;$&quot;#,##0.00">
                  <c:v>0</c:v>
                </c:pt>
                <c:pt idx="267" formatCode="&quot;$&quot;#,##0.00">
                  <c:v>0</c:v>
                </c:pt>
                <c:pt idx="268" formatCode="&quot;$&quot;#,##0.00">
                  <c:v>0</c:v>
                </c:pt>
                <c:pt idx="269" formatCode="&quot;$&quot;#,##0.00">
                  <c:v>0</c:v>
                </c:pt>
                <c:pt idx="270" formatCode="&quot;$&quot;#,##0.00">
                  <c:v>0</c:v>
                </c:pt>
                <c:pt idx="271" formatCode="&quot;$&quot;#,##0.00">
                  <c:v>0</c:v>
                </c:pt>
                <c:pt idx="272" formatCode="&quot;$&quot;#,##0.00">
                  <c:v>0</c:v>
                </c:pt>
                <c:pt idx="273" formatCode="&quot;$&quot;#,##0.00">
                  <c:v>0</c:v>
                </c:pt>
                <c:pt idx="274" formatCode="&quot;$&quot;#,##0.00">
                  <c:v>0</c:v>
                </c:pt>
                <c:pt idx="275" formatCode="&quot;$&quot;#,##0.00">
                  <c:v>0</c:v>
                </c:pt>
                <c:pt idx="276" formatCode="&quot;$&quot;#,##0.00">
                  <c:v>0</c:v>
                </c:pt>
                <c:pt idx="277" formatCode="&quot;$&quot;#,##0.00">
                  <c:v>0</c:v>
                </c:pt>
                <c:pt idx="278" formatCode="&quot;$&quot;#,##0.00">
                  <c:v>0</c:v>
                </c:pt>
                <c:pt idx="279" formatCode="&quot;$&quot;#,##0.00">
                  <c:v>0</c:v>
                </c:pt>
                <c:pt idx="280" formatCode="&quot;$&quot;#,##0.00">
                  <c:v>0</c:v>
                </c:pt>
                <c:pt idx="281" formatCode="&quot;$&quot;#,##0.00">
                  <c:v>0</c:v>
                </c:pt>
                <c:pt idx="282" formatCode="&quot;$&quot;#,##0.00">
                  <c:v>0</c:v>
                </c:pt>
                <c:pt idx="283" formatCode="&quot;$&quot;#,##0.00">
                  <c:v>0</c:v>
                </c:pt>
                <c:pt idx="284" formatCode="&quot;$&quot;#,##0.00">
                  <c:v>0</c:v>
                </c:pt>
                <c:pt idx="285" formatCode="&quot;$&quot;#,##0.00">
                  <c:v>0</c:v>
                </c:pt>
                <c:pt idx="286" formatCode="&quot;$&quot;#,##0.00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07E6-6147-A690-2FAE9D416B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8632526"/>
        <c:axId val="2079226142"/>
      </c:lineChart>
      <c:catAx>
        <c:axId val="95863252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none"/>
        <c:tickLblPos val="nextTo"/>
        <c:txPr>
          <a:bodyPr rot="-1800000"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79226142"/>
        <c:crosses val="autoZero"/>
        <c:auto val="1"/>
        <c:lblAlgn val="ctr"/>
        <c:lblOffset val="100"/>
        <c:noMultiLvlLbl val="1"/>
      </c:catAx>
      <c:valAx>
        <c:axId val="2079226142"/>
        <c:scaling>
          <c:orientation val="minMax"/>
        </c:scaling>
        <c:delete val="0"/>
        <c:axPos val="l"/>
        <c:majorGridlines>
          <c:spPr>
            <a:ln>
              <a:solidFill>
                <a:srgbClr val="000000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58632526"/>
        <c:crosses val="autoZero"/>
        <c:crossBetween val="between"/>
      </c:valAx>
    </c:plotArea>
    <c:legend>
      <c:legendPos val="t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B7B7B7"/>
    </a:solidFill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1">
                <a:solidFill>
                  <a:schemeClr val="dk1"/>
                </a:solidFill>
                <a:latin typeface="+mn-lt"/>
              </a:defRPr>
            </a:pPr>
            <a:r>
              <a:rPr b="1">
                <a:solidFill>
                  <a:schemeClr val="dk1"/>
                </a:solidFill>
                <a:latin typeface="+mn-lt"/>
              </a:rPr>
              <a:t>Neglected Beta Total Returns since 1/10/2022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'Total Returns'!$A$53</c:f>
              <c:strCache>
                <c:ptCount val="1"/>
                <c:pt idx="0">
                  <c:v>Neglected Beta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'Total Returns'!$B$52:$KB$52</c:f>
              <c:strCache>
                <c:ptCount val="82"/>
                <c:pt idx="2">
                  <c:v>1/10/2022</c:v>
                </c:pt>
                <c:pt idx="3">
                  <c:v>1/11/2022</c:v>
                </c:pt>
                <c:pt idx="4">
                  <c:v>1/12/2022</c:v>
                </c:pt>
                <c:pt idx="5">
                  <c:v>1/13/2022</c:v>
                </c:pt>
                <c:pt idx="6">
                  <c:v>1/14/2022</c:v>
                </c:pt>
                <c:pt idx="7">
                  <c:v>1/18/2022</c:v>
                </c:pt>
                <c:pt idx="8">
                  <c:v>1/19/2022</c:v>
                </c:pt>
                <c:pt idx="9">
                  <c:v>1/20/2022</c:v>
                </c:pt>
                <c:pt idx="10">
                  <c:v>1/21/2022</c:v>
                </c:pt>
                <c:pt idx="11">
                  <c:v>1/24/2022</c:v>
                </c:pt>
                <c:pt idx="12">
                  <c:v>1/25/2022</c:v>
                </c:pt>
                <c:pt idx="13">
                  <c:v>1/26/2022</c:v>
                </c:pt>
                <c:pt idx="14">
                  <c:v>1/27/2022</c:v>
                </c:pt>
                <c:pt idx="15">
                  <c:v>1/28/2022</c:v>
                </c:pt>
                <c:pt idx="16">
                  <c:v>1/31/2022</c:v>
                </c:pt>
                <c:pt idx="17">
                  <c:v>2/1/2022</c:v>
                </c:pt>
                <c:pt idx="18">
                  <c:v>2/2/2022</c:v>
                </c:pt>
                <c:pt idx="19">
                  <c:v>2/3/2022</c:v>
                </c:pt>
                <c:pt idx="20">
                  <c:v>2/4/2022</c:v>
                </c:pt>
                <c:pt idx="21">
                  <c:v>2/7/2022</c:v>
                </c:pt>
                <c:pt idx="22">
                  <c:v>2/8/2022</c:v>
                </c:pt>
                <c:pt idx="23">
                  <c:v>2/9/2022</c:v>
                </c:pt>
                <c:pt idx="24">
                  <c:v>2/10/2022</c:v>
                </c:pt>
                <c:pt idx="25">
                  <c:v>2/11/2022</c:v>
                </c:pt>
                <c:pt idx="26">
                  <c:v>2/14/2022</c:v>
                </c:pt>
                <c:pt idx="27">
                  <c:v>2/15/2022</c:v>
                </c:pt>
                <c:pt idx="28">
                  <c:v>2/16/2022</c:v>
                </c:pt>
                <c:pt idx="29">
                  <c:v>2/17/2022</c:v>
                </c:pt>
                <c:pt idx="30">
                  <c:v>2/18/2022</c:v>
                </c:pt>
                <c:pt idx="31">
                  <c:v>2/22/2022</c:v>
                </c:pt>
                <c:pt idx="32">
                  <c:v>2/23/2022</c:v>
                </c:pt>
                <c:pt idx="33">
                  <c:v>2/24/2022</c:v>
                </c:pt>
                <c:pt idx="34">
                  <c:v>2/25/2022</c:v>
                </c:pt>
                <c:pt idx="35">
                  <c:v>2/28/2022</c:v>
                </c:pt>
                <c:pt idx="36">
                  <c:v>3/1/2022</c:v>
                </c:pt>
                <c:pt idx="37">
                  <c:v>3/2/2022</c:v>
                </c:pt>
                <c:pt idx="38">
                  <c:v>3/3/2022</c:v>
                </c:pt>
                <c:pt idx="39">
                  <c:v>3/4/2022</c:v>
                </c:pt>
                <c:pt idx="40">
                  <c:v>3/7/2022</c:v>
                </c:pt>
                <c:pt idx="41">
                  <c:v>3/8/2022</c:v>
                </c:pt>
                <c:pt idx="42">
                  <c:v>3/9/2022</c:v>
                </c:pt>
                <c:pt idx="43">
                  <c:v>3/10/2022</c:v>
                </c:pt>
                <c:pt idx="44">
                  <c:v>3/11/2022</c:v>
                </c:pt>
                <c:pt idx="45">
                  <c:v>3/14/2022</c:v>
                </c:pt>
                <c:pt idx="46">
                  <c:v>3/15/2022</c:v>
                </c:pt>
                <c:pt idx="47">
                  <c:v>3/16/2022</c:v>
                </c:pt>
                <c:pt idx="48">
                  <c:v>3/17/2022</c:v>
                </c:pt>
                <c:pt idx="49">
                  <c:v>3/18/2022</c:v>
                </c:pt>
                <c:pt idx="50">
                  <c:v>3/21/2022</c:v>
                </c:pt>
                <c:pt idx="51">
                  <c:v>3/22/2022</c:v>
                </c:pt>
                <c:pt idx="52">
                  <c:v>3/23/2022</c:v>
                </c:pt>
                <c:pt idx="53">
                  <c:v>3/24/2022</c:v>
                </c:pt>
                <c:pt idx="54">
                  <c:v>3/25/2022</c:v>
                </c:pt>
                <c:pt idx="55">
                  <c:v>3/28/2022</c:v>
                </c:pt>
                <c:pt idx="56">
                  <c:v>3/29/2022</c:v>
                </c:pt>
                <c:pt idx="57">
                  <c:v>3/30/2022</c:v>
                </c:pt>
                <c:pt idx="58">
                  <c:v>3/31/2022</c:v>
                </c:pt>
                <c:pt idx="59">
                  <c:v>4/1/2022</c:v>
                </c:pt>
                <c:pt idx="60">
                  <c:v>4/4/2022</c:v>
                </c:pt>
                <c:pt idx="61">
                  <c:v>4/5/2022</c:v>
                </c:pt>
                <c:pt idx="62">
                  <c:v>4/6/2022</c:v>
                </c:pt>
                <c:pt idx="63">
                  <c:v>4/7/2022</c:v>
                </c:pt>
                <c:pt idx="64">
                  <c:v>4/8/2022</c:v>
                </c:pt>
                <c:pt idx="65">
                  <c:v>4/11/2022</c:v>
                </c:pt>
                <c:pt idx="66">
                  <c:v>4/12/2022</c:v>
                </c:pt>
                <c:pt idx="67">
                  <c:v>4/13/2022</c:v>
                </c:pt>
                <c:pt idx="68">
                  <c:v>4/14/2022</c:v>
                </c:pt>
                <c:pt idx="69">
                  <c:v>4/18/2022</c:v>
                </c:pt>
                <c:pt idx="70">
                  <c:v>4/19/2022</c:v>
                </c:pt>
                <c:pt idx="71">
                  <c:v>4/20/2022</c:v>
                </c:pt>
                <c:pt idx="72">
                  <c:v>4/21/2022</c:v>
                </c:pt>
                <c:pt idx="73">
                  <c:v>4/22/2022</c:v>
                </c:pt>
                <c:pt idx="74">
                  <c:v>4/25/2022</c:v>
                </c:pt>
                <c:pt idx="75">
                  <c:v>4/26/2022</c:v>
                </c:pt>
                <c:pt idx="76">
                  <c:v>4/27/2022</c:v>
                </c:pt>
                <c:pt idx="77">
                  <c:v>4/28/2022</c:v>
                </c:pt>
                <c:pt idx="78">
                  <c:v>4/29/2022</c:v>
                </c:pt>
                <c:pt idx="79">
                  <c:v>5/2/2022</c:v>
                </c:pt>
                <c:pt idx="80">
                  <c:v>5/3/2022</c:v>
                </c:pt>
                <c:pt idx="81">
                  <c:v>5/4/2022</c:v>
                </c:pt>
              </c:strCache>
            </c:strRef>
          </c:cat>
          <c:val>
            <c:numRef>
              <c:f>'Total Returns'!$B$53:$KB$53</c:f>
              <c:numCache>
                <c:formatCode>General</c:formatCode>
                <c:ptCount val="287"/>
                <c:pt idx="2" formatCode="0.00%">
                  <c:v>0</c:v>
                </c:pt>
                <c:pt idx="3" formatCode="0.00%">
                  <c:v>1.2627299077323517E-2</c:v>
                </c:pt>
                <c:pt idx="4" formatCode="0.00%">
                  <c:v>8.8298552640158068E-3</c:v>
                </c:pt>
                <c:pt idx="5" formatCode="0.00%">
                  <c:v>-1.2723412161022685E-2</c:v>
                </c:pt>
                <c:pt idx="6" formatCode="0.00%">
                  <c:v>-1.1134584726904317E-2</c:v>
                </c:pt>
                <c:pt idx="7" formatCode="0.00%">
                  <c:v>-3.3235098312113909E-2</c:v>
                </c:pt>
                <c:pt idx="8" formatCode="0.00%">
                  <c:v>-3.9622801943694719E-2</c:v>
                </c:pt>
                <c:pt idx="9" formatCode="0.00%">
                  <c:v>-4.7877841125500309E-2</c:v>
                </c:pt>
                <c:pt idx="10" formatCode="0.00%">
                  <c:v>-6.6587254299862342E-2</c:v>
                </c:pt>
                <c:pt idx="11" formatCode="0.00%">
                  <c:v>-5.800507036207414E-2</c:v>
                </c:pt>
                <c:pt idx="12" formatCode="0.00%">
                  <c:v>-7.0930203979258977E-2</c:v>
                </c:pt>
                <c:pt idx="13" formatCode="0.00%">
                  <c:v>-7.7343767770272853E-2</c:v>
                </c:pt>
                <c:pt idx="14" formatCode="0.00%">
                  <c:v>-6.5507294961680951E-2</c:v>
                </c:pt>
                <c:pt idx="15" formatCode="0.00%">
                  <c:v>-4.3862372048312337E-2</c:v>
                </c:pt>
                <c:pt idx="16" formatCode="0.00%">
                  <c:v>-2.0665137345078022E-2</c:v>
                </c:pt>
                <c:pt idx="17" formatCode="0.00%">
                  <c:v>-7.9699362670725415E-3</c:v>
                </c:pt>
                <c:pt idx="18" formatCode="0.00%">
                  <c:v>-1.0066074691895244E-2</c:v>
                </c:pt>
                <c:pt idx="19" formatCode="0.00%">
                  <c:v>-3.3243891376950274E-2</c:v>
                </c:pt>
                <c:pt idx="20" formatCode="0.00%">
                  <c:v>-2.4240342550937877E-2</c:v>
                </c:pt>
                <c:pt idx="21" formatCode="0.00%">
                  <c:v>-2.251238318466775E-2</c:v>
                </c:pt>
                <c:pt idx="22" formatCode="0.00%">
                  <c:v>-5.2555049394582554E-3</c:v>
                </c:pt>
                <c:pt idx="23" formatCode="0.00%">
                  <c:v>1.8231320805353279E-2</c:v>
                </c:pt>
                <c:pt idx="24" formatCode="0.00%">
                  <c:v>1.2686194292842456E-2</c:v>
                </c:pt>
                <c:pt idx="25" formatCode="0.00%">
                  <c:v>-9.017532241619608E-3</c:v>
                </c:pt>
                <c:pt idx="26" formatCode="0.00%">
                  <c:v>-1.5454544205530829E-2</c:v>
                </c:pt>
                <c:pt idx="27" formatCode="0.00%">
                  <c:v>4.1908724017905019E-3</c:v>
                </c:pt>
                <c:pt idx="28" formatCode="0.00%">
                  <c:v>4.8965158549187926E-3</c:v>
                </c:pt>
                <c:pt idx="29" formatCode="0.00%">
                  <c:v>-2.7362094288217564E-2</c:v>
                </c:pt>
                <c:pt idx="30" formatCode="0.00%">
                  <c:v>-4.0184672680451561E-2</c:v>
                </c:pt>
                <c:pt idx="31" formatCode="0.00%">
                  <c:v>-4.7249075926741213E-2</c:v>
                </c:pt>
                <c:pt idx="32" formatCode="0.00%">
                  <c:v>-6.4941424601682729E-2</c:v>
                </c:pt>
                <c:pt idx="33" formatCode="0.00%">
                  <c:v>-5.0301276963681363E-2</c:v>
                </c:pt>
                <c:pt idx="34" formatCode="0.00%">
                  <c:v>-3.3193697631841323E-2</c:v>
                </c:pt>
                <c:pt idx="35" formatCode="0.00%">
                  <c:v>-4.3856571068038641E-2</c:v>
                </c:pt>
                <c:pt idx="36" formatCode="0.00%">
                  <c:v>-5.7471990806362339E-2</c:v>
                </c:pt>
                <c:pt idx="37" formatCode="0.00%">
                  <c:v>-3.6320120684815271E-2</c:v>
                </c:pt>
                <c:pt idx="38" formatCode="0.00%">
                  <c:v>-6.8502707454886402E-2</c:v>
                </c:pt>
                <c:pt idx="39" formatCode="0.00%">
                  <c:v>-9.0872203335960799E-2</c:v>
                </c:pt>
                <c:pt idx="40" formatCode="0.00%">
                  <c:v>-0.1239026186388249</c:v>
                </c:pt>
                <c:pt idx="41" formatCode="0.00%">
                  <c:v>-0.12768672019750194</c:v>
                </c:pt>
                <c:pt idx="42" formatCode="0.00%">
                  <c:v>-9.1121279110044195E-2</c:v>
                </c:pt>
                <c:pt idx="43" formatCode="0.00%">
                  <c:v>-0.10493591672357006</c:v>
                </c:pt>
                <c:pt idx="44" formatCode="0.00%">
                  <c:v>-0.12663936847475632</c:v>
                </c:pt>
                <c:pt idx="45" formatCode="0.00%">
                  <c:v>-0.14274517957621402</c:v>
                </c:pt>
                <c:pt idx="46" formatCode="0.00%">
                  <c:v>-0.12796513671918219</c:v>
                </c:pt>
                <c:pt idx="47" formatCode="0.00%">
                  <c:v>-9.2791717177175492E-2</c:v>
                </c:pt>
                <c:pt idx="48" formatCode="0.00%">
                  <c:v>-7.2924153556833904E-2</c:v>
                </c:pt>
                <c:pt idx="49" formatCode="0.00%">
                  <c:v>-6.0850512249456701E-2</c:v>
                </c:pt>
                <c:pt idx="50" formatCode="0.00%">
                  <c:v>-6.6354146487270782E-2</c:v>
                </c:pt>
                <c:pt idx="51" formatCode="0.00%">
                  <c:v>-4.9750916593047534E-2</c:v>
                </c:pt>
                <c:pt idx="52" formatCode="0.00%">
                  <c:v>-6.817864637789095E-2</c:v>
                </c:pt>
                <c:pt idx="53" formatCode="0.00%">
                  <c:v>-5.7233387328247454E-2</c:v>
                </c:pt>
                <c:pt idx="54" formatCode="0.00%">
                  <c:v>-6.3278314088581755E-2</c:v>
                </c:pt>
                <c:pt idx="55" formatCode="0.00%">
                  <c:v>-5.8982352349404743E-2</c:v>
                </c:pt>
                <c:pt idx="56" formatCode="0.00%">
                  <c:v>-3.8735893122739506E-2</c:v>
                </c:pt>
                <c:pt idx="57" formatCode="0.00%">
                  <c:v>-5.7616862655838319E-2</c:v>
                </c:pt>
                <c:pt idx="58" formatCode="0.00%">
                  <c:v>-7.5078759756523339E-2</c:v>
                </c:pt>
                <c:pt idx="59" formatCode="0.00%">
                  <c:v>-7.5093140081308407E-2</c:v>
                </c:pt>
                <c:pt idx="60" formatCode="0.00%">
                  <c:v>-6.419300655190241E-2</c:v>
                </c:pt>
                <c:pt idx="61" formatCode="0.00%">
                  <c:v>-8.152282449118875E-2</c:v>
                </c:pt>
                <c:pt idx="62" formatCode="0.00%">
                  <c:v>-0.1015917737214681</c:v>
                </c:pt>
                <c:pt idx="63" formatCode="0.00%">
                  <c:v>-0.10323824458062503</c:v>
                </c:pt>
                <c:pt idx="64" formatCode="0.00%">
                  <c:v>-0.10806496548340383</c:v>
                </c:pt>
                <c:pt idx="65" formatCode="0.00%">
                  <c:v>-0.11365744631383556</c:v>
                </c:pt>
                <c:pt idx="66" formatCode="0.00%">
                  <c:v>-0.11697808008008981</c:v>
                </c:pt>
                <c:pt idx="67" formatCode="0.00%">
                  <c:v>-0.1022335453286306</c:v>
                </c:pt>
                <c:pt idx="68" formatCode="0.00%">
                  <c:v>-0.1090682602875428</c:v>
                </c:pt>
                <c:pt idx="69" formatCode="0.00%">
                  <c:v>-0.11136587591672698</c:v>
                </c:pt>
                <c:pt idx="70" formatCode="0.00%">
                  <c:v>-8.8353814610134918E-2</c:v>
                </c:pt>
                <c:pt idx="71" formatCode="0.00%">
                  <c:v>-8.9403150878764603E-2</c:v>
                </c:pt>
                <c:pt idx="72" formatCode="0.00%">
                  <c:v>-0.1064265854651556</c:v>
                </c:pt>
                <c:pt idx="73" formatCode="0.00%">
                  <c:v>-0.13089063213434693</c:v>
                </c:pt>
                <c:pt idx="74" formatCode="0.00%">
                  <c:v>-0.12843199350534495</c:v>
                </c:pt>
                <c:pt idx="75" formatCode="0.00%">
                  <c:v>-0.14843594122507875</c:v>
                </c:pt>
                <c:pt idx="76" formatCode="0.00%">
                  <c:v>-0.14515347180273275</c:v>
                </c:pt>
                <c:pt idx="77" formatCode="0.00%">
                  <c:v>-0.13021503165274373</c:v>
                </c:pt>
                <c:pt idx="78" formatCode="0.00%">
                  <c:v>-0.15475623135958017</c:v>
                </c:pt>
                <c:pt idx="79" formatCode="0.00%">
                  <c:v>-0.14317057461915395</c:v>
                </c:pt>
                <c:pt idx="80" formatCode="0.00%">
                  <c:v>-0.13655989962472237</c:v>
                </c:pt>
                <c:pt idx="81" formatCode="0.00%">
                  <c:v>-0.11084256643305523</c:v>
                </c:pt>
                <c:pt idx="82" formatCode="0.00%">
                  <c:v>0</c:v>
                </c:pt>
                <c:pt idx="83" formatCode="0.00%">
                  <c:v>0</c:v>
                </c:pt>
                <c:pt idx="84" formatCode="0.00%">
                  <c:v>0</c:v>
                </c:pt>
                <c:pt idx="85" formatCode="0.00%">
                  <c:v>0</c:v>
                </c:pt>
                <c:pt idx="86" formatCode="0.00%">
                  <c:v>0</c:v>
                </c:pt>
                <c:pt idx="87" formatCode="0.00%">
                  <c:v>0</c:v>
                </c:pt>
                <c:pt idx="88" formatCode="0.00%">
                  <c:v>0</c:v>
                </c:pt>
                <c:pt idx="89" formatCode="0.00%">
                  <c:v>0</c:v>
                </c:pt>
                <c:pt idx="90" formatCode="0.00%">
                  <c:v>0</c:v>
                </c:pt>
                <c:pt idx="91" formatCode="0.00%">
                  <c:v>0</c:v>
                </c:pt>
                <c:pt idx="92" formatCode="0.00%">
                  <c:v>0</c:v>
                </c:pt>
                <c:pt idx="93" formatCode="0.00%">
                  <c:v>0</c:v>
                </c:pt>
                <c:pt idx="94" formatCode="0.00%">
                  <c:v>0</c:v>
                </c:pt>
                <c:pt idx="95" formatCode="0.00%">
                  <c:v>0</c:v>
                </c:pt>
                <c:pt idx="96" formatCode="0.00%">
                  <c:v>0</c:v>
                </c:pt>
                <c:pt idx="97" formatCode="0.00%">
                  <c:v>0</c:v>
                </c:pt>
                <c:pt idx="98" formatCode="0.00%">
                  <c:v>0</c:v>
                </c:pt>
                <c:pt idx="99" formatCode="0.00%">
                  <c:v>0</c:v>
                </c:pt>
                <c:pt idx="100" formatCode="0.00%">
                  <c:v>0</c:v>
                </c:pt>
                <c:pt idx="101" formatCode="0.00%">
                  <c:v>0</c:v>
                </c:pt>
                <c:pt idx="102" formatCode="0.00%">
                  <c:v>0</c:v>
                </c:pt>
                <c:pt idx="103" formatCode="0.00%">
                  <c:v>0</c:v>
                </c:pt>
                <c:pt idx="104" formatCode="0.00%">
                  <c:v>0</c:v>
                </c:pt>
                <c:pt idx="105" formatCode="0.00%">
                  <c:v>0</c:v>
                </c:pt>
                <c:pt idx="106" formatCode="0.00%">
                  <c:v>0</c:v>
                </c:pt>
                <c:pt idx="107" formatCode="0.00%">
                  <c:v>0</c:v>
                </c:pt>
                <c:pt idx="108" formatCode="0.00%">
                  <c:v>0</c:v>
                </c:pt>
                <c:pt idx="109" formatCode="0.00%">
                  <c:v>0</c:v>
                </c:pt>
                <c:pt idx="110" formatCode="0.00%">
                  <c:v>0</c:v>
                </c:pt>
                <c:pt idx="111" formatCode="0.00%">
                  <c:v>0</c:v>
                </c:pt>
                <c:pt idx="112" formatCode="0.00%">
                  <c:v>0</c:v>
                </c:pt>
                <c:pt idx="113" formatCode="0.00%">
                  <c:v>0</c:v>
                </c:pt>
                <c:pt idx="114" formatCode="0.00%">
                  <c:v>0</c:v>
                </c:pt>
                <c:pt idx="115" formatCode="0.00%">
                  <c:v>0</c:v>
                </c:pt>
                <c:pt idx="116" formatCode="0.00%">
                  <c:v>0</c:v>
                </c:pt>
                <c:pt idx="117" formatCode="0.00%">
                  <c:v>0</c:v>
                </c:pt>
                <c:pt idx="118" formatCode="0.00%">
                  <c:v>0</c:v>
                </c:pt>
                <c:pt idx="119" formatCode="0.00%">
                  <c:v>0</c:v>
                </c:pt>
                <c:pt idx="120" formatCode="0.00%">
                  <c:v>0</c:v>
                </c:pt>
                <c:pt idx="121" formatCode="0.00%">
                  <c:v>0</c:v>
                </c:pt>
                <c:pt idx="122" formatCode="0.00%">
                  <c:v>0</c:v>
                </c:pt>
                <c:pt idx="123" formatCode="0.00%">
                  <c:v>0</c:v>
                </c:pt>
                <c:pt idx="124" formatCode="0.00%">
                  <c:v>0</c:v>
                </c:pt>
                <c:pt idx="125" formatCode="0.00%">
                  <c:v>0</c:v>
                </c:pt>
                <c:pt idx="126" formatCode="0.00%">
                  <c:v>0</c:v>
                </c:pt>
                <c:pt idx="127" formatCode="0.00%">
                  <c:v>0</c:v>
                </c:pt>
                <c:pt idx="128" formatCode="0.00%">
                  <c:v>0</c:v>
                </c:pt>
                <c:pt idx="129" formatCode="0.00%">
                  <c:v>0</c:v>
                </c:pt>
                <c:pt idx="130" formatCode="0.00%">
                  <c:v>0</c:v>
                </c:pt>
                <c:pt idx="131" formatCode="0.00%">
                  <c:v>0</c:v>
                </c:pt>
                <c:pt idx="132" formatCode="0.00%">
                  <c:v>0</c:v>
                </c:pt>
                <c:pt idx="133" formatCode="0.00%">
                  <c:v>0</c:v>
                </c:pt>
                <c:pt idx="134" formatCode="0.00%">
                  <c:v>0</c:v>
                </c:pt>
                <c:pt idx="135" formatCode="0.00%">
                  <c:v>0</c:v>
                </c:pt>
                <c:pt idx="136" formatCode="0.00%">
                  <c:v>0</c:v>
                </c:pt>
                <c:pt idx="137" formatCode="0.00%">
                  <c:v>0</c:v>
                </c:pt>
                <c:pt idx="138" formatCode="0.00%">
                  <c:v>0</c:v>
                </c:pt>
                <c:pt idx="139" formatCode="0.00%">
                  <c:v>0</c:v>
                </c:pt>
                <c:pt idx="140" formatCode="0.00%">
                  <c:v>0</c:v>
                </c:pt>
                <c:pt idx="141" formatCode="0.00%">
                  <c:v>0</c:v>
                </c:pt>
                <c:pt idx="142" formatCode="0.00%">
                  <c:v>0</c:v>
                </c:pt>
                <c:pt idx="143" formatCode="0.00%">
                  <c:v>0</c:v>
                </c:pt>
                <c:pt idx="144" formatCode="0.00%">
                  <c:v>0</c:v>
                </c:pt>
                <c:pt idx="145" formatCode="0.00%">
                  <c:v>0</c:v>
                </c:pt>
                <c:pt idx="146" formatCode="0.00%">
                  <c:v>0</c:v>
                </c:pt>
                <c:pt idx="147" formatCode="0.00%">
                  <c:v>0</c:v>
                </c:pt>
                <c:pt idx="148" formatCode="0.00%">
                  <c:v>0</c:v>
                </c:pt>
                <c:pt idx="149" formatCode="0.00%">
                  <c:v>0</c:v>
                </c:pt>
                <c:pt idx="150" formatCode="0.00%">
                  <c:v>0</c:v>
                </c:pt>
                <c:pt idx="151" formatCode="0.00%">
                  <c:v>0</c:v>
                </c:pt>
                <c:pt idx="152" formatCode="0.00%">
                  <c:v>0</c:v>
                </c:pt>
                <c:pt idx="153" formatCode="0.00%">
                  <c:v>0</c:v>
                </c:pt>
                <c:pt idx="154" formatCode="0.00%">
                  <c:v>0</c:v>
                </c:pt>
                <c:pt idx="155" formatCode="0.00%">
                  <c:v>0</c:v>
                </c:pt>
                <c:pt idx="156" formatCode="0.00%">
                  <c:v>0</c:v>
                </c:pt>
                <c:pt idx="157" formatCode="0.00%">
                  <c:v>0</c:v>
                </c:pt>
                <c:pt idx="158" formatCode="0.00%">
                  <c:v>0</c:v>
                </c:pt>
                <c:pt idx="159" formatCode="0.00%">
                  <c:v>0</c:v>
                </c:pt>
                <c:pt idx="160" formatCode="0.00%">
                  <c:v>0</c:v>
                </c:pt>
                <c:pt idx="161" formatCode="0.00%">
                  <c:v>0</c:v>
                </c:pt>
                <c:pt idx="162" formatCode="0.00%">
                  <c:v>0</c:v>
                </c:pt>
                <c:pt idx="163" formatCode="0.00%">
                  <c:v>0</c:v>
                </c:pt>
                <c:pt idx="164" formatCode="0.00%">
                  <c:v>0</c:v>
                </c:pt>
                <c:pt idx="165" formatCode="0.00%">
                  <c:v>0</c:v>
                </c:pt>
                <c:pt idx="166" formatCode="0.00%">
                  <c:v>0</c:v>
                </c:pt>
                <c:pt idx="167" formatCode="0.00%">
                  <c:v>0</c:v>
                </c:pt>
                <c:pt idx="168" formatCode="0.00%">
                  <c:v>0</c:v>
                </c:pt>
                <c:pt idx="169" formatCode="0.00%">
                  <c:v>0</c:v>
                </c:pt>
                <c:pt idx="170" formatCode="0.00%">
                  <c:v>0</c:v>
                </c:pt>
                <c:pt idx="171" formatCode="0.00%">
                  <c:v>0</c:v>
                </c:pt>
                <c:pt idx="172" formatCode="0.00%">
                  <c:v>0</c:v>
                </c:pt>
                <c:pt idx="173" formatCode="0.00%">
                  <c:v>0</c:v>
                </c:pt>
                <c:pt idx="174" formatCode="0.00%">
                  <c:v>0</c:v>
                </c:pt>
                <c:pt idx="175" formatCode="0.00%">
                  <c:v>0</c:v>
                </c:pt>
                <c:pt idx="176" formatCode="0.00%">
                  <c:v>0</c:v>
                </c:pt>
                <c:pt idx="177" formatCode="0.00%">
                  <c:v>0</c:v>
                </c:pt>
                <c:pt idx="178" formatCode="0.00%">
                  <c:v>0</c:v>
                </c:pt>
                <c:pt idx="179" formatCode="0.00%">
                  <c:v>0</c:v>
                </c:pt>
                <c:pt idx="180" formatCode="0.00%">
                  <c:v>0</c:v>
                </c:pt>
                <c:pt idx="181" formatCode="0.00%">
                  <c:v>0</c:v>
                </c:pt>
                <c:pt idx="182" formatCode="0.00%">
                  <c:v>0</c:v>
                </c:pt>
                <c:pt idx="183" formatCode="0.00%">
                  <c:v>0</c:v>
                </c:pt>
                <c:pt idx="184" formatCode="0.00%">
                  <c:v>0</c:v>
                </c:pt>
                <c:pt idx="185" formatCode="0.00%">
                  <c:v>0</c:v>
                </c:pt>
                <c:pt idx="186" formatCode="0.00%">
                  <c:v>0</c:v>
                </c:pt>
                <c:pt idx="187" formatCode="0.00%">
                  <c:v>0</c:v>
                </c:pt>
                <c:pt idx="188" formatCode="0.00%">
                  <c:v>0</c:v>
                </c:pt>
                <c:pt idx="189" formatCode="0.00%">
                  <c:v>0</c:v>
                </c:pt>
                <c:pt idx="190" formatCode="0.00%">
                  <c:v>0</c:v>
                </c:pt>
                <c:pt idx="191" formatCode="0.00%">
                  <c:v>0</c:v>
                </c:pt>
                <c:pt idx="192" formatCode="0.00%">
                  <c:v>0</c:v>
                </c:pt>
                <c:pt idx="193" formatCode="0.00%">
                  <c:v>0</c:v>
                </c:pt>
                <c:pt idx="194" formatCode="0.00%">
                  <c:v>0</c:v>
                </c:pt>
                <c:pt idx="195" formatCode="0.00%">
                  <c:v>0</c:v>
                </c:pt>
                <c:pt idx="196" formatCode="0.00%">
                  <c:v>0</c:v>
                </c:pt>
                <c:pt idx="197" formatCode="0.00%">
                  <c:v>0</c:v>
                </c:pt>
                <c:pt idx="198" formatCode="0.00%">
                  <c:v>0</c:v>
                </c:pt>
                <c:pt idx="199" formatCode="0.00%">
                  <c:v>0</c:v>
                </c:pt>
                <c:pt idx="200" formatCode="0.00%">
                  <c:v>0</c:v>
                </c:pt>
                <c:pt idx="201" formatCode="0.00%">
                  <c:v>0</c:v>
                </c:pt>
                <c:pt idx="202" formatCode="0.00%">
                  <c:v>0</c:v>
                </c:pt>
                <c:pt idx="203" formatCode="0.00%">
                  <c:v>0</c:v>
                </c:pt>
                <c:pt idx="204" formatCode="0.00%">
                  <c:v>0</c:v>
                </c:pt>
                <c:pt idx="205" formatCode="0.00%">
                  <c:v>0</c:v>
                </c:pt>
                <c:pt idx="206" formatCode="0.00%">
                  <c:v>0</c:v>
                </c:pt>
                <c:pt idx="207" formatCode="0.00%">
                  <c:v>0</c:v>
                </c:pt>
                <c:pt idx="208" formatCode="0.00%">
                  <c:v>0</c:v>
                </c:pt>
                <c:pt idx="209" formatCode="0.00%">
                  <c:v>0</c:v>
                </c:pt>
                <c:pt idx="210" formatCode="0.00%">
                  <c:v>0</c:v>
                </c:pt>
                <c:pt idx="211" formatCode="0.00%">
                  <c:v>0</c:v>
                </c:pt>
                <c:pt idx="212" formatCode="0.00%">
                  <c:v>0</c:v>
                </c:pt>
                <c:pt idx="213" formatCode="0.00%">
                  <c:v>0</c:v>
                </c:pt>
                <c:pt idx="214" formatCode="0.00%">
                  <c:v>0</c:v>
                </c:pt>
                <c:pt idx="215" formatCode="0.00%">
                  <c:v>0</c:v>
                </c:pt>
                <c:pt idx="216" formatCode="0.00%">
                  <c:v>0</c:v>
                </c:pt>
                <c:pt idx="217" formatCode="0.00%">
                  <c:v>0</c:v>
                </c:pt>
                <c:pt idx="218" formatCode="0.00%">
                  <c:v>0</c:v>
                </c:pt>
                <c:pt idx="219" formatCode="0.00%">
                  <c:v>0</c:v>
                </c:pt>
                <c:pt idx="220" formatCode="0.00%">
                  <c:v>0</c:v>
                </c:pt>
                <c:pt idx="221" formatCode="0.00%">
                  <c:v>0</c:v>
                </c:pt>
                <c:pt idx="222" formatCode="0.00%">
                  <c:v>0</c:v>
                </c:pt>
                <c:pt idx="223" formatCode="0.00%">
                  <c:v>0</c:v>
                </c:pt>
                <c:pt idx="224" formatCode="0.00%">
                  <c:v>0</c:v>
                </c:pt>
                <c:pt idx="225" formatCode="0.00%">
                  <c:v>0</c:v>
                </c:pt>
                <c:pt idx="226" formatCode="0.00%">
                  <c:v>0</c:v>
                </c:pt>
                <c:pt idx="227" formatCode="0.00%">
                  <c:v>0</c:v>
                </c:pt>
                <c:pt idx="228" formatCode="0.00%">
                  <c:v>0</c:v>
                </c:pt>
                <c:pt idx="229" formatCode="0.00%">
                  <c:v>0</c:v>
                </c:pt>
                <c:pt idx="230" formatCode="0.00%">
                  <c:v>0</c:v>
                </c:pt>
                <c:pt idx="231" formatCode="0.00%">
                  <c:v>0</c:v>
                </c:pt>
                <c:pt idx="232" formatCode="0.00%">
                  <c:v>0</c:v>
                </c:pt>
                <c:pt idx="233" formatCode="0.00%">
                  <c:v>0</c:v>
                </c:pt>
                <c:pt idx="234" formatCode="0.00%">
                  <c:v>0</c:v>
                </c:pt>
                <c:pt idx="235" formatCode="0.00%">
                  <c:v>0</c:v>
                </c:pt>
                <c:pt idx="236" formatCode="0.00%">
                  <c:v>0</c:v>
                </c:pt>
                <c:pt idx="237" formatCode="0.00%">
                  <c:v>0</c:v>
                </c:pt>
                <c:pt idx="238" formatCode="0.00%">
                  <c:v>0</c:v>
                </c:pt>
                <c:pt idx="239" formatCode="0.00%">
                  <c:v>0</c:v>
                </c:pt>
                <c:pt idx="240" formatCode="0.00%">
                  <c:v>0</c:v>
                </c:pt>
                <c:pt idx="241" formatCode="0.00%">
                  <c:v>0</c:v>
                </c:pt>
                <c:pt idx="242" formatCode="0.00%">
                  <c:v>0</c:v>
                </c:pt>
                <c:pt idx="243" formatCode="0.00%">
                  <c:v>0</c:v>
                </c:pt>
                <c:pt idx="244" formatCode="0.00%">
                  <c:v>0</c:v>
                </c:pt>
                <c:pt idx="245" formatCode="0.00%">
                  <c:v>0</c:v>
                </c:pt>
                <c:pt idx="246" formatCode="0.00%">
                  <c:v>0</c:v>
                </c:pt>
                <c:pt idx="247" formatCode="0.00%">
                  <c:v>0</c:v>
                </c:pt>
                <c:pt idx="248" formatCode="0.00%">
                  <c:v>0</c:v>
                </c:pt>
                <c:pt idx="249" formatCode="0.00%">
                  <c:v>0</c:v>
                </c:pt>
                <c:pt idx="250" formatCode="0.00%">
                  <c:v>0</c:v>
                </c:pt>
                <c:pt idx="251" formatCode="0.00%">
                  <c:v>0</c:v>
                </c:pt>
                <c:pt idx="252" formatCode="0.00%">
                  <c:v>0</c:v>
                </c:pt>
                <c:pt idx="253" formatCode="0.00%">
                  <c:v>0</c:v>
                </c:pt>
                <c:pt idx="254" formatCode="0.00%">
                  <c:v>0</c:v>
                </c:pt>
                <c:pt idx="255" formatCode="0.00%">
                  <c:v>0</c:v>
                </c:pt>
                <c:pt idx="256" formatCode="0.00%">
                  <c:v>0</c:v>
                </c:pt>
                <c:pt idx="257" formatCode="0.00%">
                  <c:v>0</c:v>
                </c:pt>
                <c:pt idx="258" formatCode="0.00%">
                  <c:v>0</c:v>
                </c:pt>
                <c:pt idx="259" formatCode="0.00%">
                  <c:v>0</c:v>
                </c:pt>
                <c:pt idx="260" formatCode="0.00%">
                  <c:v>0</c:v>
                </c:pt>
                <c:pt idx="261" formatCode="0.00%">
                  <c:v>0</c:v>
                </c:pt>
                <c:pt idx="262" formatCode="0.00%">
                  <c:v>0</c:v>
                </c:pt>
                <c:pt idx="263" formatCode="0.00%">
                  <c:v>0</c:v>
                </c:pt>
                <c:pt idx="264" formatCode="0.00%">
                  <c:v>0</c:v>
                </c:pt>
                <c:pt idx="265" formatCode="0.00%">
                  <c:v>0</c:v>
                </c:pt>
                <c:pt idx="266" formatCode="0.00%">
                  <c:v>0</c:v>
                </c:pt>
                <c:pt idx="267" formatCode="0.00%">
                  <c:v>0</c:v>
                </c:pt>
                <c:pt idx="268" formatCode="0.00%">
                  <c:v>0</c:v>
                </c:pt>
                <c:pt idx="269" formatCode="0.00%">
                  <c:v>0</c:v>
                </c:pt>
                <c:pt idx="270" formatCode="0.00%">
                  <c:v>0</c:v>
                </c:pt>
                <c:pt idx="271" formatCode="0.00%">
                  <c:v>0</c:v>
                </c:pt>
                <c:pt idx="272" formatCode="0.00%">
                  <c:v>0</c:v>
                </c:pt>
                <c:pt idx="273" formatCode="0.00%">
                  <c:v>0</c:v>
                </c:pt>
                <c:pt idx="274" formatCode="0.00%">
                  <c:v>0</c:v>
                </c:pt>
                <c:pt idx="275" formatCode="0.00%">
                  <c:v>0</c:v>
                </c:pt>
                <c:pt idx="276" formatCode="0.00%">
                  <c:v>0</c:v>
                </c:pt>
                <c:pt idx="277" formatCode="0.00%">
                  <c:v>0</c:v>
                </c:pt>
                <c:pt idx="278" formatCode="0.00%">
                  <c:v>0</c:v>
                </c:pt>
                <c:pt idx="279" formatCode="0.00%">
                  <c:v>0</c:v>
                </c:pt>
                <c:pt idx="280" formatCode="0.00%">
                  <c:v>0</c:v>
                </c:pt>
                <c:pt idx="281" formatCode="0.00%">
                  <c:v>0</c:v>
                </c:pt>
                <c:pt idx="282" formatCode="0.00%">
                  <c:v>0</c:v>
                </c:pt>
                <c:pt idx="283" formatCode="0.00%">
                  <c:v>0</c:v>
                </c:pt>
                <c:pt idx="284" formatCode="0.00%">
                  <c:v>0</c:v>
                </c:pt>
                <c:pt idx="285" formatCode="0.00%">
                  <c:v>0</c:v>
                </c:pt>
                <c:pt idx="286" formatCode="0.00%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1F-D04E-8115-D581284AC373}"/>
            </c:ext>
          </c:extLst>
        </c:ser>
        <c:ser>
          <c:idx val="1"/>
          <c:order val="1"/>
          <c:tx>
            <c:strRef>
              <c:f>'Total Returns'!$A$54</c:f>
              <c:strCache>
                <c:ptCount val="1"/>
                <c:pt idx="0">
                  <c:v>Russell 2000</c:v>
                </c:pt>
              </c:strCache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'Total Returns'!$B$52:$KB$52</c:f>
              <c:strCache>
                <c:ptCount val="82"/>
                <c:pt idx="2">
                  <c:v>1/10/2022</c:v>
                </c:pt>
                <c:pt idx="3">
                  <c:v>1/11/2022</c:v>
                </c:pt>
                <c:pt idx="4">
                  <c:v>1/12/2022</c:v>
                </c:pt>
                <c:pt idx="5">
                  <c:v>1/13/2022</c:v>
                </c:pt>
                <c:pt idx="6">
                  <c:v>1/14/2022</c:v>
                </c:pt>
                <c:pt idx="7">
                  <c:v>1/18/2022</c:v>
                </c:pt>
                <c:pt idx="8">
                  <c:v>1/19/2022</c:v>
                </c:pt>
                <c:pt idx="9">
                  <c:v>1/20/2022</c:v>
                </c:pt>
                <c:pt idx="10">
                  <c:v>1/21/2022</c:v>
                </c:pt>
                <c:pt idx="11">
                  <c:v>1/24/2022</c:v>
                </c:pt>
                <c:pt idx="12">
                  <c:v>1/25/2022</c:v>
                </c:pt>
                <c:pt idx="13">
                  <c:v>1/26/2022</c:v>
                </c:pt>
                <c:pt idx="14">
                  <c:v>1/27/2022</c:v>
                </c:pt>
                <c:pt idx="15">
                  <c:v>1/28/2022</c:v>
                </c:pt>
                <c:pt idx="16">
                  <c:v>1/31/2022</c:v>
                </c:pt>
                <c:pt idx="17">
                  <c:v>2/1/2022</c:v>
                </c:pt>
                <c:pt idx="18">
                  <c:v>2/2/2022</c:v>
                </c:pt>
                <c:pt idx="19">
                  <c:v>2/3/2022</c:v>
                </c:pt>
                <c:pt idx="20">
                  <c:v>2/4/2022</c:v>
                </c:pt>
                <c:pt idx="21">
                  <c:v>2/7/2022</c:v>
                </c:pt>
                <c:pt idx="22">
                  <c:v>2/8/2022</c:v>
                </c:pt>
                <c:pt idx="23">
                  <c:v>2/9/2022</c:v>
                </c:pt>
                <c:pt idx="24">
                  <c:v>2/10/2022</c:v>
                </c:pt>
                <c:pt idx="25">
                  <c:v>2/11/2022</c:v>
                </c:pt>
                <c:pt idx="26">
                  <c:v>2/14/2022</c:v>
                </c:pt>
                <c:pt idx="27">
                  <c:v>2/15/2022</c:v>
                </c:pt>
                <c:pt idx="28">
                  <c:v>2/16/2022</c:v>
                </c:pt>
                <c:pt idx="29">
                  <c:v>2/17/2022</c:v>
                </c:pt>
                <c:pt idx="30">
                  <c:v>2/18/2022</c:v>
                </c:pt>
                <c:pt idx="31">
                  <c:v>2/22/2022</c:v>
                </c:pt>
                <c:pt idx="32">
                  <c:v>2/23/2022</c:v>
                </c:pt>
                <c:pt idx="33">
                  <c:v>2/24/2022</c:v>
                </c:pt>
                <c:pt idx="34">
                  <c:v>2/25/2022</c:v>
                </c:pt>
                <c:pt idx="35">
                  <c:v>2/28/2022</c:v>
                </c:pt>
                <c:pt idx="36">
                  <c:v>3/1/2022</c:v>
                </c:pt>
                <c:pt idx="37">
                  <c:v>3/2/2022</c:v>
                </c:pt>
                <c:pt idx="38">
                  <c:v>3/3/2022</c:v>
                </c:pt>
                <c:pt idx="39">
                  <c:v>3/4/2022</c:v>
                </c:pt>
                <c:pt idx="40">
                  <c:v>3/7/2022</c:v>
                </c:pt>
                <c:pt idx="41">
                  <c:v>3/8/2022</c:v>
                </c:pt>
                <c:pt idx="42">
                  <c:v>3/9/2022</c:v>
                </c:pt>
                <c:pt idx="43">
                  <c:v>3/10/2022</c:v>
                </c:pt>
                <c:pt idx="44">
                  <c:v>3/11/2022</c:v>
                </c:pt>
                <c:pt idx="45">
                  <c:v>3/14/2022</c:v>
                </c:pt>
                <c:pt idx="46">
                  <c:v>3/15/2022</c:v>
                </c:pt>
                <c:pt idx="47">
                  <c:v>3/16/2022</c:v>
                </c:pt>
                <c:pt idx="48">
                  <c:v>3/17/2022</c:v>
                </c:pt>
                <c:pt idx="49">
                  <c:v>3/18/2022</c:v>
                </c:pt>
                <c:pt idx="50">
                  <c:v>3/21/2022</c:v>
                </c:pt>
                <c:pt idx="51">
                  <c:v>3/22/2022</c:v>
                </c:pt>
                <c:pt idx="52">
                  <c:v>3/23/2022</c:v>
                </c:pt>
                <c:pt idx="53">
                  <c:v>3/24/2022</c:v>
                </c:pt>
                <c:pt idx="54">
                  <c:v>3/25/2022</c:v>
                </c:pt>
                <c:pt idx="55">
                  <c:v>3/28/2022</c:v>
                </c:pt>
                <c:pt idx="56">
                  <c:v>3/29/2022</c:v>
                </c:pt>
                <c:pt idx="57">
                  <c:v>3/30/2022</c:v>
                </c:pt>
                <c:pt idx="58">
                  <c:v>3/31/2022</c:v>
                </c:pt>
                <c:pt idx="59">
                  <c:v>4/1/2022</c:v>
                </c:pt>
                <c:pt idx="60">
                  <c:v>4/4/2022</c:v>
                </c:pt>
                <c:pt idx="61">
                  <c:v>4/5/2022</c:v>
                </c:pt>
                <c:pt idx="62">
                  <c:v>4/6/2022</c:v>
                </c:pt>
                <c:pt idx="63">
                  <c:v>4/7/2022</c:v>
                </c:pt>
                <c:pt idx="64">
                  <c:v>4/8/2022</c:v>
                </c:pt>
                <c:pt idx="65">
                  <c:v>4/11/2022</c:v>
                </c:pt>
                <c:pt idx="66">
                  <c:v>4/12/2022</c:v>
                </c:pt>
                <c:pt idx="67">
                  <c:v>4/13/2022</c:v>
                </c:pt>
                <c:pt idx="68">
                  <c:v>4/14/2022</c:v>
                </c:pt>
                <c:pt idx="69">
                  <c:v>4/18/2022</c:v>
                </c:pt>
                <c:pt idx="70">
                  <c:v>4/19/2022</c:v>
                </c:pt>
                <c:pt idx="71">
                  <c:v>4/20/2022</c:v>
                </c:pt>
                <c:pt idx="72">
                  <c:v>4/21/2022</c:v>
                </c:pt>
                <c:pt idx="73">
                  <c:v>4/22/2022</c:v>
                </c:pt>
                <c:pt idx="74">
                  <c:v>4/25/2022</c:v>
                </c:pt>
                <c:pt idx="75">
                  <c:v>4/26/2022</c:v>
                </c:pt>
                <c:pt idx="76">
                  <c:v>4/27/2022</c:v>
                </c:pt>
                <c:pt idx="77">
                  <c:v>4/28/2022</c:v>
                </c:pt>
                <c:pt idx="78">
                  <c:v>4/29/2022</c:v>
                </c:pt>
                <c:pt idx="79">
                  <c:v>5/2/2022</c:v>
                </c:pt>
                <c:pt idx="80">
                  <c:v>5/3/2022</c:v>
                </c:pt>
                <c:pt idx="81">
                  <c:v>5/4/2022</c:v>
                </c:pt>
              </c:strCache>
            </c:strRef>
          </c:cat>
          <c:val>
            <c:numRef>
              <c:f>'Total Returns'!$B$54:$KB$54</c:f>
              <c:numCache>
                <c:formatCode>General</c:formatCode>
                <c:ptCount val="287"/>
                <c:pt idx="2" formatCode="0.00%">
                  <c:v>0</c:v>
                </c:pt>
                <c:pt idx="3" formatCode="0.00%">
                  <c:v>2.6115912747409098E-2</c:v>
                </c:pt>
                <c:pt idx="4" formatCode="0.00%">
                  <c:v>1.7725521008717715E-2</c:v>
                </c:pt>
                <c:pt idx="5" formatCode="0.00%">
                  <c:v>9.9524825083250335E-3</c:v>
                </c:pt>
                <c:pt idx="6" formatCode="0.00%">
                  <c:v>1.1364911886856177E-2</c:v>
                </c:pt>
                <c:pt idx="7" formatCode="0.00%">
                  <c:v>-1.9610319152916444E-2</c:v>
                </c:pt>
                <c:pt idx="8" formatCode="0.00%">
                  <c:v>-3.5254611441613237E-2</c:v>
                </c:pt>
                <c:pt idx="9" formatCode="0.00%">
                  <c:v>-5.3372993601975449E-2</c:v>
                </c:pt>
                <c:pt idx="10" formatCode="0.00%">
                  <c:v>-7.0266023122684818E-2</c:v>
                </c:pt>
                <c:pt idx="11" formatCode="0.00%">
                  <c:v>-4.8943951809031994E-2</c:v>
                </c:pt>
                <c:pt idx="12" formatCode="0.00%">
                  <c:v>-6.2731507464361846E-2</c:v>
                </c:pt>
                <c:pt idx="13" formatCode="0.00%">
                  <c:v>-7.5625771691547827E-2</c:v>
                </c:pt>
                <c:pt idx="14" formatCode="0.00%">
                  <c:v>-9.6751412429378458E-2</c:v>
                </c:pt>
                <c:pt idx="15" formatCode="0.00%">
                  <c:v>-7.9343921876753765E-2</c:v>
                </c:pt>
                <c:pt idx="16" formatCode="0.00%">
                  <c:v>-5.1310472555842312E-2</c:v>
                </c:pt>
                <c:pt idx="17" formatCode="0.00%">
                  <c:v>-4.0885621281849804E-2</c:v>
                </c:pt>
                <c:pt idx="18" formatCode="0.00%">
                  <c:v>-5.0810042279342937E-2</c:v>
                </c:pt>
                <c:pt idx="19" formatCode="0.00%">
                  <c:v>-6.8811501477906156E-2</c:v>
                </c:pt>
                <c:pt idx="20" formatCode="0.00%">
                  <c:v>-6.3512552849178672E-2</c:v>
                </c:pt>
                <c:pt idx="21" formatCode="0.00%">
                  <c:v>-5.8723388333894566E-2</c:v>
                </c:pt>
                <c:pt idx="22" formatCode="0.00%">
                  <c:v>-4.3397126501290795E-2</c:v>
                </c:pt>
                <c:pt idx="23" formatCode="0.00%">
                  <c:v>-2.5564036367717979E-2</c:v>
                </c:pt>
                <c:pt idx="24" formatCode="0.00%">
                  <c:v>-4.0689190706027611E-2</c:v>
                </c:pt>
                <c:pt idx="25" formatCode="0.00%">
                  <c:v>-5.0515396415609537E-2</c:v>
                </c:pt>
                <c:pt idx="26" formatCode="0.00%">
                  <c:v>-5.4892992105361582E-2</c:v>
                </c:pt>
                <c:pt idx="27" formatCode="0.00%">
                  <c:v>-2.8856586971975795E-2</c:v>
                </c:pt>
                <c:pt idx="28" formatCode="0.00%">
                  <c:v>-2.7523665207468073E-2</c:v>
                </c:pt>
                <c:pt idx="29" formatCode="0.00%">
                  <c:v>-5.1478841620832827E-2</c:v>
                </c:pt>
                <c:pt idx="30" formatCode="0.00%">
                  <c:v>-6.0252740674224592E-2</c:v>
                </c:pt>
                <c:pt idx="31" formatCode="0.00%">
                  <c:v>-7.3890634938451605E-2</c:v>
                </c:pt>
                <c:pt idx="32" formatCode="0.00%">
                  <c:v>-9.0764956785273299E-2</c:v>
                </c:pt>
                <c:pt idx="33" formatCode="0.00%">
                  <c:v>-6.6487072997343466E-2</c:v>
                </c:pt>
                <c:pt idx="34" formatCode="0.00%">
                  <c:v>-4.5473678302839771E-2</c:v>
                </c:pt>
                <c:pt idx="35" formatCode="0.00%">
                  <c:v>-4.2125004676918376E-2</c:v>
                </c:pt>
                <c:pt idx="36" formatCode="0.00%">
                  <c:v>-6.0636247988924974E-2</c:v>
                </c:pt>
                <c:pt idx="37" formatCode="0.00%">
                  <c:v>-3.708328656414861E-2</c:v>
                </c:pt>
                <c:pt idx="38" formatCode="0.00%">
                  <c:v>-4.9458412840947208E-2</c:v>
                </c:pt>
                <c:pt idx="39" formatCode="0.00%">
                  <c:v>-6.4195382946084401E-2</c:v>
                </c:pt>
                <c:pt idx="40" formatCode="0.00%">
                  <c:v>-8.7378867811576333E-2</c:v>
                </c:pt>
                <c:pt idx="41" formatCode="0.00%">
                  <c:v>-8.191622703633028E-2</c:v>
                </c:pt>
                <c:pt idx="42" formatCode="0.00%">
                  <c:v>-5.6997605417742347E-2</c:v>
                </c:pt>
                <c:pt idx="43" formatCode="0.00%">
                  <c:v>-5.915834175178647E-2</c:v>
                </c:pt>
                <c:pt idx="44" formatCode="0.00%">
                  <c:v>-7.412448086204948E-2</c:v>
                </c:pt>
                <c:pt idx="45" formatCode="0.00%">
                  <c:v>-9.1873386463127149E-2</c:v>
                </c:pt>
                <c:pt idx="46" formatCode="0.00%">
                  <c:v>-7.9128783627043786E-2</c:v>
                </c:pt>
                <c:pt idx="47" formatCode="0.00%">
                  <c:v>-5.0248812062708037E-2</c:v>
                </c:pt>
                <c:pt idx="48" formatCode="0.00%">
                  <c:v>-3.4206981703894912E-2</c:v>
                </c:pt>
                <c:pt idx="49" formatCode="0.00%">
                  <c:v>-2.4329329891121354E-2</c:v>
                </c:pt>
                <c:pt idx="50" formatCode="0.00%">
                  <c:v>-3.3776705204474733E-2</c:v>
                </c:pt>
                <c:pt idx="51" formatCode="0.00%">
                  <c:v>-2.3300407827290592E-2</c:v>
                </c:pt>
                <c:pt idx="52" formatCode="0.00%">
                  <c:v>-4.0198114266472018E-2</c:v>
                </c:pt>
                <c:pt idx="53" formatCode="0.00%">
                  <c:v>-2.9333632656115438E-2</c:v>
                </c:pt>
                <c:pt idx="54" formatCode="0.00%">
                  <c:v>-2.8145695364238388E-2</c:v>
                </c:pt>
                <c:pt idx="55" formatCode="0.00%">
                  <c:v>-2.8108280016462706E-2</c:v>
                </c:pt>
                <c:pt idx="56" formatCode="0.00%">
                  <c:v>-2.3665207468103189E-3</c:v>
                </c:pt>
                <c:pt idx="57" formatCode="0.00%">
                  <c:v>-2.2023609084446338E-2</c:v>
                </c:pt>
                <c:pt idx="58" formatCode="0.00%">
                  <c:v>-3.1817076364724639E-2</c:v>
                </c:pt>
                <c:pt idx="59" formatCode="0.00%">
                  <c:v>-2.2004901410558442E-2</c:v>
                </c:pt>
                <c:pt idx="60" formatCode="0.00%">
                  <c:v>-1.9979795712201098E-2</c:v>
                </c:pt>
                <c:pt idx="61" formatCode="0.00%">
                  <c:v>-4.3083772963669609E-2</c:v>
                </c:pt>
                <c:pt idx="62" formatCode="0.00%">
                  <c:v>-5.6693605717065054E-2</c:v>
                </c:pt>
                <c:pt idx="63" formatCode="0.00%">
                  <c:v>-6.0032925506042556E-2</c:v>
                </c:pt>
                <c:pt idx="64" formatCode="0.00%">
                  <c:v>-6.7160549257305302E-2</c:v>
                </c:pt>
                <c:pt idx="65" formatCode="0.00%">
                  <c:v>-7.3820481161372409E-2</c:v>
                </c:pt>
                <c:pt idx="66" formatCode="0.00%">
                  <c:v>-7.0724361132936675E-2</c:v>
                </c:pt>
                <c:pt idx="67" formatCode="0.00%">
                  <c:v>-5.287724024394802E-2</c:v>
                </c:pt>
                <c:pt idx="68" formatCode="0.00%">
                  <c:v>-6.2287200209525828E-2</c:v>
                </c:pt>
                <c:pt idx="69" formatCode="0.00%">
                  <c:v>-6.923242414038222E-2</c:v>
                </c:pt>
                <c:pt idx="70" formatCode="0.00%">
                  <c:v>-5.0225427470348305E-2</c:v>
                </c:pt>
                <c:pt idx="71" formatCode="0.00%">
                  <c:v>-4.6755153964155971E-2</c:v>
                </c:pt>
                <c:pt idx="72" formatCode="0.00%">
                  <c:v>-6.8610393983612017E-2</c:v>
                </c:pt>
                <c:pt idx="73" formatCode="0.00%">
                  <c:v>-9.2369139821154578E-2</c:v>
                </c:pt>
                <c:pt idx="74" formatCode="0.00%">
                  <c:v>-8.6036592210124496E-2</c:v>
                </c:pt>
                <c:pt idx="75" formatCode="0.00%">
                  <c:v>-0.11584259363190774</c:v>
                </c:pt>
                <c:pt idx="76" formatCode="0.00%">
                  <c:v>-0.11884985220937627</c:v>
                </c:pt>
                <c:pt idx="77" formatCode="0.00%">
                  <c:v>-0.10299509858944134</c:v>
                </c:pt>
                <c:pt idx="78" formatCode="0.00%">
                  <c:v>-0.12817562764245893</c:v>
                </c:pt>
                <c:pt idx="79" formatCode="0.00%">
                  <c:v>-0.11937834399670733</c:v>
                </c:pt>
                <c:pt idx="80" formatCode="0.00%">
                  <c:v>-0.11191865903393572</c:v>
                </c:pt>
                <c:pt idx="81" formatCode="0.00%">
                  <c:v>-8.8038313316122219E-2</c:v>
                </c:pt>
                <c:pt idx="82" formatCode="0.00%">
                  <c:v>0</c:v>
                </c:pt>
                <c:pt idx="83" formatCode="0.00%">
                  <c:v>0</c:v>
                </c:pt>
                <c:pt idx="84" formatCode="0.00%">
                  <c:v>0</c:v>
                </c:pt>
                <c:pt idx="85" formatCode="0.00%">
                  <c:v>0</c:v>
                </c:pt>
                <c:pt idx="86" formatCode="0.00%">
                  <c:v>0</c:v>
                </c:pt>
                <c:pt idx="87" formatCode="0.00%">
                  <c:v>0</c:v>
                </c:pt>
                <c:pt idx="88" formatCode="0.00%">
                  <c:v>0</c:v>
                </c:pt>
                <c:pt idx="89" formatCode="0.00%">
                  <c:v>0</c:v>
                </c:pt>
                <c:pt idx="90" formatCode="0.00%">
                  <c:v>0</c:v>
                </c:pt>
                <c:pt idx="91" formatCode="0.00%">
                  <c:v>0</c:v>
                </c:pt>
                <c:pt idx="92" formatCode="0.00%">
                  <c:v>0</c:v>
                </c:pt>
                <c:pt idx="93" formatCode="0.00%">
                  <c:v>0</c:v>
                </c:pt>
                <c:pt idx="94" formatCode="0.00%">
                  <c:v>0</c:v>
                </c:pt>
                <c:pt idx="95" formatCode="0.00%">
                  <c:v>0</c:v>
                </c:pt>
                <c:pt idx="96" formatCode="0.00%">
                  <c:v>0</c:v>
                </c:pt>
                <c:pt idx="97" formatCode="0.00%">
                  <c:v>0</c:v>
                </c:pt>
                <c:pt idx="98" formatCode="0.00%">
                  <c:v>0</c:v>
                </c:pt>
                <c:pt idx="99" formatCode="0.00%">
                  <c:v>0</c:v>
                </c:pt>
                <c:pt idx="100" formatCode="0.00%">
                  <c:v>0</c:v>
                </c:pt>
                <c:pt idx="101" formatCode="0.00%">
                  <c:v>0</c:v>
                </c:pt>
                <c:pt idx="102" formatCode="0.00%">
                  <c:v>0</c:v>
                </c:pt>
                <c:pt idx="103" formatCode="0.00%">
                  <c:v>0</c:v>
                </c:pt>
                <c:pt idx="104" formatCode="0.00%">
                  <c:v>0</c:v>
                </c:pt>
                <c:pt idx="105" formatCode="0.00%">
                  <c:v>0</c:v>
                </c:pt>
                <c:pt idx="106" formatCode="0.00%">
                  <c:v>0</c:v>
                </c:pt>
                <c:pt idx="107" formatCode="0.00%">
                  <c:v>0</c:v>
                </c:pt>
                <c:pt idx="108" formatCode="0.00%">
                  <c:v>0</c:v>
                </c:pt>
                <c:pt idx="109" formatCode="0.00%">
                  <c:v>0</c:v>
                </c:pt>
                <c:pt idx="110" formatCode="0.00%">
                  <c:v>0</c:v>
                </c:pt>
                <c:pt idx="111" formatCode="0.00%">
                  <c:v>0</c:v>
                </c:pt>
                <c:pt idx="112" formatCode="0.00%">
                  <c:v>0</c:v>
                </c:pt>
                <c:pt idx="113" formatCode="0.00%">
                  <c:v>0</c:v>
                </c:pt>
                <c:pt idx="114" formatCode="0.00%">
                  <c:v>0</c:v>
                </c:pt>
                <c:pt idx="115" formatCode="0.00%">
                  <c:v>0</c:v>
                </c:pt>
                <c:pt idx="116" formatCode="0.00%">
                  <c:v>0</c:v>
                </c:pt>
                <c:pt idx="117" formatCode="0.00%">
                  <c:v>0</c:v>
                </c:pt>
                <c:pt idx="118" formatCode="0.00%">
                  <c:v>0</c:v>
                </c:pt>
                <c:pt idx="119" formatCode="0.00%">
                  <c:v>0</c:v>
                </c:pt>
                <c:pt idx="120" formatCode="0.00%">
                  <c:v>0</c:v>
                </c:pt>
                <c:pt idx="121" formatCode="0.00%">
                  <c:v>0</c:v>
                </c:pt>
                <c:pt idx="122" formatCode="0.00%">
                  <c:v>0</c:v>
                </c:pt>
                <c:pt idx="123" formatCode="0.00%">
                  <c:v>0</c:v>
                </c:pt>
                <c:pt idx="124" formatCode="0.00%">
                  <c:v>0</c:v>
                </c:pt>
                <c:pt idx="125" formatCode="0.00%">
                  <c:v>0</c:v>
                </c:pt>
                <c:pt idx="126" formatCode="0.00%">
                  <c:v>0</c:v>
                </c:pt>
                <c:pt idx="127" formatCode="0.00%">
                  <c:v>0</c:v>
                </c:pt>
                <c:pt idx="128" formatCode="0.00%">
                  <c:v>0</c:v>
                </c:pt>
                <c:pt idx="129" formatCode="0.00%">
                  <c:v>0</c:v>
                </c:pt>
                <c:pt idx="130" formatCode="0.00%">
                  <c:v>0</c:v>
                </c:pt>
                <c:pt idx="131" formatCode="0.00%">
                  <c:v>0</c:v>
                </c:pt>
                <c:pt idx="132" formatCode="0.00%">
                  <c:v>0</c:v>
                </c:pt>
                <c:pt idx="133" formatCode="0.00%">
                  <c:v>0</c:v>
                </c:pt>
                <c:pt idx="134" formatCode="0.00%">
                  <c:v>0</c:v>
                </c:pt>
                <c:pt idx="135" formatCode="0.00%">
                  <c:v>0</c:v>
                </c:pt>
                <c:pt idx="136" formatCode="0.00%">
                  <c:v>0</c:v>
                </c:pt>
                <c:pt idx="137" formatCode="0.00%">
                  <c:v>0</c:v>
                </c:pt>
                <c:pt idx="138" formatCode="0.00%">
                  <c:v>0</c:v>
                </c:pt>
                <c:pt idx="139" formatCode="0.00%">
                  <c:v>0</c:v>
                </c:pt>
                <c:pt idx="140" formatCode="0.00%">
                  <c:v>0</c:v>
                </c:pt>
                <c:pt idx="141" formatCode="0.00%">
                  <c:v>0</c:v>
                </c:pt>
                <c:pt idx="142" formatCode="0.00%">
                  <c:v>0</c:v>
                </c:pt>
                <c:pt idx="143" formatCode="0.00%">
                  <c:v>0</c:v>
                </c:pt>
                <c:pt idx="144" formatCode="0.00%">
                  <c:v>0</c:v>
                </c:pt>
                <c:pt idx="145" formatCode="0.00%">
                  <c:v>0</c:v>
                </c:pt>
                <c:pt idx="146" formatCode="0.00%">
                  <c:v>0</c:v>
                </c:pt>
                <c:pt idx="147" formatCode="0.00%">
                  <c:v>0</c:v>
                </c:pt>
                <c:pt idx="148" formatCode="0.00%">
                  <c:v>0</c:v>
                </c:pt>
                <c:pt idx="149" formatCode="0.00%">
                  <c:v>0</c:v>
                </c:pt>
                <c:pt idx="150" formatCode="0.00%">
                  <c:v>0</c:v>
                </c:pt>
                <c:pt idx="151" formatCode="0.00%">
                  <c:v>0</c:v>
                </c:pt>
                <c:pt idx="152" formatCode="0.00%">
                  <c:v>0</c:v>
                </c:pt>
                <c:pt idx="153" formatCode="0.00%">
                  <c:v>0</c:v>
                </c:pt>
                <c:pt idx="154" formatCode="0.00%">
                  <c:v>0</c:v>
                </c:pt>
                <c:pt idx="155" formatCode="0.00%">
                  <c:v>0</c:v>
                </c:pt>
                <c:pt idx="156" formatCode="0.00%">
                  <c:v>0</c:v>
                </c:pt>
                <c:pt idx="157" formatCode="0.00%">
                  <c:v>0</c:v>
                </c:pt>
                <c:pt idx="158" formatCode="0.00%">
                  <c:v>0</c:v>
                </c:pt>
                <c:pt idx="159" formatCode="0.00%">
                  <c:v>0</c:v>
                </c:pt>
                <c:pt idx="160" formatCode="0.00%">
                  <c:v>0</c:v>
                </c:pt>
                <c:pt idx="161" formatCode="0.00%">
                  <c:v>0</c:v>
                </c:pt>
                <c:pt idx="162" formatCode="0.00%">
                  <c:v>0</c:v>
                </c:pt>
                <c:pt idx="163" formatCode="0.00%">
                  <c:v>0</c:v>
                </c:pt>
                <c:pt idx="164" formatCode="0.00%">
                  <c:v>0</c:v>
                </c:pt>
                <c:pt idx="165" formatCode="0.00%">
                  <c:v>0</c:v>
                </c:pt>
                <c:pt idx="166" formatCode="0.00%">
                  <c:v>0</c:v>
                </c:pt>
                <c:pt idx="167" formatCode="0.00%">
                  <c:v>0</c:v>
                </c:pt>
                <c:pt idx="168" formatCode="0.00%">
                  <c:v>0</c:v>
                </c:pt>
                <c:pt idx="169" formatCode="0.00%">
                  <c:v>0</c:v>
                </c:pt>
                <c:pt idx="170" formatCode="0.00%">
                  <c:v>0</c:v>
                </c:pt>
                <c:pt idx="171" formatCode="0.00%">
                  <c:v>0</c:v>
                </c:pt>
                <c:pt idx="172" formatCode="0.00%">
                  <c:v>0</c:v>
                </c:pt>
                <c:pt idx="173" formatCode="0.00%">
                  <c:v>0</c:v>
                </c:pt>
                <c:pt idx="174" formatCode="0.00%">
                  <c:v>0</c:v>
                </c:pt>
                <c:pt idx="175" formatCode="0.00%">
                  <c:v>0</c:v>
                </c:pt>
                <c:pt idx="176" formatCode="0.00%">
                  <c:v>0</c:v>
                </c:pt>
                <c:pt idx="177" formatCode="0.00%">
                  <c:v>0</c:v>
                </c:pt>
                <c:pt idx="178" formatCode="0.00%">
                  <c:v>0</c:v>
                </c:pt>
                <c:pt idx="179" formatCode="0.00%">
                  <c:v>0</c:v>
                </c:pt>
                <c:pt idx="180" formatCode="0.00%">
                  <c:v>0</c:v>
                </c:pt>
                <c:pt idx="181" formatCode="0.00%">
                  <c:v>0</c:v>
                </c:pt>
                <c:pt idx="182" formatCode="0.00%">
                  <c:v>0</c:v>
                </c:pt>
                <c:pt idx="183" formatCode="0.00%">
                  <c:v>0</c:v>
                </c:pt>
                <c:pt idx="184" formatCode="0.00%">
                  <c:v>0</c:v>
                </c:pt>
                <c:pt idx="185" formatCode="0.00%">
                  <c:v>0</c:v>
                </c:pt>
                <c:pt idx="186" formatCode="0.00%">
                  <c:v>0</c:v>
                </c:pt>
                <c:pt idx="187" formatCode="0.00%">
                  <c:v>0</c:v>
                </c:pt>
                <c:pt idx="188" formatCode="0.00%">
                  <c:v>0</c:v>
                </c:pt>
                <c:pt idx="189" formatCode="0.00%">
                  <c:v>0</c:v>
                </c:pt>
                <c:pt idx="190" formatCode="0.00%">
                  <c:v>0</c:v>
                </c:pt>
                <c:pt idx="191" formatCode="0.00%">
                  <c:v>0</c:v>
                </c:pt>
                <c:pt idx="192" formatCode="0.00%">
                  <c:v>0</c:v>
                </c:pt>
                <c:pt idx="193" formatCode="0.00%">
                  <c:v>0</c:v>
                </c:pt>
                <c:pt idx="194" formatCode="0.00%">
                  <c:v>0</c:v>
                </c:pt>
                <c:pt idx="195" formatCode="0.00%">
                  <c:v>0</c:v>
                </c:pt>
                <c:pt idx="196" formatCode="0.00%">
                  <c:v>0</c:v>
                </c:pt>
                <c:pt idx="197" formatCode="0.00%">
                  <c:v>0</c:v>
                </c:pt>
                <c:pt idx="198" formatCode="0.00%">
                  <c:v>0</c:v>
                </c:pt>
                <c:pt idx="199" formatCode="0.00%">
                  <c:v>0</c:v>
                </c:pt>
                <c:pt idx="200" formatCode="0.00%">
                  <c:v>0</c:v>
                </c:pt>
                <c:pt idx="201" formatCode="0.00%">
                  <c:v>0</c:v>
                </c:pt>
                <c:pt idx="202" formatCode="0.00%">
                  <c:v>0</c:v>
                </c:pt>
                <c:pt idx="203" formatCode="0.00%">
                  <c:v>0</c:v>
                </c:pt>
                <c:pt idx="204" formatCode="0.00%">
                  <c:v>0</c:v>
                </c:pt>
                <c:pt idx="205" formatCode="0.00%">
                  <c:v>0</c:v>
                </c:pt>
                <c:pt idx="206" formatCode="0.00%">
                  <c:v>0</c:v>
                </c:pt>
                <c:pt idx="207" formatCode="0.00%">
                  <c:v>0</c:v>
                </c:pt>
                <c:pt idx="208" formatCode="0.00%">
                  <c:v>0</c:v>
                </c:pt>
                <c:pt idx="209" formatCode="0.00%">
                  <c:v>0</c:v>
                </c:pt>
                <c:pt idx="210" formatCode="0.00%">
                  <c:v>0</c:v>
                </c:pt>
                <c:pt idx="211" formatCode="0.00%">
                  <c:v>0</c:v>
                </c:pt>
                <c:pt idx="212" formatCode="0.00%">
                  <c:v>0</c:v>
                </c:pt>
                <c:pt idx="213" formatCode="0.00%">
                  <c:v>0</c:v>
                </c:pt>
                <c:pt idx="214" formatCode="0.00%">
                  <c:v>0</c:v>
                </c:pt>
                <c:pt idx="215" formatCode="0.00%">
                  <c:v>0</c:v>
                </c:pt>
                <c:pt idx="216" formatCode="0.00%">
                  <c:v>0</c:v>
                </c:pt>
                <c:pt idx="217" formatCode="0.00%">
                  <c:v>0</c:v>
                </c:pt>
                <c:pt idx="218" formatCode="0.00%">
                  <c:v>0</c:v>
                </c:pt>
                <c:pt idx="219" formatCode="0.00%">
                  <c:v>0</c:v>
                </c:pt>
                <c:pt idx="220" formatCode="0.00%">
                  <c:v>0</c:v>
                </c:pt>
                <c:pt idx="221" formatCode="0.00%">
                  <c:v>0</c:v>
                </c:pt>
                <c:pt idx="222" formatCode="0.00%">
                  <c:v>0</c:v>
                </c:pt>
                <c:pt idx="223" formatCode="0.00%">
                  <c:v>0</c:v>
                </c:pt>
                <c:pt idx="224" formatCode="0.00%">
                  <c:v>0</c:v>
                </c:pt>
                <c:pt idx="225" formatCode="0.00%">
                  <c:v>0</c:v>
                </c:pt>
                <c:pt idx="226" formatCode="0.00%">
                  <c:v>0</c:v>
                </c:pt>
                <c:pt idx="227" formatCode="0.00%">
                  <c:v>0</c:v>
                </c:pt>
                <c:pt idx="228" formatCode="0.00%">
                  <c:v>0</c:v>
                </c:pt>
                <c:pt idx="229" formatCode="0.00%">
                  <c:v>0</c:v>
                </c:pt>
                <c:pt idx="230" formatCode="0.00%">
                  <c:v>0</c:v>
                </c:pt>
                <c:pt idx="231" formatCode="0.00%">
                  <c:v>0</c:v>
                </c:pt>
                <c:pt idx="232" formatCode="0.00%">
                  <c:v>0</c:v>
                </c:pt>
                <c:pt idx="233" formatCode="0.00%">
                  <c:v>0</c:v>
                </c:pt>
                <c:pt idx="234" formatCode="0.00%">
                  <c:v>0</c:v>
                </c:pt>
                <c:pt idx="235" formatCode="0.00%">
                  <c:v>0</c:v>
                </c:pt>
                <c:pt idx="236" formatCode="0.00%">
                  <c:v>0</c:v>
                </c:pt>
                <c:pt idx="237" formatCode="0.00%">
                  <c:v>0</c:v>
                </c:pt>
                <c:pt idx="238" formatCode="0.00%">
                  <c:v>0</c:v>
                </c:pt>
                <c:pt idx="239" formatCode="0.00%">
                  <c:v>0</c:v>
                </c:pt>
                <c:pt idx="240" formatCode="0.00%">
                  <c:v>0</c:v>
                </c:pt>
                <c:pt idx="241" formatCode="0.00%">
                  <c:v>0</c:v>
                </c:pt>
                <c:pt idx="242" formatCode="0.00%">
                  <c:v>0</c:v>
                </c:pt>
                <c:pt idx="243" formatCode="0.00%">
                  <c:v>0</c:v>
                </c:pt>
                <c:pt idx="244" formatCode="0.00%">
                  <c:v>0</c:v>
                </c:pt>
                <c:pt idx="245" formatCode="0.00%">
                  <c:v>0</c:v>
                </c:pt>
                <c:pt idx="246" formatCode="0.00%">
                  <c:v>0</c:v>
                </c:pt>
                <c:pt idx="247" formatCode="0.00%">
                  <c:v>0</c:v>
                </c:pt>
                <c:pt idx="248" formatCode="0.00%">
                  <c:v>0</c:v>
                </c:pt>
                <c:pt idx="249" formatCode="0.00%">
                  <c:v>0</c:v>
                </c:pt>
                <c:pt idx="250" formatCode="0.00%">
                  <c:v>0</c:v>
                </c:pt>
                <c:pt idx="251" formatCode="0.00%">
                  <c:v>0</c:v>
                </c:pt>
                <c:pt idx="252" formatCode="0.00%">
                  <c:v>0</c:v>
                </c:pt>
                <c:pt idx="253" formatCode="0.00%">
                  <c:v>0</c:v>
                </c:pt>
                <c:pt idx="254" formatCode="0.00%">
                  <c:v>0</c:v>
                </c:pt>
                <c:pt idx="255" formatCode="0.00%">
                  <c:v>0</c:v>
                </c:pt>
                <c:pt idx="256" formatCode="0.00%">
                  <c:v>0</c:v>
                </c:pt>
                <c:pt idx="257" formatCode="0.00%">
                  <c:v>0</c:v>
                </c:pt>
                <c:pt idx="258" formatCode="0.00%">
                  <c:v>0</c:v>
                </c:pt>
                <c:pt idx="259" formatCode="0.00%">
                  <c:v>0</c:v>
                </c:pt>
                <c:pt idx="260" formatCode="0.00%">
                  <c:v>0</c:v>
                </c:pt>
                <c:pt idx="261" formatCode="0.00%">
                  <c:v>0</c:v>
                </c:pt>
                <c:pt idx="262" formatCode="0.00%">
                  <c:v>0</c:v>
                </c:pt>
                <c:pt idx="263" formatCode="0.00%">
                  <c:v>0</c:v>
                </c:pt>
                <c:pt idx="264" formatCode="0.00%">
                  <c:v>0</c:v>
                </c:pt>
                <c:pt idx="265" formatCode="0.00%">
                  <c:v>0</c:v>
                </c:pt>
                <c:pt idx="266" formatCode="0.00%">
                  <c:v>0</c:v>
                </c:pt>
                <c:pt idx="267" formatCode="0.00%">
                  <c:v>0</c:v>
                </c:pt>
                <c:pt idx="268" formatCode="0.00%">
                  <c:v>0</c:v>
                </c:pt>
                <c:pt idx="269" formatCode="0.00%">
                  <c:v>0</c:v>
                </c:pt>
                <c:pt idx="270" formatCode="0.00%">
                  <c:v>0</c:v>
                </c:pt>
                <c:pt idx="271" formatCode="0.00%">
                  <c:v>0</c:v>
                </c:pt>
                <c:pt idx="272" formatCode="0.00%">
                  <c:v>0</c:v>
                </c:pt>
                <c:pt idx="273" formatCode="0.00%">
                  <c:v>0</c:v>
                </c:pt>
                <c:pt idx="274" formatCode="0.00%">
                  <c:v>0</c:v>
                </c:pt>
                <c:pt idx="275" formatCode="0.00%">
                  <c:v>0</c:v>
                </c:pt>
                <c:pt idx="276" formatCode="0.00%">
                  <c:v>0</c:v>
                </c:pt>
                <c:pt idx="277" formatCode="0.00%">
                  <c:v>0</c:v>
                </c:pt>
                <c:pt idx="278" formatCode="0.00%">
                  <c:v>0</c:v>
                </c:pt>
                <c:pt idx="279" formatCode="0.00%">
                  <c:v>0</c:v>
                </c:pt>
                <c:pt idx="280" formatCode="0.00%">
                  <c:v>0</c:v>
                </c:pt>
                <c:pt idx="281" formatCode="0.00%">
                  <c:v>0</c:v>
                </c:pt>
                <c:pt idx="282" formatCode="0.00%">
                  <c:v>0</c:v>
                </c:pt>
                <c:pt idx="283" formatCode="0.00%">
                  <c:v>0</c:v>
                </c:pt>
                <c:pt idx="284" formatCode="0.00%">
                  <c:v>0</c:v>
                </c:pt>
                <c:pt idx="285" formatCode="0.00%">
                  <c:v>0</c:v>
                </c:pt>
                <c:pt idx="286" formatCode="0.00%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1F-D04E-8115-D581284AC373}"/>
            </c:ext>
          </c:extLst>
        </c:ser>
        <c:ser>
          <c:idx val="2"/>
          <c:order val="2"/>
          <c:tx>
            <c:strRef>
              <c:f>'Total Returns'!$A$55</c:f>
              <c:strCache>
                <c:ptCount val="1"/>
                <c:pt idx="0">
                  <c:v>S&amp;P 500</c:v>
                </c:pt>
              </c:strCache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'Total Returns'!$B$52:$KB$52</c:f>
              <c:strCache>
                <c:ptCount val="82"/>
                <c:pt idx="2">
                  <c:v>1/10/2022</c:v>
                </c:pt>
                <c:pt idx="3">
                  <c:v>1/11/2022</c:v>
                </c:pt>
                <c:pt idx="4">
                  <c:v>1/12/2022</c:v>
                </c:pt>
                <c:pt idx="5">
                  <c:v>1/13/2022</c:v>
                </c:pt>
                <c:pt idx="6">
                  <c:v>1/14/2022</c:v>
                </c:pt>
                <c:pt idx="7">
                  <c:v>1/18/2022</c:v>
                </c:pt>
                <c:pt idx="8">
                  <c:v>1/19/2022</c:v>
                </c:pt>
                <c:pt idx="9">
                  <c:v>1/20/2022</c:v>
                </c:pt>
                <c:pt idx="10">
                  <c:v>1/21/2022</c:v>
                </c:pt>
                <c:pt idx="11">
                  <c:v>1/24/2022</c:v>
                </c:pt>
                <c:pt idx="12">
                  <c:v>1/25/2022</c:v>
                </c:pt>
                <c:pt idx="13">
                  <c:v>1/26/2022</c:v>
                </c:pt>
                <c:pt idx="14">
                  <c:v>1/27/2022</c:v>
                </c:pt>
                <c:pt idx="15">
                  <c:v>1/28/2022</c:v>
                </c:pt>
                <c:pt idx="16">
                  <c:v>1/31/2022</c:v>
                </c:pt>
                <c:pt idx="17">
                  <c:v>2/1/2022</c:v>
                </c:pt>
                <c:pt idx="18">
                  <c:v>2/2/2022</c:v>
                </c:pt>
                <c:pt idx="19">
                  <c:v>2/3/2022</c:v>
                </c:pt>
                <c:pt idx="20">
                  <c:v>2/4/2022</c:v>
                </c:pt>
                <c:pt idx="21">
                  <c:v>2/7/2022</c:v>
                </c:pt>
                <c:pt idx="22">
                  <c:v>2/8/2022</c:v>
                </c:pt>
                <c:pt idx="23">
                  <c:v>2/9/2022</c:v>
                </c:pt>
                <c:pt idx="24">
                  <c:v>2/10/2022</c:v>
                </c:pt>
                <c:pt idx="25">
                  <c:v>2/11/2022</c:v>
                </c:pt>
                <c:pt idx="26">
                  <c:v>2/14/2022</c:v>
                </c:pt>
                <c:pt idx="27">
                  <c:v>2/15/2022</c:v>
                </c:pt>
                <c:pt idx="28">
                  <c:v>2/16/2022</c:v>
                </c:pt>
                <c:pt idx="29">
                  <c:v>2/17/2022</c:v>
                </c:pt>
                <c:pt idx="30">
                  <c:v>2/18/2022</c:v>
                </c:pt>
                <c:pt idx="31">
                  <c:v>2/22/2022</c:v>
                </c:pt>
                <c:pt idx="32">
                  <c:v>2/23/2022</c:v>
                </c:pt>
                <c:pt idx="33">
                  <c:v>2/24/2022</c:v>
                </c:pt>
                <c:pt idx="34">
                  <c:v>2/25/2022</c:v>
                </c:pt>
                <c:pt idx="35">
                  <c:v>2/28/2022</c:v>
                </c:pt>
                <c:pt idx="36">
                  <c:v>3/1/2022</c:v>
                </c:pt>
                <c:pt idx="37">
                  <c:v>3/2/2022</c:v>
                </c:pt>
                <c:pt idx="38">
                  <c:v>3/3/2022</c:v>
                </c:pt>
                <c:pt idx="39">
                  <c:v>3/4/2022</c:v>
                </c:pt>
                <c:pt idx="40">
                  <c:v>3/7/2022</c:v>
                </c:pt>
                <c:pt idx="41">
                  <c:v>3/8/2022</c:v>
                </c:pt>
                <c:pt idx="42">
                  <c:v>3/9/2022</c:v>
                </c:pt>
                <c:pt idx="43">
                  <c:v>3/10/2022</c:v>
                </c:pt>
                <c:pt idx="44">
                  <c:v>3/11/2022</c:v>
                </c:pt>
                <c:pt idx="45">
                  <c:v>3/14/2022</c:v>
                </c:pt>
                <c:pt idx="46">
                  <c:v>3/15/2022</c:v>
                </c:pt>
                <c:pt idx="47">
                  <c:v>3/16/2022</c:v>
                </c:pt>
                <c:pt idx="48">
                  <c:v>3/17/2022</c:v>
                </c:pt>
                <c:pt idx="49">
                  <c:v>3/18/2022</c:v>
                </c:pt>
                <c:pt idx="50">
                  <c:v>3/21/2022</c:v>
                </c:pt>
                <c:pt idx="51">
                  <c:v>3/22/2022</c:v>
                </c:pt>
                <c:pt idx="52">
                  <c:v>3/23/2022</c:v>
                </c:pt>
                <c:pt idx="53">
                  <c:v>3/24/2022</c:v>
                </c:pt>
                <c:pt idx="54">
                  <c:v>3/25/2022</c:v>
                </c:pt>
                <c:pt idx="55">
                  <c:v>3/28/2022</c:v>
                </c:pt>
                <c:pt idx="56">
                  <c:v>3/29/2022</c:v>
                </c:pt>
                <c:pt idx="57">
                  <c:v>3/30/2022</c:v>
                </c:pt>
                <c:pt idx="58">
                  <c:v>3/31/2022</c:v>
                </c:pt>
                <c:pt idx="59">
                  <c:v>4/1/2022</c:v>
                </c:pt>
                <c:pt idx="60">
                  <c:v>4/4/2022</c:v>
                </c:pt>
                <c:pt idx="61">
                  <c:v>4/5/2022</c:v>
                </c:pt>
                <c:pt idx="62">
                  <c:v>4/6/2022</c:v>
                </c:pt>
                <c:pt idx="63">
                  <c:v>4/7/2022</c:v>
                </c:pt>
                <c:pt idx="64">
                  <c:v>4/8/2022</c:v>
                </c:pt>
                <c:pt idx="65">
                  <c:v>4/11/2022</c:v>
                </c:pt>
                <c:pt idx="66">
                  <c:v>4/12/2022</c:v>
                </c:pt>
                <c:pt idx="67">
                  <c:v>4/13/2022</c:v>
                </c:pt>
                <c:pt idx="68">
                  <c:v>4/14/2022</c:v>
                </c:pt>
                <c:pt idx="69">
                  <c:v>4/18/2022</c:v>
                </c:pt>
                <c:pt idx="70">
                  <c:v>4/19/2022</c:v>
                </c:pt>
                <c:pt idx="71">
                  <c:v>4/20/2022</c:v>
                </c:pt>
                <c:pt idx="72">
                  <c:v>4/21/2022</c:v>
                </c:pt>
                <c:pt idx="73">
                  <c:v>4/22/2022</c:v>
                </c:pt>
                <c:pt idx="74">
                  <c:v>4/25/2022</c:v>
                </c:pt>
                <c:pt idx="75">
                  <c:v>4/26/2022</c:v>
                </c:pt>
                <c:pt idx="76">
                  <c:v>4/27/2022</c:v>
                </c:pt>
                <c:pt idx="77">
                  <c:v>4/28/2022</c:v>
                </c:pt>
                <c:pt idx="78">
                  <c:v>4/29/2022</c:v>
                </c:pt>
                <c:pt idx="79">
                  <c:v>5/2/2022</c:v>
                </c:pt>
                <c:pt idx="80">
                  <c:v>5/3/2022</c:v>
                </c:pt>
                <c:pt idx="81">
                  <c:v>5/4/2022</c:v>
                </c:pt>
              </c:strCache>
            </c:strRef>
          </c:cat>
          <c:val>
            <c:numRef>
              <c:f>'Total Returns'!$B$55:$KB$55</c:f>
              <c:numCache>
                <c:formatCode>General</c:formatCode>
                <c:ptCount val="287"/>
                <c:pt idx="2" formatCode="0.00%">
                  <c:v>0</c:v>
                </c:pt>
                <c:pt idx="3" formatCode="0.00%">
                  <c:v>9.1600307475552256E-3</c:v>
                </c:pt>
                <c:pt idx="4" formatCode="0.00%">
                  <c:v>1.2003537253575391E-2</c:v>
                </c:pt>
                <c:pt idx="5" formatCode="0.00%">
                  <c:v>-2.4109851850742103E-3</c:v>
                </c:pt>
                <c:pt idx="6" formatCode="0.00%">
                  <c:v>-1.5930488256616915E-3</c:v>
                </c:pt>
                <c:pt idx="7" formatCode="0.00%">
                  <c:v>-1.995165182461911E-2</c:v>
                </c:pt>
                <c:pt idx="8" formatCode="0.00%">
                  <c:v>-2.9447850133503484E-2</c:v>
                </c:pt>
                <c:pt idx="9" formatCode="0.00%">
                  <c:v>-4.0160247008215855E-2</c:v>
                </c:pt>
                <c:pt idx="10" formatCode="0.00%">
                  <c:v>-5.8315436514649099E-2</c:v>
                </c:pt>
                <c:pt idx="11" formatCode="0.00%">
                  <c:v>-5.5705320226367094E-2</c:v>
                </c:pt>
                <c:pt idx="12" formatCode="0.00%">
                  <c:v>-6.7199253151303262E-2</c:v>
                </c:pt>
                <c:pt idx="13" formatCode="0.00%">
                  <c:v>-6.8595312068415404E-2</c:v>
                </c:pt>
                <c:pt idx="14" formatCode="0.00%">
                  <c:v>-7.3609989957796995E-2</c:v>
                </c:pt>
                <c:pt idx="15" formatCode="0.00%">
                  <c:v>-5.1054645428870504E-2</c:v>
                </c:pt>
                <c:pt idx="16" formatCode="0.00%">
                  <c:v>-3.313284614017542E-2</c:v>
                </c:pt>
                <c:pt idx="17" formatCode="0.00%">
                  <c:v>-2.6497283894576174E-2</c:v>
                </c:pt>
                <c:pt idx="18" formatCode="0.00%">
                  <c:v>-1.7324405979071922E-2</c:v>
                </c:pt>
                <c:pt idx="19" formatCode="0.00%">
                  <c:v>-4.129293898237596E-2</c:v>
                </c:pt>
                <c:pt idx="20" formatCode="0.00%">
                  <c:v>-3.6348920516713124E-2</c:v>
                </c:pt>
                <c:pt idx="21" formatCode="0.00%">
                  <c:v>-3.9916150817186913E-2</c:v>
                </c:pt>
                <c:pt idx="22" formatCode="0.00%">
                  <c:v>-3.1850270539945047E-2</c:v>
                </c:pt>
                <c:pt idx="23" formatCode="0.00%">
                  <c:v>-1.77954688038644E-2</c:v>
                </c:pt>
                <c:pt idx="24" formatCode="0.00%">
                  <c:v>-3.5588796413070667E-2</c:v>
                </c:pt>
                <c:pt idx="25" formatCode="0.00%">
                  <c:v>-5.3883163572283399E-2</c:v>
                </c:pt>
                <c:pt idx="26" formatCode="0.00%">
                  <c:v>-5.7516770907159898E-2</c:v>
                </c:pt>
                <c:pt idx="27" formatCode="0.00%">
                  <c:v>-4.2656879979615869E-2</c:v>
                </c:pt>
                <c:pt idx="28" formatCode="0.00%">
                  <c:v>-4.1813249284305631E-2</c:v>
                </c:pt>
                <c:pt idx="29" formatCode="0.00%">
                  <c:v>-6.2101068670253778E-2</c:v>
                </c:pt>
                <c:pt idx="30" formatCode="0.00%">
                  <c:v>-6.8822278702179163E-2</c:v>
                </c:pt>
                <c:pt idx="31" formatCode="0.00%">
                  <c:v>-7.8267088339267987E-2</c:v>
                </c:pt>
                <c:pt idx="32" formatCode="0.00%">
                  <c:v>-9.5238197199745578E-2</c:v>
                </c:pt>
                <c:pt idx="33" formatCode="0.00%">
                  <c:v>-8.170584696025307E-2</c:v>
                </c:pt>
                <c:pt idx="34" formatCode="0.00%">
                  <c:v>-6.1161084215327177E-2</c:v>
                </c:pt>
                <c:pt idx="35" formatCode="0.00%">
                  <c:v>-6.345430369420324E-2</c:v>
                </c:pt>
                <c:pt idx="36" formatCode="0.00%">
                  <c:v>-7.7945909140545777E-2</c:v>
                </c:pt>
                <c:pt idx="37" formatCode="0.00%">
                  <c:v>-6.0756398424937186E-2</c:v>
                </c:pt>
                <c:pt idx="38" formatCode="0.00%">
                  <c:v>-6.5691852111967375E-2</c:v>
                </c:pt>
                <c:pt idx="39" formatCode="0.00%">
                  <c:v>-7.3104668018474261E-2</c:v>
                </c:pt>
                <c:pt idx="40" formatCode="0.00%">
                  <c:v>-0.10046485336028377</c:v>
                </c:pt>
                <c:pt idx="41" formatCode="0.00%">
                  <c:v>-0.10697194392639431</c:v>
                </c:pt>
                <c:pt idx="42" formatCode="0.00%">
                  <c:v>-8.4022619580368607E-2</c:v>
                </c:pt>
                <c:pt idx="43" formatCode="0.00%">
                  <c:v>-8.7953852972727509E-2</c:v>
                </c:pt>
                <c:pt idx="44" formatCode="0.00%">
                  <c:v>-9.9775388680360177E-2</c:v>
                </c:pt>
                <c:pt idx="45" formatCode="0.00%">
                  <c:v>-0.10645591601378079</c:v>
                </c:pt>
                <c:pt idx="46" formatCode="0.00%">
                  <c:v>-8.732648293789036E-2</c:v>
                </c:pt>
                <c:pt idx="47" formatCode="0.00%">
                  <c:v>-6.689734470450448E-2</c:v>
                </c:pt>
                <c:pt idx="48" formatCode="0.00%">
                  <c:v>-5.5375576249012348E-2</c:v>
                </c:pt>
                <c:pt idx="49" formatCode="0.00%">
                  <c:v>-4.4359129732843172E-2</c:v>
                </c:pt>
                <c:pt idx="50" formatCode="0.00%">
                  <c:v>-4.4774521496523723E-2</c:v>
                </c:pt>
                <c:pt idx="51" formatCode="0.00%">
                  <c:v>-3.3976476835485658E-2</c:v>
                </c:pt>
                <c:pt idx="52" formatCode="0.00%">
                  <c:v>-4.5832271657648693E-2</c:v>
                </c:pt>
                <c:pt idx="53" formatCode="0.00%">
                  <c:v>-3.2145755402769427E-2</c:v>
                </c:pt>
                <c:pt idx="54" formatCode="0.00%">
                  <c:v>-2.7242419635611359E-2</c:v>
                </c:pt>
                <c:pt idx="55" formatCode="0.00%">
                  <c:v>-2.0292101775264415E-2</c:v>
                </c:pt>
                <c:pt idx="56" formatCode="0.00%">
                  <c:v>-8.2842821323728666E-3</c:v>
                </c:pt>
                <c:pt idx="57" formatCode="0.00%">
                  <c:v>-1.4525864560873125E-2</c:v>
                </c:pt>
                <c:pt idx="58" formatCode="0.00%">
                  <c:v>-2.9951030878168194E-2</c:v>
                </c:pt>
                <c:pt idx="59" formatCode="0.00%">
                  <c:v>-2.6642885131330285E-2</c:v>
                </c:pt>
                <c:pt idx="60" formatCode="0.00%">
                  <c:v>-1.8767571178663345E-2</c:v>
                </c:pt>
                <c:pt idx="61" formatCode="0.00%">
                  <c:v>-3.1083722852328188E-2</c:v>
                </c:pt>
                <c:pt idx="62" formatCode="0.00%">
                  <c:v>-4.0498555764203137E-2</c:v>
                </c:pt>
                <c:pt idx="63" formatCode="0.00%">
                  <c:v>-3.6417438745773856E-2</c:v>
                </c:pt>
                <c:pt idx="64" formatCode="0.00%">
                  <c:v>-3.8971883972943933E-2</c:v>
                </c:pt>
                <c:pt idx="65" formatCode="0.00%">
                  <c:v>-5.5191433508411714E-2</c:v>
                </c:pt>
                <c:pt idx="66" formatCode="0.00%">
                  <c:v>-5.8420355052898221E-2</c:v>
                </c:pt>
                <c:pt idx="67" formatCode="0.00%">
                  <c:v>-4.7898524502760997E-2</c:v>
                </c:pt>
                <c:pt idx="68" formatCode="0.00%">
                  <c:v>-5.9460975656757897E-2</c:v>
                </c:pt>
                <c:pt idx="69" formatCode="0.00%">
                  <c:v>-5.965368317599129E-2</c:v>
                </c:pt>
                <c:pt idx="70" formatCode="0.00%">
                  <c:v>-4.4553978446734588E-2</c:v>
                </c:pt>
                <c:pt idx="71" formatCode="0.00%">
                  <c:v>-4.5144948172383348E-2</c:v>
                </c:pt>
                <c:pt idx="72" formatCode="0.00%">
                  <c:v>-5.9231867828336116E-2</c:v>
                </c:pt>
                <c:pt idx="73" formatCode="0.00%">
                  <c:v>-8.5328748321838788E-2</c:v>
                </c:pt>
                <c:pt idx="74" formatCode="0.00%">
                  <c:v>-8.0117080523907536E-2</c:v>
                </c:pt>
                <c:pt idx="75" formatCode="0.00%">
                  <c:v>-0.1060084063302279</c:v>
                </c:pt>
                <c:pt idx="76" formatCode="0.00%">
                  <c:v>-0.10413271980969063</c:v>
                </c:pt>
                <c:pt idx="77" formatCode="0.00%">
                  <c:v>-8.1962790319230705E-2</c:v>
                </c:pt>
                <c:pt idx="78" formatCode="0.00%">
                  <c:v>-0.11527335561603236</c:v>
                </c:pt>
                <c:pt idx="79" formatCode="0.00%">
                  <c:v>-0.11025225414267636</c:v>
                </c:pt>
                <c:pt idx="80" formatCode="0.00%">
                  <c:v>-0.10594845287979981</c:v>
                </c:pt>
                <c:pt idx="81" formatCode="0.00%">
                  <c:v>-7.9249896687357713E-2</c:v>
                </c:pt>
                <c:pt idx="82" formatCode="0.00%">
                  <c:v>0</c:v>
                </c:pt>
                <c:pt idx="83" formatCode="0.00%">
                  <c:v>0</c:v>
                </c:pt>
                <c:pt idx="84" formatCode="0.00%">
                  <c:v>0</c:v>
                </c:pt>
                <c:pt idx="85" formatCode="0.00%">
                  <c:v>0</c:v>
                </c:pt>
                <c:pt idx="86" formatCode="0.00%">
                  <c:v>0</c:v>
                </c:pt>
                <c:pt idx="87" formatCode="0.00%">
                  <c:v>0</c:v>
                </c:pt>
                <c:pt idx="88" formatCode="0.00%">
                  <c:v>0</c:v>
                </c:pt>
                <c:pt idx="89" formatCode="0.00%">
                  <c:v>0</c:v>
                </c:pt>
                <c:pt idx="90" formatCode="0.00%">
                  <c:v>0</c:v>
                </c:pt>
                <c:pt idx="91" formatCode="0.00%">
                  <c:v>0</c:v>
                </c:pt>
                <c:pt idx="92" formatCode="0.00%">
                  <c:v>0</c:v>
                </c:pt>
                <c:pt idx="93" formatCode="0.00%">
                  <c:v>0</c:v>
                </c:pt>
                <c:pt idx="94" formatCode="0.00%">
                  <c:v>0</c:v>
                </c:pt>
                <c:pt idx="95" formatCode="0.00%">
                  <c:v>0</c:v>
                </c:pt>
                <c:pt idx="96" formatCode="0.00%">
                  <c:v>0</c:v>
                </c:pt>
                <c:pt idx="97" formatCode="0.00%">
                  <c:v>0</c:v>
                </c:pt>
                <c:pt idx="98" formatCode="0.00%">
                  <c:v>0</c:v>
                </c:pt>
                <c:pt idx="99" formatCode="0.00%">
                  <c:v>0</c:v>
                </c:pt>
                <c:pt idx="100" formatCode="0.00%">
                  <c:v>0</c:v>
                </c:pt>
                <c:pt idx="101" formatCode="0.00%">
                  <c:v>0</c:v>
                </c:pt>
                <c:pt idx="102" formatCode="0.00%">
                  <c:v>0</c:v>
                </c:pt>
                <c:pt idx="103" formatCode="0.00%">
                  <c:v>0</c:v>
                </c:pt>
                <c:pt idx="104" formatCode="0.00%">
                  <c:v>0</c:v>
                </c:pt>
                <c:pt idx="105" formatCode="0.00%">
                  <c:v>0</c:v>
                </c:pt>
                <c:pt idx="106" formatCode="0.00%">
                  <c:v>0</c:v>
                </c:pt>
                <c:pt idx="107" formatCode="0.00%">
                  <c:v>0</c:v>
                </c:pt>
                <c:pt idx="108" formatCode="0.00%">
                  <c:v>0</c:v>
                </c:pt>
                <c:pt idx="109" formatCode="0.00%">
                  <c:v>0</c:v>
                </c:pt>
                <c:pt idx="110" formatCode="0.00%">
                  <c:v>0</c:v>
                </c:pt>
                <c:pt idx="111" formatCode="0.00%">
                  <c:v>0</c:v>
                </c:pt>
                <c:pt idx="112" formatCode="0.00%">
                  <c:v>0</c:v>
                </c:pt>
                <c:pt idx="113" formatCode="0.00%">
                  <c:v>0</c:v>
                </c:pt>
                <c:pt idx="114" formatCode="0.00%">
                  <c:v>0</c:v>
                </c:pt>
                <c:pt idx="115" formatCode="0.00%">
                  <c:v>0</c:v>
                </c:pt>
                <c:pt idx="116" formatCode="0.00%">
                  <c:v>0</c:v>
                </c:pt>
                <c:pt idx="117" formatCode="0.00%">
                  <c:v>0</c:v>
                </c:pt>
                <c:pt idx="118" formatCode="0.00%">
                  <c:v>0</c:v>
                </c:pt>
                <c:pt idx="119" formatCode="0.00%">
                  <c:v>0</c:v>
                </c:pt>
                <c:pt idx="120" formatCode="0.00%">
                  <c:v>0</c:v>
                </c:pt>
                <c:pt idx="121" formatCode="0.00%">
                  <c:v>0</c:v>
                </c:pt>
                <c:pt idx="122" formatCode="0.00%">
                  <c:v>0</c:v>
                </c:pt>
                <c:pt idx="123" formatCode="0.00%">
                  <c:v>0</c:v>
                </c:pt>
                <c:pt idx="124" formatCode="0.00%">
                  <c:v>0</c:v>
                </c:pt>
                <c:pt idx="125" formatCode="0.00%">
                  <c:v>0</c:v>
                </c:pt>
                <c:pt idx="126" formatCode="0.00%">
                  <c:v>0</c:v>
                </c:pt>
                <c:pt idx="127" formatCode="0.00%">
                  <c:v>0</c:v>
                </c:pt>
                <c:pt idx="128" formatCode="0.00%">
                  <c:v>0</c:v>
                </c:pt>
                <c:pt idx="129" formatCode="0.00%">
                  <c:v>0</c:v>
                </c:pt>
                <c:pt idx="130" formatCode="0.00%">
                  <c:v>0</c:v>
                </c:pt>
                <c:pt idx="131" formatCode="0.00%">
                  <c:v>0</c:v>
                </c:pt>
                <c:pt idx="132" formatCode="0.00%">
                  <c:v>0</c:v>
                </c:pt>
                <c:pt idx="133" formatCode="0.00%">
                  <c:v>0</c:v>
                </c:pt>
                <c:pt idx="134" formatCode="0.00%">
                  <c:v>0</c:v>
                </c:pt>
                <c:pt idx="135" formatCode="0.00%">
                  <c:v>0</c:v>
                </c:pt>
                <c:pt idx="136" formatCode="0.00%">
                  <c:v>0</c:v>
                </c:pt>
                <c:pt idx="137" formatCode="0.00%">
                  <c:v>0</c:v>
                </c:pt>
                <c:pt idx="138" formatCode="0.00%">
                  <c:v>0</c:v>
                </c:pt>
                <c:pt idx="139" formatCode="0.00%">
                  <c:v>0</c:v>
                </c:pt>
                <c:pt idx="140" formatCode="0.00%">
                  <c:v>0</c:v>
                </c:pt>
                <c:pt idx="141" formatCode="0.00%">
                  <c:v>0</c:v>
                </c:pt>
                <c:pt idx="142" formatCode="0.00%">
                  <c:v>0</c:v>
                </c:pt>
                <c:pt idx="143" formatCode="0.00%">
                  <c:v>0</c:v>
                </c:pt>
                <c:pt idx="144" formatCode="0.00%">
                  <c:v>0</c:v>
                </c:pt>
                <c:pt idx="145" formatCode="0.00%">
                  <c:v>0</c:v>
                </c:pt>
                <c:pt idx="146" formatCode="0.00%">
                  <c:v>0</c:v>
                </c:pt>
                <c:pt idx="147" formatCode="0.00%">
                  <c:v>0</c:v>
                </c:pt>
                <c:pt idx="148" formatCode="0.00%">
                  <c:v>0</c:v>
                </c:pt>
                <c:pt idx="149" formatCode="0.00%">
                  <c:v>0</c:v>
                </c:pt>
                <c:pt idx="150" formatCode="0.00%">
                  <c:v>0</c:v>
                </c:pt>
                <c:pt idx="151" formatCode="0.00%">
                  <c:v>0</c:v>
                </c:pt>
                <c:pt idx="152" formatCode="0.00%">
                  <c:v>0</c:v>
                </c:pt>
                <c:pt idx="153" formatCode="0.00%">
                  <c:v>0</c:v>
                </c:pt>
                <c:pt idx="154" formatCode="0.00%">
                  <c:v>0</c:v>
                </c:pt>
                <c:pt idx="155" formatCode="0.00%">
                  <c:v>0</c:v>
                </c:pt>
                <c:pt idx="156" formatCode="0.00%">
                  <c:v>0</c:v>
                </c:pt>
                <c:pt idx="157" formatCode="0.00%">
                  <c:v>0</c:v>
                </c:pt>
                <c:pt idx="158" formatCode="0.00%">
                  <c:v>0</c:v>
                </c:pt>
                <c:pt idx="159" formatCode="0.00%">
                  <c:v>0</c:v>
                </c:pt>
                <c:pt idx="160" formatCode="0.00%">
                  <c:v>0</c:v>
                </c:pt>
                <c:pt idx="161" formatCode="0.00%">
                  <c:v>0</c:v>
                </c:pt>
                <c:pt idx="162" formatCode="0.00%">
                  <c:v>0</c:v>
                </c:pt>
                <c:pt idx="163" formatCode="0.00%">
                  <c:v>0</c:v>
                </c:pt>
                <c:pt idx="164" formatCode="0.00%">
                  <c:v>0</c:v>
                </c:pt>
                <c:pt idx="165" formatCode="0.00%">
                  <c:v>0</c:v>
                </c:pt>
                <c:pt idx="166" formatCode="0.00%">
                  <c:v>0</c:v>
                </c:pt>
                <c:pt idx="167" formatCode="0.00%">
                  <c:v>0</c:v>
                </c:pt>
                <c:pt idx="168" formatCode="0.00%">
                  <c:v>0</c:v>
                </c:pt>
                <c:pt idx="169" formatCode="0.00%">
                  <c:v>0</c:v>
                </c:pt>
                <c:pt idx="170" formatCode="0.00%">
                  <c:v>0</c:v>
                </c:pt>
                <c:pt idx="171" formatCode="0.00%">
                  <c:v>0</c:v>
                </c:pt>
                <c:pt idx="172" formatCode="0.00%">
                  <c:v>0</c:v>
                </c:pt>
                <c:pt idx="173" formatCode="0.00%">
                  <c:v>0</c:v>
                </c:pt>
                <c:pt idx="174" formatCode="0.00%">
                  <c:v>0</c:v>
                </c:pt>
                <c:pt idx="175" formatCode="0.00%">
                  <c:v>0</c:v>
                </c:pt>
                <c:pt idx="176" formatCode="0.00%">
                  <c:v>0</c:v>
                </c:pt>
                <c:pt idx="177" formatCode="0.00%">
                  <c:v>0</c:v>
                </c:pt>
                <c:pt idx="178" formatCode="0.00%">
                  <c:v>0</c:v>
                </c:pt>
                <c:pt idx="179" formatCode="0.00%">
                  <c:v>0</c:v>
                </c:pt>
                <c:pt idx="180" formatCode="0.00%">
                  <c:v>0</c:v>
                </c:pt>
                <c:pt idx="181" formatCode="0.00%">
                  <c:v>0</c:v>
                </c:pt>
                <c:pt idx="182" formatCode="0.00%">
                  <c:v>0</c:v>
                </c:pt>
                <c:pt idx="183" formatCode="0.00%">
                  <c:v>0</c:v>
                </c:pt>
                <c:pt idx="184" formatCode="0.00%">
                  <c:v>0</c:v>
                </c:pt>
                <c:pt idx="185" formatCode="0.00%">
                  <c:v>0</c:v>
                </c:pt>
                <c:pt idx="186" formatCode="0.00%">
                  <c:v>0</c:v>
                </c:pt>
                <c:pt idx="187" formatCode="0.00%">
                  <c:v>0</c:v>
                </c:pt>
                <c:pt idx="188" formatCode="0.00%">
                  <c:v>0</c:v>
                </c:pt>
                <c:pt idx="189" formatCode="0.00%">
                  <c:v>0</c:v>
                </c:pt>
                <c:pt idx="190" formatCode="0.00%">
                  <c:v>0</c:v>
                </c:pt>
                <c:pt idx="191" formatCode="0.00%">
                  <c:v>0</c:v>
                </c:pt>
                <c:pt idx="192" formatCode="0.00%">
                  <c:v>0</c:v>
                </c:pt>
                <c:pt idx="193" formatCode="0.00%">
                  <c:v>0</c:v>
                </c:pt>
                <c:pt idx="194" formatCode="0.00%">
                  <c:v>0</c:v>
                </c:pt>
                <c:pt idx="195" formatCode="0.00%">
                  <c:v>0</c:v>
                </c:pt>
                <c:pt idx="196" formatCode="0.00%">
                  <c:v>0</c:v>
                </c:pt>
                <c:pt idx="197" formatCode="0.00%">
                  <c:v>0</c:v>
                </c:pt>
                <c:pt idx="198" formatCode="0.00%">
                  <c:v>0</c:v>
                </c:pt>
                <c:pt idx="199" formatCode="0.00%">
                  <c:v>0</c:v>
                </c:pt>
                <c:pt idx="200" formatCode="0.00%">
                  <c:v>0</c:v>
                </c:pt>
                <c:pt idx="201" formatCode="0.00%">
                  <c:v>0</c:v>
                </c:pt>
                <c:pt idx="202" formatCode="0.00%">
                  <c:v>0</c:v>
                </c:pt>
                <c:pt idx="203" formatCode="0.00%">
                  <c:v>0</c:v>
                </c:pt>
                <c:pt idx="204" formatCode="0.00%">
                  <c:v>0</c:v>
                </c:pt>
                <c:pt idx="205" formatCode="0.00%">
                  <c:v>0</c:v>
                </c:pt>
                <c:pt idx="206" formatCode="0.00%">
                  <c:v>0</c:v>
                </c:pt>
                <c:pt idx="207" formatCode="0.00%">
                  <c:v>0</c:v>
                </c:pt>
                <c:pt idx="208" formatCode="0.00%">
                  <c:v>0</c:v>
                </c:pt>
                <c:pt idx="209" formatCode="0.00%">
                  <c:v>0</c:v>
                </c:pt>
                <c:pt idx="210" formatCode="0.00%">
                  <c:v>0</c:v>
                </c:pt>
                <c:pt idx="211" formatCode="0.00%">
                  <c:v>0</c:v>
                </c:pt>
                <c:pt idx="212" formatCode="0.00%">
                  <c:v>0</c:v>
                </c:pt>
                <c:pt idx="213" formatCode="0.00%">
                  <c:v>0</c:v>
                </c:pt>
                <c:pt idx="214" formatCode="0.00%">
                  <c:v>0</c:v>
                </c:pt>
                <c:pt idx="215" formatCode="0.00%">
                  <c:v>0</c:v>
                </c:pt>
                <c:pt idx="216" formatCode="0.00%">
                  <c:v>0</c:v>
                </c:pt>
                <c:pt idx="217" formatCode="0.00%">
                  <c:v>0</c:v>
                </c:pt>
                <c:pt idx="218" formatCode="0.00%">
                  <c:v>0</c:v>
                </c:pt>
                <c:pt idx="219" formatCode="0.00%">
                  <c:v>0</c:v>
                </c:pt>
                <c:pt idx="220" formatCode="0.00%">
                  <c:v>0</c:v>
                </c:pt>
                <c:pt idx="221" formatCode="0.00%">
                  <c:v>0</c:v>
                </c:pt>
                <c:pt idx="222" formatCode="0.00%">
                  <c:v>0</c:v>
                </c:pt>
                <c:pt idx="223" formatCode="0.00%">
                  <c:v>0</c:v>
                </c:pt>
                <c:pt idx="224" formatCode="0.00%">
                  <c:v>0</c:v>
                </c:pt>
                <c:pt idx="225" formatCode="0.00%">
                  <c:v>0</c:v>
                </c:pt>
                <c:pt idx="226" formatCode="0.00%">
                  <c:v>0</c:v>
                </c:pt>
                <c:pt idx="227" formatCode="0.00%">
                  <c:v>0</c:v>
                </c:pt>
                <c:pt idx="228" formatCode="0.00%">
                  <c:v>0</c:v>
                </c:pt>
                <c:pt idx="229" formatCode="0.00%">
                  <c:v>0</c:v>
                </c:pt>
                <c:pt idx="230" formatCode="0.00%">
                  <c:v>0</c:v>
                </c:pt>
                <c:pt idx="231" formatCode="0.00%">
                  <c:v>0</c:v>
                </c:pt>
                <c:pt idx="232" formatCode="0.00%">
                  <c:v>0</c:v>
                </c:pt>
                <c:pt idx="233" formatCode="0.00%">
                  <c:v>0</c:v>
                </c:pt>
                <c:pt idx="234" formatCode="0.00%">
                  <c:v>0</c:v>
                </c:pt>
                <c:pt idx="235" formatCode="0.00%">
                  <c:v>0</c:v>
                </c:pt>
                <c:pt idx="236" formatCode="0.00%">
                  <c:v>0</c:v>
                </c:pt>
                <c:pt idx="237" formatCode="0.00%">
                  <c:v>0</c:v>
                </c:pt>
                <c:pt idx="238" formatCode="0.00%">
                  <c:v>0</c:v>
                </c:pt>
                <c:pt idx="239" formatCode="0.00%">
                  <c:v>0</c:v>
                </c:pt>
                <c:pt idx="240" formatCode="0.00%">
                  <c:v>0</c:v>
                </c:pt>
                <c:pt idx="241" formatCode="0.00%">
                  <c:v>0</c:v>
                </c:pt>
                <c:pt idx="242" formatCode="0.00%">
                  <c:v>0</c:v>
                </c:pt>
                <c:pt idx="243" formatCode="0.00%">
                  <c:v>0</c:v>
                </c:pt>
                <c:pt idx="244" formatCode="0.00%">
                  <c:v>0</c:v>
                </c:pt>
                <c:pt idx="245" formatCode="0.00%">
                  <c:v>0</c:v>
                </c:pt>
                <c:pt idx="246" formatCode="0.00%">
                  <c:v>0</c:v>
                </c:pt>
                <c:pt idx="247" formatCode="0.00%">
                  <c:v>0</c:v>
                </c:pt>
                <c:pt idx="248" formatCode="0.00%">
                  <c:v>0</c:v>
                </c:pt>
                <c:pt idx="249" formatCode="0.00%">
                  <c:v>0</c:v>
                </c:pt>
                <c:pt idx="250" formatCode="0.00%">
                  <c:v>0</c:v>
                </c:pt>
                <c:pt idx="251" formatCode="0.00%">
                  <c:v>0</c:v>
                </c:pt>
                <c:pt idx="252" formatCode="0.00%">
                  <c:v>0</c:v>
                </c:pt>
                <c:pt idx="253" formatCode="0.00%">
                  <c:v>0</c:v>
                </c:pt>
                <c:pt idx="254" formatCode="0.00%">
                  <c:v>0</c:v>
                </c:pt>
                <c:pt idx="255" formatCode="0.00%">
                  <c:v>0</c:v>
                </c:pt>
                <c:pt idx="256" formatCode="0.00%">
                  <c:v>0</c:v>
                </c:pt>
                <c:pt idx="257" formatCode="0.00%">
                  <c:v>0</c:v>
                </c:pt>
                <c:pt idx="258" formatCode="0.00%">
                  <c:v>0</c:v>
                </c:pt>
                <c:pt idx="259" formatCode="0.00%">
                  <c:v>0</c:v>
                </c:pt>
                <c:pt idx="260" formatCode="0.00%">
                  <c:v>0</c:v>
                </c:pt>
                <c:pt idx="261" formatCode="0.00%">
                  <c:v>0</c:v>
                </c:pt>
                <c:pt idx="262" formatCode="0.00%">
                  <c:v>0</c:v>
                </c:pt>
                <c:pt idx="263" formatCode="0.00%">
                  <c:v>0</c:v>
                </c:pt>
                <c:pt idx="264" formatCode="0.00%">
                  <c:v>0</c:v>
                </c:pt>
                <c:pt idx="265" formatCode="0.00%">
                  <c:v>0</c:v>
                </c:pt>
                <c:pt idx="266" formatCode="0.00%">
                  <c:v>0</c:v>
                </c:pt>
                <c:pt idx="267" formatCode="0.00%">
                  <c:v>0</c:v>
                </c:pt>
                <c:pt idx="268" formatCode="0.00%">
                  <c:v>0</c:v>
                </c:pt>
                <c:pt idx="269" formatCode="0.00%">
                  <c:v>0</c:v>
                </c:pt>
                <c:pt idx="270" formatCode="0.00%">
                  <c:v>0</c:v>
                </c:pt>
                <c:pt idx="271" formatCode="0.00%">
                  <c:v>0</c:v>
                </c:pt>
                <c:pt idx="272" formatCode="0.00%">
                  <c:v>0</c:v>
                </c:pt>
                <c:pt idx="273" formatCode="0.00%">
                  <c:v>0</c:v>
                </c:pt>
                <c:pt idx="274" formatCode="0.00%">
                  <c:v>0</c:v>
                </c:pt>
                <c:pt idx="275" formatCode="0.00%">
                  <c:v>0</c:v>
                </c:pt>
                <c:pt idx="276" formatCode="0.00%">
                  <c:v>0</c:v>
                </c:pt>
                <c:pt idx="277" formatCode="0.00%">
                  <c:v>0</c:v>
                </c:pt>
                <c:pt idx="278" formatCode="0.00%">
                  <c:v>0</c:v>
                </c:pt>
                <c:pt idx="279" formatCode="0.00%">
                  <c:v>0</c:v>
                </c:pt>
                <c:pt idx="280" formatCode="0.00%">
                  <c:v>0</c:v>
                </c:pt>
                <c:pt idx="281" formatCode="0.00%">
                  <c:v>0</c:v>
                </c:pt>
                <c:pt idx="282" formatCode="0.00%">
                  <c:v>0</c:v>
                </c:pt>
                <c:pt idx="283" formatCode="0.00%">
                  <c:v>0</c:v>
                </c:pt>
                <c:pt idx="284" formatCode="0.00%">
                  <c:v>0</c:v>
                </c:pt>
                <c:pt idx="285" formatCode="0.00%">
                  <c:v>0</c:v>
                </c:pt>
                <c:pt idx="286" formatCode="0.00%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1F-D04E-8115-D581284AC3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6047777"/>
        <c:axId val="2120455341"/>
      </c:lineChart>
      <c:catAx>
        <c:axId val="81604777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120455341"/>
        <c:crosses val="autoZero"/>
        <c:auto val="1"/>
        <c:lblAlgn val="ctr"/>
        <c:lblOffset val="100"/>
        <c:noMultiLvlLbl val="1"/>
      </c:catAx>
      <c:valAx>
        <c:axId val="212045534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endParaRPr lang="en-US"/>
          </a:p>
        </c:txPr>
        <c:crossAx val="816047777"/>
        <c:crosses val="autoZero"/>
        <c:crossBetween val="between"/>
        <c:minorUnit val="5"/>
      </c:valAx>
    </c:plotArea>
    <c:legend>
      <c:legendPos val="t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B7B7B7"/>
    </a:solidFill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1">
                <a:solidFill>
                  <a:schemeClr val="dk1"/>
                </a:solidFill>
                <a:latin typeface="+mn-lt"/>
              </a:defRPr>
            </a:pPr>
            <a:r>
              <a:rPr b="1">
                <a:solidFill>
                  <a:schemeClr val="dk1"/>
                </a:solidFill>
                <a:latin typeface="+mn-lt"/>
              </a:rPr>
              <a:t>ASAM Daily Returns since 1/10/2022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'Daily Returns'!$A$53</c:f>
              <c:strCache>
                <c:ptCount val="1"/>
                <c:pt idx="0">
                  <c:v>Neglected Beta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'Daily Returns'!$B$52:$KB$52</c:f>
              <c:strCache>
                <c:ptCount val="82"/>
                <c:pt idx="2">
                  <c:v>1/10/2022</c:v>
                </c:pt>
                <c:pt idx="3">
                  <c:v>1/11/2022</c:v>
                </c:pt>
                <c:pt idx="4">
                  <c:v>1/12/2022</c:v>
                </c:pt>
                <c:pt idx="5">
                  <c:v>1/13/2022</c:v>
                </c:pt>
                <c:pt idx="6">
                  <c:v>1/14/2022</c:v>
                </c:pt>
                <c:pt idx="7">
                  <c:v>1/18/2022</c:v>
                </c:pt>
                <c:pt idx="8">
                  <c:v>1/19/2022</c:v>
                </c:pt>
                <c:pt idx="9">
                  <c:v>1/20/2022</c:v>
                </c:pt>
                <c:pt idx="10">
                  <c:v>1/21/2022</c:v>
                </c:pt>
                <c:pt idx="11">
                  <c:v>1/24/2022</c:v>
                </c:pt>
                <c:pt idx="12">
                  <c:v>1/25/2022</c:v>
                </c:pt>
                <c:pt idx="13">
                  <c:v>1/26/2022</c:v>
                </c:pt>
                <c:pt idx="14">
                  <c:v>1/27/2022</c:v>
                </c:pt>
                <c:pt idx="15">
                  <c:v>1/28/2022</c:v>
                </c:pt>
                <c:pt idx="16">
                  <c:v>1/31/2022</c:v>
                </c:pt>
                <c:pt idx="17">
                  <c:v>2/1/2022</c:v>
                </c:pt>
                <c:pt idx="18">
                  <c:v>2/2/2022</c:v>
                </c:pt>
                <c:pt idx="19">
                  <c:v>2/3/2022</c:v>
                </c:pt>
                <c:pt idx="20">
                  <c:v>2/4/2022</c:v>
                </c:pt>
                <c:pt idx="21">
                  <c:v>2/7/2022</c:v>
                </c:pt>
                <c:pt idx="22">
                  <c:v>2/8/2022</c:v>
                </c:pt>
                <c:pt idx="23">
                  <c:v>2/9/2022</c:v>
                </c:pt>
                <c:pt idx="24">
                  <c:v>2/10/2022</c:v>
                </c:pt>
                <c:pt idx="25">
                  <c:v>2/11/2022</c:v>
                </c:pt>
                <c:pt idx="26">
                  <c:v>2/14/2022</c:v>
                </c:pt>
                <c:pt idx="27">
                  <c:v>2/15/2022</c:v>
                </c:pt>
                <c:pt idx="28">
                  <c:v>2/16/2022</c:v>
                </c:pt>
                <c:pt idx="29">
                  <c:v>2/17/2022</c:v>
                </c:pt>
                <c:pt idx="30">
                  <c:v>2/18/2022</c:v>
                </c:pt>
                <c:pt idx="31">
                  <c:v>2/22/2022</c:v>
                </c:pt>
                <c:pt idx="32">
                  <c:v>2/23/2022</c:v>
                </c:pt>
                <c:pt idx="33">
                  <c:v>2/24/2022</c:v>
                </c:pt>
                <c:pt idx="34">
                  <c:v>2/25/2022</c:v>
                </c:pt>
                <c:pt idx="35">
                  <c:v>2/28/2022</c:v>
                </c:pt>
                <c:pt idx="36">
                  <c:v>3/1/2022</c:v>
                </c:pt>
                <c:pt idx="37">
                  <c:v>3/2/2022</c:v>
                </c:pt>
                <c:pt idx="38">
                  <c:v>3/3/2022</c:v>
                </c:pt>
                <c:pt idx="39">
                  <c:v>3/4/2022</c:v>
                </c:pt>
                <c:pt idx="40">
                  <c:v>3/7/2022</c:v>
                </c:pt>
                <c:pt idx="41">
                  <c:v>3/8/2022</c:v>
                </c:pt>
                <c:pt idx="42">
                  <c:v>3/9/2022</c:v>
                </c:pt>
                <c:pt idx="43">
                  <c:v>3/10/2022</c:v>
                </c:pt>
                <c:pt idx="44">
                  <c:v>3/11/2022</c:v>
                </c:pt>
                <c:pt idx="45">
                  <c:v>3/14/2022</c:v>
                </c:pt>
                <c:pt idx="46">
                  <c:v>3/15/2022</c:v>
                </c:pt>
                <c:pt idx="47">
                  <c:v>3/16/2022</c:v>
                </c:pt>
                <c:pt idx="48">
                  <c:v>3/17/2022</c:v>
                </c:pt>
                <c:pt idx="49">
                  <c:v>3/18/2022</c:v>
                </c:pt>
                <c:pt idx="50">
                  <c:v>3/21/2022</c:v>
                </c:pt>
                <c:pt idx="51">
                  <c:v>3/22/2022</c:v>
                </c:pt>
                <c:pt idx="52">
                  <c:v>3/23/2022</c:v>
                </c:pt>
                <c:pt idx="53">
                  <c:v>3/24/2022</c:v>
                </c:pt>
                <c:pt idx="54">
                  <c:v>3/25/2022</c:v>
                </c:pt>
                <c:pt idx="55">
                  <c:v>3/28/2022</c:v>
                </c:pt>
                <c:pt idx="56">
                  <c:v>3/29/2022</c:v>
                </c:pt>
                <c:pt idx="57">
                  <c:v>3/30/2022</c:v>
                </c:pt>
                <c:pt idx="58">
                  <c:v>3/31/2022</c:v>
                </c:pt>
                <c:pt idx="59">
                  <c:v>4/1/2022</c:v>
                </c:pt>
                <c:pt idx="60">
                  <c:v>4/4/2022</c:v>
                </c:pt>
                <c:pt idx="61">
                  <c:v>4/5/2022</c:v>
                </c:pt>
                <c:pt idx="62">
                  <c:v>4/6/2022</c:v>
                </c:pt>
                <c:pt idx="63">
                  <c:v>4/7/2022</c:v>
                </c:pt>
                <c:pt idx="64">
                  <c:v>4/8/2022</c:v>
                </c:pt>
                <c:pt idx="65">
                  <c:v>4/11/2022</c:v>
                </c:pt>
                <c:pt idx="66">
                  <c:v>4/12/2022</c:v>
                </c:pt>
                <c:pt idx="67">
                  <c:v>4/13/2022</c:v>
                </c:pt>
                <c:pt idx="68">
                  <c:v>4/14/2022</c:v>
                </c:pt>
                <c:pt idx="69">
                  <c:v>4/18/2022</c:v>
                </c:pt>
                <c:pt idx="70">
                  <c:v>4/19/2022</c:v>
                </c:pt>
                <c:pt idx="71">
                  <c:v>4/20/2022</c:v>
                </c:pt>
                <c:pt idx="72">
                  <c:v>4/21/2022</c:v>
                </c:pt>
                <c:pt idx="73">
                  <c:v>4/22/2022</c:v>
                </c:pt>
                <c:pt idx="74">
                  <c:v>4/25/2022</c:v>
                </c:pt>
                <c:pt idx="75">
                  <c:v>4/26/2022</c:v>
                </c:pt>
                <c:pt idx="76">
                  <c:v>4/27/2022</c:v>
                </c:pt>
                <c:pt idx="77">
                  <c:v>4/28/2022</c:v>
                </c:pt>
                <c:pt idx="78">
                  <c:v>4/29/2022</c:v>
                </c:pt>
                <c:pt idx="79">
                  <c:v>5/2/2022</c:v>
                </c:pt>
                <c:pt idx="80">
                  <c:v>5/3/2022</c:v>
                </c:pt>
                <c:pt idx="81">
                  <c:v>5/4/2022</c:v>
                </c:pt>
              </c:strCache>
            </c:strRef>
          </c:cat>
          <c:val>
            <c:numRef>
              <c:f>'Daily Returns'!$B$53:$KB$53</c:f>
              <c:numCache>
                <c:formatCode>General</c:formatCode>
                <c:ptCount val="287"/>
                <c:pt idx="2" formatCode="0.00%">
                  <c:v>0</c:v>
                </c:pt>
                <c:pt idx="3" formatCode="0.00%">
                  <c:v>1.2627299077323517E-2</c:v>
                </c:pt>
                <c:pt idx="4" formatCode="0.00%">
                  <c:v>-3.750090301503417E-3</c:v>
                </c:pt>
                <c:pt idx="5" formatCode="0.00%">
                  <c:v>-2.1364620914592236E-2</c:v>
                </c:pt>
                <c:pt idx="6" formatCode="0.00%">
                  <c:v>1.6093032628234916E-3</c:v>
                </c:pt>
                <c:pt idx="7" formatCode="0.00%">
                  <c:v>-2.2349364477577738E-2</c:v>
                </c:pt>
                <c:pt idx="8" formatCode="0.00%">
                  <c:v>-6.6072978243505442E-3</c:v>
                </c:pt>
                <c:pt idx="9" formatCode="0.00%">
                  <c:v>-8.595621802051201E-3</c:v>
                </c:pt>
                <c:pt idx="10" formatCode="0.00%">
                  <c:v>-1.9650223450820903E-2</c:v>
                </c:pt>
                <c:pt idx="11" formatCode="0.00%">
                  <c:v>9.1944147723745928E-3</c:v>
                </c:pt>
                <c:pt idx="12" formatCode="0.00%">
                  <c:v>-1.3721022492289681E-2</c:v>
                </c:pt>
                <c:pt idx="13" formatCode="0.00%">
                  <c:v>-6.9032098756020011E-3</c:v>
                </c:pt>
                <c:pt idx="14" formatCode="0.00%">
                  <c:v>1.2828692198813219E-2</c:v>
                </c:pt>
                <c:pt idx="15" formatCode="0.00%">
                  <c:v>2.3162217100968219E-2</c:v>
                </c:pt>
                <c:pt idx="16" formatCode="0.00%">
                  <c:v>2.4261397130588058E-2</c:v>
                </c:pt>
                <c:pt idx="17" formatCode="0.00%">
                  <c:v>1.2963085010156306E-2</c:v>
                </c:pt>
                <c:pt idx="18" formatCode="0.00%">
                  <c:v>-2.1129787306396475E-3</c:v>
                </c:pt>
                <c:pt idx="19" formatCode="0.00%">
                  <c:v>-2.341349871188747E-2</c:v>
                </c:pt>
                <c:pt idx="20" formatCode="0.00%">
                  <c:v>9.3131543164863828E-3</c:v>
                </c:pt>
                <c:pt idx="21" formatCode="0.00%">
                  <c:v>1.7708862557277438E-3</c:v>
                </c:pt>
                <c:pt idx="22" formatCode="0.00%">
                  <c:v>1.7654319040309341E-2</c:v>
                </c:pt>
                <c:pt idx="23" formatCode="0.00%">
                  <c:v>2.3610913014785906E-2</c:v>
                </c:pt>
                <c:pt idx="24" formatCode="0.00%">
                  <c:v>-5.4458416267583187E-3</c:v>
                </c:pt>
                <c:pt idx="25" formatCode="0.00%">
                  <c:v>-2.1431838072620057E-2</c:v>
                </c:pt>
                <c:pt idx="26" formatCode="0.00%">
                  <c:v>-6.4955861211872801E-3</c:v>
                </c:pt>
                <c:pt idx="27" formatCode="0.00%">
                  <c:v>1.995379338932457E-2</c:v>
                </c:pt>
                <c:pt idx="28" formatCode="0.00%">
                  <c:v>7.0269853323856601E-4</c:v>
                </c:pt>
                <c:pt idx="29" formatCode="0.00%">
                  <c:v>-3.2101425006625939E-2</c:v>
                </c:pt>
                <c:pt idx="30" formatCode="0.00%">
                  <c:v>-1.3183301120523794E-2</c:v>
                </c:pt>
                <c:pt idx="31" formatCode="0.00%">
                  <c:v>-7.3601692379909878E-3</c:v>
                </c:pt>
                <c:pt idx="32" formatCode="0.00%">
                  <c:v>-1.8569752311865639E-2</c:v>
                </c:pt>
                <c:pt idx="33" formatCode="0.00%">
                  <c:v>1.5656931044950806E-2</c:v>
                </c:pt>
                <c:pt idx="34" formatCode="0.00%">
                  <c:v>1.8013690991543818E-2</c:v>
                </c:pt>
                <c:pt idx="35" formatCode="0.00%">
                  <c:v>-1.1028965585018535E-2</c:v>
                </c:pt>
                <c:pt idx="36" formatCode="0.00%">
                  <c:v>-1.4239934434870705E-2</c:v>
                </c:pt>
                <c:pt idx="37" formatCode="0.00%">
                  <c:v>2.2441635596212262E-2</c:v>
                </c:pt>
                <c:pt idx="38" formatCode="0.00%">
                  <c:v>-3.3395515939318887E-2</c:v>
                </c:pt>
                <c:pt idx="39" formatCode="0.00%">
                  <c:v>-2.4014558131408625E-2</c:v>
                </c:pt>
                <c:pt idx="40" formatCode="0.00%">
                  <c:v>-3.6331982614618341E-2</c:v>
                </c:pt>
                <c:pt idx="41" formatCode="0.00%">
                  <c:v>-4.3192704820070871E-3</c:v>
                </c:pt>
                <c:pt idx="42" formatCode="0.00%">
                  <c:v>4.1917785655787076E-2</c:v>
                </c:pt>
                <c:pt idx="43" formatCode="0.00%">
                  <c:v>-1.5199649079691069E-2</c:v>
                </c:pt>
                <c:pt idx="44" formatCode="0.00%">
                  <c:v>-2.424793057469099E-2</c:v>
                </c:pt>
                <c:pt idx="45" formatCode="0.00%">
                  <c:v>-1.8441192011746987E-2</c:v>
                </c:pt>
                <c:pt idx="46" formatCode="0.00%">
                  <c:v>1.7241131230647522E-2</c:v>
                </c:pt>
                <c:pt idx="47" formatCode="0.00%">
                  <c:v>4.0334877678714909E-2</c:v>
                </c:pt>
                <c:pt idx="48" formatCode="0.00%">
                  <c:v>2.1899671769445073E-2</c:v>
                </c:pt>
                <c:pt idx="49" formatCode="0.00%">
                  <c:v>1.3023358718382116E-2</c:v>
                </c:pt>
                <c:pt idx="50" formatCode="0.00%">
                  <c:v>-5.8602323800402978E-3</c:v>
                </c:pt>
                <c:pt idx="51" formatCode="0.00%">
                  <c:v>1.7783220298955627E-2</c:v>
                </c:pt>
                <c:pt idx="52" formatCode="0.00%">
                  <c:v>-1.9392525714178044E-2</c:v>
                </c:pt>
                <c:pt idx="53" formatCode="0.00%">
                  <c:v>1.1746091680661541E-2</c:v>
                </c:pt>
                <c:pt idx="54" formatCode="0.00%">
                  <c:v>-6.411901608610493E-3</c:v>
                </c:pt>
                <c:pt idx="55" formatCode="0.00%">
                  <c:v>4.5861666317643657E-3</c:v>
                </c:pt>
                <c:pt idx="56" formatCode="0.00%">
                  <c:v>2.1515493654358009E-2</c:v>
                </c:pt>
                <c:pt idx="57" formatCode="0.00%">
                  <c:v>-1.9641812690203486E-2</c:v>
                </c:pt>
                <c:pt idx="58" formatCode="0.00%">
                  <c:v>-1.852950929268149E-2</c:v>
                </c:pt>
                <c:pt idx="59" formatCode="0.00%">
                  <c:v>-1.5547620877742752E-5</c:v>
                </c:pt>
                <c:pt idx="60" formatCode="0.00%">
                  <c:v>1.1785114806440289E-2</c:v>
                </c:pt>
                <c:pt idx="61" formatCode="0.00%">
                  <c:v>-1.8518581353439645E-2</c:v>
                </c:pt>
                <c:pt idx="62" formatCode="0.00%">
                  <c:v>-2.1850242733753023E-2</c:v>
                </c:pt>
                <c:pt idx="63" formatCode="0.00%">
                  <c:v>-1.8326533651379373E-3</c:v>
                </c:pt>
                <c:pt idx="64" formatCode="0.00%">
                  <c:v>-5.3823893287259228E-3</c:v>
                </c:pt>
                <c:pt idx="65" formatCode="0.00%">
                  <c:v>-6.270053999462788E-3</c:v>
                </c:pt>
                <c:pt idx="66" formatCode="0.00%">
                  <c:v>-3.7464451553681499E-3</c:v>
                </c:pt>
                <c:pt idx="67" formatCode="0.00%">
                  <c:v>1.6697812838889048E-2</c:v>
                </c:pt>
                <c:pt idx="68" formatCode="0.00%">
                  <c:v>-7.6130210962428446E-3</c:v>
                </c:pt>
                <c:pt idx="69" formatCode="0.00%">
                  <c:v>-2.5788907575856612E-3</c:v>
                </c:pt>
                <c:pt idx="70" formatCode="0.00%">
                  <c:v>2.5895991030427279E-2</c:v>
                </c:pt>
                <c:pt idx="71" formatCode="0.00%">
                  <c:v>-1.1510345630206809E-3</c:v>
                </c:pt>
                <c:pt idx="72" formatCode="0.00%">
                  <c:v>-1.8694809456917483E-2</c:v>
                </c:pt>
                <c:pt idx="73" formatCode="0.00%">
                  <c:v>-2.737776915836998E-2</c:v>
                </c:pt>
                <c:pt idx="74" formatCode="0.00%">
                  <c:v>2.8289174181148624E-3</c:v>
                </c:pt>
                <c:pt idx="75" formatCode="0.00%">
                  <c:v>-2.2951677402876847E-2</c:v>
                </c:pt>
                <c:pt idx="76" formatCode="0.00%">
                  <c:v>3.8546359355140503E-3</c:v>
                </c:pt>
                <c:pt idx="77" formatCode="0.00%">
                  <c:v>1.74749965721821E-2</c:v>
                </c:pt>
                <c:pt idx="78" formatCode="0.00%">
                  <c:v>-2.8215249285658439E-2</c:v>
                </c:pt>
                <c:pt idx="79" formatCode="0.00%">
                  <c:v>1.3706882168515566E-2</c:v>
                </c:pt>
                <c:pt idx="80" formatCode="0.00%">
                  <c:v>7.7152754079299335E-3</c:v>
                </c:pt>
                <c:pt idx="81" formatCode="0.00%">
                  <c:v>2.9784733394348617E-2</c:v>
                </c:pt>
                <c:pt idx="82" formatCode="0.00%">
                  <c:v>0</c:v>
                </c:pt>
                <c:pt idx="83" formatCode="0.00%">
                  <c:v>0</c:v>
                </c:pt>
                <c:pt idx="84" formatCode="0.00%">
                  <c:v>0</c:v>
                </c:pt>
                <c:pt idx="85" formatCode="0.00%">
                  <c:v>0</c:v>
                </c:pt>
                <c:pt idx="86" formatCode="0.00%">
                  <c:v>0</c:v>
                </c:pt>
                <c:pt idx="87" formatCode="0.00%">
                  <c:v>0</c:v>
                </c:pt>
                <c:pt idx="88" formatCode="0.00%">
                  <c:v>0</c:v>
                </c:pt>
                <c:pt idx="89" formatCode="0.00%">
                  <c:v>0</c:v>
                </c:pt>
                <c:pt idx="90" formatCode="0.00%">
                  <c:v>0</c:v>
                </c:pt>
                <c:pt idx="91" formatCode="0.00%">
                  <c:v>0</c:v>
                </c:pt>
                <c:pt idx="92" formatCode="0.00%">
                  <c:v>0</c:v>
                </c:pt>
                <c:pt idx="93" formatCode="0.00%">
                  <c:v>0</c:v>
                </c:pt>
                <c:pt idx="94" formatCode="0.00%">
                  <c:v>0</c:v>
                </c:pt>
                <c:pt idx="95" formatCode="0.00%">
                  <c:v>0</c:v>
                </c:pt>
                <c:pt idx="96" formatCode="0.00%">
                  <c:v>0</c:v>
                </c:pt>
                <c:pt idx="97" formatCode="0.00%">
                  <c:v>0</c:v>
                </c:pt>
                <c:pt idx="98" formatCode="0.00%">
                  <c:v>0</c:v>
                </c:pt>
                <c:pt idx="99" formatCode="0.00%">
                  <c:v>0</c:v>
                </c:pt>
                <c:pt idx="100" formatCode="0.00%">
                  <c:v>0</c:v>
                </c:pt>
                <c:pt idx="101" formatCode="0.00%">
                  <c:v>0</c:v>
                </c:pt>
                <c:pt idx="102" formatCode="0.00%">
                  <c:v>0</c:v>
                </c:pt>
                <c:pt idx="103" formatCode="0.00%">
                  <c:v>0</c:v>
                </c:pt>
                <c:pt idx="104" formatCode="0.00%">
                  <c:v>0</c:v>
                </c:pt>
                <c:pt idx="105" formatCode="0.00%">
                  <c:v>0</c:v>
                </c:pt>
                <c:pt idx="106" formatCode="0.00%">
                  <c:v>0</c:v>
                </c:pt>
                <c:pt idx="107" formatCode="0.00%">
                  <c:v>0</c:v>
                </c:pt>
                <c:pt idx="108" formatCode="0.00%">
                  <c:v>0</c:v>
                </c:pt>
                <c:pt idx="109" formatCode="0.00%">
                  <c:v>0</c:v>
                </c:pt>
                <c:pt idx="110" formatCode="0.00%">
                  <c:v>0</c:v>
                </c:pt>
                <c:pt idx="111" formatCode="0.00%">
                  <c:v>0</c:v>
                </c:pt>
                <c:pt idx="112" formatCode="0.00%">
                  <c:v>0</c:v>
                </c:pt>
                <c:pt idx="113" formatCode="0.00%">
                  <c:v>0</c:v>
                </c:pt>
                <c:pt idx="114" formatCode="0.00%">
                  <c:v>0</c:v>
                </c:pt>
                <c:pt idx="115" formatCode="0.00%">
                  <c:v>0</c:v>
                </c:pt>
                <c:pt idx="116" formatCode="0.00%">
                  <c:v>0</c:v>
                </c:pt>
                <c:pt idx="117" formatCode="0.00%">
                  <c:v>0</c:v>
                </c:pt>
                <c:pt idx="118" formatCode="0.00%">
                  <c:v>0</c:v>
                </c:pt>
                <c:pt idx="119" formatCode="0.00%">
                  <c:v>0</c:v>
                </c:pt>
                <c:pt idx="120" formatCode="0.00%">
                  <c:v>0</c:v>
                </c:pt>
                <c:pt idx="121" formatCode="0.00%">
                  <c:v>0</c:v>
                </c:pt>
                <c:pt idx="122" formatCode="0.00%">
                  <c:v>0</c:v>
                </c:pt>
                <c:pt idx="123" formatCode="0.00%">
                  <c:v>0</c:v>
                </c:pt>
                <c:pt idx="124" formatCode="0.00%">
                  <c:v>0</c:v>
                </c:pt>
                <c:pt idx="125" formatCode="0.00%">
                  <c:v>0</c:v>
                </c:pt>
                <c:pt idx="126" formatCode="0.00%">
                  <c:v>0</c:v>
                </c:pt>
                <c:pt idx="127" formatCode="0.00%">
                  <c:v>0</c:v>
                </c:pt>
                <c:pt idx="128" formatCode="0.00%">
                  <c:v>0</c:v>
                </c:pt>
                <c:pt idx="129" formatCode="0.00%">
                  <c:v>0</c:v>
                </c:pt>
                <c:pt idx="130" formatCode="0.00%">
                  <c:v>0</c:v>
                </c:pt>
                <c:pt idx="131" formatCode="0.00%">
                  <c:v>0</c:v>
                </c:pt>
                <c:pt idx="132" formatCode="0.00%">
                  <c:v>0</c:v>
                </c:pt>
                <c:pt idx="133" formatCode="0.00%">
                  <c:v>0</c:v>
                </c:pt>
                <c:pt idx="134" formatCode="0.00%">
                  <c:v>0</c:v>
                </c:pt>
                <c:pt idx="135" formatCode="0.00%">
                  <c:v>0</c:v>
                </c:pt>
                <c:pt idx="136" formatCode="0.00%">
                  <c:v>0</c:v>
                </c:pt>
                <c:pt idx="137" formatCode="0.00%">
                  <c:v>0</c:v>
                </c:pt>
                <c:pt idx="138" formatCode="0.00%">
                  <c:v>0</c:v>
                </c:pt>
                <c:pt idx="139" formatCode="0.00%">
                  <c:v>0</c:v>
                </c:pt>
                <c:pt idx="140" formatCode="0.00%">
                  <c:v>0</c:v>
                </c:pt>
                <c:pt idx="141" formatCode="0.00%">
                  <c:v>0</c:v>
                </c:pt>
                <c:pt idx="142" formatCode="0.00%">
                  <c:v>0</c:v>
                </c:pt>
                <c:pt idx="143" formatCode="0.00%">
                  <c:v>0</c:v>
                </c:pt>
                <c:pt idx="144" formatCode="0.00%">
                  <c:v>0</c:v>
                </c:pt>
                <c:pt idx="145" formatCode="0.00%">
                  <c:v>0</c:v>
                </c:pt>
                <c:pt idx="146" formatCode="0.00%">
                  <c:v>0</c:v>
                </c:pt>
                <c:pt idx="147" formatCode="0.00%">
                  <c:v>0</c:v>
                </c:pt>
                <c:pt idx="148" formatCode="0.00%">
                  <c:v>0</c:v>
                </c:pt>
                <c:pt idx="149" formatCode="0.00%">
                  <c:v>0</c:v>
                </c:pt>
                <c:pt idx="150" formatCode="0.00%">
                  <c:v>0</c:v>
                </c:pt>
                <c:pt idx="151" formatCode="0.00%">
                  <c:v>0</c:v>
                </c:pt>
                <c:pt idx="152" formatCode="0.00%">
                  <c:v>0</c:v>
                </c:pt>
                <c:pt idx="153" formatCode="0.00%">
                  <c:v>0</c:v>
                </c:pt>
                <c:pt idx="154" formatCode="0.00%">
                  <c:v>0</c:v>
                </c:pt>
                <c:pt idx="155" formatCode="0.00%">
                  <c:v>0</c:v>
                </c:pt>
                <c:pt idx="156" formatCode="0.00%">
                  <c:v>0</c:v>
                </c:pt>
                <c:pt idx="157" formatCode="0.00%">
                  <c:v>0</c:v>
                </c:pt>
                <c:pt idx="158" formatCode="0.00%">
                  <c:v>0</c:v>
                </c:pt>
                <c:pt idx="159" formatCode="0.00%">
                  <c:v>0</c:v>
                </c:pt>
                <c:pt idx="160" formatCode="0.00%">
                  <c:v>0</c:v>
                </c:pt>
                <c:pt idx="161" formatCode="0.00%">
                  <c:v>0</c:v>
                </c:pt>
                <c:pt idx="162" formatCode="0.00%">
                  <c:v>0</c:v>
                </c:pt>
                <c:pt idx="163" formatCode="0.00%">
                  <c:v>0</c:v>
                </c:pt>
                <c:pt idx="164" formatCode="0.00%">
                  <c:v>0</c:v>
                </c:pt>
                <c:pt idx="165" formatCode="0.00%">
                  <c:v>0</c:v>
                </c:pt>
                <c:pt idx="166" formatCode="0.00%">
                  <c:v>0</c:v>
                </c:pt>
                <c:pt idx="167" formatCode="0.00%">
                  <c:v>0</c:v>
                </c:pt>
                <c:pt idx="168" formatCode="0.00%">
                  <c:v>0</c:v>
                </c:pt>
                <c:pt idx="169" formatCode="0.00%">
                  <c:v>0</c:v>
                </c:pt>
                <c:pt idx="170" formatCode="0.00%">
                  <c:v>0</c:v>
                </c:pt>
                <c:pt idx="171" formatCode="0.00%">
                  <c:v>0</c:v>
                </c:pt>
                <c:pt idx="172" formatCode="0.00%">
                  <c:v>0</c:v>
                </c:pt>
                <c:pt idx="173" formatCode="0.00%">
                  <c:v>0</c:v>
                </c:pt>
                <c:pt idx="174" formatCode="0.00%">
                  <c:v>0</c:v>
                </c:pt>
                <c:pt idx="175" formatCode="0.00%">
                  <c:v>0</c:v>
                </c:pt>
                <c:pt idx="176" formatCode="0.00%">
                  <c:v>0</c:v>
                </c:pt>
                <c:pt idx="177" formatCode="0.00%">
                  <c:v>0</c:v>
                </c:pt>
                <c:pt idx="178" formatCode="0.00%">
                  <c:v>0</c:v>
                </c:pt>
                <c:pt idx="179" formatCode="0.00%">
                  <c:v>0</c:v>
                </c:pt>
                <c:pt idx="180" formatCode="0.00%">
                  <c:v>0</c:v>
                </c:pt>
                <c:pt idx="181" formatCode="0.00%">
                  <c:v>0</c:v>
                </c:pt>
                <c:pt idx="182" formatCode="0.00%">
                  <c:v>0</c:v>
                </c:pt>
                <c:pt idx="183" formatCode="0.00%">
                  <c:v>0</c:v>
                </c:pt>
                <c:pt idx="184" formatCode="0.00%">
                  <c:v>0</c:v>
                </c:pt>
                <c:pt idx="185" formatCode="0.00%">
                  <c:v>0</c:v>
                </c:pt>
                <c:pt idx="186" formatCode="0.00%">
                  <c:v>0</c:v>
                </c:pt>
                <c:pt idx="187" formatCode="0.00%">
                  <c:v>0</c:v>
                </c:pt>
                <c:pt idx="188" formatCode="0.00%">
                  <c:v>0</c:v>
                </c:pt>
                <c:pt idx="189" formatCode="0.00%">
                  <c:v>0</c:v>
                </c:pt>
                <c:pt idx="190" formatCode="0.00%">
                  <c:v>0</c:v>
                </c:pt>
                <c:pt idx="191" formatCode="0.00%">
                  <c:v>0</c:v>
                </c:pt>
                <c:pt idx="192" formatCode="0.00%">
                  <c:v>0</c:v>
                </c:pt>
                <c:pt idx="193" formatCode="0.00%">
                  <c:v>0</c:v>
                </c:pt>
                <c:pt idx="194" formatCode="0.00%">
                  <c:v>0</c:v>
                </c:pt>
                <c:pt idx="195" formatCode="0.00%">
                  <c:v>0</c:v>
                </c:pt>
                <c:pt idx="196" formatCode="0.00%">
                  <c:v>0</c:v>
                </c:pt>
                <c:pt idx="197" formatCode="0.00%">
                  <c:v>0</c:v>
                </c:pt>
                <c:pt idx="198" formatCode="0.00%">
                  <c:v>0</c:v>
                </c:pt>
                <c:pt idx="199" formatCode="0.00%">
                  <c:v>0</c:v>
                </c:pt>
                <c:pt idx="200" formatCode="0.00%">
                  <c:v>0</c:v>
                </c:pt>
                <c:pt idx="201" formatCode="0.00%">
                  <c:v>0</c:v>
                </c:pt>
                <c:pt idx="202" formatCode="0.00%">
                  <c:v>0</c:v>
                </c:pt>
                <c:pt idx="203" formatCode="0.00%">
                  <c:v>0</c:v>
                </c:pt>
                <c:pt idx="204" formatCode="0.00%">
                  <c:v>0</c:v>
                </c:pt>
                <c:pt idx="205" formatCode="0.00%">
                  <c:v>0</c:v>
                </c:pt>
                <c:pt idx="206" formatCode="0.00%">
                  <c:v>0</c:v>
                </c:pt>
                <c:pt idx="207" formatCode="0.00%">
                  <c:v>0</c:v>
                </c:pt>
                <c:pt idx="208" formatCode="0.00%">
                  <c:v>0</c:v>
                </c:pt>
                <c:pt idx="209" formatCode="0.00%">
                  <c:v>0</c:v>
                </c:pt>
                <c:pt idx="210" formatCode="0.00%">
                  <c:v>0</c:v>
                </c:pt>
                <c:pt idx="211" formatCode="0.00%">
                  <c:v>0</c:v>
                </c:pt>
                <c:pt idx="212" formatCode="0.00%">
                  <c:v>0</c:v>
                </c:pt>
                <c:pt idx="213" formatCode="0.00%">
                  <c:v>0</c:v>
                </c:pt>
                <c:pt idx="214" formatCode="0.00%">
                  <c:v>0</c:v>
                </c:pt>
                <c:pt idx="215" formatCode="0.00%">
                  <c:v>0</c:v>
                </c:pt>
                <c:pt idx="216" formatCode="0.00%">
                  <c:v>0</c:v>
                </c:pt>
                <c:pt idx="217" formatCode="0.00%">
                  <c:v>0</c:v>
                </c:pt>
                <c:pt idx="218" formatCode="0.00%">
                  <c:v>0</c:v>
                </c:pt>
                <c:pt idx="219" formatCode="0.00%">
                  <c:v>0</c:v>
                </c:pt>
                <c:pt idx="220" formatCode="0.00%">
                  <c:v>0</c:v>
                </c:pt>
                <c:pt idx="221" formatCode="0.00%">
                  <c:v>0</c:v>
                </c:pt>
                <c:pt idx="222" formatCode="0.00%">
                  <c:v>0</c:v>
                </c:pt>
                <c:pt idx="223" formatCode="0.00%">
                  <c:v>0</c:v>
                </c:pt>
                <c:pt idx="224" formatCode="0.00%">
                  <c:v>0</c:v>
                </c:pt>
                <c:pt idx="225" formatCode="0.00%">
                  <c:v>0</c:v>
                </c:pt>
                <c:pt idx="226" formatCode="0.00%">
                  <c:v>0</c:v>
                </c:pt>
                <c:pt idx="227" formatCode="0.00%">
                  <c:v>0</c:v>
                </c:pt>
                <c:pt idx="228" formatCode="0.00%">
                  <c:v>0</c:v>
                </c:pt>
                <c:pt idx="229" formatCode="0.00%">
                  <c:v>0</c:v>
                </c:pt>
                <c:pt idx="230" formatCode="0.00%">
                  <c:v>0</c:v>
                </c:pt>
                <c:pt idx="231" formatCode="0.00%">
                  <c:v>0</c:v>
                </c:pt>
                <c:pt idx="232" formatCode="0.00%">
                  <c:v>0</c:v>
                </c:pt>
                <c:pt idx="233" formatCode="0.00%">
                  <c:v>0</c:v>
                </c:pt>
                <c:pt idx="234" formatCode="0.00%">
                  <c:v>0</c:v>
                </c:pt>
                <c:pt idx="235" formatCode="0.00%">
                  <c:v>0</c:v>
                </c:pt>
                <c:pt idx="236" formatCode="0.00%">
                  <c:v>0</c:v>
                </c:pt>
                <c:pt idx="237" formatCode="0.00%">
                  <c:v>0</c:v>
                </c:pt>
                <c:pt idx="238" formatCode="0.00%">
                  <c:v>0</c:v>
                </c:pt>
                <c:pt idx="239" formatCode="0.00%">
                  <c:v>0</c:v>
                </c:pt>
                <c:pt idx="240" formatCode="0.00%">
                  <c:v>0</c:v>
                </c:pt>
                <c:pt idx="241" formatCode="0.00%">
                  <c:v>0</c:v>
                </c:pt>
                <c:pt idx="242" formatCode="0.00%">
                  <c:v>0</c:v>
                </c:pt>
                <c:pt idx="243" formatCode="0.00%">
                  <c:v>0</c:v>
                </c:pt>
                <c:pt idx="244" formatCode="0.00%">
                  <c:v>0</c:v>
                </c:pt>
                <c:pt idx="245" formatCode="0.00%">
                  <c:v>0</c:v>
                </c:pt>
                <c:pt idx="246" formatCode="0.00%">
                  <c:v>0</c:v>
                </c:pt>
                <c:pt idx="247" formatCode="0.00%">
                  <c:v>0</c:v>
                </c:pt>
                <c:pt idx="248" formatCode="0.00%">
                  <c:v>0</c:v>
                </c:pt>
                <c:pt idx="249" formatCode="0.00%">
                  <c:v>0</c:v>
                </c:pt>
                <c:pt idx="250" formatCode="0.00%">
                  <c:v>0</c:v>
                </c:pt>
                <c:pt idx="251" formatCode="0.00%">
                  <c:v>0</c:v>
                </c:pt>
                <c:pt idx="252" formatCode="0.00%">
                  <c:v>0</c:v>
                </c:pt>
                <c:pt idx="253" formatCode="0.00%">
                  <c:v>0</c:v>
                </c:pt>
                <c:pt idx="254" formatCode="0.00%">
                  <c:v>0</c:v>
                </c:pt>
                <c:pt idx="255" formatCode="0.00%">
                  <c:v>0</c:v>
                </c:pt>
                <c:pt idx="256" formatCode="0.00%">
                  <c:v>0</c:v>
                </c:pt>
                <c:pt idx="257" formatCode="0.00%">
                  <c:v>0</c:v>
                </c:pt>
                <c:pt idx="258" formatCode="0.00%">
                  <c:v>0</c:v>
                </c:pt>
                <c:pt idx="259" formatCode="0.00%">
                  <c:v>0</c:v>
                </c:pt>
                <c:pt idx="260" formatCode="0.00%">
                  <c:v>0</c:v>
                </c:pt>
                <c:pt idx="261" formatCode="0.00%">
                  <c:v>0</c:v>
                </c:pt>
                <c:pt idx="262" formatCode="0.00%">
                  <c:v>0</c:v>
                </c:pt>
                <c:pt idx="263" formatCode="0.00%">
                  <c:v>0</c:v>
                </c:pt>
                <c:pt idx="264" formatCode="0.00%">
                  <c:v>0</c:v>
                </c:pt>
                <c:pt idx="265" formatCode="0.00%">
                  <c:v>0</c:v>
                </c:pt>
                <c:pt idx="266" formatCode="0.00%">
                  <c:v>0</c:v>
                </c:pt>
                <c:pt idx="267" formatCode="0.00%">
                  <c:v>0</c:v>
                </c:pt>
                <c:pt idx="268" formatCode="0.00%">
                  <c:v>0</c:v>
                </c:pt>
                <c:pt idx="269" formatCode="0.00%">
                  <c:v>0</c:v>
                </c:pt>
                <c:pt idx="270" formatCode="0.00%">
                  <c:v>0</c:v>
                </c:pt>
                <c:pt idx="271" formatCode="0.00%">
                  <c:v>0</c:v>
                </c:pt>
                <c:pt idx="272" formatCode="0.00%">
                  <c:v>0</c:v>
                </c:pt>
                <c:pt idx="273" formatCode="0.00%">
                  <c:v>0</c:v>
                </c:pt>
                <c:pt idx="274" formatCode="0.00%">
                  <c:v>0</c:v>
                </c:pt>
                <c:pt idx="275" formatCode="0.00%">
                  <c:v>0</c:v>
                </c:pt>
                <c:pt idx="276" formatCode="0.00%">
                  <c:v>0</c:v>
                </c:pt>
                <c:pt idx="277" formatCode="0.00%">
                  <c:v>0</c:v>
                </c:pt>
                <c:pt idx="278" formatCode="0.00%">
                  <c:v>0</c:v>
                </c:pt>
                <c:pt idx="279" formatCode="0.00%">
                  <c:v>0</c:v>
                </c:pt>
                <c:pt idx="280" formatCode="0.00%">
                  <c:v>0</c:v>
                </c:pt>
                <c:pt idx="281" formatCode="0.00%">
                  <c:v>0</c:v>
                </c:pt>
                <c:pt idx="282" formatCode="0.00%">
                  <c:v>0</c:v>
                </c:pt>
                <c:pt idx="283" formatCode="0.00%">
                  <c:v>0</c:v>
                </c:pt>
                <c:pt idx="284" formatCode="0.00%">
                  <c:v>0</c:v>
                </c:pt>
                <c:pt idx="285" formatCode="0.00%">
                  <c:v>0</c:v>
                </c:pt>
                <c:pt idx="286" formatCode="0.00%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21-954A-97EE-AC36F351C23E}"/>
            </c:ext>
          </c:extLst>
        </c:ser>
        <c:ser>
          <c:idx val="1"/>
          <c:order val="1"/>
          <c:tx>
            <c:strRef>
              <c:f>'Daily Returns'!$A$54</c:f>
              <c:strCache>
                <c:ptCount val="1"/>
                <c:pt idx="0">
                  <c:v>Russell 2000</c:v>
                </c:pt>
              </c:strCache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'Daily Returns'!$B$52:$KB$52</c:f>
              <c:strCache>
                <c:ptCount val="82"/>
                <c:pt idx="2">
                  <c:v>1/10/2022</c:v>
                </c:pt>
                <c:pt idx="3">
                  <c:v>1/11/2022</c:v>
                </c:pt>
                <c:pt idx="4">
                  <c:v>1/12/2022</c:v>
                </c:pt>
                <c:pt idx="5">
                  <c:v>1/13/2022</c:v>
                </c:pt>
                <c:pt idx="6">
                  <c:v>1/14/2022</c:v>
                </c:pt>
                <c:pt idx="7">
                  <c:v>1/18/2022</c:v>
                </c:pt>
                <c:pt idx="8">
                  <c:v>1/19/2022</c:v>
                </c:pt>
                <c:pt idx="9">
                  <c:v>1/20/2022</c:v>
                </c:pt>
                <c:pt idx="10">
                  <c:v>1/21/2022</c:v>
                </c:pt>
                <c:pt idx="11">
                  <c:v>1/24/2022</c:v>
                </c:pt>
                <c:pt idx="12">
                  <c:v>1/25/2022</c:v>
                </c:pt>
                <c:pt idx="13">
                  <c:v>1/26/2022</c:v>
                </c:pt>
                <c:pt idx="14">
                  <c:v>1/27/2022</c:v>
                </c:pt>
                <c:pt idx="15">
                  <c:v>1/28/2022</c:v>
                </c:pt>
                <c:pt idx="16">
                  <c:v>1/31/2022</c:v>
                </c:pt>
                <c:pt idx="17">
                  <c:v>2/1/2022</c:v>
                </c:pt>
                <c:pt idx="18">
                  <c:v>2/2/2022</c:v>
                </c:pt>
                <c:pt idx="19">
                  <c:v>2/3/2022</c:v>
                </c:pt>
                <c:pt idx="20">
                  <c:v>2/4/2022</c:v>
                </c:pt>
                <c:pt idx="21">
                  <c:v>2/7/2022</c:v>
                </c:pt>
                <c:pt idx="22">
                  <c:v>2/8/2022</c:v>
                </c:pt>
                <c:pt idx="23">
                  <c:v>2/9/2022</c:v>
                </c:pt>
                <c:pt idx="24">
                  <c:v>2/10/2022</c:v>
                </c:pt>
                <c:pt idx="25">
                  <c:v>2/11/2022</c:v>
                </c:pt>
                <c:pt idx="26">
                  <c:v>2/14/2022</c:v>
                </c:pt>
                <c:pt idx="27">
                  <c:v>2/15/2022</c:v>
                </c:pt>
                <c:pt idx="28">
                  <c:v>2/16/2022</c:v>
                </c:pt>
                <c:pt idx="29">
                  <c:v>2/17/2022</c:v>
                </c:pt>
                <c:pt idx="30">
                  <c:v>2/18/2022</c:v>
                </c:pt>
                <c:pt idx="31">
                  <c:v>2/22/2022</c:v>
                </c:pt>
                <c:pt idx="32">
                  <c:v>2/23/2022</c:v>
                </c:pt>
                <c:pt idx="33">
                  <c:v>2/24/2022</c:v>
                </c:pt>
                <c:pt idx="34">
                  <c:v>2/25/2022</c:v>
                </c:pt>
                <c:pt idx="35">
                  <c:v>2/28/2022</c:v>
                </c:pt>
                <c:pt idx="36">
                  <c:v>3/1/2022</c:v>
                </c:pt>
                <c:pt idx="37">
                  <c:v>3/2/2022</c:v>
                </c:pt>
                <c:pt idx="38">
                  <c:v>3/3/2022</c:v>
                </c:pt>
                <c:pt idx="39">
                  <c:v>3/4/2022</c:v>
                </c:pt>
                <c:pt idx="40">
                  <c:v>3/7/2022</c:v>
                </c:pt>
                <c:pt idx="41">
                  <c:v>3/8/2022</c:v>
                </c:pt>
                <c:pt idx="42">
                  <c:v>3/9/2022</c:v>
                </c:pt>
                <c:pt idx="43">
                  <c:v>3/10/2022</c:v>
                </c:pt>
                <c:pt idx="44">
                  <c:v>3/11/2022</c:v>
                </c:pt>
                <c:pt idx="45">
                  <c:v>3/14/2022</c:v>
                </c:pt>
                <c:pt idx="46">
                  <c:v>3/15/2022</c:v>
                </c:pt>
                <c:pt idx="47">
                  <c:v>3/16/2022</c:v>
                </c:pt>
                <c:pt idx="48">
                  <c:v>3/17/2022</c:v>
                </c:pt>
                <c:pt idx="49">
                  <c:v>3/18/2022</c:v>
                </c:pt>
                <c:pt idx="50">
                  <c:v>3/21/2022</c:v>
                </c:pt>
                <c:pt idx="51">
                  <c:v>3/22/2022</c:v>
                </c:pt>
                <c:pt idx="52">
                  <c:v>3/23/2022</c:v>
                </c:pt>
                <c:pt idx="53">
                  <c:v>3/24/2022</c:v>
                </c:pt>
                <c:pt idx="54">
                  <c:v>3/25/2022</c:v>
                </c:pt>
                <c:pt idx="55">
                  <c:v>3/28/2022</c:v>
                </c:pt>
                <c:pt idx="56">
                  <c:v>3/29/2022</c:v>
                </c:pt>
                <c:pt idx="57">
                  <c:v>3/30/2022</c:v>
                </c:pt>
                <c:pt idx="58">
                  <c:v>3/31/2022</c:v>
                </c:pt>
                <c:pt idx="59">
                  <c:v>4/1/2022</c:v>
                </c:pt>
                <c:pt idx="60">
                  <c:v>4/4/2022</c:v>
                </c:pt>
                <c:pt idx="61">
                  <c:v>4/5/2022</c:v>
                </c:pt>
                <c:pt idx="62">
                  <c:v>4/6/2022</c:v>
                </c:pt>
                <c:pt idx="63">
                  <c:v>4/7/2022</c:v>
                </c:pt>
                <c:pt idx="64">
                  <c:v>4/8/2022</c:v>
                </c:pt>
                <c:pt idx="65">
                  <c:v>4/11/2022</c:v>
                </c:pt>
                <c:pt idx="66">
                  <c:v>4/12/2022</c:v>
                </c:pt>
                <c:pt idx="67">
                  <c:v>4/13/2022</c:v>
                </c:pt>
                <c:pt idx="68">
                  <c:v>4/14/2022</c:v>
                </c:pt>
                <c:pt idx="69">
                  <c:v>4/18/2022</c:v>
                </c:pt>
                <c:pt idx="70">
                  <c:v>4/19/2022</c:v>
                </c:pt>
                <c:pt idx="71">
                  <c:v>4/20/2022</c:v>
                </c:pt>
                <c:pt idx="72">
                  <c:v>4/21/2022</c:v>
                </c:pt>
                <c:pt idx="73">
                  <c:v>4/22/2022</c:v>
                </c:pt>
                <c:pt idx="74">
                  <c:v>4/25/2022</c:v>
                </c:pt>
                <c:pt idx="75">
                  <c:v>4/26/2022</c:v>
                </c:pt>
                <c:pt idx="76">
                  <c:v>4/27/2022</c:v>
                </c:pt>
                <c:pt idx="77">
                  <c:v>4/28/2022</c:v>
                </c:pt>
                <c:pt idx="78">
                  <c:v>4/29/2022</c:v>
                </c:pt>
                <c:pt idx="79">
                  <c:v>5/2/2022</c:v>
                </c:pt>
                <c:pt idx="80">
                  <c:v>5/3/2022</c:v>
                </c:pt>
                <c:pt idx="81">
                  <c:v>5/4/2022</c:v>
                </c:pt>
              </c:strCache>
            </c:strRef>
          </c:cat>
          <c:val>
            <c:numRef>
              <c:f>'Daily Returns'!$B$54:$KB$54</c:f>
              <c:numCache>
                <c:formatCode>General</c:formatCode>
                <c:ptCount val="287"/>
                <c:pt idx="2" formatCode="0.00%">
                  <c:v>0</c:v>
                </c:pt>
                <c:pt idx="3" formatCode="0.00%">
                  <c:v>2.6115912747409098E-2</c:v>
                </c:pt>
                <c:pt idx="4" formatCode="0.00%">
                  <c:v>-8.1768459434822249E-3</c:v>
                </c:pt>
                <c:pt idx="5" formatCode="0.00%">
                  <c:v>-7.6376570498974949E-3</c:v>
                </c:pt>
                <c:pt idx="6" formatCode="0.00%">
                  <c:v>1.398510725002744E-3</c:v>
                </c:pt>
                <c:pt idx="7" formatCode="0.00%">
                  <c:v>-3.0627156109245934E-2</c:v>
                </c:pt>
                <c:pt idx="8" formatCode="0.00%">
                  <c:v>-1.5957218434999865E-2</c:v>
                </c:pt>
                <c:pt idx="9" formatCode="0.00%">
                  <c:v>-1.8780480710497649E-2</c:v>
                </c:pt>
                <c:pt idx="10" formatCode="0.00%">
                  <c:v>-1.7845497124562737E-2</c:v>
                </c:pt>
                <c:pt idx="11" formatCode="0.00%">
                  <c:v>2.2933518451446755E-2</c:v>
                </c:pt>
                <c:pt idx="12" formatCode="0.00%">
                  <c:v>-1.4497101071546226E-2</c:v>
                </c:pt>
                <c:pt idx="13" formatCode="0.00%">
                  <c:v>-1.3757279082648455E-2</c:v>
                </c:pt>
                <c:pt idx="14" formatCode="0.00%">
                  <c:v>-2.285399147971634E-2</c:v>
                </c:pt>
                <c:pt idx="15" formatCode="0.00%">
                  <c:v>1.9272092746299041E-2</c:v>
                </c:pt>
                <c:pt idx="16" formatCode="0.00%">
                  <c:v>3.0449426215767295E-2</c:v>
                </c:pt>
                <c:pt idx="17" formatCode="0.00%">
                  <c:v>1.0988685942468157E-2</c:v>
                </c:pt>
                <c:pt idx="18" formatCode="0.00%">
                  <c:v>-1.0347484322732137E-2</c:v>
                </c:pt>
                <c:pt idx="19" formatCode="0.00%">
                  <c:v>-1.8965075485829153E-2</c:v>
                </c:pt>
                <c:pt idx="20" formatCode="0.00%">
                  <c:v>5.6905219911302929E-3</c:v>
                </c:pt>
                <c:pt idx="21" formatCode="0.00%">
                  <c:v>5.1139655206855483E-3</c:v>
                </c:pt>
                <c:pt idx="22" formatCode="0.00%">
                  <c:v>1.6282420749279547E-2</c:v>
                </c:pt>
                <c:pt idx="23" formatCode="0.00%">
                  <c:v>1.8642103873626859E-2</c:v>
                </c:pt>
                <c:pt idx="24" formatCode="0.00%">
                  <c:v>-1.5521958243340572E-2</c:v>
                </c:pt>
                <c:pt idx="25" formatCode="0.00%">
                  <c:v>-1.0242984457575099E-2</c:v>
                </c:pt>
                <c:pt idx="26" formatCode="0.00%">
                  <c:v>-4.6104967613230796E-3</c:v>
                </c:pt>
                <c:pt idx="27" formatCode="0.00%">
                  <c:v>2.7548631970665038E-2</c:v>
                </c:pt>
                <c:pt idx="28" formatCode="0.00%">
                  <c:v>1.3725282451864107E-3</c:v>
                </c:pt>
                <c:pt idx="29" formatCode="0.00%">
                  <c:v>-2.4633171580957125E-2</c:v>
                </c:pt>
                <c:pt idx="30" formatCode="0.00%">
                  <c:v>-9.2500825900231343E-3</c:v>
                </c:pt>
                <c:pt idx="31" formatCode="0.00%">
                  <c:v>-1.4512300119940424E-2</c:v>
                </c:pt>
                <c:pt idx="32" formatCode="0.00%">
                  <c:v>-1.8220657822308306E-2</c:v>
                </c:pt>
                <c:pt idx="33" formatCode="0.00%">
                  <c:v>2.6701438719400894E-2</c:v>
                </c:pt>
                <c:pt idx="34" formatCode="0.00%">
                  <c:v>2.2510020040080292E-2</c:v>
                </c:pt>
                <c:pt idx="35" formatCode="0.00%">
                  <c:v>3.5082045930041605E-3</c:v>
                </c:pt>
                <c:pt idx="36" formatCode="0.00%">
                  <c:v>-1.9325322617658514E-2</c:v>
                </c:pt>
                <c:pt idx="37" formatCode="0.00%">
                  <c:v>2.5073313052959678E-2</c:v>
                </c:pt>
                <c:pt idx="38" formatCode="0.00%">
                  <c:v>-1.2851709918547449E-2</c:v>
                </c:pt>
                <c:pt idx="39" formatCode="0.00%">
                  <c:v>-1.5503761544176653E-2</c:v>
                </c:pt>
                <c:pt idx="40" formatCode="0.00%">
                  <c:v>-2.4773851766705102E-2</c:v>
                </c:pt>
                <c:pt idx="41" formatCode="0.00%">
                  <c:v>5.9856610619424266E-3</c:v>
                </c:pt>
                <c:pt idx="42" formatCode="0.00%">
                  <c:v>2.7141991125873011E-2</c:v>
                </c:pt>
                <c:pt idx="43" formatCode="0.00%">
                  <c:v>-2.2913370596491234E-3</c:v>
                </c:pt>
                <c:pt idx="44" formatCode="0.00%">
                  <c:v>-1.590718159539084E-2</c:v>
                </c:pt>
                <c:pt idx="45" formatCode="0.00%">
                  <c:v>-1.9169861643607344E-2</c:v>
                </c:pt>
                <c:pt idx="46" formatCode="0.00%">
                  <c:v>1.4033949282079794E-2</c:v>
                </c:pt>
                <c:pt idx="47" formatCode="0.00%">
                  <c:v>3.1361574833542516E-2</c:v>
                </c:pt>
                <c:pt idx="48" formatCode="0.00%">
                  <c:v>1.6890560983296554E-2</c:v>
                </c:pt>
                <c:pt idx="49" formatCode="0.00%">
                  <c:v>1.0227503849841613E-2</c:v>
                </c:pt>
                <c:pt idx="50" formatCode="0.00%">
                  <c:v>-9.6829551228584387E-3</c:v>
                </c:pt>
                <c:pt idx="51" formatCode="0.00%">
                  <c:v>1.084252204807501E-2</c:v>
                </c:pt>
                <c:pt idx="52" formatCode="0.00%">
                  <c:v>-1.7300822662976389E-2</c:v>
                </c:pt>
                <c:pt idx="53" formatCode="0.00%">
                  <c:v>1.1319504339224462E-2</c:v>
                </c:pt>
                <c:pt idx="54" formatCode="0.00%">
                  <c:v>1.2238368731449789E-3</c:v>
                </c:pt>
                <c:pt idx="55" formatCode="0.00%">
                  <c:v>3.8498926842489567E-5</c:v>
                </c:pt>
                <c:pt idx="56" formatCode="0.00%">
                  <c:v>2.6486241975688829E-2</c:v>
                </c:pt>
                <c:pt idx="57" formatCode="0.00%">
                  <c:v>-1.9703717594111714E-2</c:v>
                </c:pt>
                <c:pt idx="58" formatCode="0.00%">
                  <c:v>-1.0014011965166159E-2</c:v>
                </c:pt>
                <c:pt idx="59" formatCode="0.00%">
                  <c:v>1.0134629226183911E-2</c:v>
                </c:pt>
                <c:pt idx="60" formatCode="0.00%">
                  <c:v>2.0706706007813658E-3</c:v>
                </c:pt>
                <c:pt idx="61" formatCode="0.00%">
                  <c:v>-2.3575000954453529E-2</c:v>
                </c:pt>
                <c:pt idx="62" formatCode="0.00%">
                  <c:v>-1.4222595843678465E-2</c:v>
                </c:pt>
                <c:pt idx="63" formatCode="0.00%">
                  <c:v>-3.5400160639385003E-3</c:v>
                </c:pt>
                <c:pt idx="64" formatCode="0.00%">
                  <c:v>-7.5828440640859363E-3</c:v>
                </c:pt>
                <c:pt idx="65" formatCode="0.00%">
                  <c:v>-7.139419220279164E-3</c:v>
                </c:pt>
                <c:pt idx="66" formatCode="0.00%">
                  <c:v>3.3428940777249228E-3</c:v>
                </c:pt>
                <c:pt idx="67" formatCode="0.00%">
                  <c:v>1.920541133602427E-2</c:v>
                </c:pt>
                <c:pt idx="68" formatCode="0.00%">
                  <c:v>-9.9353118364524651E-3</c:v>
                </c:pt>
                <c:pt idx="69" formatCode="0.00%">
                  <c:v>-7.4065576713981951E-3</c:v>
                </c:pt>
                <c:pt idx="70" formatCode="0.00%">
                  <c:v>2.0420776532186213E-2</c:v>
                </c:pt>
                <c:pt idx="71" formatCode="0.00%">
                  <c:v>3.6537864947778775E-3</c:v>
                </c:pt>
                <c:pt idx="72" formatCode="0.00%">
                  <c:v>-2.2927205020140451E-2</c:v>
                </c:pt>
                <c:pt idx="73" formatCode="0.00%">
                  <c:v>-2.5508923101643988E-2</c:v>
                </c:pt>
                <c:pt idx="74" formatCode="0.00%">
                  <c:v>6.9770078220812159E-3</c:v>
                </c:pt>
                <c:pt idx="75" formatCode="0.00%">
                  <c:v>-3.2611810459523105E-2</c:v>
                </c:pt>
                <c:pt idx="76" formatCode="0.00%">
                  <c:v>-3.4012705835057E-3</c:v>
                </c:pt>
                <c:pt idx="77" formatCode="0.00%">
                  <c:v>1.7993248550986163E-2</c:v>
                </c:pt>
                <c:pt idx="78" formatCode="0.00%">
                  <c:v>-2.8071785353035117E-2</c:v>
                </c:pt>
                <c:pt idx="79" formatCode="0.00%">
                  <c:v>1.0090660372297666E-2</c:v>
                </c:pt>
                <c:pt idx="80" formatCode="0.00%">
                  <c:v>8.4709306339654233E-3</c:v>
                </c:pt>
                <c:pt idx="81" formatCode="0.00%">
                  <c:v>2.6889818101387242E-2</c:v>
                </c:pt>
                <c:pt idx="82" formatCode="0.00%">
                  <c:v>0</c:v>
                </c:pt>
                <c:pt idx="83" formatCode="0.00%">
                  <c:v>0</c:v>
                </c:pt>
                <c:pt idx="84" formatCode="0.00%">
                  <c:v>0</c:v>
                </c:pt>
                <c:pt idx="85" formatCode="0.00%">
                  <c:v>0</c:v>
                </c:pt>
                <c:pt idx="86" formatCode="0.00%">
                  <c:v>0</c:v>
                </c:pt>
                <c:pt idx="87" formatCode="0.00%">
                  <c:v>0</c:v>
                </c:pt>
                <c:pt idx="88" formatCode="0.00%">
                  <c:v>0</c:v>
                </c:pt>
                <c:pt idx="89" formatCode="0.00%">
                  <c:v>0</c:v>
                </c:pt>
                <c:pt idx="90" formatCode="0.00%">
                  <c:v>0</c:v>
                </c:pt>
                <c:pt idx="91" formatCode="0.00%">
                  <c:v>0</c:v>
                </c:pt>
                <c:pt idx="92" formatCode="0.00%">
                  <c:v>0</c:v>
                </c:pt>
                <c:pt idx="93" formatCode="0.00%">
                  <c:v>0</c:v>
                </c:pt>
                <c:pt idx="94" formatCode="0.00%">
                  <c:v>0</c:v>
                </c:pt>
                <c:pt idx="95" formatCode="0.00%">
                  <c:v>0</c:v>
                </c:pt>
                <c:pt idx="96" formatCode="0.00%">
                  <c:v>0</c:v>
                </c:pt>
                <c:pt idx="97" formatCode="0.00%">
                  <c:v>0</c:v>
                </c:pt>
                <c:pt idx="98" formatCode="0.00%">
                  <c:v>0</c:v>
                </c:pt>
                <c:pt idx="99" formatCode="0.00%">
                  <c:v>0</c:v>
                </c:pt>
                <c:pt idx="100" formatCode="0.00%">
                  <c:v>0</c:v>
                </c:pt>
                <c:pt idx="101" formatCode="0.00%">
                  <c:v>0</c:v>
                </c:pt>
                <c:pt idx="102" formatCode="0.00%">
                  <c:v>0</c:v>
                </c:pt>
                <c:pt idx="103" formatCode="0.00%">
                  <c:v>0</c:v>
                </c:pt>
                <c:pt idx="104" formatCode="0.00%">
                  <c:v>0</c:v>
                </c:pt>
                <c:pt idx="105" formatCode="0.00%">
                  <c:v>0</c:v>
                </c:pt>
                <c:pt idx="106" formatCode="0.00%">
                  <c:v>0</c:v>
                </c:pt>
                <c:pt idx="107" formatCode="0.00%">
                  <c:v>0</c:v>
                </c:pt>
                <c:pt idx="108" formatCode="0.00%">
                  <c:v>0</c:v>
                </c:pt>
                <c:pt idx="109" formatCode="0.00%">
                  <c:v>0</c:v>
                </c:pt>
                <c:pt idx="110" formatCode="0.00%">
                  <c:v>0</c:v>
                </c:pt>
                <c:pt idx="111" formatCode="0.00%">
                  <c:v>0</c:v>
                </c:pt>
                <c:pt idx="112" formatCode="0.00%">
                  <c:v>0</c:v>
                </c:pt>
                <c:pt idx="113" formatCode="0.00%">
                  <c:v>0</c:v>
                </c:pt>
                <c:pt idx="114" formatCode="0.00%">
                  <c:v>0</c:v>
                </c:pt>
                <c:pt idx="115" formatCode="0.00%">
                  <c:v>0</c:v>
                </c:pt>
                <c:pt idx="116" formatCode="0.00%">
                  <c:v>0</c:v>
                </c:pt>
                <c:pt idx="117" formatCode="0.00%">
                  <c:v>0</c:v>
                </c:pt>
                <c:pt idx="118" formatCode="0.00%">
                  <c:v>0</c:v>
                </c:pt>
                <c:pt idx="119" formatCode="0.00%">
                  <c:v>0</c:v>
                </c:pt>
                <c:pt idx="120" formatCode="0.00%">
                  <c:v>0</c:v>
                </c:pt>
                <c:pt idx="121" formatCode="0.00%">
                  <c:v>0</c:v>
                </c:pt>
                <c:pt idx="122" formatCode="0.00%">
                  <c:v>0</c:v>
                </c:pt>
                <c:pt idx="123" formatCode="0.00%">
                  <c:v>0</c:v>
                </c:pt>
                <c:pt idx="124" formatCode="0.00%">
                  <c:v>0</c:v>
                </c:pt>
                <c:pt idx="125" formatCode="0.00%">
                  <c:v>0</c:v>
                </c:pt>
                <c:pt idx="126" formatCode="0.00%">
                  <c:v>0</c:v>
                </c:pt>
                <c:pt idx="127" formatCode="0.00%">
                  <c:v>0</c:v>
                </c:pt>
                <c:pt idx="128" formatCode="0.00%">
                  <c:v>0</c:v>
                </c:pt>
                <c:pt idx="129" formatCode="0.00%">
                  <c:v>0</c:v>
                </c:pt>
                <c:pt idx="130" formatCode="0.00%">
                  <c:v>0</c:v>
                </c:pt>
                <c:pt idx="131" formatCode="0.00%">
                  <c:v>0</c:v>
                </c:pt>
                <c:pt idx="132" formatCode="0.00%">
                  <c:v>0</c:v>
                </c:pt>
                <c:pt idx="133" formatCode="0.00%">
                  <c:v>0</c:v>
                </c:pt>
                <c:pt idx="134" formatCode="0.00%">
                  <c:v>0</c:v>
                </c:pt>
                <c:pt idx="135" formatCode="0.00%">
                  <c:v>0</c:v>
                </c:pt>
                <c:pt idx="136" formatCode="0.00%">
                  <c:v>0</c:v>
                </c:pt>
                <c:pt idx="137" formatCode="0.00%">
                  <c:v>0</c:v>
                </c:pt>
                <c:pt idx="138" formatCode="0.00%">
                  <c:v>0</c:v>
                </c:pt>
                <c:pt idx="139" formatCode="0.00%">
                  <c:v>0</c:v>
                </c:pt>
                <c:pt idx="140" formatCode="0.00%">
                  <c:v>0</c:v>
                </c:pt>
                <c:pt idx="141" formatCode="0.00%">
                  <c:v>0</c:v>
                </c:pt>
                <c:pt idx="142" formatCode="0.00%">
                  <c:v>0</c:v>
                </c:pt>
                <c:pt idx="143" formatCode="0.00%">
                  <c:v>0</c:v>
                </c:pt>
                <c:pt idx="144" formatCode="0.00%">
                  <c:v>0</c:v>
                </c:pt>
                <c:pt idx="145" formatCode="0.00%">
                  <c:v>0</c:v>
                </c:pt>
                <c:pt idx="146" formatCode="0.00%">
                  <c:v>0</c:v>
                </c:pt>
                <c:pt idx="147" formatCode="0.00%">
                  <c:v>0</c:v>
                </c:pt>
                <c:pt idx="148" formatCode="0.00%">
                  <c:v>0</c:v>
                </c:pt>
                <c:pt idx="149" formatCode="0.00%">
                  <c:v>0</c:v>
                </c:pt>
                <c:pt idx="150" formatCode="0.00%">
                  <c:v>0</c:v>
                </c:pt>
                <c:pt idx="151" formatCode="0.00%">
                  <c:v>0</c:v>
                </c:pt>
                <c:pt idx="152" formatCode="0.00%">
                  <c:v>0</c:v>
                </c:pt>
                <c:pt idx="153" formatCode="0.00%">
                  <c:v>0</c:v>
                </c:pt>
                <c:pt idx="154" formatCode="0.00%">
                  <c:v>0</c:v>
                </c:pt>
                <c:pt idx="155" formatCode="0.00%">
                  <c:v>0</c:v>
                </c:pt>
                <c:pt idx="156" formatCode="0.00%">
                  <c:v>0</c:v>
                </c:pt>
                <c:pt idx="157" formatCode="0.00%">
                  <c:v>0</c:v>
                </c:pt>
                <c:pt idx="158" formatCode="0.00%">
                  <c:v>0</c:v>
                </c:pt>
                <c:pt idx="159" formatCode="0.00%">
                  <c:v>0</c:v>
                </c:pt>
                <c:pt idx="160" formatCode="0.00%">
                  <c:v>0</c:v>
                </c:pt>
                <c:pt idx="161" formatCode="0.00%">
                  <c:v>0</c:v>
                </c:pt>
                <c:pt idx="162" formatCode="0.00%">
                  <c:v>0</c:v>
                </c:pt>
                <c:pt idx="163" formatCode="0.00%">
                  <c:v>0</c:v>
                </c:pt>
                <c:pt idx="164" formatCode="0.00%">
                  <c:v>0</c:v>
                </c:pt>
                <c:pt idx="165" formatCode="0.00%">
                  <c:v>0</c:v>
                </c:pt>
                <c:pt idx="166" formatCode="0.00%">
                  <c:v>0</c:v>
                </c:pt>
                <c:pt idx="167" formatCode="0.00%">
                  <c:v>0</c:v>
                </c:pt>
                <c:pt idx="168" formatCode="0.00%">
                  <c:v>0</c:v>
                </c:pt>
                <c:pt idx="169" formatCode="0.00%">
                  <c:v>0</c:v>
                </c:pt>
                <c:pt idx="170" formatCode="0.00%">
                  <c:v>0</c:v>
                </c:pt>
                <c:pt idx="171" formatCode="0.00%">
                  <c:v>0</c:v>
                </c:pt>
                <c:pt idx="172" formatCode="0.00%">
                  <c:v>0</c:v>
                </c:pt>
                <c:pt idx="173" formatCode="0.00%">
                  <c:v>0</c:v>
                </c:pt>
                <c:pt idx="174" formatCode="0.00%">
                  <c:v>0</c:v>
                </c:pt>
                <c:pt idx="175" formatCode="0.00%">
                  <c:v>0</c:v>
                </c:pt>
                <c:pt idx="176" formatCode="0.00%">
                  <c:v>0</c:v>
                </c:pt>
                <c:pt idx="177" formatCode="0.00%">
                  <c:v>0</c:v>
                </c:pt>
                <c:pt idx="178" formatCode="0.00%">
                  <c:v>0</c:v>
                </c:pt>
                <c:pt idx="179" formatCode="0.00%">
                  <c:v>0</c:v>
                </c:pt>
                <c:pt idx="180" formatCode="0.00%">
                  <c:v>0</c:v>
                </c:pt>
                <c:pt idx="181" formatCode="0.00%">
                  <c:v>0</c:v>
                </c:pt>
                <c:pt idx="182" formatCode="0.00%">
                  <c:v>0</c:v>
                </c:pt>
                <c:pt idx="183" formatCode="0.00%">
                  <c:v>0</c:v>
                </c:pt>
                <c:pt idx="184" formatCode="0.00%">
                  <c:v>0</c:v>
                </c:pt>
                <c:pt idx="185" formatCode="0.00%">
                  <c:v>0</c:v>
                </c:pt>
                <c:pt idx="186" formatCode="0.00%">
                  <c:v>0</c:v>
                </c:pt>
                <c:pt idx="187" formatCode="0.00%">
                  <c:v>0</c:v>
                </c:pt>
                <c:pt idx="188" formatCode="0.00%">
                  <c:v>0</c:v>
                </c:pt>
                <c:pt idx="189" formatCode="0.00%">
                  <c:v>0</c:v>
                </c:pt>
                <c:pt idx="190" formatCode="0.00%">
                  <c:v>0</c:v>
                </c:pt>
                <c:pt idx="191" formatCode="0.00%">
                  <c:v>0</c:v>
                </c:pt>
                <c:pt idx="192" formatCode="0.00%">
                  <c:v>0</c:v>
                </c:pt>
                <c:pt idx="193" formatCode="0.00%">
                  <c:v>0</c:v>
                </c:pt>
                <c:pt idx="194" formatCode="0.00%">
                  <c:v>0</c:v>
                </c:pt>
                <c:pt idx="195" formatCode="0.00%">
                  <c:v>0</c:v>
                </c:pt>
                <c:pt idx="196" formatCode="0.00%">
                  <c:v>0</c:v>
                </c:pt>
                <c:pt idx="197" formatCode="0.00%">
                  <c:v>0</c:v>
                </c:pt>
                <c:pt idx="198" formatCode="0.00%">
                  <c:v>0</c:v>
                </c:pt>
                <c:pt idx="199" formatCode="0.00%">
                  <c:v>0</c:v>
                </c:pt>
                <c:pt idx="200" formatCode="0.00%">
                  <c:v>0</c:v>
                </c:pt>
                <c:pt idx="201" formatCode="0.00%">
                  <c:v>0</c:v>
                </c:pt>
                <c:pt idx="202" formatCode="0.00%">
                  <c:v>0</c:v>
                </c:pt>
                <c:pt idx="203" formatCode="0.00%">
                  <c:v>0</c:v>
                </c:pt>
                <c:pt idx="204" formatCode="0.00%">
                  <c:v>0</c:v>
                </c:pt>
                <c:pt idx="205" formatCode="0.00%">
                  <c:v>0</c:v>
                </c:pt>
                <c:pt idx="206" formatCode="0.00%">
                  <c:v>0</c:v>
                </c:pt>
                <c:pt idx="207" formatCode="0.00%">
                  <c:v>0</c:v>
                </c:pt>
                <c:pt idx="208" formatCode="0.00%">
                  <c:v>0</c:v>
                </c:pt>
                <c:pt idx="209" formatCode="0.00%">
                  <c:v>0</c:v>
                </c:pt>
                <c:pt idx="210" formatCode="0.00%">
                  <c:v>0</c:v>
                </c:pt>
                <c:pt idx="211" formatCode="0.00%">
                  <c:v>0</c:v>
                </c:pt>
                <c:pt idx="212" formatCode="0.00%">
                  <c:v>0</c:v>
                </c:pt>
                <c:pt idx="213" formatCode="0.00%">
                  <c:v>0</c:v>
                </c:pt>
                <c:pt idx="214" formatCode="0.00%">
                  <c:v>0</c:v>
                </c:pt>
                <c:pt idx="215" formatCode="0.00%">
                  <c:v>0</c:v>
                </c:pt>
                <c:pt idx="216" formatCode="0.00%">
                  <c:v>0</c:v>
                </c:pt>
                <c:pt idx="217" formatCode="0.00%">
                  <c:v>0</c:v>
                </c:pt>
                <c:pt idx="218" formatCode="0.00%">
                  <c:v>0</c:v>
                </c:pt>
                <c:pt idx="219" formatCode="0.00%">
                  <c:v>0</c:v>
                </c:pt>
                <c:pt idx="220" formatCode="0.00%">
                  <c:v>0</c:v>
                </c:pt>
                <c:pt idx="221" formatCode="0.00%">
                  <c:v>0</c:v>
                </c:pt>
                <c:pt idx="222" formatCode="0.00%">
                  <c:v>0</c:v>
                </c:pt>
                <c:pt idx="223" formatCode="0.00%">
                  <c:v>0</c:v>
                </c:pt>
                <c:pt idx="224" formatCode="0.00%">
                  <c:v>0</c:v>
                </c:pt>
                <c:pt idx="225" formatCode="0.00%">
                  <c:v>0</c:v>
                </c:pt>
                <c:pt idx="226" formatCode="0.00%">
                  <c:v>0</c:v>
                </c:pt>
                <c:pt idx="227" formatCode="0.00%">
                  <c:v>0</c:v>
                </c:pt>
                <c:pt idx="228" formatCode="0.00%">
                  <c:v>0</c:v>
                </c:pt>
                <c:pt idx="229" formatCode="0.00%">
                  <c:v>0</c:v>
                </c:pt>
                <c:pt idx="230" formatCode="0.00%">
                  <c:v>0</c:v>
                </c:pt>
                <c:pt idx="231" formatCode="0.00%">
                  <c:v>0</c:v>
                </c:pt>
                <c:pt idx="232" formatCode="0.00%">
                  <c:v>0</c:v>
                </c:pt>
                <c:pt idx="233" formatCode="0.00%">
                  <c:v>0</c:v>
                </c:pt>
                <c:pt idx="234" formatCode="0.00%">
                  <c:v>0</c:v>
                </c:pt>
                <c:pt idx="235" formatCode="0.00%">
                  <c:v>0</c:v>
                </c:pt>
                <c:pt idx="236" formatCode="0.00%">
                  <c:v>0</c:v>
                </c:pt>
                <c:pt idx="237" formatCode="0.00%">
                  <c:v>0</c:v>
                </c:pt>
                <c:pt idx="238" formatCode="0.00%">
                  <c:v>0</c:v>
                </c:pt>
                <c:pt idx="239" formatCode="0.00%">
                  <c:v>0</c:v>
                </c:pt>
                <c:pt idx="240" formatCode="0.00%">
                  <c:v>0</c:v>
                </c:pt>
                <c:pt idx="241" formatCode="0.00%">
                  <c:v>0</c:v>
                </c:pt>
                <c:pt idx="242" formatCode="0.00%">
                  <c:v>0</c:v>
                </c:pt>
                <c:pt idx="243" formatCode="0.00%">
                  <c:v>0</c:v>
                </c:pt>
                <c:pt idx="244" formatCode="0.00%">
                  <c:v>0</c:v>
                </c:pt>
                <c:pt idx="245" formatCode="0.00%">
                  <c:v>0</c:v>
                </c:pt>
                <c:pt idx="246" formatCode="0.00%">
                  <c:v>0</c:v>
                </c:pt>
                <c:pt idx="247" formatCode="0.00%">
                  <c:v>0</c:v>
                </c:pt>
                <c:pt idx="248" formatCode="0.00%">
                  <c:v>0</c:v>
                </c:pt>
                <c:pt idx="249" formatCode="0.00%">
                  <c:v>0</c:v>
                </c:pt>
                <c:pt idx="250" formatCode="0.00%">
                  <c:v>0</c:v>
                </c:pt>
                <c:pt idx="251" formatCode="0.00%">
                  <c:v>0</c:v>
                </c:pt>
                <c:pt idx="252" formatCode="0.00%">
                  <c:v>0</c:v>
                </c:pt>
                <c:pt idx="253" formatCode="0.00%">
                  <c:v>0</c:v>
                </c:pt>
                <c:pt idx="254" formatCode="0.00%">
                  <c:v>0</c:v>
                </c:pt>
                <c:pt idx="255" formatCode="0.00%">
                  <c:v>0</c:v>
                </c:pt>
                <c:pt idx="256" formatCode="0.00%">
                  <c:v>0</c:v>
                </c:pt>
                <c:pt idx="257" formatCode="0.00%">
                  <c:v>0</c:v>
                </c:pt>
                <c:pt idx="258" formatCode="0.00%">
                  <c:v>0</c:v>
                </c:pt>
                <c:pt idx="259" formatCode="0.00%">
                  <c:v>0</c:v>
                </c:pt>
                <c:pt idx="260" formatCode="0.00%">
                  <c:v>0</c:v>
                </c:pt>
                <c:pt idx="261" formatCode="0.00%">
                  <c:v>0</c:v>
                </c:pt>
                <c:pt idx="262" formatCode="0.00%">
                  <c:v>0</c:v>
                </c:pt>
                <c:pt idx="263" formatCode="0.00%">
                  <c:v>0</c:v>
                </c:pt>
                <c:pt idx="264" formatCode="0.00%">
                  <c:v>0</c:v>
                </c:pt>
                <c:pt idx="265" formatCode="0.00%">
                  <c:v>0</c:v>
                </c:pt>
                <c:pt idx="266" formatCode="0.00%">
                  <c:v>0</c:v>
                </c:pt>
                <c:pt idx="267" formatCode="0.00%">
                  <c:v>0</c:v>
                </c:pt>
                <c:pt idx="268" formatCode="0.00%">
                  <c:v>0</c:v>
                </c:pt>
                <c:pt idx="269" formatCode="0.00%">
                  <c:v>0</c:v>
                </c:pt>
                <c:pt idx="270" formatCode="0.00%">
                  <c:v>0</c:v>
                </c:pt>
                <c:pt idx="271" formatCode="0.00%">
                  <c:v>0</c:v>
                </c:pt>
                <c:pt idx="272" formatCode="0.00%">
                  <c:v>0</c:v>
                </c:pt>
                <c:pt idx="273" formatCode="0.00%">
                  <c:v>0</c:v>
                </c:pt>
                <c:pt idx="274" formatCode="0.00%">
                  <c:v>0</c:v>
                </c:pt>
                <c:pt idx="275" formatCode="0.00%">
                  <c:v>0</c:v>
                </c:pt>
                <c:pt idx="276" formatCode="0.00%">
                  <c:v>0</c:v>
                </c:pt>
                <c:pt idx="277" formatCode="0.00%">
                  <c:v>0</c:v>
                </c:pt>
                <c:pt idx="278" formatCode="0.00%">
                  <c:v>0</c:v>
                </c:pt>
                <c:pt idx="279" formatCode="0.00%">
                  <c:v>0</c:v>
                </c:pt>
                <c:pt idx="280" formatCode="0.00%">
                  <c:v>0</c:v>
                </c:pt>
                <c:pt idx="281" formatCode="0.00%">
                  <c:v>0</c:v>
                </c:pt>
                <c:pt idx="282" formatCode="0.00%">
                  <c:v>0</c:v>
                </c:pt>
                <c:pt idx="283" formatCode="0.00%">
                  <c:v>0</c:v>
                </c:pt>
                <c:pt idx="284" formatCode="0.00%">
                  <c:v>0</c:v>
                </c:pt>
                <c:pt idx="285" formatCode="0.00%">
                  <c:v>0</c:v>
                </c:pt>
                <c:pt idx="286" formatCode="0.00%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21-954A-97EE-AC36F351C23E}"/>
            </c:ext>
          </c:extLst>
        </c:ser>
        <c:ser>
          <c:idx val="2"/>
          <c:order val="2"/>
          <c:tx>
            <c:strRef>
              <c:f>'Daily Returns'!$A$55</c:f>
              <c:strCache>
                <c:ptCount val="1"/>
                <c:pt idx="0">
                  <c:v>S&amp;P 500</c:v>
                </c:pt>
              </c:strCache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'Daily Returns'!$B$52:$KB$52</c:f>
              <c:strCache>
                <c:ptCount val="82"/>
                <c:pt idx="2">
                  <c:v>1/10/2022</c:v>
                </c:pt>
                <c:pt idx="3">
                  <c:v>1/11/2022</c:v>
                </c:pt>
                <c:pt idx="4">
                  <c:v>1/12/2022</c:v>
                </c:pt>
                <c:pt idx="5">
                  <c:v>1/13/2022</c:v>
                </c:pt>
                <c:pt idx="6">
                  <c:v>1/14/2022</c:v>
                </c:pt>
                <c:pt idx="7">
                  <c:v>1/18/2022</c:v>
                </c:pt>
                <c:pt idx="8">
                  <c:v>1/19/2022</c:v>
                </c:pt>
                <c:pt idx="9">
                  <c:v>1/20/2022</c:v>
                </c:pt>
                <c:pt idx="10">
                  <c:v>1/21/2022</c:v>
                </c:pt>
                <c:pt idx="11">
                  <c:v>1/24/2022</c:v>
                </c:pt>
                <c:pt idx="12">
                  <c:v>1/25/2022</c:v>
                </c:pt>
                <c:pt idx="13">
                  <c:v>1/26/2022</c:v>
                </c:pt>
                <c:pt idx="14">
                  <c:v>1/27/2022</c:v>
                </c:pt>
                <c:pt idx="15">
                  <c:v>1/28/2022</c:v>
                </c:pt>
                <c:pt idx="16">
                  <c:v>1/31/2022</c:v>
                </c:pt>
                <c:pt idx="17">
                  <c:v>2/1/2022</c:v>
                </c:pt>
                <c:pt idx="18">
                  <c:v>2/2/2022</c:v>
                </c:pt>
                <c:pt idx="19">
                  <c:v>2/3/2022</c:v>
                </c:pt>
                <c:pt idx="20">
                  <c:v>2/4/2022</c:v>
                </c:pt>
                <c:pt idx="21">
                  <c:v>2/7/2022</c:v>
                </c:pt>
                <c:pt idx="22">
                  <c:v>2/8/2022</c:v>
                </c:pt>
                <c:pt idx="23">
                  <c:v>2/9/2022</c:v>
                </c:pt>
                <c:pt idx="24">
                  <c:v>2/10/2022</c:v>
                </c:pt>
                <c:pt idx="25">
                  <c:v>2/11/2022</c:v>
                </c:pt>
                <c:pt idx="26">
                  <c:v>2/14/2022</c:v>
                </c:pt>
                <c:pt idx="27">
                  <c:v>2/15/2022</c:v>
                </c:pt>
                <c:pt idx="28">
                  <c:v>2/16/2022</c:v>
                </c:pt>
                <c:pt idx="29">
                  <c:v>2/17/2022</c:v>
                </c:pt>
                <c:pt idx="30">
                  <c:v>2/18/2022</c:v>
                </c:pt>
                <c:pt idx="31">
                  <c:v>2/22/2022</c:v>
                </c:pt>
                <c:pt idx="32">
                  <c:v>2/23/2022</c:v>
                </c:pt>
                <c:pt idx="33">
                  <c:v>2/24/2022</c:v>
                </c:pt>
                <c:pt idx="34">
                  <c:v>2/25/2022</c:v>
                </c:pt>
                <c:pt idx="35">
                  <c:v>2/28/2022</c:v>
                </c:pt>
                <c:pt idx="36">
                  <c:v>3/1/2022</c:v>
                </c:pt>
                <c:pt idx="37">
                  <c:v>3/2/2022</c:v>
                </c:pt>
                <c:pt idx="38">
                  <c:v>3/3/2022</c:v>
                </c:pt>
                <c:pt idx="39">
                  <c:v>3/4/2022</c:v>
                </c:pt>
                <c:pt idx="40">
                  <c:v>3/7/2022</c:v>
                </c:pt>
                <c:pt idx="41">
                  <c:v>3/8/2022</c:v>
                </c:pt>
                <c:pt idx="42">
                  <c:v>3/9/2022</c:v>
                </c:pt>
                <c:pt idx="43">
                  <c:v>3/10/2022</c:v>
                </c:pt>
                <c:pt idx="44">
                  <c:v>3/11/2022</c:v>
                </c:pt>
                <c:pt idx="45">
                  <c:v>3/14/2022</c:v>
                </c:pt>
                <c:pt idx="46">
                  <c:v>3/15/2022</c:v>
                </c:pt>
                <c:pt idx="47">
                  <c:v>3/16/2022</c:v>
                </c:pt>
                <c:pt idx="48">
                  <c:v>3/17/2022</c:v>
                </c:pt>
                <c:pt idx="49">
                  <c:v>3/18/2022</c:v>
                </c:pt>
                <c:pt idx="50">
                  <c:v>3/21/2022</c:v>
                </c:pt>
                <c:pt idx="51">
                  <c:v>3/22/2022</c:v>
                </c:pt>
                <c:pt idx="52">
                  <c:v>3/23/2022</c:v>
                </c:pt>
                <c:pt idx="53">
                  <c:v>3/24/2022</c:v>
                </c:pt>
                <c:pt idx="54">
                  <c:v>3/25/2022</c:v>
                </c:pt>
                <c:pt idx="55">
                  <c:v>3/28/2022</c:v>
                </c:pt>
                <c:pt idx="56">
                  <c:v>3/29/2022</c:v>
                </c:pt>
                <c:pt idx="57">
                  <c:v>3/30/2022</c:v>
                </c:pt>
                <c:pt idx="58">
                  <c:v>3/31/2022</c:v>
                </c:pt>
                <c:pt idx="59">
                  <c:v>4/1/2022</c:v>
                </c:pt>
                <c:pt idx="60">
                  <c:v>4/4/2022</c:v>
                </c:pt>
                <c:pt idx="61">
                  <c:v>4/5/2022</c:v>
                </c:pt>
                <c:pt idx="62">
                  <c:v>4/6/2022</c:v>
                </c:pt>
                <c:pt idx="63">
                  <c:v>4/7/2022</c:v>
                </c:pt>
                <c:pt idx="64">
                  <c:v>4/8/2022</c:v>
                </c:pt>
                <c:pt idx="65">
                  <c:v>4/11/2022</c:v>
                </c:pt>
                <c:pt idx="66">
                  <c:v>4/12/2022</c:v>
                </c:pt>
                <c:pt idx="67">
                  <c:v>4/13/2022</c:v>
                </c:pt>
                <c:pt idx="68">
                  <c:v>4/14/2022</c:v>
                </c:pt>
                <c:pt idx="69">
                  <c:v>4/18/2022</c:v>
                </c:pt>
                <c:pt idx="70">
                  <c:v>4/19/2022</c:v>
                </c:pt>
                <c:pt idx="71">
                  <c:v>4/20/2022</c:v>
                </c:pt>
                <c:pt idx="72">
                  <c:v>4/21/2022</c:v>
                </c:pt>
                <c:pt idx="73">
                  <c:v>4/22/2022</c:v>
                </c:pt>
                <c:pt idx="74">
                  <c:v>4/25/2022</c:v>
                </c:pt>
                <c:pt idx="75">
                  <c:v>4/26/2022</c:v>
                </c:pt>
                <c:pt idx="76">
                  <c:v>4/27/2022</c:v>
                </c:pt>
                <c:pt idx="77">
                  <c:v>4/28/2022</c:v>
                </c:pt>
                <c:pt idx="78">
                  <c:v>4/29/2022</c:v>
                </c:pt>
                <c:pt idx="79">
                  <c:v>5/2/2022</c:v>
                </c:pt>
                <c:pt idx="80">
                  <c:v>5/3/2022</c:v>
                </c:pt>
                <c:pt idx="81">
                  <c:v>5/4/2022</c:v>
                </c:pt>
              </c:strCache>
            </c:strRef>
          </c:cat>
          <c:val>
            <c:numRef>
              <c:f>'Daily Returns'!$B$55:$KB$55</c:f>
              <c:numCache>
                <c:formatCode>General</c:formatCode>
                <c:ptCount val="287"/>
                <c:pt idx="2" formatCode="0.00%">
                  <c:v>0</c:v>
                </c:pt>
                <c:pt idx="3" formatCode="0.00%">
                  <c:v>9.1600307475552256E-3</c:v>
                </c:pt>
                <c:pt idx="4" formatCode="0.00%">
                  <c:v>2.8176963210817529E-3</c:v>
                </c:pt>
                <c:pt idx="5" formatCode="0.00%">
                  <c:v>-1.4243549462058636E-2</c:v>
                </c:pt>
                <c:pt idx="6" formatCode="0.00%">
                  <c:v>8.1991315788920716E-4</c:v>
                </c:pt>
                <c:pt idx="7" formatCode="0.00%">
                  <c:v>-1.8387895814791499E-2</c:v>
                </c:pt>
                <c:pt idx="8" formatCode="0.00%">
                  <c:v>-9.6895202431227512E-3</c:v>
                </c:pt>
                <c:pt idx="9" formatCode="0.00%">
                  <c:v>-1.103742532143781E-2</c:v>
                </c:pt>
                <c:pt idx="10" formatCode="0.00%">
                  <c:v>-1.8914813071498782E-2</c:v>
                </c:pt>
                <c:pt idx="11" formatCode="0.00%">
                  <c:v>2.7717522294530283E-3</c:v>
                </c:pt>
                <c:pt idx="12" formatCode="0.00%">
                  <c:v>-1.2171976789799865E-2</c:v>
                </c:pt>
                <c:pt idx="13" formatCode="0.00%">
                  <c:v>-1.4966314315554285E-3</c:v>
                </c:pt>
                <c:pt idx="14" formatCode="0.00%">
                  <c:v>-5.3839946849719711E-3</c:v>
                </c:pt>
                <c:pt idx="15" formatCode="0.00%">
                  <c:v>2.4347568825681787E-2</c:v>
                </c:pt>
                <c:pt idx="16" formatCode="0.00%">
                  <c:v>1.8886018254227865E-2</c:v>
                </c:pt>
                <c:pt idx="17" formatCode="0.00%">
                  <c:v>6.8629513569775646E-3</c:v>
                </c:pt>
                <c:pt idx="18" formatCode="0.00%">
                  <c:v>9.4225498950850639E-3</c:v>
                </c:pt>
                <c:pt idx="19" formatCode="0.00%">
                  <c:v>-2.4391094221877574E-2</c:v>
                </c:pt>
                <c:pt idx="20" formatCode="0.00%">
                  <c:v>5.156964694110977E-3</c:v>
                </c:pt>
                <c:pt idx="21" formatCode="0.00%">
                  <c:v>-3.701786234065696E-3</c:v>
                </c:pt>
                <c:pt idx="22" formatCode="0.00%">
                  <c:v>8.4012248347966612E-3</c:v>
                </c:pt>
                <c:pt idx="23" formatCode="0.00%">
                  <c:v>1.4517177775713597E-2</c:v>
                </c:pt>
                <c:pt idx="24" formatCode="0.00%">
                  <c:v>-1.8115705073705524E-2</c:v>
                </c:pt>
                <c:pt idx="25" formatCode="0.00%">
                  <c:v>-1.89694676826343E-2</c:v>
                </c:pt>
                <c:pt idx="26" formatCode="0.00%">
                  <c:v>-3.8405482229827426E-3</c:v>
                </c:pt>
                <c:pt idx="27" formatCode="0.00%">
                  <c:v>1.5766743077059386E-2</c:v>
                </c:pt>
                <c:pt idx="28" formatCode="0.00%">
                  <c:v>8.8122082633468324E-4</c:v>
                </c:pt>
                <c:pt idx="29" formatCode="0.00%">
                  <c:v>-2.1173137043269175E-2</c:v>
                </c:pt>
                <c:pt idx="30" formatCode="0.00%">
                  <c:v>-7.1662412733491943E-3</c:v>
                </c:pt>
                <c:pt idx="31" formatCode="0.00%">
                  <c:v>-1.0142864698185927E-2</c:v>
                </c:pt>
                <c:pt idx="32" formatCode="0.00%">
                  <c:v>-1.8412176288573612E-2</c:v>
                </c:pt>
                <c:pt idx="33" formatCode="0.00%">
                  <c:v>1.4956809844988816E-2</c:v>
                </c:pt>
                <c:pt idx="34" formatCode="0.00%">
                  <c:v>2.2372746986266234E-2</c:v>
                </c:pt>
                <c:pt idx="35" formatCode="0.00%">
                  <c:v>-2.4426122951660689E-3</c:v>
                </c:pt>
                <c:pt idx="36" formatCode="0.00%">
                  <c:v>-1.5473463284818578E-2</c:v>
                </c:pt>
                <c:pt idx="37" formatCode="0.00%">
                  <c:v>1.8642627244987553E-2</c:v>
                </c:pt>
                <c:pt idx="38" formatCode="0.00%">
                  <c:v>-5.2547110022934662E-3</c:v>
                </c:pt>
                <c:pt idx="39" formatCode="0.00%">
                  <c:v>-7.93401612012401E-3</c:v>
                </c:pt>
                <c:pt idx="40" formatCode="0.00%">
                  <c:v>-2.9518095946517109E-2</c:v>
                </c:pt>
                <c:pt idx="41" formatCode="0.00%">
                  <c:v>-7.2338369327961116E-3</c:v>
                </c:pt>
                <c:pt idx="42" formatCode="0.00%">
                  <c:v>2.5698324022346508E-2</c:v>
                </c:pt>
                <c:pt idx="43" formatCode="0.00%">
                  <c:v>-4.2918454935622075E-3</c:v>
                </c:pt>
                <c:pt idx="44" formatCode="0.00%">
                  <c:v>-1.2961554353542182E-2</c:v>
                </c:pt>
                <c:pt idx="45" formatCode="0.00%">
                  <c:v>-7.4209561140831104E-3</c:v>
                </c:pt>
                <c:pt idx="46" formatCode="0.00%">
                  <c:v>2.1408493905025416E-2</c:v>
                </c:pt>
                <c:pt idx="47" formatCode="0.00%">
                  <c:v>2.2383840279651235E-2</c:v>
                </c:pt>
                <c:pt idx="48" formatCode="0.00%">
                  <c:v>1.2347803738532281E-2</c:v>
                </c:pt>
                <c:pt idx="49" formatCode="0.00%">
                  <c:v>1.1662250349640857E-2</c:v>
                </c:pt>
                <c:pt idx="50" formatCode="0.00%">
                  <c:v>-4.3467350194470455E-4</c:v>
                </c:pt>
                <c:pt idx="51" formatCode="0.00%">
                  <c:v>1.1304184094790948E-2</c:v>
                </c:pt>
                <c:pt idx="52" formatCode="0.00%">
                  <c:v>-1.2272780670315009E-2</c:v>
                </c:pt>
                <c:pt idx="53" formatCode="0.00%">
                  <c:v>1.4343931206577842E-2</c:v>
                </c:pt>
                <c:pt idx="54" formatCode="0.00%">
                  <c:v>5.0661923471737591E-3</c:v>
                </c:pt>
                <c:pt idx="55" formatCode="0.00%">
                  <c:v>7.1449639670178033E-3</c:v>
                </c:pt>
                <c:pt idx="56" formatCode="0.00%">
                  <c:v>1.2256530405287291E-2</c:v>
                </c:pt>
                <c:pt idx="57" formatCode="0.00%">
                  <c:v>-6.2937213921756552E-3</c:v>
                </c:pt>
                <c:pt idx="58" formatCode="0.00%">
                  <c:v>-1.5652532890091164E-2</c:v>
                </c:pt>
                <c:pt idx="59" formatCode="0.00%">
                  <c:v>3.4102873691344016E-3</c:v>
                </c:pt>
                <c:pt idx="60" formatCode="0.00%">
                  <c:v>8.0908782936564005E-3</c:v>
                </c:pt>
                <c:pt idx="61" formatCode="0.00%">
                  <c:v>-1.2551716914267819E-2</c:v>
                </c:pt>
                <c:pt idx="62" formatCode="0.00%">
                  <c:v>-9.7168693868892042E-3</c:v>
                </c:pt>
                <c:pt idx="63" formatCode="0.00%">
                  <c:v>4.2533724601945266E-3</c:v>
                </c:pt>
                <c:pt idx="64" formatCode="0.00%">
                  <c:v>-2.6509873983658894E-3</c:v>
                </c:pt>
                <c:pt idx="65" formatCode="0.00%">
                  <c:v>-1.6877289295676778E-2</c:v>
                </c:pt>
                <c:pt idx="66" formatCode="0.00%">
                  <c:v>-3.4175405039739148E-3</c:v>
                </c:pt>
                <c:pt idx="67" formatCode="0.00%">
                  <c:v>1.1174658040455254E-2</c:v>
                </c:pt>
                <c:pt idx="68" formatCode="0.00%">
                  <c:v>-1.2144137417661627E-2</c:v>
                </c:pt>
                <c:pt idx="69" formatCode="0.00%">
                  <c:v>-2.0489050878880199E-4</c:v>
                </c:pt>
                <c:pt idx="70" formatCode="0.00%">
                  <c:v>1.6057599693967584E-2</c:v>
                </c:pt>
                <c:pt idx="71" formatCode="0.00%">
                  <c:v>-6.1852759058855789E-4</c:v>
                </c:pt>
                <c:pt idx="72" formatCode="0.00%">
                  <c:v>-1.475294038502506E-2</c:v>
                </c:pt>
                <c:pt idx="73" formatCode="0.00%">
                  <c:v>-2.773997077607282E-2</c:v>
                </c:pt>
                <c:pt idx="74" formatCode="0.00%">
                  <c:v>5.6978589721381478E-3</c:v>
                </c:pt>
                <c:pt idx="75" formatCode="0.00%">
                  <c:v>-2.8146327383778869E-2</c:v>
                </c:pt>
                <c:pt idx="76" formatCode="0.00%">
                  <c:v>2.0981030848821192E-3</c:v>
                </c:pt>
                <c:pt idx="77" formatCode="0.00%">
                  <c:v>2.474689050564538E-2</c:v>
                </c:pt>
                <c:pt idx="78" formatCode="0.00%">
                  <c:v>-3.6284548104956182E-2</c:v>
                </c:pt>
                <c:pt idx="79" formatCode="0.00%">
                  <c:v>5.6753139573999523E-3</c:v>
                </c:pt>
                <c:pt idx="80" formatCode="0.00%">
                  <c:v>4.8371027439124692E-3</c:v>
                </c:pt>
                <c:pt idx="81" formatCode="0.00%">
                  <c:v>2.9862434977535601E-2</c:v>
                </c:pt>
                <c:pt idx="82" formatCode="0.00%">
                  <c:v>0</c:v>
                </c:pt>
                <c:pt idx="83" formatCode="0.00%">
                  <c:v>0</c:v>
                </c:pt>
                <c:pt idx="84" formatCode="0.00%">
                  <c:v>0</c:v>
                </c:pt>
                <c:pt idx="85" formatCode="0.00%">
                  <c:v>0</c:v>
                </c:pt>
                <c:pt idx="86" formatCode="0.00%">
                  <c:v>0</c:v>
                </c:pt>
                <c:pt idx="87" formatCode="0.00%">
                  <c:v>0</c:v>
                </c:pt>
                <c:pt idx="88" formatCode="0.00%">
                  <c:v>0</c:v>
                </c:pt>
                <c:pt idx="89" formatCode="0.00%">
                  <c:v>0</c:v>
                </c:pt>
                <c:pt idx="90" formatCode="0.00%">
                  <c:v>0</c:v>
                </c:pt>
                <c:pt idx="91" formatCode="0.00%">
                  <c:v>0</c:v>
                </c:pt>
                <c:pt idx="92" formatCode="0.00%">
                  <c:v>0</c:v>
                </c:pt>
                <c:pt idx="93" formatCode="0.00%">
                  <c:v>0</c:v>
                </c:pt>
                <c:pt idx="94" formatCode="0.00%">
                  <c:v>0</c:v>
                </c:pt>
                <c:pt idx="95" formatCode="0.00%">
                  <c:v>0</c:v>
                </c:pt>
                <c:pt idx="96" formatCode="0.00%">
                  <c:v>0</c:v>
                </c:pt>
                <c:pt idx="97" formatCode="0.00%">
                  <c:v>0</c:v>
                </c:pt>
                <c:pt idx="98" formatCode="0.00%">
                  <c:v>0</c:v>
                </c:pt>
                <c:pt idx="99" formatCode="0.00%">
                  <c:v>0</c:v>
                </c:pt>
                <c:pt idx="100" formatCode="0.00%">
                  <c:v>0</c:v>
                </c:pt>
                <c:pt idx="101" formatCode="0.00%">
                  <c:v>0</c:v>
                </c:pt>
                <c:pt idx="102" formatCode="0.00%">
                  <c:v>0</c:v>
                </c:pt>
                <c:pt idx="103" formatCode="0.00%">
                  <c:v>0</c:v>
                </c:pt>
                <c:pt idx="104" formatCode="0.00%">
                  <c:v>0</c:v>
                </c:pt>
                <c:pt idx="105" formatCode="0.00%">
                  <c:v>0</c:v>
                </c:pt>
                <c:pt idx="106" formatCode="0.00%">
                  <c:v>0</c:v>
                </c:pt>
                <c:pt idx="107" formatCode="0.00%">
                  <c:v>0</c:v>
                </c:pt>
                <c:pt idx="108" formatCode="0.00%">
                  <c:v>0</c:v>
                </c:pt>
                <c:pt idx="109" formatCode="0.00%">
                  <c:v>0</c:v>
                </c:pt>
                <c:pt idx="110" formatCode="0.00%">
                  <c:v>0</c:v>
                </c:pt>
                <c:pt idx="111" formatCode="0.00%">
                  <c:v>0</c:v>
                </c:pt>
                <c:pt idx="112" formatCode="0.00%">
                  <c:v>0</c:v>
                </c:pt>
                <c:pt idx="113" formatCode="0.00%">
                  <c:v>0</c:v>
                </c:pt>
                <c:pt idx="114" formatCode="0.00%">
                  <c:v>0</c:v>
                </c:pt>
                <c:pt idx="115" formatCode="0.00%">
                  <c:v>0</c:v>
                </c:pt>
                <c:pt idx="116" formatCode="0.00%">
                  <c:v>0</c:v>
                </c:pt>
                <c:pt idx="117" formatCode="0.00%">
                  <c:v>0</c:v>
                </c:pt>
                <c:pt idx="118" formatCode="0.00%">
                  <c:v>0</c:v>
                </c:pt>
                <c:pt idx="119" formatCode="0.00%">
                  <c:v>0</c:v>
                </c:pt>
                <c:pt idx="120" formatCode="0.00%">
                  <c:v>0</c:v>
                </c:pt>
                <c:pt idx="121" formatCode="0.00%">
                  <c:v>0</c:v>
                </c:pt>
                <c:pt idx="122" formatCode="0.00%">
                  <c:v>0</c:v>
                </c:pt>
                <c:pt idx="123" formatCode="0.00%">
                  <c:v>0</c:v>
                </c:pt>
                <c:pt idx="124" formatCode="0.00%">
                  <c:v>0</c:v>
                </c:pt>
                <c:pt idx="125" formatCode="0.00%">
                  <c:v>0</c:v>
                </c:pt>
                <c:pt idx="126" formatCode="0.00%">
                  <c:v>0</c:v>
                </c:pt>
                <c:pt idx="127" formatCode="0.00%">
                  <c:v>0</c:v>
                </c:pt>
                <c:pt idx="128" formatCode="0.00%">
                  <c:v>0</c:v>
                </c:pt>
                <c:pt idx="129" formatCode="0.00%">
                  <c:v>0</c:v>
                </c:pt>
                <c:pt idx="130" formatCode="0.00%">
                  <c:v>0</c:v>
                </c:pt>
                <c:pt idx="131" formatCode="0.00%">
                  <c:v>0</c:v>
                </c:pt>
                <c:pt idx="132" formatCode="0.00%">
                  <c:v>0</c:v>
                </c:pt>
                <c:pt idx="133" formatCode="0.00%">
                  <c:v>0</c:v>
                </c:pt>
                <c:pt idx="134" formatCode="0.00%">
                  <c:v>0</c:v>
                </c:pt>
                <c:pt idx="135" formatCode="0.00%">
                  <c:v>0</c:v>
                </c:pt>
                <c:pt idx="136" formatCode="0.00%">
                  <c:v>0</c:v>
                </c:pt>
                <c:pt idx="137" formatCode="0.00%">
                  <c:v>0</c:v>
                </c:pt>
                <c:pt idx="138" formatCode="0.00%">
                  <c:v>0</c:v>
                </c:pt>
                <c:pt idx="139" formatCode="0.00%">
                  <c:v>0</c:v>
                </c:pt>
                <c:pt idx="140" formatCode="0.00%">
                  <c:v>0</c:v>
                </c:pt>
                <c:pt idx="141" formatCode="0.00%">
                  <c:v>0</c:v>
                </c:pt>
                <c:pt idx="142" formatCode="0.00%">
                  <c:v>0</c:v>
                </c:pt>
                <c:pt idx="143" formatCode="0.00%">
                  <c:v>0</c:v>
                </c:pt>
                <c:pt idx="144" formatCode="0.00%">
                  <c:v>0</c:v>
                </c:pt>
                <c:pt idx="145" formatCode="0.00%">
                  <c:v>0</c:v>
                </c:pt>
                <c:pt idx="146" formatCode="0.00%">
                  <c:v>0</c:v>
                </c:pt>
                <c:pt idx="147" formatCode="0.00%">
                  <c:v>0</c:v>
                </c:pt>
                <c:pt idx="148" formatCode="0.00%">
                  <c:v>0</c:v>
                </c:pt>
                <c:pt idx="149" formatCode="0.00%">
                  <c:v>0</c:v>
                </c:pt>
                <c:pt idx="150" formatCode="0.00%">
                  <c:v>0</c:v>
                </c:pt>
                <c:pt idx="151" formatCode="0.00%">
                  <c:v>0</c:v>
                </c:pt>
                <c:pt idx="152" formatCode="0.00%">
                  <c:v>0</c:v>
                </c:pt>
                <c:pt idx="153" formatCode="0.00%">
                  <c:v>0</c:v>
                </c:pt>
                <c:pt idx="154" formatCode="0.00%">
                  <c:v>0</c:v>
                </c:pt>
                <c:pt idx="155" formatCode="0.00%">
                  <c:v>0</c:v>
                </c:pt>
                <c:pt idx="156" formatCode="0.00%">
                  <c:v>0</c:v>
                </c:pt>
                <c:pt idx="157" formatCode="0.00%">
                  <c:v>0</c:v>
                </c:pt>
                <c:pt idx="158" formatCode="0.00%">
                  <c:v>0</c:v>
                </c:pt>
                <c:pt idx="159" formatCode="0.00%">
                  <c:v>0</c:v>
                </c:pt>
                <c:pt idx="160" formatCode="0.00%">
                  <c:v>0</c:v>
                </c:pt>
                <c:pt idx="161" formatCode="0.00%">
                  <c:v>0</c:v>
                </c:pt>
                <c:pt idx="162" formatCode="0.00%">
                  <c:v>0</c:v>
                </c:pt>
                <c:pt idx="163" formatCode="0.00%">
                  <c:v>0</c:v>
                </c:pt>
                <c:pt idx="164" formatCode="0.00%">
                  <c:v>0</c:v>
                </c:pt>
                <c:pt idx="165" formatCode="0.00%">
                  <c:v>0</c:v>
                </c:pt>
                <c:pt idx="166" formatCode="0.00%">
                  <c:v>0</c:v>
                </c:pt>
                <c:pt idx="167" formatCode="0.00%">
                  <c:v>0</c:v>
                </c:pt>
                <c:pt idx="168" formatCode="0.00%">
                  <c:v>0</c:v>
                </c:pt>
                <c:pt idx="169" formatCode="0.00%">
                  <c:v>0</c:v>
                </c:pt>
                <c:pt idx="170" formatCode="0.00%">
                  <c:v>0</c:v>
                </c:pt>
                <c:pt idx="171" formatCode="0.00%">
                  <c:v>0</c:v>
                </c:pt>
                <c:pt idx="172" formatCode="0.00%">
                  <c:v>0</c:v>
                </c:pt>
                <c:pt idx="173" formatCode="0.00%">
                  <c:v>0</c:v>
                </c:pt>
                <c:pt idx="174" formatCode="0.00%">
                  <c:v>0</c:v>
                </c:pt>
                <c:pt idx="175" formatCode="0.00%">
                  <c:v>0</c:v>
                </c:pt>
                <c:pt idx="176" formatCode="0.00%">
                  <c:v>0</c:v>
                </c:pt>
                <c:pt idx="177" formatCode="0.00%">
                  <c:v>0</c:v>
                </c:pt>
                <c:pt idx="178" formatCode="0.00%">
                  <c:v>0</c:v>
                </c:pt>
                <c:pt idx="179" formatCode="0.00%">
                  <c:v>0</c:v>
                </c:pt>
                <c:pt idx="180" formatCode="0.00%">
                  <c:v>0</c:v>
                </c:pt>
                <c:pt idx="181" formatCode="0.00%">
                  <c:v>0</c:v>
                </c:pt>
                <c:pt idx="182" formatCode="0.00%">
                  <c:v>0</c:v>
                </c:pt>
                <c:pt idx="183" formatCode="0.00%">
                  <c:v>0</c:v>
                </c:pt>
                <c:pt idx="184" formatCode="0.00%">
                  <c:v>0</c:v>
                </c:pt>
                <c:pt idx="185" formatCode="0.00%">
                  <c:v>0</c:v>
                </c:pt>
                <c:pt idx="186" formatCode="0.00%">
                  <c:v>0</c:v>
                </c:pt>
                <c:pt idx="187" formatCode="0.00%">
                  <c:v>0</c:v>
                </c:pt>
                <c:pt idx="188" formatCode="0.00%">
                  <c:v>0</c:v>
                </c:pt>
                <c:pt idx="189" formatCode="0.00%">
                  <c:v>0</c:v>
                </c:pt>
                <c:pt idx="190" formatCode="0.00%">
                  <c:v>0</c:v>
                </c:pt>
                <c:pt idx="191" formatCode="0.00%">
                  <c:v>0</c:v>
                </c:pt>
                <c:pt idx="192" formatCode="0.00%">
                  <c:v>0</c:v>
                </c:pt>
                <c:pt idx="193" formatCode="0.00%">
                  <c:v>0</c:v>
                </c:pt>
                <c:pt idx="194" formatCode="0.00%">
                  <c:v>0</c:v>
                </c:pt>
                <c:pt idx="195" formatCode="0.00%">
                  <c:v>0</c:v>
                </c:pt>
                <c:pt idx="196" formatCode="0.00%">
                  <c:v>0</c:v>
                </c:pt>
                <c:pt idx="197" formatCode="0.00%">
                  <c:v>0</c:v>
                </c:pt>
                <c:pt idx="198" formatCode="0.00%">
                  <c:v>0</c:v>
                </c:pt>
                <c:pt idx="199" formatCode="0.00%">
                  <c:v>0</c:v>
                </c:pt>
                <c:pt idx="200" formatCode="0.00%">
                  <c:v>0</c:v>
                </c:pt>
                <c:pt idx="201" formatCode="0.00%">
                  <c:v>0</c:v>
                </c:pt>
                <c:pt idx="202" formatCode="0.00%">
                  <c:v>0</c:v>
                </c:pt>
                <c:pt idx="203" formatCode="0.00%">
                  <c:v>0</c:v>
                </c:pt>
                <c:pt idx="204" formatCode="0.00%">
                  <c:v>0</c:v>
                </c:pt>
                <c:pt idx="205" formatCode="0.00%">
                  <c:v>0</c:v>
                </c:pt>
                <c:pt idx="206" formatCode="0.00%">
                  <c:v>0</c:v>
                </c:pt>
                <c:pt idx="207" formatCode="0.00%">
                  <c:v>0</c:v>
                </c:pt>
                <c:pt idx="208" formatCode="0.00%">
                  <c:v>0</c:v>
                </c:pt>
                <c:pt idx="209" formatCode="0.00%">
                  <c:v>0</c:v>
                </c:pt>
                <c:pt idx="210" formatCode="0.00%">
                  <c:v>0</c:v>
                </c:pt>
                <c:pt idx="211" formatCode="0.00%">
                  <c:v>0</c:v>
                </c:pt>
                <c:pt idx="212" formatCode="0.00%">
                  <c:v>0</c:v>
                </c:pt>
                <c:pt idx="213" formatCode="0.00%">
                  <c:v>0</c:v>
                </c:pt>
                <c:pt idx="214" formatCode="0.00%">
                  <c:v>0</c:v>
                </c:pt>
                <c:pt idx="215" formatCode="0.00%">
                  <c:v>0</c:v>
                </c:pt>
                <c:pt idx="216" formatCode="0.00%">
                  <c:v>0</c:v>
                </c:pt>
                <c:pt idx="217" formatCode="0.00%">
                  <c:v>0</c:v>
                </c:pt>
                <c:pt idx="218" formatCode="0.00%">
                  <c:v>0</c:v>
                </c:pt>
                <c:pt idx="219" formatCode="0.00%">
                  <c:v>0</c:v>
                </c:pt>
                <c:pt idx="220" formatCode="0.00%">
                  <c:v>0</c:v>
                </c:pt>
                <c:pt idx="221" formatCode="0.00%">
                  <c:v>0</c:v>
                </c:pt>
                <c:pt idx="222" formatCode="0.00%">
                  <c:v>0</c:v>
                </c:pt>
                <c:pt idx="223" formatCode="0.00%">
                  <c:v>0</c:v>
                </c:pt>
                <c:pt idx="224" formatCode="0.00%">
                  <c:v>0</c:v>
                </c:pt>
                <c:pt idx="225" formatCode="0.00%">
                  <c:v>0</c:v>
                </c:pt>
                <c:pt idx="226" formatCode="0.00%">
                  <c:v>0</c:v>
                </c:pt>
                <c:pt idx="227" formatCode="0.00%">
                  <c:v>0</c:v>
                </c:pt>
                <c:pt idx="228" formatCode="0.00%">
                  <c:v>0</c:v>
                </c:pt>
                <c:pt idx="229" formatCode="0.00%">
                  <c:v>0</c:v>
                </c:pt>
                <c:pt idx="230" formatCode="0.00%">
                  <c:v>0</c:v>
                </c:pt>
                <c:pt idx="231" formatCode="0.00%">
                  <c:v>0</c:v>
                </c:pt>
                <c:pt idx="232" formatCode="0.00%">
                  <c:v>0</c:v>
                </c:pt>
                <c:pt idx="233" formatCode="0.00%">
                  <c:v>0</c:v>
                </c:pt>
                <c:pt idx="234" formatCode="0.00%">
                  <c:v>0</c:v>
                </c:pt>
                <c:pt idx="235" formatCode="0.00%">
                  <c:v>0</c:v>
                </c:pt>
                <c:pt idx="236" formatCode="0.00%">
                  <c:v>0</c:v>
                </c:pt>
                <c:pt idx="237" formatCode="0.00%">
                  <c:v>0</c:v>
                </c:pt>
                <c:pt idx="238" formatCode="0.00%">
                  <c:v>0</c:v>
                </c:pt>
                <c:pt idx="239" formatCode="0.00%">
                  <c:v>0</c:v>
                </c:pt>
                <c:pt idx="240" formatCode="0.00%">
                  <c:v>0</c:v>
                </c:pt>
                <c:pt idx="241" formatCode="0.00%">
                  <c:v>0</c:v>
                </c:pt>
                <c:pt idx="242" formatCode="0.00%">
                  <c:v>0</c:v>
                </c:pt>
                <c:pt idx="243" formatCode="0.00%">
                  <c:v>0</c:v>
                </c:pt>
                <c:pt idx="244" formatCode="0.00%">
                  <c:v>0</c:v>
                </c:pt>
                <c:pt idx="245" formatCode="0.00%">
                  <c:v>0</c:v>
                </c:pt>
                <c:pt idx="246" formatCode="0.00%">
                  <c:v>0</c:v>
                </c:pt>
                <c:pt idx="247" formatCode="0.00%">
                  <c:v>0</c:v>
                </c:pt>
                <c:pt idx="248" formatCode="0.00%">
                  <c:v>0</c:v>
                </c:pt>
                <c:pt idx="249" formatCode="0.00%">
                  <c:v>0</c:v>
                </c:pt>
                <c:pt idx="250" formatCode="0.00%">
                  <c:v>0</c:v>
                </c:pt>
                <c:pt idx="251" formatCode="0.00%">
                  <c:v>0</c:v>
                </c:pt>
                <c:pt idx="252" formatCode="0.00%">
                  <c:v>0</c:v>
                </c:pt>
                <c:pt idx="253" formatCode="0.00%">
                  <c:v>0</c:v>
                </c:pt>
                <c:pt idx="254" formatCode="0.00%">
                  <c:v>0</c:v>
                </c:pt>
                <c:pt idx="255" formatCode="0.00%">
                  <c:v>0</c:v>
                </c:pt>
                <c:pt idx="256" formatCode="0.00%">
                  <c:v>0</c:v>
                </c:pt>
                <c:pt idx="257" formatCode="0.00%">
                  <c:v>0</c:v>
                </c:pt>
                <c:pt idx="258" formatCode="0.00%">
                  <c:v>0</c:v>
                </c:pt>
                <c:pt idx="259" formatCode="0.00%">
                  <c:v>0</c:v>
                </c:pt>
                <c:pt idx="260" formatCode="0.00%">
                  <c:v>0</c:v>
                </c:pt>
                <c:pt idx="261" formatCode="0.00%">
                  <c:v>0</c:v>
                </c:pt>
                <c:pt idx="262" formatCode="0.00%">
                  <c:v>0</c:v>
                </c:pt>
                <c:pt idx="263" formatCode="0.00%">
                  <c:v>0</c:v>
                </c:pt>
                <c:pt idx="264" formatCode="0.00%">
                  <c:v>0</c:v>
                </c:pt>
                <c:pt idx="265" formatCode="0.00%">
                  <c:v>0</c:v>
                </c:pt>
                <c:pt idx="266" formatCode="0.00%">
                  <c:v>0</c:v>
                </c:pt>
                <c:pt idx="267" formatCode="0.00%">
                  <c:v>0</c:v>
                </c:pt>
                <c:pt idx="268" formatCode="0.00%">
                  <c:v>0</c:v>
                </c:pt>
                <c:pt idx="269" formatCode="0.00%">
                  <c:v>0</c:v>
                </c:pt>
                <c:pt idx="270" formatCode="0.00%">
                  <c:v>0</c:v>
                </c:pt>
                <c:pt idx="271" formatCode="0.00%">
                  <c:v>0</c:v>
                </c:pt>
                <c:pt idx="272" formatCode="0.00%">
                  <c:v>0</c:v>
                </c:pt>
                <c:pt idx="273" formatCode="0.00%">
                  <c:v>0</c:v>
                </c:pt>
                <c:pt idx="274" formatCode="0.00%">
                  <c:v>0</c:v>
                </c:pt>
                <c:pt idx="275" formatCode="0.00%">
                  <c:v>0</c:v>
                </c:pt>
                <c:pt idx="276" formatCode="0.00%">
                  <c:v>0</c:v>
                </c:pt>
                <c:pt idx="277" formatCode="0.00%">
                  <c:v>0</c:v>
                </c:pt>
                <c:pt idx="278" formatCode="0.00%">
                  <c:v>0</c:v>
                </c:pt>
                <c:pt idx="279" formatCode="0.00%">
                  <c:v>0</c:v>
                </c:pt>
                <c:pt idx="280" formatCode="0.00%">
                  <c:v>0</c:v>
                </c:pt>
                <c:pt idx="281" formatCode="0.00%">
                  <c:v>0</c:v>
                </c:pt>
                <c:pt idx="282" formatCode="0.00%">
                  <c:v>0</c:v>
                </c:pt>
                <c:pt idx="283" formatCode="0.00%">
                  <c:v>0</c:v>
                </c:pt>
                <c:pt idx="284" formatCode="0.00%">
                  <c:v>0</c:v>
                </c:pt>
                <c:pt idx="285" formatCode="0.00%">
                  <c:v>0</c:v>
                </c:pt>
                <c:pt idx="286" formatCode="0.00%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21-954A-97EE-AC36F351C2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0837251"/>
        <c:axId val="1913272995"/>
      </c:lineChart>
      <c:catAx>
        <c:axId val="8708372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13272995"/>
        <c:crosses val="autoZero"/>
        <c:auto val="1"/>
        <c:lblAlgn val="ctr"/>
        <c:lblOffset val="100"/>
        <c:noMultiLvlLbl val="1"/>
      </c:catAx>
      <c:valAx>
        <c:axId val="191327299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70837251"/>
        <c:crosses val="autoZero"/>
        <c:crossBetween val="between"/>
      </c:valAx>
    </c:plotArea>
    <c:legend>
      <c:legendPos val="t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B7B7B7"/>
    </a:solidFill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47625</xdr:colOff>
      <xdr:row>11</xdr:row>
      <xdr:rowOff>19050</xdr:rowOff>
    </xdr:from>
    <xdr:ext cx="5715000" cy="3533775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82</xdr:row>
      <xdr:rowOff>28575</xdr:rowOff>
    </xdr:from>
    <xdr:ext cx="16344900" cy="7705725"/>
    <xdr:graphicFrame macro="">
      <xdr:nvGraphicFramePr>
        <xdr:cNvPr id="2" name="Chart 2" title="Chart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0</xdr:col>
      <xdr:colOff>0</xdr:colOff>
      <xdr:row>0</xdr:row>
      <xdr:rowOff>0</xdr:rowOff>
    </xdr:from>
    <xdr:ext cx="16344900" cy="7858125"/>
    <xdr:graphicFrame macro="">
      <xdr:nvGraphicFramePr>
        <xdr:cNvPr id="3" name="Chart 3" title="Chart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0</xdr:col>
      <xdr:colOff>0</xdr:colOff>
      <xdr:row>41</xdr:row>
      <xdr:rowOff>95250</xdr:rowOff>
    </xdr:from>
    <xdr:ext cx="16344900" cy="7534275"/>
    <xdr:graphicFrame macro="">
      <xdr:nvGraphicFramePr>
        <xdr:cNvPr id="4" name="Chart 4" title="Chart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J14"/>
  <sheetViews>
    <sheetView workbookViewId="0">
      <selection sqref="A1:B2"/>
    </sheetView>
  </sheetViews>
  <sheetFormatPr baseColWidth="10" defaultColWidth="12.6640625" defaultRowHeight="15.75" customHeight="1"/>
  <sheetData>
    <row r="1" spans="1:10" ht="15.75" customHeight="1">
      <c r="A1" s="60">
        <f ca="1">NOW()</f>
        <v>44686.831571180555</v>
      </c>
      <c r="B1" s="57"/>
      <c r="C1" s="61" t="str">
        <f ca="1">IF(OR((WEEKDAY(A2))=1,(WEEKDAY(A2))=7),"Market Closed",IF(TIME(HOUR(NOW()),MINUTE(NOW()),SECOND(NOW()))&gt;TIME(13,0,0), "Market Closed", IF((TIME(HOUR(NOW()),MINUTE(NOW()),SECOND(NOW()))&gt;TIME(6,30,0)),"Market Open","Market Closed")))</f>
        <v>Market Closed</v>
      </c>
      <c r="D1" s="57"/>
      <c r="F1" s="2" t="s">
        <v>0</v>
      </c>
      <c r="G1" s="2" t="s">
        <v>1</v>
      </c>
      <c r="H1" s="2" t="s">
        <v>2</v>
      </c>
      <c r="I1" s="2" t="s">
        <v>3</v>
      </c>
      <c r="J1" s="2" t="s">
        <v>4</v>
      </c>
    </row>
    <row r="2" spans="1:10" ht="15.75" customHeight="1">
      <c r="A2" s="57"/>
      <c r="B2" s="57"/>
      <c r="C2" s="57"/>
      <c r="D2" s="57"/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</row>
    <row r="3" spans="1:10" ht="15.75" customHeight="1">
      <c r="A3" s="62" t="s">
        <v>10</v>
      </c>
      <c r="B3" s="57"/>
      <c r="C3" s="61" t="e">
        <f>SUM(#REF!)</f>
        <v>#REF!</v>
      </c>
      <c r="D3" s="57"/>
      <c r="F3" s="3">
        <f ca="1">IFERROR(__xludf.DUMMYFUNCTION("GOOGLEFINANCE(F2)"),4146.87)</f>
        <v>4146.87</v>
      </c>
      <c r="G3" s="3">
        <f ca="1">IFERROR(__xludf.DUMMYFUNCTION("GOOGLEFINANCE(G2)"),32997.97)</f>
        <v>32997.97</v>
      </c>
      <c r="H3" s="3">
        <f ca="1">IFERROR(__xludf.DUMMYFUNCTION("GOOGLEFINANCE(H2)"),12317.69)</f>
        <v>12317.69</v>
      </c>
      <c r="I3" s="3">
        <f ca="1">IFERROR(__xludf.DUMMYFUNCTION("GOOGLEFINANCE(I2)"),1871.15)</f>
        <v>1871.15</v>
      </c>
      <c r="J3" s="3">
        <f ca="1">IFERROR(__xludf.DUMMYFUNCTION("GOOGLEFINANCE(J2)"),31.2)</f>
        <v>31.2</v>
      </c>
    </row>
    <row r="4" spans="1:10" ht="15.75" customHeight="1">
      <c r="A4" s="57"/>
      <c r="B4" s="57"/>
      <c r="C4" s="57"/>
      <c r="D4" s="57"/>
      <c r="F4" s="1">
        <f ca="1">IFERROR(__xludf.DUMMYFUNCTION("GOOGLEFINANCE(F2,""Changepct"")"),-3.56)</f>
        <v>-3.56</v>
      </c>
      <c r="G4" s="1">
        <f ca="1">IFERROR(__xludf.DUMMYFUNCTION("GOOGLEFINANCE(G2,""Changepct"")"),-3.12)</f>
        <v>-3.12</v>
      </c>
      <c r="H4" s="1">
        <f ca="1">IFERROR(__xludf.DUMMYFUNCTION("GOOGLEFINANCE(H2,""Changepct"")"),-4.99)</f>
        <v>-4.99</v>
      </c>
      <c r="I4" s="1">
        <f ca="1">IFERROR(__xludf.DUMMYFUNCTION("GOOGLEFINANCE(I2,""Changepct"")"),-4.04)</f>
        <v>-4.04</v>
      </c>
      <c r="J4" s="1">
        <f ca="1">IFERROR(__xludf.DUMMYFUNCTION("GOOGLEFINANCE(J2,""Changepct"")"),22.74)</f>
        <v>22.74</v>
      </c>
    </row>
    <row r="5" spans="1:10" ht="15.75" customHeight="1">
      <c r="A5" s="63" t="s">
        <v>11</v>
      </c>
      <c r="B5" s="57"/>
      <c r="C5" s="57"/>
      <c r="D5" s="57"/>
      <c r="F5" s="4">
        <f t="shared" ref="F5:J5" ca="1" si="0">F4/F3</f>
        <v>-8.5847880449592103E-4</v>
      </c>
      <c r="G5" s="4">
        <f t="shared" ca="1" si="0"/>
        <v>-9.455127088120875E-5</v>
      </c>
      <c r="H5" s="4">
        <f t="shared" ca="1" si="0"/>
        <v>-4.0510842536222293E-4</v>
      </c>
      <c r="I5" s="4">
        <f t="shared" ca="1" si="0"/>
        <v>-2.1591000187050746E-3</v>
      </c>
      <c r="J5" s="4">
        <f t="shared" ca="1" si="0"/>
        <v>0.72884615384615381</v>
      </c>
    </row>
    <row r="6" spans="1:10" ht="15.75" customHeight="1">
      <c r="A6" s="58" t="s">
        <v>12</v>
      </c>
      <c r="B6" s="57"/>
      <c r="C6" s="3" t="e">
        <f>C7+C8</f>
        <v>#REF!</v>
      </c>
      <c r="F6" s="56" t="str">
        <f ca="1">IFERROR(__xludf.DUMMYFUNCTION("SPARKLINE(GOOGLEFINANCE(F2,""Price"",Today()-364,TODAY()))"),"")</f>
        <v/>
      </c>
      <c r="G6" s="56" t="str">
        <f ca="1">IFERROR(__xludf.DUMMYFUNCTION("SPARKLINE(GOOGLEFINANCE(G2,""Price"",today()-364,TODAY()))"),"")</f>
        <v/>
      </c>
      <c r="H6" s="56" t="str">
        <f ca="1">IFERROR(__xludf.DUMMYFUNCTION("SPARKLINE(GOOGLEFINANCE(H2,""Price"",today()-364,TODAY()))"),"")</f>
        <v/>
      </c>
      <c r="I6" s="56" t="str">
        <f ca="1">IFERROR(__xludf.DUMMYFUNCTION("SPARKLINE(GOOGLEFINANCE(I2,""Price"",today()-364,TODAY()))"),"")</f>
        <v/>
      </c>
      <c r="J6" s="56" t="str">
        <f ca="1">IFERROR(__xludf.DUMMYFUNCTION("SPARKLINE(GOOGLEFINANCE(J2,""Price"",today()-364,TODAY()))"),"")</f>
        <v/>
      </c>
    </row>
    <row r="7" spans="1:10" ht="15.75" customHeight="1">
      <c r="A7" s="58" t="s">
        <v>13</v>
      </c>
      <c r="B7" s="57"/>
      <c r="C7" s="3" t="e">
        <f>SUM(#REF!)</f>
        <v>#REF!</v>
      </c>
      <c r="F7" s="57"/>
      <c r="G7" s="57"/>
      <c r="H7" s="57"/>
      <c r="I7" s="57"/>
      <c r="J7" s="57"/>
    </row>
    <row r="8" spans="1:10" ht="15.75" customHeight="1">
      <c r="A8" s="58" t="s">
        <v>14</v>
      </c>
      <c r="B8" s="57"/>
      <c r="C8" s="3">
        <f>SUMIF(HistoryAction,"Deposit",HistoryTotal)+SUMIF(HistoryAction,"Sell",HistoryTotal)+SUMIF(HistoryAction,"Dividend",HistoryTotal)+SUMIF(HistoryAction,"Interest",HistoryTotal)-SUMIF(HistoryAction,"Buy",HistoryTotal)</f>
        <v>-27194.480000000447</v>
      </c>
    </row>
    <row r="9" spans="1:10" ht="15.75" customHeight="1">
      <c r="A9" s="58" t="s">
        <v>15</v>
      </c>
      <c r="B9" s="57"/>
      <c r="C9" s="3" t="e">
        <f>SUM(#REF!)</f>
        <v>#REF!</v>
      </c>
    </row>
    <row r="10" spans="1:10" ht="15.75" customHeight="1">
      <c r="A10" s="58" t="s">
        <v>16</v>
      </c>
      <c r="B10" s="57"/>
      <c r="C10" s="3">
        <f>SUMIF(HistoryAction,"Dividend",HistoryTotal)</f>
        <v>0</v>
      </c>
    </row>
    <row r="11" spans="1:10" ht="15.75" customHeight="1">
      <c r="A11" s="59" t="s">
        <v>17</v>
      </c>
      <c r="B11" s="57"/>
      <c r="C11" s="1" t="e">
        <f ca="1">OFFSET(Positions!B2,MATCH(MAX(#REF!),#REF!,0),0,1)</f>
        <v>#REF!</v>
      </c>
      <c r="D11" s="7" t="e">
        <f>(MAX(#REF!))</f>
        <v>#REF!</v>
      </c>
    </row>
    <row r="12" spans="1:10" ht="15.75" customHeight="1">
      <c r="A12" s="59" t="s">
        <v>18</v>
      </c>
      <c r="B12" s="57"/>
      <c r="C12" s="1" t="e">
        <f ca="1">OFFSET(Positions!B2,MATCH(MIN(#REF!),#REF!,0),0,1)</f>
        <v>#REF!</v>
      </c>
      <c r="D12" s="7" t="e">
        <f>(MIN(#REF!))</f>
        <v>#REF!</v>
      </c>
    </row>
    <row r="13" spans="1:10" ht="15.75" customHeight="1">
      <c r="A13" s="56" t="s">
        <v>19</v>
      </c>
      <c r="B13" s="57"/>
      <c r="C13" s="8">
        <f>Transactions!G121</f>
        <v>230313.73</v>
      </c>
    </row>
    <row r="14" spans="1:10" ht="15.75" customHeight="1">
      <c r="A14" s="56" t="s">
        <v>20</v>
      </c>
      <c r="B14" s="57"/>
      <c r="C14" s="10" t="e">
        <f>(SUM(#REF!)- SUM(#REF!))/SUM(#REF!)</f>
        <v>#REF!</v>
      </c>
    </row>
  </sheetData>
  <mergeCells count="19">
    <mergeCell ref="A13:B13"/>
    <mergeCell ref="A14:B14"/>
    <mergeCell ref="A1:B2"/>
    <mergeCell ref="C1:D2"/>
    <mergeCell ref="A3:B4"/>
    <mergeCell ref="C3:D4"/>
    <mergeCell ref="A5:D5"/>
    <mergeCell ref="A6:B6"/>
    <mergeCell ref="A8:B8"/>
    <mergeCell ref="A9:B9"/>
    <mergeCell ref="A10:B10"/>
    <mergeCell ref="A11:B11"/>
    <mergeCell ref="A12:B12"/>
    <mergeCell ref="G6:G7"/>
    <mergeCell ref="H6:H7"/>
    <mergeCell ref="I6:I7"/>
    <mergeCell ref="J6:J7"/>
    <mergeCell ref="A7:B7"/>
    <mergeCell ref="F6:F7"/>
  </mergeCells>
  <conditionalFormatting sqref="F4:J5">
    <cfRule type="cellIs" dxfId="1" priority="1" operator="greaterThanOrEqual">
      <formula>0</formula>
    </cfRule>
  </conditionalFormatting>
  <conditionalFormatting sqref="F4:J5">
    <cfRule type="cellIs" dxfId="0" priority="2" operator="lessThan">
      <formula>0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"/>
  <sheetViews>
    <sheetView workbookViewId="0"/>
  </sheetViews>
  <sheetFormatPr baseColWidth="10" defaultColWidth="12.6640625" defaultRowHeight="15.75" customHeight="1"/>
  <sheetData>
    <row r="1" spans="1:1" ht="15.75" customHeight="1">
      <c r="A1" s="11"/>
    </row>
  </sheetData>
  <printOptions horizontalCentered="1" gridLines="1"/>
  <pageMargins left="0.7" right="0.7" top="0.75" bottom="0.75" header="0" footer="0"/>
  <pageSetup pageOrder="overThenDown" orientation="landscape" cellComments="atEnd"/>
  <rowBreaks count="2" manualBreakCount="2">
    <brk id="80" man="1"/>
    <brk id="40" man="1"/>
  </rowBreaks>
  <colBreaks count="2" manualBreakCount="2">
    <brk man="1"/>
    <brk id="17" man="1"/>
  </colBreak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G6"/>
  <sheetViews>
    <sheetView workbookViewId="0"/>
  </sheetViews>
  <sheetFormatPr baseColWidth="10" defaultColWidth="12.6640625" defaultRowHeight="15.75" customHeight="1"/>
  <cols>
    <col min="1" max="1" width="15.5" customWidth="1"/>
    <col min="7" max="7" width="16" customWidth="1"/>
  </cols>
  <sheetData>
    <row r="1" spans="1:7" ht="15.75" customHeight="1">
      <c r="A1" s="12">
        <v>44624</v>
      </c>
    </row>
    <row r="2" spans="1:7" ht="15.75" customHeight="1">
      <c r="B2" s="2" t="s">
        <v>21</v>
      </c>
      <c r="C2" s="2" t="s">
        <v>22</v>
      </c>
      <c r="D2" s="2"/>
      <c r="E2" s="2" t="s">
        <v>23</v>
      </c>
      <c r="F2" s="2" t="s">
        <v>24</v>
      </c>
    </row>
    <row r="3" spans="1:7" ht="15.75" customHeight="1">
      <c r="A3" s="9" t="s">
        <v>25</v>
      </c>
      <c r="B3" s="13" t="e">
        <f ca="1">_xludf.MINIFS('Total Returns'!AO2:AO49,'Total Returns'!A2:A49,A3)</f>
        <v>#NAME?</v>
      </c>
      <c r="C3" s="2" t="s">
        <v>26</v>
      </c>
      <c r="D3" s="2" t="s">
        <v>27</v>
      </c>
      <c r="E3" s="14" t="e">
        <f ca="1">_xludf.MAXIFS('Total Returns'!AO2:AO49, 'Total Returns'!A2:A49,A3)</f>
        <v>#NAME?</v>
      </c>
      <c r="F3" s="2" t="s">
        <v>28</v>
      </c>
      <c r="G3" s="2" t="s">
        <v>29</v>
      </c>
    </row>
    <row r="4" spans="1:7" ht="15.75" customHeight="1">
      <c r="A4" s="9" t="s">
        <v>30</v>
      </c>
      <c r="B4" s="13" t="e">
        <f ca="1">_xludf.MINIFS('Total Returns'!AO2:AO49,'Total Returns'!A2:A49,A4)</f>
        <v>#NAME?</v>
      </c>
      <c r="C4" s="2" t="s">
        <v>31</v>
      </c>
      <c r="D4" s="2" t="s">
        <v>32</v>
      </c>
      <c r="E4" s="14" t="e">
        <f ca="1">_xludf.MAXIFS('Total Returns'!AO2:AO49, 'Total Returns'!A2:A49,A4)</f>
        <v>#NAME?</v>
      </c>
      <c r="F4" s="2" t="s">
        <v>33</v>
      </c>
      <c r="G4" s="2" t="s">
        <v>34</v>
      </c>
    </row>
    <row r="5" spans="1:7" ht="15.75" customHeight="1">
      <c r="A5" s="9" t="s">
        <v>35</v>
      </c>
      <c r="B5" s="13" t="e">
        <f ca="1">_xludf.MINIFS('Total Returns'!AO2:AO50,'Total Returns'!A2:A50,A5)</f>
        <v>#NAME?</v>
      </c>
      <c r="C5" s="2" t="s">
        <v>36</v>
      </c>
      <c r="D5" s="2" t="s">
        <v>37</v>
      </c>
      <c r="E5" s="14" t="e">
        <f ca="1">_xludf.MAXIFS('Total Returns'!AO2:AO50, 'Total Returns'!A2:A50,A5)</f>
        <v>#NAME?</v>
      </c>
      <c r="F5" s="2" t="s">
        <v>38</v>
      </c>
      <c r="G5" s="2" t="s">
        <v>39</v>
      </c>
    </row>
    <row r="6" spans="1:7" ht="15.75" customHeight="1">
      <c r="A6" s="2" t="s">
        <v>40</v>
      </c>
      <c r="B6" s="13" t="e">
        <f ca="1">_xludf.MINIFS('Total Returns'!AO2:AO51,'Total Returns'!A2:A51,A6)</f>
        <v>#NAME?</v>
      </c>
      <c r="C6" s="2" t="s">
        <v>41</v>
      </c>
      <c r="D6" s="2" t="s">
        <v>42</v>
      </c>
      <c r="E6" s="14" t="e">
        <f ca="1">_xludf.MAXIFS('Total Returns'!AO2:AO51, 'Total Returns'!A2:A51,A6)</f>
        <v>#NAME?</v>
      </c>
      <c r="F6" s="2" t="s">
        <v>43</v>
      </c>
      <c r="G6" s="2" t="s">
        <v>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LG52"/>
  <sheetViews>
    <sheetView workbookViewId="0"/>
  </sheetViews>
  <sheetFormatPr baseColWidth="10" defaultColWidth="12.6640625" defaultRowHeight="15.75" customHeight="1"/>
  <cols>
    <col min="1" max="1" width="20.5" customWidth="1"/>
    <col min="2" max="2" width="15" customWidth="1"/>
  </cols>
  <sheetData>
    <row r="1" spans="1:319" ht="15.75" customHeight="1">
      <c r="A1" s="15"/>
      <c r="B1" s="15">
        <f ca="1">IFERROR(__xludf.DUMMYFUNCTION("index(GOOGLEFINANCE($B$3,""close"",date(2022,1,3),TODAY()),2,1)"),44564.6666666666)</f>
        <v>44564.666666666599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U1" s="16">
        <v>20</v>
      </c>
      <c r="V1" s="16">
        <v>21</v>
      </c>
      <c r="W1" s="16">
        <v>22</v>
      </c>
      <c r="X1" s="16">
        <v>23</v>
      </c>
      <c r="Y1" s="16">
        <v>24</v>
      </c>
      <c r="Z1" s="16">
        <v>25</v>
      </c>
      <c r="AA1" s="16">
        <v>26</v>
      </c>
      <c r="AB1" s="16">
        <v>27</v>
      </c>
      <c r="AC1" s="16">
        <v>28</v>
      </c>
      <c r="AD1" s="16">
        <v>29</v>
      </c>
      <c r="AE1" s="16">
        <v>30</v>
      </c>
      <c r="AF1" s="16">
        <v>31</v>
      </c>
      <c r="AG1" s="16">
        <v>32</v>
      </c>
      <c r="AH1" s="16">
        <v>33</v>
      </c>
      <c r="AI1" s="16">
        <v>34</v>
      </c>
      <c r="AJ1" s="16">
        <v>35</v>
      </c>
      <c r="AK1" s="16">
        <v>36</v>
      </c>
      <c r="AL1" s="16">
        <v>37</v>
      </c>
      <c r="AM1" s="16">
        <v>38</v>
      </c>
      <c r="AN1" s="16">
        <v>39</v>
      </c>
      <c r="AO1" s="16">
        <v>40</v>
      </c>
      <c r="AP1" s="16">
        <v>41</v>
      </c>
      <c r="AQ1" s="16">
        <v>42</v>
      </c>
      <c r="AR1" s="16">
        <v>43</v>
      </c>
      <c r="AS1" s="16">
        <v>44</v>
      </c>
      <c r="AT1" s="16">
        <v>45</v>
      </c>
      <c r="AU1" s="16">
        <v>46</v>
      </c>
      <c r="AV1" s="16">
        <v>47</v>
      </c>
      <c r="AW1" s="16">
        <v>48</v>
      </c>
      <c r="AX1" s="16">
        <v>49</v>
      </c>
      <c r="AY1" s="16">
        <v>50</v>
      </c>
      <c r="AZ1" s="16">
        <v>51</v>
      </c>
      <c r="BA1" s="16">
        <v>52</v>
      </c>
      <c r="BB1" s="16">
        <v>53</v>
      </c>
      <c r="BC1" s="16">
        <v>54</v>
      </c>
      <c r="BD1" s="16">
        <v>55</v>
      </c>
      <c r="BE1" s="16">
        <v>56</v>
      </c>
      <c r="BF1" s="16">
        <v>57</v>
      </c>
      <c r="BG1" s="16">
        <v>58</v>
      </c>
      <c r="BH1" s="16">
        <v>59</v>
      </c>
      <c r="BI1" s="16">
        <v>60</v>
      </c>
      <c r="BJ1" s="16">
        <v>61</v>
      </c>
      <c r="BK1" s="16">
        <v>62</v>
      </c>
      <c r="BL1" s="16">
        <v>63</v>
      </c>
      <c r="BM1" s="16">
        <v>64</v>
      </c>
      <c r="BN1" s="16">
        <v>65</v>
      </c>
      <c r="BO1" s="16">
        <v>66</v>
      </c>
      <c r="BP1" s="16">
        <v>67</v>
      </c>
      <c r="BQ1" s="16">
        <v>68</v>
      </c>
      <c r="BR1" s="16">
        <v>69</v>
      </c>
      <c r="BS1" s="16">
        <v>70</v>
      </c>
      <c r="BT1" s="16">
        <v>71</v>
      </c>
      <c r="BU1" s="16">
        <v>72</v>
      </c>
      <c r="BV1" s="16">
        <v>73</v>
      </c>
      <c r="BW1" s="16">
        <v>74</v>
      </c>
      <c r="BX1" s="16">
        <v>75</v>
      </c>
      <c r="BY1" s="16">
        <v>76</v>
      </c>
      <c r="BZ1" s="16">
        <v>77</v>
      </c>
      <c r="CA1" s="16">
        <v>78</v>
      </c>
      <c r="CB1" s="16">
        <v>79</v>
      </c>
      <c r="CC1" s="16">
        <v>80</v>
      </c>
      <c r="CD1" s="16">
        <v>81</v>
      </c>
      <c r="CE1" s="16">
        <v>82</v>
      </c>
      <c r="CF1" s="16">
        <v>83</v>
      </c>
      <c r="CG1" s="16">
        <v>84</v>
      </c>
      <c r="CH1" s="16">
        <v>85</v>
      </c>
      <c r="CI1" s="16">
        <v>86</v>
      </c>
      <c r="CJ1" s="16">
        <v>87</v>
      </c>
      <c r="CK1" s="16">
        <v>88</v>
      </c>
      <c r="CL1" s="16">
        <v>89</v>
      </c>
      <c r="CM1" s="16">
        <v>90</v>
      </c>
      <c r="CN1" s="16">
        <v>91</v>
      </c>
      <c r="CO1" s="16">
        <v>92</v>
      </c>
      <c r="CP1" s="16">
        <v>93</v>
      </c>
      <c r="CQ1" s="16">
        <v>94</v>
      </c>
      <c r="CR1" s="16">
        <v>95</v>
      </c>
      <c r="CS1" s="16">
        <v>96</v>
      </c>
      <c r="CT1" s="16">
        <v>97</v>
      </c>
      <c r="CU1" s="16">
        <v>98</v>
      </c>
      <c r="CV1" s="16">
        <v>99</v>
      </c>
      <c r="CW1" s="16">
        <v>100</v>
      </c>
      <c r="CX1" s="16">
        <v>101</v>
      </c>
      <c r="CY1" s="16">
        <v>102</v>
      </c>
      <c r="CZ1" s="16">
        <v>103</v>
      </c>
      <c r="DA1" s="16">
        <v>104</v>
      </c>
      <c r="DB1" s="16">
        <v>105</v>
      </c>
      <c r="DC1" s="16">
        <v>106</v>
      </c>
      <c r="DD1" s="16">
        <v>107</v>
      </c>
      <c r="DE1" s="16">
        <v>108</v>
      </c>
      <c r="DF1" s="16">
        <v>109</v>
      </c>
      <c r="DG1" s="16">
        <v>110</v>
      </c>
      <c r="DH1" s="16">
        <v>111</v>
      </c>
      <c r="DI1" s="16">
        <v>112</v>
      </c>
      <c r="DJ1" s="16">
        <v>113</v>
      </c>
      <c r="DK1" s="16">
        <v>114</v>
      </c>
      <c r="DL1" s="16">
        <v>115</v>
      </c>
      <c r="DM1" s="16">
        <v>116</v>
      </c>
      <c r="DN1" s="16">
        <v>117</v>
      </c>
      <c r="DO1" s="16">
        <v>118</v>
      </c>
      <c r="DP1" s="16">
        <v>119</v>
      </c>
      <c r="DQ1" s="16">
        <v>120</v>
      </c>
      <c r="DR1" s="16">
        <v>121</v>
      </c>
      <c r="DS1" s="16">
        <v>122</v>
      </c>
      <c r="DT1" s="16">
        <v>123</v>
      </c>
      <c r="DU1" s="16">
        <v>124</v>
      </c>
      <c r="DV1" s="16">
        <v>125</v>
      </c>
      <c r="DW1" s="16">
        <v>126</v>
      </c>
      <c r="DX1" s="16">
        <v>127</v>
      </c>
      <c r="DY1" s="16">
        <v>128</v>
      </c>
      <c r="DZ1" s="16">
        <v>129</v>
      </c>
      <c r="EA1" s="16">
        <v>130</v>
      </c>
      <c r="EB1" s="16">
        <v>131</v>
      </c>
      <c r="EC1" s="16">
        <v>132</v>
      </c>
      <c r="ED1" s="16">
        <v>133</v>
      </c>
      <c r="EE1" s="16">
        <v>134</v>
      </c>
      <c r="EF1" s="16">
        <v>135</v>
      </c>
      <c r="EG1" s="16">
        <v>136</v>
      </c>
      <c r="EH1" s="16">
        <v>137</v>
      </c>
      <c r="EI1" s="16">
        <v>138</v>
      </c>
      <c r="EJ1" s="16">
        <v>139</v>
      </c>
      <c r="EK1" s="16">
        <v>140</v>
      </c>
      <c r="EL1" s="16">
        <v>141</v>
      </c>
      <c r="EM1" s="16">
        <v>142</v>
      </c>
      <c r="EN1" s="16">
        <v>143</v>
      </c>
      <c r="EO1" s="16">
        <v>144</v>
      </c>
      <c r="EP1" s="16">
        <v>145</v>
      </c>
      <c r="EQ1" s="16">
        <v>146</v>
      </c>
      <c r="ER1" s="16">
        <v>147</v>
      </c>
      <c r="ES1" s="16">
        <v>148</v>
      </c>
      <c r="ET1" s="16">
        <v>149</v>
      </c>
      <c r="EU1" s="16">
        <v>150</v>
      </c>
      <c r="EV1" s="16">
        <v>151</v>
      </c>
      <c r="EW1" s="16">
        <v>152</v>
      </c>
      <c r="EX1" s="16">
        <v>153</v>
      </c>
      <c r="EY1" s="16">
        <v>154</v>
      </c>
      <c r="EZ1" s="16">
        <v>155</v>
      </c>
      <c r="FA1" s="16">
        <v>156</v>
      </c>
      <c r="FB1" s="16">
        <v>157</v>
      </c>
      <c r="FC1" s="16">
        <v>158</v>
      </c>
      <c r="FD1" s="16">
        <v>159</v>
      </c>
      <c r="FE1" s="16">
        <v>160</v>
      </c>
      <c r="FF1" s="16">
        <v>161</v>
      </c>
      <c r="FG1" s="16">
        <v>162</v>
      </c>
      <c r="FH1" s="16">
        <v>163</v>
      </c>
      <c r="FI1" s="16">
        <v>164</v>
      </c>
      <c r="FJ1" s="16">
        <v>165</v>
      </c>
      <c r="FK1" s="16">
        <v>166</v>
      </c>
      <c r="FL1" s="16">
        <v>167</v>
      </c>
      <c r="FM1" s="16">
        <v>168</v>
      </c>
      <c r="FN1" s="16">
        <v>169</v>
      </c>
      <c r="FO1" s="16">
        <v>170</v>
      </c>
      <c r="FP1" s="16">
        <v>171</v>
      </c>
      <c r="FQ1" s="16">
        <v>172</v>
      </c>
      <c r="FR1" s="16">
        <v>173</v>
      </c>
      <c r="FS1" s="16">
        <v>174</v>
      </c>
      <c r="FT1" s="16">
        <v>175</v>
      </c>
      <c r="FU1" s="16">
        <v>176</v>
      </c>
      <c r="FV1" s="16">
        <v>177</v>
      </c>
      <c r="FW1" s="16">
        <v>178</v>
      </c>
      <c r="FX1" s="16">
        <v>179</v>
      </c>
      <c r="FY1" s="16">
        <v>180</v>
      </c>
      <c r="FZ1" s="16">
        <v>181</v>
      </c>
      <c r="GA1" s="16">
        <v>182</v>
      </c>
      <c r="GB1" s="16">
        <v>183</v>
      </c>
      <c r="GC1" s="16">
        <v>184</v>
      </c>
      <c r="GD1" s="16">
        <v>185</v>
      </c>
      <c r="GE1" s="16">
        <v>186</v>
      </c>
      <c r="GF1" s="16">
        <v>187</v>
      </c>
      <c r="GG1" s="16">
        <v>188</v>
      </c>
      <c r="GH1" s="16">
        <v>189</v>
      </c>
      <c r="GI1" s="16">
        <v>190</v>
      </c>
      <c r="GJ1" s="16">
        <v>191</v>
      </c>
      <c r="GK1" s="16">
        <v>192</v>
      </c>
      <c r="GL1" s="16">
        <v>193</v>
      </c>
      <c r="GM1" s="16">
        <v>194</v>
      </c>
      <c r="GN1" s="16">
        <v>195</v>
      </c>
      <c r="GO1" s="16">
        <v>196</v>
      </c>
      <c r="GP1" s="16">
        <v>197</v>
      </c>
      <c r="GQ1" s="16">
        <v>198</v>
      </c>
      <c r="GR1" s="16">
        <v>199</v>
      </c>
      <c r="GS1" s="16">
        <v>200</v>
      </c>
      <c r="GT1" s="16">
        <v>201</v>
      </c>
      <c r="GU1" s="16">
        <v>202</v>
      </c>
      <c r="GV1" s="16">
        <v>203</v>
      </c>
      <c r="GW1" s="16">
        <v>204</v>
      </c>
      <c r="GX1" s="16">
        <v>205</v>
      </c>
      <c r="GY1" s="16">
        <v>206</v>
      </c>
      <c r="GZ1" s="16">
        <v>207</v>
      </c>
      <c r="HA1" s="16">
        <v>208</v>
      </c>
      <c r="HB1" s="16">
        <v>209</v>
      </c>
      <c r="HC1" s="16">
        <v>210</v>
      </c>
      <c r="HD1" s="16">
        <v>211</v>
      </c>
      <c r="HE1" s="16">
        <v>212</v>
      </c>
      <c r="HF1" s="16">
        <v>213</v>
      </c>
      <c r="HG1" s="16">
        <v>214</v>
      </c>
      <c r="HH1" s="16">
        <v>215</v>
      </c>
      <c r="HI1" s="16">
        <v>216</v>
      </c>
      <c r="HJ1" s="16">
        <v>217</v>
      </c>
      <c r="HK1" s="16">
        <v>218</v>
      </c>
      <c r="HL1" s="16">
        <v>219</v>
      </c>
      <c r="HM1" s="16">
        <v>220</v>
      </c>
      <c r="HN1" s="16">
        <v>221</v>
      </c>
      <c r="HO1" s="16">
        <v>222</v>
      </c>
      <c r="HP1" s="16">
        <v>223</v>
      </c>
      <c r="HQ1" s="16">
        <v>224</v>
      </c>
      <c r="HR1" s="16">
        <v>225</v>
      </c>
      <c r="HS1" s="16">
        <v>226</v>
      </c>
      <c r="HT1" s="16">
        <v>227</v>
      </c>
      <c r="HU1" s="16">
        <v>228</v>
      </c>
      <c r="HV1" s="16">
        <v>229</v>
      </c>
      <c r="HW1" s="16">
        <v>230</v>
      </c>
      <c r="HX1" s="16">
        <v>231</v>
      </c>
      <c r="HY1" s="16">
        <v>232</v>
      </c>
      <c r="HZ1" s="16">
        <v>233</v>
      </c>
      <c r="IA1" s="16">
        <v>234</v>
      </c>
      <c r="IB1" s="16">
        <v>235</v>
      </c>
      <c r="IC1" s="16">
        <v>236</v>
      </c>
      <c r="ID1" s="16">
        <v>237</v>
      </c>
      <c r="IE1" s="16">
        <v>238</v>
      </c>
      <c r="IF1" s="16">
        <v>239</v>
      </c>
      <c r="IG1" s="16">
        <v>240</v>
      </c>
      <c r="IH1" s="16">
        <v>241</v>
      </c>
      <c r="II1" s="16">
        <v>242</v>
      </c>
      <c r="IJ1" s="16">
        <v>243</v>
      </c>
      <c r="IK1" s="16">
        <v>244</v>
      </c>
      <c r="IL1" s="16">
        <v>245</v>
      </c>
      <c r="IM1" s="16">
        <v>246</v>
      </c>
      <c r="IN1" s="16">
        <v>247</v>
      </c>
      <c r="IO1" s="16">
        <v>248</v>
      </c>
      <c r="IP1" s="16">
        <v>249</v>
      </c>
      <c r="IQ1" s="16">
        <v>250</v>
      </c>
      <c r="IR1" s="16">
        <v>251</v>
      </c>
      <c r="IS1" s="16">
        <v>252</v>
      </c>
      <c r="IT1" s="16">
        <v>253</v>
      </c>
      <c r="IU1" s="16">
        <v>254</v>
      </c>
      <c r="IV1" s="16">
        <v>255</v>
      </c>
      <c r="IW1" s="16">
        <v>256</v>
      </c>
      <c r="IX1" s="16">
        <v>257</v>
      </c>
      <c r="IY1" s="16">
        <v>258</v>
      </c>
      <c r="IZ1" s="16">
        <v>259</v>
      </c>
      <c r="JA1" s="16">
        <v>260</v>
      </c>
      <c r="JB1" s="16">
        <v>261</v>
      </c>
      <c r="JC1" s="16">
        <v>262</v>
      </c>
      <c r="JD1" s="16">
        <v>263</v>
      </c>
      <c r="JE1" s="16">
        <v>264</v>
      </c>
      <c r="JF1" s="16">
        <v>265</v>
      </c>
      <c r="JG1" s="16">
        <v>266</v>
      </c>
      <c r="JH1" s="16">
        <v>267</v>
      </c>
      <c r="JI1" s="16">
        <v>268</v>
      </c>
      <c r="JJ1" s="16">
        <v>269</v>
      </c>
      <c r="JK1" s="16">
        <v>270</v>
      </c>
      <c r="JL1" s="16">
        <v>271</v>
      </c>
      <c r="JM1" s="16">
        <v>272</v>
      </c>
      <c r="JN1" s="16">
        <v>273</v>
      </c>
      <c r="JO1" s="16">
        <v>274</v>
      </c>
      <c r="JP1" s="16">
        <v>275</v>
      </c>
      <c r="JQ1" s="16">
        <v>276</v>
      </c>
      <c r="JR1" s="16">
        <v>277</v>
      </c>
      <c r="JS1" s="16">
        <v>278</v>
      </c>
      <c r="JT1" s="16">
        <v>279</v>
      </c>
      <c r="JU1" s="16">
        <v>280</v>
      </c>
      <c r="JV1" s="16">
        <v>281</v>
      </c>
      <c r="JW1" s="16">
        <v>282</v>
      </c>
      <c r="JX1" s="16">
        <v>283</v>
      </c>
      <c r="JY1" s="16">
        <v>284</v>
      </c>
      <c r="JZ1" s="16">
        <v>285</v>
      </c>
      <c r="KA1" s="16">
        <v>286</v>
      </c>
      <c r="KB1" s="16">
        <v>287</v>
      </c>
      <c r="KC1" s="16">
        <v>288</v>
      </c>
      <c r="KD1" s="16">
        <v>289</v>
      </c>
      <c r="KE1" s="16">
        <v>290</v>
      </c>
      <c r="KF1" s="16">
        <v>291</v>
      </c>
      <c r="KG1" s="16">
        <v>292</v>
      </c>
      <c r="KH1" s="15"/>
      <c r="KI1" s="15"/>
      <c r="KJ1" s="15"/>
      <c r="KK1" s="15"/>
      <c r="KL1" s="15"/>
      <c r="KM1" s="15"/>
      <c r="KN1" s="15"/>
      <c r="KO1" s="15"/>
      <c r="KP1" s="15"/>
      <c r="KQ1" s="15"/>
      <c r="KR1" s="15"/>
      <c r="KS1" s="15"/>
      <c r="KT1" s="15"/>
      <c r="KU1" s="15"/>
      <c r="KV1" s="15"/>
      <c r="KW1" s="15"/>
      <c r="KX1" s="15"/>
      <c r="KY1" s="15"/>
      <c r="KZ1" s="15"/>
      <c r="LA1" s="15"/>
      <c r="LB1" s="15"/>
      <c r="LC1" s="15"/>
      <c r="LD1" s="15"/>
      <c r="LE1" s="15"/>
      <c r="LF1" s="15"/>
      <c r="LG1" s="15"/>
    </row>
    <row r="2" spans="1:319" ht="15.75" customHeight="1">
      <c r="A2" s="17" t="s">
        <v>45</v>
      </c>
      <c r="B2" s="17" t="s">
        <v>46</v>
      </c>
      <c r="C2" s="15">
        <f ca="1">IFERROR(__xludf.DUMMYFUNCTION("iferror(index(GOOGLEFINANCE($B$3,""close"",$B$1,TODAY()),C1,1),"""")"),44564.6666666666)</f>
        <v>44564.666666666599</v>
      </c>
      <c r="D2" s="15">
        <f ca="1">IFERROR(__xludf.DUMMYFUNCTION("iferror(index(GOOGLEFINANCE($B$3,""close"",$B$1,TODAY()),D1,1),"""")"),44565.6666666666)</f>
        <v>44565.666666666599</v>
      </c>
      <c r="E2" s="15">
        <f ca="1">IFERROR(__xludf.DUMMYFUNCTION("iferror(index(GOOGLEFINANCE($B$3,""close"",$B$1,TODAY()),E1,1),"""")"),44566.6666666666)</f>
        <v>44566.666666666599</v>
      </c>
      <c r="F2" s="15">
        <f ca="1">IFERROR(__xludf.DUMMYFUNCTION("iferror(index(GOOGLEFINANCE($B$3,""close"",$B$1,TODAY()),F1,1),"""")"),44567.6666666666)</f>
        <v>44567.666666666599</v>
      </c>
      <c r="G2" s="15">
        <f ca="1">IFERROR(__xludf.DUMMYFUNCTION("iferror(index(GOOGLEFINANCE($B$3,""close"",$B$1,TODAY()),G1,1),"""")"),44568.6666666666)</f>
        <v>44568.666666666599</v>
      </c>
      <c r="H2" s="15">
        <f ca="1">IFERROR(__xludf.DUMMYFUNCTION("iferror(index(GOOGLEFINANCE($B$3,""close"",$B$1,TODAY()),H1,1),"""")"),44571.6666666666)</f>
        <v>44571.666666666599</v>
      </c>
      <c r="I2" s="15">
        <f ca="1">IFERROR(__xludf.DUMMYFUNCTION("iferror(index(GOOGLEFINANCE($B$3,""close"",$B$1,TODAY()),I1,1),"""")"),44572.6666666666)</f>
        <v>44572.666666666599</v>
      </c>
      <c r="J2" s="15">
        <f ca="1">IFERROR(__xludf.DUMMYFUNCTION("iferror(index(GOOGLEFINANCE($B$3,""close"",$B$1,TODAY()),J1,1),"""")"),44573.6666666666)</f>
        <v>44573.666666666599</v>
      </c>
      <c r="K2" s="15">
        <f ca="1">IFERROR(__xludf.DUMMYFUNCTION("iferror(index(GOOGLEFINANCE($B$3,""close"",$B$1,TODAY()),K1,1),"""")"),44574.6666666666)</f>
        <v>44574.666666666599</v>
      </c>
      <c r="L2" s="15">
        <f ca="1">IFERROR(__xludf.DUMMYFUNCTION("iferror(index(GOOGLEFINANCE($B$3,""close"",$B$1,TODAY()),L1,1),"""")"),44575.6666666666)</f>
        <v>44575.666666666599</v>
      </c>
      <c r="M2" s="15">
        <f ca="1">IFERROR(__xludf.DUMMYFUNCTION("iferror(index(GOOGLEFINANCE($B$3,""close"",$B$1,TODAY()),M1,1),"""")"),44579.6666666666)</f>
        <v>44579.666666666599</v>
      </c>
      <c r="N2" s="15">
        <f ca="1">IFERROR(__xludf.DUMMYFUNCTION("iferror(index(GOOGLEFINANCE($B$3,""close"",$B$1,TODAY()),N1,1),"""")"),44580.6666666666)</f>
        <v>44580.666666666599</v>
      </c>
      <c r="O2" s="15">
        <f ca="1">IFERROR(__xludf.DUMMYFUNCTION("iferror(index(GOOGLEFINANCE($B$3,""close"",$B$1,TODAY()),O1,1),"""")"),44581.6666666666)</f>
        <v>44581.666666666599</v>
      </c>
      <c r="P2" s="15">
        <f ca="1">IFERROR(__xludf.DUMMYFUNCTION("iferror(index(GOOGLEFINANCE($B$3,""close"",$B$1,TODAY()),P1,1),"""")"),44582.6666666666)</f>
        <v>44582.666666666599</v>
      </c>
      <c r="Q2" s="15">
        <f ca="1">IFERROR(__xludf.DUMMYFUNCTION("iferror(index(GOOGLEFINANCE($B$3,""close"",$B$1,TODAY()),Q1,1),"""")"),44585.6666666666)</f>
        <v>44585.666666666599</v>
      </c>
      <c r="R2" s="15">
        <f ca="1">IFERROR(__xludf.DUMMYFUNCTION("iferror(index(GOOGLEFINANCE($B$3,""close"",$B$1,TODAY()),R1,1),"""")"),44586.6666666666)</f>
        <v>44586.666666666599</v>
      </c>
      <c r="S2" s="15">
        <f ca="1">IFERROR(__xludf.DUMMYFUNCTION("iferror(index(GOOGLEFINANCE($B$3,""close"",$B$1,TODAY()),S1,1),"""")"),44587.6666666666)</f>
        <v>44587.666666666599</v>
      </c>
      <c r="T2" s="15">
        <f ca="1">IFERROR(__xludf.DUMMYFUNCTION("iferror(index(GOOGLEFINANCE($B$3,""close"",$B$1,TODAY()),T1,1),"""")"),44588.6666666666)</f>
        <v>44588.666666666599</v>
      </c>
      <c r="U2" s="15">
        <f ca="1">IFERROR(__xludf.DUMMYFUNCTION("iferror(index(GOOGLEFINANCE($B$3,""close"",$B$1,TODAY()),U1,1),"""")"),44589.6666666666)</f>
        <v>44589.666666666599</v>
      </c>
      <c r="V2" s="15">
        <f ca="1">IFERROR(__xludf.DUMMYFUNCTION("iferror(index(GOOGLEFINANCE($B$3,""close"",$B$1,TODAY()),V1,1),"""")"),44592.6666666666)</f>
        <v>44592.666666666599</v>
      </c>
      <c r="W2" s="15">
        <f ca="1">IFERROR(__xludf.DUMMYFUNCTION("iferror(index(GOOGLEFINANCE($B$3,""close"",$B$1,TODAY()),W1,1),"""")"),44593.6666666666)</f>
        <v>44593.666666666599</v>
      </c>
      <c r="X2" s="15">
        <f ca="1">IFERROR(__xludf.DUMMYFUNCTION("iferror(index(GOOGLEFINANCE($B$3,""close"",$B$1,TODAY()),X1,1),"""")"),44594.6666666666)</f>
        <v>44594.666666666599</v>
      </c>
      <c r="Y2" s="15">
        <f ca="1">IFERROR(__xludf.DUMMYFUNCTION("iferror(index(GOOGLEFINANCE($B$3,""close"",$B$1,TODAY()),Y1,1),"""")"),44595.6666666666)</f>
        <v>44595.666666666599</v>
      </c>
      <c r="Z2" s="15">
        <f ca="1">IFERROR(__xludf.DUMMYFUNCTION("iferror(index(GOOGLEFINANCE($B$3,""close"",$B$1,TODAY()),Z1,1),"""")"),44596.6666666666)</f>
        <v>44596.666666666599</v>
      </c>
      <c r="AA2" s="15">
        <f ca="1">IFERROR(__xludf.DUMMYFUNCTION("iferror(index(GOOGLEFINANCE($B$3,""close"",$B$1,TODAY()),AA1,1),"""")"),44599.6666666666)</f>
        <v>44599.666666666599</v>
      </c>
      <c r="AB2" s="15">
        <f ca="1">IFERROR(__xludf.DUMMYFUNCTION("iferror(index(GOOGLEFINANCE($B$3,""close"",$B$1,TODAY()),AB1,1),"""")"),44600.6666666666)</f>
        <v>44600.666666666599</v>
      </c>
      <c r="AC2" s="15">
        <f ca="1">IFERROR(__xludf.DUMMYFUNCTION("iferror(index(GOOGLEFINANCE($B$3,""close"",$B$1,TODAY()),AC1,1),"""")"),44601.6666666666)</f>
        <v>44601.666666666599</v>
      </c>
      <c r="AD2" s="15">
        <f ca="1">IFERROR(__xludf.DUMMYFUNCTION("iferror(index(GOOGLEFINANCE($B$3,""close"",$B$1,TODAY()),AD1,1),"""")"),44602.6666666666)</f>
        <v>44602.666666666599</v>
      </c>
      <c r="AE2" s="15">
        <f ca="1">IFERROR(__xludf.DUMMYFUNCTION("iferror(index(GOOGLEFINANCE($B$3,""close"",$B$1,TODAY()),AE1,1),"""")"),44603.6666666666)</f>
        <v>44603.666666666599</v>
      </c>
      <c r="AF2" s="15">
        <f ca="1">IFERROR(__xludf.DUMMYFUNCTION("iferror(index(GOOGLEFINANCE($B$3,""close"",$B$1,TODAY()),AF1,1),"""")"),44606.6666666666)</f>
        <v>44606.666666666599</v>
      </c>
      <c r="AG2" s="15">
        <f ca="1">IFERROR(__xludf.DUMMYFUNCTION("iferror(index(GOOGLEFINANCE($B$3,""close"",$B$1,TODAY()),AG1,1),"""")"),44607.6666666666)</f>
        <v>44607.666666666599</v>
      </c>
      <c r="AH2" s="15">
        <f ca="1">IFERROR(__xludf.DUMMYFUNCTION("iferror(index(GOOGLEFINANCE($B$3,""close"",$B$1,TODAY()),AH1,1),"""")"),44608.6666666666)</f>
        <v>44608.666666666599</v>
      </c>
      <c r="AI2" s="15">
        <f ca="1">IFERROR(__xludf.DUMMYFUNCTION("iferror(index(GOOGLEFINANCE($B$3,""close"",$B$1,TODAY()),AI1,1),"""")"),44609.6666666666)</f>
        <v>44609.666666666599</v>
      </c>
      <c r="AJ2" s="15">
        <f ca="1">IFERROR(__xludf.DUMMYFUNCTION("iferror(index(GOOGLEFINANCE($B$3,""close"",$B$1,TODAY()),AJ1,1),"""")"),44610.6666666666)</f>
        <v>44610.666666666599</v>
      </c>
      <c r="AK2" s="15">
        <f ca="1">IFERROR(__xludf.DUMMYFUNCTION("iferror(index(GOOGLEFINANCE($B$3,""close"",$B$1,TODAY()),AK1,1),"""")"),44614.6666666666)</f>
        <v>44614.666666666599</v>
      </c>
      <c r="AL2" s="15">
        <f ca="1">IFERROR(__xludf.DUMMYFUNCTION("iferror(index(GOOGLEFINANCE($B$3,""close"",$B$1,TODAY()),AL1,1),"""")"),44615.6666666666)</f>
        <v>44615.666666666599</v>
      </c>
      <c r="AM2" s="15">
        <f ca="1">IFERROR(__xludf.DUMMYFUNCTION("iferror(index(GOOGLEFINANCE($B$3,""close"",$B$1,TODAY()),AM1,1),"""")"),44616.6666666666)</f>
        <v>44616.666666666599</v>
      </c>
      <c r="AN2" s="15">
        <f ca="1">IFERROR(__xludf.DUMMYFUNCTION("iferror(index(GOOGLEFINANCE($B$3,""close"",$B$1,TODAY()),AN1,1),"""")"),44617.6666666666)</f>
        <v>44617.666666666599</v>
      </c>
      <c r="AO2" s="15">
        <f ca="1">IFERROR(__xludf.DUMMYFUNCTION("iferror(index(GOOGLEFINANCE($B$3,""close"",$B$1,TODAY()),AO1,1),"""")"),44620.6666666666)</f>
        <v>44620.666666666599</v>
      </c>
      <c r="AP2" s="15">
        <f ca="1">IFERROR(__xludf.DUMMYFUNCTION("iferror(index(GOOGLEFINANCE($B$3,""close"",$B$1,TODAY()),AP1,1),"""")"),44621.6666666666)</f>
        <v>44621.666666666599</v>
      </c>
      <c r="AQ2" s="15">
        <f ca="1">IFERROR(__xludf.DUMMYFUNCTION("iferror(index(GOOGLEFINANCE($B$3,""close"",$B$1,TODAY()),AQ1,1),"""")"),44622.6666666666)</f>
        <v>44622.666666666599</v>
      </c>
      <c r="AR2" s="15">
        <f ca="1">IFERROR(__xludf.DUMMYFUNCTION("iferror(index(GOOGLEFINANCE($B$3,""close"",$B$1,TODAY()),AR1,1),"""")"),44623.6666666666)</f>
        <v>44623.666666666599</v>
      </c>
      <c r="AS2" s="15">
        <f ca="1">IFERROR(__xludf.DUMMYFUNCTION("iferror(index(GOOGLEFINANCE($B$3,""close"",$B$1,TODAY()),AS1,1),"""")"),44624.6666666666)</f>
        <v>44624.666666666599</v>
      </c>
      <c r="AT2" s="15">
        <f ca="1">IFERROR(__xludf.DUMMYFUNCTION("iferror(index(GOOGLEFINANCE($B$3,""close"",$B$1,TODAY()),AT1,1),"""")"),44627.6666666666)</f>
        <v>44627.666666666599</v>
      </c>
      <c r="AU2" s="15">
        <f ca="1">IFERROR(__xludf.DUMMYFUNCTION("iferror(index(GOOGLEFINANCE($B$3,""close"",$B$1,TODAY()),AU1,1),"""")"),44628.6666666666)</f>
        <v>44628.666666666599</v>
      </c>
      <c r="AV2" s="15">
        <f ca="1">IFERROR(__xludf.DUMMYFUNCTION("iferror(index(GOOGLEFINANCE($B$3,""close"",$B$1,TODAY()),AV1,1),"""")"),44629.6666666666)</f>
        <v>44629.666666666599</v>
      </c>
      <c r="AW2" s="15">
        <f ca="1">IFERROR(__xludf.DUMMYFUNCTION("iferror(index(GOOGLEFINANCE($B$3,""close"",$B$1,TODAY()),AW1,1),"""")"),44630.6666666666)</f>
        <v>44630.666666666599</v>
      </c>
      <c r="AX2" s="15">
        <f ca="1">IFERROR(__xludf.DUMMYFUNCTION("iferror(index(GOOGLEFINANCE($B$3,""close"",$B$1,TODAY()),AX1,1),"""")"),44631.6666666666)</f>
        <v>44631.666666666599</v>
      </c>
      <c r="AY2" s="15">
        <f ca="1">IFERROR(__xludf.DUMMYFUNCTION("iferror(index(GOOGLEFINANCE($B$3,""close"",$B$1,TODAY()),AY1,1),"""")"),44634.6666666666)</f>
        <v>44634.666666666599</v>
      </c>
      <c r="AZ2" s="15">
        <f ca="1">IFERROR(__xludf.DUMMYFUNCTION("iferror(index(GOOGLEFINANCE($B$3,""close"",$B$1,TODAY()),AZ1,1),"""")"),44635.6666666666)</f>
        <v>44635.666666666599</v>
      </c>
      <c r="BA2" s="15">
        <f ca="1">IFERROR(__xludf.DUMMYFUNCTION("iferror(index(GOOGLEFINANCE($B$3,""close"",$B$1,TODAY()),BA1,1),"""")"),44636.6666666666)</f>
        <v>44636.666666666599</v>
      </c>
      <c r="BB2" s="15">
        <f ca="1">IFERROR(__xludf.DUMMYFUNCTION("iferror(index(GOOGLEFINANCE($B$3,""close"",$B$1,TODAY()),BB1,1),"""")"),44637.6666666666)</f>
        <v>44637.666666666599</v>
      </c>
      <c r="BC2" s="15">
        <f ca="1">IFERROR(__xludf.DUMMYFUNCTION("iferror(index(GOOGLEFINANCE($B$3,""close"",$B$1,TODAY()),BC1,1),"""")"),44638.6666666666)</f>
        <v>44638.666666666599</v>
      </c>
      <c r="BD2" s="15">
        <f ca="1">IFERROR(__xludf.DUMMYFUNCTION("iferror(index(GOOGLEFINANCE($B$3,""close"",$B$1,TODAY()),BD1,1),"""")"),44641.6666666666)</f>
        <v>44641.666666666599</v>
      </c>
      <c r="BE2" s="15">
        <f ca="1">IFERROR(__xludf.DUMMYFUNCTION("iferror(index(GOOGLEFINANCE($B$3,""close"",$B$1,TODAY()),BE1,1),"""")"),44642.6666666666)</f>
        <v>44642.666666666599</v>
      </c>
      <c r="BF2" s="15">
        <f ca="1">IFERROR(__xludf.DUMMYFUNCTION("iferror(index(GOOGLEFINANCE($B$3,""close"",$B$1,TODAY()),BF1,1),"""")"),44643.6666666666)</f>
        <v>44643.666666666599</v>
      </c>
      <c r="BG2" s="15">
        <f ca="1">IFERROR(__xludf.DUMMYFUNCTION("iferror(index(GOOGLEFINANCE($B$3,""close"",$B$1,TODAY()),BG1,1),"""")"),44644.6666666666)</f>
        <v>44644.666666666599</v>
      </c>
      <c r="BH2" s="15">
        <f ca="1">IFERROR(__xludf.DUMMYFUNCTION("iferror(index(GOOGLEFINANCE($B$3,""close"",$B$1,TODAY()),BH1,1),"""")"),44645.6666666666)</f>
        <v>44645.666666666599</v>
      </c>
      <c r="BI2" s="15">
        <f ca="1">IFERROR(__xludf.DUMMYFUNCTION("iferror(index(GOOGLEFINANCE($B$3,""close"",$B$1,TODAY()),BI1,1),"""")"),44648.6666666666)</f>
        <v>44648.666666666599</v>
      </c>
      <c r="BJ2" s="15">
        <f ca="1">IFERROR(__xludf.DUMMYFUNCTION("iferror(index(GOOGLEFINANCE($B$3,""close"",$B$1,TODAY()),BJ1,1),"""")"),44649.6666666666)</f>
        <v>44649.666666666599</v>
      </c>
      <c r="BK2" s="15">
        <f ca="1">IFERROR(__xludf.DUMMYFUNCTION("iferror(index(GOOGLEFINANCE($B$3,""close"",$B$1,TODAY()),BK1,1),"""")"),44650.6666666666)</f>
        <v>44650.666666666599</v>
      </c>
      <c r="BL2" s="15">
        <f ca="1">IFERROR(__xludf.DUMMYFUNCTION("iferror(index(GOOGLEFINANCE($B$3,""close"",$B$1,TODAY()),BL1,1),"""")"),44651.6666666666)</f>
        <v>44651.666666666599</v>
      </c>
      <c r="BM2" s="15">
        <f ca="1">IFERROR(__xludf.DUMMYFUNCTION("iferror(index(GOOGLEFINANCE($B$3,""close"",$B$1,TODAY()),BM1,1),"""")"),44652.6666666666)</f>
        <v>44652.666666666599</v>
      </c>
      <c r="BN2" s="15">
        <f ca="1">IFERROR(__xludf.DUMMYFUNCTION("iferror(index(GOOGLEFINANCE($B$3,""close"",$B$1,TODAY()),BN1,1),"""")"),44655.6666666666)</f>
        <v>44655.666666666599</v>
      </c>
      <c r="BO2" s="15">
        <f ca="1">IFERROR(__xludf.DUMMYFUNCTION("iferror(index(GOOGLEFINANCE($B$3,""close"",$B$1,TODAY()),BO1,1),"""")"),44656.6666666666)</f>
        <v>44656.666666666599</v>
      </c>
      <c r="BP2" s="15">
        <f ca="1">IFERROR(__xludf.DUMMYFUNCTION("iferror(index(GOOGLEFINANCE($B$3,""close"",$B$1,TODAY()),BP1,1),"""")"),44657.6666666666)</f>
        <v>44657.666666666599</v>
      </c>
      <c r="BQ2" s="15">
        <f ca="1">IFERROR(__xludf.DUMMYFUNCTION("iferror(index(GOOGLEFINANCE($B$3,""close"",$B$1,TODAY()),BQ1,1),"""")"),44658.6666666666)</f>
        <v>44658.666666666599</v>
      </c>
      <c r="BR2" s="15">
        <f ca="1">IFERROR(__xludf.DUMMYFUNCTION("iferror(index(GOOGLEFINANCE($B$3,""close"",$B$1,TODAY()),BR1,1),"""")"),44659.6666666666)</f>
        <v>44659.666666666599</v>
      </c>
      <c r="BS2" s="15">
        <f ca="1">IFERROR(__xludf.DUMMYFUNCTION("iferror(index(GOOGLEFINANCE($B$3,""close"",$B$1,TODAY()),BS1,1),"""")"),44662.6666666666)</f>
        <v>44662.666666666599</v>
      </c>
      <c r="BT2" s="15">
        <f ca="1">IFERROR(__xludf.DUMMYFUNCTION("iferror(index(GOOGLEFINANCE($B$3,""close"",$B$1,TODAY()),BT1,1),"""")"),44663.6666666666)</f>
        <v>44663.666666666599</v>
      </c>
      <c r="BU2" s="15">
        <f ca="1">IFERROR(__xludf.DUMMYFUNCTION("iferror(index(GOOGLEFINANCE($B$3,""close"",$B$1,TODAY()),BU1,1),"""")"),44664.6666666666)</f>
        <v>44664.666666666599</v>
      </c>
      <c r="BV2" s="15">
        <f ca="1">IFERROR(__xludf.DUMMYFUNCTION("iferror(index(GOOGLEFINANCE($B$3,""close"",$B$1,TODAY()),BV1,1),"""")"),44665.6666666666)</f>
        <v>44665.666666666599</v>
      </c>
      <c r="BW2" s="15">
        <f ca="1">IFERROR(__xludf.DUMMYFUNCTION("iferror(index(GOOGLEFINANCE($B$3,""close"",$B$1,TODAY()),BW1,1),"""")"),44669.6666666666)</f>
        <v>44669.666666666599</v>
      </c>
      <c r="BX2" s="15">
        <f ca="1">IFERROR(__xludf.DUMMYFUNCTION("iferror(index(GOOGLEFINANCE($B$3,""close"",$B$1,TODAY()),BX1,1),"""")"),44670.6666666666)</f>
        <v>44670.666666666599</v>
      </c>
      <c r="BY2" s="15">
        <f ca="1">IFERROR(__xludf.DUMMYFUNCTION("iferror(index(GOOGLEFINANCE($B$3,""close"",$B$1,TODAY()),BY1,1),"""")"),44671.6666666666)</f>
        <v>44671.666666666599</v>
      </c>
      <c r="BZ2" s="15">
        <f ca="1">IFERROR(__xludf.DUMMYFUNCTION("iferror(index(GOOGLEFINANCE($B$3,""close"",$B$1,TODAY()),BZ1,1),"""")"),44672.6666666666)</f>
        <v>44672.666666666599</v>
      </c>
      <c r="CA2" s="15">
        <f ca="1">IFERROR(__xludf.DUMMYFUNCTION("iferror(index(GOOGLEFINANCE($B$3,""close"",$B$1,TODAY()),CA1,1),"""")"),44673.6666666666)</f>
        <v>44673.666666666599</v>
      </c>
      <c r="CB2" s="15">
        <f ca="1">IFERROR(__xludf.DUMMYFUNCTION("iferror(index(GOOGLEFINANCE($B$3,""close"",$B$1,TODAY()),CB1,1),"""")"),44676.6666666666)</f>
        <v>44676.666666666599</v>
      </c>
      <c r="CC2" s="15">
        <f ca="1">IFERROR(__xludf.DUMMYFUNCTION("iferror(index(GOOGLEFINANCE($B$3,""close"",$B$1,TODAY()),CC1,1),"""")"),44677.6666666666)</f>
        <v>44677.666666666599</v>
      </c>
      <c r="CD2" s="15">
        <f ca="1">IFERROR(__xludf.DUMMYFUNCTION("iferror(index(GOOGLEFINANCE($B$3,""close"",$B$1,TODAY()),CD1,1),"""")"),44678.6666666666)</f>
        <v>44678.666666666599</v>
      </c>
      <c r="CE2" s="15">
        <f ca="1">IFERROR(__xludf.DUMMYFUNCTION("iferror(index(GOOGLEFINANCE($B$3,""close"",$B$1,TODAY()),CE1,1),"""")"),44679.6666666666)</f>
        <v>44679.666666666599</v>
      </c>
      <c r="CF2" s="15">
        <f ca="1">IFERROR(__xludf.DUMMYFUNCTION("iferror(index(GOOGLEFINANCE($B$3,""close"",$B$1,TODAY()),CF1,1),"""")"),44680.6666666666)</f>
        <v>44680.666666666599</v>
      </c>
      <c r="CG2" s="15">
        <f ca="1">IFERROR(__xludf.DUMMYFUNCTION("iferror(index(GOOGLEFINANCE($B$3,""close"",$B$1,TODAY()),CG1,1),"""")"),44683.6666666666)</f>
        <v>44683.666666666599</v>
      </c>
      <c r="CH2" s="15">
        <f ca="1">IFERROR(__xludf.DUMMYFUNCTION("iferror(index(GOOGLEFINANCE($B$3,""close"",$B$1,TODAY()),CH1,1),"""")"),44684.6666666666)</f>
        <v>44684.666666666599</v>
      </c>
      <c r="CI2" s="15">
        <f ca="1">IFERROR(__xludf.DUMMYFUNCTION("iferror(index(GOOGLEFINANCE($B$3,""close"",$B$1,TODAY()),CI1,1),"""")"),44685.6666666666)</f>
        <v>44685.666666666599</v>
      </c>
      <c r="CJ2" s="15" t="str">
        <f ca="1">IFERROR(__xludf.DUMMYFUNCTION("iferror(index(GOOGLEFINANCE($B$3,""close"",$B$1,TODAY()),CJ1,1),"""")"),"")</f>
        <v/>
      </c>
      <c r="CK2" s="15" t="str">
        <f ca="1">IFERROR(__xludf.DUMMYFUNCTION("iferror(index(GOOGLEFINANCE($B$3,""close"",$B$1,TODAY()),CK1,1),"""")"),"")</f>
        <v/>
      </c>
      <c r="CL2" s="15" t="str">
        <f ca="1">IFERROR(__xludf.DUMMYFUNCTION("iferror(index(GOOGLEFINANCE($B$3,""close"",$B$1,TODAY()),CL1,1),"""")"),"")</f>
        <v/>
      </c>
      <c r="CM2" s="15" t="str">
        <f ca="1">IFERROR(__xludf.DUMMYFUNCTION("iferror(index(GOOGLEFINANCE($B$3,""close"",$B$1,TODAY()),CM1,1),"""")"),"")</f>
        <v/>
      </c>
      <c r="CN2" s="15" t="str">
        <f ca="1">IFERROR(__xludf.DUMMYFUNCTION("iferror(index(GOOGLEFINANCE($B$3,""close"",$B$1,TODAY()),CN1,1),"""")"),"")</f>
        <v/>
      </c>
      <c r="CO2" s="15" t="str">
        <f ca="1">IFERROR(__xludf.DUMMYFUNCTION("iferror(index(GOOGLEFINANCE($B$3,""close"",$B$1,TODAY()),CO1,1),"""")"),"")</f>
        <v/>
      </c>
      <c r="CP2" s="15" t="str">
        <f ca="1">IFERROR(__xludf.DUMMYFUNCTION("iferror(index(GOOGLEFINANCE($B$3,""close"",$B$1,TODAY()),CP1,1),"""")"),"")</f>
        <v/>
      </c>
      <c r="CQ2" s="15" t="str">
        <f ca="1">IFERROR(__xludf.DUMMYFUNCTION("iferror(index(GOOGLEFINANCE($B$3,""close"",$B$1,TODAY()),CQ1,1),"""")"),"")</f>
        <v/>
      </c>
      <c r="CR2" s="15" t="str">
        <f ca="1">IFERROR(__xludf.DUMMYFUNCTION("iferror(index(GOOGLEFINANCE($B$3,""close"",$B$1,TODAY()),CR1,1),"""")"),"")</f>
        <v/>
      </c>
      <c r="CS2" s="15" t="str">
        <f ca="1">IFERROR(__xludf.DUMMYFUNCTION("iferror(index(GOOGLEFINANCE($B$3,""close"",$B$1,TODAY()),CS1,1),"""")"),"")</f>
        <v/>
      </c>
      <c r="CT2" s="15" t="str">
        <f ca="1">IFERROR(__xludf.DUMMYFUNCTION("iferror(index(GOOGLEFINANCE($B$3,""close"",$B$1,TODAY()),CT1,1),"""")"),"")</f>
        <v/>
      </c>
      <c r="CU2" s="15" t="str">
        <f ca="1">IFERROR(__xludf.DUMMYFUNCTION("iferror(index(GOOGLEFINANCE($B$3,""close"",$B$1,TODAY()),CU1,1),"""")"),"")</f>
        <v/>
      </c>
      <c r="CV2" s="15" t="str">
        <f ca="1">IFERROR(__xludf.DUMMYFUNCTION("iferror(index(GOOGLEFINANCE($B$3,""close"",$B$1,TODAY()),CV1,1),"""")"),"")</f>
        <v/>
      </c>
      <c r="CW2" s="15" t="str">
        <f ca="1">IFERROR(__xludf.DUMMYFUNCTION("iferror(index(GOOGLEFINANCE($B$3,""close"",$B$1,TODAY()),CW1,1),"""")"),"")</f>
        <v/>
      </c>
      <c r="CX2" s="15" t="str">
        <f ca="1">IFERROR(__xludf.DUMMYFUNCTION("iferror(index(GOOGLEFINANCE($B$3,""close"",$B$1,TODAY()),CX1,1),"""")"),"")</f>
        <v/>
      </c>
      <c r="CY2" s="15" t="str">
        <f ca="1">IFERROR(__xludf.DUMMYFUNCTION("iferror(index(GOOGLEFINANCE($B$3,""close"",$B$1,TODAY()),CY1,1),"""")"),"")</f>
        <v/>
      </c>
      <c r="CZ2" s="15" t="str">
        <f ca="1">IFERROR(__xludf.DUMMYFUNCTION("iferror(index(GOOGLEFINANCE($B$3,""close"",$B$1,TODAY()),CZ1,1),"""")"),"")</f>
        <v/>
      </c>
      <c r="DA2" s="15" t="str">
        <f ca="1">IFERROR(__xludf.DUMMYFUNCTION("iferror(index(GOOGLEFINANCE($B$3,""close"",$B$1,TODAY()),DA1,1),"""")"),"")</f>
        <v/>
      </c>
      <c r="DB2" s="15" t="str">
        <f ca="1">IFERROR(__xludf.DUMMYFUNCTION("iferror(index(GOOGLEFINANCE($B$3,""close"",$B$1,TODAY()),DB1,1),"""")"),"")</f>
        <v/>
      </c>
      <c r="DC2" s="15" t="str">
        <f ca="1">IFERROR(__xludf.DUMMYFUNCTION("iferror(index(GOOGLEFINANCE($B$3,""close"",$B$1,TODAY()),DC1,1),"""")"),"")</f>
        <v/>
      </c>
      <c r="DD2" s="15" t="str">
        <f ca="1">IFERROR(__xludf.DUMMYFUNCTION("iferror(index(GOOGLEFINANCE($B$3,""close"",$B$1,TODAY()),DD1,1),"""")"),"")</f>
        <v/>
      </c>
      <c r="DE2" s="15" t="str">
        <f ca="1">IFERROR(__xludf.DUMMYFUNCTION("iferror(index(GOOGLEFINANCE($B$3,""close"",$B$1,TODAY()),DE1,1),"""")"),"")</f>
        <v/>
      </c>
      <c r="DF2" s="15" t="str">
        <f ca="1">IFERROR(__xludf.DUMMYFUNCTION("iferror(index(GOOGLEFINANCE($B$3,""close"",$B$1,TODAY()),DF1,1),"""")"),"")</f>
        <v/>
      </c>
      <c r="DG2" s="15" t="str">
        <f ca="1">IFERROR(__xludf.DUMMYFUNCTION("iferror(index(GOOGLEFINANCE($B$3,""close"",$B$1,TODAY()),DG1,1),"""")"),"")</f>
        <v/>
      </c>
      <c r="DH2" s="15" t="str">
        <f ca="1">IFERROR(__xludf.DUMMYFUNCTION("iferror(index(GOOGLEFINANCE($B$3,""close"",$B$1,TODAY()),DH1,1),"""")"),"")</f>
        <v/>
      </c>
      <c r="DI2" s="15" t="str">
        <f ca="1">IFERROR(__xludf.DUMMYFUNCTION("iferror(index(GOOGLEFINANCE($B$3,""close"",$B$1,TODAY()),DI1,1),"""")"),"")</f>
        <v/>
      </c>
      <c r="DJ2" s="15" t="str">
        <f ca="1">IFERROR(__xludf.DUMMYFUNCTION("iferror(index(GOOGLEFINANCE($B$3,""close"",$B$1,TODAY()),DJ1,1),"""")"),"")</f>
        <v/>
      </c>
      <c r="DK2" s="15" t="str">
        <f ca="1">IFERROR(__xludf.DUMMYFUNCTION("iferror(index(GOOGLEFINANCE($B$3,""close"",$B$1,TODAY()),DK1,1),"""")"),"")</f>
        <v/>
      </c>
      <c r="DL2" s="15" t="str">
        <f ca="1">IFERROR(__xludf.DUMMYFUNCTION("iferror(index(GOOGLEFINANCE($B$3,""close"",$B$1,TODAY()),DL1,1),"""")"),"")</f>
        <v/>
      </c>
      <c r="DM2" s="15" t="str">
        <f ca="1">IFERROR(__xludf.DUMMYFUNCTION("iferror(index(GOOGLEFINANCE($B$3,""close"",$B$1,TODAY()),DM1,1),"""")"),"")</f>
        <v/>
      </c>
      <c r="DN2" s="15" t="str">
        <f ca="1">IFERROR(__xludf.DUMMYFUNCTION("iferror(index(GOOGLEFINANCE($B$3,""close"",$B$1,TODAY()),DN1,1),"""")"),"")</f>
        <v/>
      </c>
      <c r="DO2" s="15" t="str">
        <f ca="1">IFERROR(__xludf.DUMMYFUNCTION("iferror(index(GOOGLEFINANCE($B$3,""close"",$B$1,TODAY()),DO1,1),"""")"),"")</f>
        <v/>
      </c>
      <c r="DP2" s="15" t="str">
        <f ca="1">IFERROR(__xludf.DUMMYFUNCTION("iferror(index(GOOGLEFINANCE($B$3,""close"",$B$1,TODAY()),DP1,1),"""")"),"")</f>
        <v/>
      </c>
      <c r="DQ2" s="15" t="str">
        <f ca="1">IFERROR(__xludf.DUMMYFUNCTION("iferror(index(GOOGLEFINANCE($B$3,""close"",$B$1,TODAY()),DQ1,1),"""")"),"")</f>
        <v/>
      </c>
      <c r="DR2" s="15" t="str">
        <f ca="1">IFERROR(__xludf.DUMMYFUNCTION("iferror(index(GOOGLEFINANCE($B$3,""close"",$B$1,TODAY()),DR1,1),"""")"),"")</f>
        <v/>
      </c>
      <c r="DS2" s="15" t="str">
        <f ca="1">IFERROR(__xludf.DUMMYFUNCTION("iferror(index(GOOGLEFINANCE($B$3,""close"",$B$1,TODAY()),DS1,1),"""")"),"")</f>
        <v/>
      </c>
      <c r="DT2" s="15" t="str">
        <f ca="1">IFERROR(__xludf.DUMMYFUNCTION("iferror(index(GOOGLEFINANCE($B$3,""close"",$B$1,TODAY()),DT1,1),"""")"),"")</f>
        <v/>
      </c>
      <c r="DU2" s="15" t="str">
        <f ca="1">IFERROR(__xludf.DUMMYFUNCTION("iferror(index(GOOGLEFINANCE($B$3,""close"",$B$1,TODAY()),DU1,1),"""")"),"")</f>
        <v/>
      </c>
      <c r="DV2" s="15" t="str">
        <f ca="1">IFERROR(__xludf.DUMMYFUNCTION("iferror(index(GOOGLEFINANCE($B$3,""close"",$B$1,TODAY()),DV1,1),"""")"),"")</f>
        <v/>
      </c>
      <c r="DW2" s="15" t="str">
        <f ca="1">IFERROR(__xludf.DUMMYFUNCTION("iferror(index(GOOGLEFINANCE($B$3,""close"",$B$1,TODAY()),DW1,1),"""")"),"")</f>
        <v/>
      </c>
      <c r="DX2" s="15" t="str">
        <f ca="1">IFERROR(__xludf.DUMMYFUNCTION("iferror(index(GOOGLEFINANCE($B$3,""close"",$B$1,TODAY()),DX1,1),"""")"),"")</f>
        <v/>
      </c>
      <c r="DY2" s="15" t="str">
        <f ca="1">IFERROR(__xludf.DUMMYFUNCTION("iferror(index(GOOGLEFINANCE($B$3,""close"",$B$1,TODAY()),DY1,1),"""")"),"")</f>
        <v/>
      </c>
      <c r="DZ2" s="15" t="str">
        <f ca="1">IFERROR(__xludf.DUMMYFUNCTION("iferror(index(GOOGLEFINANCE($B$3,""close"",$B$1,TODAY()),DZ1,1),"""")"),"")</f>
        <v/>
      </c>
      <c r="EA2" s="15" t="str">
        <f ca="1">IFERROR(__xludf.DUMMYFUNCTION("iferror(index(GOOGLEFINANCE($B$3,""close"",$B$1,TODAY()),EA1,1),"""")"),"")</f>
        <v/>
      </c>
      <c r="EB2" s="15" t="str">
        <f ca="1">IFERROR(__xludf.DUMMYFUNCTION("iferror(index(GOOGLEFINANCE($B$3,""close"",$B$1,TODAY()),EB1,1),"""")"),"")</f>
        <v/>
      </c>
      <c r="EC2" s="15" t="str">
        <f ca="1">IFERROR(__xludf.DUMMYFUNCTION("iferror(index(GOOGLEFINANCE($B$3,""close"",$B$1,TODAY()),EC1,1),"""")"),"")</f>
        <v/>
      </c>
      <c r="ED2" s="15" t="str">
        <f ca="1">IFERROR(__xludf.DUMMYFUNCTION("iferror(index(GOOGLEFINANCE($B$3,""close"",$B$1,TODAY()),ED1,1),"""")"),"")</f>
        <v/>
      </c>
      <c r="EE2" s="15" t="str">
        <f ca="1">IFERROR(__xludf.DUMMYFUNCTION("iferror(index(GOOGLEFINANCE($B$3,""close"",$B$1,TODAY()),EE1,1),"""")"),"")</f>
        <v/>
      </c>
      <c r="EF2" s="15" t="str">
        <f ca="1">IFERROR(__xludf.DUMMYFUNCTION("iferror(index(GOOGLEFINANCE($B$3,""close"",$B$1,TODAY()),EF1,1),"""")"),"")</f>
        <v/>
      </c>
      <c r="EG2" s="15" t="str">
        <f ca="1">IFERROR(__xludf.DUMMYFUNCTION("iferror(index(GOOGLEFINANCE($B$3,""close"",$B$1,TODAY()),EG1,1),"""")"),"")</f>
        <v/>
      </c>
      <c r="EH2" s="15" t="str">
        <f ca="1">IFERROR(__xludf.DUMMYFUNCTION("iferror(index(GOOGLEFINANCE($B$3,""close"",$B$1,TODAY()),EH1,1),"""")"),"")</f>
        <v/>
      </c>
      <c r="EI2" s="15" t="str">
        <f ca="1">IFERROR(__xludf.DUMMYFUNCTION("iferror(index(GOOGLEFINANCE($B$3,""close"",$B$1,TODAY()),EI1,1),"""")"),"")</f>
        <v/>
      </c>
      <c r="EJ2" s="15" t="str">
        <f ca="1">IFERROR(__xludf.DUMMYFUNCTION("iferror(index(GOOGLEFINANCE($B$3,""close"",$B$1,TODAY()),EJ1,1),"""")"),"")</f>
        <v/>
      </c>
      <c r="EK2" s="15" t="str">
        <f ca="1">IFERROR(__xludf.DUMMYFUNCTION("iferror(index(GOOGLEFINANCE($B$3,""close"",$B$1,TODAY()),EK1,1),"""")"),"")</f>
        <v/>
      </c>
      <c r="EL2" s="15" t="str">
        <f ca="1">IFERROR(__xludf.DUMMYFUNCTION("iferror(index(GOOGLEFINANCE($B$3,""close"",$B$1,TODAY()),EL1,1),"""")"),"")</f>
        <v/>
      </c>
      <c r="EM2" s="15" t="str">
        <f ca="1">IFERROR(__xludf.DUMMYFUNCTION("iferror(index(GOOGLEFINANCE($B$3,""close"",$B$1,TODAY()),EM1,1),"""")"),"")</f>
        <v/>
      </c>
      <c r="EN2" s="15" t="str">
        <f ca="1">IFERROR(__xludf.DUMMYFUNCTION("iferror(index(GOOGLEFINANCE($B$3,""close"",$B$1,TODAY()),EN1,1),"""")"),"")</f>
        <v/>
      </c>
      <c r="EO2" s="15" t="str">
        <f ca="1">IFERROR(__xludf.DUMMYFUNCTION("iferror(index(GOOGLEFINANCE($B$3,""close"",$B$1,TODAY()),EO1,1),"""")"),"")</f>
        <v/>
      </c>
      <c r="EP2" s="15" t="str">
        <f ca="1">IFERROR(__xludf.DUMMYFUNCTION("iferror(index(GOOGLEFINANCE($B$3,""close"",$B$1,TODAY()),EP1,1),"""")"),"")</f>
        <v/>
      </c>
      <c r="EQ2" s="15" t="str">
        <f ca="1">IFERROR(__xludf.DUMMYFUNCTION("iferror(index(GOOGLEFINANCE($B$3,""close"",$B$1,TODAY()),EQ1,1),"""")"),"")</f>
        <v/>
      </c>
      <c r="ER2" s="15" t="str">
        <f ca="1">IFERROR(__xludf.DUMMYFUNCTION("iferror(index(GOOGLEFINANCE($B$3,""close"",$B$1,TODAY()),ER1,1),"""")"),"")</f>
        <v/>
      </c>
      <c r="ES2" s="15" t="str">
        <f ca="1">IFERROR(__xludf.DUMMYFUNCTION("iferror(index(GOOGLEFINANCE($B$3,""close"",$B$1,TODAY()),ES1,1),"""")"),"")</f>
        <v/>
      </c>
      <c r="ET2" s="15" t="str">
        <f ca="1">IFERROR(__xludf.DUMMYFUNCTION("iferror(index(GOOGLEFINANCE($B$3,""close"",$B$1,TODAY()),ET1,1),"""")"),"")</f>
        <v/>
      </c>
      <c r="EU2" s="15" t="str">
        <f ca="1">IFERROR(__xludf.DUMMYFUNCTION("iferror(index(GOOGLEFINANCE($B$3,""close"",$B$1,TODAY()),EU1,1),"""")"),"")</f>
        <v/>
      </c>
      <c r="EV2" s="15" t="str">
        <f ca="1">IFERROR(__xludf.DUMMYFUNCTION("iferror(index(GOOGLEFINANCE($B$3,""close"",$B$1,TODAY()),EV1,1),"""")"),"")</f>
        <v/>
      </c>
      <c r="EW2" s="15" t="str">
        <f ca="1">IFERROR(__xludf.DUMMYFUNCTION("iferror(index(GOOGLEFINANCE($B$3,""close"",$B$1,TODAY()),EW1,1),"""")"),"")</f>
        <v/>
      </c>
      <c r="EX2" s="15" t="str">
        <f ca="1">IFERROR(__xludf.DUMMYFUNCTION("iferror(index(GOOGLEFINANCE($B$3,""close"",$B$1,TODAY()),EX1,1),"""")"),"")</f>
        <v/>
      </c>
      <c r="EY2" s="15" t="str">
        <f ca="1">IFERROR(__xludf.DUMMYFUNCTION("iferror(index(GOOGLEFINANCE($B$3,""close"",$B$1,TODAY()),EY1,1),"""")"),"")</f>
        <v/>
      </c>
      <c r="EZ2" s="15" t="str">
        <f ca="1">IFERROR(__xludf.DUMMYFUNCTION("iferror(index(GOOGLEFINANCE($B$3,""close"",$B$1,TODAY()),EZ1,1),"""")"),"")</f>
        <v/>
      </c>
      <c r="FA2" s="15" t="str">
        <f ca="1">IFERROR(__xludf.DUMMYFUNCTION("iferror(index(GOOGLEFINANCE($B$3,""close"",$B$1,TODAY()),FA1,1),"""")"),"")</f>
        <v/>
      </c>
      <c r="FB2" s="15" t="str">
        <f ca="1">IFERROR(__xludf.DUMMYFUNCTION("iferror(index(GOOGLEFINANCE($B$3,""close"",$B$1,TODAY()),FB1,1),"""")"),"")</f>
        <v/>
      </c>
      <c r="FC2" s="15" t="str">
        <f ca="1">IFERROR(__xludf.DUMMYFUNCTION("iferror(index(GOOGLEFINANCE($B$3,""close"",$B$1,TODAY()),FC1,1),"""")"),"")</f>
        <v/>
      </c>
      <c r="FD2" s="15" t="str">
        <f ca="1">IFERROR(__xludf.DUMMYFUNCTION("iferror(index(GOOGLEFINANCE($B$3,""close"",$B$1,TODAY()),FD1,1),"""")"),"")</f>
        <v/>
      </c>
      <c r="FE2" s="15" t="str">
        <f ca="1">IFERROR(__xludf.DUMMYFUNCTION("iferror(index(GOOGLEFINANCE($B$3,""close"",$B$1,TODAY()),FE1,1),"""")"),"")</f>
        <v/>
      </c>
      <c r="FF2" s="15" t="str">
        <f ca="1">IFERROR(__xludf.DUMMYFUNCTION("iferror(index(GOOGLEFINANCE($B$3,""close"",$B$1,TODAY()),FF1,1),"""")"),"")</f>
        <v/>
      </c>
      <c r="FG2" s="15" t="str">
        <f ca="1">IFERROR(__xludf.DUMMYFUNCTION("iferror(index(GOOGLEFINANCE($B$3,""close"",$B$1,TODAY()),FG1,1),"""")"),"")</f>
        <v/>
      </c>
      <c r="FH2" s="15" t="str">
        <f ca="1">IFERROR(__xludf.DUMMYFUNCTION("iferror(index(GOOGLEFINANCE($B$3,""close"",$B$1,TODAY()),FH1,1),"""")"),"")</f>
        <v/>
      </c>
      <c r="FI2" s="15" t="str">
        <f ca="1">IFERROR(__xludf.DUMMYFUNCTION("iferror(index(GOOGLEFINANCE($B$3,""close"",$B$1,TODAY()),FI1,1),"""")"),"")</f>
        <v/>
      </c>
      <c r="FJ2" s="15" t="str">
        <f ca="1">IFERROR(__xludf.DUMMYFUNCTION("iferror(index(GOOGLEFINANCE($B$3,""close"",$B$1,TODAY()),FJ1,1),"""")"),"")</f>
        <v/>
      </c>
      <c r="FK2" s="15" t="str">
        <f ca="1">IFERROR(__xludf.DUMMYFUNCTION("iferror(index(GOOGLEFINANCE($B$3,""close"",$B$1,TODAY()),FK1,1),"""")"),"")</f>
        <v/>
      </c>
      <c r="FL2" s="15" t="str">
        <f ca="1">IFERROR(__xludf.DUMMYFUNCTION("iferror(index(GOOGLEFINANCE($B$3,""close"",$B$1,TODAY()),FL1,1),"""")"),"")</f>
        <v/>
      </c>
      <c r="FM2" s="15" t="str">
        <f ca="1">IFERROR(__xludf.DUMMYFUNCTION("iferror(index(GOOGLEFINANCE($B$3,""close"",$B$1,TODAY()),FM1,1),"""")"),"")</f>
        <v/>
      </c>
      <c r="FN2" s="15" t="str">
        <f ca="1">IFERROR(__xludf.DUMMYFUNCTION("iferror(index(GOOGLEFINANCE($B$3,""close"",$B$1,TODAY()),FN1,1),"""")"),"")</f>
        <v/>
      </c>
      <c r="FO2" s="15" t="str">
        <f ca="1">IFERROR(__xludf.DUMMYFUNCTION("iferror(index(GOOGLEFINANCE($B$3,""close"",$B$1,TODAY()),FO1,1),"""")"),"")</f>
        <v/>
      </c>
      <c r="FP2" s="15" t="str">
        <f ca="1">IFERROR(__xludf.DUMMYFUNCTION("iferror(index(GOOGLEFINANCE($B$3,""close"",$B$1,TODAY()),FP1,1),"""")"),"")</f>
        <v/>
      </c>
      <c r="FQ2" s="15" t="str">
        <f ca="1">IFERROR(__xludf.DUMMYFUNCTION("iferror(index(GOOGLEFINANCE($B$3,""close"",$B$1,TODAY()),FQ1,1),"""")"),"")</f>
        <v/>
      </c>
      <c r="FR2" s="15" t="str">
        <f ca="1">IFERROR(__xludf.DUMMYFUNCTION("iferror(index(GOOGLEFINANCE($B$3,""close"",$B$1,TODAY()),FR1,1),"""")"),"")</f>
        <v/>
      </c>
      <c r="FS2" s="15" t="str">
        <f ca="1">IFERROR(__xludf.DUMMYFUNCTION("iferror(index(GOOGLEFINANCE($B$3,""close"",$B$1,TODAY()),FS1,1),"""")"),"")</f>
        <v/>
      </c>
      <c r="FT2" s="15" t="str">
        <f ca="1">IFERROR(__xludf.DUMMYFUNCTION("iferror(index(GOOGLEFINANCE($B$3,""close"",$B$1,TODAY()),FT1,1),"""")"),"")</f>
        <v/>
      </c>
      <c r="FU2" s="15" t="str">
        <f ca="1">IFERROR(__xludf.DUMMYFUNCTION("iferror(index(GOOGLEFINANCE($B$3,""close"",$B$1,TODAY()),FU1,1),"""")"),"")</f>
        <v/>
      </c>
      <c r="FV2" s="15" t="str">
        <f ca="1">IFERROR(__xludf.DUMMYFUNCTION("iferror(index(GOOGLEFINANCE($B$3,""close"",$B$1,TODAY()),FV1,1),"""")"),"")</f>
        <v/>
      </c>
      <c r="FW2" s="15" t="str">
        <f ca="1">IFERROR(__xludf.DUMMYFUNCTION("iferror(index(GOOGLEFINANCE($B$3,""close"",$B$1,TODAY()),FW1,1),"""")"),"")</f>
        <v/>
      </c>
      <c r="FX2" s="15" t="str">
        <f ca="1">IFERROR(__xludf.DUMMYFUNCTION("iferror(index(GOOGLEFINANCE($B$3,""close"",$B$1,TODAY()),FX1,1),"""")"),"")</f>
        <v/>
      </c>
      <c r="FY2" s="15" t="str">
        <f ca="1">IFERROR(__xludf.DUMMYFUNCTION("iferror(index(GOOGLEFINANCE($B$3,""close"",$B$1,TODAY()),FY1,1),"""")"),"")</f>
        <v/>
      </c>
      <c r="FZ2" s="15" t="str">
        <f ca="1">IFERROR(__xludf.DUMMYFUNCTION("iferror(index(GOOGLEFINANCE($B$3,""close"",$B$1,TODAY()),FZ1,1),"""")"),"")</f>
        <v/>
      </c>
      <c r="GA2" s="15" t="str">
        <f ca="1">IFERROR(__xludf.DUMMYFUNCTION("iferror(index(GOOGLEFINANCE($B$3,""close"",$B$1,TODAY()),GA1,1),"""")"),"")</f>
        <v/>
      </c>
      <c r="GB2" s="15" t="str">
        <f ca="1">IFERROR(__xludf.DUMMYFUNCTION("iferror(index(GOOGLEFINANCE($B$3,""close"",$B$1,TODAY()),GB1,1),"""")"),"")</f>
        <v/>
      </c>
      <c r="GC2" s="15" t="str">
        <f ca="1">IFERROR(__xludf.DUMMYFUNCTION("iferror(index(GOOGLEFINANCE($B$3,""close"",$B$1,TODAY()),GC1,1),"""")"),"")</f>
        <v/>
      </c>
      <c r="GD2" s="15" t="str">
        <f ca="1">IFERROR(__xludf.DUMMYFUNCTION("iferror(index(GOOGLEFINANCE($B$3,""close"",$B$1,TODAY()),GD1,1),"""")"),"")</f>
        <v/>
      </c>
      <c r="GE2" s="15" t="str">
        <f ca="1">IFERROR(__xludf.DUMMYFUNCTION("iferror(index(GOOGLEFINANCE($B$3,""close"",$B$1,TODAY()),GE1,1),"""")"),"")</f>
        <v/>
      </c>
      <c r="GF2" s="15" t="str">
        <f ca="1">IFERROR(__xludf.DUMMYFUNCTION("iferror(index(GOOGLEFINANCE($B$3,""close"",$B$1,TODAY()),GF1,1),"""")"),"")</f>
        <v/>
      </c>
      <c r="GG2" s="15" t="str">
        <f ca="1">IFERROR(__xludf.DUMMYFUNCTION("iferror(index(GOOGLEFINANCE($B$3,""close"",$B$1,TODAY()),GG1,1),"""")"),"")</f>
        <v/>
      </c>
      <c r="GH2" s="15" t="str">
        <f ca="1">IFERROR(__xludf.DUMMYFUNCTION("iferror(index(GOOGLEFINANCE($B$3,""close"",$B$1,TODAY()),GH1,1),"""")"),"")</f>
        <v/>
      </c>
      <c r="GI2" s="15" t="str">
        <f ca="1">IFERROR(__xludf.DUMMYFUNCTION("iferror(index(GOOGLEFINANCE($B$3,""close"",$B$1,TODAY()),GI1,1),"""")"),"")</f>
        <v/>
      </c>
      <c r="GJ2" s="15" t="str">
        <f ca="1">IFERROR(__xludf.DUMMYFUNCTION("iferror(index(GOOGLEFINANCE($B$3,""close"",$B$1,TODAY()),GJ1,1),"""")"),"")</f>
        <v/>
      </c>
      <c r="GK2" s="15" t="str">
        <f ca="1">IFERROR(__xludf.DUMMYFUNCTION("iferror(index(GOOGLEFINANCE($B$3,""close"",$B$1,TODAY()),GK1,1),"""")"),"")</f>
        <v/>
      </c>
      <c r="GL2" s="15" t="str">
        <f ca="1">IFERROR(__xludf.DUMMYFUNCTION("iferror(index(GOOGLEFINANCE($B$3,""close"",$B$1,TODAY()),GL1,1),"""")"),"")</f>
        <v/>
      </c>
      <c r="GM2" s="15" t="str">
        <f ca="1">IFERROR(__xludf.DUMMYFUNCTION("iferror(index(GOOGLEFINANCE($B$3,""close"",$B$1,TODAY()),GM1,1),"""")"),"")</f>
        <v/>
      </c>
      <c r="GN2" s="15" t="str">
        <f ca="1">IFERROR(__xludf.DUMMYFUNCTION("iferror(index(GOOGLEFINANCE($B$3,""close"",$B$1,TODAY()),GN1,1),"""")"),"")</f>
        <v/>
      </c>
      <c r="GO2" s="15" t="str">
        <f ca="1">IFERROR(__xludf.DUMMYFUNCTION("iferror(index(GOOGLEFINANCE($B$3,""close"",$B$1,TODAY()),GO1,1),"""")"),"")</f>
        <v/>
      </c>
      <c r="GP2" s="15" t="str">
        <f ca="1">IFERROR(__xludf.DUMMYFUNCTION("iferror(index(GOOGLEFINANCE($B$3,""close"",$B$1,TODAY()),GP1,1),"""")"),"")</f>
        <v/>
      </c>
      <c r="GQ2" s="15" t="str">
        <f ca="1">IFERROR(__xludf.DUMMYFUNCTION("iferror(index(GOOGLEFINANCE($B$3,""close"",$B$1,TODAY()),GQ1,1),"""")"),"")</f>
        <v/>
      </c>
      <c r="GR2" s="15" t="str">
        <f ca="1">IFERROR(__xludf.DUMMYFUNCTION("iferror(index(GOOGLEFINANCE($B$3,""close"",$B$1,TODAY()),GR1,1),"""")"),"")</f>
        <v/>
      </c>
      <c r="GS2" s="15" t="str">
        <f ca="1">IFERROR(__xludf.DUMMYFUNCTION("iferror(index(GOOGLEFINANCE($B$3,""close"",$B$1,TODAY()),GS1,1),"""")"),"")</f>
        <v/>
      </c>
      <c r="GT2" s="15" t="str">
        <f ca="1">IFERROR(__xludf.DUMMYFUNCTION("iferror(index(GOOGLEFINANCE($B$3,""close"",$B$1,TODAY()),GT1,1),"""")"),"")</f>
        <v/>
      </c>
      <c r="GU2" s="15" t="str">
        <f ca="1">IFERROR(__xludf.DUMMYFUNCTION("iferror(index(GOOGLEFINANCE($B$3,""close"",$B$1,TODAY()),GU1,1),"""")"),"")</f>
        <v/>
      </c>
      <c r="GV2" s="15" t="str">
        <f ca="1">IFERROR(__xludf.DUMMYFUNCTION("iferror(index(GOOGLEFINANCE($B$3,""close"",$B$1,TODAY()),GV1,1),"""")"),"")</f>
        <v/>
      </c>
      <c r="GW2" s="15" t="str">
        <f ca="1">IFERROR(__xludf.DUMMYFUNCTION("iferror(index(GOOGLEFINANCE($B$3,""close"",$B$1,TODAY()),GW1,1),"""")"),"")</f>
        <v/>
      </c>
      <c r="GX2" s="15" t="str">
        <f ca="1">IFERROR(__xludf.DUMMYFUNCTION("iferror(index(GOOGLEFINANCE($B$3,""close"",$B$1,TODAY()),GX1,1),"""")"),"")</f>
        <v/>
      </c>
      <c r="GY2" s="15" t="str">
        <f ca="1">IFERROR(__xludf.DUMMYFUNCTION("iferror(index(GOOGLEFINANCE($B$3,""close"",$B$1,TODAY()),GY1,1),"""")"),"")</f>
        <v/>
      </c>
      <c r="GZ2" s="15" t="str">
        <f ca="1">IFERROR(__xludf.DUMMYFUNCTION("iferror(index(GOOGLEFINANCE($B$3,""close"",$B$1,TODAY()),GZ1,1),"""")"),"")</f>
        <v/>
      </c>
      <c r="HA2" s="15" t="str">
        <f ca="1">IFERROR(__xludf.DUMMYFUNCTION("iferror(index(GOOGLEFINANCE($B$3,""close"",$B$1,TODAY()),HA1,1),"""")"),"")</f>
        <v/>
      </c>
      <c r="HB2" s="15" t="str">
        <f ca="1">IFERROR(__xludf.DUMMYFUNCTION("iferror(index(GOOGLEFINANCE($B$3,""close"",$B$1,TODAY()),HB1,1),"""")"),"")</f>
        <v/>
      </c>
      <c r="HC2" s="15" t="str">
        <f ca="1">IFERROR(__xludf.DUMMYFUNCTION("iferror(index(GOOGLEFINANCE($B$3,""close"",$B$1,TODAY()),HC1,1),"""")"),"")</f>
        <v/>
      </c>
      <c r="HD2" s="15" t="str">
        <f ca="1">IFERROR(__xludf.DUMMYFUNCTION("iferror(index(GOOGLEFINANCE($B$3,""close"",$B$1,TODAY()),HD1,1),"""")"),"")</f>
        <v/>
      </c>
      <c r="HE2" s="15" t="str">
        <f ca="1">IFERROR(__xludf.DUMMYFUNCTION("iferror(index(GOOGLEFINANCE($B$3,""close"",$B$1,TODAY()),HE1,1),"""")"),"")</f>
        <v/>
      </c>
      <c r="HF2" s="15" t="str">
        <f ca="1">IFERROR(__xludf.DUMMYFUNCTION("iferror(index(GOOGLEFINANCE($B$3,""close"",$B$1,TODAY()),HF1,1),"""")"),"")</f>
        <v/>
      </c>
      <c r="HG2" s="15" t="str">
        <f ca="1">IFERROR(__xludf.DUMMYFUNCTION("iferror(index(GOOGLEFINANCE($B$3,""close"",$B$1,TODAY()),HG1,1),"""")"),"")</f>
        <v/>
      </c>
      <c r="HH2" s="15" t="str">
        <f ca="1">IFERROR(__xludf.DUMMYFUNCTION("iferror(index(GOOGLEFINANCE($B$3,""close"",$B$1,TODAY()),HH1,1),"""")"),"")</f>
        <v/>
      </c>
      <c r="HI2" s="15" t="str">
        <f ca="1">IFERROR(__xludf.DUMMYFUNCTION("iferror(index(GOOGLEFINANCE($B$3,""close"",$B$1,TODAY()),HI1,1),"""")"),"")</f>
        <v/>
      </c>
      <c r="HJ2" s="15" t="str">
        <f ca="1">IFERROR(__xludf.DUMMYFUNCTION("iferror(index(GOOGLEFINANCE($B$3,""close"",$B$1,TODAY()),HJ1,1),"""")"),"")</f>
        <v/>
      </c>
      <c r="HK2" s="15" t="str">
        <f ca="1">IFERROR(__xludf.DUMMYFUNCTION("iferror(index(GOOGLEFINANCE($B$3,""close"",$B$1,TODAY()),HK1,1),"""")"),"")</f>
        <v/>
      </c>
      <c r="HL2" s="15" t="str">
        <f ca="1">IFERROR(__xludf.DUMMYFUNCTION("iferror(index(GOOGLEFINANCE($B$3,""close"",$B$1,TODAY()),HL1,1),"""")"),"")</f>
        <v/>
      </c>
      <c r="HM2" s="15" t="str">
        <f ca="1">IFERROR(__xludf.DUMMYFUNCTION("iferror(index(GOOGLEFINANCE($B$3,""close"",$B$1,TODAY()),HM1,1),"""")"),"")</f>
        <v/>
      </c>
      <c r="HN2" s="15" t="str">
        <f ca="1">IFERROR(__xludf.DUMMYFUNCTION("iferror(index(GOOGLEFINANCE($B$3,""close"",$B$1,TODAY()),HN1,1),"""")"),"")</f>
        <v/>
      </c>
      <c r="HO2" s="15" t="str">
        <f ca="1">IFERROR(__xludf.DUMMYFUNCTION("iferror(index(GOOGLEFINANCE($B$3,""close"",$B$1,TODAY()),HO1,1),"""")"),"")</f>
        <v/>
      </c>
      <c r="HP2" s="15" t="str">
        <f ca="1">IFERROR(__xludf.DUMMYFUNCTION("iferror(index(GOOGLEFINANCE($B$3,""close"",$B$1,TODAY()),HP1,1),"""")"),"")</f>
        <v/>
      </c>
      <c r="HQ2" s="15" t="str">
        <f ca="1">IFERROR(__xludf.DUMMYFUNCTION("iferror(index(GOOGLEFINANCE($B$3,""close"",$B$1,TODAY()),HQ1,1),"""")"),"")</f>
        <v/>
      </c>
      <c r="HR2" s="15" t="str">
        <f ca="1">IFERROR(__xludf.DUMMYFUNCTION("iferror(index(GOOGLEFINANCE($B$3,""close"",$B$1,TODAY()),HR1,1),"""")"),"")</f>
        <v/>
      </c>
      <c r="HS2" s="15" t="str">
        <f ca="1">IFERROR(__xludf.DUMMYFUNCTION("iferror(index(GOOGLEFINANCE($B$3,""close"",$B$1,TODAY()),HS1,1),"""")"),"")</f>
        <v/>
      </c>
      <c r="HT2" s="15" t="str">
        <f ca="1">IFERROR(__xludf.DUMMYFUNCTION("iferror(index(GOOGLEFINANCE($B$3,""close"",$B$1,TODAY()),HT1,1),"""")"),"")</f>
        <v/>
      </c>
      <c r="HU2" s="15" t="str">
        <f ca="1">IFERROR(__xludf.DUMMYFUNCTION("iferror(index(GOOGLEFINANCE($B$3,""close"",$B$1,TODAY()),HU1,1),"""")"),"")</f>
        <v/>
      </c>
      <c r="HV2" s="15" t="str">
        <f ca="1">IFERROR(__xludf.DUMMYFUNCTION("iferror(index(GOOGLEFINANCE($B$3,""close"",$B$1,TODAY()),HV1,1),"""")"),"")</f>
        <v/>
      </c>
      <c r="HW2" s="15" t="str">
        <f ca="1">IFERROR(__xludf.DUMMYFUNCTION("iferror(index(GOOGLEFINANCE($B$3,""close"",$B$1,TODAY()),HW1,1),"""")"),"")</f>
        <v/>
      </c>
      <c r="HX2" s="15" t="str">
        <f ca="1">IFERROR(__xludf.DUMMYFUNCTION("iferror(index(GOOGLEFINANCE($B$3,""close"",$B$1,TODAY()),HX1,1),"""")"),"")</f>
        <v/>
      </c>
      <c r="HY2" s="15" t="str">
        <f ca="1">IFERROR(__xludf.DUMMYFUNCTION("iferror(index(GOOGLEFINANCE($B$3,""close"",$B$1,TODAY()),HY1,1),"""")"),"")</f>
        <v/>
      </c>
      <c r="HZ2" s="15" t="str">
        <f ca="1">IFERROR(__xludf.DUMMYFUNCTION("iferror(index(GOOGLEFINANCE($B$3,""close"",$B$1,TODAY()),HZ1,1),"""")"),"")</f>
        <v/>
      </c>
      <c r="IA2" s="15" t="str">
        <f ca="1">IFERROR(__xludf.DUMMYFUNCTION("iferror(index(GOOGLEFINANCE($B$3,""close"",$B$1,TODAY()),IA1,1),"""")"),"")</f>
        <v/>
      </c>
      <c r="IB2" s="15" t="str">
        <f ca="1">IFERROR(__xludf.DUMMYFUNCTION("iferror(index(GOOGLEFINANCE($B$3,""close"",$B$1,TODAY()),IB1,1),"""")"),"")</f>
        <v/>
      </c>
      <c r="IC2" s="15" t="str">
        <f ca="1">IFERROR(__xludf.DUMMYFUNCTION("iferror(index(GOOGLEFINANCE($B$3,""close"",$B$1,TODAY()),IC1,1),"""")"),"")</f>
        <v/>
      </c>
      <c r="ID2" s="15" t="str">
        <f ca="1">IFERROR(__xludf.DUMMYFUNCTION("iferror(index(GOOGLEFINANCE($B$3,""close"",$B$1,TODAY()),ID1,1),"""")"),"")</f>
        <v/>
      </c>
      <c r="IE2" s="15" t="str">
        <f ca="1">IFERROR(__xludf.DUMMYFUNCTION("iferror(index(GOOGLEFINANCE($B$3,""close"",$B$1,TODAY()),IE1,1),"""")"),"")</f>
        <v/>
      </c>
      <c r="IF2" s="15" t="str">
        <f ca="1">IFERROR(__xludf.DUMMYFUNCTION("iferror(index(GOOGLEFINANCE($B$3,""close"",$B$1,TODAY()),IF1,1),"""")"),"")</f>
        <v/>
      </c>
      <c r="IG2" s="15" t="str">
        <f ca="1">IFERROR(__xludf.DUMMYFUNCTION("iferror(index(GOOGLEFINANCE($B$3,""close"",$B$1,TODAY()),IG1,1),"""")"),"")</f>
        <v/>
      </c>
      <c r="IH2" s="15" t="str">
        <f ca="1">IFERROR(__xludf.DUMMYFUNCTION("iferror(index(GOOGLEFINANCE($B$3,""close"",$B$1,TODAY()),IH1,1),"""")"),"")</f>
        <v/>
      </c>
      <c r="II2" s="15" t="str">
        <f ca="1">IFERROR(__xludf.DUMMYFUNCTION("iferror(index(GOOGLEFINANCE($B$3,""close"",$B$1,TODAY()),II1,1),"""")"),"")</f>
        <v/>
      </c>
      <c r="IJ2" s="15" t="str">
        <f ca="1">IFERROR(__xludf.DUMMYFUNCTION("iferror(index(GOOGLEFINANCE($B$3,""close"",$B$1,TODAY()),IJ1,1),"""")"),"")</f>
        <v/>
      </c>
      <c r="IK2" s="15" t="str">
        <f ca="1">IFERROR(__xludf.DUMMYFUNCTION("iferror(index(GOOGLEFINANCE($B$3,""close"",$B$1,TODAY()),IK1,1),"""")"),"")</f>
        <v/>
      </c>
      <c r="IL2" s="15" t="str">
        <f ca="1">IFERROR(__xludf.DUMMYFUNCTION("iferror(index(GOOGLEFINANCE($B$3,""close"",$B$1,TODAY()),IL1,1),"""")"),"")</f>
        <v/>
      </c>
      <c r="IM2" s="15" t="str">
        <f ca="1">IFERROR(__xludf.DUMMYFUNCTION("iferror(index(GOOGLEFINANCE($B$3,""close"",$B$1,TODAY()),IM1,1),"""")"),"")</f>
        <v/>
      </c>
      <c r="IN2" s="15" t="str">
        <f ca="1">IFERROR(__xludf.DUMMYFUNCTION("iferror(index(GOOGLEFINANCE($B$3,""close"",$B$1,TODAY()),IN1,1),"""")"),"")</f>
        <v/>
      </c>
      <c r="IO2" s="15" t="str">
        <f ca="1">IFERROR(__xludf.DUMMYFUNCTION("iferror(index(GOOGLEFINANCE($B$3,""close"",$B$1,TODAY()),IO1,1),"""")"),"")</f>
        <v/>
      </c>
      <c r="IP2" s="15" t="str">
        <f ca="1">IFERROR(__xludf.DUMMYFUNCTION("iferror(index(GOOGLEFINANCE($B$3,""close"",$B$1,TODAY()),IP1,1),"""")"),"")</f>
        <v/>
      </c>
      <c r="IQ2" s="15" t="str">
        <f ca="1">IFERROR(__xludf.DUMMYFUNCTION("iferror(index(GOOGLEFINANCE($B$3,""close"",$B$1,TODAY()),IQ1,1),"""")"),"")</f>
        <v/>
      </c>
      <c r="IR2" s="15" t="str">
        <f ca="1">IFERROR(__xludf.DUMMYFUNCTION("iferror(index(GOOGLEFINANCE($B$3,""close"",$B$1,TODAY()),IR1,1),"""")"),"")</f>
        <v/>
      </c>
      <c r="IS2" s="15" t="str">
        <f ca="1">IFERROR(__xludf.DUMMYFUNCTION("iferror(index(GOOGLEFINANCE($B$3,""close"",$B$1,TODAY()),IS1,1),"""")"),"")</f>
        <v/>
      </c>
      <c r="IT2" s="15" t="str">
        <f ca="1">IFERROR(__xludf.DUMMYFUNCTION("iferror(index(GOOGLEFINANCE($B$3,""close"",$B$1,TODAY()),IT1,1),"""")"),"")</f>
        <v/>
      </c>
      <c r="IU2" s="15" t="str">
        <f ca="1">IFERROR(__xludf.DUMMYFUNCTION("iferror(index(GOOGLEFINANCE($B$3,""close"",$B$1,TODAY()),IU1,1),"""")"),"")</f>
        <v/>
      </c>
      <c r="IV2" s="15" t="str">
        <f ca="1">IFERROR(__xludf.DUMMYFUNCTION("iferror(index(GOOGLEFINANCE($B$3,""close"",$B$1,TODAY()),IV1,1),"""")"),"")</f>
        <v/>
      </c>
      <c r="IW2" s="15" t="str">
        <f ca="1">IFERROR(__xludf.DUMMYFUNCTION("iferror(index(GOOGLEFINANCE($B$3,""close"",$B$1,TODAY()),IW1,1),"""")"),"")</f>
        <v/>
      </c>
      <c r="IX2" s="15" t="str">
        <f ca="1">IFERROR(__xludf.DUMMYFUNCTION("iferror(index(GOOGLEFINANCE($B$3,""close"",$B$1,TODAY()),IX1,1),"""")"),"")</f>
        <v/>
      </c>
      <c r="IY2" s="15" t="str">
        <f ca="1">IFERROR(__xludf.DUMMYFUNCTION("iferror(index(GOOGLEFINANCE($B$3,""close"",$B$1,TODAY()),IY1,1),"""")"),"")</f>
        <v/>
      </c>
      <c r="IZ2" s="15" t="str">
        <f ca="1">IFERROR(__xludf.DUMMYFUNCTION("iferror(index(GOOGLEFINANCE($B$3,""close"",$B$1,TODAY()),IZ1,1),"""")"),"")</f>
        <v/>
      </c>
      <c r="JA2" s="15" t="str">
        <f ca="1">IFERROR(__xludf.DUMMYFUNCTION("iferror(index(GOOGLEFINANCE($B$3,""close"",$B$1,TODAY()),JA1,1),"""")"),"")</f>
        <v/>
      </c>
      <c r="JB2" s="15" t="str">
        <f ca="1">IFERROR(__xludf.DUMMYFUNCTION("iferror(index(GOOGLEFINANCE($B$3,""close"",$B$1,TODAY()),JB1,1),"""")"),"")</f>
        <v/>
      </c>
      <c r="JC2" s="15" t="str">
        <f ca="1">IFERROR(__xludf.DUMMYFUNCTION("iferror(index(GOOGLEFINANCE($B$3,""close"",$B$1,TODAY()),JC1,1),"""")"),"")</f>
        <v/>
      </c>
      <c r="JD2" s="15" t="str">
        <f ca="1">IFERROR(__xludf.DUMMYFUNCTION("iferror(index(GOOGLEFINANCE($B$3,""close"",$B$1,TODAY()),JD1,1),"""")"),"")</f>
        <v/>
      </c>
      <c r="JE2" s="15" t="str">
        <f ca="1">IFERROR(__xludf.DUMMYFUNCTION("iferror(index(GOOGLEFINANCE($B$3,""close"",$B$1,TODAY()),JE1,1),"""")"),"")</f>
        <v/>
      </c>
      <c r="JF2" s="15" t="str">
        <f ca="1">IFERROR(__xludf.DUMMYFUNCTION("iferror(index(GOOGLEFINANCE($B$3,""close"",$B$1,TODAY()),JF1,1),"""")"),"")</f>
        <v/>
      </c>
      <c r="JG2" s="15" t="str">
        <f ca="1">IFERROR(__xludf.DUMMYFUNCTION("iferror(index(GOOGLEFINANCE($B$3,""close"",$B$1,TODAY()),JG1,1),"""")"),"")</f>
        <v/>
      </c>
      <c r="JH2" s="15" t="str">
        <f ca="1">IFERROR(__xludf.DUMMYFUNCTION("iferror(index(GOOGLEFINANCE($B$3,""close"",$B$1,TODAY()),JH1,1),"""")"),"")</f>
        <v/>
      </c>
      <c r="JI2" s="15" t="str">
        <f ca="1">IFERROR(__xludf.DUMMYFUNCTION("iferror(index(GOOGLEFINANCE($B$3,""close"",$B$1,TODAY()),JI1,1),"""")"),"")</f>
        <v/>
      </c>
      <c r="JJ2" s="15" t="str">
        <f ca="1">IFERROR(__xludf.DUMMYFUNCTION("iferror(index(GOOGLEFINANCE($B$3,""close"",$B$1,TODAY()),JJ1,1),"""")"),"")</f>
        <v/>
      </c>
      <c r="JK2" s="15" t="str">
        <f ca="1">IFERROR(__xludf.DUMMYFUNCTION("iferror(index(GOOGLEFINANCE($B$3,""close"",$B$1,TODAY()),JK1,1),"""")"),"")</f>
        <v/>
      </c>
      <c r="JL2" s="15" t="str">
        <f ca="1">IFERROR(__xludf.DUMMYFUNCTION("iferror(index(GOOGLEFINANCE($B$3,""close"",$B$1,TODAY()),JL1,1),"""")"),"")</f>
        <v/>
      </c>
      <c r="JM2" s="15" t="str">
        <f ca="1">IFERROR(__xludf.DUMMYFUNCTION("iferror(index(GOOGLEFINANCE($B$3,""close"",$B$1,TODAY()),JM1,1),"""")"),"")</f>
        <v/>
      </c>
      <c r="JN2" s="15" t="str">
        <f ca="1">IFERROR(__xludf.DUMMYFUNCTION("iferror(index(GOOGLEFINANCE($B$3,""close"",$B$1,TODAY()),JN1,1),"""")"),"")</f>
        <v/>
      </c>
      <c r="JO2" s="15" t="str">
        <f ca="1">IFERROR(__xludf.DUMMYFUNCTION("iferror(index(GOOGLEFINANCE($B$3,""close"",$B$1,TODAY()),JO1,1),"""")"),"")</f>
        <v/>
      </c>
      <c r="JP2" s="15" t="str">
        <f ca="1">IFERROR(__xludf.DUMMYFUNCTION("iferror(index(GOOGLEFINANCE($B$3,""close"",$B$1,TODAY()),JP1,1),"""")"),"")</f>
        <v/>
      </c>
      <c r="JQ2" s="15" t="str">
        <f ca="1">IFERROR(__xludf.DUMMYFUNCTION("iferror(index(GOOGLEFINANCE($B$3,""close"",$B$1,TODAY()),JQ1,1),"""")"),"")</f>
        <v/>
      </c>
      <c r="JR2" s="15" t="str">
        <f ca="1">IFERROR(__xludf.DUMMYFUNCTION("iferror(index(GOOGLEFINANCE($B$3,""close"",$B$1,TODAY()),JR1,1),"""")"),"")</f>
        <v/>
      </c>
      <c r="JS2" s="15" t="str">
        <f ca="1">IFERROR(__xludf.DUMMYFUNCTION("iferror(index(GOOGLEFINANCE($B$3,""close"",$B$1,TODAY()),JS1,1),"""")"),"")</f>
        <v/>
      </c>
      <c r="JT2" s="15" t="str">
        <f ca="1">IFERROR(__xludf.DUMMYFUNCTION("iferror(index(GOOGLEFINANCE($B$3,""close"",$B$1,TODAY()),JT1,1),"""")"),"")</f>
        <v/>
      </c>
      <c r="JU2" s="15" t="str">
        <f ca="1">IFERROR(__xludf.DUMMYFUNCTION("iferror(index(GOOGLEFINANCE($B$3,""close"",$B$1,TODAY()),JU1,1),"""")"),"")</f>
        <v/>
      </c>
      <c r="JV2" s="15" t="str">
        <f ca="1">IFERROR(__xludf.DUMMYFUNCTION("iferror(index(GOOGLEFINANCE($B$3,""close"",$B$1,TODAY()),JV1,1),"""")"),"")</f>
        <v/>
      </c>
      <c r="JW2" s="15" t="str">
        <f ca="1">IFERROR(__xludf.DUMMYFUNCTION("iferror(index(GOOGLEFINANCE($B$3,""close"",$B$1,TODAY()),JW1,1),"""")"),"")</f>
        <v/>
      </c>
      <c r="JX2" s="15" t="str">
        <f ca="1">IFERROR(__xludf.DUMMYFUNCTION("iferror(index(GOOGLEFINANCE($B$3,""close"",$B$1,TODAY()),JX1,1),"""")"),"")</f>
        <v/>
      </c>
      <c r="JY2" s="15" t="str">
        <f ca="1">IFERROR(__xludf.DUMMYFUNCTION("iferror(index(GOOGLEFINANCE($B$3,""close"",$B$1,TODAY()),JY1,1),"""")"),"")</f>
        <v/>
      </c>
      <c r="JZ2" s="15" t="str">
        <f ca="1">IFERROR(__xludf.DUMMYFUNCTION("iferror(index(GOOGLEFINANCE($B$3,""close"",$B$1,TODAY()),JZ1,1),"""")"),"")</f>
        <v/>
      </c>
      <c r="KA2" s="15" t="str">
        <f ca="1">IFERROR(__xludf.DUMMYFUNCTION("iferror(index(GOOGLEFINANCE($B$3,""close"",$B$1,TODAY()),KA1,1),"""")"),"")</f>
        <v/>
      </c>
      <c r="KB2" s="15" t="str">
        <f ca="1">IFERROR(__xludf.DUMMYFUNCTION("iferror(index(GOOGLEFINANCE($B$3,""close"",$B$1,TODAY()),KB1,1),"""")"),"")</f>
        <v/>
      </c>
      <c r="KC2" s="15" t="str">
        <f ca="1">IFERROR(__xludf.DUMMYFUNCTION("iferror(index(GOOGLEFINANCE($B$3,""close"",$B$1,TODAY()),KC1,1),"""")"),"")</f>
        <v/>
      </c>
      <c r="KD2" s="15" t="str">
        <f ca="1">IFERROR(__xludf.DUMMYFUNCTION("iferror(index(GOOGLEFINANCE($B$3,""close"",$B$1,TODAY()),KD1,1),"""")"),"")</f>
        <v/>
      </c>
      <c r="KE2" s="15" t="str">
        <f ca="1">IFERROR(__xludf.DUMMYFUNCTION("iferror(index(GOOGLEFINANCE($B$3,""close"",$B$1,TODAY()),KE1,1),"""")"),"")</f>
        <v/>
      </c>
      <c r="KF2" s="15" t="str">
        <f ca="1">IFERROR(__xludf.DUMMYFUNCTION("iferror(index(GOOGLEFINANCE($B$3,""close"",$B$1,TODAY()),KF1,1),"""")"),"")</f>
        <v/>
      </c>
      <c r="KG2" s="15" t="str">
        <f ca="1">IFERROR(__xludf.DUMMYFUNCTION("iferror(index(GOOGLEFINANCE($B$3,""close"",$B$1,TODAY()),KG1,1),"""")"),"")</f>
        <v/>
      </c>
      <c r="KH2" s="15"/>
      <c r="KI2" s="15"/>
      <c r="KJ2" s="15"/>
      <c r="KK2" s="15"/>
      <c r="KL2" s="15"/>
      <c r="KM2" s="15"/>
      <c r="KN2" s="15"/>
      <c r="KO2" s="15"/>
      <c r="KP2" s="15"/>
      <c r="KQ2" s="15"/>
      <c r="KR2" s="15"/>
      <c r="KS2" s="15"/>
      <c r="KT2" s="15"/>
      <c r="KU2" s="15"/>
      <c r="KV2" s="15"/>
      <c r="KW2" s="15"/>
      <c r="KX2" s="15"/>
      <c r="KY2" s="15"/>
      <c r="KZ2" s="15"/>
      <c r="LA2" s="15"/>
      <c r="LB2" s="15"/>
      <c r="LC2" s="15"/>
      <c r="LD2" s="15"/>
      <c r="LE2" s="15"/>
      <c r="LF2" s="15"/>
      <c r="LG2" s="15"/>
    </row>
    <row r="3" spans="1:319" ht="15.75" customHeight="1">
      <c r="A3" s="18" t="s">
        <v>30</v>
      </c>
      <c r="B3" s="6" t="s">
        <v>47</v>
      </c>
      <c r="C3" s="1">
        <f ca="1">IFERROR(__xludf.DUMMYFUNCTION("if(C$2="""","""", index(GOOGLEFINANCE($B$3,""close"",C$2,TODAY()),2,2))"),63.1)</f>
        <v>63.1</v>
      </c>
      <c r="D3" s="1">
        <f ca="1">IFERROR(__xludf.DUMMYFUNCTION("if(D$2="""","""", index(GOOGLEFINANCE($B$3,""close"",D$2,TODAY()),2,2))"),63.59)</f>
        <v>63.59</v>
      </c>
      <c r="E3" s="1">
        <f ca="1">IFERROR(__xludf.DUMMYFUNCTION("if(E$2="""","""", index(GOOGLEFINANCE($B$3,""close"",E$2,TODAY()),2,2))"),62.85)</f>
        <v>62.85</v>
      </c>
      <c r="F3" s="1">
        <f ca="1">IFERROR(__xludf.DUMMYFUNCTION("if(F$2="""","""", index(GOOGLEFINANCE($B$3,""close"",F$2,TODAY()),2,2))"),64.91)</f>
        <v>64.91</v>
      </c>
      <c r="G3" s="1">
        <f ca="1">IFERROR(__xludf.DUMMYFUNCTION("if(G$2="""","""", index(GOOGLEFINANCE($B$3,""close"",G$2,TODAY()),2,2))"),65.78)</f>
        <v>65.78</v>
      </c>
      <c r="H3" s="1">
        <f ca="1">IFERROR(__xludf.DUMMYFUNCTION("if(H$2="""","""", index(GOOGLEFINANCE($B$3,""close"",H$2,TODAY()),2,2))"),66.03)</f>
        <v>66.03</v>
      </c>
      <c r="I3" s="1">
        <f ca="1">IFERROR(__xludf.DUMMYFUNCTION("if(I$2="""","""", index(GOOGLEFINANCE($B$3,""close"",I$2,TODAY()),2,2))"),67.11)</f>
        <v>67.11</v>
      </c>
      <c r="J3" s="1">
        <f ca="1">IFERROR(__xludf.DUMMYFUNCTION("if(J$2="""","""", index(GOOGLEFINANCE($B$3,""close"",J$2,TODAY()),2,2))"),67.28)</f>
        <v>67.28</v>
      </c>
      <c r="K3" s="1">
        <f ca="1">IFERROR(__xludf.DUMMYFUNCTION("if(K$2="""","""", index(GOOGLEFINANCE($B$3,""close"",K$2,TODAY()),2,2))"),67.78)</f>
        <v>67.78</v>
      </c>
      <c r="L3" s="1">
        <f ca="1">IFERROR(__xludf.DUMMYFUNCTION("if(L$2="""","""", index(GOOGLEFINANCE($B$3,""close"",L$2,TODAY()),2,2))"),66.93)</f>
        <v>66.930000000000007</v>
      </c>
      <c r="M3" s="1">
        <f ca="1">IFERROR(__xludf.DUMMYFUNCTION("if(M$2="""","""", index(GOOGLEFINANCE($B$3,""close"",M$2,TODAY()),2,2))"),65.3)</f>
        <v>65.3</v>
      </c>
      <c r="N3" s="1">
        <f ca="1">IFERROR(__xludf.DUMMYFUNCTION("if(N$2="""","""", index(GOOGLEFINANCE($B$3,""close"",N$2,TODAY()),2,2))"),64.24)</f>
        <v>64.239999999999995</v>
      </c>
      <c r="O3" s="1">
        <f ca="1">IFERROR(__xludf.DUMMYFUNCTION("if(O$2="""","""", index(GOOGLEFINANCE($B$3,""close"",O$2,TODAY()),2,2))"),64.46)</f>
        <v>64.459999999999994</v>
      </c>
      <c r="P3" s="1">
        <f ca="1">IFERROR(__xludf.DUMMYFUNCTION("if(P$2="""","""", index(GOOGLEFINANCE($B$3,""close"",P$2,TODAY()),2,2))"),63.27)</f>
        <v>63.27</v>
      </c>
      <c r="Q3" s="1">
        <f ca="1">IFERROR(__xludf.DUMMYFUNCTION("if(Q$2="""","""", index(GOOGLEFINANCE($B$3,""close"",Q$2,TODAY()),2,2))"),62.7)</f>
        <v>62.7</v>
      </c>
      <c r="R3" s="1">
        <f ca="1">IFERROR(__xludf.DUMMYFUNCTION("if(R$2="""","""", index(GOOGLEFINANCE($B$3,""close"",R$2,TODAY()),2,2))"),64.11)</f>
        <v>64.11</v>
      </c>
      <c r="S3" s="1">
        <f ca="1">IFERROR(__xludf.DUMMYFUNCTION("if(S$2="""","""", index(GOOGLEFINANCE($B$3,""close"",S$2,TODAY()),2,2))"),64.75)</f>
        <v>64.75</v>
      </c>
      <c r="T3" s="1">
        <f ca="1">IFERROR(__xludf.DUMMYFUNCTION("if(T$2="""","""", index(GOOGLEFINANCE($B$3,""close"",T$2,TODAY()),2,2))"),64.15)</f>
        <v>64.150000000000006</v>
      </c>
      <c r="U3" s="1">
        <f ca="1">IFERROR(__xludf.DUMMYFUNCTION("if(U$2="""","""", index(GOOGLEFINANCE($B$3,""close"",U$2,TODAY()),2,2))"),64.69)</f>
        <v>64.69</v>
      </c>
      <c r="V3" s="1">
        <f ca="1">IFERROR(__xludf.DUMMYFUNCTION("if(V$2="""","""", index(GOOGLEFINANCE($B$3,""close"",V$2,TODAY()),2,2))"),65.12)</f>
        <v>65.12</v>
      </c>
      <c r="W3" s="1">
        <f ca="1">IFERROR(__xludf.DUMMYFUNCTION("if(W$2="""","""", index(GOOGLEFINANCE($B$3,""close"",W$2,TODAY()),2,2))"),66.56)</f>
        <v>66.56</v>
      </c>
      <c r="X3" s="1">
        <f ca="1">IFERROR(__xludf.DUMMYFUNCTION("if(X$2="""","""", index(GOOGLEFINANCE($B$3,""close"",X$2,TODAY()),2,2))"),66.23)</f>
        <v>66.23</v>
      </c>
      <c r="Y3" s="1">
        <f ca="1">IFERROR(__xludf.DUMMYFUNCTION("if(Y$2="""","""", index(GOOGLEFINANCE($B$3,""close"",Y$2,TODAY()),2,2))"),65.26)</f>
        <v>65.260000000000005</v>
      </c>
      <c r="Z3" s="1">
        <f ca="1">IFERROR(__xludf.DUMMYFUNCTION("if(Z$2="""","""", index(GOOGLEFINANCE($B$3,""close"",Z$2,TODAY()),2,2))"),66.08)</f>
        <v>66.08</v>
      </c>
      <c r="AA3" s="1">
        <f ca="1">IFERROR(__xludf.DUMMYFUNCTION("if(AA$2="""","""", index(GOOGLEFINANCE($B$3,""close"",AA$2,TODAY()),2,2))"),66.36)</f>
        <v>66.36</v>
      </c>
      <c r="AB3" s="1">
        <f ca="1">IFERROR(__xludf.DUMMYFUNCTION("if(AB$2="""","""", index(GOOGLEFINANCE($B$3,""close"",AB$2,TODAY()),2,2))"),67.12)</f>
        <v>67.12</v>
      </c>
      <c r="AC3" s="1">
        <f ca="1">IFERROR(__xludf.DUMMYFUNCTION("if(AC$2="""","""", index(GOOGLEFINANCE($B$3,""close"",AC$2,TODAY()),2,2))"),67.84)</f>
        <v>67.84</v>
      </c>
      <c r="AD3" s="1">
        <f ca="1">IFERROR(__xludf.DUMMYFUNCTION("if(AD$2="""","""", index(GOOGLEFINANCE($B$3,""close"",AD$2,TODAY()),2,2))"),67.5)</f>
        <v>67.5</v>
      </c>
      <c r="AE3" s="1">
        <f ca="1">IFERROR(__xludf.DUMMYFUNCTION("if(AE$2="""","""", index(GOOGLEFINANCE($B$3,""close"",AE$2,TODAY()),2,2))"),67.15)</f>
        <v>67.150000000000006</v>
      </c>
      <c r="AF3" s="1">
        <f ca="1">IFERROR(__xludf.DUMMYFUNCTION("if(AF$2="""","""", index(GOOGLEFINANCE($B$3,""close"",AF$2,TODAY()),2,2))"),66.46)</f>
        <v>66.459999999999994</v>
      </c>
      <c r="AG3" s="1">
        <f ca="1">IFERROR(__xludf.DUMMYFUNCTION("if(AG$2="""","""", index(GOOGLEFINANCE($B$3,""close"",AG$2,TODAY()),2,2))"),67)</f>
        <v>67</v>
      </c>
      <c r="AH3" s="1">
        <f ca="1">IFERROR(__xludf.DUMMYFUNCTION("if(AH$2="""","""", index(GOOGLEFINANCE($B$3,""close"",AH$2,TODAY()),2,2))"),66.95)</f>
        <v>66.95</v>
      </c>
      <c r="AI3" s="1">
        <f ca="1">IFERROR(__xludf.DUMMYFUNCTION("if(AI$2="""","""", index(GOOGLEFINANCE($B$3,""close"",AI$2,TODAY()),2,2))"),64.71)</f>
        <v>64.709999999999994</v>
      </c>
      <c r="AJ3" s="1">
        <f ca="1">IFERROR(__xludf.DUMMYFUNCTION("if(AJ$2="""","""", index(GOOGLEFINANCE($B$3,""close"",AJ$2,TODAY()),2,2))"),64.14)</f>
        <v>64.14</v>
      </c>
      <c r="AK3" s="1">
        <f ca="1">IFERROR(__xludf.DUMMYFUNCTION("if(AK$2="""","""", index(GOOGLEFINANCE($B$3,""close"",AK$2,TODAY()),2,2))"),63.89)</f>
        <v>63.89</v>
      </c>
      <c r="AL3" s="1">
        <f ca="1">IFERROR(__xludf.DUMMYFUNCTION("if(AL$2="""","""", index(GOOGLEFINANCE($B$3,""close"",AL$2,TODAY()),2,2))"),63.22)</f>
        <v>63.22</v>
      </c>
      <c r="AM3" s="1">
        <f ca="1">IFERROR(__xludf.DUMMYFUNCTION("if(AM$2="""","""", index(GOOGLEFINANCE($B$3,""close"",AM$2,TODAY()),2,2))"),60.67)</f>
        <v>60.67</v>
      </c>
      <c r="AN3" s="1">
        <f ca="1">IFERROR(__xludf.DUMMYFUNCTION("if(AN$2="""","""", index(GOOGLEFINANCE($B$3,""close"",AN$2,TODAY()),2,2))"),61.98)</f>
        <v>61.98</v>
      </c>
      <c r="AO3" s="1">
        <f ca="1">IFERROR(__xludf.DUMMYFUNCTION("if(AO$2="""","""", index(GOOGLEFINANCE($B$3,""close"",AO$2,TODAY()),2,2))"),59.23)</f>
        <v>59.23</v>
      </c>
      <c r="AP3" s="1">
        <f ca="1">IFERROR(__xludf.DUMMYFUNCTION("if(AP$2="""","""", index(GOOGLEFINANCE($B$3,""close"",AP$2,TODAY()),2,2))"),58.59)</f>
        <v>58.59</v>
      </c>
      <c r="AQ3" s="1">
        <f ca="1">IFERROR(__xludf.DUMMYFUNCTION("if(AQ$2="""","""", index(GOOGLEFINANCE($B$3,""close"",AQ$2,TODAY()),2,2))"),59.56)</f>
        <v>59.56</v>
      </c>
      <c r="AR3" s="1">
        <f ca="1">IFERROR(__xludf.DUMMYFUNCTION("if(AR$2="""","""", index(GOOGLEFINANCE($B$3,""close"",AR$2,TODAY()),2,2))"),57.62)</f>
        <v>57.62</v>
      </c>
      <c r="AS3" s="1">
        <f ca="1">IFERROR(__xludf.DUMMYFUNCTION("if(AS$2="""","""", index(GOOGLEFINANCE($B$3,""close"",AS$2,TODAY()),2,2))"),56.59)</f>
        <v>56.59</v>
      </c>
      <c r="AT3" s="1">
        <f ca="1">IFERROR(__xludf.DUMMYFUNCTION("if(AT$2="""","""", index(GOOGLEFINANCE($B$3,""close"",AT$2,TODAY()),2,2))"),55.55)</f>
        <v>55.55</v>
      </c>
      <c r="AU3" s="1">
        <f ca="1">IFERROR(__xludf.DUMMYFUNCTION("if(AU$2="""","""", index(GOOGLEFINANCE($B$3,""close"",AU$2,TODAY()),2,2))"),54.87)</f>
        <v>54.87</v>
      </c>
      <c r="AV3" s="1">
        <f ca="1">IFERROR(__xludf.DUMMYFUNCTION("if(AV$2="""","""", index(GOOGLEFINANCE($B$3,""close"",AV$2,TODAY()),2,2))"),55.95)</f>
        <v>55.95</v>
      </c>
      <c r="AW3" s="1">
        <f ca="1">IFERROR(__xludf.DUMMYFUNCTION("if(AW$2="""","""", index(GOOGLEFINANCE($B$3,""close"",AW$2,TODAY()),2,2))"),54.88)</f>
        <v>54.88</v>
      </c>
      <c r="AX3" s="1">
        <f ca="1">IFERROR(__xludf.DUMMYFUNCTION("if(AX$2="""","""", index(GOOGLEFINANCE($B$3,""close"",AX$2,TODAY()),2,2))"),54.16)</f>
        <v>54.16</v>
      </c>
      <c r="AY3" s="1">
        <f ca="1">IFERROR(__xludf.DUMMYFUNCTION("if(AY$2="""","""", index(GOOGLEFINANCE($B$3,""close"",AY$2,TODAY()),2,2))"),54.23)</f>
        <v>54.23</v>
      </c>
      <c r="AZ3" s="1">
        <f ca="1">IFERROR(__xludf.DUMMYFUNCTION("if(AZ$2="""","""", index(GOOGLEFINANCE($B$3,""close"",AZ$2,TODAY()),2,2))"),55.11)</f>
        <v>55.11</v>
      </c>
      <c r="BA3" s="1">
        <f ca="1">IFERROR(__xludf.DUMMYFUNCTION("if(BA$2="""","""", index(GOOGLEFINANCE($B$3,""close"",BA$2,TODAY()),2,2))"),56.8)</f>
        <v>56.8</v>
      </c>
      <c r="BB3" s="1">
        <f ca="1">IFERROR(__xludf.DUMMYFUNCTION("if(BB$2="""","""", index(GOOGLEFINANCE($B$3,""close"",BB$2,TODAY()),2,2))"),57.29)</f>
        <v>57.29</v>
      </c>
      <c r="BC3" s="1">
        <f ca="1">IFERROR(__xludf.DUMMYFUNCTION("if(BC$2="""","""", index(GOOGLEFINANCE($B$3,""close"",BC$2,TODAY()),2,2))"),57.35)</f>
        <v>57.35</v>
      </c>
      <c r="BD3" s="1">
        <f ca="1">IFERROR(__xludf.DUMMYFUNCTION("if(BD$2="""","""", index(GOOGLEFINANCE($B$3,""close"",BD$2,TODAY()),2,2))"),56.98)</f>
        <v>56.98</v>
      </c>
      <c r="BE3" s="1">
        <f ca="1">IFERROR(__xludf.DUMMYFUNCTION("if(BE$2="""","""", index(GOOGLEFINANCE($B$3,""close"",BE$2,TODAY()),2,2))"),57.5)</f>
        <v>57.5</v>
      </c>
      <c r="BF3" s="1">
        <f ca="1">IFERROR(__xludf.DUMMYFUNCTION("if(BF$2="""","""", index(GOOGLEFINANCE($B$3,""close"",BF$2,TODAY()),2,2))"),56.35)</f>
        <v>56.35</v>
      </c>
      <c r="BG3" s="1">
        <f ca="1">IFERROR(__xludf.DUMMYFUNCTION("if(BG$2="""","""", index(GOOGLEFINANCE($B$3,""close"",BG$2,TODAY()),2,2))"),56.42)</f>
        <v>56.42</v>
      </c>
      <c r="BH3" s="1">
        <f ca="1">IFERROR(__xludf.DUMMYFUNCTION("if(BH$2="""","""", index(GOOGLEFINANCE($B$3,""close"",BH$2,TODAY()),2,2))"),56.74)</f>
        <v>56.74</v>
      </c>
      <c r="BI3" s="1">
        <f ca="1">IFERROR(__xludf.DUMMYFUNCTION("if(BI$2="""","""", index(GOOGLEFINANCE($B$3,""close"",BI$2,TODAY()),2,2))"),55.92)</f>
        <v>55.92</v>
      </c>
      <c r="BJ3" s="1">
        <f ca="1">IFERROR(__xludf.DUMMYFUNCTION("if(BJ$2="""","""", index(GOOGLEFINANCE($B$3,""close"",BJ$2,TODAY()),2,2))"),56.47)</f>
        <v>56.47</v>
      </c>
      <c r="BK3" s="1">
        <f ca="1">IFERROR(__xludf.DUMMYFUNCTION("if(BK$2="""","""", index(GOOGLEFINANCE($B$3,""close"",BK$2,TODAY()),2,2))"),54.97)</f>
        <v>54.97</v>
      </c>
      <c r="BL3" s="1">
        <f ca="1">IFERROR(__xludf.DUMMYFUNCTION("if(BL$2="""","""", index(GOOGLEFINANCE($B$3,""close"",BL$2,TODAY()),2,2))"),53.4)</f>
        <v>53.4</v>
      </c>
      <c r="BM3" s="1">
        <f ca="1">IFERROR(__xludf.DUMMYFUNCTION("if(BM$2="""","""", index(GOOGLEFINANCE($B$3,""close"",BM$2,TODAY()),2,2))"),52.33)</f>
        <v>52.33</v>
      </c>
      <c r="BN3" s="1">
        <f ca="1">IFERROR(__xludf.DUMMYFUNCTION("if(BN$2="""","""", index(GOOGLEFINANCE($B$3,""close"",BN$2,TODAY()),2,2))"),52.8)</f>
        <v>52.8</v>
      </c>
      <c r="BO3" s="1">
        <f ca="1">IFERROR(__xludf.DUMMYFUNCTION("if(BO$2="""","""", index(GOOGLEFINANCE($B$3,""close"",BO$2,TODAY()),2,2))"),51.58)</f>
        <v>51.58</v>
      </c>
      <c r="BP3" s="1">
        <f ca="1">IFERROR(__xludf.DUMMYFUNCTION("if(BP$2="""","""", index(GOOGLEFINANCE($B$3,""close"",BP$2,TODAY()),2,2))"),50.53)</f>
        <v>50.53</v>
      </c>
      <c r="BQ3" s="1">
        <f ca="1">IFERROR(__xludf.DUMMYFUNCTION("if(BQ$2="""","""", index(GOOGLEFINANCE($B$3,""close"",BQ$2,TODAY()),2,2))"),50.03)</f>
        <v>50.03</v>
      </c>
      <c r="BR3" s="1">
        <f ca="1">IFERROR(__xludf.DUMMYFUNCTION("if(BR$2="""","""", index(GOOGLEFINANCE($B$3,""close"",BR$2,TODAY()),2,2))"),50.88)</f>
        <v>50.88</v>
      </c>
      <c r="BS3" s="1">
        <f ca="1">IFERROR(__xludf.DUMMYFUNCTION("if(BS$2="""","""", index(GOOGLEFINANCE($B$3,""close"",BS$2,TODAY()),2,2))"),50.55)</f>
        <v>50.55</v>
      </c>
      <c r="BT3" s="1">
        <f ca="1">IFERROR(__xludf.DUMMYFUNCTION("if(BT$2="""","""", index(GOOGLEFINANCE($B$3,""close"",BT$2,TODAY()),2,2))"),50.34)</f>
        <v>50.34</v>
      </c>
      <c r="BU3" s="1">
        <f ca="1">IFERROR(__xludf.DUMMYFUNCTION("if(BU$2="""","""", index(GOOGLEFINANCE($B$3,""close"",BU$2,TODAY()),2,2))"),50.15)</f>
        <v>50.15</v>
      </c>
      <c r="BV3" s="1">
        <f ca="1">IFERROR(__xludf.DUMMYFUNCTION("if(BV$2="""","""", index(GOOGLEFINANCE($B$3,""close"",BV$2,TODAY()),2,2))"),50.93)</f>
        <v>50.93</v>
      </c>
      <c r="BW3" s="1">
        <f ca="1">IFERROR(__xludf.DUMMYFUNCTION("if(BW$2="""","""", index(GOOGLEFINANCE($B$3,""close"",BW$2,TODAY()),2,2))"),52.31)</f>
        <v>52.31</v>
      </c>
      <c r="BX3" s="1">
        <f ca="1">IFERROR(__xludf.DUMMYFUNCTION("if(BX$2="""","""", index(GOOGLEFINANCE($B$3,""close"",BX$2,TODAY()),2,2))"),52.92)</f>
        <v>52.92</v>
      </c>
      <c r="BY3" s="1">
        <f ca="1">IFERROR(__xludf.DUMMYFUNCTION("if(BY$2="""","""", index(GOOGLEFINANCE($B$3,""close"",BY$2,TODAY()),2,2))"),53.1)</f>
        <v>53.1</v>
      </c>
      <c r="BZ3" s="1">
        <f ca="1">IFERROR(__xludf.DUMMYFUNCTION("if(BZ$2="""","""", index(GOOGLEFINANCE($B$3,""close"",BZ$2,TODAY()),2,2))"),52.63)</f>
        <v>52.63</v>
      </c>
      <c r="CA3" s="1">
        <f ca="1">IFERROR(__xludf.DUMMYFUNCTION("if(CA$2="""","""", index(GOOGLEFINANCE($B$3,""close"",CA$2,TODAY()),2,2))"),51.23)</f>
        <v>51.23</v>
      </c>
      <c r="CB3" s="1">
        <f ca="1">IFERROR(__xludf.DUMMYFUNCTION("if(CB$2="""","""", index(GOOGLEFINANCE($B$3,""close"",CB$2,TODAY()),2,2))"),51.13)</f>
        <v>51.13</v>
      </c>
      <c r="CC3" s="1">
        <f ca="1">IFERROR(__xludf.DUMMYFUNCTION("if(CC$2="""","""", index(GOOGLEFINANCE($B$3,""close"",CC$2,TODAY()),2,2))"),50.23)</f>
        <v>50.23</v>
      </c>
      <c r="CD3" s="1">
        <f ca="1">IFERROR(__xludf.DUMMYFUNCTION("if(CD$2="""","""", index(GOOGLEFINANCE($B$3,""close"",CD$2,TODAY()),2,2))"),49.6)</f>
        <v>49.6</v>
      </c>
      <c r="CE3" s="1">
        <f ca="1">IFERROR(__xludf.DUMMYFUNCTION("if(CE$2="""","""", index(GOOGLEFINANCE($B$3,""close"",CE$2,TODAY()),2,2))"),50.02)</f>
        <v>50.02</v>
      </c>
      <c r="CF3" s="1">
        <f ca="1">IFERROR(__xludf.DUMMYFUNCTION("if(CF$2="""","""", index(GOOGLEFINANCE($B$3,""close"",CF$2,TODAY()),2,2))"),48.21)</f>
        <v>48.21</v>
      </c>
      <c r="CG3" s="1">
        <f ca="1">IFERROR(__xludf.DUMMYFUNCTION("if(CG$2="""","""", index(GOOGLEFINANCE($B$3,""close"",CG$2,TODAY()),2,2))"),48.71)</f>
        <v>48.71</v>
      </c>
      <c r="CH3" s="1">
        <f ca="1">IFERROR(__xludf.DUMMYFUNCTION("if(CH$2="""","""", index(GOOGLEFINANCE($B$3,""close"",CH$2,TODAY()),2,2))"),50.1)</f>
        <v>50.1</v>
      </c>
      <c r="CI3" s="1">
        <f ca="1">IFERROR(__xludf.DUMMYFUNCTION("if(CI$2="""","""", index(GOOGLEFINANCE($B$3,""close"",CI$2,TODAY()),2,2))"),52.23)</f>
        <v>52.23</v>
      </c>
      <c r="CJ3" s="1" t="str">
        <f ca="1">IFERROR(__xludf.DUMMYFUNCTION("if(CJ$2="""","""", index(GOOGLEFINANCE($B$3,""close"",CJ$2,TODAY()),2,2))"),"")</f>
        <v/>
      </c>
      <c r="CK3" s="1" t="str">
        <f ca="1">IFERROR(__xludf.DUMMYFUNCTION("if(CK$2="""","""", index(GOOGLEFINANCE($B$3,""close"",CK$2,TODAY()),2,2))"),"")</f>
        <v/>
      </c>
      <c r="CL3" s="1" t="str">
        <f ca="1">IFERROR(__xludf.DUMMYFUNCTION("if(CL$2="""","""", index(GOOGLEFINANCE($B$3,""close"",CL$2,TODAY()),2,2))"),"")</f>
        <v/>
      </c>
      <c r="CM3" s="1" t="str">
        <f ca="1">IFERROR(__xludf.DUMMYFUNCTION("if(CM$2="""","""", index(GOOGLEFINANCE($B$3,""close"",CM$2,TODAY()),2,2))"),"")</f>
        <v/>
      </c>
      <c r="CN3" s="1" t="str">
        <f ca="1">IFERROR(__xludf.DUMMYFUNCTION("if(CN$2="""","""", index(GOOGLEFINANCE($B$3,""close"",CN$2,TODAY()),2,2))"),"")</f>
        <v/>
      </c>
      <c r="CO3" s="1" t="str">
        <f ca="1">IFERROR(__xludf.DUMMYFUNCTION("if(CO$2="""","""", index(GOOGLEFINANCE($B$3,""close"",CO$2,TODAY()),2,2))"),"")</f>
        <v/>
      </c>
      <c r="CP3" s="1" t="str">
        <f ca="1">IFERROR(__xludf.DUMMYFUNCTION("if(CP$2="""","""", index(GOOGLEFINANCE($B$3,""close"",CP$2,TODAY()),2,2))"),"")</f>
        <v/>
      </c>
      <c r="CQ3" s="1" t="str">
        <f ca="1">IFERROR(__xludf.DUMMYFUNCTION("if(CQ$2="""","""", index(GOOGLEFINANCE($B$3,""close"",CQ$2,TODAY()),2,2))"),"")</f>
        <v/>
      </c>
      <c r="CR3" s="1" t="str">
        <f ca="1">IFERROR(__xludf.DUMMYFUNCTION("if(CR$2="""","""", index(GOOGLEFINANCE($B$3,""close"",CR$2,TODAY()),2,2))"),"")</f>
        <v/>
      </c>
      <c r="CS3" s="1" t="str">
        <f ca="1">IFERROR(__xludf.DUMMYFUNCTION("if(CS$2="""","""", index(GOOGLEFINANCE($B$3,""close"",CS$2,TODAY()),2,2))"),"")</f>
        <v/>
      </c>
      <c r="CT3" s="1" t="str">
        <f ca="1">IFERROR(__xludf.DUMMYFUNCTION("if(CT$2="""","""", index(GOOGLEFINANCE($B$3,""close"",CT$2,TODAY()),2,2))"),"")</f>
        <v/>
      </c>
      <c r="CU3" s="1" t="str">
        <f ca="1">IFERROR(__xludf.DUMMYFUNCTION("if(CU$2="""","""", index(GOOGLEFINANCE($B$3,""close"",CU$2,TODAY()),2,2))"),"")</f>
        <v/>
      </c>
      <c r="CV3" s="1" t="str">
        <f ca="1">IFERROR(__xludf.DUMMYFUNCTION("if(CV$2="""","""", index(GOOGLEFINANCE($B$3,""close"",CV$2,TODAY()),2,2))"),"")</f>
        <v/>
      </c>
      <c r="CW3" s="1" t="str">
        <f ca="1">IFERROR(__xludf.DUMMYFUNCTION("if(CW$2="""","""", index(GOOGLEFINANCE($B$3,""close"",CW$2,TODAY()),2,2))"),"")</f>
        <v/>
      </c>
      <c r="CX3" s="1" t="str">
        <f ca="1">IFERROR(__xludf.DUMMYFUNCTION("if(CX$2="""","""", index(GOOGLEFINANCE($B$3,""close"",CX$2,TODAY()),2,2))"),"")</f>
        <v/>
      </c>
      <c r="CY3" s="1" t="str">
        <f ca="1">IFERROR(__xludf.DUMMYFUNCTION("if(CY$2="""","""", index(GOOGLEFINANCE($B$3,""close"",CY$2,TODAY()),2,2))"),"")</f>
        <v/>
      </c>
      <c r="CZ3" s="1" t="str">
        <f ca="1">IFERROR(__xludf.DUMMYFUNCTION("if(CZ$2="""","""", index(GOOGLEFINANCE($B$3,""close"",CZ$2,TODAY()),2,2))"),"")</f>
        <v/>
      </c>
      <c r="DA3" s="1" t="str">
        <f ca="1">IFERROR(__xludf.DUMMYFUNCTION("if(DA$2="""","""", index(GOOGLEFINANCE($B$3,""close"",DA$2,TODAY()),2,2))"),"")</f>
        <v/>
      </c>
      <c r="DB3" s="1" t="str">
        <f ca="1">IFERROR(__xludf.DUMMYFUNCTION("if(DB$2="""","""", index(GOOGLEFINANCE($B$3,""close"",DB$2,TODAY()),2,2))"),"")</f>
        <v/>
      </c>
      <c r="DC3" s="1" t="str">
        <f ca="1">IFERROR(__xludf.DUMMYFUNCTION("if(DC$2="""","""", index(GOOGLEFINANCE($B$3,""close"",DC$2,TODAY()),2,2))"),"")</f>
        <v/>
      </c>
      <c r="DD3" s="1" t="str">
        <f ca="1">IFERROR(__xludf.DUMMYFUNCTION("if(DD$2="""","""", index(GOOGLEFINANCE($B$3,""close"",DD$2,TODAY()),2,2))"),"")</f>
        <v/>
      </c>
      <c r="DE3" s="1" t="str">
        <f ca="1">IFERROR(__xludf.DUMMYFUNCTION("if(DE$2="""","""", index(GOOGLEFINANCE($B$3,""close"",DE$2,TODAY()),2,2))"),"")</f>
        <v/>
      </c>
      <c r="DF3" s="1" t="str">
        <f ca="1">IFERROR(__xludf.DUMMYFUNCTION("if(DF$2="""","""", index(GOOGLEFINANCE($B$3,""close"",DF$2,TODAY()),2,2))"),"")</f>
        <v/>
      </c>
      <c r="DG3" s="1" t="str">
        <f ca="1">IFERROR(__xludf.DUMMYFUNCTION("if(DG$2="""","""", index(GOOGLEFINANCE($B$3,""close"",DG$2,TODAY()),2,2))"),"")</f>
        <v/>
      </c>
      <c r="DH3" s="1" t="str">
        <f ca="1">IFERROR(__xludf.DUMMYFUNCTION("if(DH$2="""","""", index(GOOGLEFINANCE($B$3,""close"",DH$2,TODAY()),2,2))"),"")</f>
        <v/>
      </c>
      <c r="DI3" s="1" t="str">
        <f ca="1">IFERROR(__xludf.DUMMYFUNCTION("if(DI$2="""","""", index(GOOGLEFINANCE($B$3,""close"",DI$2,TODAY()),2,2))"),"")</f>
        <v/>
      </c>
      <c r="DJ3" s="1" t="str">
        <f ca="1">IFERROR(__xludf.DUMMYFUNCTION("if(DJ$2="""","""", index(GOOGLEFINANCE($B$3,""close"",DJ$2,TODAY()),2,2))"),"")</f>
        <v/>
      </c>
      <c r="DK3" s="1" t="str">
        <f ca="1">IFERROR(__xludf.DUMMYFUNCTION("if(DK$2="""","""", index(GOOGLEFINANCE($B$3,""close"",DK$2,TODAY()),2,2))"),"")</f>
        <v/>
      </c>
      <c r="DL3" s="1" t="str">
        <f ca="1">IFERROR(__xludf.DUMMYFUNCTION("if(DL$2="""","""", index(GOOGLEFINANCE($B$3,""close"",DL$2,TODAY()),2,2))"),"")</f>
        <v/>
      </c>
      <c r="DM3" s="1" t="str">
        <f ca="1">IFERROR(__xludf.DUMMYFUNCTION("if(DM$2="""","""", index(GOOGLEFINANCE($B$3,""close"",DM$2,TODAY()),2,2))"),"")</f>
        <v/>
      </c>
      <c r="DN3" s="1" t="str">
        <f ca="1">IFERROR(__xludf.DUMMYFUNCTION("if(DN$2="""","""", index(GOOGLEFINANCE($B$3,""close"",DN$2,TODAY()),2,2))"),"")</f>
        <v/>
      </c>
      <c r="DO3" s="1" t="str">
        <f ca="1">IFERROR(__xludf.DUMMYFUNCTION("if(DO$2="""","""", index(GOOGLEFINANCE($B$3,""close"",DO$2,TODAY()),2,2))"),"")</f>
        <v/>
      </c>
      <c r="DP3" s="1" t="str">
        <f ca="1">IFERROR(__xludf.DUMMYFUNCTION("if(DP$2="""","""", index(GOOGLEFINANCE($B$3,""close"",DP$2,TODAY()),2,2))"),"")</f>
        <v/>
      </c>
      <c r="DQ3" s="1" t="str">
        <f ca="1">IFERROR(__xludf.DUMMYFUNCTION("if(DQ$2="""","""", index(GOOGLEFINANCE($B$3,""close"",DQ$2,TODAY()),2,2))"),"")</f>
        <v/>
      </c>
      <c r="DR3" s="1" t="str">
        <f ca="1">IFERROR(__xludf.DUMMYFUNCTION("if(DR$2="""","""", index(GOOGLEFINANCE($B$3,""close"",DR$2,TODAY()),2,2))"),"")</f>
        <v/>
      </c>
      <c r="DS3" s="1" t="str">
        <f ca="1">IFERROR(__xludf.DUMMYFUNCTION("if(DS$2="""","""", index(GOOGLEFINANCE($B$3,""close"",DS$2,TODAY()),2,2))"),"")</f>
        <v/>
      </c>
      <c r="DT3" s="1" t="str">
        <f ca="1">IFERROR(__xludf.DUMMYFUNCTION("if(DT$2="""","""", index(GOOGLEFINANCE($B$3,""close"",DT$2,TODAY()),2,2))"),"")</f>
        <v/>
      </c>
      <c r="DU3" s="1" t="str">
        <f ca="1">IFERROR(__xludf.DUMMYFUNCTION("if(DU$2="""","""", index(GOOGLEFINANCE($B$3,""close"",DU$2,TODAY()),2,2))"),"")</f>
        <v/>
      </c>
      <c r="DV3" s="1" t="str">
        <f ca="1">IFERROR(__xludf.DUMMYFUNCTION("if(DV$2="""","""", index(GOOGLEFINANCE($B$3,""close"",DV$2,TODAY()),2,2))"),"")</f>
        <v/>
      </c>
      <c r="DW3" s="1" t="str">
        <f ca="1">IFERROR(__xludf.DUMMYFUNCTION("if(DW$2="""","""", index(GOOGLEFINANCE($B$3,""close"",DW$2,TODAY()),2,2))"),"")</f>
        <v/>
      </c>
      <c r="DX3" s="1" t="str">
        <f ca="1">IFERROR(__xludf.DUMMYFUNCTION("if(DX$2="""","""", index(GOOGLEFINANCE($B$3,""close"",DX$2,TODAY()),2,2))"),"")</f>
        <v/>
      </c>
      <c r="DY3" s="1" t="str">
        <f ca="1">IFERROR(__xludf.DUMMYFUNCTION("if(DY$2="""","""", index(GOOGLEFINANCE($B$3,""close"",DY$2,TODAY()),2,2))"),"")</f>
        <v/>
      </c>
      <c r="DZ3" s="1" t="str">
        <f ca="1">IFERROR(__xludf.DUMMYFUNCTION("if(DZ$2="""","""", index(GOOGLEFINANCE($B$3,""close"",DZ$2,TODAY()),2,2))"),"")</f>
        <v/>
      </c>
      <c r="EA3" s="1" t="str">
        <f ca="1">IFERROR(__xludf.DUMMYFUNCTION("if(EA$2="""","""", index(GOOGLEFINANCE($B$3,""close"",EA$2,TODAY()),2,2))"),"")</f>
        <v/>
      </c>
      <c r="EB3" s="1" t="str">
        <f ca="1">IFERROR(__xludf.DUMMYFUNCTION("if(EB$2="""","""", index(GOOGLEFINANCE($B$3,""close"",EB$2,TODAY()),2,2))"),"")</f>
        <v/>
      </c>
      <c r="EC3" s="1" t="str">
        <f ca="1">IFERROR(__xludf.DUMMYFUNCTION("if(EC$2="""","""", index(GOOGLEFINANCE($B$3,""close"",EC$2,TODAY()),2,2))"),"")</f>
        <v/>
      </c>
      <c r="ED3" s="1" t="str">
        <f ca="1">IFERROR(__xludf.DUMMYFUNCTION("if(ED$2="""","""", index(GOOGLEFINANCE($B$3,""close"",ED$2,TODAY()),2,2))"),"")</f>
        <v/>
      </c>
      <c r="EE3" s="1" t="str">
        <f ca="1">IFERROR(__xludf.DUMMYFUNCTION("if(EE$2="""","""", index(GOOGLEFINANCE($B$3,""close"",EE$2,TODAY()),2,2))"),"")</f>
        <v/>
      </c>
      <c r="EF3" s="1" t="str">
        <f ca="1">IFERROR(__xludf.DUMMYFUNCTION("if(EF$2="""","""", index(GOOGLEFINANCE($B$3,""close"",EF$2,TODAY()),2,2))"),"")</f>
        <v/>
      </c>
      <c r="EG3" s="1" t="str">
        <f ca="1">IFERROR(__xludf.DUMMYFUNCTION("if(EG$2="""","""", index(GOOGLEFINANCE($B$3,""close"",EG$2,TODAY()),2,2))"),"")</f>
        <v/>
      </c>
      <c r="EH3" s="1" t="str">
        <f ca="1">IFERROR(__xludf.DUMMYFUNCTION("if(EH$2="""","""", index(GOOGLEFINANCE($B$3,""close"",EH$2,TODAY()),2,2))"),"")</f>
        <v/>
      </c>
      <c r="EI3" s="1" t="str">
        <f ca="1">IFERROR(__xludf.DUMMYFUNCTION("if(EI$2="""","""", index(GOOGLEFINANCE($B$3,""close"",EI$2,TODAY()),2,2))"),"")</f>
        <v/>
      </c>
      <c r="EJ3" s="1" t="str">
        <f ca="1">IFERROR(__xludf.DUMMYFUNCTION("if(EJ$2="""","""", index(GOOGLEFINANCE($B$3,""close"",EJ$2,TODAY()),2,2))"),"")</f>
        <v/>
      </c>
      <c r="EK3" s="1" t="str">
        <f ca="1">IFERROR(__xludf.DUMMYFUNCTION("if(EK$2="""","""", index(GOOGLEFINANCE($B$3,""close"",EK$2,TODAY()),2,2))"),"")</f>
        <v/>
      </c>
      <c r="EL3" s="1" t="str">
        <f ca="1">IFERROR(__xludf.DUMMYFUNCTION("if(EL$2="""","""", index(GOOGLEFINANCE($B$3,""close"",EL$2,TODAY()),2,2))"),"")</f>
        <v/>
      </c>
      <c r="EM3" s="1" t="str">
        <f ca="1">IFERROR(__xludf.DUMMYFUNCTION("if(EM$2="""","""", index(GOOGLEFINANCE($B$3,""close"",EM$2,TODAY()),2,2))"),"")</f>
        <v/>
      </c>
      <c r="EN3" s="1" t="str">
        <f ca="1">IFERROR(__xludf.DUMMYFUNCTION("if(EN$2="""","""", index(GOOGLEFINANCE($B$3,""close"",EN$2,TODAY()),2,2))"),"")</f>
        <v/>
      </c>
      <c r="EO3" s="1" t="str">
        <f ca="1">IFERROR(__xludf.DUMMYFUNCTION("if(EO$2="""","""", index(GOOGLEFINANCE($B$3,""close"",EO$2,TODAY()),2,2))"),"")</f>
        <v/>
      </c>
      <c r="EP3" s="1" t="str">
        <f ca="1">IFERROR(__xludf.DUMMYFUNCTION("if(EP$2="""","""", index(GOOGLEFINANCE($B$3,""close"",EP$2,TODAY()),2,2))"),"")</f>
        <v/>
      </c>
      <c r="EQ3" s="1" t="str">
        <f ca="1">IFERROR(__xludf.DUMMYFUNCTION("if(EQ$2="""","""", index(GOOGLEFINANCE($B$3,""close"",EQ$2,TODAY()),2,2))"),"")</f>
        <v/>
      </c>
      <c r="ER3" s="1" t="str">
        <f ca="1">IFERROR(__xludf.DUMMYFUNCTION("if(ER$2="""","""", index(GOOGLEFINANCE($B$3,""close"",ER$2,TODAY()),2,2))"),"")</f>
        <v/>
      </c>
      <c r="ES3" s="1" t="str">
        <f ca="1">IFERROR(__xludf.DUMMYFUNCTION("if(ES$2="""","""", index(GOOGLEFINANCE($B$3,""close"",ES$2,TODAY()),2,2))"),"")</f>
        <v/>
      </c>
      <c r="ET3" s="1" t="str">
        <f ca="1">IFERROR(__xludf.DUMMYFUNCTION("if(ET$2="""","""", index(GOOGLEFINANCE($B$3,""close"",ET$2,TODAY()),2,2))"),"")</f>
        <v/>
      </c>
      <c r="EU3" s="1" t="str">
        <f ca="1">IFERROR(__xludf.DUMMYFUNCTION("if(EU$2="""","""", index(GOOGLEFINANCE($B$3,""close"",EU$2,TODAY()),2,2))"),"")</f>
        <v/>
      </c>
      <c r="EV3" s="1" t="str">
        <f ca="1">IFERROR(__xludf.DUMMYFUNCTION("if(EV$2="""","""", index(GOOGLEFINANCE($B$3,""close"",EV$2,TODAY()),2,2))"),"")</f>
        <v/>
      </c>
      <c r="EW3" s="1" t="str">
        <f ca="1">IFERROR(__xludf.DUMMYFUNCTION("if(EW$2="""","""", index(GOOGLEFINANCE($B$3,""close"",EW$2,TODAY()),2,2))"),"")</f>
        <v/>
      </c>
      <c r="EX3" s="1" t="str">
        <f ca="1">IFERROR(__xludf.DUMMYFUNCTION("if(EX$2="""","""", index(GOOGLEFINANCE($B$3,""close"",EX$2,TODAY()),2,2))"),"")</f>
        <v/>
      </c>
      <c r="EY3" s="1" t="str">
        <f ca="1">IFERROR(__xludf.DUMMYFUNCTION("if(EY$2="""","""", index(GOOGLEFINANCE($B$3,""close"",EY$2,TODAY()),2,2))"),"")</f>
        <v/>
      </c>
      <c r="EZ3" s="1" t="str">
        <f ca="1">IFERROR(__xludf.DUMMYFUNCTION("if(EZ$2="""","""", index(GOOGLEFINANCE($B$3,""close"",EZ$2,TODAY()),2,2))"),"")</f>
        <v/>
      </c>
      <c r="FA3" s="1" t="str">
        <f ca="1">IFERROR(__xludf.DUMMYFUNCTION("if(FA$2="""","""", index(GOOGLEFINANCE($B$3,""close"",FA$2,TODAY()),2,2))"),"")</f>
        <v/>
      </c>
      <c r="FB3" s="1" t="str">
        <f ca="1">IFERROR(__xludf.DUMMYFUNCTION("if(FB$2="""","""", index(GOOGLEFINANCE($B$3,""close"",FB$2,TODAY()),2,2))"),"")</f>
        <v/>
      </c>
      <c r="FC3" s="1" t="str">
        <f ca="1">IFERROR(__xludf.DUMMYFUNCTION("if(FC$2="""","""", index(GOOGLEFINANCE($B$3,""close"",FC$2,TODAY()),2,2))"),"")</f>
        <v/>
      </c>
      <c r="FD3" s="1" t="str">
        <f ca="1">IFERROR(__xludf.DUMMYFUNCTION("if(FD$2="""","""", index(GOOGLEFINANCE($B$3,""close"",FD$2,TODAY()),2,2))"),"")</f>
        <v/>
      </c>
      <c r="FE3" s="1" t="str">
        <f ca="1">IFERROR(__xludf.DUMMYFUNCTION("if(FE$2="""","""", index(GOOGLEFINANCE($B$3,""close"",FE$2,TODAY()),2,2))"),"")</f>
        <v/>
      </c>
      <c r="FF3" s="1" t="str">
        <f ca="1">IFERROR(__xludf.DUMMYFUNCTION("if(FF$2="""","""", index(GOOGLEFINANCE($B$3,""close"",FF$2,TODAY()),2,2))"),"")</f>
        <v/>
      </c>
      <c r="FG3" s="1" t="str">
        <f ca="1">IFERROR(__xludf.DUMMYFUNCTION("if(FG$2="""","""", index(GOOGLEFINANCE($B$3,""close"",FG$2,TODAY()),2,2))"),"")</f>
        <v/>
      </c>
      <c r="FH3" s="1" t="str">
        <f ca="1">IFERROR(__xludf.DUMMYFUNCTION("if(FH$2="""","""", index(GOOGLEFINANCE($B$3,""close"",FH$2,TODAY()),2,2))"),"")</f>
        <v/>
      </c>
      <c r="FI3" s="1" t="str">
        <f ca="1">IFERROR(__xludf.DUMMYFUNCTION("if(FI$2="""","""", index(GOOGLEFINANCE($B$3,""close"",FI$2,TODAY()),2,2))"),"")</f>
        <v/>
      </c>
      <c r="FJ3" s="1" t="str">
        <f ca="1">IFERROR(__xludf.DUMMYFUNCTION("if(FJ$2="""","""", index(GOOGLEFINANCE($B$3,""close"",FJ$2,TODAY()),2,2))"),"")</f>
        <v/>
      </c>
      <c r="FK3" s="1" t="str">
        <f ca="1">IFERROR(__xludf.DUMMYFUNCTION("if(FK$2="""","""", index(GOOGLEFINANCE($B$3,""close"",FK$2,TODAY()),2,2))"),"")</f>
        <v/>
      </c>
      <c r="FL3" s="1" t="str">
        <f ca="1">IFERROR(__xludf.DUMMYFUNCTION("if(FL$2="""","""", index(GOOGLEFINANCE($B$3,""close"",FL$2,TODAY()),2,2))"),"")</f>
        <v/>
      </c>
      <c r="FM3" s="1" t="str">
        <f ca="1">IFERROR(__xludf.DUMMYFUNCTION("if(FM$2="""","""", index(GOOGLEFINANCE($B$3,""close"",FM$2,TODAY()),2,2))"),"")</f>
        <v/>
      </c>
      <c r="FN3" s="1" t="str">
        <f ca="1">IFERROR(__xludf.DUMMYFUNCTION("if(FN$2="""","""", index(GOOGLEFINANCE($B$3,""close"",FN$2,TODAY()),2,2))"),"")</f>
        <v/>
      </c>
      <c r="FO3" s="1" t="str">
        <f ca="1">IFERROR(__xludf.DUMMYFUNCTION("if(FO$2="""","""", index(GOOGLEFINANCE($B$3,""close"",FO$2,TODAY()),2,2))"),"")</f>
        <v/>
      </c>
      <c r="FP3" s="1" t="str">
        <f ca="1">IFERROR(__xludf.DUMMYFUNCTION("if(FP$2="""","""", index(GOOGLEFINANCE($B$3,""close"",FP$2,TODAY()),2,2))"),"")</f>
        <v/>
      </c>
      <c r="FQ3" s="1" t="str">
        <f ca="1">IFERROR(__xludf.DUMMYFUNCTION("if(FQ$2="""","""", index(GOOGLEFINANCE($B$3,""close"",FQ$2,TODAY()),2,2))"),"")</f>
        <v/>
      </c>
      <c r="FR3" s="1" t="str">
        <f ca="1">IFERROR(__xludf.DUMMYFUNCTION("if(FR$2="""","""", index(GOOGLEFINANCE($B$3,""close"",FR$2,TODAY()),2,2))"),"")</f>
        <v/>
      </c>
      <c r="FS3" s="1" t="str">
        <f ca="1">IFERROR(__xludf.DUMMYFUNCTION("if(FS$2="""","""", index(GOOGLEFINANCE($B$3,""close"",FS$2,TODAY()),2,2))"),"")</f>
        <v/>
      </c>
      <c r="FT3" s="1" t="str">
        <f ca="1">IFERROR(__xludf.DUMMYFUNCTION("if(FT$2="""","""", index(GOOGLEFINANCE($B$3,""close"",FT$2,TODAY()),2,2))"),"")</f>
        <v/>
      </c>
      <c r="FU3" s="1" t="str">
        <f ca="1">IFERROR(__xludf.DUMMYFUNCTION("if(FU$2="""","""", index(GOOGLEFINANCE($B$3,""close"",FU$2,TODAY()),2,2))"),"")</f>
        <v/>
      </c>
      <c r="FV3" s="1" t="str">
        <f ca="1">IFERROR(__xludf.DUMMYFUNCTION("if(FV$2="""","""", index(GOOGLEFINANCE($B$3,""close"",FV$2,TODAY()),2,2))"),"")</f>
        <v/>
      </c>
      <c r="FW3" s="1" t="str">
        <f ca="1">IFERROR(__xludf.DUMMYFUNCTION("if(FW$2="""","""", index(GOOGLEFINANCE($B$3,""close"",FW$2,TODAY()),2,2))"),"")</f>
        <v/>
      </c>
      <c r="FX3" s="1" t="str">
        <f ca="1">IFERROR(__xludf.DUMMYFUNCTION("if(FX$2="""","""", index(GOOGLEFINANCE($B$3,""close"",FX$2,TODAY()),2,2))"),"")</f>
        <v/>
      </c>
      <c r="FY3" s="1" t="str">
        <f ca="1">IFERROR(__xludf.DUMMYFUNCTION("if(FY$2="""","""", index(GOOGLEFINANCE($B$3,""close"",FY$2,TODAY()),2,2))"),"")</f>
        <v/>
      </c>
      <c r="FZ3" s="1" t="str">
        <f ca="1">IFERROR(__xludf.DUMMYFUNCTION("if(FZ$2="""","""", index(GOOGLEFINANCE($B$3,""close"",FZ$2,TODAY()),2,2))"),"")</f>
        <v/>
      </c>
      <c r="GA3" s="1" t="str">
        <f ca="1">IFERROR(__xludf.DUMMYFUNCTION("if(GA$2="""","""", index(GOOGLEFINANCE($B$3,""close"",GA$2,TODAY()),2,2))"),"")</f>
        <v/>
      </c>
      <c r="GB3" s="1" t="str">
        <f ca="1">IFERROR(__xludf.DUMMYFUNCTION("if(GB$2="""","""", index(GOOGLEFINANCE($B$3,""close"",GB$2,TODAY()),2,2))"),"")</f>
        <v/>
      </c>
      <c r="GC3" s="1" t="str">
        <f ca="1">IFERROR(__xludf.DUMMYFUNCTION("if(GC$2="""","""", index(GOOGLEFINANCE($B$3,""close"",GC$2,TODAY()),2,2))"),"")</f>
        <v/>
      </c>
      <c r="GD3" s="1" t="str">
        <f ca="1">IFERROR(__xludf.DUMMYFUNCTION("if(GD$2="""","""", index(GOOGLEFINANCE($B$3,""close"",GD$2,TODAY()),2,2))"),"")</f>
        <v/>
      </c>
      <c r="GE3" s="1" t="str">
        <f ca="1">IFERROR(__xludf.DUMMYFUNCTION("if(GE$2="""","""", index(GOOGLEFINANCE($B$3,""close"",GE$2,TODAY()),2,2))"),"")</f>
        <v/>
      </c>
      <c r="GF3" s="1" t="str">
        <f ca="1">IFERROR(__xludf.DUMMYFUNCTION("if(GF$2="""","""", index(GOOGLEFINANCE($B$3,""close"",GF$2,TODAY()),2,2))"),"")</f>
        <v/>
      </c>
      <c r="GG3" s="1" t="str">
        <f ca="1">IFERROR(__xludf.DUMMYFUNCTION("if(GG$2="""","""", index(GOOGLEFINANCE($B$3,""close"",GG$2,TODAY()),2,2))"),"")</f>
        <v/>
      </c>
      <c r="GH3" s="1" t="str">
        <f ca="1">IFERROR(__xludf.DUMMYFUNCTION("if(GH$2="""","""", index(GOOGLEFINANCE($B$3,""close"",GH$2,TODAY()),2,2))"),"")</f>
        <v/>
      </c>
      <c r="GI3" s="1" t="str">
        <f ca="1">IFERROR(__xludf.DUMMYFUNCTION("if(GI$2="""","""", index(GOOGLEFINANCE($B$3,""close"",GI$2,TODAY()),2,2))"),"")</f>
        <v/>
      </c>
      <c r="GJ3" s="1" t="str">
        <f ca="1">IFERROR(__xludf.DUMMYFUNCTION("if(GJ$2="""","""", index(GOOGLEFINANCE($B$3,""close"",GJ$2,TODAY()),2,2))"),"")</f>
        <v/>
      </c>
      <c r="GK3" s="1" t="str">
        <f ca="1">IFERROR(__xludf.DUMMYFUNCTION("if(GK$2="""","""", index(GOOGLEFINANCE($B$3,""close"",GK$2,TODAY()),2,2))"),"")</f>
        <v/>
      </c>
      <c r="GL3" s="1" t="str">
        <f ca="1">IFERROR(__xludf.DUMMYFUNCTION("if(GL$2="""","""", index(GOOGLEFINANCE($B$3,""close"",GL$2,TODAY()),2,2))"),"")</f>
        <v/>
      </c>
      <c r="GM3" s="1" t="str">
        <f ca="1">IFERROR(__xludf.DUMMYFUNCTION("if(GM$2="""","""", index(GOOGLEFINANCE($B$3,""close"",GM$2,TODAY()),2,2))"),"")</f>
        <v/>
      </c>
      <c r="GN3" s="1" t="str">
        <f ca="1">IFERROR(__xludf.DUMMYFUNCTION("if(GN$2="""","""", index(GOOGLEFINANCE($B$3,""close"",GN$2,TODAY()),2,2))"),"")</f>
        <v/>
      </c>
      <c r="GO3" s="1" t="str">
        <f ca="1">IFERROR(__xludf.DUMMYFUNCTION("if(GO$2="""","""", index(GOOGLEFINANCE($B$3,""close"",GO$2,TODAY()),2,2))"),"")</f>
        <v/>
      </c>
      <c r="GP3" s="1" t="str">
        <f ca="1">IFERROR(__xludf.DUMMYFUNCTION("if(GP$2="""","""", index(GOOGLEFINANCE($B$3,""close"",GP$2,TODAY()),2,2))"),"")</f>
        <v/>
      </c>
      <c r="GQ3" s="1" t="str">
        <f ca="1">IFERROR(__xludf.DUMMYFUNCTION("if(GQ$2="""","""", index(GOOGLEFINANCE($B$3,""close"",GQ$2,TODAY()),2,2))"),"")</f>
        <v/>
      </c>
      <c r="GR3" s="1" t="str">
        <f ca="1">IFERROR(__xludf.DUMMYFUNCTION("if(GR$2="""","""", index(GOOGLEFINANCE($B$3,""close"",GR$2,TODAY()),2,2))"),"")</f>
        <v/>
      </c>
      <c r="GS3" s="1" t="str">
        <f ca="1">IFERROR(__xludf.DUMMYFUNCTION("if(GS$2="""","""", index(GOOGLEFINANCE($B$3,""close"",GS$2,TODAY()),2,2))"),"")</f>
        <v/>
      </c>
      <c r="GT3" s="1" t="str">
        <f ca="1">IFERROR(__xludf.DUMMYFUNCTION("if(GT$2="""","""", index(GOOGLEFINANCE($B$3,""close"",GT$2,TODAY()),2,2))"),"")</f>
        <v/>
      </c>
      <c r="GU3" s="1" t="str">
        <f ca="1">IFERROR(__xludf.DUMMYFUNCTION("if(GU$2="""","""", index(GOOGLEFINANCE($B$3,""close"",GU$2,TODAY()),2,2))"),"")</f>
        <v/>
      </c>
      <c r="GV3" s="1" t="str">
        <f ca="1">IFERROR(__xludf.DUMMYFUNCTION("if(GV$2="""","""", index(GOOGLEFINANCE($B$3,""close"",GV$2,TODAY()),2,2))"),"")</f>
        <v/>
      </c>
      <c r="GW3" s="1" t="str">
        <f ca="1">IFERROR(__xludf.DUMMYFUNCTION("if(GW$2="""","""", index(GOOGLEFINANCE($B$3,""close"",GW$2,TODAY()),2,2))"),"")</f>
        <v/>
      </c>
      <c r="GX3" s="1" t="str">
        <f ca="1">IFERROR(__xludf.DUMMYFUNCTION("if(GX$2="""","""", index(GOOGLEFINANCE($B$3,""close"",GX$2,TODAY()),2,2))"),"")</f>
        <v/>
      </c>
      <c r="GY3" s="1" t="str">
        <f ca="1">IFERROR(__xludf.DUMMYFUNCTION("if(GY$2="""","""", index(GOOGLEFINANCE($B$3,""close"",GY$2,TODAY()),2,2))"),"")</f>
        <v/>
      </c>
      <c r="GZ3" s="1" t="str">
        <f ca="1">IFERROR(__xludf.DUMMYFUNCTION("if(GZ$2="""","""", index(GOOGLEFINANCE($B$3,""close"",GZ$2,TODAY()),2,2))"),"")</f>
        <v/>
      </c>
      <c r="HA3" s="1" t="str">
        <f ca="1">IFERROR(__xludf.DUMMYFUNCTION("if(HA$2="""","""", index(GOOGLEFINANCE($B$3,""close"",HA$2,TODAY()),2,2))"),"")</f>
        <v/>
      </c>
      <c r="HB3" s="1" t="str">
        <f ca="1">IFERROR(__xludf.DUMMYFUNCTION("if(HB$2="""","""", index(GOOGLEFINANCE($B$3,""close"",HB$2,TODAY()),2,2))"),"")</f>
        <v/>
      </c>
      <c r="HC3" s="1" t="str">
        <f ca="1">IFERROR(__xludf.DUMMYFUNCTION("if(HC$2="""","""", index(GOOGLEFINANCE($B$3,""close"",HC$2,TODAY()),2,2))"),"")</f>
        <v/>
      </c>
      <c r="HD3" s="1" t="str">
        <f ca="1">IFERROR(__xludf.DUMMYFUNCTION("if(HD$2="""","""", index(GOOGLEFINANCE($B$3,""close"",HD$2,TODAY()),2,2))"),"")</f>
        <v/>
      </c>
      <c r="HE3" s="1" t="str">
        <f ca="1">IFERROR(__xludf.DUMMYFUNCTION("if(HE$2="""","""", index(GOOGLEFINANCE($B$3,""close"",HE$2,TODAY()),2,2))"),"")</f>
        <v/>
      </c>
      <c r="HF3" s="1" t="str">
        <f ca="1">IFERROR(__xludf.DUMMYFUNCTION("if(HF$2="""","""", index(GOOGLEFINANCE($B$3,""close"",HF$2,TODAY()),2,2))"),"")</f>
        <v/>
      </c>
      <c r="HG3" s="1" t="str">
        <f ca="1">IFERROR(__xludf.DUMMYFUNCTION("if(HG$2="""","""", index(GOOGLEFINANCE($B$3,""close"",HG$2,TODAY()),2,2))"),"")</f>
        <v/>
      </c>
      <c r="HH3" s="1" t="str">
        <f ca="1">IFERROR(__xludf.DUMMYFUNCTION("if(HH$2="""","""", index(GOOGLEFINANCE($B$3,""close"",HH$2,TODAY()),2,2))"),"")</f>
        <v/>
      </c>
      <c r="HI3" s="1" t="str">
        <f ca="1">IFERROR(__xludf.DUMMYFUNCTION("if(HI$2="""","""", index(GOOGLEFINANCE($B$3,""close"",HI$2,TODAY()),2,2))"),"")</f>
        <v/>
      </c>
      <c r="HJ3" s="1" t="str">
        <f ca="1">IFERROR(__xludf.DUMMYFUNCTION("if(HJ$2="""","""", index(GOOGLEFINANCE($B$3,""close"",HJ$2,TODAY()),2,2))"),"")</f>
        <v/>
      </c>
      <c r="HK3" s="1" t="str">
        <f ca="1">IFERROR(__xludf.DUMMYFUNCTION("if(HK$2="""","""", index(GOOGLEFINANCE($B$3,""close"",HK$2,TODAY()),2,2))"),"")</f>
        <v/>
      </c>
      <c r="HL3" s="1" t="str">
        <f ca="1">IFERROR(__xludf.DUMMYFUNCTION("if(HL$2="""","""", index(GOOGLEFINANCE($B$3,""close"",HL$2,TODAY()),2,2))"),"")</f>
        <v/>
      </c>
      <c r="HM3" s="1" t="str">
        <f ca="1">IFERROR(__xludf.DUMMYFUNCTION("if(HM$2="""","""", index(GOOGLEFINANCE($B$3,""close"",HM$2,TODAY()),2,2))"),"")</f>
        <v/>
      </c>
      <c r="HN3" s="1" t="str">
        <f ca="1">IFERROR(__xludf.DUMMYFUNCTION("if(HN$2="""","""", index(GOOGLEFINANCE($B$3,""close"",HN$2,TODAY()),2,2))"),"")</f>
        <v/>
      </c>
      <c r="HO3" s="1" t="str">
        <f ca="1">IFERROR(__xludf.DUMMYFUNCTION("if(HO$2="""","""", index(GOOGLEFINANCE($B$3,""close"",HO$2,TODAY()),2,2))"),"")</f>
        <v/>
      </c>
      <c r="HP3" s="1" t="str">
        <f ca="1">IFERROR(__xludf.DUMMYFUNCTION("if(HP$2="""","""", index(GOOGLEFINANCE($B$3,""close"",HP$2,TODAY()),2,2))"),"")</f>
        <v/>
      </c>
      <c r="HQ3" s="1" t="str">
        <f ca="1">IFERROR(__xludf.DUMMYFUNCTION("if(HQ$2="""","""", index(GOOGLEFINANCE($B$3,""close"",HQ$2,TODAY()),2,2))"),"")</f>
        <v/>
      </c>
      <c r="HR3" s="1" t="str">
        <f ca="1">IFERROR(__xludf.DUMMYFUNCTION("if(HR$2="""","""", index(GOOGLEFINANCE($B$3,""close"",HR$2,TODAY()),2,2))"),"")</f>
        <v/>
      </c>
      <c r="HS3" s="1" t="str">
        <f ca="1">IFERROR(__xludf.DUMMYFUNCTION("if(HS$2="""","""", index(GOOGLEFINANCE($B$3,""close"",HS$2,TODAY()),2,2))"),"")</f>
        <v/>
      </c>
      <c r="HT3" s="1" t="str">
        <f ca="1">IFERROR(__xludf.DUMMYFUNCTION("if(HT$2="""","""", index(GOOGLEFINANCE($B$3,""close"",HT$2,TODAY()),2,2))"),"")</f>
        <v/>
      </c>
      <c r="HU3" s="1" t="str">
        <f ca="1">IFERROR(__xludf.DUMMYFUNCTION("if(HU$2="""","""", index(GOOGLEFINANCE($B$3,""close"",HU$2,TODAY()),2,2))"),"")</f>
        <v/>
      </c>
      <c r="HV3" s="1" t="str">
        <f ca="1">IFERROR(__xludf.DUMMYFUNCTION("if(HV$2="""","""", index(GOOGLEFINANCE($B$3,""close"",HV$2,TODAY()),2,2))"),"")</f>
        <v/>
      </c>
      <c r="HW3" s="1" t="str">
        <f ca="1">IFERROR(__xludf.DUMMYFUNCTION("if(HW$2="""","""", index(GOOGLEFINANCE($B$3,""close"",HW$2,TODAY()),2,2))"),"")</f>
        <v/>
      </c>
      <c r="HX3" s="1" t="str">
        <f ca="1">IFERROR(__xludf.DUMMYFUNCTION("if(HX$2="""","""", index(GOOGLEFINANCE($B$3,""close"",HX$2,TODAY()),2,2))"),"")</f>
        <v/>
      </c>
      <c r="HY3" s="1" t="str">
        <f ca="1">IFERROR(__xludf.DUMMYFUNCTION("if(HY$2="""","""", index(GOOGLEFINANCE($B$3,""close"",HY$2,TODAY()),2,2))"),"")</f>
        <v/>
      </c>
      <c r="HZ3" s="1" t="str">
        <f ca="1">IFERROR(__xludf.DUMMYFUNCTION("if(HZ$2="""","""", index(GOOGLEFINANCE($B$3,""close"",HZ$2,TODAY()),2,2))"),"")</f>
        <v/>
      </c>
      <c r="IA3" s="1" t="str">
        <f ca="1">IFERROR(__xludf.DUMMYFUNCTION("if(IA$2="""","""", index(GOOGLEFINANCE($B$3,""close"",IA$2,TODAY()),2,2))"),"")</f>
        <v/>
      </c>
      <c r="IB3" s="1" t="str">
        <f ca="1">IFERROR(__xludf.DUMMYFUNCTION("if(IB$2="""","""", index(GOOGLEFINANCE($B$3,""close"",IB$2,TODAY()),2,2))"),"")</f>
        <v/>
      </c>
      <c r="IC3" s="1" t="str">
        <f ca="1">IFERROR(__xludf.DUMMYFUNCTION("if(IC$2="""","""", index(GOOGLEFINANCE($B$3,""close"",IC$2,TODAY()),2,2))"),"")</f>
        <v/>
      </c>
      <c r="ID3" s="1" t="str">
        <f ca="1">IFERROR(__xludf.DUMMYFUNCTION("if(ID$2="""","""", index(GOOGLEFINANCE($B$3,""close"",ID$2,TODAY()),2,2))"),"")</f>
        <v/>
      </c>
      <c r="IE3" s="1" t="str">
        <f ca="1">IFERROR(__xludf.DUMMYFUNCTION("if(IE$2="""","""", index(GOOGLEFINANCE($B$3,""close"",IE$2,TODAY()),2,2))"),"")</f>
        <v/>
      </c>
      <c r="IF3" s="1" t="str">
        <f ca="1">IFERROR(__xludf.DUMMYFUNCTION("if(IF$2="""","""", index(GOOGLEFINANCE($B$3,""close"",IF$2,TODAY()),2,2))"),"")</f>
        <v/>
      </c>
      <c r="IG3" s="1" t="str">
        <f ca="1">IFERROR(__xludf.DUMMYFUNCTION("if(IG$2="""","""", index(GOOGLEFINANCE($B$3,""close"",IG$2,TODAY()),2,2))"),"")</f>
        <v/>
      </c>
      <c r="IH3" s="1" t="str">
        <f ca="1">IFERROR(__xludf.DUMMYFUNCTION("if(IH$2="""","""", index(GOOGLEFINANCE($B$3,""close"",IH$2,TODAY()),2,2))"),"")</f>
        <v/>
      </c>
      <c r="II3" s="1" t="str">
        <f ca="1">IFERROR(__xludf.DUMMYFUNCTION("if(II$2="""","""", index(GOOGLEFINANCE($B$3,""close"",II$2,TODAY()),2,2))"),"")</f>
        <v/>
      </c>
      <c r="IJ3" s="1" t="str">
        <f ca="1">IFERROR(__xludf.DUMMYFUNCTION("if(IJ$2="""","""", index(GOOGLEFINANCE($B$3,""close"",IJ$2,TODAY()),2,2))"),"")</f>
        <v/>
      </c>
      <c r="IK3" s="1" t="str">
        <f ca="1">IFERROR(__xludf.DUMMYFUNCTION("if(IK$2="""","""", index(GOOGLEFINANCE($B$3,""close"",IK$2,TODAY()),2,2))"),"")</f>
        <v/>
      </c>
      <c r="IL3" s="1" t="str">
        <f ca="1">IFERROR(__xludf.DUMMYFUNCTION("if(IL$2="""","""", index(GOOGLEFINANCE($B$3,""close"",IL$2,TODAY()),2,2))"),"")</f>
        <v/>
      </c>
      <c r="IM3" s="1" t="str">
        <f ca="1">IFERROR(__xludf.DUMMYFUNCTION("if(IM$2="""","""", index(GOOGLEFINANCE($B$3,""close"",IM$2,TODAY()),2,2))"),"")</f>
        <v/>
      </c>
      <c r="IN3" s="1" t="str">
        <f ca="1">IFERROR(__xludf.DUMMYFUNCTION("if(IN$2="""","""", index(GOOGLEFINANCE($B$3,""close"",IN$2,TODAY()),2,2))"),"")</f>
        <v/>
      </c>
      <c r="IO3" s="1" t="str">
        <f ca="1">IFERROR(__xludf.DUMMYFUNCTION("if(IO$2="""","""", index(GOOGLEFINANCE($B$3,""close"",IO$2,TODAY()),2,2))"),"")</f>
        <v/>
      </c>
      <c r="IP3" s="1" t="str">
        <f ca="1">IFERROR(__xludf.DUMMYFUNCTION("if(IP$2="""","""", index(GOOGLEFINANCE($B$3,""close"",IP$2,TODAY()),2,2))"),"")</f>
        <v/>
      </c>
      <c r="IQ3" s="1" t="str">
        <f ca="1">IFERROR(__xludf.DUMMYFUNCTION("if(IQ$2="""","""", index(GOOGLEFINANCE($B$3,""close"",IQ$2,TODAY()),2,2))"),"")</f>
        <v/>
      </c>
      <c r="IR3" s="1" t="str">
        <f ca="1">IFERROR(__xludf.DUMMYFUNCTION("if(IR$2="""","""", index(GOOGLEFINANCE($B$3,""close"",IR$2,TODAY()),2,2))"),"")</f>
        <v/>
      </c>
      <c r="IS3" s="1" t="str">
        <f ca="1">IFERROR(__xludf.DUMMYFUNCTION("if(IS$2="""","""", index(GOOGLEFINANCE($B$3,""close"",IS$2,TODAY()),2,2))"),"")</f>
        <v/>
      </c>
      <c r="IT3" s="1" t="str">
        <f ca="1">IFERROR(__xludf.DUMMYFUNCTION("if(IT$2="""","""", index(GOOGLEFINANCE($B$3,""close"",IT$2,TODAY()),2,2))"),"")</f>
        <v/>
      </c>
      <c r="IU3" s="1" t="str">
        <f ca="1">IFERROR(__xludf.DUMMYFUNCTION("if(IU$2="""","""", index(GOOGLEFINANCE($B$3,""close"",IU$2,TODAY()),2,2))"),"")</f>
        <v/>
      </c>
      <c r="IV3" s="1" t="str">
        <f ca="1">IFERROR(__xludf.DUMMYFUNCTION("if(IV$2="""","""", index(GOOGLEFINANCE($B$3,""close"",IV$2,TODAY()),2,2))"),"")</f>
        <v/>
      </c>
      <c r="IW3" s="1" t="str">
        <f ca="1">IFERROR(__xludf.DUMMYFUNCTION("if(IW$2="""","""", index(GOOGLEFINANCE($B$3,""close"",IW$2,TODAY()),2,2))"),"")</f>
        <v/>
      </c>
      <c r="IX3" s="1" t="str">
        <f ca="1">IFERROR(__xludf.DUMMYFUNCTION("if(IX$2="""","""", index(GOOGLEFINANCE($B$3,""close"",IX$2,TODAY()),2,2))"),"")</f>
        <v/>
      </c>
      <c r="IY3" s="1" t="str">
        <f ca="1">IFERROR(__xludf.DUMMYFUNCTION("if(IY$2="""","""", index(GOOGLEFINANCE($B$3,""close"",IY$2,TODAY()),2,2))"),"")</f>
        <v/>
      </c>
      <c r="IZ3" s="1" t="str">
        <f ca="1">IFERROR(__xludf.DUMMYFUNCTION("if(IZ$2="""","""", index(GOOGLEFINANCE($B$3,""close"",IZ$2,TODAY()),2,2))"),"")</f>
        <v/>
      </c>
      <c r="JA3" s="1" t="str">
        <f ca="1">IFERROR(__xludf.DUMMYFUNCTION("if(JA$2="""","""", index(GOOGLEFINANCE($B$3,""close"",JA$2,TODAY()),2,2))"),"")</f>
        <v/>
      </c>
      <c r="JB3" s="1" t="str">
        <f ca="1">IFERROR(__xludf.DUMMYFUNCTION("if(JB$2="""","""", index(GOOGLEFINANCE($B$3,""close"",JB$2,TODAY()),2,2))"),"")</f>
        <v/>
      </c>
      <c r="JC3" s="1" t="str">
        <f ca="1">IFERROR(__xludf.DUMMYFUNCTION("if(JC$2="""","""", index(GOOGLEFINANCE($B$3,""close"",JC$2,TODAY()),2,2))"),"")</f>
        <v/>
      </c>
      <c r="JD3" s="1" t="str">
        <f ca="1">IFERROR(__xludf.DUMMYFUNCTION("if(JD$2="""","""", index(GOOGLEFINANCE($B$3,""close"",JD$2,TODAY()),2,2))"),"")</f>
        <v/>
      </c>
      <c r="JE3" s="1" t="str">
        <f ca="1">IFERROR(__xludf.DUMMYFUNCTION("if(JE$2="""","""", index(GOOGLEFINANCE($B$3,""close"",JE$2,TODAY()),2,2))"),"")</f>
        <v/>
      </c>
      <c r="JF3" s="1" t="str">
        <f ca="1">IFERROR(__xludf.DUMMYFUNCTION("if(JF$2="""","""", index(GOOGLEFINANCE($B$3,""close"",JF$2,TODAY()),2,2))"),"")</f>
        <v/>
      </c>
      <c r="JG3" s="1" t="str">
        <f ca="1">IFERROR(__xludf.DUMMYFUNCTION("if(JG$2="""","""", index(GOOGLEFINANCE($B$3,""close"",JG$2,TODAY()),2,2))"),"")</f>
        <v/>
      </c>
      <c r="JH3" s="1" t="str">
        <f ca="1">IFERROR(__xludf.DUMMYFUNCTION("if(JH$2="""","""", index(GOOGLEFINANCE($B$3,""close"",JH$2,TODAY()),2,2))"),"")</f>
        <v/>
      </c>
      <c r="JI3" s="1" t="str">
        <f ca="1">IFERROR(__xludf.DUMMYFUNCTION("if(JI$2="""","""", index(GOOGLEFINANCE($B$3,""close"",JI$2,TODAY()),2,2))"),"")</f>
        <v/>
      </c>
      <c r="JJ3" s="1" t="str">
        <f ca="1">IFERROR(__xludf.DUMMYFUNCTION("if(JJ$2="""","""", index(GOOGLEFINANCE($B$3,""close"",JJ$2,TODAY()),2,2))"),"")</f>
        <v/>
      </c>
      <c r="JK3" s="1" t="str">
        <f ca="1">IFERROR(__xludf.DUMMYFUNCTION("if(JK$2="""","""", index(GOOGLEFINANCE($B$3,""close"",JK$2,TODAY()),2,2))"),"")</f>
        <v/>
      </c>
      <c r="JL3" s="1" t="str">
        <f ca="1">IFERROR(__xludf.DUMMYFUNCTION("if(JL$2="""","""", index(GOOGLEFINANCE($B$3,""close"",JL$2,TODAY()),2,2))"),"")</f>
        <v/>
      </c>
      <c r="JM3" s="1" t="str">
        <f ca="1">IFERROR(__xludf.DUMMYFUNCTION("if(JM$2="""","""", index(GOOGLEFINANCE($B$3,""close"",JM$2,TODAY()),2,2))"),"")</f>
        <v/>
      </c>
      <c r="JN3" s="1" t="str">
        <f ca="1">IFERROR(__xludf.DUMMYFUNCTION("if(JN$2="""","""", index(GOOGLEFINANCE($B$3,""close"",JN$2,TODAY()),2,2))"),"")</f>
        <v/>
      </c>
      <c r="JO3" s="1" t="str">
        <f ca="1">IFERROR(__xludf.DUMMYFUNCTION("if(JO$2="""","""", index(GOOGLEFINANCE($B$3,""close"",JO$2,TODAY()),2,2))"),"")</f>
        <v/>
      </c>
      <c r="JP3" s="1" t="str">
        <f ca="1">IFERROR(__xludf.DUMMYFUNCTION("if(JP$2="""","""", index(GOOGLEFINANCE($B$3,""close"",JP$2,TODAY()),2,2))"),"")</f>
        <v/>
      </c>
      <c r="JQ3" s="1" t="str">
        <f ca="1">IFERROR(__xludf.DUMMYFUNCTION("if(JQ$2="""","""", index(GOOGLEFINANCE($B$3,""close"",JQ$2,TODAY()),2,2))"),"")</f>
        <v/>
      </c>
      <c r="JR3" s="1" t="str">
        <f ca="1">IFERROR(__xludf.DUMMYFUNCTION("if(JR$2="""","""", index(GOOGLEFINANCE($B$3,""close"",JR$2,TODAY()),2,2))"),"")</f>
        <v/>
      </c>
      <c r="JS3" s="1" t="str">
        <f ca="1">IFERROR(__xludf.DUMMYFUNCTION("if(JS$2="""","""", index(GOOGLEFINANCE($B$3,""close"",JS$2,TODAY()),2,2))"),"")</f>
        <v/>
      </c>
      <c r="JT3" s="1" t="str">
        <f ca="1">IFERROR(__xludf.DUMMYFUNCTION("if(JT$2="""","""", index(GOOGLEFINANCE($B$3,""close"",JT$2,TODAY()),2,2))"),"")</f>
        <v/>
      </c>
      <c r="JU3" s="1" t="str">
        <f ca="1">IFERROR(__xludf.DUMMYFUNCTION("if(JU$2="""","""", index(GOOGLEFINANCE($B$3,""close"",JU$2,TODAY()),2,2))"),"")</f>
        <v/>
      </c>
      <c r="JV3" s="1" t="str">
        <f ca="1">IFERROR(__xludf.DUMMYFUNCTION("if(JV$2="""","""", index(GOOGLEFINANCE($B$3,""close"",JV$2,TODAY()),2,2))"),"")</f>
        <v/>
      </c>
      <c r="JW3" s="1" t="str">
        <f ca="1">IFERROR(__xludf.DUMMYFUNCTION("if(JW$2="""","""", index(GOOGLEFINANCE($B$3,""close"",JW$2,TODAY()),2,2))"),"")</f>
        <v/>
      </c>
      <c r="JX3" s="1" t="str">
        <f ca="1">IFERROR(__xludf.DUMMYFUNCTION("if(JX$2="""","""", index(GOOGLEFINANCE($B$3,""close"",JX$2,TODAY()),2,2))"),"")</f>
        <v/>
      </c>
      <c r="JY3" s="1" t="str">
        <f ca="1">IFERROR(__xludf.DUMMYFUNCTION("if(JY$2="""","""", index(GOOGLEFINANCE($B$3,""close"",JY$2,TODAY()),2,2))"),"")</f>
        <v/>
      </c>
      <c r="JZ3" s="1" t="str">
        <f ca="1">IFERROR(__xludf.DUMMYFUNCTION("if(JZ$2="""","""", index(GOOGLEFINANCE($B$3,""close"",JZ$2,TODAY()),2,2))"),"")</f>
        <v/>
      </c>
      <c r="KA3" s="1" t="str">
        <f ca="1">IFERROR(__xludf.DUMMYFUNCTION("if(KA$2="""","""", index(GOOGLEFINANCE($B$3,""close"",KA$2,TODAY()),2,2))"),"")</f>
        <v/>
      </c>
      <c r="KB3" s="1" t="str">
        <f ca="1">IFERROR(__xludf.DUMMYFUNCTION("if(KB$2="""","""", index(GOOGLEFINANCE($B$3,""close"",KB$2,TODAY()),2,2))"),"")</f>
        <v/>
      </c>
      <c r="KC3" s="1" t="str">
        <f ca="1">IFERROR(__xludf.DUMMYFUNCTION("if(KC$2="""","""", index(GOOGLEFINANCE($B$3,""close"",KC$2,TODAY()),2,2))"),"")</f>
        <v/>
      </c>
      <c r="KD3" s="1" t="str">
        <f ca="1">IFERROR(__xludf.DUMMYFUNCTION("if(KD$2="""","""", index(GOOGLEFINANCE($B$3,""close"",KD$2,TODAY()),2,2))"),"")</f>
        <v/>
      </c>
      <c r="KE3" s="1" t="str">
        <f ca="1">IFERROR(__xludf.DUMMYFUNCTION("if(KE$2="""","""", index(GOOGLEFINANCE($B$3,""close"",KE$2,TODAY()),2,2))"),"")</f>
        <v/>
      </c>
      <c r="KF3" s="1" t="str">
        <f ca="1">IFERROR(__xludf.DUMMYFUNCTION("if(KF$2="""","""", index(GOOGLEFINANCE($B$3,""close"",KF$2,TODAY()),2,2))"),"")</f>
        <v/>
      </c>
      <c r="KG3" s="1" t="str">
        <f ca="1">IFERROR(__xludf.DUMMYFUNCTION("if(KG$2="""","""", index(GOOGLEFINANCE($B$3,""close"",KG$2,TODAY()),2,2))"),"")</f>
        <v/>
      </c>
    </row>
    <row r="4" spans="1:319" ht="15.75" customHeight="1">
      <c r="A4" s="18" t="s">
        <v>30</v>
      </c>
      <c r="B4" s="6" t="s">
        <v>48</v>
      </c>
      <c r="C4" s="1">
        <f ca="1">IFERROR(__xludf.DUMMYFUNCTION("if(C$2="""","""", index(GOOGLEFINANCE($B$4,""close"",C$2,TODAY()),2,2))"),630.14)</f>
        <v>630.14</v>
      </c>
      <c r="D4" s="1">
        <f ca="1">IFERROR(__xludf.DUMMYFUNCTION("if(D$2="""","""", index(GOOGLEFINANCE($B$4,""close"",D$2,TODAY()),2,2))"),603.94)</f>
        <v>603.94000000000005</v>
      </c>
      <c r="E4" s="1">
        <f ca="1">IFERROR(__xludf.DUMMYFUNCTION("if(E$2="""","""", index(GOOGLEFINANCE($B$4,""close"",E$2,TODAY()),2,2))"),572.76)</f>
        <v>572.76</v>
      </c>
      <c r="F4" s="1">
        <f ca="1">IFERROR(__xludf.DUMMYFUNCTION("if(F$2="""","""", index(GOOGLEFINANCE($B$4,""close"",F$2,TODAY()),2,2))"),574.04)</f>
        <v>574.04</v>
      </c>
      <c r="G4" s="1">
        <f ca="1">IFERROR(__xludf.DUMMYFUNCTION("if(G$2="""","""", index(GOOGLEFINANCE($B$4,""close"",G$2,TODAY()),2,2))"),566.39)</f>
        <v>566.39</v>
      </c>
      <c r="H4" s="1">
        <f ca="1">IFERROR(__xludf.DUMMYFUNCTION("if(H$2="""","""", index(GOOGLEFINANCE($B$4,""close"",H$2,TODAY()),2,2))"),572)</f>
        <v>572</v>
      </c>
      <c r="I4" s="1">
        <f ca="1">IFERROR(__xludf.DUMMYFUNCTION("if(I$2="""","""", index(GOOGLEFINANCE($B$4,""close"",I$2,TODAY()),2,2))"),578.44)</f>
        <v>578.44000000000005</v>
      </c>
      <c r="J4" s="1">
        <f ca="1">IFERROR(__xludf.DUMMYFUNCTION("if(J$2="""","""", index(GOOGLEFINANCE($B$4,""close"",J$2,TODAY()),2,2))"),573.39)</f>
        <v>573.39</v>
      </c>
      <c r="K4" s="1">
        <f ca="1">IFERROR(__xludf.DUMMYFUNCTION("if(K$2="""","""", index(GOOGLEFINANCE($B$4,""close"",K$2,TODAY()),2,2))"),521.26)</f>
        <v>521.26</v>
      </c>
      <c r="L4" s="1">
        <f ca="1">IFERROR(__xludf.DUMMYFUNCTION("if(L$2="""","""", index(GOOGLEFINANCE($B$4,""close"",L$2,TODAY()),2,2))"),531.02)</f>
        <v>531.02</v>
      </c>
      <c r="M4" s="1">
        <f ca="1">IFERROR(__xludf.DUMMYFUNCTION("if(M$2="""","""", index(GOOGLEFINANCE($B$4,""close"",M$2,TODAY()),2,2))"),522.34)</f>
        <v>522.34</v>
      </c>
      <c r="N4" s="1">
        <f ca="1">IFERROR(__xludf.DUMMYFUNCTION("if(N$2="""","""", index(GOOGLEFINANCE($B$4,""close"",N$2,TODAY()),2,2))"),521.29)</f>
        <v>521.29</v>
      </c>
      <c r="O4" s="1">
        <f ca="1">IFERROR(__xludf.DUMMYFUNCTION("if(O$2="""","""", index(GOOGLEFINANCE($B$4,""close"",O$2,TODAY()),2,2))"),515)</f>
        <v>515</v>
      </c>
      <c r="P4" s="1">
        <f ca="1">IFERROR(__xludf.DUMMYFUNCTION("if(P$2="""","""", index(GOOGLEFINANCE($B$4,""close"",P$2,TODAY()),2,2))"),507.74)</f>
        <v>507.74</v>
      </c>
      <c r="Q4" s="1">
        <f ca="1">IFERROR(__xludf.DUMMYFUNCTION("if(Q$2="""","""", index(GOOGLEFINANCE($B$4,""close"",Q$2,TODAY()),2,2))"),525.84)</f>
        <v>525.84</v>
      </c>
      <c r="R4" s="1">
        <f ca="1">IFERROR(__xludf.DUMMYFUNCTION("if(R$2="""","""", index(GOOGLEFINANCE($B$4,""close"",R$2,TODAY()),2,2))"),495.08)</f>
        <v>495.08</v>
      </c>
      <c r="S4" s="1">
        <f ca="1">IFERROR(__xludf.DUMMYFUNCTION("if(S$2="""","""", index(GOOGLEFINANCE($B$4,""close"",S$2,TODAY()),2,2))"),484.42)</f>
        <v>484.42</v>
      </c>
      <c r="T4" s="1">
        <f ca="1">IFERROR(__xludf.DUMMYFUNCTION("if(T$2="""","""", index(GOOGLEFINANCE($B$4,""close"",T$2,TODAY()),2,2))"),528.69)</f>
        <v>528.69000000000005</v>
      </c>
      <c r="U4" s="1">
        <f ca="1">IFERROR(__xludf.DUMMYFUNCTION("if(U$2="""","""", index(GOOGLEFINANCE($B$4,""close"",U$2,TODAY()),2,2))"),561.08)</f>
        <v>561.08000000000004</v>
      </c>
      <c r="V4" s="1">
        <f ca="1">IFERROR(__xludf.DUMMYFUNCTION("if(V$2="""","""", index(GOOGLEFINANCE($B$4,""close"",V$2,TODAY()),2,2))"),585.78)</f>
        <v>585.78</v>
      </c>
      <c r="W4" s="1">
        <f ca="1">IFERROR(__xludf.DUMMYFUNCTION("if(W$2="""","""", index(GOOGLEFINANCE($B$4,""close"",W$2,TODAY()),2,2))"),586.54)</f>
        <v>586.54</v>
      </c>
      <c r="X4" s="1">
        <f ca="1">IFERROR(__xludf.DUMMYFUNCTION("if(X$2="""","""", index(GOOGLEFINANCE($B$4,""close"",X$2,TODAY()),2,2))"),581.15)</f>
        <v>581.15</v>
      </c>
      <c r="Y4" s="1">
        <f ca="1">IFERROR(__xludf.DUMMYFUNCTION("if(Y$2="""","""", index(GOOGLEFINANCE($B$4,""close"",Y$2,TODAY()),2,2))"),560.85)</f>
        <v>560.85</v>
      </c>
      <c r="Z4" s="1">
        <f ca="1">IFERROR(__xludf.DUMMYFUNCTION("if(Z$2="""","""", index(GOOGLEFINANCE($B$4,""close"",Z$2,TODAY()),2,2))"),577.52)</f>
        <v>577.52</v>
      </c>
      <c r="AA4" s="1">
        <f ca="1">IFERROR(__xludf.DUMMYFUNCTION("if(AA$2="""","""", index(GOOGLEFINANCE($B$4,""close"",AA$2,TODAY()),2,2))"),573.2)</f>
        <v>573.20000000000005</v>
      </c>
      <c r="AB4" s="1">
        <f ca="1">IFERROR(__xludf.DUMMYFUNCTION("if(AB$2="""","""", index(GOOGLEFINANCE($B$4,""close"",AB$2,TODAY()),2,2))"),591.27)</f>
        <v>591.27</v>
      </c>
      <c r="AC4" s="1">
        <f ca="1">IFERROR(__xludf.DUMMYFUNCTION("if(AC$2="""","""", index(GOOGLEFINANCE($B$4,""close"",AC$2,TODAY()),2,2))"),613.97)</f>
        <v>613.97</v>
      </c>
      <c r="AD4" s="1">
        <f ca="1">IFERROR(__xludf.DUMMYFUNCTION("if(AD$2="""","""", index(GOOGLEFINANCE($B$4,""close"",AD$2,TODAY()),2,2))"),610.46)</f>
        <v>610.46</v>
      </c>
      <c r="AE4" s="1">
        <f ca="1">IFERROR(__xludf.DUMMYFUNCTION("if(AE$2="""","""", index(GOOGLEFINANCE($B$4,""close"",AE$2,TODAY()),2,2))"),583.72)</f>
        <v>583.72</v>
      </c>
      <c r="AF4" s="1">
        <f ca="1">IFERROR(__xludf.DUMMYFUNCTION("if(AF$2="""","""", index(GOOGLEFINANCE($B$4,""close"",AF$2,TODAY()),2,2))"),579.58)</f>
        <v>579.58000000000004</v>
      </c>
      <c r="AG4" s="1">
        <f ca="1">IFERROR(__xludf.DUMMYFUNCTION("if(AG$2="""","""", index(GOOGLEFINANCE($B$4,""close"",AG$2,TODAY()),2,2))"),591.66)</f>
        <v>591.66</v>
      </c>
      <c r="AH4" s="1">
        <f ca="1">IFERROR(__xludf.DUMMYFUNCTION("if(AH$2="""","""", index(GOOGLEFINANCE($B$4,""close"",AH$2,TODAY()),2,2))"),590.89)</f>
        <v>590.89</v>
      </c>
      <c r="AI4" s="1">
        <f ca="1">IFERROR(__xludf.DUMMYFUNCTION("if(AI$2="""","""", index(GOOGLEFINANCE($B$4,""close"",AI$2,TODAY()),2,2))"),565.75)</f>
        <v>565.75</v>
      </c>
      <c r="AJ4" s="1">
        <f ca="1">IFERROR(__xludf.DUMMYFUNCTION("if(AJ$2="""","""", index(GOOGLEFINANCE($B$4,""close"",AJ$2,TODAY()),2,2))"),556.01)</f>
        <v>556.01</v>
      </c>
      <c r="AK4" s="1">
        <f ca="1">IFERROR(__xludf.DUMMYFUNCTION("if(AK$2="""","""", index(GOOGLEFINANCE($B$4,""close"",AK$2,TODAY()),2,2))"),550.15)</f>
        <v>550.15</v>
      </c>
      <c r="AL4" s="1">
        <f ca="1">IFERROR(__xludf.DUMMYFUNCTION("if(AL$2="""","""", index(GOOGLEFINANCE($B$4,""close"",AL$2,TODAY()),2,2))"),524.7)</f>
        <v>524.70000000000005</v>
      </c>
      <c r="AM4" s="1">
        <f ca="1">IFERROR(__xludf.DUMMYFUNCTION("if(AM$2="""","""", index(GOOGLEFINANCE($B$4,""close"",AM$2,TODAY()),2,2))"),573.95)</f>
        <v>573.95000000000005</v>
      </c>
      <c r="AN4" s="1">
        <f ca="1">IFERROR(__xludf.DUMMYFUNCTION("if(AN$2="""","""", index(GOOGLEFINANCE($B$4,""close"",AN$2,TODAY()),2,2))"),580.23)</f>
        <v>580.23</v>
      </c>
      <c r="AO4" s="1">
        <f ca="1">IFERROR(__xludf.DUMMYFUNCTION("if(AO$2="""","""", index(GOOGLEFINANCE($B$4,""close"",AO$2,TODAY()),2,2))"),579.92)</f>
        <v>579.91999999999996</v>
      </c>
      <c r="AP4" s="1">
        <f ca="1">IFERROR(__xludf.DUMMYFUNCTION("if(AP$2="""","""", index(GOOGLEFINANCE($B$4,""close"",AP$2,TODAY()),2,2))"),571.07)</f>
        <v>571.07000000000005</v>
      </c>
      <c r="AQ4" s="1">
        <f ca="1">IFERROR(__xludf.DUMMYFUNCTION("if(AQ$2="""","""", index(GOOGLEFINANCE($B$4,""close"",AQ$2,TODAY()),2,2))"),587.06)</f>
        <v>587.05999999999995</v>
      </c>
      <c r="AR4" s="1">
        <f ca="1">IFERROR(__xludf.DUMMYFUNCTION("if(AR$2="""","""", index(GOOGLEFINANCE($B$4,""close"",AR$2,TODAY()),2,2))"),562.31)</f>
        <v>562.30999999999995</v>
      </c>
      <c r="AS4" s="1">
        <f ca="1">IFERROR(__xludf.DUMMYFUNCTION("if(AS$2="""","""", index(GOOGLEFINANCE($B$4,""close"",AS$2,TODAY()),2,2))"),547.07)</f>
        <v>547.07000000000005</v>
      </c>
      <c r="AT4" s="1">
        <f ca="1">IFERROR(__xludf.DUMMYFUNCTION("if(AT$2="""","""", index(GOOGLEFINANCE($B$4,""close"",AT$2,TODAY()),2,2))"),519.62)</f>
        <v>519.62</v>
      </c>
      <c r="AU4" s="1">
        <f ca="1">IFERROR(__xludf.DUMMYFUNCTION("if(AU$2="""","""", index(GOOGLEFINANCE($B$4,""close"",AU$2,TODAY()),2,2))"),518.2)</f>
        <v>518.20000000000005</v>
      </c>
      <c r="AV4" s="1">
        <f ca="1">IFERROR(__xludf.DUMMYFUNCTION("if(AV$2="""","""", index(GOOGLEFINANCE($B$4,""close"",AV$2,TODAY()),2,2))"),559.58)</f>
        <v>559.58000000000004</v>
      </c>
      <c r="AW4" s="1">
        <f ca="1">IFERROR(__xludf.DUMMYFUNCTION("if(AW$2="""","""", index(GOOGLEFINANCE($B$4,""close"",AW$2,TODAY()),2,2))"),533.59)</f>
        <v>533.59</v>
      </c>
      <c r="AX4" s="1">
        <f ca="1">IFERROR(__xludf.DUMMYFUNCTION("if(AX$2="""","""", index(GOOGLEFINANCE($B$4,""close"",AX$2,TODAY()),2,2))"),512.15)</f>
        <v>512.15</v>
      </c>
      <c r="AY4" s="1">
        <f ca="1">IFERROR(__xludf.DUMMYFUNCTION("if(AY$2="""","""", index(GOOGLEFINANCE($B$4,""close"",AY$2,TODAY()),2,2))"),495.1)</f>
        <v>495.1</v>
      </c>
      <c r="AZ4" s="1">
        <f ca="1">IFERROR(__xludf.DUMMYFUNCTION("if(AZ$2="""","""", index(GOOGLEFINANCE($B$4,""close"",AZ$2,TODAY()),2,2))"),514.22)</f>
        <v>514.22</v>
      </c>
      <c r="BA4" s="1">
        <f ca="1">IFERROR(__xludf.DUMMYFUNCTION("if(BA$2="""","""", index(GOOGLEFINANCE($B$4,""close"",BA$2,TODAY()),2,2))"),547.4)</f>
        <v>547.4</v>
      </c>
      <c r="BB4" s="1">
        <f ca="1">IFERROR(__xludf.DUMMYFUNCTION("if(BB$2="""","""", index(GOOGLEFINANCE($B$4,""close"",BB$2,TODAY()),2,2))"),566.68)</f>
        <v>566.67999999999995</v>
      </c>
      <c r="BC4" s="1">
        <f ca="1">IFERROR(__xludf.DUMMYFUNCTION("if(BC$2="""","""", index(GOOGLEFINANCE($B$4,""close"",BC$2,TODAY()),2,2))"),579.88)</f>
        <v>579.88</v>
      </c>
      <c r="BD4" s="1">
        <f ca="1">IFERROR(__xludf.DUMMYFUNCTION("if(BD$2="""","""", index(GOOGLEFINANCE($B$4,""close"",BD$2,TODAY()),2,2))"),569.8)</f>
        <v>569.79999999999995</v>
      </c>
      <c r="BE4" s="1">
        <f ca="1">IFERROR(__xludf.DUMMYFUNCTION("if(BE$2="""","""", index(GOOGLEFINANCE($B$4,""close"",BE$2,TODAY()),2,2))"),588.66)</f>
        <v>588.66</v>
      </c>
      <c r="BF4" s="1">
        <f ca="1">IFERROR(__xludf.DUMMYFUNCTION("if(BF$2="""","""", index(GOOGLEFINANCE($B$4,""close"",BF$2,TODAY()),2,2))"),567.96)</f>
        <v>567.96</v>
      </c>
      <c r="BG4" s="1">
        <f ca="1">IFERROR(__xludf.DUMMYFUNCTION("if(BG$2="""","""", index(GOOGLEFINANCE($B$4,""close"",BG$2,TODAY()),2,2))"),581.09)</f>
        <v>581.09</v>
      </c>
      <c r="BH4" s="1">
        <f ca="1">IFERROR(__xludf.DUMMYFUNCTION("if(BH$2="""","""", index(GOOGLEFINANCE($B$4,""close"",BH$2,TODAY()),2,2))"),561.87)</f>
        <v>561.87</v>
      </c>
      <c r="BI4" s="1">
        <f ca="1">IFERROR(__xludf.DUMMYFUNCTION("if(BI$2="""","""", index(GOOGLEFINANCE($B$4,""close"",BI$2,TODAY()),2,2))"),582.76)</f>
        <v>582.76</v>
      </c>
      <c r="BJ4" s="1">
        <f ca="1">IFERROR(__xludf.DUMMYFUNCTION("if(BJ$2="""","""", index(GOOGLEFINANCE($B$4,""close"",BJ$2,TODAY()),2,2))"),597.75)</f>
        <v>597.75</v>
      </c>
      <c r="BK4" s="1">
        <f ca="1">IFERROR(__xludf.DUMMYFUNCTION("if(BK$2="""","""", index(GOOGLEFINANCE($B$4,""close"",BK$2,TODAY()),2,2))"),573.99)</f>
        <v>573.99</v>
      </c>
      <c r="BL4" s="1">
        <f ca="1">IFERROR(__xludf.DUMMYFUNCTION("if(BL$2="""","""", index(GOOGLEFINANCE($B$4,""close"",BL$2,TODAY()),2,2))"),556.89)</f>
        <v>556.89</v>
      </c>
      <c r="BM4" s="1">
        <f ca="1">IFERROR(__xludf.DUMMYFUNCTION("if(BM$2="""","""", index(GOOGLEFINANCE($B$4,""close"",BM$2,TODAY()),2,2))"),548.69)</f>
        <v>548.69000000000005</v>
      </c>
      <c r="BN4" s="1">
        <f ca="1">IFERROR(__xludf.DUMMYFUNCTION("if(BN$2="""","""", index(GOOGLEFINANCE($B$4,""close"",BN$2,TODAY()),2,2))"),574.82)</f>
        <v>574.82000000000005</v>
      </c>
      <c r="BO4" s="1">
        <f ca="1">IFERROR(__xludf.DUMMYFUNCTION("if(BO$2="""","""", index(GOOGLEFINANCE($B$4,""close"",BO$2,TODAY()),2,2))"),553.22)</f>
        <v>553.22</v>
      </c>
      <c r="BP4" s="1">
        <f ca="1">IFERROR(__xludf.DUMMYFUNCTION("if(BP$2="""","""", index(GOOGLEFINANCE($B$4,""close"",BP$2,TODAY()),2,2))"),527.95)</f>
        <v>527.95000000000005</v>
      </c>
      <c r="BQ4" s="1">
        <f ca="1">IFERROR(__xludf.DUMMYFUNCTION("if(BQ$2="""","""", index(GOOGLEFINANCE($B$4,""close"",BQ$2,TODAY()),2,2))"),529.78)</f>
        <v>529.78</v>
      </c>
      <c r="BR4" s="1">
        <f ca="1">IFERROR(__xludf.DUMMYFUNCTION("if(BR$2="""","""", index(GOOGLEFINANCE($B$4,""close"",BR$2,TODAY()),2,2))"),515.6)</f>
        <v>515.6</v>
      </c>
      <c r="BS4" s="1">
        <f ca="1">IFERROR(__xludf.DUMMYFUNCTION("if(BS$2="""","""", index(GOOGLEFINANCE($B$4,""close"",BS$2,TODAY()),2,2))"),511.42)</f>
        <v>511.42</v>
      </c>
      <c r="BT4" s="1">
        <f ca="1">IFERROR(__xludf.DUMMYFUNCTION("if(BT$2="""","""", index(GOOGLEFINANCE($B$4,""close"",BT$2,TODAY()),2,2))"),510.21)</f>
        <v>510.21</v>
      </c>
      <c r="BU4" s="1">
        <f ca="1">IFERROR(__xludf.DUMMYFUNCTION("if(BU$2="""","""", index(GOOGLEFINANCE($B$4,""close"",BU$2,TODAY()),2,2))"),526.07)</f>
        <v>526.07000000000005</v>
      </c>
      <c r="BV4" s="1">
        <f ca="1">IFERROR(__xludf.DUMMYFUNCTION("if(BV$2="""","""", index(GOOGLEFINANCE($B$4,""close"",BV$2,TODAY()),2,2))"),507.33)</f>
        <v>507.33</v>
      </c>
      <c r="BW4" s="1">
        <f ca="1">IFERROR(__xludf.DUMMYFUNCTION("if(BW$2="""","""", index(GOOGLEFINANCE($B$4,""close"",BW$2,TODAY()),2,2))"),497.53)</f>
        <v>497.53</v>
      </c>
      <c r="BX4" s="1">
        <f ca="1">IFERROR(__xludf.DUMMYFUNCTION("if(BX$2="""","""", index(GOOGLEFINANCE($B$4,""close"",BX$2,TODAY()),2,2))"),514.4)</f>
        <v>514.4</v>
      </c>
      <c r="BY4" s="1">
        <f ca="1">IFERROR(__xludf.DUMMYFUNCTION("if(BY$2="""","""", index(GOOGLEFINANCE($B$4,""close"",BY$2,TODAY()),2,2))"),505.22)</f>
        <v>505.22</v>
      </c>
      <c r="BZ4" s="1">
        <f ca="1">IFERROR(__xludf.DUMMYFUNCTION("if(BZ$2="""","""", index(GOOGLEFINANCE($B$4,""close"",BZ$2,TODAY()),2,2))"),491.67)</f>
        <v>491.67</v>
      </c>
      <c r="CA4" s="1">
        <f ca="1">IFERROR(__xludf.DUMMYFUNCTION("if(CA$2="""","""", index(GOOGLEFINANCE($B$4,""close"",CA$2,TODAY()),2,2))"),471.4)</f>
        <v>471.4</v>
      </c>
      <c r="CB4" s="1">
        <f ca="1">IFERROR(__xludf.DUMMYFUNCTION("if(CB$2="""","""", index(GOOGLEFINANCE($B$4,""close"",CB$2,TODAY()),2,2))"),472.27)</f>
        <v>472.27</v>
      </c>
      <c r="CC4" s="1">
        <f ca="1">IFERROR(__xludf.DUMMYFUNCTION("if(CC$2="""","""", index(GOOGLEFINANCE($B$4,""close"",CC$2,TODAY()),2,2))"),456)</f>
        <v>456</v>
      </c>
      <c r="CD4" s="1">
        <f ca="1">IFERROR(__xludf.DUMMYFUNCTION("if(CD$2="""","""", index(GOOGLEFINANCE($B$4,""close"",CD$2,TODAY()),2,2))"),466.29)</f>
        <v>466.29</v>
      </c>
      <c r="CE4" s="1">
        <f ca="1">IFERROR(__xludf.DUMMYFUNCTION("if(CE$2="""","""", index(GOOGLEFINANCE($B$4,""close"",CE$2,TODAY()),2,2))"),504.02)</f>
        <v>504.02</v>
      </c>
      <c r="CF4" s="1">
        <f ca="1">IFERROR(__xludf.DUMMYFUNCTION("if(CF$2="""","""", index(GOOGLEFINANCE($B$4,""close"",CF$2,TODAY()),2,2))"),478.1)</f>
        <v>478.1</v>
      </c>
      <c r="CG4" s="1">
        <f ca="1">IFERROR(__xludf.DUMMYFUNCTION("if(CG$2="""","""", index(GOOGLEFINANCE($B$4,""close"",CG$2,TODAY()),2,2))"),484.5)</f>
        <v>484.5</v>
      </c>
      <c r="CH4" s="1">
        <f ca="1">IFERROR(__xludf.DUMMYFUNCTION("if(CH$2="""","""", index(GOOGLEFINANCE($B$4,""close"",CH$2,TODAY()),2,2))"),481.86)</f>
        <v>481.86</v>
      </c>
      <c r="CI4" s="1">
        <f ca="1">IFERROR(__xludf.DUMMYFUNCTION("if(CI$2="""","""", index(GOOGLEFINANCE($B$4,""close"",CI$2,TODAY()),2,2))"),499.46)</f>
        <v>499.46</v>
      </c>
      <c r="CJ4" s="1" t="str">
        <f ca="1">IFERROR(__xludf.DUMMYFUNCTION("if(CJ$2="""","""", index(GOOGLEFINANCE($B$4,""close"",CJ$2,TODAY()),2,2))"),"")</f>
        <v/>
      </c>
      <c r="CK4" s="1" t="str">
        <f ca="1">IFERROR(__xludf.DUMMYFUNCTION("if(CK$2="""","""", index(GOOGLEFINANCE($B$4,""close"",CK$2,TODAY()),2,2))"),"")</f>
        <v/>
      </c>
      <c r="CL4" s="1" t="str">
        <f ca="1">IFERROR(__xludf.DUMMYFUNCTION("if(CL$2="""","""", index(GOOGLEFINANCE($B$4,""close"",CL$2,TODAY()),2,2))"),"")</f>
        <v/>
      </c>
      <c r="CM4" s="1" t="str">
        <f ca="1">IFERROR(__xludf.DUMMYFUNCTION("if(CM$2="""","""", index(GOOGLEFINANCE($B$4,""close"",CM$2,TODAY()),2,2))"),"")</f>
        <v/>
      </c>
      <c r="CN4" s="1" t="str">
        <f ca="1">IFERROR(__xludf.DUMMYFUNCTION("if(CN$2="""","""", index(GOOGLEFINANCE($B$4,""close"",CN$2,TODAY()),2,2))"),"")</f>
        <v/>
      </c>
      <c r="CO4" s="1" t="str">
        <f ca="1">IFERROR(__xludf.DUMMYFUNCTION("if(CO$2="""","""", index(GOOGLEFINANCE($B$4,""close"",CO$2,TODAY()),2,2))"),"")</f>
        <v/>
      </c>
      <c r="CP4" s="1" t="str">
        <f ca="1">IFERROR(__xludf.DUMMYFUNCTION("if(CP$2="""","""", index(GOOGLEFINANCE($B$4,""close"",CP$2,TODAY()),2,2))"),"")</f>
        <v/>
      </c>
      <c r="CQ4" s="1" t="str">
        <f ca="1">IFERROR(__xludf.DUMMYFUNCTION("if(CQ$2="""","""", index(GOOGLEFINANCE($B$4,""close"",CQ$2,TODAY()),2,2))"),"")</f>
        <v/>
      </c>
      <c r="CR4" s="1" t="str">
        <f ca="1">IFERROR(__xludf.DUMMYFUNCTION("if(CR$2="""","""", index(GOOGLEFINANCE($B$4,""close"",CR$2,TODAY()),2,2))"),"")</f>
        <v/>
      </c>
      <c r="CS4" s="1" t="str">
        <f ca="1">IFERROR(__xludf.DUMMYFUNCTION("if(CS$2="""","""", index(GOOGLEFINANCE($B$4,""close"",CS$2,TODAY()),2,2))"),"")</f>
        <v/>
      </c>
      <c r="CT4" s="1" t="str">
        <f ca="1">IFERROR(__xludf.DUMMYFUNCTION("if(CT$2="""","""", index(GOOGLEFINANCE($B$4,""close"",CT$2,TODAY()),2,2))"),"")</f>
        <v/>
      </c>
      <c r="CU4" s="1" t="str">
        <f ca="1">IFERROR(__xludf.DUMMYFUNCTION("if(CU$2="""","""", index(GOOGLEFINANCE($B$4,""close"",CU$2,TODAY()),2,2))"),"")</f>
        <v/>
      </c>
      <c r="CV4" s="1" t="str">
        <f ca="1">IFERROR(__xludf.DUMMYFUNCTION("if(CV$2="""","""", index(GOOGLEFINANCE($B$4,""close"",CV$2,TODAY()),2,2))"),"")</f>
        <v/>
      </c>
      <c r="CW4" s="1" t="str">
        <f ca="1">IFERROR(__xludf.DUMMYFUNCTION("if(CW$2="""","""", index(GOOGLEFINANCE($B$4,""close"",CW$2,TODAY()),2,2))"),"")</f>
        <v/>
      </c>
      <c r="CX4" s="1" t="str">
        <f ca="1">IFERROR(__xludf.DUMMYFUNCTION("if(CX$2="""","""", index(GOOGLEFINANCE($B$4,""close"",CX$2,TODAY()),2,2))"),"")</f>
        <v/>
      </c>
      <c r="CY4" s="1" t="str">
        <f ca="1">IFERROR(__xludf.DUMMYFUNCTION("if(CY$2="""","""", index(GOOGLEFINANCE($B$4,""close"",CY$2,TODAY()),2,2))"),"")</f>
        <v/>
      </c>
      <c r="CZ4" s="1" t="str">
        <f ca="1">IFERROR(__xludf.DUMMYFUNCTION("if(CZ$2="""","""", index(GOOGLEFINANCE($B$4,""close"",CZ$2,TODAY()),2,2))"),"")</f>
        <v/>
      </c>
      <c r="DA4" s="1" t="str">
        <f ca="1">IFERROR(__xludf.DUMMYFUNCTION("if(DA$2="""","""", index(GOOGLEFINANCE($B$4,""close"",DA$2,TODAY()),2,2))"),"")</f>
        <v/>
      </c>
      <c r="DB4" s="1" t="str">
        <f ca="1">IFERROR(__xludf.DUMMYFUNCTION("if(DB$2="""","""", index(GOOGLEFINANCE($B$4,""close"",DB$2,TODAY()),2,2))"),"")</f>
        <v/>
      </c>
      <c r="DC4" s="1" t="str">
        <f ca="1">IFERROR(__xludf.DUMMYFUNCTION("if(DC$2="""","""", index(GOOGLEFINANCE($B$4,""close"",DC$2,TODAY()),2,2))"),"")</f>
        <v/>
      </c>
      <c r="DD4" s="1" t="str">
        <f ca="1">IFERROR(__xludf.DUMMYFUNCTION("if(DD$2="""","""", index(GOOGLEFINANCE($B$4,""close"",DD$2,TODAY()),2,2))"),"")</f>
        <v/>
      </c>
      <c r="DE4" s="1" t="str">
        <f ca="1">IFERROR(__xludf.DUMMYFUNCTION("if(DE$2="""","""", index(GOOGLEFINANCE($B$4,""close"",DE$2,TODAY()),2,2))"),"")</f>
        <v/>
      </c>
      <c r="DF4" s="1" t="str">
        <f ca="1">IFERROR(__xludf.DUMMYFUNCTION("if(DF$2="""","""", index(GOOGLEFINANCE($B$4,""close"",DF$2,TODAY()),2,2))"),"")</f>
        <v/>
      </c>
      <c r="DG4" s="1" t="str">
        <f ca="1">IFERROR(__xludf.DUMMYFUNCTION("if(DG$2="""","""", index(GOOGLEFINANCE($B$4,""close"",DG$2,TODAY()),2,2))"),"")</f>
        <v/>
      </c>
      <c r="DH4" s="1" t="str">
        <f ca="1">IFERROR(__xludf.DUMMYFUNCTION("if(DH$2="""","""", index(GOOGLEFINANCE($B$4,""close"",DH$2,TODAY()),2,2))"),"")</f>
        <v/>
      </c>
      <c r="DI4" s="1" t="str">
        <f ca="1">IFERROR(__xludf.DUMMYFUNCTION("if(DI$2="""","""", index(GOOGLEFINANCE($B$4,""close"",DI$2,TODAY()),2,2))"),"")</f>
        <v/>
      </c>
      <c r="DJ4" s="1" t="str">
        <f ca="1">IFERROR(__xludf.DUMMYFUNCTION("if(DJ$2="""","""", index(GOOGLEFINANCE($B$4,""close"",DJ$2,TODAY()),2,2))"),"")</f>
        <v/>
      </c>
      <c r="DK4" s="1" t="str">
        <f ca="1">IFERROR(__xludf.DUMMYFUNCTION("if(DK$2="""","""", index(GOOGLEFINANCE($B$4,""close"",DK$2,TODAY()),2,2))"),"")</f>
        <v/>
      </c>
      <c r="DL4" s="1" t="str">
        <f ca="1">IFERROR(__xludf.DUMMYFUNCTION("if(DL$2="""","""", index(GOOGLEFINANCE($B$4,""close"",DL$2,TODAY()),2,2))"),"")</f>
        <v/>
      </c>
      <c r="DM4" s="1" t="str">
        <f ca="1">IFERROR(__xludf.DUMMYFUNCTION("if(DM$2="""","""", index(GOOGLEFINANCE($B$4,""close"",DM$2,TODAY()),2,2))"),"")</f>
        <v/>
      </c>
      <c r="DN4" s="1" t="str">
        <f ca="1">IFERROR(__xludf.DUMMYFUNCTION("if(DN$2="""","""", index(GOOGLEFINANCE($B$4,""close"",DN$2,TODAY()),2,2))"),"")</f>
        <v/>
      </c>
      <c r="DO4" s="1" t="str">
        <f ca="1">IFERROR(__xludf.DUMMYFUNCTION("if(DO$2="""","""", index(GOOGLEFINANCE($B$4,""close"",DO$2,TODAY()),2,2))"),"")</f>
        <v/>
      </c>
      <c r="DP4" s="1" t="str">
        <f ca="1">IFERROR(__xludf.DUMMYFUNCTION("if(DP$2="""","""", index(GOOGLEFINANCE($B$4,""close"",DP$2,TODAY()),2,2))"),"")</f>
        <v/>
      </c>
      <c r="DQ4" s="1" t="str">
        <f ca="1">IFERROR(__xludf.DUMMYFUNCTION("if(DQ$2="""","""", index(GOOGLEFINANCE($B$4,""close"",DQ$2,TODAY()),2,2))"),"")</f>
        <v/>
      </c>
      <c r="DR4" s="1" t="str">
        <f ca="1">IFERROR(__xludf.DUMMYFUNCTION("if(DR$2="""","""", index(GOOGLEFINANCE($B$4,""close"",DR$2,TODAY()),2,2))"),"")</f>
        <v/>
      </c>
      <c r="DS4" s="1" t="str">
        <f ca="1">IFERROR(__xludf.DUMMYFUNCTION("if(DS$2="""","""", index(GOOGLEFINANCE($B$4,""close"",DS$2,TODAY()),2,2))"),"")</f>
        <v/>
      </c>
      <c r="DT4" s="1" t="str">
        <f ca="1">IFERROR(__xludf.DUMMYFUNCTION("if(DT$2="""","""", index(GOOGLEFINANCE($B$4,""close"",DT$2,TODAY()),2,2))"),"")</f>
        <v/>
      </c>
      <c r="DU4" s="1" t="str">
        <f ca="1">IFERROR(__xludf.DUMMYFUNCTION("if(DU$2="""","""", index(GOOGLEFINANCE($B$4,""close"",DU$2,TODAY()),2,2))"),"")</f>
        <v/>
      </c>
      <c r="DV4" s="1" t="str">
        <f ca="1">IFERROR(__xludf.DUMMYFUNCTION("if(DV$2="""","""", index(GOOGLEFINANCE($B$4,""close"",DV$2,TODAY()),2,2))"),"")</f>
        <v/>
      </c>
      <c r="DW4" s="1" t="str">
        <f ca="1">IFERROR(__xludf.DUMMYFUNCTION("if(DW$2="""","""", index(GOOGLEFINANCE($B$4,""close"",DW$2,TODAY()),2,2))"),"")</f>
        <v/>
      </c>
      <c r="DX4" s="1" t="str">
        <f ca="1">IFERROR(__xludf.DUMMYFUNCTION("if(DX$2="""","""", index(GOOGLEFINANCE($B$4,""close"",DX$2,TODAY()),2,2))"),"")</f>
        <v/>
      </c>
      <c r="DY4" s="1" t="str">
        <f ca="1">IFERROR(__xludf.DUMMYFUNCTION("if(DY$2="""","""", index(GOOGLEFINANCE($B$4,""close"",DY$2,TODAY()),2,2))"),"")</f>
        <v/>
      </c>
      <c r="DZ4" s="1" t="str">
        <f ca="1">IFERROR(__xludf.DUMMYFUNCTION("if(DZ$2="""","""", index(GOOGLEFINANCE($B$4,""close"",DZ$2,TODAY()),2,2))"),"")</f>
        <v/>
      </c>
      <c r="EA4" s="1" t="str">
        <f ca="1">IFERROR(__xludf.DUMMYFUNCTION("if(EA$2="""","""", index(GOOGLEFINANCE($B$4,""close"",EA$2,TODAY()),2,2))"),"")</f>
        <v/>
      </c>
      <c r="EB4" s="1" t="str">
        <f ca="1">IFERROR(__xludf.DUMMYFUNCTION("if(EB$2="""","""", index(GOOGLEFINANCE($B$4,""close"",EB$2,TODAY()),2,2))"),"")</f>
        <v/>
      </c>
      <c r="EC4" s="1" t="str">
        <f ca="1">IFERROR(__xludf.DUMMYFUNCTION("if(EC$2="""","""", index(GOOGLEFINANCE($B$4,""close"",EC$2,TODAY()),2,2))"),"")</f>
        <v/>
      </c>
      <c r="ED4" s="1" t="str">
        <f ca="1">IFERROR(__xludf.DUMMYFUNCTION("if(ED$2="""","""", index(GOOGLEFINANCE($B$4,""close"",ED$2,TODAY()),2,2))"),"")</f>
        <v/>
      </c>
      <c r="EE4" s="1" t="str">
        <f ca="1">IFERROR(__xludf.DUMMYFUNCTION("if(EE$2="""","""", index(GOOGLEFINANCE($B$4,""close"",EE$2,TODAY()),2,2))"),"")</f>
        <v/>
      </c>
      <c r="EF4" s="1" t="str">
        <f ca="1">IFERROR(__xludf.DUMMYFUNCTION("if(EF$2="""","""", index(GOOGLEFINANCE($B$4,""close"",EF$2,TODAY()),2,2))"),"")</f>
        <v/>
      </c>
      <c r="EG4" s="1" t="str">
        <f ca="1">IFERROR(__xludf.DUMMYFUNCTION("if(EG$2="""","""", index(GOOGLEFINANCE($B$4,""close"",EG$2,TODAY()),2,2))"),"")</f>
        <v/>
      </c>
      <c r="EH4" s="1" t="str">
        <f ca="1">IFERROR(__xludf.DUMMYFUNCTION("if(EH$2="""","""", index(GOOGLEFINANCE($B$4,""close"",EH$2,TODAY()),2,2))"),"")</f>
        <v/>
      </c>
      <c r="EI4" s="1" t="str">
        <f ca="1">IFERROR(__xludf.DUMMYFUNCTION("if(EI$2="""","""", index(GOOGLEFINANCE($B$4,""close"",EI$2,TODAY()),2,2))"),"")</f>
        <v/>
      </c>
      <c r="EJ4" s="1" t="str">
        <f ca="1">IFERROR(__xludf.DUMMYFUNCTION("if(EJ$2="""","""", index(GOOGLEFINANCE($B$4,""close"",EJ$2,TODAY()),2,2))"),"")</f>
        <v/>
      </c>
      <c r="EK4" s="1" t="str">
        <f ca="1">IFERROR(__xludf.DUMMYFUNCTION("if(EK$2="""","""", index(GOOGLEFINANCE($B$4,""close"",EK$2,TODAY()),2,2))"),"")</f>
        <v/>
      </c>
      <c r="EL4" s="1" t="str">
        <f ca="1">IFERROR(__xludf.DUMMYFUNCTION("if(EL$2="""","""", index(GOOGLEFINANCE($B$4,""close"",EL$2,TODAY()),2,2))"),"")</f>
        <v/>
      </c>
      <c r="EM4" s="1" t="str">
        <f ca="1">IFERROR(__xludf.DUMMYFUNCTION("if(EM$2="""","""", index(GOOGLEFINANCE($B$4,""close"",EM$2,TODAY()),2,2))"),"")</f>
        <v/>
      </c>
      <c r="EN4" s="1" t="str">
        <f ca="1">IFERROR(__xludf.DUMMYFUNCTION("if(EN$2="""","""", index(GOOGLEFINANCE($B$4,""close"",EN$2,TODAY()),2,2))"),"")</f>
        <v/>
      </c>
      <c r="EO4" s="1" t="str">
        <f ca="1">IFERROR(__xludf.DUMMYFUNCTION("if(EO$2="""","""", index(GOOGLEFINANCE($B$4,""close"",EO$2,TODAY()),2,2))"),"")</f>
        <v/>
      </c>
      <c r="EP4" s="1" t="str">
        <f ca="1">IFERROR(__xludf.DUMMYFUNCTION("if(EP$2="""","""", index(GOOGLEFINANCE($B$4,""close"",EP$2,TODAY()),2,2))"),"")</f>
        <v/>
      </c>
      <c r="EQ4" s="1" t="str">
        <f ca="1">IFERROR(__xludf.DUMMYFUNCTION("if(EQ$2="""","""", index(GOOGLEFINANCE($B$4,""close"",EQ$2,TODAY()),2,2))"),"")</f>
        <v/>
      </c>
      <c r="ER4" s="1" t="str">
        <f ca="1">IFERROR(__xludf.DUMMYFUNCTION("if(ER$2="""","""", index(GOOGLEFINANCE($B$4,""close"",ER$2,TODAY()),2,2))"),"")</f>
        <v/>
      </c>
      <c r="ES4" s="1" t="str">
        <f ca="1">IFERROR(__xludf.DUMMYFUNCTION("if(ES$2="""","""", index(GOOGLEFINANCE($B$4,""close"",ES$2,TODAY()),2,2))"),"")</f>
        <v/>
      </c>
      <c r="ET4" s="1" t="str">
        <f ca="1">IFERROR(__xludf.DUMMYFUNCTION("if(ET$2="""","""", index(GOOGLEFINANCE($B$4,""close"",ET$2,TODAY()),2,2))"),"")</f>
        <v/>
      </c>
      <c r="EU4" s="1" t="str">
        <f ca="1">IFERROR(__xludf.DUMMYFUNCTION("if(EU$2="""","""", index(GOOGLEFINANCE($B$4,""close"",EU$2,TODAY()),2,2))"),"")</f>
        <v/>
      </c>
      <c r="EV4" s="1" t="str">
        <f ca="1">IFERROR(__xludf.DUMMYFUNCTION("if(EV$2="""","""", index(GOOGLEFINANCE($B$4,""close"",EV$2,TODAY()),2,2))"),"")</f>
        <v/>
      </c>
      <c r="EW4" s="1" t="str">
        <f ca="1">IFERROR(__xludf.DUMMYFUNCTION("if(EW$2="""","""", index(GOOGLEFINANCE($B$4,""close"",EW$2,TODAY()),2,2))"),"")</f>
        <v/>
      </c>
      <c r="EX4" s="1" t="str">
        <f ca="1">IFERROR(__xludf.DUMMYFUNCTION("if(EX$2="""","""", index(GOOGLEFINANCE($B$4,""close"",EX$2,TODAY()),2,2))"),"")</f>
        <v/>
      </c>
      <c r="EY4" s="1" t="str">
        <f ca="1">IFERROR(__xludf.DUMMYFUNCTION("if(EY$2="""","""", index(GOOGLEFINANCE($B$4,""close"",EY$2,TODAY()),2,2))"),"")</f>
        <v/>
      </c>
      <c r="EZ4" s="1" t="str">
        <f ca="1">IFERROR(__xludf.DUMMYFUNCTION("if(EZ$2="""","""", index(GOOGLEFINANCE($B$4,""close"",EZ$2,TODAY()),2,2))"),"")</f>
        <v/>
      </c>
      <c r="FA4" s="1" t="str">
        <f ca="1">IFERROR(__xludf.DUMMYFUNCTION("if(FA$2="""","""", index(GOOGLEFINANCE($B$4,""close"",FA$2,TODAY()),2,2))"),"")</f>
        <v/>
      </c>
      <c r="FB4" s="1" t="str">
        <f ca="1">IFERROR(__xludf.DUMMYFUNCTION("if(FB$2="""","""", index(GOOGLEFINANCE($B$4,""close"",FB$2,TODAY()),2,2))"),"")</f>
        <v/>
      </c>
      <c r="FC4" s="1" t="str">
        <f ca="1">IFERROR(__xludf.DUMMYFUNCTION("if(FC$2="""","""", index(GOOGLEFINANCE($B$4,""close"",FC$2,TODAY()),2,2))"),"")</f>
        <v/>
      </c>
      <c r="FD4" s="1" t="str">
        <f ca="1">IFERROR(__xludf.DUMMYFUNCTION("if(FD$2="""","""", index(GOOGLEFINANCE($B$4,""close"",FD$2,TODAY()),2,2))"),"")</f>
        <v/>
      </c>
      <c r="FE4" s="1" t="str">
        <f ca="1">IFERROR(__xludf.DUMMYFUNCTION("if(FE$2="""","""", index(GOOGLEFINANCE($B$4,""close"",FE$2,TODAY()),2,2))"),"")</f>
        <v/>
      </c>
      <c r="FF4" s="1" t="str">
        <f ca="1">IFERROR(__xludf.DUMMYFUNCTION("if(FF$2="""","""", index(GOOGLEFINANCE($B$4,""close"",FF$2,TODAY()),2,2))"),"")</f>
        <v/>
      </c>
      <c r="FG4" s="1" t="str">
        <f ca="1">IFERROR(__xludf.DUMMYFUNCTION("if(FG$2="""","""", index(GOOGLEFINANCE($B$4,""close"",FG$2,TODAY()),2,2))"),"")</f>
        <v/>
      </c>
      <c r="FH4" s="1" t="str">
        <f ca="1">IFERROR(__xludf.DUMMYFUNCTION("if(FH$2="""","""", index(GOOGLEFINANCE($B$4,""close"",FH$2,TODAY()),2,2))"),"")</f>
        <v/>
      </c>
      <c r="FI4" s="1" t="str">
        <f ca="1">IFERROR(__xludf.DUMMYFUNCTION("if(FI$2="""","""", index(GOOGLEFINANCE($B$4,""close"",FI$2,TODAY()),2,2))"),"")</f>
        <v/>
      </c>
      <c r="FJ4" s="1" t="str">
        <f ca="1">IFERROR(__xludf.DUMMYFUNCTION("if(FJ$2="""","""", index(GOOGLEFINANCE($B$4,""close"",FJ$2,TODAY()),2,2))"),"")</f>
        <v/>
      </c>
      <c r="FK4" s="1" t="str">
        <f ca="1">IFERROR(__xludf.DUMMYFUNCTION("if(FK$2="""","""", index(GOOGLEFINANCE($B$4,""close"",FK$2,TODAY()),2,2))"),"")</f>
        <v/>
      </c>
      <c r="FL4" s="1" t="str">
        <f ca="1">IFERROR(__xludf.DUMMYFUNCTION("if(FL$2="""","""", index(GOOGLEFINANCE($B$4,""close"",FL$2,TODAY()),2,2))"),"")</f>
        <v/>
      </c>
      <c r="FM4" s="1" t="str">
        <f ca="1">IFERROR(__xludf.DUMMYFUNCTION("if(FM$2="""","""", index(GOOGLEFINANCE($B$4,""close"",FM$2,TODAY()),2,2))"),"")</f>
        <v/>
      </c>
      <c r="FN4" s="1" t="str">
        <f ca="1">IFERROR(__xludf.DUMMYFUNCTION("if(FN$2="""","""", index(GOOGLEFINANCE($B$4,""close"",FN$2,TODAY()),2,2))"),"")</f>
        <v/>
      </c>
      <c r="FO4" s="1" t="str">
        <f ca="1">IFERROR(__xludf.DUMMYFUNCTION("if(FO$2="""","""", index(GOOGLEFINANCE($B$4,""close"",FO$2,TODAY()),2,2))"),"")</f>
        <v/>
      </c>
      <c r="FP4" s="1" t="str">
        <f ca="1">IFERROR(__xludf.DUMMYFUNCTION("if(FP$2="""","""", index(GOOGLEFINANCE($B$4,""close"",FP$2,TODAY()),2,2))"),"")</f>
        <v/>
      </c>
      <c r="FQ4" s="1" t="str">
        <f ca="1">IFERROR(__xludf.DUMMYFUNCTION("if(FQ$2="""","""", index(GOOGLEFINANCE($B$4,""close"",FQ$2,TODAY()),2,2))"),"")</f>
        <v/>
      </c>
      <c r="FR4" s="1" t="str">
        <f ca="1">IFERROR(__xludf.DUMMYFUNCTION("if(FR$2="""","""", index(GOOGLEFINANCE($B$4,""close"",FR$2,TODAY()),2,2))"),"")</f>
        <v/>
      </c>
      <c r="FS4" s="1" t="str">
        <f ca="1">IFERROR(__xludf.DUMMYFUNCTION("if(FS$2="""","""", index(GOOGLEFINANCE($B$4,""close"",FS$2,TODAY()),2,2))"),"")</f>
        <v/>
      </c>
      <c r="FT4" s="1" t="str">
        <f ca="1">IFERROR(__xludf.DUMMYFUNCTION("if(FT$2="""","""", index(GOOGLEFINANCE($B$4,""close"",FT$2,TODAY()),2,2))"),"")</f>
        <v/>
      </c>
      <c r="FU4" s="1" t="str">
        <f ca="1">IFERROR(__xludf.DUMMYFUNCTION("if(FU$2="""","""", index(GOOGLEFINANCE($B$4,""close"",FU$2,TODAY()),2,2))"),"")</f>
        <v/>
      </c>
      <c r="FV4" s="1" t="str">
        <f ca="1">IFERROR(__xludf.DUMMYFUNCTION("if(FV$2="""","""", index(GOOGLEFINANCE($B$4,""close"",FV$2,TODAY()),2,2))"),"")</f>
        <v/>
      </c>
      <c r="FW4" s="1" t="str">
        <f ca="1">IFERROR(__xludf.DUMMYFUNCTION("if(FW$2="""","""", index(GOOGLEFINANCE($B$4,""close"",FW$2,TODAY()),2,2))"),"")</f>
        <v/>
      </c>
      <c r="FX4" s="1" t="str">
        <f ca="1">IFERROR(__xludf.DUMMYFUNCTION("if(FX$2="""","""", index(GOOGLEFINANCE($B$4,""close"",FX$2,TODAY()),2,2))"),"")</f>
        <v/>
      </c>
      <c r="FY4" s="1" t="str">
        <f ca="1">IFERROR(__xludf.DUMMYFUNCTION("if(FY$2="""","""", index(GOOGLEFINANCE($B$4,""close"",FY$2,TODAY()),2,2))"),"")</f>
        <v/>
      </c>
      <c r="FZ4" s="1" t="str">
        <f ca="1">IFERROR(__xludf.DUMMYFUNCTION("if(FZ$2="""","""", index(GOOGLEFINANCE($B$4,""close"",FZ$2,TODAY()),2,2))"),"")</f>
        <v/>
      </c>
      <c r="GA4" s="1" t="str">
        <f ca="1">IFERROR(__xludf.DUMMYFUNCTION("if(GA$2="""","""", index(GOOGLEFINANCE($B$4,""close"",GA$2,TODAY()),2,2))"),"")</f>
        <v/>
      </c>
      <c r="GB4" s="1" t="str">
        <f ca="1">IFERROR(__xludf.DUMMYFUNCTION("if(GB$2="""","""", index(GOOGLEFINANCE($B$4,""close"",GB$2,TODAY()),2,2))"),"")</f>
        <v/>
      </c>
      <c r="GC4" s="1" t="str">
        <f ca="1">IFERROR(__xludf.DUMMYFUNCTION("if(GC$2="""","""", index(GOOGLEFINANCE($B$4,""close"",GC$2,TODAY()),2,2))"),"")</f>
        <v/>
      </c>
      <c r="GD4" s="1" t="str">
        <f ca="1">IFERROR(__xludf.DUMMYFUNCTION("if(GD$2="""","""", index(GOOGLEFINANCE($B$4,""close"",GD$2,TODAY()),2,2))"),"")</f>
        <v/>
      </c>
      <c r="GE4" s="1" t="str">
        <f ca="1">IFERROR(__xludf.DUMMYFUNCTION("if(GE$2="""","""", index(GOOGLEFINANCE($B$4,""close"",GE$2,TODAY()),2,2))"),"")</f>
        <v/>
      </c>
      <c r="GF4" s="1" t="str">
        <f ca="1">IFERROR(__xludf.DUMMYFUNCTION("if(GF$2="""","""", index(GOOGLEFINANCE($B$4,""close"",GF$2,TODAY()),2,2))"),"")</f>
        <v/>
      </c>
      <c r="GG4" s="1" t="str">
        <f ca="1">IFERROR(__xludf.DUMMYFUNCTION("if(GG$2="""","""", index(GOOGLEFINANCE($B$4,""close"",GG$2,TODAY()),2,2))"),"")</f>
        <v/>
      </c>
      <c r="GH4" s="1" t="str">
        <f ca="1">IFERROR(__xludf.DUMMYFUNCTION("if(GH$2="""","""", index(GOOGLEFINANCE($B$4,""close"",GH$2,TODAY()),2,2))"),"")</f>
        <v/>
      </c>
      <c r="GI4" s="1" t="str">
        <f ca="1">IFERROR(__xludf.DUMMYFUNCTION("if(GI$2="""","""", index(GOOGLEFINANCE($B$4,""close"",GI$2,TODAY()),2,2))"),"")</f>
        <v/>
      </c>
      <c r="GJ4" s="1" t="str">
        <f ca="1">IFERROR(__xludf.DUMMYFUNCTION("if(GJ$2="""","""", index(GOOGLEFINANCE($B$4,""close"",GJ$2,TODAY()),2,2))"),"")</f>
        <v/>
      </c>
      <c r="GK4" s="1" t="str">
        <f ca="1">IFERROR(__xludf.DUMMYFUNCTION("if(GK$2="""","""", index(GOOGLEFINANCE($B$4,""close"",GK$2,TODAY()),2,2))"),"")</f>
        <v/>
      </c>
      <c r="GL4" s="1" t="str">
        <f ca="1">IFERROR(__xludf.DUMMYFUNCTION("if(GL$2="""","""", index(GOOGLEFINANCE($B$4,""close"",GL$2,TODAY()),2,2))"),"")</f>
        <v/>
      </c>
      <c r="GM4" s="1" t="str">
        <f ca="1">IFERROR(__xludf.DUMMYFUNCTION("if(GM$2="""","""", index(GOOGLEFINANCE($B$4,""close"",GM$2,TODAY()),2,2))"),"")</f>
        <v/>
      </c>
      <c r="GN4" s="1" t="str">
        <f ca="1">IFERROR(__xludf.DUMMYFUNCTION("if(GN$2="""","""", index(GOOGLEFINANCE($B$4,""close"",GN$2,TODAY()),2,2))"),"")</f>
        <v/>
      </c>
      <c r="GO4" s="1" t="str">
        <f ca="1">IFERROR(__xludf.DUMMYFUNCTION("if(GO$2="""","""", index(GOOGLEFINANCE($B$4,""close"",GO$2,TODAY()),2,2))"),"")</f>
        <v/>
      </c>
      <c r="GP4" s="1" t="str">
        <f ca="1">IFERROR(__xludf.DUMMYFUNCTION("if(GP$2="""","""", index(GOOGLEFINANCE($B$4,""close"",GP$2,TODAY()),2,2))"),"")</f>
        <v/>
      </c>
      <c r="GQ4" s="1" t="str">
        <f ca="1">IFERROR(__xludf.DUMMYFUNCTION("if(GQ$2="""","""", index(GOOGLEFINANCE($B$4,""close"",GQ$2,TODAY()),2,2))"),"")</f>
        <v/>
      </c>
      <c r="GR4" s="1" t="str">
        <f ca="1">IFERROR(__xludf.DUMMYFUNCTION("if(GR$2="""","""", index(GOOGLEFINANCE($B$4,""close"",GR$2,TODAY()),2,2))"),"")</f>
        <v/>
      </c>
      <c r="GS4" s="1" t="str">
        <f ca="1">IFERROR(__xludf.DUMMYFUNCTION("if(GS$2="""","""", index(GOOGLEFINANCE($B$4,""close"",GS$2,TODAY()),2,2))"),"")</f>
        <v/>
      </c>
      <c r="GT4" s="1" t="str">
        <f ca="1">IFERROR(__xludf.DUMMYFUNCTION("if(GT$2="""","""", index(GOOGLEFINANCE($B$4,""close"",GT$2,TODAY()),2,2))"),"")</f>
        <v/>
      </c>
      <c r="GU4" s="1" t="str">
        <f ca="1">IFERROR(__xludf.DUMMYFUNCTION("if(GU$2="""","""", index(GOOGLEFINANCE($B$4,""close"",GU$2,TODAY()),2,2))"),"")</f>
        <v/>
      </c>
      <c r="GV4" s="1" t="str">
        <f ca="1">IFERROR(__xludf.DUMMYFUNCTION("if(GV$2="""","""", index(GOOGLEFINANCE($B$4,""close"",GV$2,TODAY()),2,2))"),"")</f>
        <v/>
      </c>
      <c r="GW4" s="1" t="str">
        <f ca="1">IFERROR(__xludf.DUMMYFUNCTION("if(GW$2="""","""", index(GOOGLEFINANCE($B$4,""close"",GW$2,TODAY()),2,2))"),"")</f>
        <v/>
      </c>
      <c r="GX4" s="1" t="str">
        <f ca="1">IFERROR(__xludf.DUMMYFUNCTION("if(GX$2="""","""", index(GOOGLEFINANCE($B$4,""close"",GX$2,TODAY()),2,2))"),"")</f>
        <v/>
      </c>
      <c r="GY4" s="1" t="str">
        <f ca="1">IFERROR(__xludf.DUMMYFUNCTION("if(GY$2="""","""", index(GOOGLEFINANCE($B$4,""close"",GY$2,TODAY()),2,2))"),"")</f>
        <v/>
      </c>
      <c r="GZ4" s="1" t="str">
        <f ca="1">IFERROR(__xludf.DUMMYFUNCTION("if(GZ$2="""","""", index(GOOGLEFINANCE($B$4,""close"",GZ$2,TODAY()),2,2))"),"")</f>
        <v/>
      </c>
      <c r="HA4" s="1" t="str">
        <f ca="1">IFERROR(__xludf.DUMMYFUNCTION("if(HA$2="""","""", index(GOOGLEFINANCE($B$4,""close"",HA$2,TODAY()),2,2))"),"")</f>
        <v/>
      </c>
      <c r="HB4" s="1" t="str">
        <f ca="1">IFERROR(__xludf.DUMMYFUNCTION("if(HB$2="""","""", index(GOOGLEFINANCE($B$4,""close"",HB$2,TODAY()),2,2))"),"")</f>
        <v/>
      </c>
      <c r="HC4" s="1" t="str">
        <f ca="1">IFERROR(__xludf.DUMMYFUNCTION("if(HC$2="""","""", index(GOOGLEFINANCE($B$4,""close"",HC$2,TODAY()),2,2))"),"")</f>
        <v/>
      </c>
      <c r="HD4" s="1" t="str">
        <f ca="1">IFERROR(__xludf.DUMMYFUNCTION("if(HD$2="""","""", index(GOOGLEFINANCE($B$4,""close"",HD$2,TODAY()),2,2))"),"")</f>
        <v/>
      </c>
      <c r="HE4" s="1" t="str">
        <f ca="1">IFERROR(__xludf.DUMMYFUNCTION("if(HE$2="""","""", index(GOOGLEFINANCE($B$4,""close"",HE$2,TODAY()),2,2))"),"")</f>
        <v/>
      </c>
      <c r="HF4" s="1" t="str">
        <f ca="1">IFERROR(__xludf.DUMMYFUNCTION("if(HF$2="""","""", index(GOOGLEFINANCE($B$4,""close"",HF$2,TODAY()),2,2))"),"")</f>
        <v/>
      </c>
      <c r="HG4" s="1" t="str">
        <f ca="1">IFERROR(__xludf.DUMMYFUNCTION("if(HG$2="""","""", index(GOOGLEFINANCE($B$4,""close"",HG$2,TODAY()),2,2))"),"")</f>
        <v/>
      </c>
      <c r="HH4" s="1" t="str">
        <f ca="1">IFERROR(__xludf.DUMMYFUNCTION("if(HH$2="""","""", index(GOOGLEFINANCE($B$4,""close"",HH$2,TODAY()),2,2))"),"")</f>
        <v/>
      </c>
      <c r="HI4" s="1" t="str">
        <f ca="1">IFERROR(__xludf.DUMMYFUNCTION("if(HI$2="""","""", index(GOOGLEFINANCE($B$4,""close"",HI$2,TODAY()),2,2))"),"")</f>
        <v/>
      </c>
      <c r="HJ4" s="1" t="str">
        <f ca="1">IFERROR(__xludf.DUMMYFUNCTION("if(HJ$2="""","""", index(GOOGLEFINANCE($B$4,""close"",HJ$2,TODAY()),2,2))"),"")</f>
        <v/>
      </c>
      <c r="HK4" s="1" t="str">
        <f ca="1">IFERROR(__xludf.DUMMYFUNCTION("if(HK$2="""","""", index(GOOGLEFINANCE($B$4,""close"",HK$2,TODAY()),2,2))"),"")</f>
        <v/>
      </c>
      <c r="HL4" s="1" t="str">
        <f ca="1">IFERROR(__xludf.DUMMYFUNCTION("if(HL$2="""","""", index(GOOGLEFINANCE($B$4,""close"",HL$2,TODAY()),2,2))"),"")</f>
        <v/>
      </c>
      <c r="HM4" s="1" t="str">
        <f ca="1">IFERROR(__xludf.DUMMYFUNCTION("if(HM$2="""","""", index(GOOGLEFINANCE($B$4,""close"",HM$2,TODAY()),2,2))"),"")</f>
        <v/>
      </c>
      <c r="HN4" s="1" t="str">
        <f ca="1">IFERROR(__xludf.DUMMYFUNCTION("if(HN$2="""","""", index(GOOGLEFINANCE($B$4,""close"",HN$2,TODAY()),2,2))"),"")</f>
        <v/>
      </c>
      <c r="HO4" s="1" t="str">
        <f ca="1">IFERROR(__xludf.DUMMYFUNCTION("if(HO$2="""","""", index(GOOGLEFINANCE($B$4,""close"",HO$2,TODAY()),2,2))"),"")</f>
        <v/>
      </c>
      <c r="HP4" s="1" t="str">
        <f ca="1">IFERROR(__xludf.DUMMYFUNCTION("if(HP$2="""","""", index(GOOGLEFINANCE($B$4,""close"",HP$2,TODAY()),2,2))"),"")</f>
        <v/>
      </c>
      <c r="HQ4" s="1" t="str">
        <f ca="1">IFERROR(__xludf.DUMMYFUNCTION("if(HQ$2="""","""", index(GOOGLEFINANCE($B$4,""close"",HQ$2,TODAY()),2,2))"),"")</f>
        <v/>
      </c>
      <c r="HR4" s="1" t="str">
        <f ca="1">IFERROR(__xludf.DUMMYFUNCTION("if(HR$2="""","""", index(GOOGLEFINANCE($B$4,""close"",HR$2,TODAY()),2,2))"),"")</f>
        <v/>
      </c>
      <c r="HS4" s="1" t="str">
        <f ca="1">IFERROR(__xludf.DUMMYFUNCTION("if(HS$2="""","""", index(GOOGLEFINANCE($B$4,""close"",HS$2,TODAY()),2,2))"),"")</f>
        <v/>
      </c>
      <c r="HT4" s="1" t="str">
        <f ca="1">IFERROR(__xludf.DUMMYFUNCTION("if(HT$2="""","""", index(GOOGLEFINANCE($B$4,""close"",HT$2,TODAY()),2,2))"),"")</f>
        <v/>
      </c>
      <c r="HU4" s="1" t="str">
        <f ca="1">IFERROR(__xludf.DUMMYFUNCTION("if(HU$2="""","""", index(GOOGLEFINANCE($B$4,""close"",HU$2,TODAY()),2,2))"),"")</f>
        <v/>
      </c>
      <c r="HV4" s="1" t="str">
        <f ca="1">IFERROR(__xludf.DUMMYFUNCTION("if(HV$2="""","""", index(GOOGLEFINANCE($B$4,""close"",HV$2,TODAY()),2,2))"),"")</f>
        <v/>
      </c>
      <c r="HW4" s="1" t="str">
        <f ca="1">IFERROR(__xludf.DUMMYFUNCTION("if(HW$2="""","""", index(GOOGLEFINANCE($B$4,""close"",HW$2,TODAY()),2,2))"),"")</f>
        <v/>
      </c>
      <c r="HX4" s="1" t="str">
        <f ca="1">IFERROR(__xludf.DUMMYFUNCTION("if(HX$2="""","""", index(GOOGLEFINANCE($B$4,""close"",HX$2,TODAY()),2,2))"),"")</f>
        <v/>
      </c>
      <c r="HY4" s="1" t="str">
        <f ca="1">IFERROR(__xludf.DUMMYFUNCTION("if(HY$2="""","""", index(GOOGLEFINANCE($B$4,""close"",HY$2,TODAY()),2,2))"),"")</f>
        <v/>
      </c>
      <c r="HZ4" s="1" t="str">
        <f ca="1">IFERROR(__xludf.DUMMYFUNCTION("if(HZ$2="""","""", index(GOOGLEFINANCE($B$4,""close"",HZ$2,TODAY()),2,2))"),"")</f>
        <v/>
      </c>
      <c r="IA4" s="1" t="str">
        <f ca="1">IFERROR(__xludf.DUMMYFUNCTION("if(IA$2="""","""", index(GOOGLEFINANCE($B$4,""close"",IA$2,TODAY()),2,2))"),"")</f>
        <v/>
      </c>
      <c r="IB4" s="1" t="str">
        <f ca="1">IFERROR(__xludf.DUMMYFUNCTION("if(IB$2="""","""", index(GOOGLEFINANCE($B$4,""close"",IB$2,TODAY()),2,2))"),"")</f>
        <v/>
      </c>
      <c r="IC4" s="1" t="str">
        <f ca="1">IFERROR(__xludf.DUMMYFUNCTION("if(IC$2="""","""", index(GOOGLEFINANCE($B$4,""close"",IC$2,TODAY()),2,2))"),"")</f>
        <v/>
      </c>
      <c r="ID4" s="1" t="str">
        <f ca="1">IFERROR(__xludf.DUMMYFUNCTION("if(ID$2="""","""", index(GOOGLEFINANCE($B$4,""close"",ID$2,TODAY()),2,2))"),"")</f>
        <v/>
      </c>
      <c r="IE4" s="1" t="str">
        <f ca="1">IFERROR(__xludf.DUMMYFUNCTION("if(IE$2="""","""", index(GOOGLEFINANCE($B$4,""close"",IE$2,TODAY()),2,2))"),"")</f>
        <v/>
      </c>
      <c r="IF4" s="1" t="str">
        <f ca="1">IFERROR(__xludf.DUMMYFUNCTION("if(IF$2="""","""", index(GOOGLEFINANCE($B$4,""close"",IF$2,TODAY()),2,2))"),"")</f>
        <v/>
      </c>
      <c r="IG4" s="1" t="str">
        <f ca="1">IFERROR(__xludf.DUMMYFUNCTION("if(IG$2="""","""", index(GOOGLEFINANCE($B$4,""close"",IG$2,TODAY()),2,2))"),"")</f>
        <v/>
      </c>
      <c r="IH4" s="1" t="str">
        <f ca="1">IFERROR(__xludf.DUMMYFUNCTION("if(IH$2="""","""", index(GOOGLEFINANCE($B$4,""close"",IH$2,TODAY()),2,2))"),"")</f>
        <v/>
      </c>
      <c r="II4" s="1" t="str">
        <f ca="1">IFERROR(__xludf.DUMMYFUNCTION("if(II$2="""","""", index(GOOGLEFINANCE($B$4,""close"",II$2,TODAY()),2,2))"),"")</f>
        <v/>
      </c>
      <c r="IJ4" s="1" t="str">
        <f ca="1">IFERROR(__xludf.DUMMYFUNCTION("if(IJ$2="""","""", index(GOOGLEFINANCE($B$4,""close"",IJ$2,TODAY()),2,2))"),"")</f>
        <v/>
      </c>
      <c r="IK4" s="1" t="str">
        <f ca="1">IFERROR(__xludf.DUMMYFUNCTION("if(IK$2="""","""", index(GOOGLEFINANCE($B$4,""close"",IK$2,TODAY()),2,2))"),"")</f>
        <v/>
      </c>
      <c r="IL4" s="1" t="str">
        <f ca="1">IFERROR(__xludf.DUMMYFUNCTION("if(IL$2="""","""", index(GOOGLEFINANCE($B$4,""close"",IL$2,TODAY()),2,2))"),"")</f>
        <v/>
      </c>
      <c r="IM4" s="1" t="str">
        <f ca="1">IFERROR(__xludf.DUMMYFUNCTION("if(IM$2="""","""", index(GOOGLEFINANCE($B$4,""close"",IM$2,TODAY()),2,2))"),"")</f>
        <v/>
      </c>
      <c r="IN4" s="1" t="str">
        <f ca="1">IFERROR(__xludf.DUMMYFUNCTION("if(IN$2="""","""", index(GOOGLEFINANCE($B$4,""close"",IN$2,TODAY()),2,2))"),"")</f>
        <v/>
      </c>
      <c r="IO4" s="1" t="str">
        <f ca="1">IFERROR(__xludf.DUMMYFUNCTION("if(IO$2="""","""", index(GOOGLEFINANCE($B$4,""close"",IO$2,TODAY()),2,2))"),"")</f>
        <v/>
      </c>
      <c r="IP4" s="1" t="str">
        <f ca="1">IFERROR(__xludf.DUMMYFUNCTION("if(IP$2="""","""", index(GOOGLEFINANCE($B$4,""close"",IP$2,TODAY()),2,2))"),"")</f>
        <v/>
      </c>
      <c r="IQ4" s="1" t="str">
        <f ca="1">IFERROR(__xludf.DUMMYFUNCTION("if(IQ$2="""","""", index(GOOGLEFINANCE($B$4,""close"",IQ$2,TODAY()),2,2))"),"")</f>
        <v/>
      </c>
      <c r="IR4" s="1" t="str">
        <f ca="1">IFERROR(__xludf.DUMMYFUNCTION("if(IR$2="""","""", index(GOOGLEFINANCE($B$4,""close"",IR$2,TODAY()),2,2))"),"")</f>
        <v/>
      </c>
      <c r="IS4" s="1" t="str">
        <f ca="1">IFERROR(__xludf.DUMMYFUNCTION("if(IS$2="""","""", index(GOOGLEFINANCE($B$4,""close"",IS$2,TODAY()),2,2))"),"")</f>
        <v/>
      </c>
      <c r="IT4" s="1" t="str">
        <f ca="1">IFERROR(__xludf.DUMMYFUNCTION("if(IT$2="""","""", index(GOOGLEFINANCE($B$4,""close"",IT$2,TODAY()),2,2))"),"")</f>
        <v/>
      </c>
      <c r="IU4" s="1" t="str">
        <f ca="1">IFERROR(__xludf.DUMMYFUNCTION("if(IU$2="""","""", index(GOOGLEFINANCE($B$4,""close"",IU$2,TODAY()),2,2))"),"")</f>
        <v/>
      </c>
      <c r="IV4" s="1" t="str">
        <f ca="1">IFERROR(__xludf.DUMMYFUNCTION("if(IV$2="""","""", index(GOOGLEFINANCE($B$4,""close"",IV$2,TODAY()),2,2))"),"")</f>
        <v/>
      </c>
      <c r="IW4" s="1" t="str">
        <f ca="1">IFERROR(__xludf.DUMMYFUNCTION("if(IW$2="""","""", index(GOOGLEFINANCE($B$4,""close"",IW$2,TODAY()),2,2))"),"")</f>
        <v/>
      </c>
      <c r="IX4" s="1" t="str">
        <f ca="1">IFERROR(__xludf.DUMMYFUNCTION("if(IX$2="""","""", index(GOOGLEFINANCE($B$4,""close"",IX$2,TODAY()),2,2))"),"")</f>
        <v/>
      </c>
      <c r="IY4" s="1" t="str">
        <f ca="1">IFERROR(__xludf.DUMMYFUNCTION("if(IY$2="""","""", index(GOOGLEFINANCE($B$4,""close"",IY$2,TODAY()),2,2))"),"")</f>
        <v/>
      </c>
      <c r="IZ4" s="1" t="str">
        <f ca="1">IFERROR(__xludf.DUMMYFUNCTION("if(IZ$2="""","""", index(GOOGLEFINANCE($B$4,""close"",IZ$2,TODAY()),2,2))"),"")</f>
        <v/>
      </c>
      <c r="JA4" s="1" t="str">
        <f ca="1">IFERROR(__xludf.DUMMYFUNCTION("if(JA$2="""","""", index(GOOGLEFINANCE($B$4,""close"",JA$2,TODAY()),2,2))"),"")</f>
        <v/>
      </c>
      <c r="JB4" s="1" t="str">
        <f ca="1">IFERROR(__xludf.DUMMYFUNCTION("if(JB$2="""","""", index(GOOGLEFINANCE($B$4,""close"",JB$2,TODAY()),2,2))"),"")</f>
        <v/>
      </c>
      <c r="JC4" s="1" t="str">
        <f ca="1">IFERROR(__xludf.DUMMYFUNCTION("if(JC$2="""","""", index(GOOGLEFINANCE($B$4,""close"",JC$2,TODAY()),2,2))"),"")</f>
        <v/>
      </c>
      <c r="JD4" s="1" t="str">
        <f ca="1">IFERROR(__xludf.DUMMYFUNCTION("if(JD$2="""","""", index(GOOGLEFINANCE($B$4,""close"",JD$2,TODAY()),2,2))"),"")</f>
        <v/>
      </c>
      <c r="JE4" s="1" t="str">
        <f ca="1">IFERROR(__xludf.DUMMYFUNCTION("if(JE$2="""","""", index(GOOGLEFINANCE($B$4,""close"",JE$2,TODAY()),2,2))"),"")</f>
        <v/>
      </c>
      <c r="JF4" s="1" t="str">
        <f ca="1">IFERROR(__xludf.DUMMYFUNCTION("if(JF$2="""","""", index(GOOGLEFINANCE($B$4,""close"",JF$2,TODAY()),2,2))"),"")</f>
        <v/>
      </c>
      <c r="JG4" s="1" t="str">
        <f ca="1">IFERROR(__xludf.DUMMYFUNCTION("if(JG$2="""","""", index(GOOGLEFINANCE($B$4,""close"",JG$2,TODAY()),2,2))"),"")</f>
        <v/>
      </c>
      <c r="JH4" s="1" t="str">
        <f ca="1">IFERROR(__xludf.DUMMYFUNCTION("if(JH$2="""","""", index(GOOGLEFINANCE($B$4,""close"",JH$2,TODAY()),2,2))"),"")</f>
        <v/>
      </c>
      <c r="JI4" s="1" t="str">
        <f ca="1">IFERROR(__xludf.DUMMYFUNCTION("if(JI$2="""","""", index(GOOGLEFINANCE($B$4,""close"",JI$2,TODAY()),2,2))"),"")</f>
        <v/>
      </c>
      <c r="JJ4" s="1" t="str">
        <f ca="1">IFERROR(__xludf.DUMMYFUNCTION("if(JJ$2="""","""", index(GOOGLEFINANCE($B$4,""close"",JJ$2,TODAY()),2,2))"),"")</f>
        <v/>
      </c>
      <c r="JK4" s="1" t="str">
        <f ca="1">IFERROR(__xludf.DUMMYFUNCTION("if(JK$2="""","""", index(GOOGLEFINANCE($B$4,""close"",JK$2,TODAY()),2,2))"),"")</f>
        <v/>
      </c>
      <c r="JL4" s="1" t="str">
        <f ca="1">IFERROR(__xludf.DUMMYFUNCTION("if(JL$2="""","""", index(GOOGLEFINANCE($B$4,""close"",JL$2,TODAY()),2,2))"),"")</f>
        <v/>
      </c>
      <c r="JM4" s="1" t="str">
        <f ca="1">IFERROR(__xludf.DUMMYFUNCTION("if(JM$2="""","""", index(GOOGLEFINANCE($B$4,""close"",JM$2,TODAY()),2,2))"),"")</f>
        <v/>
      </c>
      <c r="JN4" s="1" t="str">
        <f ca="1">IFERROR(__xludf.DUMMYFUNCTION("if(JN$2="""","""", index(GOOGLEFINANCE($B$4,""close"",JN$2,TODAY()),2,2))"),"")</f>
        <v/>
      </c>
      <c r="JO4" s="1" t="str">
        <f ca="1">IFERROR(__xludf.DUMMYFUNCTION("if(JO$2="""","""", index(GOOGLEFINANCE($B$4,""close"",JO$2,TODAY()),2,2))"),"")</f>
        <v/>
      </c>
      <c r="JP4" s="1" t="str">
        <f ca="1">IFERROR(__xludf.DUMMYFUNCTION("if(JP$2="""","""", index(GOOGLEFINANCE($B$4,""close"",JP$2,TODAY()),2,2))"),"")</f>
        <v/>
      </c>
      <c r="JQ4" s="1" t="str">
        <f ca="1">IFERROR(__xludf.DUMMYFUNCTION("if(JQ$2="""","""", index(GOOGLEFINANCE($B$4,""close"",JQ$2,TODAY()),2,2))"),"")</f>
        <v/>
      </c>
      <c r="JR4" s="1" t="str">
        <f ca="1">IFERROR(__xludf.DUMMYFUNCTION("if(JR$2="""","""", index(GOOGLEFINANCE($B$4,""close"",JR$2,TODAY()),2,2))"),"")</f>
        <v/>
      </c>
      <c r="JS4" s="1" t="str">
        <f ca="1">IFERROR(__xludf.DUMMYFUNCTION("if(JS$2="""","""", index(GOOGLEFINANCE($B$4,""close"",JS$2,TODAY()),2,2))"),"")</f>
        <v/>
      </c>
      <c r="JT4" s="1" t="str">
        <f ca="1">IFERROR(__xludf.DUMMYFUNCTION("if(JT$2="""","""", index(GOOGLEFINANCE($B$4,""close"",JT$2,TODAY()),2,2))"),"")</f>
        <v/>
      </c>
      <c r="JU4" s="1" t="str">
        <f ca="1">IFERROR(__xludf.DUMMYFUNCTION("if(JU$2="""","""", index(GOOGLEFINANCE($B$4,""close"",JU$2,TODAY()),2,2))"),"")</f>
        <v/>
      </c>
      <c r="JV4" s="1" t="str">
        <f ca="1">IFERROR(__xludf.DUMMYFUNCTION("if(JV$2="""","""", index(GOOGLEFINANCE($B$4,""close"",JV$2,TODAY()),2,2))"),"")</f>
        <v/>
      </c>
      <c r="JW4" s="1" t="str">
        <f ca="1">IFERROR(__xludf.DUMMYFUNCTION("if(JW$2="""","""", index(GOOGLEFINANCE($B$4,""close"",JW$2,TODAY()),2,2))"),"")</f>
        <v/>
      </c>
      <c r="JX4" s="1" t="str">
        <f ca="1">IFERROR(__xludf.DUMMYFUNCTION("if(JX$2="""","""", index(GOOGLEFINANCE($B$4,""close"",JX$2,TODAY()),2,2))"),"")</f>
        <v/>
      </c>
      <c r="JY4" s="1" t="str">
        <f ca="1">IFERROR(__xludf.DUMMYFUNCTION("if(JY$2="""","""", index(GOOGLEFINANCE($B$4,""close"",JY$2,TODAY()),2,2))"),"")</f>
        <v/>
      </c>
      <c r="JZ4" s="1" t="str">
        <f ca="1">IFERROR(__xludf.DUMMYFUNCTION("if(JZ$2="""","""", index(GOOGLEFINANCE($B$4,""close"",JZ$2,TODAY()),2,2))"),"")</f>
        <v/>
      </c>
      <c r="KA4" s="1" t="str">
        <f ca="1">IFERROR(__xludf.DUMMYFUNCTION("if(KA$2="""","""", index(GOOGLEFINANCE($B$4,""close"",KA$2,TODAY()),2,2))"),"")</f>
        <v/>
      </c>
      <c r="KB4" s="1" t="str">
        <f ca="1">IFERROR(__xludf.DUMMYFUNCTION("if(KB$2="""","""", index(GOOGLEFINANCE($B$4,""close"",KB$2,TODAY()),2,2))"),"")</f>
        <v/>
      </c>
      <c r="KC4" s="1" t="str">
        <f ca="1">IFERROR(__xludf.DUMMYFUNCTION("if(KC$2="""","""", index(GOOGLEFINANCE($B$4,""close"",KC$2,TODAY()),2,2))"),"")</f>
        <v/>
      </c>
      <c r="KD4" s="1" t="str">
        <f ca="1">IFERROR(__xludf.DUMMYFUNCTION("if(KD$2="""","""", index(GOOGLEFINANCE($B$4,""close"",KD$2,TODAY()),2,2))"),"")</f>
        <v/>
      </c>
      <c r="KE4" s="1" t="str">
        <f ca="1">IFERROR(__xludf.DUMMYFUNCTION("if(KE$2="""","""", index(GOOGLEFINANCE($B$4,""close"",KE$2,TODAY()),2,2))"),"")</f>
        <v/>
      </c>
      <c r="KF4" s="1" t="str">
        <f ca="1">IFERROR(__xludf.DUMMYFUNCTION("if(KF$2="""","""", index(GOOGLEFINANCE($B$4,""close"",KF$2,TODAY()),2,2))"),"")</f>
        <v/>
      </c>
      <c r="KG4" s="1" t="str">
        <f ca="1">IFERROR(__xludf.DUMMYFUNCTION("if(KG$2="""","""", index(GOOGLEFINANCE($B$4,""close"",KG$2,TODAY()),2,2))"),"")</f>
        <v/>
      </c>
    </row>
    <row r="5" spans="1:319" ht="15.75" customHeight="1">
      <c r="A5" s="18" t="s">
        <v>30</v>
      </c>
      <c r="B5" s="6" t="s">
        <v>49</v>
      </c>
      <c r="C5" s="1">
        <f ca="1">IFERROR(__xludf.DUMMYFUNCTION("if(C$2="""","""", index(GOOGLEFINANCE($B$5,""close"",C$2,TODAY()),2,2))"),648.05)</f>
        <v>648.04999999999995</v>
      </c>
      <c r="D5" s="1">
        <f ca="1">IFERROR(__xludf.DUMMYFUNCTION("if(D$2="""","""", index(GOOGLEFINANCE($B$5,""close"",D$2,TODAY()),2,2))"),623.5)</f>
        <v>623.5</v>
      </c>
      <c r="E5" s="1">
        <f ca="1">IFERROR(__xludf.DUMMYFUNCTION("if(E$2="""","""", index(GOOGLEFINANCE($B$5,""close"",E$2,TODAY()),2,2))"),578.84)</f>
        <v>578.84</v>
      </c>
      <c r="F5" s="1">
        <f ca="1">IFERROR(__xludf.DUMMYFUNCTION("if(F$2="""","""", index(GOOGLEFINANCE($B$5,""close"",F$2,TODAY()),2,2))"),567.62)</f>
        <v>567.62</v>
      </c>
      <c r="G5" s="1">
        <f ca="1">IFERROR(__xludf.DUMMYFUNCTION("if(G$2="""","""", index(GOOGLEFINANCE($B$5,""close"",G$2,TODAY()),2,2))"),546.99)</f>
        <v>546.99</v>
      </c>
      <c r="H5" s="1">
        <f ca="1">IFERROR(__xludf.DUMMYFUNCTION("if(H$2="""","""", index(GOOGLEFINANCE($B$5,""close"",H$2,TODAY()),2,2))"),548.91)</f>
        <v>548.91</v>
      </c>
      <c r="I5" s="1">
        <f ca="1">IFERROR(__xludf.DUMMYFUNCTION("if(I$2="""","""", index(GOOGLEFINANCE($B$5,""close"",I$2,TODAY()),2,2))"),559.64)</f>
        <v>559.64</v>
      </c>
      <c r="J5" s="1">
        <f ca="1">IFERROR(__xludf.DUMMYFUNCTION("if(J$2="""","""", index(GOOGLEFINANCE($B$5,""close"",J$2,TODAY()),2,2))"),539.47)</f>
        <v>539.47</v>
      </c>
      <c r="K5" s="1">
        <f ca="1">IFERROR(__xludf.DUMMYFUNCTION("if(K$2="""","""", index(GOOGLEFINANCE($B$5,""close"",K$2,TODAY()),2,2))"),524.78)</f>
        <v>524.78</v>
      </c>
      <c r="L5" s="1">
        <f ca="1">IFERROR(__xludf.DUMMYFUNCTION("if(L$2="""","""", index(GOOGLEFINANCE($B$5,""close"",L$2,TODAY()),2,2))"),524.63)</f>
        <v>524.63</v>
      </c>
      <c r="M5" s="1">
        <f ca="1">IFERROR(__xludf.DUMMYFUNCTION("if(M$2="""","""", index(GOOGLEFINANCE($B$5,""close"",M$2,TODAY()),2,2))"),489.56)</f>
        <v>489.56</v>
      </c>
      <c r="N5" s="1">
        <f ca="1">IFERROR(__xludf.DUMMYFUNCTION("if(N$2="""","""", index(GOOGLEFINANCE($B$5,""close"",N$2,TODAY()),2,2))"),497.59)</f>
        <v>497.59</v>
      </c>
      <c r="O5" s="1">
        <f ca="1">IFERROR(__xludf.DUMMYFUNCTION("if(O$2="""","""", index(GOOGLEFINANCE($B$5,""close"",O$2,TODAY()),2,2))"),490.71)</f>
        <v>490.71</v>
      </c>
      <c r="P5" s="1">
        <f ca="1">IFERROR(__xludf.DUMMYFUNCTION("if(P$2="""","""", index(GOOGLEFINANCE($B$5,""close"",P$2,TODAY()),2,2))"),462.78)</f>
        <v>462.78</v>
      </c>
      <c r="Q5" s="1">
        <f ca="1">IFERROR(__xludf.DUMMYFUNCTION("if(Q$2="""","""", index(GOOGLEFINANCE($B$5,""close"",Q$2,TODAY()),2,2))"),474.43)</f>
        <v>474.43</v>
      </c>
      <c r="R5" s="1">
        <f ca="1">IFERROR(__xludf.DUMMYFUNCTION("if(R$2="""","""", index(GOOGLEFINANCE($B$5,""close"",R$2,TODAY()),2,2))"),467.99)</f>
        <v>467.99</v>
      </c>
      <c r="S5" s="1">
        <f ca="1">IFERROR(__xludf.DUMMYFUNCTION("if(S$2="""","""", index(GOOGLEFINANCE($B$5,""close"",S$2,TODAY()),2,2))"),457.36)</f>
        <v>457.36</v>
      </c>
      <c r="T5" s="1">
        <f ca="1">IFERROR(__xludf.DUMMYFUNCTION("if(T$2="""","""", index(GOOGLEFINANCE($B$5,""close"",T$2,TODAY()),2,2))"),455.62)</f>
        <v>455.62</v>
      </c>
      <c r="U5" s="1">
        <f ca="1">IFERROR(__xludf.DUMMYFUNCTION("if(U$2="""","""", index(GOOGLEFINANCE($B$5,""close"",U$2,TODAY()),2,2))"),463.96)</f>
        <v>463.96</v>
      </c>
      <c r="V5" s="1">
        <f ca="1">IFERROR(__xludf.DUMMYFUNCTION("if(V$2="""","""", index(GOOGLEFINANCE($B$5,""close"",V$2,TODAY()),2,2))"),494.96)</f>
        <v>494.96</v>
      </c>
      <c r="W5" s="1">
        <f ca="1">IFERROR(__xludf.DUMMYFUNCTION("if(W$2="""","""", index(GOOGLEFINANCE($B$5,""close"",W$2,TODAY()),2,2))"),508.56)</f>
        <v>508.56</v>
      </c>
      <c r="X5" s="1">
        <f ca="1">IFERROR(__xludf.DUMMYFUNCTION("if(X$2="""","""", index(GOOGLEFINANCE($B$5,""close"",X$2,TODAY()),2,2))"),505.62)</f>
        <v>505.62</v>
      </c>
      <c r="Y5" s="1">
        <f ca="1">IFERROR(__xludf.DUMMYFUNCTION("if(Y$2="""","""", index(GOOGLEFINANCE($B$5,""close"",Y$2,TODAY()),2,2))"),503.31)</f>
        <v>503.31</v>
      </c>
      <c r="Z5" s="1">
        <f ca="1">IFERROR(__xludf.DUMMYFUNCTION("if(Z$2="""","""", index(GOOGLEFINANCE($B$5,""close"",Z$2,TODAY()),2,2))"),489.86)</f>
        <v>489.86</v>
      </c>
      <c r="AA5" s="1">
        <f ca="1">IFERROR(__xludf.DUMMYFUNCTION("if(AA$2="""","""", index(GOOGLEFINANCE($B$5,""close"",AA$2,TODAY()),2,2))"),500.22)</f>
        <v>500.22</v>
      </c>
      <c r="AB5" s="1">
        <f ca="1">IFERROR(__xludf.DUMMYFUNCTION("if(AB$2="""","""", index(GOOGLEFINANCE($B$5,""close"",AB$2,TODAY()),2,2))"),515.49)</f>
        <v>515.49</v>
      </c>
      <c r="AC5" s="1">
        <f ca="1">IFERROR(__xludf.DUMMYFUNCTION("if(AC$2="""","""", index(GOOGLEFINANCE($B$5,""close"",AC$2,TODAY()),2,2))"),545.94)</f>
        <v>545.94000000000005</v>
      </c>
      <c r="AD5" s="1">
        <f ca="1">IFERROR(__xludf.DUMMYFUNCTION("if(AD$2="""","""", index(GOOGLEFINANCE($B$5,""close"",AD$2,TODAY()),2,2))"),532.36)</f>
        <v>532.36</v>
      </c>
      <c r="AE5" s="1">
        <f ca="1">IFERROR(__xludf.DUMMYFUNCTION("if(AE$2="""","""", index(GOOGLEFINANCE($B$5,""close"",AE$2,TODAY()),2,2))"),509.1)</f>
        <v>509.1</v>
      </c>
      <c r="AF5" s="1">
        <f ca="1">IFERROR(__xludf.DUMMYFUNCTION("if(AF$2="""","""", index(GOOGLEFINANCE($B$5,""close"",AF$2,TODAY()),2,2))"),505.67)</f>
        <v>505.67</v>
      </c>
      <c r="AG5" s="1">
        <f ca="1">IFERROR(__xludf.DUMMYFUNCTION("if(AG$2="""","""", index(GOOGLEFINANCE($B$5,""close"",AG$2,TODAY()),2,2))"),528.24)</f>
        <v>528.24</v>
      </c>
      <c r="AH5" s="1">
        <f ca="1">IFERROR(__xludf.DUMMYFUNCTION("if(AH$2="""","""", index(GOOGLEFINANCE($B$5,""close"",AH$2,TODAY()),2,2))"),526.38)</f>
        <v>526.38</v>
      </c>
      <c r="AI5" s="1">
        <f ca="1">IFERROR(__xludf.DUMMYFUNCTION("if(AI$2="""","""", index(GOOGLEFINANCE($B$5,""close"",AI$2,TODAY()),2,2))"),501.76)</f>
        <v>501.76</v>
      </c>
      <c r="AJ5" s="1">
        <f ca="1">IFERROR(__xludf.DUMMYFUNCTION("if(AJ$2="""","""", index(GOOGLEFINANCE($B$5,""close"",AJ$2,TODAY()),2,2))"),498.65)</f>
        <v>498.65</v>
      </c>
      <c r="AK5" s="1">
        <f ca="1">IFERROR(__xludf.DUMMYFUNCTION("if(AK$2="""","""", index(GOOGLEFINANCE($B$5,""close"",AK$2,TODAY()),2,2))"),494.11)</f>
        <v>494.11</v>
      </c>
      <c r="AL5" s="1">
        <f ca="1">IFERROR(__xludf.DUMMYFUNCTION("if(AL$2="""","""", index(GOOGLEFINANCE($B$5,""close"",AL$2,TODAY()),2,2))"),482.66)</f>
        <v>482.66</v>
      </c>
      <c r="AM5" s="1">
        <f ca="1">IFERROR(__xludf.DUMMYFUNCTION("if(AM$2="""","""", index(GOOGLEFINANCE($B$5,""close"",AM$2,TODAY()),2,2))"),509.15)</f>
        <v>509.15</v>
      </c>
      <c r="AN5" s="1">
        <f ca="1">IFERROR(__xludf.DUMMYFUNCTION("if(AN$2="""","""", index(GOOGLEFINANCE($B$5,""close"",AN$2,TODAY()),2,2))"),512.56)</f>
        <v>512.55999999999995</v>
      </c>
      <c r="AO5" s="1">
        <f ca="1">IFERROR(__xludf.DUMMYFUNCTION("if(AO$2="""","""", index(GOOGLEFINANCE($B$5,""close"",AO$2,TODAY()),2,2))"),511.46)</f>
        <v>511.46</v>
      </c>
      <c r="AP5" s="1">
        <f ca="1">IFERROR(__xludf.DUMMYFUNCTION("if(AP$2="""","""", index(GOOGLEFINANCE($B$5,""close"",AP$2,TODAY()),2,2))"),500.97)</f>
        <v>500.97</v>
      </c>
      <c r="AQ5" s="1">
        <f ca="1">IFERROR(__xludf.DUMMYFUNCTION("if(AQ$2="""","""", index(GOOGLEFINANCE($B$5,""close"",AQ$2,TODAY()),2,2))"),496.14)</f>
        <v>496.14</v>
      </c>
      <c r="AR5" s="1">
        <f ca="1">IFERROR(__xludf.DUMMYFUNCTION("if(AR$2="""","""", index(GOOGLEFINANCE($B$5,""close"",AR$2,TODAY()),2,2))"),477.45)</f>
        <v>477.45</v>
      </c>
      <c r="AS5" s="1">
        <f ca="1">IFERROR(__xludf.DUMMYFUNCTION("if(AS$2="""","""", index(GOOGLEFINANCE($B$5,""close"",AS$2,TODAY()),2,2))"),464.48)</f>
        <v>464.48</v>
      </c>
      <c r="AT5" s="1">
        <f ca="1">IFERROR(__xludf.DUMMYFUNCTION("if(AT$2="""","""", index(GOOGLEFINANCE($B$5,""close"",AT$2,TODAY()),2,2))"),435.57)</f>
        <v>435.57</v>
      </c>
      <c r="AU5" s="1">
        <f ca="1">IFERROR(__xludf.DUMMYFUNCTION("if(AU$2="""","""", index(GOOGLEFINANCE($B$5,""close"",AU$2,TODAY()),2,2))"),415.01)</f>
        <v>415.01</v>
      </c>
      <c r="AV5" s="1">
        <f ca="1">IFERROR(__xludf.DUMMYFUNCTION("if(AV$2="""","""", index(GOOGLEFINANCE($B$5,""close"",AV$2,TODAY()),2,2))"),442.05)</f>
        <v>442.05</v>
      </c>
      <c r="AW5" s="1">
        <f ca="1">IFERROR(__xludf.DUMMYFUNCTION("if(AW$2="""","""", index(GOOGLEFINANCE($B$5,""close"",AW$2,TODAY()),2,2))"),430.09)</f>
        <v>430.09</v>
      </c>
      <c r="AX5" s="1">
        <f ca="1">IFERROR(__xludf.DUMMYFUNCTION("if(AX$2="""","""", index(GOOGLEFINANCE($B$5,""close"",AX$2,TODAY()),2,2))"),400.67)</f>
        <v>400.67</v>
      </c>
      <c r="AY5" s="1">
        <f ca="1">IFERROR(__xludf.DUMMYFUNCTION("if(AY$2="""","""", index(GOOGLEFINANCE($B$5,""close"",AY$2,TODAY()),2,2))"),378.09)</f>
        <v>378.09</v>
      </c>
      <c r="AZ5" s="1">
        <f ca="1">IFERROR(__xludf.DUMMYFUNCTION("if(AZ$2="""","""", index(GOOGLEFINANCE($B$5,""close"",AZ$2,TODAY()),2,2))"),390.73)</f>
        <v>390.73</v>
      </c>
      <c r="BA5" s="1">
        <f ca="1">IFERROR(__xludf.DUMMYFUNCTION("if(BA$2="""","""", index(GOOGLEFINANCE($B$5,""close"",BA$2,TODAY()),2,2))"),420.65)</f>
        <v>420.65</v>
      </c>
      <c r="BB5" s="1">
        <f ca="1">IFERROR(__xludf.DUMMYFUNCTION("if(BB$2="""","""", index(GOOGLEFINANCE($B$5,""close"",BB$2,TODAY()),2,2))"),425.48)</f>
        <v>425.48</v>
      </c>
      <c r="BC5" s="1">
        <f ca="1">IFERROR(__xludf.DUMMYFUNCTION("if(BC$2="""","""", index(GOOGLEFINANCE($B$5,""close"",BC$2,TODAY()),2,2))"),442.87)</f>
        <v>442.87</v>
      </c>
      <c r="BD5" s="1">
        <f ca="1">IFERROR(__xludf.DUMMYFUNCTION("if(BD$2="""","""", index(GOOGLEFINANCE($B$5,""close"",BD$2,TODAY()),2,2))"),432.47)</f>
        <v>432.47</v>
      </c>
      <c r="BE5" s="1">
        <f ca="1">IFERROR(__xludf.DUMMYFUNCTION("if(BE$2="""","""", index(GOOGLEFINANCE($B$5,""close"",BE$2,TODAY()),2,2))"),457.03)</f>
        <v>457.03</v>
      </c>
      <c r="BF5" s="1">
        <f ca="1">IFERROR(__xludf.DUMMYFUNCTION("if(BF$2="""","""", index(GOOGLEFINANCE($B$5,""close"",BF$2,TODAY()),2,2))"),437.06)</f>
        <v>437.06</v>
      </c>
      <c r="BG5" s="1">
        <f ca="1">IFERROR(__xludf.DUMMYFUNCTION("if(BG$2="""","""", index(GOOGLEFINANCE($B$5,""close"",BG$2,TODAY()),2,2))"),436.26)</f>
        <v>436.26</v>
      </c>
      <c r="BH5" s="1">
        <f ca="1">IFERROR(__xludf.DUMMYFUNCTION("if(BH$2="""","""", index(GOOGLEFINANCE($B$5,""close"",BH$2,TODAY()),2,2))"),430.44)</f>
        <v>430.44</v>
      </c>
      <c r="BI5" s="1">
        <f ca="1">IFERROR(__xludf.DUMMYFUNCTION("if(BI$2="""","""", index(GOOGLEFINANCE($B$5,""close"",BI$2,TODAY()),2,2))"),434)</f>
        <v>434</v>
      </c>
      <c r="BJ5" s="1">
        <f ca="1">IFERROR(__xludf.DUMMYFUNCTION("if(BJ$2="""","""", index(GOOGLEFINANCE($B$5,""close"",BJ$2,TODAY()),2,2))"),452.94)</f>
        <v>452.94</v>
      </c>
      <c r="BK5" s="1">
        <f ca="1">IFERROR(__xludf.DUMMYFUNCTION("if(BK$2="""","""", index(GOOGLEFINANCE($B$5,""close"",BK$2,TODAY()),2,2))"),442.17)</f>
        <v>442.17</v>
      </c>
      <c r="BL5" s="1">
        <f ca="1">IFERROR(__xludf.DUMMYFUNCTION("if(BL$2="""","""", index(GOOGLEFINANCE($B$5,""close"",BL$2,TODAY()),2,2))"),436)</f>
        <v>436</v>
      </c>
      <c r="BM5" s="1">
        <f ca="1">IFERROR(__xludf.DUMMYFUNCTION("if(BM$2="""","""", index(GOOGLEFINANCE($B$5,""close"",BM$2,TODAY()),2,2))"),446.41)</f>
        <v>446.41</v>
      </c>
      <c r="BN5" s="1">
        <f ca="1">IFERROR(__xludf.DUMMYFUNCTION("if(BN$2="""","""", index(GOOGLEFINANCE($B$5,""close"",BN$2,TODAY()),2,2))"),445.39)</f>
        <v>445.39</v>
      </c>
      <c r="BO5" s="1">
        <f ca="1">IFERROR(__xludf.DUMMYFUNCTION("if(BO$2="""","""", index(GOOGLEFINANCE($B$5,""close"",BO$2,TODAY()),2,2))"),436.8)</f>
        <v>436.8</v>
      </c>
      <c r="BP5" s="1">
        <f ca="1">IFERROR(__xludf.DUMMYFUNCTION("if(BP$2="""","""", index(GOOGLEFINANCE($B$5,""close"",BP$2,TODAY()),2,2))"),421.74)</f>
        <v>421.74</v>
      </c>
      <c r="BQ5" s="1">
        <f ca="1">IFERROR(__xludf.DUMMYFUNCTION("if(BQ$2="""","""", index(GOOGLEFINANCE($B$5,""close"",BQ$2,TODAY()),2,2))"),422.18)</f>
        <v>422.18</v>
      </c>
      <c r="BR5" s="1">
        <f ca="1">IFERROR(__xludf.DUMMYFUNCTION("if(BR$2="""","""", index(GOOGLEFINANCE($B$5,""close"",BR$2,TODAY()),2,2))"),420.56)</f>
        <v>420.56</v>
      </c>
      <c r="BS5" s="1">
        <f ca="1">IFERROR(__xludf.DUMMYFUNCTION("if(BS$2="""","""", index(GOOGLEFINANCE($B$5,""close"",BS$2,TODAY()),2,2))"),409.69)</f>
        <v>409.69</v>
      </c>
      <c r="BT5" s="1">
        <f ca="1">IFERROR(__xludf.DUMMYFUNCTION("if(BT$2="""","""", index(GOOGLEFINANCE($B$5,""close"",BT$2,TODAY()),2,2))"),406.23)</f>
        <v>406.23</v>
      </c>
      <c r="BU5" s="1">
        <f ca="1">IFERROR(__xludf.DUMMYFUNCTION("if(BU$2="""","""", index(GOOGLEFINANCE($B$5,""close"",BU$2,TODAY()),2,2))"),416.91)</f>
        <v>416.91</v>
      </c>
      <c r="BV5" s="1">
        <f ca="1">IFERROR(__xludf.DUMMYFUNCTION("if(BV$2="""","""", index(GOOGLEFINANCE($B$5,""close"",BV$2,TODAY()),2,2))"),409.82)</f>
        <v>409.82</v>
      </c>
      <c r="BW5" s="1">
        <f ca="1">IFERROR(__xludf.DUMMYFUNCTION("if(BW$2="""","""", index(GOOGLEFINANCE($B$5,""close"",BW$2,TODAY()),2,2))"),405.88)</f>
        <v>405.88</v>
      </c>
      <c r="BX5" s="1">
        <f ca="1">IFERROR(__xludf.DUMMYFUNCTION("if(BX$2="""","""", index(GOOGLEFINANCE($B$5,""close"",BX$2,TODAY()),2,2))"),424.54)</f>
        <v>424.54</v>
      </c>
      <c r="BY5" s="1">
        <f ca="1">IFERROR(__xludf.DUMMYFUNCTION("if(BY$2="""","""", index(GOOGLEFINANCE($B$5,""close"",BY$2,TODAY()),2,2))"),419.18)</f>
        <v>419.18</v>
      </c>
      <c r="BZ5" s="1">
        <f ca="1">IFERROR(__xludf.DUMMYFUNCTION("if(BZ$2="""","""", index(GOOGLEFINANCE($B$5,""close"",BZ$2,TODAY()),2,2))"),383.63)</f>
        <v>383.63</v>
      </c>
      <c r="CA5" s="1">
        <f ca="1">IFERROR(__xludf.DUMMYFUNCTION("if(CA$2="""","""", index(GOOGLEFINANCE($B$5,""close"",CA$2,TODAY()),2,2))"),360.57)</f>
        <v>360.57</v>
      </c>
      <c r="CB5" s="1">
        <f ca="1">IFERROR(__xludf.DUMMYFUNCTION("if(CB$2="""","""", index(GOOGLEFINANCE($B$5,""close"",CB$2,TODAY()),2,2))"),368.86)</f>
        <v>368.86</v>
      </c>
      <c r="CC5" s="1">
        <f ca="1">IFERROR(__xludf.DUMMYFUNCTION("if(CC$2="""","""", index(GOOGLEFINANCE($B$5,""close"",CC$2,TODAY()),2,2))"),361.3)</f>
        <v>361.3</v>
      </c>
      <c r="CD5" s="1">
        <f ca="1">IFERROR(__xludf.DUMMYFUNCTION("if(CD$2="""","""", index(GOOGLEFINANCE($B$5,""close"",CD$2,TODAY()),2,2))"),360.43)</f>
        <v>360.43</v>
      </c>
      <c r="CE5" s="1">
        <f ca="1">IFERROR(__xludf.DUMMYFUNCTION("if(CE$2="""","""", index(GOOGLEFINANCE($B$5,""close"",CE$2,TODAY()),2,2))"),304.66)</f>
        <v>304.66000000000003</v>
      </c>
      <c r="CF5" s="1">
        <f ca="1">IFERROR(__xludf.DUMMYFUNCTION("if(CF$2="""","""", index(GOOGLEFINANCE($B$5,""close"",CF$2,TODAY()),2,2))"),289.91)</f>
        <v>289.91000000000003</v>
      </c>
      <c r="CG5" s="1">
        <f ca="1">IFERROR(__xludf.DUMMYFUNCTION("if(CG$2="""","""", index(GOOGLEFINANCE($B$5,""close"",CG$2,TODAY()),2,2))"),308.88)</f>
        <v>308.88</v>
      </c>
      <c r="CH5" s="1">
        <f ca="1">IFERROR(__xludf.DUMMYFUNCTION("if(CH$2="""","""", index(GOOGLEFINANCE($B$5,""close"",CH$2,TODAY()),2,2))"),301.02)</f>
        <v>301.02</v>
      </c>
      <c r="CI5" s="1">
        <f ca="1">IFERROR(__xludf.DUMMYFUNCTION("if(CI$2="""","""", index(GOOGLEFINANCE($B$5,""close"",CI$2,TODAY()),2,2))"),310.89)</f>
        <v>310.89</v>
      </c>
      <c r="CJ5" s="1" t="str">
        <f ca="1">IFERROR(__xludf.DUMMYFUNCTION("if(CJ$2="""","""", index(GOOGLEFINANCE($B$5,""close"",CJ$2,TODAY()),2,2))"),"")</f>
        <v/>
      </c>
      <c r="CK5" s="1" t="str">
        <f ca="1">IFERROR(__xludf.DUMMYFUNCTION("if(CK$2="""","""", index(GOOGLEFINANCE($B$5,""close"",CK$2,TODAY()),2,2))"),"")</f>
        <v/>
      </c>
      <c r="CL5" s="1" t="str">
        <f ca="1">IFERROR(__xludf.DUMMYFUNCTION("if(CL$2="""","""", index(GOOGLEFINANCE($B$5,""close"",CL$2,TODAY()),2,2))"),"")</f>
        <v/>
      </c>
      <c r="CM5" s="1" t="str">
        <f ca="1">IFERROR(__xludf.DUMMYFUNCTION("if(CM$2="""","""", index(GOOGLEFINANCE($B$5,""close"",CM$2,TODAY()),2,2))"),"")</f>
        <v/>
      </c>
      <c r="CN5" s="1" t="str">
        <f ca="1">IFERROR(__xludf.DUMMYFUNCTION("if(CN$2="""","""", index(GOOGLEFINANCE($B$5,""close"",CN$2,TODAY()),2,2))"),"")</f>
        <v/>
      </c>
      <c r="CO5" s="1" t="str">
        <f ca="1">IFERROR(__xludf.DUMMYFUNCTION("if(CO$2="""","""", index(GOOGLEFINANCE($B$5,""close"",CO$2,TODAY()),2,2))"),"")</f>
        <v/>
      </c>
      <c r="CP5" s="1" t="str">
        <f ca="1">IFERROR(__xludf.DUMMYFUNCTION("if(CP$2="""","""", index(GOOGLEFINANCE($B$5,""close"",CP$2,TODAY()),2,2))"),"")</f>
        <v/>
      </c>
      <c r="CQ5" s="1" t="str">
        <f ca="1">IFERROR(__xludf.DUMMYFUNCTION("if(CQ$2="""","""", index(GOOGLEFINANCE($B$5,""close"",CQ$2,TODAY()),2,2))"),"")</f>
        <v/>
      </c>
      <c r="CR5" s="1" t="str">
        <f ca="1">IFERROR(__xludf.DUMMYFUNCTION("if(CR$2="""","""", index(GOOGLEFINANCE($B$5,""close"",CR$2,TODAY()),2,2))"),"")</f>
        <v/>
      </c>
      <c r="CS5" s="1" t="str">
        <f ca="1">IFERROR(__xludf.DUMMYFUNCTION("if(CS$2="""","""", index(GOOGLEFINANCE($B$5,""close"",CS$2,TODAY()),2,2))"),"")</f>
        <v/>
      </c>
      <c r="CT5" s="1" t="str">
        <f ca="1">IFERROR(__xludf.DUMMYFUNCTION("if(CT$2="""","""", index(GOOGLEFINANCE($B$5,""close"",CT$2,TODAY()),2,2))"),"")</f>
        <v/>
      </c>
      <c r="CU5" s="1" t="str">
        <f ca="1">IFERROR(__xludf.DUMMYFUNCTION("if(CU$2="""","""", index(GOOGLEFINANCE($B$5,""close"",CU$2,TODAY()),2,2))"),"")</f>
        <v/>
      </c>
      <c r="CV5" s="1" t="str">
        <f ca="1">IFERROR(__xludf.DUMMYFUNCTION("if(CV$2="""","""", index(GOOGLEFINANCE($B$5,""close"",CV$2,TODAY()),2,2))"),"")</f>
        <v/>
      </c>
      <c r="CW5" s="1" t="str">
        <f ca="1">IFERROR(__xludf.DUMMYFUNCTION("if(CW$2="""","""", index(GOOGLEFINANCE($B$5,""close"",CW$2,TODAY()),2,2))"),"")</f>
        <v/>
      </c>
      <c r="CX5" s="1" t="str">
        <f ca="1">IFERROR(__xludf.DUMMYFUNCTION("if(CX$2="""","""", index(GOOGLEFINANCE($B$5,""close"",CX$2,TODAY()),2,2))"),"")</f>
        <v/>
      </c>
      <c r="CY5" s="1" t="str">
        <f ca="1">IFERROR(__xludf.DUMMYFUNCTION("if(CY$2="""","""", index(GOOGLEFINANCE($B$5,""close"",CY$2,TODAY()),2,2))"),"")</f>
        <v/>
      </c>
      <c r="CZ5" s="1" t="str">
        <f ca="1">IFERROR(__xludf.DUMMYFUNCTION("if(CZ$2="""","""", index(GOOGLEFINANCE($B$5,""close"",CZ$2,TODAY()),2,2))"),"")</f>
        <v/>
      </c>
      <c r="DA5" s="1" t="str">
        <f ca="1">IFERROR(__xludf.DUMMYFUNCTION("if(DA$2="""","""", index(GOOGLEFINANCE($B$5,""close"",DA$2,TODAY()),2,2))"),"")</f>
        <v/>
      </c>
      <c r="DB5" s="1" t="str">
        <f ca="1">IFERROR(__xludf.DUMMYFUNCTION("if(DB$2="""","""", index(GOOGLEFINANCE($B$5,""close"",DB$2,TODAY()),2,2))"),"")</f>
        <v/>
      </c>
      <c r="DC5" s="1" t="str">
        <f ca="1">IFERROR(__xludf.DUMMYFUNCTION("if(DC$2="""","""", index(GOOGLEFINANCE($B$5,""close"",DC$2,TODAY()),2,2))"),"")</f>
        <v/>
      </c>
      <c r="DD5" s="1" t="str">
        <f ca="1">IFERROR(__xludf.DUMMYFUNCTION("if(DD$2="""","""", index(GOOGLEFINANCE($B$5,""close"",DD$2,TODAY()),2,2))"),"")</f>
        <v/>
      </c>
      <c r="DE5" s="1" t="str">
        <f ca="1">IFERROR(__xludf.DUMMYFUNCTION("if(DE$2="""","""", index(GOOGLEFINANCE($B$5,""close"",DE$2,TODAY()),2,2))"),"")</f>
        <v/>
      </c>
      <c r="DF5" s="1" t="str">
        <f ca="1">IFERROR(__xludf.DUMMYFUNCTION("if(DF$2="""","""", index(GOOGLEFINANCE($B$5,""close"",DF$2,TODAY()),2,2))"),"")</f>
        <v/>
      </c>
      <c r="DG5" s="1" t="str">
        <f ca="1">IFERROR(__xludf.DUMMYFUNCTION("if(DG$2="""","""", index(GOOGLEFINANCE($B$5,""close"",DG$2,TODAY()),2,2))"),"")</f>
        <v/>
      </c>
      <c r="DH5" s="1" t="str">
        <f ca="1">IFERROR(__xludf.DUMMYFUNCTION("if(DH$2="""","""", index(GOOGLEFINANCE($B$5,""close"",DH$2,TODAY()),2,2))"),"")</f>
        <v/>
      </c>
      <c r="DI5" s="1" t="str">
        <f ca="1">IFERROR(__xludf.DUMMYFUNCTION("if(DI$2="""","""", index(GOOGLEFINANCE($B$5,""close"",DI$2,TODAY()),2,2))"),"")</f>
        <v/>
      </c>
      <c r="DJ5" s="1" t="str">
        <f ca="1">IFERROR(__xludf.DUMMYFUNCTION("if(DJ$2="""","""", index(GOOGLEFINANCE($B$5,""close"",DJ$2,TODAY()),2,2))"),"")</f>
        <v/>
      </c>
      <c r="DK5" s="1" t="str">
        <f ca="1">IFERROR(__xludf.DUMMYFUNCTION("if(DK$2="""","""", index(GOOGLEFINANCE($B$5,""close"",DK$2,TODAY()),2,2))"),"")</f>
        <v/>
      </c>
      <c r="DL5" s="1" t="str">
        <f ca="1">IFERROR(__xludf.DUMMYFUNCTION("if(DL$2="""","""", index(GOOGLEFINANCE($B$5,""close"",DL$2,TODAY()),2,2))"),"")</f>
        <v/>
      </c>
      <c r="DM5" s="1" t="str">
        <f ca="1">IFERROR(__xludf.DUMMYFUNCTION("if(DM$2="""","""", index(GOOGLEFINANCE($B$5,""close"",DM$2,TODAY()),2,2))"),"")</f>
        <v/>
      </c>
      <c r="DN5" s="1" t="str">
        <f ca="1">IFERROR(__xludf.DUMMYFUNCTION("if(DN$2="""","""", index(GOOGLEFINANCE($B$5,""close"",DN$2,TODAY()),2,2))"),"")</f>
        <v/>
      </c>
      <c r="DO5" s="1" t="str">
        <f ca="1">IFERROR(__xludf.DUMMYFUNCTION("if(DO$2="""","""", index(GOOGLEFINANCE($B$5,""close"",DO$2,TODAY()),2,2))"),"")</f>
        <v/>
      </c>
      <c r="DP5" s="1" t="str">
        <f ca="1">IFERROR(__xludf.DUMMYFUNCTION("if(DP$2="""","""", index(GOOGLEFINANCE($B$5,""close"",DP$2,TODAY()),2,2))"),"")</f>
        <v/>
      </c>
      <c r="DQ5" s="1" t="str">
        <f ca="1">IFERROR(__xludf.DUMMYFUNCTION("if(DQ$2="""","""", index(GOOGLEFINANCE($B$5,""close"",DQ$2,TODAY()),2,2))"),"")</f>
        <v/>
      </c>
      <c r="DR5" s="1" t="str">
        <f ca="1">IFERROR(__xludf.DUMMYFUNCTION("if(DR$2="""","""", index(GOOGLEFINANCE($B$5,""close"",DR$2,TODAY()),2,2))"),"")</f>
        <v/>
      </c>
      <c r="DS5" s="1" t="str">
        <f ca="1">IFERROR(__xludf.DUMMYFUNCTION("if(DS$2="""","""", index(GOOGLEFINANCE($B$5,""close"",DS$2,TODAY()),2,2))"),"")</f>
        <v/>
      </c>
      <c r="DT5" s="1" t="str">
        <f ca="1">IFERROR(__xludf.DUMMYFUNCTION("if(DT$2="""","""", index(GOOGLEFINANCE($B$5,""close"",DT$2,TODAY()),2,2))"),"")</f>
        <v/>
      </c>
      <c r="DU5" s="1" t="str">
        <f ca="1">IFERROR(__xludf.DUMMYFUNCTION("if(DU$2="""","""", index(GOOGLEFINANCE($B$5,""close"",DU$2,TODAY()),2,2))"),"")</f>
        <v/>
      </c>
      <c r="DV5" s="1" t="str">
        <f ca="1">IFERROR(__xludf.DUMMYFUNCTION("if(DV$2="""","""", index(GOOGLEFINANCE($B$5,""close"",DV$2,TODAY()),2,2))"),"")</f>
        <v/>
      </c>
      <c r="DW5" s="1" t="str">
        <f ca="1">IFERROR(__xludf.DUMMYFUNCTION("if(DW$2="""","""", index(GOOGLEFINANCE($B$5,""close"",DW$2,TODAY()),2,2))"),"")</f>
        <v/>
      </c>
      <c r="DX5" s="1" t="str">
        <f ca="1">IFERROR(__xludf.DUMMYFUNCTION("if(DX$2="""","""", index(GOOGLEFINANCE($B$5,""close"",DX$2,TODAY()),2,2))"),"")</f>
        <v/>
      </c>
      <c r="DY5" s="1" t="str">
        <f ca="1">IFERROR(__xludf.DUMMYFUNCTION("if(DY$2="""","""", index(GOOGLEFINANCE($B$5,""close"",DY$2,TODAY()),2,2))"),"")</f>
        <v/>
      </c>
      <c r="DZ5" s="1" t="str">
        <f ca="1">IFERROR(__xludf.DUMMYFUNCTION("if(DZ$2="""","""", index(GOOGLEFINANCE($B$5,""close"",DZ$2,TODAY()),2,2))"),"")</f>
        <v/>
      </c>
      <c r="EA5" s="1" t="str">
        <f ca="1">IFERROR(__xludf.DUMMYFUNCTION("if(EA$2="""","""", index(GOOGLEFINANCE($B$5,""close"",EA$2,TODAY()),2,2))"),"")</f>
        <v/>
      </c>
      <c r="EB5" s="1" t="str">
        <f ca="1">IFERROR(__xludf.DUMMYFUNCTION("if(EB$2="""","""", index(GOOGLEFINANCE($B$5,""close"",EB$2,TODAY()),2,2))"),"")</f>
        <v/>
      </c>
      <c r="EC5" s="1" t="str">
        <f ca="1">IFERROR(__xludf.DUMMYFUNCTION("if(EC$2="""","""", index(GOOGLEFINANCE($B$5,""close"",EC$2,TODAY()),2,2))"),"")</f>
        <v/>
      </c>
      <c r="ED5" s="1" t="str">
        <f ca="1">IFERROR(__xludf.DUMMYFUNCTION("if(ED$2="""","""", index(GOOGLEFINANCE($B$5,""close"",ED$2,TODAY()),2,2))"),"")</f>
        <v/>
      </c>
      <c r="EE5" s="1" t="str">
        <f ca="1">IFERROR(__xludf.DUMMYFUNCTION("if(EE$2="""","""", index(GOOGLEFINANCE($B$5,""close"",EE$2,TODAY()),2,2))"),"")</f>
        <v/>
      </c>
      <c r="EF5" s="1" t="str">
        <f ca="1">IFERROR(__xludf.DUMMYFUNCTION("if(EF$2="""","""", index(GOOGLEFINANCE($B$5,""close"",EF$2,TODAY()),2,2))"),"")</f>
        <v/>
      </c>
      <c r="EG5" s="1" t="str">
        <f ca="1">IFERROR(__xludf.DUMMYFUNCTION("if(EG$2="""","""", index(GOOGLEFINANCE($B$5,""close"",EG$2,TODAY()),2,2))"),"")</f>
        <v/>
      </c>
      <c r="EH5" s="1" t="str">
        <f ca="1">IFERROR(__xludf.DUMMYFUNCTION("if(EH$2="""","""", index(GOOGLEFINANCE($B$5,""close"",EH$2,TODAY()),2,2))"),"")</f>
        <v/>
      </c>
      <c r="EI5" s="1" t="str">
        <f ca="1">IFERROR(__xludf.DUMMYFUNCTION("if(EI$2="""","""", index(GOOGLEFINANCE($B$5,""close"",EI$2,TODAY()),2,2))"),"")</f>
        <v/>
      </c>
      <c r="EJ5" s="1" t="str">
        <f ca="1">IFERROR(__xludf.DUMMYFUNCTION("if(EJ$2="""","""", index(GOOGLEFINANCE($B$5,""close"",EJ$2,TODAY()),2,2))"),"")</f>
        <v/>
      </c>
      <c r="EK5" s="1" t="str">
        <f ca="1">IFERROR(__xludf.DUMMYFUNCTION("if(EK$2="""","""", index(GOOGLEFINANCE($B$5,""close"",EK$2,TODAY()),2,2))"),"")</f>
        <v/>
      </c>
      <c r="EL5" s="1" t="str">
        <f ca="1">IFERROR(__xludf.DUMMYFUNCTION("if(EL$2="""","""", index(GOOGLEFINANCE($B$5,""close"",EL$2,TODAY()),2,2))"),"")</f>
        <v/>
      </c>
      <c r="EM5" s="1" t="str">
        <f ca="1">IFERROR(__xludf.DUMMYFUNCTION("if(EM$2="""","""", index(GOOGLEFINANCE($B$5,""close"",EM$2,TODAY()),2,2))"),"")</f>
        <v/>
      </c>
      <c r="EN5" s="1" t="str">
        <f ca="1">IFERROR(__xludf.DUMMYFUNCTION("if(EN$2="""","""", index(GOOGLEFINANCE($B$5,""close"",EN$2,TODAY()),2,2))"),"")</f>
        <v/>
      </c>
      <c r="EO5" s="1" t="str">
        <f ca="1">IFERROR(__xludf.DUMMYFUNCTION("if(EO$2="""","""", index(GOOGLEFINANCE($B$5,""close"",EO$2,TODAY()),2,2))"),"")</f>
        <v/>
      </c>
      <c r="EP5" s="1" t="str">
        <f ca="1">IFERROR(__xludf.DUMMYFUNCTION("if(EP$2="""","""", index(GOOGLEFINANCE($B$5,""close"",EP$2,TODAY()),2,2))"),"")</f>
        <v/>
      </c>
      <c r="EQ5" s="1" t="str">
        <f ca="1">IFERROR(__xludf.DUMMYFUNCTION("if(EQ$2="""","""", index(GOOGLEFINANCE($B$5,""close"",EQ$2,TODAY()),2,2))"),"")</f>
        <v/>
      </c>
      <c r="ER5" s="1" t="str">
        <f ca="1">IFERROR(__xludf.DUMMYFUNCTION("if(ER$2="""","""", index(GOOGLEFINANCE($B$5,""close"",ER$2,TODAY()),2,2))"),"")</f>
        <v/>
      </c>
      <c r="ES5" s="1" t="str">
        <f ca="1">IFERROR(__xludf.DUMMYFUNCTION("if(ES$2="""","""", index(GOOGLEFINANCE($B$5,""close"",ES$2,TODAY()),2,2))"),"")</f>
        <v/>
      </c>
      <c r="ET5" s="1" t="str">
        <f ca="1">IFERROR(__xludf.DUMMYFUNCTION("if(ET$2="""","""", index(GOOGLEFINANCE($B$5,""close"",ET$2,TODAY()),2,2))"),"")</f>
        <v/>
      </c>
      <c r="EU5" s="1" t="str">
        <f ca="1">IFERROR(__xludf.DUMMYFUNCTION("if(EU$2="""","""", index(GOOGLEFINANCE($B$5,""close"",EU$2,TODAY()),2,2))"),"")</f>
        <v/>
      </c>
      <c r="EV5" s="1" t="str">
        <f ca="1">IFERROR(__xludf.DUMMYFUNCTION("if(EV$2="""","""", index(GOOGLEFINANCE($B$5,""close"",EV$2,TODAY()),2,2))"),"")</f>
        <v/>
      </c>
      <c r="EW5" s="1" t="str">
        <f ca="1">IFERROR(__xludf.DUMMYFUNCTION("if(EW$2="""","""", index(GOOGLEFINANCE($B$5,""close"",EW$2,TODAY()),2,2))"),"")</f>
        <v/>
      </c>
      <c r="EX5" s="1" t="str">
        <f ca="1">IFERROR(__xludf.DUMMYFUNCTION("if(EX$2="""","""", index(GOOGLEFINANCE($B$5,""close"",EX$2,TODAY()),2,2))"),"")</f>
        <v/>
      </c>
      <c r="EY5" s="1" t="str">
        <f ca="1">IFERROR(__xludf.DUMMYFUNCTION("if(EY$2="""","""", index(GOOGLEFINANCE($B$5,""close"",EY$2,TODAY()),2,2))"),"")</f>
        <v/>
      </c>
      <c r="EZ5" s="1" t="str">
        <f ca="1">IFERROR(__xludf.DUMMYFUNCTION("if(EZ$2="""","""", index(GOOGLEFINANCE($B$5,""close"",EZ$2,TODAY()),2,2))"),"")</f>
        <v/>
      </c>
      <c r="FA5" s="1" t="str">
        <f ca="1">IFERROR(__xludf.DUMMYFUNCTION("if(FA$2="""","""", index(GOOGLEFINANCE($B$5,""close"",FA$2,TODAY()),2,2))"),"")</f>
        <v/>
      </c>
      <c r="FB5" s="1" t="str">
        <f ca="1">IFERROR(__xludf.DUMMYFUNCTION("if(FB$2="""","""", index(GOOGLEFINANCE($B$5,""close"",FB$2,TODAY()),2,2))"),"")</f>
        <v/>
      </c>
      <c r="FC5" s="1" t="str">
        <f ca="1">IFERROR(__xludf.DUMMYFUNCTION("if(FC$2="""","""", index(GOOGLEFINANCE($B$5,""close"",FC$2,TODAY()),2,2))"),"")</f>
        <v/>
      </c>
      <c r="FD5" s="1" t="str">
        <f ca="1">IFERROR(__xludf.DUMMYFUNCTION("if(FD$2="""","""", index(GOOGLEFINANCE($B$5,""close"",FD$2,TODAY()),2,2))"),"")</f>
        <v/>
      </c>
      <c r="FE5" s="1" t="str">
        <f ca="1">IFERROR(__xludf.DUMMYFUNCTION("if(FE$2="""","""", index(GOOGLEFINANCE($B$5,""close"",FE$2,TODAY()),2,2))"),"")</f>
        <v/>
      </c>
      <c r="FF5" s="1" t="str">
        <f ca="1">IFERROR(__xludf.DUMMYFUNCTION("if(FF$2="""","""", index(GOOGLEFINANCE($B$5,""close"",FF$2,TODAY()),2,2))"),"")</f>
        <v/>
      </c>
      <c r="FG5" s="1" t="str">
        <f ca="1">IFERROR(__xludf.DUMMYFUNCTION("if(FG$2="""","""", index(GOOGLEFINANCE($B$5,""close"",FG$2,TODAY()),2,2))"),"")</f>
        <v/>
      </c>
      <c r="FH5" s="1" t="str">
        <f ca="1">IFERROR(__xludf.DUMMYFUNCTION("if(FH$2="""","""", index(GOOGLEFINANCE($B$5,""close"",FH$2,TODAY()),2,2))"),"")</f>
        <v/>
      </c>
      <c r="FI5" s="1" t="str">
        <f ca="1">IFERROR(__xludf.DUMMYFUNCTION("if(FI$2="""","""", index(GOOGLEFINANCE($B$5,""close"",FI$2,TODAY()),2,2))"),"")</f>
        <v/>
      </c>
      <c r="FJ5" s="1" t="str">
        <f ca="1">IFERROR(__xludf.DUMMYFUNCTION("if(FJ$2="""","""", index(GOOGLEFINANCE($B$5,""close"",FJ$2,TODAY()),2,2))"),"")</f>
        <v/>
      </c>
      <c r="FK5" s="1" t="str">
        <f ca="1">IFERROR(__xludf.DUMMYFUNCTION("if(FK$2="""","""", index(GOOGLEFINANCE($B$5,""close"",FK$2,TODAY()),2,2))"),"")</f>
        <v/>
      </c>
      <c r="FL5" s="1" t="str">
        <f ca="1">IFERROR(__xludf.DUMMYFUNCTION("if(FL$2="""","""", index(GOOGLEFINANCE($B$5,""close"",FL$2,TODAY()),2,2))"),"")</f>
        <v/>
      </c>
      <c r="FM5" s="1" t="str">
        <f ca="1">IFERROR(__xludf.DUMMYFUNCTION("if(FM$2="""","""", index(GOOGLEFINANCE($B$5,""close"",FM$2,TODAY()),2,2))"),"")</f>
        <v/>
      </c>
      <c r="FN5" s="1" t="str">
        <f ca="1">IFERROR(__xludf.DUMMYFUNCTION("if(FN$2="""","""", index(GOOGLEFINANCE($B$5,""close"",FN$2,TODAY()),2,2))"),"")</f>
        <v/>
      </c>
      <c r="FO5" s="1" t="str">
        <f ca="1">IFERROR(__xludf.DUMMYFUNCTION("if(FO$2="""","""", index(GOOGLEFINANCE($B$5,""close"",FO$2,TODAY()),2,2))"),"")</f>
        <v/>
      </c>
      <c r="FP5" s="1" t="str">
        <f ca="1">IFERROR(__xludf.DUMMYFUNCTION("if(FP$2="""","""", index(GOOGLEFINANCE($B$5,""close"",FP$2,TODAY()),2,2))"),"")</f>
        <v/>
      </c>
      <c r="FQ5" s="1" t="str">
        <f ca="1">IFERROR(__xludf.DUMMYFUNCTION("if(FQ$2="""","""", index(GOOGLEFINANCE($B$5,""close"",FQ$2,TODAY()),2,2))"),"")</f>
        <v/>
      </c>
      <c r="FR5" s="1" t="str">
        <f ca="1">IFERROR(__xludf.DUMMYFUNCTION("if(FR$2="""","""", index(GOOGLEFINANCE($B$5,""close"",FR$2,TODAY()),2,2))"),"")</f>
        <v/>
      </c>
      <c r="FS5" s="1" t="str">
        <f ca="1">IFERROR(__xludf.DUMMYFUNCTION("if(FS$2="""","""", index(GOOGLEFINANCE($B$5,""close"",FS$2,TODAY()),2,2))"),"")</f>
        <v/>
      </c>
      <c r="FT5" s="1" t="str">
        <f ca="1">IFERROR(__xludf.DUMMYFUNCTION("if(FT$2="""","""", index(GOOGLEFINANCE($B$5,""close"",FT$2,TODAY()),2,2))"),"")</f>
        <v/>
      </c>
      <c r="FU5" s="1" t="str">
        <f ca="1">IFERROR(__xludf.DUMMYFUNCTION("if(FU$2="""","""", index(GOOGLEFINANCE($B$5,""close"",FU$2,TODAY()),2,2))"),"")</f>
        <v/>
      </c>
      <c r="FV5" s="1" t="str">
        <f ca="1">IFERROR(__xludf.DUMMYFUNCTION("if(FV$2="""","""", index(GOOGLEFINANCE($B$5,""close"",FV$2,TODAY()),2,2))"),"")</f>
        <v/>
      </c>
      <c r="FW5" s="1" t="str">
        <f ca="1">IFERROR(__xludf.DUMMYFUNCTION("if(FW$2="""","""", index(GOOGLEFINANCE($B$5,""close"",FW$2,TODAY()),2,2))"),"")</f>
        <v/>
      </c>
      <c r="FX5" s="1" t="str">
        <f ca="1">IFERROR(__xludf.DUMMYFUNCTION("if(FX$2="""","""", index(GOOGLEFINANCE($B$5,""close"",FX$2,TODAY()),2,2))"),"")</f>
        <v/>
      </c>
      <c r="FY5" s="1" t="str">
        <f ca="1">IFERROR(__xludf.DUMMYFUNCTION("if(FY$2="""","""", index(GOOGLEFINANCE($B$5,""close"",FY$2,TODAY()),2,2))"),"")</f>
        <v/>
      </c>
      <c r="FZ5" s="1" t="str">
        <f ca="1">IFERROR(__xludf.DUMMYFUNCTION("if(FZ$2="""","""", index(GOOGLEFINANCE($B$5,""close"",FZ$2,TODAY()),2,2))"),"")</f>
        <v/>
      </c>
      <c r="GA5" s="1" t="str">
        <f ca="1">IFERROR(__xludf.DUMMYFUNCTION("if(GA$2="""","""", index(GOOGLEFINANCE($B$5,""close"",GA$2,TODAY()),2,2))"),"")</f>
        <v/>
      </c>
      <c r="GB5" s="1" t="str">
        <f ca="1">IFERROR(__xludf.DUMMYFUNCTION("if(GB$2="""","""", index(GOOGLEFINANCE($B$5,""close"",GB$2,TODAY()),2,2))"),"")</f>
        <v/>
      </c>
      <c r="GC5" s="1" t="str">
        <f ca="1">IFERROR(__xludf.DUMMYFUNCTION("if(GC$2="""","""", index(GOOGLEFINANCE($B$5,""close"",GC$2,TODAY()),2,2))"),"")</f>
        <v/>
      </c>
      <c r="GD5" s="1" t="str">
        <f ca="1">IFERROR(__xludf.DUMMYFUNCTION("if(GD$2="""","""", index(GOOGLEFINANCE($B$5,""close"",GD$2,TODAY()),2,2))"),"")</f>
        <v/>
      </c>
      <c r="GE5" s="1" t="str">
        <f ca="1">IFERROR(__xludf.DUMMYFUNCTION("if(GE$2="""","""", index(GOOGLEFINANCE($B$5,""close"",GE$2,TODAY()),2,2))"),"")</f>
        <v/>
      </c>
      <c r="GF5" s="1" t="str">
        <f ca="1">IFERROR(__xludf.DUMMYFUNCTION("if(GF$2="""","""", index(GOOGLEFINANCE($B$5,""close"",GF$2,TODAY()),2,2))"),"")</f>
        <v/>
      </c>
      <c r="GG5" s="1" t="str">
        <f ca="1">IFERROR(__xludf.DUMMYFUNCTION("if(GG$2="""","""", index(GOOGLEFINANCE($B$5,""close"",GG$2,TODAY()),2,2))"),"")</f>
        <v/>
      </c>
      <c r="GH5" s="1" t="str">
        <f ca="1">IFERROR(__xludf.DUMMYFUNCTION("if(GH$2="""","""", index(GOOGLEFINANCE($B$5,""close"",GH$2,TODAY()),2,2))"),"")</f>
        <v/>
      </c>
      <c r="GI5" s="1" t="str">
        <f ca="1">IFERROR(__xludf.DUMMYFUNCTION("if(GI$2="""","""", index(GOOGLEFINANCE($B$5,""close"",GI$2,TODAY()),2,2))"),"")</f>
        <v/>
      </c>
      <c r="GJ5" s="1" t="str">
        <f ca="1">IFERROR(__xludf.DUMMYFUNCTION("if(GJ$2="""","""", index(GOOGLEFINANCE($B$5,""close"",GJ$2,TODAY()),2,2))"),"")</f>
        <v/>
      </c>
      <c r="GK5" s="1" t="str">
        <f ca="1">IFERROR(__xludf.DUMMYFUNCTION("if(GK$2="""","""", index(GOOGLEFINANCE($B$5,""close"",GK$2,TODAY()),2,2))"),"")</f>
        <v/>
      </c>
      <c r="GL5" s="1" t="str">
        <f ca="1">IFERROR(__xludf.DUMMYFUNCTION("if(GL$2="""","""", index(GOOGLEFINANCE($B$5,""close"",GL$2,TODAY()),2,2))"),"")</f>
        <v/>
      </c>
      <c r="GM5" s="1" t="str">
        <f ca="1">IFERROR(__xludf.DUMMYFUNCTION("if(GM$2="""","""", index(GOOGLEFINANCE($B$5,""close"",GM$2,TODAY()),2,2))"),"")</f>
        <v/>
      </c>
      <c r="GN5" s="1" t="str">
        <f ca="1">IFERROR(__xludf.DUMMYFUNCTION("if(GN$2="""","""", index(GOOGLEFINANCE($B$5,""close"",GN$2,TODAY()),2,2))"),"")</f>
        <v/>
      </c>
      <c r="GO5" s="1" t="str">
        <f ca="1">IFERROR(__xludf.DUMMYFUNCTION("if(GO$2="""","""", index(GOOGLEFINANCE($B$5,""close"",GO$2,TODAY()),2,2))"),"")</f>
        <v/>
      </c>
      <c r="GP5" s="1" t="str">
        <f ca="1">IFERROR(__xludf.DUMMYFUNCTION("if(GP$2="""","""", index(GOOGLEFINANCE($B$5,""close"",GP$2,TODAY()),2,2))"),"")</f>
        <v/>
      </c>
      <c r="GQ5" s="1" t="str">
        <f ca="1">IFERROR(__xludf.DUMMYFUNCTION("if(GQ$2="""","""", index(GOOGLEFINANCE($B$5,""close"",GQ$2,TODAY()),2,2))"),"")</f>
        <v/>
      </c>
      <c r="GR5" s="1" t="str">
        <f ca="1">IFERROR(__xludf.DUMMYFUNCTION("if(GR$2="""","""", index(GOOGLEFINANCE($B$5,""close"",GR$2,TODAY()),2,2))"),"")</f>
        <v/>
      </c>
      <c r="GS5" s="1" t="str">
        <f ca="1">IFERROR(__xludf.DUMMYFUNCTION("if(GS$2="""","""", index(GOOGLEFINANCE($B$5,""close"",GS$2,TODAY()),2,2))"),"")</f>
        <v/>
      </c>
      <c r="GT5" s="1" t="str">
        <f ca="1">IFERROR(__xludf.DUMMYFUNCTION("if(GT$2="""","""", index(GOOGLEFINANCE($B$5,""close"",GT$2,TODAY()),2,2))"),"")</f>
        <v/>
      </c>
      <c r="GU5" s="1" t="str">
        <f ca="1">IFERROR(__xludf.DUMMYFUNCTION("if(GU$2="""","""", index(GOOGLEFINANCE($B$5,""close"",GU$2,TODAY()),2,2))"),"")</f>
        <v/>
      </c>
      <c r="GV5" s="1" t="str">
        <f ca="1">IFERROR(__xludf.DUMMYFUNCTION("if(GV$2="""","""", index(GOOGLEFINANCE($B$5,""close"",GV$2,TODAY()),2,2))"),"")</f>
        <v/>
      </c>
      <c r="GW5" s="1" t="str">
        <f ca="1">IFERROR(__xludf.DUMMYFUNCTION("if(GW$2="""","""", index(GOOGLEFINANCE($B$5,""close"",GW$2,TODAY()),2,2))"),"")</f>
        <v/>
      </c>
      <c r="GX5" s="1" t="str">
        <f ca="1">IFERROR(__xludf.DUMMYFUNCTION("if(GX$2="""","""", index(GOOGLEFINANCE($B$5,""close"",GX$2,TODAY()),2,2))"),"")</f>
        <v/>
      </c>
      <c r="GY5" s="1" t="str">
        <f ca="1">IFERROR(__xludf.DUMMYFUNCTION("if(GY$2="""","""", index(GOOGLEFINANCE($B$5,""close"",GY$2,TODAY()),2,2))"),"")</f>
        <v/>
      </c>
      <c r="GZ5" s="1" t="str">
        <f ca="1">IFERROR(__xludf.DUMMYFUNCTION("if(GZ$2="""","""", index(GOOGLEFINANCE($B$5,""close"",GZ$2,TODAY()),2,2))"),"")</f>
        <v/>
      </c>
      <c r="HA5" s="1" t="str">
        <f ca="1">IFERROR(__xludf.DUMMYFUNCTION("if(HA$2="""","""", index(GOOGLEFINANCE($B$5,""close"",HA$2,TODAY()),2,2))"),"")</f>
        <v/>
      </c>
      <c r="HB5" s="1" t="str">
        <f ca="1">IFERROR(__xludf.DUMMYFUNCTION("if(HB$2="""","""", index(GOOGLEFINANCE($B$5,""close"",HB$2,TODAY()),2,2))"),"")</f>
        <v/>
      </c>
      <c r="HC5" s="1" t="str">
        <f ca="1">IFERROR(__xludf.DUMMYFUNCTION("if(HC$2="""","""", index(GOOGLEFINANCE($B$5,""close"",HC$2,TODAY()),2,2))"),"")</f>
        <v/>
      </c>
      <c r="HD5" s="1" t="str">
        <f ca="1">IFERROR(__xludf.DUMMYFUNCTION("if(HD$2="""","""", index(GOOGLEFINANCE($B$5,""close"",HD$2,TODAY()),2,2))"),"")</f>
        <v/>
      </c>
      <c r="HE5" s="1" t="str">
        <f ca="1">IFERROR(__xludf.DUMMYFUNCTION("if(HE$2="""","""", index(GOOGLEFINANCE($B$5,""close"",HE$2,TODAY()),2,2))"),"")</f>
        <v/>
      </c>
      <c r="HF5" s="1" t="str">
        <f ca="1">IFERROR(__xludf.DUMMYFUNCTION("if(HF$2="""","""", index(GOOGLEFINANCE($B$5,""close"",HF$2,TODAY()),2,2))"),"")</f>
        <v/>
      </c>
      <c r="HG5" s="1" t="str">
        <f ca="1">IFERROR(__xludf.DUMMYFUNCTION("if(HG$2="""","""", index(GOOGLEFINANCE($B$5,""close"",HG$2,TODAY()),2,2))"),"")</f>
        <v/>
      </c>
      <c r="HH5" s="1" t="str">
        <f ca="1">IFERROR(__xludf.DUMMYFUNCTION("if(HH$2="""","""", index(GOOGLEFINANCE($B$5,""close"",HH$2,TODAY()),2,2))"),"")</f>
        <v/>
      </c>
      <c r="HI5" s="1" t="str">
        <f ca="1">IFERROR(__xludf.DUMMYFUNCTION("if(HI$2="""","""", index(GOOGLEFINANCE($B$5,""close"",HI$2,TODAY()),2,2))"),"")</f>
        <v/>
      </c>
      <c r="HJ5" s="1" t="str">
        <f ca="1">IFERROR(__xludf.DUMMYFUNCTION("if(HJ$2="""","""", index(GOOGLEFINANCE($B$5,""close"",HJ$2,TODAY()),2,2))"),"")</f>
        <v/>
      </c>
      <c r="HK5" s="1" t="str">
        <f ca="1">IFERROR(__xludf.DUMMYFUNCTION("if(HK$2="""","""", index(GOOGLEFINANCE($B$5,""close"",HK$2,TODAY()),2,2))"),"")</f>
        <v/>
      </c>
      <c r="HL5" s="1" t="str">
        <f ca="1">IFERROR(__xludf.DUMMYFUNCTION("if(HL$2="""","""", index(GOOGLEFINANCE($B$5,""close"",HL$2,TODAY()),2,2))"),"")</f>
        <v/>
      </c>
      <c r="HM5" s="1" t="str">
        <f ca="1">IFERROR(__xludf.DUMMYFUNCTION("if(HM$2="""","""", index(GOOGLEFINANCE($B$5,""close"",HM$2,TODAY()),2,2))"),"")</f>
        <v/>
      </c>
      <c r="HN5" s="1" t="str">
        <f ca="1">IFERROR(__xludf.DUMMYFUNCTION("if(HN$2="""","""", index(GOOGLEFINANCE($B$5,""close"",HN$2,TODAY()),2,2))"),"")</f>
        <v/>
      </c>
      <c r="HO5" s="1" t="str">
        <f ca="1">IFERROR(__xludf.DUMMYFUNCTION("if(HO$2="""","""", index(GOOGLEFINANCE($B$5,""close"",HO$2,TODAY()),2,2))"),"")</f>
        <v/>
      </c>
      <c r="HP5" s="1" t="str">
        <f ca="1">IFERROR(__xludf.DUMMYFUNCTION("if(HP$2="""","""", index(GOOGLEFINANCE($B$5,""close"",HP$2,TODAY()),2,2))"),"")</f>
        <v/>
      </c>
      <c r="HQ5" s="1" t="str">
        <f ca="1">IFERROR(__xludf.DUMMYFUNCTION("if(HQ$2="""","""", index(GOOGLEFINANCE($B$5,""close"",HQ$2,TODAY()),2,2))"),"")</f>
        <v/>
      </c>
      <c r="HR5" s="1" t="str">
        <f ca="1">IFERROR(__xludf.DUMMYFUNCTION("if(HR$2="""","""", index(GOOGLEFINANCE($B$5,""close"",HR$2,TODAY()),2,2))"),"")</f>
        <v/>
      </c>
      <c r="HS5" s="1" t="str">
        <f ca="1">IFERROR(__xludf.DUMMYFUNCTION("if(HS$2="""","""", index(GOOGLEFINANCE($B$5,""close"",HS$2,TODAY()),2,2))"),"")</f>
        <v/>
      </c>
      <c r="HT5" s="1" t="str">
        <f ca="1">IFERROR(__xludf.DUMMYFUNCTION("if(HT$2="""","""", index(GOOGLEFINANCE($B$5,""close"",HT$2,TODAY()),2,2))"),"")</f>
        <v/>
      </c>
      <c r="HU5" s="1" t="str">
        <f ca="1">IFERROR(__xludf.DUMMYFUNCTION("if(HU$2="""","""", index(GOOGLEFINANCE($B$5,""close"",HU$2,TODAY()),2,2))"),"")</f>
        <v/>
      </c>
      <c r="HV5" s="1" t="str">
        <f ca="1">IFERROR(__xludf.DUMMYFUNCTION("if(HV$2="""","""", index(GOOGLEFINANCE($B$5,""close"",HV$2,TODAY()),2,2))"),"")</f>
        <v/>
      </c>
      <c r="HW5" s="1" t="str">
        <f ca="1">IFERROR(__xludf.DUMMYFUNCTION("if(HW$2="""","""", index(GOOGLEFINANCE($B$5,""close"",HW$2,TODAY()),2,2))"),"")</f>
        <v/>
      </c>
      <c r="HX5" s="1" t="str">
        <f ca="1">IFERROR(__xludf.DUMMYFUNCTION("if(HX$2="""","""", index(GOOGLEFINANCE($B$5,""close"",HX$2,TODAY()),2,2))"),"")</f>
        <v/>
      </c>
      <c r="HY5" s="1" t="str">
        <f ca="1">IFERROR(__xludf.DUMMYFUNCTION("if(HY$2="""","""", index(GOOGLEFINANCE($B$5,""close"",HY$2,TODAY()),2,2))"),"")</f>
        <v/>
      </c>
      <c r="HZ5" s="1" t="str">
        <f ca="1">IFERROR(__xludf.DUMMYFUNCTION("if(HZ$2="""","""", index(GOOGLEFINANCE($B$5,""close"",HZ$2,TODAY()),2,2))"),"")</f>
        <v/>
      </c>
      <c r="IA5" s="1" t="str">
        <f ca="1">IFERROR(__xludf.DUMMYFUNCTION("if(IA$2="""","""", index(GOOGLEFINANCE($B$5,""close"",IA$2,TODAY()),2,2))"),"")</f>
        <v/>
      </c>
      <c r="IB5" s="1" t="str">
        <f ca="1">IFERROR(__xludf.DUMMYFUNCTION("if(IB$2="""","""", index(GOOGLEFINANCE($B$5,""close"",IB$2,TODAY()),2,2))"),"")</f>
        <v/>
      </c>
      <c r="IC5" s="1" t="str">
        <f ca="1">IFERROR(__xludf.DUMMYFUNCTION("if(IC$2="""","""", index(GOOGLEFINANCE($B$5,""close"",IC$2,TODAY()),2,2))"),"")</f>
        <v/>
      </c>
      <c r="ID5" s="1" t="str">
        <f ca="1">IFERROR(__xludf.DUMMYFUNCTION("if(ID$2="""","""", index(GOOGLEFINANCE($B$5,""close"",ID$2,TODAY()),2,2))"),"")</f>
        <v/>
      </c>
      <c r="IE5" s="1" t="str">
        <f ca="1">IFERROR(__xludf.DUMMYFUNCTION("if(IE$2="""","""", index(GOOGLEFINANCE($B$5,""close"",IE$2,TODAY()),2,2))"),"")</f>
        <v/>
      </c>
      <c r="IF5" s="1" t="str">
        <f ca="1">IFERROR(__xludf.DUMMYFUNCTION("if(IF$2="""","""", index(GOOGLEFINANCE($B$5,""close"",IF$2,TODAY()),2,2))"),"")</f>
        <v/>
      </c>
      <c r="IG5" s="1" t="str">
        <f ca="1">IFERROR(__xludf.DUMMYFUNCTION("if(IG$2="""","""", index(GOOGLEFINANCE($B$5,""close"",IG$2,TODAY()),2,2))"),"")</f>
        <v/>
      </c>
      <c r="IH5" s="1" t="str">
        <f ca="1">IFERROR(__xludf.DUMMYFUNCTION("if(IH$2="""","""", index(GOOGLEFINANCE($B$5,""close"",IH$2,TODAY()),2,2))"),"")</f>
        <v/>
      </c>
      <c r="II5" s="1" t="str">
        <f ca="1">IFERROR(__xludf.DUMMYFUNCTION("if(II$2="""","""", index(GOOGLEFINANCE($B$5,""close"",II$2,TODAY()),2,2))"),"")</f>
        <v/>
      </c>
      <c r="IJ5" s="1" t="str">
        <f ca="1">IFERROR(__xludf.DUMMYFUNCTION("if(IJ$2="""","""", index(GOOGLEFINANCE($B$5,""close"",IJ$2,TODAY()),2,2))"),"")</f>
        <v/>
      </c>
      <c r="IK5" s="1" t="str">
        <f ca="1">IFERROR(__xludf.DUMMYFUNCTION("if(IK$2="""","""", index(GOOGLEFINANCE($B$5,""close"",IK$2,TODAY()),2,2))"),"")</f>
        <v/>
      </c>
      <c r="IL5" s="1" t="str">
        <f ca="1">IFERROR(__xludf.DUMMYFUNCTION("if(IL$2="""","""", index(GOOGLEFINANCE($B$5,""close"",IL$2,TODAY()),2,2))"),"")</f>
        <v/>
      </c>
      <c r="IM5" s="1" t="str">
        <f ca="1">IFERROR(__xludf.DUMMYFUNCTION("if(IM$2="""","""", index(GOOGLEFINANCE($B$5,""close"",IM$2,TODAY()),2,2))"),"")</f>
        <v/>
      </c>
      <c r="IN5" s="1" t="str">
        <f ca="1">IFERROR(__xludf.DUMMYFUNCTION("if(IN$2="""","""", index(GOOGLEFINANCE($B$5,""close"",IN$2,TODAY()),2,2))"),"")</f>
        <v/>
      </c>
      <c r="IO5" s="1" t="str">
        <f ca="1">IFERROR(__xludf.DUMMYFUNCTION("if(IO$2="""","""", index(GOOGLEFINANCE($B$5,""close"",IO$2,TODAY()),2,2))"),"")</f>
        <v/>
      </c>
      <c r="IP5" s="1" t="str">
        <f ca="1">IFERROR(__xludf.DUMMYFUNCTION("if(IP$2="""","""", index(GOOGLEFINANCE($B$5,""close"",IP$2,TODAY()),2,2))"),"")</f>
        <v/>
      </c>
      <c r="IQ5" s="1" t="str">
        <f ca="1">IFERROR(__xludf.DUMMYFUNCTION("if(IQ$2="""","""", index(GOOGLEFINANCE($B$5,""close"",IQ$2,TODAY()),2,2))"),"")</f>
        <v/>
      </c>
      <c r="IR5" s="1" t="str">
        <f ca="1">IFERROR(__xludf.DUMMYFUNCTION("if(IR$2="""","""", index(GOOGLEFINANCE($B$5,""close"",IR$2,TODAY()),2,2))"),"")</f>
        <v/>
      </c>
      <c r="IS5" s="1" t="str">
        <f ca="1">IFERROR(__xludf.DUMMYFUNCTION("if(IS$2="""","""", index(GOOGLEFINANCE($B$5,""close"",IS$2,TODAY()),2,2))"),"")</f>
        <v/>
      </c>
      <c r="IT5" s="1" t="str">
        <f ca="1">IFERROR(__xludf.DUMMYFUNCTION("if(IT$2="""","""", index(GOOGLEFINANCE($B$5,""close"",IT$2,TODAY()),2,2))"),"")</f>
        <v/>
      </c>
      <c r="IU5" s="1" t="str">
        <f ca="1">IFERROR(__xludf.DUMMYFUNCTION("if(IU$2="""","""", index(GOOGLEFINANCE($B$5,""close"",IU$2,TODAY()),2,2))"),"")</f>
        <v/>
      </c>
      <c r="IV5" s="1" t="str">
        <f ca="1">IFERROR(__xludf.DUMMYFUNCTION("if(IV$2="""","""", index(GOOGLEFINANCE($B$5,""close"",IV$2,TODAY()),2,2))"),"")</f>
        <v/>
      </c>
      <c r="IW5" s="1" t="str">
        <f ca="1">IFERROR(__xludf.DUMMYFUNCTION("if(IW$2="""","""", index(GOOGLEFINANCE($B$5,""close"",IW$2,TODAY()),2,2))"),"")</f>
        <v/>
      </c>
      <c r="IX5" s="1" t="str">
        <f ca="1">IFERROR(__xludf.DUMMYFUNCTION("if(IX$2="""","""", index(GOOGLEFINANCE($B$5,""close"",IX$2,TODAY()),2,2))"),"")</f>
        <v/>
      </c>
      <c r="IY5" s="1" t="str">
        <f ca="1">IFERROR(__xludf.DUMMYFUNCTION("if(IY$2="""","""", index(GOOGLEFINANCE($B$5,""close"",IY$2,TODAY()),2,2))"),"")</f>
        <v/>
      </c>
      <c r="IZ5" s="1" t="str">
        <f ca="1">IFERROR(__xludf.DUMMYFUNCTION("if(IZ$2="""","""", index(GOOGLEFINANCE($B$5,""close"",IZ$2,TODAY()),2,2))"),"")</f>
        <v/>
      </c>
      <c r="JA5" s="1" t="str">
        <f ca="1">IFERROR(__xludf.DUMMYFUNCTION("if(JA$2="""","""", index(GOOGLEFINANCE($B$5,""close"",JA$2,TODAY()),2,2))"),"")</f>
        <v/>
      </c>
      <c r="JB5" s="1" t="str">
        <f ca="1">IFERROR(__xludf.DUMMYFUNCTION("if(JB$2="""","""", index(GOOGLEFINANCE($B$5,""close"",JB$2,TODAY()),2,2))"),"")</f>
        <v/>
      </c>
      <c r="JC5" s="1" t="str">
        <f ca="1">IFERROR(__xludf.DUMMYFUNCTION("if(JC$2="""","""", index(GOOGLEFINANCE($B$5,""close"",JC$2,TODAY()),2,2))"),"")</f>
        <v/>
      </c>
      <c r="JD5" s="1" t="str">
        <f ca="1">IFERROR(__xludf.DUMMYFUNCTION("if(JD$2="""","""", index(GOOGLEFINANCE($B$5,""close"",JD$2,TODAY()),2,2))"),"")</f>
        <v/>
      </c>
      <c r="JE5" s="1" t="str">
        <f ca="1">IFERROR(__xludf.DUMMYFUNCTION("if(JE$2="""","""", index(GOOGLEFINANCE($B$5,""close"",JE$2,TODAY()),2,2))"),"")</f>
        <v/>
      </c>
      <c r="JF5" s="1" t="str">
        <f ca="1">IFERROR(__xludf.DUMMYFUNCTION("if(JF$2="""","""", index(GOOGLEFINANCE($B$5,""close"",JF$2,TODAY()),2,2))"),"")</f>
        <v/>
      </c>
      <c r="JG5" s="1" t="str">
        <f ca="1">IFERROR(__xludf.DUMMYFUNCTION("if(JG$2="""","""", index(GOOGLEFINANCE($B$5,""close"",JG$2,TODAY()),2,2))"),"")</f>
        <v/>
      </c>
      <c r="JH5" s="1" t="str">
        <f ca="1">IFERROR(__xludf.DUMMYFUNCTION("if(JH$2="""","""", index(GOOGLEFINANCE($B$5,""close"",JH$2,TODAY()),2,2))"),"")</f>
        <v/>
      </c>
      <c r="JI5" s="1" t="str">
        <f ca="1">IFERROR(__xludf.DUMMYFUNCTION("if(JI$2="""","""", index(GOOGLEFINANCE($B$5,""close"",JI$2,TODAY()),2,2))"),"")</f>
        <v/>
      </c>
      <c r="JJ5" s="1" t="str">
        <f ca="1">IFERROR(__xludf.DUMMYFUNCTION("if(JJ$2="""","""", index(GOOGLEFINANCE($B$5,""close"",JJ$2,TODAY()),2,2))"),"")</f>
        <v/>
      </c>
      <c r="JK5" s="1" t="str">
        <f ca="1">IFERROR(__xludf.DUMMYFUNCTION("if(JK$2="""","""", index(GOOGLEFINANCE($B$5,""close"",JK$2,TODAY()),2,2))"),"")</f>
        <v/>
      </c>
      <c r="JL5" s="1" t="str">
        <f ca="1">IFERROR(__xludf.DUMMYFUNCTION("if(JL$2="""","""", index(GOOGLEFINANCE($B$5,""close"",JL$2,TODAY()),2,2))"),"")</f>
        <v/>
      </c>
      <c r="JM5" s="1" t="str">
        <f ca="1">IFERROR(__xludf.DUMMYFUNCTION("if(JM$2="""","""", index(GOOGLEFINANCE($B$5,""close"",JM$2,TODAY()),2,2))"),"")</f>
        <v/>
      </c>
      <c r="JN5" s="1" t="str">
        <f ca="1">IFERROR(__xludf.DUMMYFUNCTION("if(JN$2="""","""", index(GOOGLEFINANCE($B$5,""close"",JN$2,TODAY()),2,2))"),"")</f>
        <v/>
      </c>
      <c r="JO5" s="1" t="str">
        <f ca="1">IFERROR(__xludf.DUMMYFUNCTION("if(JO$2="""","""", index(GOOGLEFINANCE($B$5,""close"",JO$2,TODAY()),2,2))"),"")</f>
        <v/>
      </c>
      <c r="JP5" s="1" t="str">
        <f ca="1">IFERROR(__xludf.DUMMYFUNCTION("if(JP$2="""","""", index(GOOGLEFINANCE($B$5,""close"",JP$2,TODAY()),2,2))"),"")</f>
        <v/>
      </c>
      <c r="JQ5" s="1" t="str">
        <f ca="1">IFERROR(__xludf.DUMMYFUNCTION("if(JQ$2="""","""", index(GOOGLEFINANCE($B$5,""close"",JQ$2,TODAY()),2,2))"),"")</f>
        <v/>
      </c>
      <c r="JR5" s="1" t="str">
        <f ca="1">IFERROR(__xludf.DUMMYFUNCTION("if(JR$2="""","""", index(GOOGLEFINANCE($B$5,""close"",JR$2,TODAY()),2,2))"),"")</f>
        <v/>
      </c>
      <c r="JS5" s="1" t="str">
        <f ca="1">IFERROR(__xludf.DUMMYFUNCTION("if(JS$2="""","""", index(GOOGLEFINANCE($B$5,""close"",JS$2,TODAY()),2,2))"),"")</f>
        <v/>
      </c>
      <c r="JT5" s="1" t="str">
        <f ca="1">IFERROR(__xludf.DUMMYFUNCTION("if(JT$2="""","""", index(GOOGLEFINANCE($B$5,""close"",JT$2,TODAY()),2,2))"),"")</f>
        <v/>
      </c>
      <c r="JU5" s="1" t="str">
        <f ca="1">IFERROR(__xludf.DUMMYFUNCTION("if(JU$2="""","""", index(GOOGLEFINANCE($B$5,""close"",JU$2,TODAY()),2,2))"),"")</f>
        <v/>
      </c>
      <c r="JV5" s="1" t="str">
        <f ca="1">IFERROR(__xludf.DUMMYFUNCTION("if(JV$2="""","""", index(GOOGLEFINANCE($B$5,""close"",JV$2,TODAY()),2,2))"),"")</f>
        <v/>
      </c>
      <c r="JW5" s="1" t="str">
        <f ca="1">IFERROR(__xludf.DUMMYFUNCTION("if(JW$2="""","""", index(GOOGLEFINANCE($B$5,""close"",JW$2,TODAY()),2,2))"),"")</f>
        <v/>
      </c>
      <c r="JX5" s="1" t="str">
        <f ca="1">IFERROR(__xludf.DUMMYFUNCTION("if(JX$2="""","""", index(GOOGLEFINANCE($B$5,""close"",JX$2,TODAY()),2,2))"),"")</f>
        <v/>
      </c>
      <c r="JY5" s="1" t="str">
        <f ca="1">IFERROR(__xludf.DUMMYFUNCTION("if(JY$2="""","""", index(GOOGLEFINANCE($B$5,""close"",JY$2,TODAY()),2,2))"),"")</f>
        <v/>
      </c>
      <c r="JZ5" s="1" t="str">
        <f ca="1">IFERROR(__xludf.DUMMYFUNCTION("if(JZ$2="""","""", index(GOOGLEFINANCE($B$5,""close"",JZ$2,TODAY()),2,2))"),"")</f>
        <v/>
      </c>
      <c r="KA5" s="1" t="str">
        <f ca="1">IFERROR(__xludf.DUMMYFUNCTION("if(KA$2="""","""", index(GOOGLEFINANCE($B$5,""close"",KA$2,TODAY()),2,2))"),"")</f>
        <v/>
      </c>
      <c r="KB5" s="1" t="str">
        <f ca="1">IFERROR(__xludf.DUMMYFUNCTION("if(KB$2="""","""", index(GOOGLEFINANCE($B$5,""close"",KB$2,TODAY()),2,2))"),"")</f>
        <v/>
      </c>
      <c r="KC5" s="1" t="str">
        <f ca="1">IFERROR(__xludf.DUMMYFUNCTION("if(KC$2="""","""", index(GOOGLEFINANCE($B$5,""close"",KC$2,TODAY()),2,2))"),"")</f>
        <v/>
      </c>
      <c r="KD5" s="1" t="str">
        <f ca="1">IFERROR(__xludf.DUMMYFUNCTION("if(KD$2="""","""", index(GOOGLEFINANCE($B$5,""close"",KD$2,TODAY()),2,2))"),"")</f>
        <v/>
      </c>
      <c r="KE5" s="1" t="str">
        <f ca="1">IFERROR(__xludf.DUMMYFUNCTION("if(KE$2="""","""", index(GOOGLEFINANCE($B$5,""close"",KE$2,TODAY()),2,2))"),"")</f>
        <v/>
      </c>
      <c r="KF5" s="1" t="str">
        <f ca="1">IFERROR(__xludf.DUMMYFUNCTION("if(KF$2="""","""", index(GOOGLEFINANCE($B$5,""close"",KF$2,TODAY()),2,2))"),"")</f>
        <v/>
      </c>
      <c r="KG5" s="1" t="str">
        <f ca="1">IFERROR(__xludf.DUMMYFUNCTION("if(KG$2="""","""", index(GOOGLEFINANCE($B$5,""close"",KG$2,TODAY()),2,2))"),"")</f>
        <v/>
      </c>
    </row>
    <row r="6" spans="1:319" ht="15.75" customHeight="1">
      <c r="A6" s="18" t="s">
        <v>30</v>
      </c>
      <c r="B6" s="6" t="s">
        <v>50</v>
      </c>
      <c r="C6" s="1">
        <f ca="1">IFERROR(__xludf.DUMMYFUNCTION("if(C$2="""","""", index(GOOGLEFINANCE($B$6,""close"",C$2,TODAY()),2,2))"),56.87)</f>
        <v>56.87</v>
      </c>
      <c r="D6" s="1">
        <f ca="1">IFERROR(__xludf.DUMMYFUNCTION("if(D$2="""","""", index(GOOGLEFINANCE($B$6,""close"",D$2,TODAY()),2,2))"),58.41)</f>
        <v>58.41</v>
      </c>
      <c r="E6" s="1">
        <f ca="1">IFERROR(__xludf.DUMMYFUNCTION("if(E$2="""","""", index(GOOGLEFINANCE($B$6,""close"",E$2,TODAY()),2,2))"),58.35)</f>
        <v>58.35</v>
      </c>
      <c r="F6" s="1">
        <f ca="1">IFERROR(__xludf.DUMMYFUNCTION("if(F$2="""","""", index(GOOGLEFINANCE($B$6,""close"",F$2,TODAY()),2,2))"),58.24)</f>
        <v>58.24</v>
      </c>
      <c r="G6" s="1">
        <f ca="1">IFERROR(__xludf.DUMMYFUNCTION("if(G$2="""","""", index(GOOGLEFINANCE($B$6,""close"",G$2,TODAY()),2,2))"),59.1)</f>
        <v>59.1</v>
      </c>
      <c r="H6" s="1">
        <f ca="1">IFERROR(__xludf.DUMMYFUNCTION("if(H$2="""","""", index(GOOGLEFINANCE($B$6,""close"",H$2,TODAY()),2,2))"),58.4)</f>
        <v>58.4</v>
      </c>
      <c r="I6" s="1">
        <f ca="1">IFERROR(__xludf.DUMMYFUNCTION("if(I$2="""","""", index(GOOGLEFINANCE($B$6,""close"",I$2,TODAY()),2,2))"),59.18)</f>
        <v>59.18</v>
      </c>
      <c r="J6" s="1">
        <f ca="1">IFERROR(__xludf.DUMMYFUNCTION("if(J$2="""","""", index(GOOGLEFINANCE($B$6,""close"",J$2,TODAY()),2,2))"),59.26)</f>
        <v>59.26</v>
      </c>
      <c r="K6" s="1">
        <f ca="1">IFERROR(__xludf.DUMMYFUNCTION("if(K$2="""","""", index(GOOGLEFINANCE($B$6,""close"",K$2,TODAY()),2,2))"),59.94)</f>
        <v>59.94</v>
      </c>
      <c r="L6" s="1">
        <f ca="1">IFERROR(__xludf.DUMMYFUNCTION("if(L$2="""","""", index(GOOGLEFINANCE($B$6,""close"",L$2,TODAY()),2,2))"),60.74)</f>
        <v>60.74</v>
      </c>
      <c r="M6" s="1">
        <f ca="1">IFERROR(__xludf.DUMMYFUNCTION("if(M$2="""","""", index(GOOGLEFINANCE($B$6,""close"",M$2,TODAY()),2,2))"),60.2)</f>
        <v>60.2</v>
      </c>
      <c r="N6" s="1">
        <f ca="1">IFERROR(__xludf.DUMMYFUNCTION("if(N$2="""","""", index(GOOGLEFINANCE($B$6,""close"",N$2,TODAY()),2,2))"),59.84)</f>
        <v>59.84</v>
      </c>
      <c r="O6" s="1">
        <f ca="1">IFERROR(__xludf.DUMMYFUNCTION("if(O$2="""","""", index(GOOGLEFINANCE($B$6,""close"",O$2,TODAY()),2,2))"),57.81)</f>
        <v>57.81</v>
      </c>
      <c r="P6" s="1">
        <f ca="1">IFERROR(__xludf.DUMMYFUNCTION("if(P$2="""","""", index(GOOGLEFINANCE($B$6,""close"",P$2,TODAY()),2,2))"),56.72)</f>
        <v>56.72</v>
      </c>
      <c r="Q6" s="1">
        <f ca="1">IFERROR(__xludf.DUMMYFUNCTION("if(Q$2="""","""", index(GOOGLEFINANCE($B$6,""close"",Q$2,TODAY()),2,2))"),56.62)</f>
        <v>56.62</v>
      </c>
      <c r="R6" s="1">
        <f ca="1">IFERROR(__xludf.DUMMYFUNCTION("if(R$2="""","""", index(GOOGLEFINANCE($B$6,""close"",R$2,TODAY()),2,2))"),57.18)</f>
        <v>57.18</v>
      </c>
      <c r="S6" s="1">
        <f ca="1">IFERROR(__xludf.DUMMYFUNCTION("if(S$2="""","""", index(GOOGLEFINANCE($B$6,""close"",S$2,TODAY()),2,2))"),57.22)</f>
        <v>57.22</v>
      </c>
      <c r="T6" s="1">
        <f ca="1">IFERROR(__xludf.DUMMYFUNCTION("if(T$2="""","""", index(GOOGLEFINANCE($B$6,""close"",T$2,TODAY()),2,2))"),60.18)</f>
        <v>60.18</v>
      </c>
      <c r="U6" s="1">
        <f ca="1">IFERROR(__xludf.DUMMYFUNCTION("if(U$2="""","""", index(GOOGLEFINANCE($B$6,""close"",U$2,TODAY()),2,2))"),60.04)</f>
        <v>60.04</v>
      </c>
      <c r="V6" s="1">
        <f ca="1">IFERROR(__xludf.DUMMYFUNCTION("if(V$2="""","""", index(GOOGLEFINANCE($B$6,""close"",V$2,TODAY()),2,2))"),59.73)</f>
        <v>59.73</v>
      </c>
      <c r="W6" s="1">
        <f ca="1">IFERROR(__xludf.DUMMYFUNCTION("if(W$2="""","""", index(GOOGLEFINANCE($B$6,""close"",W$2,TODAY()),2,2))"),61.81)</f>
        <v>61.81</v>
      </c>
      <c r="X6" s="1">
        <f ca="1">IFERROR(__xludf.DUMMYFUNCTION("if(X$2="""","""", index(GOOGLEFINANCE($B$6,""close"",X$2,TODAY()),2,2))"),61.66)</f>
        <v>61.66</v>
      </c>
      <c r="Y6" s="1">
        <f ca="1">IFERROR(__xludf.DUMMYFUNCTION("if(Y$2="""","""", index(GOOGLEFINANCE($B$6,""close"",Y$2,TODAY()),2,2))"),61.21)</f>
        <v>61.21</v>
      </c>
      <c r="Z6" s="1">
        <f ca="1">IFERROR(__xludf.DUMMYFUNCTION("if(Z$2="""","""", index(GOOGLEFINANCE($B$6,""close"",Z$2,TODAY()),2,2))"),60.6)</f>
        <v>60.6</v>
      </c>
      <c r="AA6" s="1">
        <f ca="1">IFERROR(__xludf.DUMMYFUNCTION("if(AA$2="""","""", index(GOOGLEFINANCE($B$6,""close"",AA$2,TODAY()),2,2))"),59.91)</f>
        <v>59.91</v>
      </c>
      <c r="AB6" s="1">
        <f ca="1">IFERROR(__xludf.DUMMYFUNCTION("if(AB$2="""","""", index(GOOGLEFINANCE($B$6,""close"",AB$2,TODAY()),2,2))"),61.09)</f>
        <v>61.09</v>
      </c>
      <c r="AC6" s="1">
        <f ca="1">IFERROR(__xludf.DUMMYFUNCTION("if(AC$2="""","""", index(GOOGLEFINANCE($B$6,""close"",AC$2,TODAY()),2,2))"),61.99)</f>
        <v>61.99</v>
      </c>
      <c r="AD6" s="1">
        <f ca="1">IFERROR(__xludf.DUMMYFUNCTION("if(AD$2="""","""", index(GOOGLEFINANCE($B$6,""close"",AD$2,TODAY()),2,2))"),60.95)</f>
        <v>60.95</v>
      </c>
      <c r="AE6" s="1">
        <f ca="1">IFERROR(__xludf.DUMMYFUNCTION("if(AE$2="""","""", index(GOOGLEFINANCE($B$6,""close"",AE$2,TODAY()),2,2))"),61.09)</f>
        <v>61.09</v>
      </c>
      <c r="AF6" s="1">
        <f ca="1">IFERROR(__xludf.DUMMYFUNCTION("if(AF$2="""","""", index(GOOGLEFINANCE($B$6,""close"",AF$2,TODAY()),2,2))"),60.83)</f>
        <v>60.83</v>
      </c>
      <c r="AG6" s="1">
        <f ca="1">IFERROR(__xludf.DUMMYFUNCTION("if(AG$2="""","""", index(GOOGLEFINANCE($B$6,""close"",AG$2,TODAY()),2,2))"),61.86)</f>
        <v>61.86</v>
      </c>
      <c r="AH6" s="1">
        <f ca="1">IFERROR(__xludf.DUMMYFUNCTION("if(AH$2="""","""", index(GOOGLEFINANCE($B$6,""close"",AH$2,TODAY()),2,2))"),62.08)</f>
        <v>62.08</v>
      </c>
      <c r="AI6" s="1">
        <f ca="1">IFERROR(__xludf.DUMMYFUNCTION("if(AI$2="""","""", index(GOOGLEFINANCE($B$6,""close"",AI$2,TODAY()),2,2))"),61.17)</f>
        <v>61.17</v>
      </c>
      <c r="AJ6" s="1">
        <f ca="1">IFERROR(__xludf.DUMMYFUNCTION("if(AJ$2="""","""", index(GOOGLEFINANCE($B$6,""close"",AJ$2,TODAY()),2,2))"),60.59)</f>
        <v>60.59</v>
      </c>
      <c r="AK6" s="1">
        <f ca="1">IFERROR(__xludf.DUMMYFUNCTION("if(AK$2="""","""", index(GOOGLEFINANCE($B$6,""close"",AK$2,TODAY()),2,2))"),60.3)</f>
        <v>60.3</v>
      </c>
      <c r="AL6" s="1">
        <f ca="1">IFERROR(__xludf.DUMMYFUNCTION("if(AL$2="""","""", index(GOOGLEFINANCE($B$6,""close"",AL$2,TODAY()),2,2))"),59.97)</f>
        <v>59.97</v>
      </c>
      <c r="AM6" s="1">
        <f ca="1">IFERROR(__xludf.DUMMYFUNCTION("if(AM$2="""","""", index(GOOGLEFINANCE($B$6,""close"",AM$2,TODAY()),2,2))"),58.72)</f>
        <v>58.72</v>
      </c>
      <c r="AN6" s="1">
        <f ca="1">IFERROR(__xludf.DUMMYFUNCTION("if(AN$2="""","""", index(GOOGLEFINANCE($B$6,""close"",AN$2,TODAY()),2,2))"),59.65)</f>
        <v>59.65</v>
      </c>
      <c r="AO6" s="1">
        <f ca="1">IFERROR(__xludf.DUMMYFUNCTION("if(AO$2="""","""", index(GOOGLEFINANCE($B$6,""close"",AO$2,TODAY()),2,2))"),58.96)</f>
        <v>58.96</v>
      </c>
      <c r="AP6" s="1">
        <f ca="1">IFERROR(__xludf.DUMMYFUNCTION("if(AP$2="""","""", index(GOOGLEFINANCE($B$6,""close"",AP$2,TODAY()),2,2))"),57.13)</f>
        <v>57.13</v>
      </c>
      <c r="AQ6" s="1">
        <f ca="1">IFERROR(__xludf.DUMMYFUNCTION("if(AQ$2="""","""", index(GOOGLEFINANCE($B$6,""close"",AQ$2,TODAY()),2,2))"),59.2)</f>
        <v>59.2</v>
      </c>
      <c r="AR6" s="1">
        <f ca="1">IFERROR(__xludf.DUMMYFUNCTION("if(AR$2="""","""", index(GOOGLEFINANCE($B$6,""close"",AR$2,TODAY()),2,2))"),59.67)</f>
        <v>59.67</v>
      </c>
      <c r="AS6" s="1">
        <f ca="1">IFERROR(__xludf.DUMMYFUNCTION("if(AS$2="""","""", index(GOOGLEFINANCE($B$6,""close"",AS$2,TODAY()),2,2))"),58.83)</f>
        <v>58.83</v>
      </c>
      <c r="AT6" s="1">
        <f ca="1">IFERROR(__xludf.DUMMYFUNCTION("if(AT$2="""","""", index(GOOGLEFINANCE($B$6,""close"",AT$2,TODAY()),2,2))"),57.98)</f>
        <v>57.98</v>
      </c>
      <c r="AU6" s="1">
        <f ca="1">IFERROR(__xludf.DUMMYFUNCTION("if(AU$2="""","""", index(GOOGLEFINANCE($B$6,""close"",AU$2,TODAY()),2,2))"),57.84)</f>
        <v>57.84</v>
      </c>
      <c r="AV6" s="1">
        <f ca="1">IFERROR(__xludf.DUMMYFUNCTION("if(AV$2="""","""", index(GOOGLEFINANCE($B$6,""close"",AV$2,TODAY()),2,2))"),59.8)</f>
        <v>59.8</v>
      </c>
      <c r="AW6" s="1">
        <f ca="1">IFERROR(__xludf.DUMMYFUNCTION("if(AW$2="""","""", index(GOOGLEFINANCE($B$6,""close"",AW$2,TODAY()),2,2))"),60.63)</f>
        <v>60.63</v>
      </c>
      <c r="AX6" s="1">
        <f ca="1">IFERROR(__xludf.DUMMYFUNCTION("if(AX$2="""","""", index(GOOGLEFINANCE($B$6,""close"",AX$2,TODAY()),2,2))"),60.91)</f>
        <v>60.91</v>
      </c>
      <c r="AY6" s="1">
        <f ca="1">IFERROR(__xludf.DUMMYFUNCTION("if(AY$2="""","""", index(GOOGLEFINANCE($B$6,""close"",AY$2,TODAY()),2,2))"),60.28)</f>
        <v>60.28</v>
      </c>
      <c r="AZ6" s="1">
        <f ca="1">IFERROR(__xludf.DUMMYFUNCTION("if(AZ$2="""","""", index(GOOGLEFINANCE($B$6,""close"",AZ$2,TODAY()),2,2))"),58.87)</f>
        <v>58.87</v>
      </c>
      <c r="BA6" s="1">
        <f ca="1">IFERROR(__xludf.DUMMYFUNCTION("if(BA$2="""","""", index(GOOGLEFINANCE($B$6,""close"",BA$2,TODAY()),2,2))"),59.64)</f>
        <v>59.64</v>
      </c>
      <c r="BB6" s="1">
        <f ca="1">IFERROR(__xludf.DUMMYFUNCTION("if(BB$2="""","""", index(GOOGLEFINANCE($B$6,""close"",BB$2,TODAY()),2,2))"),62.84)</f>
        <v>62.84</v>
      </c>
      <c r="BC6" s="1">
        <f ca="1">IFERROR(__xludf.DUMMYFUNCTION("if(BC$2="""","""", index(GOOGLEFINANCE($B$6,""close"",BC$2,TODAY()),2,2))"),62.39)</f>
        <v>62.39</v>
      </c>
      <c r="BD6" s="1">
        <f ca="1">IFERROR(__xludf.DUMMYFUNCTION("if(BD$2="""","""", index(GOOGLEFINANCE($B$6,""close"",BD$2,TODAY()),2,2))"),63.34)</f>
        <v>63.34</v>
      </c>
      <c r="BE6" s="1">
        <f ca="1">IFERROR(__xludf.DUMMYFUNCTION("if(BE$2="""","""", index(GOOGLEFINANCE($B$6,""close"",BE$2,TODAY()),2,2))"),63.55)</f>
        <v>63.55</v>
      </c>
      <c r="BF6" s="1">
        <f ca="1">IFERROR(__xludf.DUMMYFUNCTION("if(BF$2="""","""", index(GOOGLEFINANCE($B$6,""close"",BF$2,TODAY()),2,2))"),63.3)</f>
        <v>63.3</v>
      </c>
      <c r="BG6" s="1">
        <f ca="1">IFERROR(__xludf.DUMMYFUNCTION("if(BG$2="""","""", index(GOOGLEFINANCE($B$6,""close"",BG$2,TODAY()),2,2))"),64.09)</f>
        <v>64.09</v>
      </c>
      <c r="BH6" s="1">
        <f ca="1">IFERROR(__xludf.DUMMYFUNCTION("if(BH$2="""","""", index(GOOGLEFINANCE($B$6,""close"",BH$2,TODAY()),2,2))"),64.7)</f>
        <v>64.7</v>
      </c>
      <c r="BI6" s="1">
        <f ca="1">IFERROR(__xludf.DUMMYFUNCTION("if(BI$2="""","""", index(GOOGLEFINANCE($B$6,""close"",BI$2,TODAY()),2,2))"),64.11)</f>
        <v>64.11</v>
      </c>
      <c r="BJ6" s="1">
        <f ca="1">IFERROR(__xludf.DUMMYFUNCTION("if(BJ$2="""","""", index(GOOGLEFINANCE($B$6,""close"",BJ$2,TODAY()),2,2))"),64.19)</f>
        <v>64.19</v>
      </c>
      <c r="BK6" s="1">
        <f ca="1">IFERROR(__xludf.DUMMYFUNCTION("if(BK$2="""","""", index(GOOGLEFINANCE($B$6,""close"",BK$2,TODAY()),2,2))"),64.26)</f>
        <v>64.260000000000005</v>
      </c>
      <c r="BL6" s="1">
        <f ca="1">IFERROR(__xludf.DUMMYFUNCTION("if(BL$2="""","""", index(GOOGLEFINANCE($B$6,""close"",BL$2,TODAY()),2,2))"),63.72)</f>
        <v>63.72</v>
      </c>
      <c r="BM6" s="1">
        <f ca="1">IFERROR(__xludf.DUMMYFUNCTION("if(BM$2="""","""", index(GOOGLEFINANCE($B$6,""close"",BM$2,TODAY()),2,2))"),64.18)</f>
        <v>64.180000000000007</v>
      </c>
      <c r="BN6" s="1">
        <f ca="1">IFERROR(__xludf.DUMMYFUNCTION("if(BN$2="""","""", index(GOOGLEFINANCE($B$6,""close"",BN$2,TODAY()),2,2))"),64.01)</f>
        <v>64.010000000000005</v>
      </c>
      <c r="BO6" s="1">
        <f ca="1">IFERROR(__xludf.DUMMYFUNCTION("if(BO$2="""","""", index(GOOGLEFINANCE($B$6,""close"",BO$2,TODAY()),2,2))"),63.49)</f>
        <v>63.49</v>
      </c>
      <c r="BP6" s="1">
        <f ca="1">IFERROR(__xludf.DUMMYFUNCTION("if(BP$2="""","""", index(GOOGLEFINANCE($B$6,""close"",BP$2,TODAY()),2,2))"),61.67)</f>
        <v>61.67</v>
      </c>
      <c r="BQ6" s="1">
        <f ca="1">IFERROR(__xludf.DUMMYFUNCTION("if(BQ$2="""","""", index(GOOGLEFINANCE($B$6,""close"",BQ$2,TODAY()),2,2))"),61.25)</f>
        <v>61.25</v>
      </c>
      <c r="BR6" s="1">
        <f ca="1">IFERROR(__xludf.DUMMYFUNCTION("if(BR$2="""","""", index(GOOGLEFINANCE($B$6,""close"",BR$2,TODAY()),2,2))"),61.68)</f>
        <v>61.68</v>
      </c>
      <c r="BS6" s="1">
        <f ca="1">IFERROR(__xludf.DUMMYFUNCTION("if(BS$2="""","""", index(GOOGLEFINANCE($B$6,""close"",BS$2,TODAY()),2,2))"),61.95)</f>
        <v>61.95</v>
      </c>
      <c r="BT6" s="1">
        <f ca="1">IFERROR(__xludf.DUMMYFUNCTION("if(BT$2="""","""", index(GOOGLEFINANCE($B$6,""close"",BT$2,TODAY()),2,2))"),63.26)</f>
        <v>63.26</v>
      </c>
      <c r="BU6" s="1">
        <f ca="1">IFERROR(__xludf.DUMMYFUNCTION("if(BU$2="""","""", index(GOOGLEFINANCE($B$6,""close"",BU$2,TODAY()),2,2))"),64.16)</f>
        <v>64.16</v>
      </c>
      <c r="BV6" s="1">
        <f ca="1">IFERROR(__xludf.DUMMYFUNCTION("if(BV$2="""","""", index(GOOGLEFINANCE($B$6,""close"",BV$2,TODAY()),2,2))"),65.49)</f>
        <v>65.489999999999995</v>
      </c>
      <c r="BW6" s="1">
        <f ca="1">IFERROR(__xludf.DUMMYFUNCTION("if(BW$2="""","""", index(GOOGLEFINANCE($B$6,""close"",BW$2,TODAY()),2,2))"),65.88)</f>
        <v>65.88</v>
      </c>
      <c r="BX6" s="1">
        <f ca="1">IFERROR(__xludf.DUMMYFUNCTION("if(BX$2="""","""", index(GOOGLEFINANCE($B$6,""close"",BX$2,TODAY()),2,2))"),67.05)</f>
        <v>67.05</v>
      </c>
      <c r="BY6" s="1">
        <f ca="1">IFERROR(__xludf.DUMMYFUNCTION("if(BY$2="""","""", index(GOOGLEFINANCE($B$6,""close"",BY$2,TODAY()),2,2))"),67.54)</f>
        <v>67.540000000000006</v>
      </c>
      <c r="BZ6" s="1">
        <f ca="1">IFERROR(__xludf.DUMMYFUNCTION("if(BZ$2="""","""", index(GOOGLEFINANCE($B$6,""close"",BZ$2,TODAY()),2,2))"),69.51)</f>
        <v>69.510000000000005</v>
      </c>
      <c r="CA6" s="1">
        <f ca="1">IFERROR(__xludf.DUMMYFUNCTION("if(CA$2="""","""", index(GOOGLEFINANCE($B$6,""close"",CA$2,TODAY()),2,2))"),68.5)</f>
        <v>68.5</v>
      </c>
      <c r="CB6" s="1">
        <f ca="1">IFERROR(__xludf.DUMMYFUNCTION("if(CB$2="""","""", index(GOOGLEFINANCE($B$6,""close"",CB$2,TODAY()),2,2))"),68.07)</f>
        <v>68.069999999999993</v>
      </c>
      <c r="CC6" s="1">
        <f ca="1">IFERROR(__xludf.DUMMYFUNCTION("if(CC$2="""","""", index(GOOGLEFINANCE($B$6,""close"",CC$2,TODAY()),2,2))"),67.37)</f>
        <v>67.37</v>
      </c>
      <c r="CD6" s="1">
        <f ca="1">IFERROR(__xludf.DUMMYFUNCTION("if(CD$2="""","""", index(GOOGLEFINANCE($B$6,""close"",CD$2,TODAY()),2,2))"),67.45)</f>
        <v>67.45</v>
      </c>
      <c r="CE6" s="1">
        <f ca="1">IFERROR(__xludf.DUMMYFUNCTION("if(CE$2="""","""", index(GOOGLEFINANCE($B$6,""close"",CE$2,TODAY()),2,2))"),67.81)</f>
        <v>67.81</v>
      </c>
      <c r="CF6" s="1">
        <f ca="1">IFERROR(__xludf.DUMMYFUNCTION("if(CF$2="""","""", index(GOOGLEFINANCE($B$6,""close"",CF$2,TODAY()),2,2))"),66.5)</f>
        <v>66.5</v>
      </c>
      <c r="CG6" s="1">
        <f ca="1">IFERROR(__xludf.DUMMYFUNCTION("if(CG$2="""","""", index(GOOGLEFINANCE($B$6,""close"",CG$2,TODAY()),2,2))"),67.06)</f>
        <v>67.06</v>
      </c>
      <c r="CH6" s="1">
        <f ca="1">IFERROR(__xludf.DUMMYFUNCTION("if(CH$2="""","""", index(GOOGLEFINANCE($B$6,""close"",CH$2,TODAY()),2,2))"),68.15)</f>
        <v>68.150000000000006</v>
      </c>
      <c r="CI6" s="1">
        <f ca="1">IFERROR(__xludf.DUMMYFUNCTION("if(CI$2="""","""", index(GOOGLEFINANCE($B$6,""close"",CI$2,TODAY()),2,2))"),70.61)</f>
        <v>70.61</v>
      </c>
      <c r="CJ6" s="1" t="str">
        <f ca="1">IFERROR(__xludf.DUMMYFUNCTION("if(CJ$2="""","""", index(GOOGLEFINANCE($B$6,""close"",CJ$2,TODAY()),2,2))"),"")</f>
        <v/>
      </c>
      <c r="CK6" s="1" t="str">
        <f ca="1">IFERROR(__xludf.DUMMYFUNCTION("if(CK$2="""","""", index(GOOGLEFINANCE($B$6,""close"",CK$2,TODAY()),2,2))"),"")</f>
        <v/>
      </c>
      <c r="CL6" s="1" t="str">
        <f ca="1">IFERROR(__xludf.DUMMYFUNCTION("if(CL$2="""","""", index(GOOGLEFINANCE($B$6,""close"",CL$2,TODAY()),2,2))"),"")</f>
        <v/>
      </c>
      <c r="CM6" s="1" t="str">
        <f ca="1">IFERROR(__xludf.DUMMYFUNCTION("if(CM$2="""","""", index(GOOGLEFINANCE($B$6,""close"",CM$2,TODAY()),2,2))"),"")</f>
        <v/>
      </c>
      <c r="CN6" s="1" t="str">
        <f ca="1">IFERROR(__xludf.DUMMYFUNCTION("if(CN$2="""","""", index(GOOGLEFINANCE($B$6,""close"",CN$2,TODAY()),2,2))"),"")</f>
        <v/>
      </c>
      <c r="CO6" s="1" t="str">
        <f ca="1">IFERROR(__xludf.DUMMYFUNCTION("if(CO$2="""","""", index(GOOGLEFINANCE($B$6,""close"",CO$2,TODAY()),2,2))"),"")</f>
        <v/>
      </c>
      <c r="CP6" s="1" t="str">
        <f ca="1">IFERROR(__xludf.DUMMYFUNCTION("if(CP$2="""","""", index(GOOGLEFINANCE($B$6,""close"",CP$2,TODAY()),2,2))"),"")</f>
        <v/>
      </c>
      <c r="CQ6" s="1" t="str">
        <f ca="1">IFERROR(__xludf.DUMMYFUNCTION("if(CQ$2="""","""", index(GOOGLEFINANCE($B$6,""close"",CQ$2,TODAY()),2,2))"),"")</f>
        <v/>
      </c>
      <c r="CR6" s="1" t="str">
        <f ca="1">IFERROR(__xludf.DUMMYFUNCTION("if(CR$2="""","""", index(GOOGLEFINANCE($B$6,""close"",CR$2,TODAY()),2,2))"),"")</f>
        <v/>
      </c>
      <c r="CS6" s="1" t="str">
        <f ca="1">IFERROR(__xludf.DUMMYFUNCTION("if(CS$2="""","""", index(GOOGLEFINANCE($B$6,""close"",CS$2,TODAY()),2,2))"),"")</f>
        <v/>
      </c>
      <c r="CT6" s="1" t="str">
        <f ca="1">IFERROR(__xludf.DUMMYFUNCTION("if(CT$2="""","""", index(GOOGLEFINANCE($B$6,""close"",CT$2,TODAY()),2,2))"),"")</f>
        <v/>
      </c>
      <c r="CU6" s="1" t="str">
        <f ca="1">IFERROR(__xludf.DUMMYFUNCTION("if(CU$2="""","""", index(GOOGLEFINANCE($B$6,""close"",CU$2,TODAY()),2,2))"),"")</f>
        <v/>
      </c>
      <c r="CV6" s="1" t="str">
        <f ca="1">IFERROR(__xludf.DUMMYFUNCTION("if(CV$2="""","""", index(GOOGLEFINANCE($B$6,""close"",CV$2,TODAY()),2,2))"),"")</f>
        <v/>
      </c>
      <c r="CW6" s="1" t="str">
        <f ca="1">IFERROR(__xludf.DUMMYFUNCTION("if(CW$2="""","""", index(GOOGLEFINANCE($B$6,""close"",CW$2,TODAY()),2,2))"),"")</f>
        <v/>
      </c>
      <c r="CX6" s="1" t="str">
        <f ca="1">IFERROR(__xludf.DUMMYFUNCTION("if(CX$2="""","""", index(GOOGLEFINANCE($B$6,""close"",CX$2,TODAY()),2,2))"),"")</f>
        <v/>
      </c>
      <c r="CY6" s="1" t="str">
        <f ca="1">IFERROR(__xludf.DUMMYFUNCTION("if(CY$2="""","""", index(GOOGLEFINANCE($B$6,""close"",CY$2,TODAY()),2,2))"),"")</f>
        <v/>
      </c>
      <c r="CZ6" s="1" t="str">
        <f ca="1">IFERROR(__xludf.DUMMYFUNCTION("if(CZ$2="""","""", index(GOOGLEFINANCE($B$6,""close"",CZ$2,TODAY()),2,2))"),"")</f>
        <v/>
      </c>
      <c r="DA6" s="1" t="str">
        <f ca="1">IFERROR(__xludf.DUMMYFUNCTION("if(DA$2="""","""", index(GOOGLEFINANCE($B$6,""close"",DA$2,TODAY()),2,2))"),"")</f>
        <v/>
      </c>
      <c r="DB6" s="1" t="str">
        <f ca="1">IFERROR(__xludf.DUMMYFUNCTION("if(DB$2="""","""", index(GOOGLEFINANCE($B$6,""close"",DB$2,TODAY()),2,2))"),"")</f>
        <v/>
      </c>
      <c r="DC6" s="1" t="str">
        <f ca="1">IFERROR(__xludf.DUMMYFUNCTION("if(DC$2="""","""", index(GOOGLEFINANCE($B$6,""close"",DC$2,TODAY()),2,2))"),"")</f>
        <v/>
      </c>
      <c r="DD6" s="1" t="str">
        <f ca="1">IFERROR(__xludf.DUMMYFUNCTION("if(DD$2="""","""", index(GOOGLEFINANCE($B$6,""close"",DD$2,TODAY()),2,2))"),"")</f>
        <v/>
      </c>
      <c r="DE6" s="1" t="str">
        <f ca="1">IFERROR(__xludf.DUMMYFUNCTION("if(DE$2="""","""", index(GOOGLEFINANCE($B$6,""close"",DE$2,TODAY()),2,2))"),"")</f>
        <v/>
      </c>
      <c r="DF6" s="1" t="str">
        <f ca="1">IFERROR(__xludf.DUMMYFUNCTION("if(DF$2="""","""", index(GOOGLEFINANCE($B$6,""close"",DF$2,TODAY()),2,2))"),"")</f>
        <v/>
      </c>
      <c r="DG6" s="1" t="str">
        <f ca="1">IFERROR(__xludf.DUMMYFUNCTION("if(DG$2="""","""", index(GOOGLEFINANCE($B$6,""close"",DG$2,TODAY()),2,2))"),"")</f>
        <v/>
      </c>
      <c r="DH6" s="1" t="str">
        <f ca="1">IFERROR(__xludf.DUMMYFUNCTION("if(DH$2="""","""", index(GOOGLEFINANCE($B$6,""close"",DH$2,TODAY()),2,2))"),"")</f>
        <v/>
      </c>
      <c r="DI6" s="1" t="str">
        <f ca="1">IFERROR(__xludf.DUMMYFUNCTION("if(DI$2="""","""", index(GOOGLEFINANCE($B$6,""close"",DI$2,TODAY()),2,2))"),"")</f>
        <v/>
      </c>
      <c r="DJ6" s="1" t="str">
        <f ca="1">IFERROR(__xludf.DUMMYFUNCTION("if(DJ$2="""","""", index(GOOGLEFINANCE($B$6,""close"",DJ$2,TODAY()),2,2))"),"")</f>
        <v/>
      </c>
      <c r="DK6" s="1" t="str">
        <f ca="1">IFERROR(__xludf.DUMMYFUNCTION("if(DK$2="""","""", index(GOOGLEFINANCE($B$6,""close"",DK$2,TODAY()),2,2))"),"")</f>
        <v/>
      </c>
      <c r="DL6" s="1" t="str">
        <f ca="1">IFERROR(__xludf.DUMMYFUNCTION("if(DL$2="""","""", index(GOOGLEFINANCE($B$6,""close"",DL$2,TODAY()),2,2))"),"")</f>
        <v/>
      </c>
      <c r="DM6" s="1" t="str">
        <f ca="1">IFERROR(__xludf.DUMMYFUNCTION("if(DM$2="""","""", index(GOOGLEFINANCE($B$6,""close"",DM$2,TODAY()),2,2))"),"")</f>
        <v/>
      </c>
      <c r="DN6" s="1" t="str">
        <f ca="1">IFERROR(__xludf.DUMMYFUNCTION("if(DN$2="""","""", index(GOOGLEFINANCE($B$6,""close"",DN$2,TODAY()),2,2))"),"")</f>
        <v/>
      </c>
      <c r="DO6" s="1" t="str">
        <f ca="1">IFERROR(__xludf.DUMMYFUNCTION("if(DO$2="""","""", index(GOOGLEFINANCE($B$6,""close"",DO$2,TODAY()),2,2))"),"")</f>
        <v/>
      </c>
      <c r="DP6" s="1" t="str">
        <f ca="1">IFERROR(__xludf.DUMMYFUNCTION("if(DP$2="""","""", index(GOOGLEFINANCE($B$6,""close"",DP$2,TODAY()),2,2))"),"")</f>
        <v/>
      </c>
      <c r="DQ6" s="1" t="str">
        <f ca="1">IFERROR(__xludf.DUMMYFUNCTION("if(DQ$2="""","""", index(GOOGLEFINANCE($B$6,""close"",DQ$2,TODAY()),2,2))"),"")</f>
        <v/>
      </c>
      <c r="DR6" s="1" t="str">
        <f ca="1">IFERROR(__xludf.DUMMYFUNCTION("if(DR$2="""","""", index(GOOGLEFINANCE($B$6,""close"",DR$2,TODAY()),2,2))"),"")</f>
        <v/>
      </c>
      <c r="DS6" s="1" t="str">
        <f ca="1">IFERROR(__xludf.DUMMYFUNCTION("if(DS$2="""","""", index(GOOGLEFINANCE($B$6,""close"",DS$2,TODAY()),2,2))"),"")</f>
        <v/>
      </c>
      <c r="DT6" s="1" t="str">
        <f ca="1">IFERROR(__xludf.DUMMYFUNCTION("if(DT$2="""","""", index(GOOGLEFINANCE($B$6,""close"",DT$2,TODAY()),2,2))"),"")</f>
        <v/>
      </c>
      <c r="DU6" s="1" t="str">
        <f ca="1">IFERROR(__xludf.DUMMYFUNCTION("if(DU$2="""","""", index(GOOGLEFINANCE($B$6,""close"",DU$2,TODAY()),2,2))"),"")</f>
        <v/>
      </c>
      <c r="DV6" s="1" t="str">
        <f ca="1">IFERROR(__xludf.DUMMYFUNCTION("if(DV$2="""","""", index(GOOGLEFINANCE($B$6,""close"",DV$2,TODAY()),2,2))"),"")</f>
        <v/>
      </c>
      <c r="DW6" s="1" t="str">
        <f ca="1">IFERROR(__xludf.DUMMYFUNCTION("if(DW$2="""","""", index(GOOGLEFINANCE($B$6,""close"",DW$2,TODAY()),2,2))"),"")</f>
        <v/>
      </c>
      <c r="DX6" s="1" t="str">
        <f ca="1">IFERROR(__xludf.DUMMYFUNCTION("if(DX$2="""","""", index(GOOGLEFINANCE($B$6,""close"",DX$2,TODAY()),2,2))"),"")</f>
        <v/>
      </c>
      <c r="DY6" s="1" t="str">
        <f ca="1">IFERROR(__xludf.DUMMYFUNCTION("if(DY$2="""","""", index(GOOGLEFINANCE($B$6,""close"",DY$2,TODAY()),2,2))"),"")</f>
        <v/>
      </c>
      <c r="DZ6" s="1" t="str">
        <f ca="1">IFERROR(__xludf.DUMMYFUNCTION("if(DZ$2="""","""", index(GOOGLEFINANCE($B$6,""close"",DZ$2,TODAY()),2,2))"),"")</f>
        <v/>
      </c>
      <c r="EA6" s="1" t="str">
        <f ca="1">IFERROR(__xludf.DUMMYFUNCTION("if(EA$2="""","""", index(GOOGLEFINANCE($B$6,""close"",EA$2,TODAY()),2,2))"),"")</f>
        <v/>
      </c>
      <c r="EB6" s="1" t="str">
        <f ca="1">IFERROR(__xludf.DUMMYFUNCTION("if(EB$2="""","""", index(GOOGLEFINANCE($B$6,""close"",EB$2,TODAY()),2,2))"),"")</f>
        <v/>
      </c>
      <c r="EC6" s="1" t="str">
        <f ca="1">IFERROR(__xludf.DUMMYFUNCTION("if(EC$2="""","""", index(GOOGLEFINANCE($B$6,""close"",EC$2,TODAY()),2,2))"),"")</f>
        <v/>
      </c>
      <c r="ED6" s="1" t="str">
        <f ca="1">IFERROR(__xludf.DUMMYFUNCTION("if(ED$2="""","""", index(GOOGLEFINANCE($B$6,""close"",ED$2,TODAY()),2,2))"),"")</f>
        <v/>
      </c>
      <c r="EE6" s="1" t="str">
        <f ca="1">IFERROR(__xludf.DUMMYFUNCTION("if(EE$2="""","""", index(GOOGLEFINANCE($B$6,""close"",EE$2,TODAY()),2,2))"),"")</f>
        <v/>
      </c>
      <c r="EF6" s="1" t="str">
        <f ca="1">IFERROR(__xludf.DUMMYFUNCTION("if(EF$2="""","""", index(GOOGLEFINANCE($B$6,""close"",EF$2,TODAY()),2,2))"),"")</f>
        <v/>
      </c>
      <c r="EG6" s="1" t="str">
        <f ca="1">IFERROR(__xludf.DUMMYFUNCTION("if(EG$2="""","""", index(GOOGLEFINANCE($B$6,""close"",EG$2,TODAY()),2,2))"),"")</f>
        <v/>
      </c>
      <c r="EH6" s="1" t="str">
        <f ca="1">IFERROR(__xludf.DUMMYFUNCTION("if(EH$2="""","""", index(GOOGLEFINANCE($B$6,""close"",EH$2,TODAY()),2,2))"),"")</f>
        <v/>
      </c>
      <c r="EI6" s="1" t="str">
        <f ca="1">IFERROR(__xludf.DUMMYFUNCTION("if(EI$2="""","""", index(GOOGLEFINANCE($B$6,""close"",EI$2,TODAY()),2,2))"),"")</f>
        <v/>
      </c>
      <c r="EJ6" s="1" t="str">
        <f ca="1">IFERROR(__xludf.DUMMYFUNCTION("if(EJ$2="""","""", index(GOOGLEFINANCE($B$6,""close"",EJ$2,TODAY()),2,2))"),"")</f>
        <v/>
      </c>
      <c r="EK6" s="1" t="str">
        <f ca="1">IFERROR(__xludf.DUMMYFUNCTION("if(EK$2="""","""", index(GOOGLEFINANCE($B$6,""close"",EK$2,TODAY()),2,2))"),"")</f>
        <v/>
      </c>
      <c r="EL6" s="1" t="str">
        <f ca="1">IFERROR(__xludf.DUMMYFUNCTION("if(EL$2="""","""", index(GOOGLEFINANCE($B$6,""close"",EL$2,TODAY()),2,2))"),"")</f>
        <v/>
      </c>
      <c r="EM6" s="1" t="str">
        <f ca="1">IFERROR(__xludf.DUMMYFUNCTION("if(EM$2="""","""", index(GOOGLEFINANCE($B$6,""close"",EM$2,TODAY()),2,2))"),"")</f>
        <v/>
      </c>
      <c r="EN6" s="1" t="str">
        <f ca="1">IFERROR(__xludf.DUMMYFUNCTION("if(EN$2="""","""", index(GOOGLEFINANCE($B$6,""close"",EN$2,TODAY()),2,2))"),"")</f>
        <v/>
      </c>
      <c r="EO6" s="1" t="str">
        <f ca="1">IFERROR(__xludf.DUMMYFUNCTION("if(EO$2="""","""", index(GOOGLEFINANCE($B$6,""close"",EO$2,TODAY()),2,2))"),"")</f>
        <v/>
      </c>
      <c r="EP6" s="1" t="str">
        <f ca="1">IFERROR(__xludf.DUMMYFUNCTION("if(EP$2="""","""", index(GOOGLEFINANCE($B$6,""close"",EP$2,TODAY()),2,2))"),"")</f>
        <v/>
      </c>
      <c r="EQ6" s="1" t="str">
        <f ca="1">IFERROR(__xludf.DUMMYFUNCTION("if(EQ$2="""","""", index(GOOGLEFINANCE($B$6,""close"",EQ$2,TODAY()),2,2))"),"")</f>
        <v/>
      </c>
      <c r="ER6" s="1" t="str">
        <f ca="1">IFERROR(__xludf.DUMMYFUNCTION("if(ER$2="""","""", index(GOOGLEFINANCE($B$6,""close"",ER$2,TODAY()),2,2))"),"")</f>
        <v/>
      </c>
      <c r="ES6" s="1" t="str">
        <f ca="1">IFERROR(__xludf.DUMMYFUNCTION("if(ES$2="""","""", index(GOOGLEFINANCE($B$6,""close"",ES$2,TODAY()),2,2))"),"")</f>
        <v/>
      </c>
      <c r="ET6" s="1" t="str">
        <f ca="1">IFERROR(__xludf.DUMMYFUNCTION("if(ET$2="""","""", index(GOOGLEFINANCE($B$6,""close"",ET$2,TODAY()),2,2))"),"")</f>
        <v/>
      </c>
      <c r="EU6" s="1" t="str">
        <f ca="1">IFERROR(__xludf.DUMMYFUNCTION("if(EU$2="""","""", index(GOOGLEFINANCE($B$6,""close"",EU$2,TODAY()),2,2))"),"")</f>
        <v/>
      </c>
      <c r="EV6" s="1" t="str">
        <f ca="1">IFERROR(__xludf.DUMMYFUNCTION("if(EV$2="""","""", index(GOOGLEFINANCE($B$6,""close"",EV$2,TODAY()),2,2))"),"")</f>
        <v/>
      </c>
      <c r="EW6" s="1" t="str">
        <f ca="1">IFERROR(__xludf.DUMMYFUNCTION("if(EW$2="""","""", index(GOOGLEFINANCE($B$6,""close"",EW$2,TODAY()),2,2))"),"")</f>
        <v/>
      </c>
      <c r="EX6" s="1" t="str">
        <f ca="1">IFERROR(__xludf.DUMMYFUNCTION("if(EX$2="""","""", index(GOOGLEFINANCE($B$6,""close"",EX$2,TODAY()),2,2))"),"")</f>
        <v/>
      </c>
      <c r="EY6" s="1" t="str">
        <f ca="1">IFERROR(__xludf.DUMMYFUNCTION("if(EY$2="""","""", index(GOOGLEFINANCE($B$6,""close"",EY$2,TODAY()),2,2))"),"")</f>
        <v/>
      </c>
      <c r="EZ6" s="1" t="str">
        <f ca="1">IFERROR(__xludf.DUMMYFUNCTION("if(EZ$2="""","""", index(GOOGLEFINANCE($B$6,""close"",EZ$2,TODAY()),2,2))"),"")</f>
        <v/>
      </c>
      <c r="FA6" s="1" t="str">
        <f ca="1">IFERROR(__xludf.DUMMYFUNCTION("if(FA$2="""","""", index(GOOGLEFINANCE($B$6,""close"",FA$2,TODAY()),2,2))"),"")</f>
        <v/>
      </c>
      <c r="FB6" s="1" t="str">
        <f ca="1">IFERROR(__xludf.DUMMYFUNCTION("if(FB$2="""","""", index(GOOGLEFINANCE($B$6,""close"",FB$2,TODAY()),2,2))"),"")</f>
        <v/>
      </c>
      <c r="FC6" s="1" t="str">
        <f ca="1">IFERROR(__xludf.DUMMYFUNCTION("if(FC$2="""","""", index(GOOGLEFINANCE($B$6,""close"",FC$2,TODAY()),2,2))"),"")</f>
        <v/>
      </c>
      <c r="FD6" s="1" t="str">
        <f ca="1">IFERROR(__xludf.DUMMYFUNCTION("if(FD$2="""","""", index(GOOGLEFINANCE($B$6,""close"",FD$2,TODAY()),2,2))"),"")</f>
        <v/>
      </c>
      <c r="FE6" s="1" t="str">
        <f ca="1">IFERROR(__xludf.DUMMYFUNCTION("if(FE$2="""","""", index(GOOGLEFINANCE($B$6,""close"",FE$2,TODAY()),2,2))"),"")</f>
        <v/>
      </c>
      <c r="FF6" s="1" t="str">
        <f ca="1">IFERROR(__xludf.DUMMYFUNCTION("if(FF$2="""","""", index(GOOGLEFINANCE($B$6,""close"",FF$2,TODAY()),2,2))"),"")</f>
        <v/>
      </c>
      <c r="FG6" s="1" t="str">
        <f ca="1">IFERROR(__xludf.DUMMYFUNCTION("if(FG$2="""","""", index(GOOGLEFINANCE($B$6,""close"",FG$2,TODAY()),2,2))"),"")</f>
        <v/>
      </c>
      <c r="FH6" s="1" t="str">
        <f ca="1">IFERROR(__xludf.DUMMYFUNCTION("if(FH$2="""","""", index(GOOGLEFINANCE($B$6,""close"",FH$2,TODAY()),2,2))"),"")</f>
        <v/>
      </c>
      <c r="FI6" s="1" t="str">
        <f ca="1">IFERROR(__xludf.DUMMYFUNCTION("if(FI$2="""","""", index(GOOGLEFINANCE($B$6,""close"",FI$2,TODAY()),2,2))"),"")</f>
        <v/>
      </c>
      <c r="FJ6" s="1" t="str">
        <f ca="1">IFERROR(__xludf.DUMMYFUNCTION("if(FJ$2="""","""", index(GOOGLEFINANCE($B$6,""close"",FJ$2,TODAY()),2,2))"),"")</f>
        <v/>
      </c>
      <c r="FK6" s="1" t="str">
        <f ca="1">IFERROR(__xludf.DUMMYFUNCTION("if(FK$2="""","""", index(GOOGLEFINANCE($B$6,""close"",FK$2,TODAY()),2,2))"),"")</f>
        <v/>
      </c>
      <c r="FL6" s="1" t="str">
        <f ca="1">IFERROR(__xludf.DUMMYFUNCTION("if(FL$2="""","""", index(GOOGLEFINANCE($B$6,""close"",FL$2,TODAY()),2,2))"),"")</f>
        <v/>
      </c>
      <c r="FM6" s="1" t="str">
        <f ca="1">IFERROR(__xludf.DUMMYFUNCTION("if(FM$2="""","""", index(GOOGLEFINANCE($B$6,""close"",FM$2,TODAY()),2,2))"),"")</f>
        <v/>
      </c>
      <c r="FN6" s="1" t="str">
        <f ca="1">IFERROR(__xludf.DUMMYFUNCTION("if(FN$2="""","""", index(GOOGLEFINANCE($B$6,""close"",FN$2,TODAY()),2,2))"),"")</f>
        <v/>
      </c>
      <c r="FO6" s="1" t="str">
        <f ca="1">IFERROR(__xludf.DUMMYFUNCTION("if(FO$2="""","""", index(GOOGLEFINANCE($B$6,""close"",FO$2,TODAY()),2,2))"),"")</f>
        <v/>
      </c>
      <c r="FP6" s="1" t="str">
        <f ca="1">IFERROR(__xludf.DUMMYFUNCTION("if(FP$2="""","""", index(GOOGLEFINANCE($B$6,""close"",FP$2,TODAY()),2,2))"),"")</f>
        <v/>
      </c>
      <c r="FQ6" s="1" t="str">
        <f ca="1">IFERROR(__xludf.DUMMYFUNCTION("if(FQ$2="""","""", index(GOOGLEFINANCE($B$6,""close"",FQ$2,TODAY()),2,2))"),"")</f>
        <v/>
      </c>
      <c r="FR6" s="1" t="str">
        <f ca="1">IFERROR(__xludf.DUMMYFUNCTION("if(FR$2="""","""", index(GOOGLEFINANCE($B$6,""close"",FR$2,TODAY()),2,2))"),"")</f>
        <v/>
      </c>
      <c r="FS6" s="1" t="str">
        <f ca="1">IFERROR(__xludf.DUMMYFUNCTION("if(FS$2="""","""", index(GOOGLEFINANCE($B$6,""close"",FS$2,TODAY()),2,2))"),"")</f>
        <v/>
      </c>
      <c r="FT6" s="1" t="str">
        <f ca="1">IFERROR(__xludf.DUMMYFUNCTION("if(FT$2="""","""", index(GOOGLEFINANCE($B$6,""close"",FT$2,TODAY()),2,2))"),"")</f>
        <v/>
      </c>
      <c r="FU6" s="1" t="str">
        <f ca="1">IFERROR(__xludf.DUMMYFUNCTION("if(FU$2="""","""", index(GOOGLEFINANCE($B$6,""close"",FU$2,TODAY()),2,2))"),"")</f>
        <v/>
      </c>
      <c r="FV6" s="1" t="str">
        <f ca="1">IFERROR(__xludf.DUMMYFUNCTION("if(FV$2="""","""", index(GOOGLEFINANCE($B$6,""close"",FV$2,TODAY()),2,2))"),"")</f>
        <v/>
      </c>
      <c r="FW6" s="1" t="str">
        <f ca="1">IFERROR(__xludf.DUMMYFUNCTION("if(FW$2="""","""", index(GOOGLEFINANCE($B$6,""close"",FW$2,TODAY()),2,2))"),"")</f>
        <v/>
      </c>
      <c r="FX6" s="1" t="str">
        <f ca="1">IFERROR(__xludf.DUMMYFUNCTION("if(FX$2="""","""", index(GOOGLEFINANCE($B$6,""close"",FX$2,TODAY()),2,2))"),"")</f>
        <v/>
      </c>
      <c r="FY6" s="1" t="str">
        <f ca="1">IFERROR(__xludf.DUMMYFUNCTION("if(FY$2="""","""", index(GOOGLEFINANCE($B$6,""close"",FY$2,TODAY()),2,2))"),"")</f>
        <v/>
      </c>
      <c r="FZ6" s="1" t="str">
        <f ca="1">IFERROR(__xludf.DUMMYFUNCTION("if(FZ$2="""","""", index(GOOGLEFINANCE($B$6,""close"",FZ$2,TODAY()),2,2))"),"")</f>
        <v/>
      </c>
      <c r="GA6" s="1" t="str">
        <f ca="1">IFERROR(__xludf.DUMMYFUNCTION("if(GA$2="""","""", index(GOOGLEFINANCE($B$6,""close"",GA$2,TODAY()),2,2))"),"")</f>
        <v/>
      </c>
      <c r="GB6" s="1" t="str">
        <f ca="1">IFERROR(__xludf.DUMMYFUNCTION("if(GB$2="""","""", index(GOOGLEFINANCE($B$6,""close"",GB$2,TODAY()),2,2))"),"")</f>
        <v/>
      </c>
      <c r="GC6" s="1" t="str">
        <f ca="1">IFERROR(__xludf.DUMMYFUNCTION("if(GC$2="""","""", index(GOOGLEFINANCE($B$6,""close"",GC$2,TODAY()),2,2))"),"")</f>
        <v/>
      </c>
      <c r="GD6" s="1" t="str">
        <f ca="1">IFERROR(__xludf.DUMMYFUNCTION("if(GD$2="""","""", index(GOOGLEFINANCE($B$6,""close"",GD$2,TODAY()),2,2))"),"")</f>
        <v/>
      </c>
      <c r="GE6" s="1" t="str">
        <f ca="1">IFERROR(__xludf.DUMMYFUNCTION("if(GE$2="""","""", index(GOOGLEFINANCE($B$6,""close"",GE$2,TODAY()),2,2))"),"")</f>
        <v/>
      </c>
      <c r="GF6" s="1" t="str">
        <f ca="1">IFERROR(__xludf.DUMMYFUNCTION("if(GF$2="""","""", index(GOOGLEFINANCE($B$6,""close"",GF$2,TODAY()),2,2))"),"")</f>
        <v/>
      </c>
      <c r="GG6" s="1" t="str">
        <f ca="1">IFERROR(__xludf.DUMMYFUNCTION("if(GG$2="""","""", index(GOOGLEFINANCE($B$6,""close"",GG$2,TODAY()),2,2))"),"")</f>
        <v/>
      </c>
      <c r="GH6" s="1" t="str">
        <f ca="1">IFERROR(__xludf.DUMMYFUNCTION("if(GH$2="""","""", index(GOOGLEFINANCE($B$6,""close"",GH$2,TODAY()),2,2))"),"")</f>
        <v/>
      </c>
      <c r="GI6" s="1" t="str">
        <f ca="1">IFERROR(__xludf.DUMMYFUNCTION("if(GI$2="""","""", index(GOOGLEFINANCE($B$6,""close"",GI$2,TODAY()),2,2))"),"")</f>
        <v/>
      </c>
      <c r="GJ6" s="1" t="str">
        <f ca="1">IFERROR(__xludf.DUMMYFUNCTION("if(GJ$2="""","""", index(GOOGLEFINANCE($B$6,""close"",GJ$2,TODAY()),2,2))"),"")</f>
        <v/>
      </c>
      <c r="GK6" s="1" t="str">
        <f ca="1">IFERROR(__xludf.DUMMYFUNCTION("if(GK$2="""","""", index(GOOGLEFINANCE($B$6,""close"",GK$2,TODAY()),2,2))"),"")</f>
        <v/>
      </c>
      <c r="GL6" s="1" t="str">
        <f ca="1">IFERROR(__xludf.DUMMYFUNCTION("if(GL$2="""","""", index(GOOGLEFINANCE($B$6,""close"",GL$2,TODAY()),2,2))"),"")</f>
        <v/>
      </c>
      <c r="GM6" s="1" t="str">
        <f ca="1">IFERROR(__xludf.DUMMYFUNCTION("if(GM$2="""","""", index(GOOGLEFINANCE($B$6,""close"",GM$2,TODAY()),2,2))"),"")</f>
        <v/>
      </c>
      <c r="GN6" s="1" t="str">
        <f ca="1">IFERROR(__xludf.DUMMYFUNCTION("if(GN$2="""","""", index(GOOGLEFINANCE($B$6,""close"",GN$2,TODAY()),2,2))"),"")</f>
        <v/>
      </c>
      <c r="GO6" s="1" t="str">
        <f ca="1">IFERROR(__xludf.DUMMYFUNCTION("if(GO$2="""","""", index(GOOGLEFINANCE($B$6,""close"",GO$2,TODAY()),2,2))"),"")</f>
        <v/>
      </c>
      <c r="GP6" s="1" t="str">
        <f ca="1">IFERROR(__xludf.DUMMYFUNCTION("if(GP$2="""","""", index(GOOGLEFINANCE($B$6,""close"",GP$2,TODAY()),2,2))"),"")</f>
        <v/>
      </c>
      <c r="GQ6" s="1" t="str">
        <f ca="1">IFERROR(__xludf.DUMMYFUNCTION("if(GQ$2="""","""", index(GOOGLEFINANCE($B$6,""close"",GQ$2,TODAY()),2,2))"),"")</f>
        <v/>
      </c>
      <c r="GR6" s="1" t="str">
        <f ca="1">IFERROR(__xludf.DUMMYFUNCTION("if(GR$2="""","""", index(GOOGLEFINANCE($B$6,""close"",GR$2,TODAY()),2,2))"),"")</f>
        <v/>
      </c>
      <c r="GS6" s="1" t="str">
        <f ca="1">IFERROR(__xludf.DUMMYFUNCTION("if(GS$2="""","""", index(GOOGLEFINANCE($B$6,""close"",GS$2,TODAY()),2,2))"),"")</f>
        <v/>
      </c>
      <c r="GT6" s="1" t="str">
        <f ca="1">IFERROR(__xludf.DUMMYFUNCTION("if(GT$2="""","""", index(GOOGLEFINANCE($B$6,""close"",GT$2,TODAY()),2,2))"),"")</f>
        <v/>
      </c>
      <c r="GU6" s="1" t="str">
        <f ca="1">IFERROR(__xludf.DUMMYFUNCTION("if(GU$2="""","""", index(GOOGLEFINANCE($B$6,""close"",GU$2,TODAY()),2,2))"),"")</f>
        <v/>
      </c>
      <c r="GV6" s="1" t="str">
        <f ca="1">IFERROR(__xludf.DUMMYFUNCTION("if(GV$2="""","""", index(GOOGLEFINANCE($B$6,""close"",GV$2,TODAY()),2,2))"),"")</f>
        <v/>
      </c>
      <c r="GW6" s="1" t="str">
        <f ca="1">IFERROR(__xludf.DUMMYFUNCTION("if(GW$2="""","""", index(GOOGLEFINANCE($B$6,""close"",GW$2,TODAY()),2,2))"),"")</f>
        <v/>
      </c>
      <c r="GX6" s="1" t="str">
        <f ca="1">IFERROR(__xludf.DUMMYFUNCTION("if(GX$2="""","""", index(GOOGLEFINANCE($B$6,""close"",GX$2,TODAY()),2,2))"),"")</f>
        <v/>
      </c>
      <c r="GY6" s="1" t="str">
        <f ca="1">IFERROR(__xludf.DUMMYFUNCTION("if(GY$2="""","""", index(GOOGLEFINANCE($B$6,""close"",GY$2,TODAY()),2,2))"),"")</f>
        <v/>
      </c>
      <c r="GZ6" s="1" t="str">
        <f ca="1">IFERROR(__xludf.DUMMYFUNCTION("if(GZ$2="""","""", index(GOOGLEFINANCE($B$6,""close"",GZ$2,TODAY()),2,2))"),"")</f>
        <v/>
      </c>
      <c r="HA6" s="1" t="str">
        <f ca="1">IFERROR(__xludf.DUMMYFUNCTION("if(HA$2="""","""", index(GOOGLEFINANCE($B$6,""close"",HA$2,TODAY()),2,2))"),"")</f>
        <v/>
      </c>
      <c r="HB6" s="1" t="str">
        <f ca="1">IFERROR(__xludf.DUMMYFUNCTION("if(HB$2="""","""", index(GOOGLEFINANCE($B$6,""close"",HB$2,TODAY()),2,2))"),"")</f>
        <v/>
      </c>
      <c r="HC6" s="1" t="str">
        <f ca="1">IFERROR(__xludf.DUMMYFUNCTION("if(HC$2="""","""", index(GOOGLEFINANCE($B$6,""close"",HC$2,TODAY()),2,2))"),"")</f>
        <v/>
      </c>
      <c r="HD6" s="1" t="str">
        <f ca="1">IFERROR(__xludf.DUMMYFUNCTION("if(HD$2="""","""", index(GOOGLEFINANCE($B$6,""close"",HD$2,TODAY()),2,2))"),"")</f>
        <v/>
      </c>
      <c r="HE6" s="1" t="str">
        <f ca="1">IFERROR(__xludf.DUMMYFUNCTION("if(HE$2="""","""", index(GOOGLEFINANCE($B$6,""close"",HE$2,TODAY()),2,2))"),"")</f>
        <v/>
      </c>
      <c r="HF6" s="1" t="str">
        <f ca="1">IFERROR(__xludf.DUMMYFUNCTION("if(HF$2="""","""", index(GOOGLEFINANCE($B$6,""close"",HF$2,TODAY()),2,2))"),"")</f>
        <v/>
      </c>
      <c r="HG6" s="1" t="str">
        <f ca="1">IFERROR(__xludf.DUMMYFUNCTION("if(HG$2="""","""", index(GOOGLEFINANCE($B$6,""close"",HG$2,TODAY()),2,2))"),"")</f>
        <v/>
      </c>
      <c r="HH6" s="1" t="str">
        <f ca="1">IFERROR(__xludf.DUMMYFUNCTION("if(HH$2="""","""", index(GOOGLEFINANCE($B$6,""close"",HH$2,TODAY()),2,2))"),"")</f>
        <v/>
      </c>
      <c r="HI6" s="1" t="str">
        <f ca="1">IFERROR(__xludf.DUMMYFUNCTION("if(HI$2="""","""", index(GOOGLEFINANCE($B$6,""close"",HI$2,TODAY()),2,2))"),"")</f>
        <v/>
      </c>
      <c r="HJ6" s="1" t="str">
        <f ca="1">IFERROR(__xludf.DUMMYFUNCTION("if(HJ$2="""","""", index(GOOGLEFINANCE($B$6,""close"",HJ$2,TODAY()),2,2))"),"")</f>
        <v/>
      </c>
      <c r="HK6" s="1" t="str">
        <f ca="1">IFERROR(__xludf.DUMMYFUNCTION("if(HK$2="""","""", index(GOOGLEFINANCE($B$6,""close"",HK$2,TODAY()),2,2))"),"")</f>
        <v/>
      </c>
      <c r="HL6" s="1" t="str">
        <f ca="1">IFERROR(__xludf.DUMMYFUNCTION("if(HL$2="""","""", index(GOOGLEFINANCE($B$6,""close"",HL$2,TODAY()),2,2))"),"")</f>
        <v/>
      </c>
      <c r="HM6" s="1" t="str">
        <f ca="1">IFERROR(__xludf.DUMMYFUNCTION("if(HM$2="""","""", index(GOOGLEFINANCE($B$6,""close"",HM$2,TODAY()),2,2))"),"")</f>
        <v/>
      </c>
      <c r="HN6" s="1" t="str">
        <f ca="1">IFERROR(__xludf.DUMMYFUNCTION("if(HN$2="""","""", index(GOOGLEFINANCE($B$6,""close"",HN$2,TODAY()),2,2))"),"")</f>
        <v/>
      </c>
      <c r="HO6" s="1" t="str">
        <f ca="1">IFERROR(__xludf.DUMMYFUNCTION("if(HO$2="""","""", index(GOOGLEFINANCE($B$6,""close"",HO$2,TODAY()),2,2))"),"")</f>
        <v/>
      </c>
      <c r="HP6" s="1" t="str">
        <f ca="1">IFERROR(__xludf.DUMMYFUNCTION("if(HP$2="""","""", index(GOOGLEFINANCE($B$6,""close"",HP$2,TODAY()),2,2))"),"")</f>
        <v/>
      </c>
      <c r="HQ6" s="1" t="str">
        <f ca="1">IFERROR(__xludf.DUMMYFUNCTION("if(HQ$2="""","""", index(GOOGLEFINANCE($B$6,""close"",HQ$2,TODAY()),2,2))"),"")</f>
        <v/>
      </c>
      <c r="HR6" s="1" t="str">
        <f ca="1">IFERROR(__xludf.DUMMYFUNCTION("if(HR$2="""","""", index(GOOGLEFINANCE($B$6,""close"",HR$2,TODAY()),2,2))"),"")</f>
        <v/>
      </c>
      <c r="HS6" s="1" t="str">
        <f ca="1">IFERROR(__xludf.DUMMYFUNCTION("if(HS$2="""","""", index(GOOGLEFINANCE($B$6,""close"",HS$2,TODAY()),2,2))"),"")</f>
        <v/>
      </c>
      <c r="HT6" s="1" t="str">
        <f ca="1">IFERROR(__xludf.DUMMYFUNCTION("if(HT$2="""","""", index(GOOGLEFINANCE($B$6,""close"",HT$2,TODAY()),2,2))"),"")</f>
        <v/>
      </c>
      <c r="HU6" s="1" t="str">
        <f ca="1">IFERROR(__xludf.DUMMYFUNCTION("if(HU$2="""","""", index(GOOGLEFINANCE($B$6,""close"",HU$2,TODAY()),2,2))"),"")</f>
        <v/>
      </c>
      <c r="HV6" s="1" t="str">
        <f ca="1">IFERROR(__xludf.DUMMYFUNCTION("if(HV$2="""","""", index(GOOGLEFINANCE($B$6,""close"",HV$2,TODAY()),2,2))"),"")</f>
        <v/>
      </c>
      <c r="HW6" s="1" t="str">
        <f ca="1">IFERROR(__xludf.DUMMYFUNCTION("if(HW$2="""","""", index(GOOGLEFINANCE($B$6,""close"",HW$2,TODAY()),2,2))"),"")</f>
        <v/>
      </c>
      <c r="HX6" s="1" t="str">
        <f ca="1">IFERROR(__xludf.DUMMYFUNCTION("if(HX$2="""","""", index(GOOGLEFINANCE($B$6,""close"",HX$2,TODAY()),2,2))"),"")</f>
        <v/>
      </c>
      <c r="HY6" s="1" t="str">
        <f ca="1">IFERROR(__xludf.DUMMYFUNCTION("if(HY$2="""","""", index(GOOGLEFINANCE($B$6,""close"",HY$2,TODAY()),2,2))"),"")</f>
        <v/>
      </c>
      <c r="HZ6" s="1" t="str">
        <f ca="1">IFERROR(__xludf.DUMMYFUNCTION("if(HZ$2="""","""", index(GOOGLEFINANCE($B$6,""close"",HZ$2,TODAY()),2,2))"),"")</f>
        <v/>
      </c>
      <c r="IA6" s="1" t="str">
        <f ca="1">IFERROR(__xludf.DUMMYFUNCTION("if(IA$2="""","""", index(GOOGLEFINANCE($B$6,""close"",IA$2,TODAY()),2,2))"),"")</f>
        <v/>
      </c>
      <c r="IB6" s="1" t="str">
        <f ca="1">IFERROR(__xludf.DUMMYFUNCTION("if(IB$2="""","""", index(GOOGLEFINANCE($B$6,""close"",IB$2,TODAY()),2,2))"),"")</f>
        <v/>
      </c>
      <c r="IC6" s="1" t="str">
        <f ca="1">IFERROR(__xludf.DUMMYFUNCTION("if(IC$2="""","""", index(GOOGLEFINANCE($B$6,""close"",IC$2,TODAY()),2,2))"),"")</f>
        <v/>
      </c>
      <c r="ID6" s="1" t="str">
        <f ca="1">IFERROR(__xludf.DUMMYFUNCTION("if(ID$2="""","""", index(GOOGLEFINANCE($B$6,""close"",ID$2,TODAY()),2,2))"),"")</f>
        <v/>
      </c>
      <c r="IE6" s="1" t="str">
        <f ca="1">IFERROR(__xludf.DUMMYFUNCTION("if(IE$2="""","""", index(GOOGLEFINANCE($B$6,""close"",IE$2,TODAY()),2,2))"),"")</f>
        <v/>
      </c>
      <c r="IF6" s="1" t="str">
        <f ca="1">IFERROR(__xludf.DUMMYFUNCTION("if(IF$2="""","""", index(GOOGLEFINANCE($B$6,""close"",IF$2,TODAY()),2,2))"),"")</f>
        <v/>
      </c>
      <c r="IG6" s="1" t="str">
        <f ca="1">IFERROR(__xludf.DUMMYFUNCTION("if(IG$2="""","""", index(GOOGLEFINANCE($B$6,""close"",IG$2,TODAY()),2,2))"),"")</f>
        <v/>
      </c>
      <c r="IH6" s="1" t="str">
        <f ca="1">IFERROR(__xludf.DUMMYFUNCTION("if(IH$2="""","""", index(GOOGLEFINANCE($B$6,""close"",IH$2,TODAY()),2,2))"),"")</f>
        <v/>
      </c>
      <c r="II6" s="1" t="str">
        <f ca="1">IFERROR(__xludf.DUMMYFUNCTION("if(II$2="""","""", index(GOOGLEFINANCE($B$6,""close"",II$2,TODAY()),2,2))"),"")</f>
        <v/>
      </c>
      <c r="IJ6" s="1" t="str">
        <f ca="1">IFERROR(__xludf.DUMMYFUNCTION("if(IJ$2="""","""", index(GOOGLEFINANCE($B$6,""close"",IJ$2,TODAY()),2,2))"),"")</f>
        <v/>
      </c>
      <c r="IK6" s="1" t="str">
        <f ca="1">IFERROR(__xludf.DUMMYFUNCTION("if(IK$2="""","""", index(GOOGLEFINANCE($B$6,""close"",IK$2,TODAY()),2,2))"),"")</f>
        <v/>
      </c>
      <c r="IL6" s="1" t="str">
        <f ca="1">IFERROR(__xludf.DUMMYFUNCTION("if(IL$2="""","""", index(GOOGLEFINANCE($B$6,""close"",IL$2,TODAY()),2,2))"),"")</f>
        <v/>
      </c>
      <c r="IM6" s="1" t="str">
        <f ca="1">IFERROR(__xludf.DUMMYFUNCTION("if(IM$2="""","""", index(GOOGLEFINANCE($B$6,""close"",IM$2,TODAY()),2,2))"),"")</f>
        <v/>
      </c>
      <c r="IN6" s="1" t="str">
        <f ca="1">IFERROR(__xludf.DUMMYFUNCTION("if(IN$2="""","""", index(GOOGLEFINANCE($B$6,""close"",IN$2,TODAY()),2,2))"),"")</f>
        <v/>
      </c>
      <c r="IO6" s="1" t="str">
        <f ca="1">IFERROR(__xludf.DUMMYFUNCTION("if(IO$2="""","""", index(GOOGLEFINANCE($B$6,""close"",IO$2,TODAY()),2,2))"),"")</f>
        <v/>
      </c>
      <c r="IP6" s="1" t="str">
        <f ca="1">IFERROR(__xludf.DUMMYFUNCTION("if(IP$2="""","""", index(GOOGLEFINANCE($B$6,""close"",IP$2,TODAY()),2,2))"),"")</f>
        <v/>
      </c>
      <c r="IQ6" s="1" t="str">
        <f ca="1">IFERROR(__xludf.DUMMYFUNCTION("if(IQ$2="""","""", index(GOOGLEFINANCE($B$6,""close"",IQ$2,TODAY()),2,2))"),"")</f>
        <v/>
      </c>
      <c r="IR6" s="1" t="str">
        <f ca="1">IFERROR(__xludf.DUMMYFUNCTION("if(IR$2="""","""", index(GOOGLEFINANCE($B$6,""close"",IR$2,TODAY()),2,2))"),"")</f>
        <v/>
      </c>
      <c r="IS6" s="1" t="str">
        <f ca="1">IFERROR(__xludf.DUMMYFUNCTION("if(IS$2="""","""", index(GOOGLEFINANCE($B$6,""close"",IS$2,TODAY()),2,2))"),"")</f>
        <v/>
      </c>
      <c r="IT6" s="1" t="str">
        <f ca="1">IFERROR(__xludf.DUMMYFUNCTION("if(IT$2="""","""", index(GOOGLEFINANCE($B$6,""close"",IT$2,TODAY()),2,2))"),"")</f>
        <v/>
      </c>
      <c r="IU6" s="1" t="str">
        <f ca="1">IFERROR(__xludf.DUMMYFUNCTION("if(IU$2="""","""", index(GOOGLEFINANCE($B$6,""close"",IU$2,TODAY()),2,2))"),"")</f>
        <v/>
      </c>
      <c r="IV6" s="1" t="str">
        <f ca="1">IFERROR(__xludf.DUMMYFUNCTION("if(IV$2="""","""", index(GOOGLEFINANCE($B$6,""close"",IV$2,TODAY()),2,2))"),"")</f>
        <v/>
      </c>
      <c r="IW6" s="1" t="str">
        <f ca="1">IFERROR(__xludf.DUMMYFUNCTION("if(IW$2="""","""", index(GOOGLEFINANCE($B$6,""close"",IW$2,TODAY()),2,2))"),"")</f>
        <v/>
      </c>
      <c r="IX6" s="1" t="str">
        <f ca="1">IFERROR(__xludf.DUMMYFUNCTION("if(IX$2="""","""", index(GOOGLEFINANCE($B$6,""close"",IX$2,TODAY()),2,2))"),"")</f>
        <v/>
      </c>
      <c r="IY6" s="1" t="str">
        <f ca="1">IFERROR(__xludf.DUMMYFUNCTION("if(IY$2="""","""", index(GOOGLEFINANCE($B$6,""close"",IY$2,TODAY()),2,2))"),"")</f>
        <v/>
      </c>
      <c r="IZ6" s="1" t="str">
        <f ca="1">IFERROR(__xludf.DUMMYFUNCTION("if(IZ$2="""","""", index(GOOGLEFINANCE($B$6,""close"",IZ$2,TODAY()),2,2))"),"")</f>
        <v/>
      </c>
      <c r="JA6" s="1" t="str">
        <f ca="1">IFERROR(__xludf.DUMMYFUNCTION("if(JA$2="""","""", index(GOOGLEFINANCE($B$6,""close"",JA$2,TODAY()),2,2))"),"")</f>
        <v/>
      </c>
      <c r="JB6" s="1" t="str">
        <f ca="1">IFERROR(__xludf.DUMMYFUNCTION("if(JB$2="""","""", index(GOOGLEFINANCE($B$6,""close"",JB$2,TODAY()),2,2))"),"")</f>
        <v/>
      </c>
      <c r="JC6" s="1" t="str">
        <f ca="1">IFERROR(__xludf.DUMMYFUNCTION("if(JC$2="""","""", index(GOOGLEFINANCE($B$6,""close"",JC$2,TODAY()),2,2))"),"")</f>
        <v/>
      </c>
      <c r="JD6" s="1" t="str">
        <f ca="1">IFERROR(__xludf.DUMMYFUNCTION("if(JD$2="""","""", index(GOOGLEFINANCE($B$6,""close"",JD$2,TODAY()),2,2))"),"")</f>
        <v/>
      </c>
      <c r="JE6" s="1" t="str">
        <f ca="1">IFERROR(__xludf.DUMMYFUNCTION("if(JE$2="""","""", index(GOOGLEFINANCE($B$6,""close"",JE$2,TODAY()),2,2))"),"")</f>
        <v/>
      </c>
      <c r="JF6" s="1" t="str">
        <f ca="1">IFERROR(__xludf.DUMMYFUNCTION("if(JF$2="""","""", index(GOOGLEFINANCE($B$6,""close"",JF$2,TODAY()),2,2))"),"")</f>
        <v/>
      </c>
      <c r="JG6" s="1" t="str">
        <f ca="1">IFERROR(__xludf.DUMMYFUNCTION("if(JG$2="""","""", index(GOOGLEFINANCE($B$6,""close"",JG$2,TODAY()),2,2))"),"")</f>
        <v/>
      </c>
      <c r="JH6" s="1" t="str">
        <f ca="1">IFERROR(__xludf.DUMMYFUNCTION("if(JH$2="""","""", index(GOOGLEFINANCE($B$6,""close"",JH$2,TODAY()),2,2))"),"")</f>
        <v/>
      </c>
      <c r="JI6" s="1" t="str">
        <f ca="1">IFERROR(__xludf.DUMMYFUNCTION("if(JI$2="""","""", index(GOOGLEFINANCE($B$6,""close"",JI$2,TODAY()),2,2))"),"")</f>
        <v/>
      </c>
      <c r="JJ6" s="1" t="str">
        <f ca="1">IFERROR(__xludf.DUMMYFUNCTION("if(JJ$2="""","""", index(GOOGLEFINANCE($B$6,""close"",JJ$2,TODAY()),2,2))"),"")</f>
        <v/>
      </c>
      <c r="JK6" s="1" t="str">
        <f ca="1">IFERROR(__xludf.DUMMYFUNCTION("if(JK$2="""","""", index(GOOGLEFINANCE($B$6,""close"",JK$2,TODAY()),2,2))"),"")</f>
        <v/>
      </c>
      <c r="JL6" s="1" t="str">
        <f ca="1">IFERROR(__xludf.DUMMYFUNCTION("if(JL$2="""","""", index(GOOGLEFINANCE($B$6,""close"",JL$2,TODAY()),2,2))"),"")</f>
        <v/>
      </c>
      <c r="JM6" s="1" t="str">
        <f ca="1">IFERROR(__xludf.DUMMYFUNCTION("if(JM$2="""","""", index(GOOGLEFINANCE($B$6,""close"",JM$2,TODAY()),2,2))"),"")</f>
        <v/>
      </c>
      <c r="JN6" s="1" t="str">
        <f ca="1">IFERROR(__xludf.DUMMYFUNCTION("if(JN$2="""","""", index(GOOGLEFINANCE($B$6,""close"",JN$2,TODAY()),2,2))"),"")</f>
        <v/>
      </c>
      <c r="JO6" s="1" t="str">
        <f ca="1">IFERROR(__xludf.DUMMYFUNCTION("if(JO$2="""","""", index(GOOGLEFINANCE($B$6,""close"",JO$2,TODAY()),2,2))"),"")</f>
        <v/>
      </c>
      <c r="JP6" s="1" t="str">
        <f ca="1">IFERROR(__xludf.DUMMYFUNCTION("if(JP$2="""","""", index(GOOGLEFINANCE($B$6,""close"",JP$2,TODAY()),2,2))"),"")</f>
        <v/>
      </c>
      <c r="JQ6" s="1" t="str">
        <f ca="1">IFERROR(__xludf.DUMMYFUNCTION("if(JQ$2="""","""", index(GOOGLEFINANCE($B$6,""close"",JQ$2,TODAY()),2,2))"),"")</f>
        <v/>
      </c>
      <c r="JR6" s="1" t="str">
        <f ca="1">IFERROR(__xludf.DUMMYFUNCTION("if(JR$2="""","""", index(GOOGLEFINANCE($B$6,""close"",JR$2,TODAY()),2,2))"),"")</f>
        <v/>
      </c>
      <c r="JS6" s="1" t="str">
        <f ca="1">IFERROR(__xludf.DUMMYFUNCTION("if(JS$2="""","""", index(GOOGLEFINANCE($B$6,""close"",JS$2,TODAY()),2,2))"),"")</f>
        <v/>
      </c>
      <c r="JT6" s="1" t="str">
        <f ca="1">IFERROR(__xludf.DUMMYFUNCTION("if(JT$2="""","""", index(GOOGLEFINANCE($B$6,""close"",JT$2,TODAY()),2,2))"),"")</f>
        <v/>
      </c>
      <c r="JU6" s="1" t="str">
        <f ca="1">IFERROR(__xludf.DUMMYFUNCTION("if(JU$2="""","""", index(GOOGLEFINANCE($B$6,""close"",JU$2,TODAY()),2,2))"),"")</f>
        <v/>
      </c>
      <c r="JV6" s="1" t="str">
        <f ca="1">IFERROR(__xludf.DUMMYFUNCTION("if(JV$2="""","""", index(GOOGLEFINANCE($B$6,""close"",JV$2,TODAY()),2,2))"),"")</f>
        <v/>
      </c>
      <c r="JW6" s="1" t="str">
        <f ca="1">IFERROR(__xludf.DUMMYFUNCTION("if(JW$2="""","""", index(GOOGLEFINANCE($B$6,""close"",JW$2,TODAY()),2,2))"),"")</f>
        <v/>
      </c>
      <c r="JX6" s="1" t="str">
        <f ca="1">IFERROR(__xludf.DUMMYFUNCTION("if(JX$2="""","""", index(GOOGLEFINANCE($B$6,""close"",JX$2,TODAY()),2,2))"),"")</f>
        <v/>
      </c>
      <c r="JY6" s="1" t="str">
        <f ca="1">IFERROR(__xludf.DUMMYFUNCTION("if(JY$2="""","""", index(GOOGLEFINANCE($B$6,""close"",JY$2,TODAY()),2,2))"),"")</f>
        <v/>
      </c>
      <c r="JZ6" s="1" t="str">
        <f ca="1">IFERROR(__xludf.DUMMYFUNCTION("if(JZ$2="""","""", index(GOOGLEFINANCE($B$6,""close"",JZ$2,TODAY()),2,2))"),"")</f>
        <v/>
      </c>
      <c r="KA6" s="1" t="str">
        <f ca="1">IFERROR(__xludf.DUMMYFUNCTION("if(KA$2="""","""", index(GOOGLEFINANCE($B$6,""close"",KA$2,TODAY()),2,2))"),"")</f>
        <v/>
      </c>
      <c r="KB6" s="1" t="str">
        <f ca="1">IFERROR(__xludf.DUMMYFUNCTION("if(KB$2="""","""", index(GOOGLEFINANCE($B$6,""close"",KB$2,TODAY()),2,2))"),"")</f>
        <v/>
      </c>
      <c r="KC6" s="1" t="str">
        <f ca="1">IFERROR(__xludf.DUMMYFUNCTION("if(KC$2="""","""", index(GOOGLEFINANCE($B$6,""close"",KC$2,TODAY()),2,2))"),"")</f>
        <v/>
      </c>
      <c r="KD6" s="1" t="str">
        <f ca="1">IFERROR(__xludf.DUMMYFUNCTION("if(KD$2="""","""", index(GOOGLEFINANCE($B$6,""close"",KD$2,TODAY()),2,2))"),"")</f>
        <v/>
      </c>
      <c r="KE6" s="1" t="str">
        <f ca="1">IFERROR(__xludf.DUMMYFUNCTION("if(KE$2="""","""", index(GOOGLEFINANCE($B$6,""close"",KE$2,TODAY()),2,2))"),"")</f>
        <v/>
      </c>
      <c r="KF6" s="1" t="str">
        <f ca="1">IFERROR(__xludf.DUMMYFUNCTION("if(KF$2="""","""", index(GOOGLEFINANCE($B$6,""close"",KF$2,TODAY()),2,2))"),"")</f>
        <v/>
      </c>
      <c r="KG6" s="1" t="str">
        <f ca="1">IFERROR(__xludf.DUMMYFUNCTION("if(KG$2="""","""", index(GOOGLEFINANCE($B$6,""close"",KG$2,TODAY()),2,2))"),"")</f>
        <v/>
      </c>
    </row>
    <row r="7" spans="1:319" ht="15.75" customHeight="1">
      <c r="A7" s="18" t="s">
        <v>30</v>
      </c>
      <c r="B7" s="6" t="s">
        <v>51</v>
      </c>
      <c r="C7" s="1">
        <f ca="1">IFERROR(__xludf.DUMMYFUNCTION("if(C$2="""","""", index(GOOGLEFINANCE($B$7,""close"",C$2,TODAY()),2,2))"),183.16)</f>
        <v>183.16</v>
      </c>
      <c r="D7" s="1">
        <f ca="1">IFERROR(__xludf.DUMMYFUNCTION("if(D$2="""","""", index(GOOGLEFINANCE($B$7,""close"",D$2,TODAY()),2,2))"),178.3)</f>
        <v>178.3</v>
      </c>
      <c r="E7" s="1">
        <f ca="1">IFERROR(__xludf.DUMMYFUNCTION("if(E$2="""","""", index(GOOGLEFINANCE($B$7,""close"",E$2,TODAY()),2,2))"),172.62)</f>
        <v>172.62</v>
      </c>
      <c r="F7" s="1">
        <f ca="1">IFERROR(__xludf.DUMMYFUNCTION("if(F$2="""","""", index(GOOGLEFINANCE($B$7,""close"",F$2,TODAY()),2,2))"),173.12)</f>
        <v>173.12</v>
      </c>
      <c r="G7" s="1">
        <f ca="1">IFERROR(__xludf.DUMMYFUNCTION("if(G$2="""","""", index(GOOGLEFINANCE($B$7,""close"",G$2,TODAY()),2,2))"),166.02)</f>
        <v>166.02</v>
      </c>
      <c r="H7" s="1">
        <f ca="1">IFERROR(__xludf.DUMMYFUNCTION("if(H$2="""","""", index(GOOGLEFINANCE($B$7,""close"",H$2,TODAY()),2,2))"),165.88)</f>
        <v>165.88</v>
      </c>
      <c r="I7" s="1">
        <f ca="1">IFERROR(__xludf.DUMMYFUNCTION("if(I$2="""","""", index(GOOGLEFINANCE($B$7,""close"",I$2,TODAY()),2,2))"),169.23)</f>
        <v>169.23</v>
      </c>
      <c r="J7" s="1">
        <f ca="1">IFERROR(__xludf.DUMMYFUNCTION("if(J$2="""","""", index(GOOGLEFINANCE($B$7,""close"",J$2,TODAY()),2,2))"),170.18)</f>
        <v>170.18</v>
      </c>
      <c r="K7" s="1">
        <f ca="1">IFERROR(__xludf.DUMMYFUNCTION("if(K$2="""","""", index(GOOGLEFINANCE($B$7,""close"",K$2,TODAY()),2,2))"),163.16)</f>
        <v>163.16</v>
      </c>
      <c r="L7" s="1">
        <f ca="1">IFERROR(__xludf.DUMMYFUNCTION("if(L$2="""","""", index(GOOGLEFINANCE($B$7,""close"",L$2,TODAY()),2,2))"),161.75)</f>
        <v>161.75</v>
      </c>
      <c r="M7" s="1">
        <f ca="1">IFERROR(__xludf.DUMMYFUNCTION("if(M$2="""","""", index(GOOGLEFINANCE($B$7,""close"",M$2,TODAY()),2,2))"),153.53)</f>
        <v>153.53</v>
      </c>
      <c r="N7" s="1">
        <f ca="1">IFERROR(__xludf.DUMMYFUNCTION("if(N$2="""","""", index(GOOGLEFINANCE($B$7,""close"",N$2,TODAY()),2,2))"),153.17)</f>
        <v>153.16999999999999</v>
      </c>
      <c r="O7" s="1">
        <f ca="1">IFERROR(__xludf.DUMMYFUNCTION("if(O$2="""","""", index(GOOGLEFINANCE($B$7,""close"",O$2,TODAY()),2,2))"),150.31)</f>
        <v>150.31</v>
      </c>
      <c r="P7" s="1">
        <f ca="1">IFERROR(__xludf.DUMMYFUNCTION("if(P$2="""","""", index(GOOGLEFINANCE($B$7,""close"",P$2,TODAY()),2,2))"),148.3)</f>
        <v>148.30000000000001</v>
      </c>
      <c r="Q7" s="1">
        <f ca="1">IFERROR(__xludf.DUMMYFUNCTION("if(Q$2="""","""", index(GOOGLEFINANCE($B$7,""close"",Q$2,TODAY()),2,2))"),151.66)</f>
        <v>151.66</v>
      </c>
      <c r="R7" s="1">
        <f ca="1">IFERROR(__xludf.DUMMYFUNCTION("if(R$2="""","""", index(GOOGLEFINANCE($B$7,""close"",R$2,TODAY()),2,2))"),142.39)</f>
        <v>142.38999999999999</v>
      </c>
      <c r="S7" s="1">
        <f ca="1">IFERROR(__xludf.DUMMYFUNCTION("if(S$2="""","""", index(GOOGLEFINANCE($B$7,""close"",S$2,TODAY()),2,2))"),141.49)</f>
        <v>141.49</v>
      </c>
      <c r="T7" s="1">
        <f ca="1">IFERROR(__xludf.DUMMYFUNCTION("if(T$2="""","""", index(GOOGLEFINANCE($B$7,""close"",T$2,TODAY()),2,2))"),138.98)</f>
        <v>138.97999999999999</v>
      </c>
      <c r="U7" s="1">
        <f ca="1">IFERROR(__xludf.DUMMYFUNCTION("if(U$2="""","""", index(GOOGLEFINANCE($B$7,""close"",U$2,TODAY()),2,2))"),145.42)</f>
        <v>145.41999999999999</v>
      </c>
      <c r="V7" s="1">
        <f ca="1">IFERROR(__xludf.DUMMYFUNCTION("if(V$2="""","""", index(GOOGLEFINANCE($B$7,""close"",V$2,TODAY()),2,2))"),152.14)</f>
        <v>152.13999999999999</v>
      </c>
      <c r="W7" s="1">
        <f ca="1">IFERROR(__xludf.DUMMYFUNCTION("if(W$2="""","""", index(GOOGLEFINANCE($B$7,""close"",W$2,TODAY()),2,2))"),151.61)</f>
        <v>151.61000000000001</v>
      </c>
      <c r="X7" s="1">
        <f ca="1">IFERROR(__xludf.DUMMYFUNCTION("if(X$2="""","""", index(GOOGLEFINANCE($B$7,""close"",X$2,TODAY()),2,2))"),153.13)</f>
        <v>153.13</v>
      </c>
      <c r="Y7" s="1">
        <f ca="1">IFERROR(__xludf.DUMMYFUNCTION("if(Y$2="""","""", index(GOOGLEFINANCE($B$7,""close"",Y$2,TODAY()),2,2))"),146.42)</f>
        <v>146.41999999999999</v>
      </c>
      <c r="Z7" s="1">
        <f ca="1">IFERROR(__xludf.DUMMYFUNCTION("if(Z$2="""","""", index(GOOGLEFINANCE($B$7,""close"",Z$2,TODAY()),2,2))"),147.51)</f>
        <v>147.51</v>
      </c>
      <c r="AA7" s="1">
        <f ca="1">IFERROR(__xludf.DUMMYFUNCTION("if(AA$2="""","""", index(GOOGLEFINANCE($B$7,""close"",AA$2,TODAY()),2,2))"),146.72)</f>
        <v>146.72</v>
      </c>
      <c r="AB7" s="1">
        <f ca="1">IFERROR(__xludf.DUMMYFUNCTION("if(AB$2="""","""", index(GOOGLEFINANCE($B$7,""close"",AB$2,TODAY()),2,2))"),148.37)</f>
        <v>148.37</v>
      </c>
      <c r="AC7" s="1">
        <f ca="1">IFERROR(__xludf.DUMMYFUNCTION("if(AC$2="""","""", index(GOOGLEFINANCE($B$7,""close"",AC$2,TODAY()),2,2))"),154.4)</f>
        <v>154.4</v>
      </c>
      <c r="AD7" s="1">
        <f ca="1">IFERROR(__xludf.DUMMYFUNCTION("if(AD$2="""","""", index(GOOGLEFINANCE($B$7,""close"",AD$2,TODAY()),2,2))"),148.87)</f>
        <v>148.87</v>
      </c>
      <c r="AE7" s="1">
        <f ca="1">IFERROR(__xludf.DUMMYFUNCTION("if(AE$2="""","""", index(GOOGLEFINANCE($B$7,""close"",AE$2,TODAY()),2,2))"),142.5)</f>
        <v>142.5</v>
      </c>
      <c r="AF7" s="1">
        <f ca="1">IFERROR(__xludf.DUMMYFUNCTION("if(AF$2="""","""", index(GOOGLEFINANCE($B$7,""close"",AF$2,TODAY()),2,2))"),142.08)</f>
        <v>142.08000000000001</v>
      </c>
      <c r="AG7" s="1">
        <f ca="1">IFERROR(__xludf.DUMMYFUNCTION("if(AG$2="""","""", index(GOOGLEFINANCE($B$7,""close"",AG$2,TODAY()),2,2))"),146.07)</f>
        <v>146.07</v>
      </c>
      <c r="AH7" s="1">
        <f ca="1">IFERROR(__xludf.DUMMYFUNCTION("if(AH$2="""","""", index(GOOGLEFINANCE($B$7,""close"",AH$2,TODAY()),2,2))"),145.85)</f>
        <v>145.85</v>
      </c>
      <c r="AI7" s="1">
        <f ca="1">IFERROR(__xludf.DUMMYFUNCTION("if(AI$2="""","""", index(GOOGLEFINANCE($B$7,""close"",AI$2,TODAY()),2,2))"),138.22)</f>
        <v>138.22</v>
      </c>
      <c r="AJ7" s="1">
        <f ca="1">IFERROR(__xludf.DUMMYFUNCTION("if(AJ$2="""","""", index(GOOGLEFINANCE($B$7,""close"",AJ$2,TODAY()),2,2))"),134.95)</f>
        <v>134.94999999999999</v>
      </c>
      <c r="AK7" s="1">
        <f ca="1">IFERROR(__xludf.DUMMYFUNCTION("if(AK$2="""","""", index(GOOGLEFINANCE($B$7,""close"",AK$2,TODAY()),2,2))"),135.21)</f>
        <v>135.21</v>
      </c>
      <c r="AL7" s="1">
        <f ca="1">IFERROR(__xludf.DUMMYFUNCTION("if(AL$2="""","""", index(GOOGLEFINANCE($B$7,""close"",AL$2,TODAY()),2,2))"),140.88)</f>
        <v>140.88</v>
      </c>
      <c r="AM7" s="1">
        <f ca="1">IFERROR(__xludf.DUMMYFUNCTION("if(AM$2="""","""", index(GOOGLEFINANCE($B$7,""close"",AM$2,TODAY()),2,2))"),149.04)</f>
        <v>149.04</v>
      </c>
      <c r="AN7" s="1">
        <f ca="1">IFERROR(__xludf.DUMMYFUNCTION("if(AN$2="""","""", index(GOOGLEFINANCE($B$7,""close"",AN$2,TODAY()),2,2))"),152.93)</f>
        <v>152.93</v>
      </c>
      <c r="AO7" s="1">
        <f ca="1">IFERROR(__xludf.DUMMYFUNCTION("if(AO$2="""","""", index(GOOGLEFINANCE($B$7,""close"",AO$2,TODAY()),2,2))"),151.43)</f>
        <v>151.43</v>
      </c>
      <c r="AP7" s="1">
        <f ca="1">IFERROR(__xludf.DUMMYFUNCTION("if(AP$2="""","""", index(GOOGLEFINANCE($B$7,""close"",AP$2,TODAY()),2,2))"),150.53)</f>
        <v>150.53</v>
      </c>
      <c r="AQ7" s="1">
        <f ca="1">IFERROR(__xludf.DUMMYFUNCTION("if(AQ$2="""","""", index(GOOGLEFINANCE($B$7,""close"",AQ$2,TODAY()),2,2))"),157.46)</f>
        <v>157.46</v>
      </c>
      <c r="AR7" s="1">
        <f ca="1">IFERROR(__xludf.DUMMYFUNCTION("if(AR$2="""","""", index(GOOGLEFINANCE($B$7,""close"",AR$2,TODAY()),2,2))"),153.94)</f>
        <v>153.94</v>
      </c>
      <c r="AS7" s="1">
        <f ca="1">IFERROR(__xludf.DUMMYFUNCTION("if(AS$2="""","""", index(GOOGLEFINANCE($B$7,""close"",AS$2,TODAY()),2,2))"),154.69)</f>
        <v>154.69</v>
      </c>
      <c r="AT7" s="1">
        <f ca="1">IFERROR(__xludf.DUMMYFUNCTION("if(AT$2="""","""", index(GOOGLEFINANCE($B$7,""close"",AT$2,TODAY()),2,2))"),150.4)</f>
        <v>150.4</v>
      </c>
      <c r="AU7" s="1">
        <f ca="1">IFERROR(__xludf.DUMMYFUNCTION("if(AU$2="""","""", index(GOOGLEFINANCE($B$7,""close"",AU$2,TODAY()),2,2))"),145.8)</f>
        <v>145.80000000000001</v>
      </c>
      <c r="AV7" s="1">
        <f ca="1">IFERROR(__xludf.DUMMYFUNCTION("if(AV$2="""","""", index(GOOGLEFINANCE($B$7,""close"",AV$2,TODAY()),2,2))"),150.89)</f>
        <v>150.88999999999999</v>
      </c>
      <c r="AW7" s="1">
        <f ca="1">IFERROR(__xludf.DUMMYFUNCTION("if(AW$2="""","""", index(GOOGLEFINANCE($B$7,""close"",AW$2,TODAY()),2,2))"),149.46)</f>
        <v>149.46</v>
      </c>
      <c r="AX7" s="1">
        <f ca="1">IFERROR(__xludf.DUMMYFUNCTION("if(AX$2="""","""", index(GOOGLEFINANCE($B$7,""close"",AX$2,TODAY()),2,2))"),144.91)</f>
        <v>144.91</v>
      </c>
      <c r="AY7" s="1">
        <f ca="1">IFERROR(__xludf.DUMMYFUNCTION("if(AY$2="""","""", index(GOOGLEFINANCE($B$7,""close"",AY$2,TODAY()),2,2))"),139.16)</f>
        <v>139.16</v>
      </c>
      <c r="AZ7" s="1">
        <f ca="1">IFERROR(__xludf.DUMMYFUNCTION("if(AZ$2="""","""", index(GOOGLEFINANCE($B$7,""close"",AZ$2,TODAY()),2,2))"),142.5)</f>
        <v>142.5</v>
      </c>
      <c r="BA7" s="1">
        <f ca="1">IFERROR(__xludf.DUMMYFUNCTION("if(BA$2="""","""", index(GOOGLEFINANCE($B$7,""close"",BA$2,TODAY()),2,2))"),150.51)</f>
        <v>150.51</v>
      </c>
      <c r="BB7" s="1">
        <f ca="1">IFERROR(__xludf.DUMMYFUNCTION("if(BB$2="""","""", index(GOOGLEFINANCE($B$7,""close"",BB$2,TODAY()),2,2))"),153.32)</f>
        <v>153.32</v>
      </c>
      <c r="BC7" s="1">
        <f ca="1">IFERROR(__xludf.DUMMYFUNCTION("if(BC$2="""","""", index(GOOGLEFINANCE($B$7,""close"",BC$2,TODAY()),2,2))"),158.87)</f>
        <v>158.87</v>
      </c>
      <c r="BD7" s="1">
        <f ca="1">IFERROR(__xludf.DUMMYFUNCTION("if(BD$2="""","""", index(GOOGLEFINANCE($B$7,""close"",BD$2,TODAY()),2,2))"),157.2)</f>
        <v>157.19999999999999</v>
      </c>
      <c r="BE7" s="1">
        <f ca="1">IFERROR(__xludf.DUMMYFUNCTION("if(BE$2="""","""", index(GOOGLEFINANCE($B$7,""close"",BE$2,TODAY()),2,2))"),160.2)</f>
        <v>160.19999999999999</v>
      </c>
      <c r="BF7" s="1">
        <f ca="1">IFERROR(__xludf.DUMMYFUNCTION("if(BF$2="""","""", index(GOOGLEFINANCE($B$7,""close"",BF$2,TODAY()),2,2))"),157.29)</f>
        <v>157.29</v>
      </c>
      <c r="BG7" s="1">
        <f ca="1">IFERROR(__xludf.DUMMYFUNCTION("if(BG$2="""","""", index(GOOGLEFINANCE($B$7,""close"",BG$2,TODAY()),2,2))"),162.12)</f>
        <v>162.12</v>
      </c>
      <c r="BH7" s="1">
        <f ca="1">IFERROR(__xludf.DUMMYFUNCTION("if(BH$2="""","""", index(GOOGLEFINANCE($B$7,""close"",BH$2,TODAY()),2,2))"),158.84)</f>
        <v>158.84</v>
      </c>
      <c r="BI7" s="1">
        <f ca="1">IFERROR(__xludf.DUMMYFUNCTION("if(BI$2="""","""", index(GOOGLEFINANCE($B$7,""close"",BI$2,TODAY()),2,2))"),162.47)</f>
        <v>162.47</v>
      </c>
      <c r="BJ7" s="1">
        <f ca="1">IFERROR(__xludf.DUMMYFUNCTION("if(BJ$2="""","""", index(GOOGLEFINANCE($B$7,""close"",BJ$2,TODAY()),2,2))"),165.97)</f>
        <v>165.97</v>
      </c>
      <c r="BK7" s="1">
        <f ca="1">IFERROR(__xludf.DUMMYFUNCTION("if(BK$2="""","""", index(GOOGLEFINANCE($B$7,""close"",BK$2,TODAY()),2,2))"),163.31)</f>
        <v>163.31</v>
      </c>
      <c r="BL7" s="1">
        <f ca="1">IFERROR(__xludf.DUMMYFUNCTION("if(BL$2="""","""", index(GOOGLEFINANCE($B$7,""close"",BL$2,TODAY()),2,2))"),164.46)</f>
        <v>164.46</v>
      </c>
      <c r="BM7" s="1">
        <f ca="1">IFERROR(__xludf.DUMMYFUNCTION("if(BM$2="""","""", index(GOOGLEFINANCE($B$7,""close"",BM$2,TODAY()),2,2))"),165.63)</f>
        <v>165.63</v>
      </c>
      <c r="BN7" s="1">
        <f ca="1">IFERROR(__xludf.DUMMYFUNCTION("if(BN$2="""","""", index(GOOGLEFINANCE($B$7,""close"",BN$2,TODAY()),2,2))"),167.11)</f>
        <v>167.11</v>
      </c>
      <c r="BO7" s="1">
        <f ca="1">IFERROR(__xludf.DUMMYFUNCTION("if(BO$2="""","""", index(GOOGLEFINANCE($B$7,""close"",BO$2,TODAY()),2,2))"),163.45)</f>
        <v>163.44999999999999</v>
      </c>
      <c r="BP7" s="1">
        <f ca="1">IFERROR(__xludf.DUMMYFUNCTION("if(BP$2="""","""", index(GOOGLEFINANCE($B$7,""close"",BP$2,TODAY()),2,2))"),161.85)</f>
        <v>161.85</v>
      </c>
      <c r="BQ7" s="1">
        <f ca="1">IFERROR(__xludf.DUMMYFUNCTION("if(BQ$2="""","""", index(GOOGLEFINANCE($B$7,""close"",BQ$2,TODAY()),2,2))"),163.13)</f>
        <v>163.13</v>
      </c>
      <c r="BR7" s="1">
        <f ca="1">IFERROR(__xludf.DUMMYFUNCTION("if(BR$2="""","""", index(GOOGLEFINANCE($B$7,""close"",BR$2,TODAY()),2,2))"),158.24)</f>
        <v>158.24</v>
      </c>
      <c r="BS7" s="1">
        <f ca="1">IFERROR(__xludf.DUMMYFUNCTION("if(BS$2="""","""", index(GOOGLEFINANCE($B$7,""close"",BS$2,TODAY()),2,2))"),153.74)</f>
        <v>153.74</v>
      </c>
      <c r="BT7" s="1">
        <f ca="1">IFERROR(__xludf.DUMMYFUNCTION("if(BT$2="""","""", index(GOOGLEFINANCE($B$7,""close"",BT$2,TODAY()),2,2))"),153.37)</f>
        <v>153.37</v>
      </c>
      <c r="BU7" s="1">
        <f ca="1">IFERROR(__xludf.DUMMYFUNCTION("if(BU$2="""","""", index(GOOGLEFINANCE($B$7,""close"",BU$2,TODAY()),2,2))"),155.79)</f>
        <v>155.79</v>
      </c>
      <c r="BV7" s="1">
        <f ca="1">IFERROR(__xludf.DUMMYFUNCTION("if(BV$2="""","""", index(GOOGLEFINANCE($B$7,""close"",BV$2,TODAY()),2,2))"),149.8)</f>
        <v>149.80000000000001</v>
      </c>
      <c r="BW7" s="1">
        <f ca="1">IFERROR(__xludf.DUMMYFUNCTION("if(BW$2="""","""", index(GOOGLEFINANCE($B$7,""close"",BW$2,TODAY()),2,2))"),150.61)</f>
        <v>150.61000000000001</v>
      </c>
      <c r="BX7" s="1">
        <f ca="1">IFERROR(__xludf.DUMMYFUNCTION("if(BX$2="""","""", index(GOOGLEFINANCE($B$7,""close"",BX$2,TODAY()),2,2))"),155.62)</f>
        <v>155.62</v>
      </c>
      <c r="BY7" s="1">
        <f ca="1">IFERROR(__xludf.DUMMYFUNCTION("if(BY$2="""","""", index(GOOGLEFINANCE($B$7,""close"",BY$2,TODAY()),2,2))"),157.13)</f>
        <v>157.13</v>
      </c>
      <c r="BZ7" s="1">
        <f ca="1">IFERROR(__xludf.DUMMYFUNCTION("if(BZ$2="""","""", index(GOOGLEFINANCE($B$7,""close"",BZ$2,TODAY()),2,2))"),151.86)</f>
        <v>151.86000000000001</v>
      </c>
      <c r="CA7" s="1">
        <f ca="1">IFERROR(__xludf.DUMMYFUNCTION("if(CA$2="""","""", index(GOOGLEFINANCE($B$7,""close"",CA$2,TODAY()),2,2))"),148.07)</f>
        <v>148.07</v>
      </c>
      <c r="CB7" s="1">
        <f ca="1">IFERROR(__xludf.DUMMYFUNCTION("if(CB$2="""","""", index(GOOGLEFINANCE($B$7,""close"",CB$2,TODAY()),2,2))"),151.1)</f>
        <v>151.1</v>
      </c>
      <c r="CC7" s="1">
        <f ca="1">IFERROR(__xludf.DUMMYFUNCTION("if(CC$2="""","""", index(GOOGLEFINANCE($B$7,""close"",CC$2,TODAY()),2,2))"),151.54)</f>
        <v>151.54</v>
      </c>
      <c r="CD7" s="1">
        <f ca="1">IFERROR(__xludf.DUMMYFUNCTION("if(CD$2="""","""", index(GOOGLEFINANCE($B$7,""close"",CD$2,TODAY()),2,2))"),153.41)</f>
        <v>153.41</v>
      </c>
      <c r="CE7" s="1">
        <f ca="1">IFERROR(__xludf.DUMMYFUNCTION("if(CE$2="""","""", index(GOOGLEFINANCE($B$7,""close"",CE$2,TODAY()),2,2))"),159.01)</f>
        <v>159.01</v>
      </c>
      <c r="CF7" s="1">
        <f ca="1">IFERROR(__xludf.DUMMYFUNCTION("if(CF$2="""","""", index(GOOGLEFINANCE($B$7,""close"",CF$2,TODAY()),2,2))"),150.85)</f>
        <v>150.85</v>
      </c>
      <c r="CG7" s="1">
        <f ca="1">IFERROR(__xludf.DUMMYFUNCTION("if(CG$2="""","""", index(GOOGLEFINANCE($B$7,""close"",CG$2,TODAY()),2,2))"),150.49)</f>
        <v>150.49</v>
      </c>
      <c r="CH7" s="1">
        <f ca="1">IFERROR(__xludf.DUMMYFUNCTION("if(CH$2="""","""", index(GOOGLEFINANCE($B$7,""close"",CH$2,TODAY()),2,2))"),152.85)</f>
        <v>152.85</v>
      </c>
      <c r="CI7" s="1">
        <f ca="1">IFERROR(__xludf.DUMMYFUNCTION("if(CI$2="""","""", index(GOOGLEFINANCE($B$7,""close"",CI$2,TODAY()),2,2))"),158.34)</f>
        <v>158.34</v>
      </c>
      <c r="CJ7" s="1" t="str">
        <f ca="1">IFERROR(__xludf.DUMMYFUNCTION("if(CJ$2="""","""", index(GOOGLEFINANCE($B$7,""close"",CJ$2,TODAY()),2,2))"),"")</f>
        <v/>
      </c>
      <c r="CK7" s="1" t="str">
        <f ca="1">IFERROR(__xludf.DUMMYFUNCTION("if(CK$2="""","""", index(GOOGLEFINANCE($B$7,""close"",CK$2,TODAY()),2,2))"),"")</f>
        <v/>
      </c>
      <c r="CL7" s="1" t="str">
        <f ca="1">IFERROR(__xludf.DUMMYFUNCTION("if(CL$2="""","""", index(GOOGLEFINANCE($B$7,""close"",CL$2,TODAY()),2,2))"),"")</f>
        <v/>
      </c>
      <c r="CM7" s="1" t="str">
        <f ca="1">IFERROR(__xludf.DUMMYFUNCTION("if(CM$2="""","""", index(GOOGLEFINANCE($B$7,""close"",CM$2,TODAY()),2,2))"),"")</f>
        <v/>
      </c>
      <c r="CN7" s="1" t="str">
        <f ca="1">IFERROR(__xludf.DUMMYFUNCTION("if(CN$2="""","""", index(GOOGLEFINANCE($B$7,""close"",CN$2,TODAY()),2,2))"),"")</f>
        <v/>
      </c>
      <c r="CO7" s="1" t="str">
        <f ca="1">IFERROR(__xludf.DUMMYFUNCTION("if(CO$2="""","""", index(GOOGLEFINANCE($B$7,""close"",CO$2,TODAY()),2,2))"),"")</f>
        <v/>
      </c>
      <c r="CP7" s="1" t="str">
        <f ca="1">IFERROR(__xludf.DUMMYFUNCTION("if(CP$2="""","""", index(GOOGLEFINANCE($B$7,""close"",CP$2,TODAY()),2,2))"),"")</f>
        <v/>
      </c>
      <c r="CQ7" s="1" t="str">
        <f ca="1">IFERROR(__xludf.DUMMYFUNCTION("if(CQ$2="""","""", index(GOOGLEFINANCE($B$7,""close"",CQ$2,TODAY()),2,2))"),"")</f>
        <v/>
      </c>
      <c r="CR7" s="1" t="str">
        <f ca="1">IFERROR(__xludf.DUMMYFUNCTION("if(CR$2="""","""", index(GOOGLEFINANCE($B$7,""close"",CR$2,TODAY()),2,2))"),"")</f>
        <v/>
      </c>
      <c r="CS7" s="1" t="str">
        <f ca="1">IFERROR(__xludf.DUMMYFUNCTION("if(CS$2="""","""", index(GOOGLEFINANCE($B$7,""close"",CS$2,TODAY()),2,2))"),"")</f>
        <v/>
      </c>
      <c r="CT7" s="1" t="str">
        <f ca="1">IFERROR(__xludf.DUMMYFUNCTION("if(CT$2="""","""", index(GOOGLEFINANCE($B$7,""close"",CT$2,TODAY()),2,2))"),"")</f>
        <v/>
      </c>
      <c r="CU7" s="1" t="str">
        <f ca="1">IFERROR(__xludf.DUMMYFUNCTION("if(CU$2="""","""", index(GOOGLEFINANCE($B$7,""close"",CU$2,TODAY()),2,2))"),"")</f>
        <v/>
      </c>
      <c r="CV7" s="1" t="str">
        <f ca="1">IFERROR(__xludf.DUMMYFUNCTION("if(CV$2="""","""", index(GOOGLEFINANCE($B$7,""close"",CV$2,TODAY()),2,2))"),"")</f>
        <v/>
      </c>
      <c r="CW7" s="1" t="str">
        <f ca="1">IFERROR(__xludf.DUMMYFUNCTION("if(CW$2="""","""", index(GOOGLEFINANCE($B$7,""close"",CW$2,TODAY()),2,2))"),"")</f>
        <v/>
      </c>
      <c r="CX7" s="1" t="str">
        <f ca="1">IFERROR(__xludf.DUMMYFUNCTION("if(CX$2="""","""", index(GOOGLEFINANCE($B$7,""close"",CX$2,TODAY()),2,2))"),"")</f>
        <v/>
      </c>
      <c r="CY7" s="1" t="str">
        <f ca="1">IFERROR(__xludf.DUMMYFUNCTION("if(CY$2="""","""", index(GOOGLEFINANCE($B$7,""close"",CY$2,TODAY()),2,2))"),"")</f>
        <v/>
      </c>
      <c r="CZ7" s="1" t="str">
        <f ca="1">IFERROR(__xludf.DUMMYFUNCTION("if(CZ$2="""","""", index(GOOGLEFINANCE($B$7,""close"",CZ$2,TODAY()),2,2))"),"")</f>
        <v/>
      </c>
      <c r="DA7" s="1" t="str">
        <f ca="1">IFERROR(__xludf.DUMMYFUNCTION("if(DA$2="""","""", index(GOOGLEFINANCE($B$7,""close"",DA$2,TODAY()),2,2))"),"")</f>
        <v/>
      </c>
      <c r="DB7" s="1" t="str">
        <f ca="1">IFERROR(__xludf.DUMMYFUNCTION("if(DB$2="""","""", index(GOOGLEFINANCE($B$7,""close"",DB$2,TODAY()),2,2))"),"")</f>
        <v/>
      </c>
      <c r="DC7" s="1" t="str">
        <f ca="1">IFERROR(__xludf.DUMMYFUNCTION("if(DC$2="""","""", index(GOOGLEFINANCE($B$7,""close"",DC$2,TODAY()),2,2))"),"")</f>
        <v/>
      </c>
      <c r="DD7" s="1" t="str">
        <f ca="1">IFERROR(__xludf.DUMMYFUNCTION("if(DD$2="""","""", index(GOOGLEFINANCE($B$7,""close"",DD$2,TODAY()),2,2))"),"")</f>
        <v/>
      </c>
      <c r="DE7" s="1" t="str">
        <f ca="1">IFERROR(__xludf.DUMMYFUNCTION("if(DE$2="""","""", index(GOOGLEFINANCE($B$7,""close"",DE$2,TODAY()),2,2))"),"")</f>
        <v/>
      </c>
      <c r="DF7" s="1" t="str">
        <f ca="1">IFERROR(__xludf.DUMMYFUNCTION("if(DF$2="""","""", index(GOOGLEFINANCE($B$7,""close"",DF$2,TODAY()),2,2))"),"")</f>
        <v/>
      </c>
      <c r="DG7" s="1" t="str">
        <f ca="1">IFERROR(__xludf.DUMMYFUNCTION("if(DG$2="""","""", index(GOOGLEFINANCE($B$7,""close"",DG$2,TODAY()),2,2))"),"")</f>
        <v/>
      </c>
      <c r="DH7" s="1" t="str">
        <f ca="1">IFERROR(__xludf.DUMMYFUNCTION("if(DH$2="""","""", index(GOOGLEFINANCE($B$7,""close"",DH$2,TODAY()),2,2))"),"")</f>
        <v/>
      </c>
      <c r="DI7" s="1" t="str">
        <f ca="1">IFERROR(__xludf.DUMMYFUNCTION("if(DI$2="""","""", index(GOOGLEFINANCE($B$7,""close"",DI$2,TODAY()),2,2))"),"")</f>
        <v/>
      </c>
      <c r="DJ7" s="1" t="str">
        <f ca="1">IFERROR(__xludf.DUMMYFUNCTION("if(DJ$2="""","""", index(GOOGLEFINANCE($B$7,""close"",DJ$2,TODAY()),2,2))"),"")</f>
        <v/>
      </c>
      <c r="DK7" s="1" t="str">
        <f ca="1">IFERROR(__xludf.DUMMYFUNCTION("if(DK$2="""","""", index(GOOGLEFINANCE($B$7,""close"",DK$2,TODAY()),2,2))"),"")</f>
        <v/>
      </c>
      <c r="DL7" s="1" t="str">
        <f ca="1">IFERROR(__xludf.DUMMYFUNCTION("if(DL$2="""","""", index(GOOGLEFINANCE($B$7,""close"",DL$2,TODAY()),2,2))"),"")</f>
        <v/>
      </c>
      <c r="DM7" s="1" t="str">
        <f ca="1">IFERROR(__xludf.DUMMYFUNCTION("if(DM$2="""","""", index(GOOGLEFINANCE($B$7,""close"",DM$2,TODAY()),2,2))"),"")</f>
        <v/>
      </c>
      <c r="DN7" s="1" t="str">
        <f ca="1">IFERROR(__xludf.DUMMYFUNCTION("if(DN$2="""","""", index(GOOGLEFINANCE($B$7,""close"",DN$2,TODAY()),2,2))"),"")</f>
        <v/>
      </c>
      <c r="DO7" s="1" t="str">
        <f ca="1">IFERROR(__xludf.DUMMYFUNCTION("if(DO$2="""","""", index(GOOGLEFINANCE($B$7,""close"",DO$2,TODAY()),2,2))"),"")</f>
        <v/>
      </c>
      <c r="DP7" s="1" t="str">
        <f ca="1">IFERROR(__xludf.DUMMYFUNCTION("if(DP$2="""","""", index(GOOGLEFINANCE($B$7,""close"",DP$2,TODAY()),2,2))"),"")</f>
        <v/>
      </c>
      <c r="DQ7" s="1" t="str">
        <f ca="1">IFERROR(__xludf.DUMMYFUNCTION("if(DQ$2="""","""", index(GOOGLEFINANCE($B$7,""close"",DQ$2,TODAY()),2,2))"),"")</f>
        <v/>
      </c>
      <c r="DR7" s="1" t="str">
        <f ca="1">IFERROR(__xludf.DUMMYFUNCTION("if(DR$2="""","""", index(GOOGLEFINANCE($B$7,""close"",DR$2,TODAY()),2,2))"),"")</f>
        <v/>
      </c>
      <c r="DS7" s="1" t="str">
        <f ca="1">IFERROR(__xludf.DUMMYFUNCTION("if(DS$2="""","""", index(GOOGLEFINANCE($B$7,""close"",DS$2,TODAY()),2,2))"),"")</f>
        <v/>
      </c>
      <c r="DT7" s="1" t="str">
        <f ca="1">IFERROR(__xludf.DUMMYFUNCTION("if(DT$2="""","""", index(GOOGLEFINANCE($B$7,""close"",DT$2,TODAY()),2,2))"),"")</f>
        <v/>
      </c>
      <c r="DU7" s="1" t="str">
        <f ca="1">IFERROR(__xludf.DUMMYFUNCTION("if(DU$2="""","""", index(GOOGLEFINANCE($B$7,""close"",DU$2,TODAY()),2,2))"),"")</f>
        <v/>
      </c>
      <c r="DV7" s="1" t="str">
        <f ca="1">IFERROR(__xludf.DUMMYFUNCTION("if(DV$2="""","""", index(GOOGLEFINANCE($B$7,""close"",DV$2,TODAY()),2,2))"),"")</f>
        <v/>
      </c>
      <c r="DW7" s="1" t="str">
        <f ca="1">IFERROR(__xludf.DUMMYFUNCTION("if(DW$2="""","""", index(GOOGLEFINANCE($B$7,""close"",DW$2,TODAY()),2,2))"),"")</f>
        <v/>
      </c>
      <c r="DX7" s="1" t="str">
        <f ca="1">IFERROR(__xludf.DUMMYFUNCTION("if(DX$2="""","""", index(GOOGLEFINANCE($B$7,""close"",DX$2,TODAY()),2,2))"),"")</f>
        <v/>
      </c>
      <c r="DY7" s="1" t="str">
        <f ca="1">IFERROR(__xludf.DUMMYFUNCTION("if(DY$2="""","""", index(GOOGLEFINANCE($B$7,""close"",DY$2,TODAY()),2,2))"),"")</f>
        <v/>
      </c>
      <c r="DZ7" s="1" t="str">
        <f ca="1">IFERROR(__xludf.DUMMYFUNCTION("if(DZ$2="""","""", index(GOOGLEFINANCE($B$7,""close"",DZ$2,TODAY()),2,2))"),"")</f>
        <v/>
      </c>
      <c r="EA7" s="1" t="str">
        <f ca="1">IFERROR(__xludf.DUMMYFUNCTION("if(EA$2="""","""", index(GOOGLEFINANCE($B$7,""close"",EA$2,TODAY()),2,2))"),"")</f>
        <v/>
      </c>
      <c r="EB7" s="1" t="str">
        <f ca="1">IFERROR(__xludf.DUMMYFUNCTION("if(EB$2="""","""", index(GOOGLEFINANCE($B$7,""close"",EB$2,TODAY()),2,2))"),"")</f>
        <v/>
      </c>
      <c r="EC7" s="1" t="str">
        <f ca="1">IFERROR(__xludf.DUMMYFUNCTION("if(EC$2="""","""", index(GOOGLEFINANCE($B$7,""close"",EC$2,TODAY()),2,2))"),"")</f>
        <v/>
      </c>
      <c r="ED7" s="1" t="str">
        <f ca="1">IFERROR(__xludf.DUMMYFUNCTION("if(ED$2="""","""", index(GOOGLEFINANCE($B$7,""close"",ED$2,TODAY()),2,2))"),"")</f>
        <v/>
      </c>
      <c r="EE7" s="1" t="str">
        <f ca="1">IFERROR(__xludf.DUMMYFUNCTION("if(EE$2="""","""", index(GOOGLEFINANCE($B$7,""close"",EE$2,TODAY()),2,2))"),"")</f>
        <v/>
      </c>
      <c r="EF7" s="1" t="str">
        <f ca="1">IFERROR(__xludf.DUMMYFUNCTION("if(EF$2="""","""", index(GOOGLEFINANCE($B$7,""close"",EF$2,TODAY()),2,2))"),"")</f>
        <v/>
      </c>
      <c r="EG7" s="1" t="str">
        <f ca="1">IFERROR(__xludf.DUMMYFUNCTION("if(EG$2="""","""", index(GOOGLEFINANCE($B$7,""close"",EG$2,TODAY()),2,2))"),"")</f>
        <v/>
      </c>
      <c r="EH7" s="1" t="str">
        <f ca="1">IFERROR(__xludf.DUMMYFUNCTION("if(EH$2="""","""", index(GOOGLEFINANCE($B$7,""close"",EH$2,TODAY()),2,2))"),"")</f>
        <v/>
      </c>
      <c r="EI7" s="1" t="str">
        <f ca="1">IFERROR(__xludf.DUMMYFUNCTION("if(EI$2="""","""", index(GOOGLEFINANCE($B$7,""close"",EI$2,TODAY()),2,2))"),"")</f>
        <v/>
      </c>
      <c r="EJ7" s="1" t="str">
        <f ca="1">IFERROR(__xludf.DUMMYFUNCTION("if(EJ$2="""","""", index(GOOGLEFINANCE($B$7,""close"",EJ$2,TODAY()),2,2))"),"")</f>
        <v/>
      </c>
      <c r="EK7" s="1" t="str">
        <f ca="1">IFERROR(__xludf.DUMMYFUNCTION("if(EK$2="""","""", index(GOOGLEFINANCE($B$7,""close"",EK$2,TODAY()),2,2))"),"")</f>
        <v/>
      </c>
      <c r="EL7" s="1" t="str">
        <f ca="1">IFERROR(__xludf.DUMMYFUNCTION("if(EL$2="""","""", index(GOOGLEFINANCE($B$7,""close"",EL$2,TODAY()),2,2))"),"")</f>
        <v/>
      </c>
      <c r="EM7" s="1" t="str">
        <f ca="1">IFERROR(__xludf.DUMMYFUNCTION("if(EM$2="""","""", index(GOOGLEFINANCE($B$7,""close"",EM$2,TODAY()),2,2))"),"")</f>
        <v/>
      </c>
      <c r="EN7" s="1" t="str">
        <f ca="1">IFERROR(__xludf.DUMMYFUNCTION("if(EN$2="""","""", index(GOOGLEFINANCE($B$7,""close"",EN$2,TODAY()),2,2))"),"")</f>
        <v/>
      </c>
      <c r="EO7" s="1" t="str">
        <f ca="1">IFERROR(__xludf.DUMMYFUNCTION("if(EO$2="""","""", index(GOOGLEFINANCE($B$7,""close"",EO$2,TODAY()),2,2))"),"")</f>
        <v/>
      </c>
      <c r="EP7" s="1" t="str">
        <f ca="1">IFERROR(__xludf.DUMMYFUNCTION("if(EP$2="""","""", index(GOOGLEFINANCE($B$7,""close"",EP$2,TODAY()),2,2))"),"")</f>
        <v/>
      </c>
      <c r="EQ7" s="1" t="str">
        <f ca="1">IFERROR(__xludf.DUMMYFUNCTION("if(EQ$2="""","""", index(GOOGLEFINANCE($B$7,""close"",EQ$2,TODAY()),2,2))"),"")</f>
        <v/>
      </c>
      <c r="ER7" s="1" t="str">
        <f ca="1">IFERROR(__xludf.DUMMYFUNCTION("if(ER$2="""","""", index(GOOGLEFINANCE($B$7,""close"",ER$2,TODAY()),2,2))"),"")</f>
        <v/>
      </c>
      <c r="ES7" s="1" t="str">
        <f ca="1">IFERROR(__xludf.DUMMYFUNCTION("if(ES$2="""","""", index(GOOGLEFINANCE($B$7,""close"",ES$2,TODAY()),2,2))"),"")</f>
        <v/>
      </c>
      <c r="ET7" s="1" t="str">
        <f ca="1">IFERROR(__xludf.DUMMYFUNCTION("if(ET$2="""","""", index(GOOGLEFINANCE($B$7,""close"",ET$2,TODAY()),2,2))"),"")</f>
        <v/>
      </c>
      <c r="EU7" s="1" t="str">
        <f ca="1">IFERROR(__xludf.DUMMYFUNCTION("if(EU$2="""","""", index(GOOGLEFINANCE($B$7,""close"",EU$2,TODAY()),2,2))"),"")</f>
        <v/>
      </c>
      <c r="EV7" s="1" t="str">
        <f ca="1">IFERROR(__xludf.DUMMYFUNCTION("if(EV$2="""","""", index(GOOGLEFINANCE($B$7,""close"",EV$2,TODAY()),2,2))"),"")</f>
        <v/>
      </c>
      <c r="EW7" s="1" t="str">
        <f ca="1">IFERROR(__xludf.DUMMYFUNCTION("if(EW$2="""","""", index(GOOGLEFINANCE($B$7,""close"",EW$2,TODAY()),2,2))"),"")</f>
        <v/>
      </c>
      <c r="EX7" s="1" t="str">
        <f ca="1">IFERROR(__xludf.DUMMYFUNCTION("if(EX$2="""","""", index(GOOGLEFINANCE($B$7,""close"",EX$2,TODAY()),2,2))"),"")</f>
        <v/>
      </c>
      <c r="EY7" s="1" t="str">
        <f ca="1">IFERROR(__xludf.DUMMYFUNCTION("if(EY$2="""","""", index(GOOGLEFINANCE($B$7,""close"",EY$2,TODAY()),2,2))"),"")</f>
        <v/>
      </c>
      <c r="EZ7" s="1" t="str">
        <f ca="1">IFERROR(__xludf.DUMMYFUNCTION("if(EZ$2="""","""", index(GOOGLEFINANCE($B$7,""close"",EZ$2,TODAY()),2,2))"),"")</f>
        <v/>
      </c>
      <c r="FA7" s="1" t="str">
        <f ca="1">IFERROR(__xludf.DUMMYFUNCTION("if(FA$2="""","""", index(GOOGLEFINANCE($B$7,""close"",FA$2,TODAY()),2,2))"),"")</f>
        <v/>
      </c>
      <c r="FB7" s="1" t="str">
        <f ca="1">IFERROR(__xludf.DUMMYFUNCTION("if(FB$2="""","""", index(GOOGLEFINANCE($B$7,""close"",FB$2,TODAY()),2,2))"),"")</f>
        <v/>
      </c>
      <c r="FC7" s="1" t="str">
        <f ca="1">IFERROR(__xludf.DUMMYFUNCTION("if(FC$2="""","""", index(GOOGLEFINANCE($B$7,""close"",FC$2,TODAY()),2,2))"),"")</f>
        <v/>
      </c>
      <c r="FD7" s="1" t="str">
        <f ca="1">IFERROR(__xludf.DUMMYFUNCTION("if(FD$2="""","""", index(GOOGLEFINANCE($B$7,""close"",FD$2,TODAY()),2,2))"),"")</f>
        <v/>
      </c>
      <c r="FE7" s="1" t="str">
        <f ca="1">IFERROR(__xludf.DUMMYFUNCTION("if(FE$2="""","""", index(GOOGLEFINANCE($B$7,""close"",FE$2,TODAY()),2,2))"),"")</f>
        <v/>
      </c>
      <c r="FF7" s="1" t="str">
        <f ca="1">IFERROR(__xludf.DUMMYFUNCTION("if(FF$2="""","""", index(GOOGLEFINANCE($B$7,""close"",FF$2,TODAY()),2,2))"),"")</f>
        <v/>
      </c>
      <c r="FG7" s="1" t="str">
        <f ca="1">IFERROR(__xludf.DUMMYFUNCTION("if(FG$2="""","""", index(GOOGLEFINANCE($B$7,""close"",FG$2,TODAY()),2,2))"),"")</f>
        <v/>
      </c>
      <c r="FH7" s="1" t="str">
        <f ca="1">IFERROR(__xludf.DUMMYFUNCTION("if(FH$2="""","""", index(GOOGLEFINANCE($B$7,""close"",FH$2,TODAY()),2,2))"),"")</f>
        <v/>
      </c>
      <c r="FI7" s="1" t="str">
        <f ca="1">IFERROR(__xludf.DUMMYFUNCTION("if(FI$2="""","""", index(GOOGLEFINANCE($B$7,""close"",FI$2,TODAY()),2,2))"),"")</f>
        <v/>
      </c>
      <c r="FJ7" s="1" t="str">
        <f ca="1">IFERROR(__xludf.DUMMYFUNCTION("if(FJ$2="""","""", index(GOOGLEFINANCE($B$7,""close"",FJ$2,TODAY()),2,2))"),"")</f>
        <v/>
      </c>
      <c r="FK7" s="1" t="str">
        <f ca="1">IFERROR(__xludf.DUMMYFUNCTION("if(FK$2="""","""", index(GOOGLEFINANCE($B$7,""close"",FK$2,TODAY()),2,2))"),"")</f>
        <v/>
      </c>
      <c r="FL7" s="1" t="str">
        <f ca="1">IFERROR(__xludf.DUMMYFUNCTION("if(FL$2="""","""", index(GOOGLEFINANCE($B$7,""close"",FL$2,TODAY()),2,2))"),"")</f>
        <v/>
      </c>
      <c r="FM7" s="1" t="str">
        <f ca="1">IFERROR(__xludf.DUMMYFUNCTION("if(FM$2="""","""", index(GOOGLEFINANCE($B$7,""close"",FM$2,TODAY()),2,2))"),"")</f>
        <v/>
      </c>
      <c r="FN7" s="1" t="str">
        <f ca="1">IFERROR(__xludf.DUMMYFUNCTION("if(FN$2="""","""", index(GOOGLEFINANCE($B$7,""close"",FN$2,TODAY()),2,2))"),"")</f>
        <v/>
      </c>
      <c r="FO7" s="1" t="str">
        <f ca="1">IFERROR(__xludf.DUMMYFUNCTION("if(FO$2="""","""", index(GOOGLEFINANCE($B$7,""close"",FO$2,TODAY()),2,2))"),"")</f>
        <v/>
      </c>
      <c r="FP7" s="1" t="str">
        <f ca="1">IFERROR(__xludf.DUMMYFUNCTION("if(FP$2="""","""", index(GOOGLEFINANCE($B$7,""close"",FP$2,TODAY()),2,2))"),"")</f>
        <v/>
      </c>
      <c r="FQ7" s="1" t="str">
        <f ca="1">IFERROR(__xludf.DUMMYFUNCTION("if(FQ$2="""","""", index(GOOGLEFINANCE($B$7,""close"",FQ$2,TODAY()),2,2))"),"")</f>
        <v/>
      </c>
      <c r="FR7" s="1" t="str">
        <f ca="1">IFERROR(__xludf.DUMMYFUNCTION("if(FR$2="""","""", index(GOOGLEFINANCE($B$7,""close"",FR$2,TODAY()),2,2))"),"")</f>
        <v/>
      </c>
      <c r="FS7" s="1" t="str">
        <f ca="1">IFERROR(__xludf.DUMMYFUNCTION("if(FS$2="""","""", index(GOOGLEFINANCE($B$7,""close"",FS$2,TODAY()),2,2))"),"")</f>
        <v/>
      </c>
      <c r="FT7" s="1" t="str">
        <f ca="1">IFERROR(__xludf.DUMMYFUNCTION("if(FT$2="""","""", index(GOOGLEFINANCE($B$7,""close"",FT$2,TODAY()),2,2))"),"")</f>
        <v/>
      </c>
      <c r="FU7" s="1" t="str">
        <f ca="1">IFERROR(__xludf.DUMMYFUNCTION("if(FU$2="""","""", index(GOOGLEFINANCE($B$7,""close"",FU$2,TODAY()),2,2))"),"")</f>
        <v/>
      </c>
      <c r="FV7" s="1" t="str">
        <f ca="1">IFERROR(__xludf.DUMMYFUNCTION("if(FV$2="""","""", index(GOOGLEFINANCE($B$7,""close"",FV$2,TODAY()),2,2))"),"")</f>
        <v/>
      </c>
      <c r="FW7" s="1" t="str">
        <f ca="1">IFERROR(__xludf.DUMMYFUNCTION("if(FW$2="""","""", index(GOOGLEFINANCE($B$7,""close"",FW$2,TODAY()),2,2))"),"")</f>
        <v/>
      </c>
      <c r="FX7" s="1" t="str">
        <f ca="1">IFERROR(__xludf.DUMMYFUNCTION("if(FX$2="""","""", index(GOOGLEFINANCE($B$7,""close"",FX$2,TODAY()),2,2))"),"")</f>
        <v/>
      </c>
      <c r="FY7" s="1" t="str">
        <f ca="1">IFERROR(__xludf.DUMMYFUNCTION("if(FY$2="""","""", index(GOOGLEFINANCE($B$7,""close"",FY$2,TODAY()),2,2))"),"")</f>
        <v/>
      </c>
      <c r="FZ7" s="1" t="str">
        <f ca="1">IFERROR(__xludf.DUMMYFUNCTION("if(FZ$2="""","""", index(GOOGLEFINANCE($B$7,""close"",FZ$2,TODAY()),2,2))"),"")</f>
        <v/>
      </c>
      <c r="GA7" s="1" t="str">
        <f ca="1">IFERROR(__xludf.DUMMYFUNCTION("if(GA$2="""","""", index(GOOGLEFINANCE($B$7,""close"",GA$2,TODAY()),2,2))"),"")</f>
        <v/>
      </c>
      <c r="GB7" s="1" t="str">
        <f ca="1">IFERROR(__xludf.DUMMYFUNCTION("if(GB$2="""","""", index(GOOGLEFINANCE($B$7,""close"",GB$2,TODAY()),2,2))"),"")</f>
        <v/>
      </c>
      <c r="GC7" s="1" t="str">
        <f ca="1">IFERROR(__xludf.DUMMYFUNCTION("if(GC$2="""","""", index(GOOGLEFINANCE($B$7,""close"",GC$2,TODAY()),2,2))"),"")</f>
        <v/>
      </c>
      <c r="GD7" s="1" t="str">
        <f ca="1">IFERROR(__xludf.DUMMYFUNCTION("if(GD$2="""","""", index(GOOGLEFINANCE($B$7,""close"",GD$2,TODAY()),2,2))"),"")</f>
        <v/>
      </c>
      <c r="GE7" s="1" t="str">
        <f ca="1">IFERROR(__xludf.DUMMYFUNCTION("if(GE$2="""","""", index(GOOGLEFINANCE($B$7,""close"",GE$2,TODAY()),2,2))"),"")</f>
        <v/>
      </c>
      <c r="GF7" s="1" t="str">
        <f ca="1">IFERROR(__xludf.DUMMYFUNCTION("if(GF$2="""","""", index(GOOGLEFINANCE($B$7,""close"",GF$2,TODAY()),2,2))"),"")</f>
        <v/>
      </c>
      <c r="GG7" s="1" t="str">
        <f ca="1">IFERROR(__xludf.DUMMYFUNCTION("if(GG$2="""","""", index(GOOGLEFINANCE($B$7,""close"",GG$2,TODAY()),2,2))"),"")</f>
        <v/>
      </c>
      <c r="GH7" s="1" t="str">
        <f ca="1">IFERROR(__xludf.DUMMYFUNCTION("if(GH$2="""","""", index(GOOGLEFINANCE($B$7,""close"",GH$2,TODAY()),2,2))"),"")</f>
        <v/>
      </c>
      <c r="GI7" s="1" t="str">
        <f ca="1">IFERROR(__xludf.DUMMYFUNCTION("if(GI$2="""","""", index(GOOGLEFINANCE($B$7,""close"",GI$2,TODAY()),2,2))"),"")</f>
        <v/>
      </c>
      <c r="GJ7" s="1" t="str">
        <f ca="1">IFERROR(__xludf.DUMMYFUNCTION("if(GJ$2="""","""", index(GOOGLEFINANCE($B$7,""close"",GJ$2,TODAY()),2,2))"),"")</f>
        <v/>
      </c>
      <c r="GK7" s="1" t="str">
        <f ca="1">IFERROR(__xludf.DUMMYFUNCTION("if(GK$2="""","""", index(GOOGLEFINANCE($B$7,""close"",GK$2,TODAY()),2,2))"),"")</f>
        <v/>
      </c>
      <c r="GL7" s="1" t="str">
        <f ca="1">IFERROR(__xludf.DUMMYFUNCTION("if(GL$2="""","""", index(GOOGLEFINANCE($B$7,""close"",GL$2,TODAY()),2,2))"),"")</f>
        <v/>
      </c>
      <c r="GM7" s="1" t="str">
        <f ca="1">IFERROR(__xludf.DUMMYFUNCTION("if(GM$2="""","""", index(GOOGLEFINANCE($B$7,""close"",GM$2,TODAY()),2,2))"),"")</f>
        <v/>
      </c>
      <c r="GN7" s="1" t="str">
        <f ca="1">IFERROR(__xludf.DUMMYFUNCTION("if(GN$2="""","""", index(GOOGLEFINANCE($B$7,""close"",GN$2,TODAY()),2,2))"),"")</f>
        <v/>
      </c>
      <c r="GO7" s="1" t="str">
        <f ca="1">IFERROR(__xludf.DUMMYFUNCTION("if(GO$2="""","""", index(GOOGLEFINANCE($B$7,""close"",GO$2,TODAY()),2,2))"),"")</f>
        <v/>
      </c>
      <c r="GP7" s="1" t="str">
        <f ca="1">IFERROR(__xludf.DUMMYFUNCTION("if(GP$2="""","""", index(GOOGLEFINANCE($B$7,""close"",GP$2,TODAY()),2,2))"),"")</f>
        <v/>
      </c>
      <c r="GQ7" s="1" t="str">
        <f ca="1">IFERROR(__xludf.DUMMYFUNCTION("if(GQ$2="""","""", index(GOOGLEFINANCE($B$7,""close"",GQ$2,TODAY()),2,2))"),"")</f>
        <v/>
      </c>
      <c r="GR7" s="1" t="str">
        <f ca="1">IFERROR(__xludf.DUMMYFUNCTION("if(GR$2="""","""", index(GOOGLEFINANCE($B$7,""close"",GR$2,TODAY()),2,2))"),"")</f>
        <v/>
      </c>
      <c r="GS7" s="1" t="str">
        <f ca="1">IFERROR(__xludf.DUMMYFUNCTION("if(GS$2="""","""", index(GOOGLEFINANCE($B$7,""close"",GS$2,TODAY()),2,2))"),"")</f>
        <v/>
      </c>
      <c r="GT7" s="1" t="str">
        <f ca="1">IFERROR(__xludf.DUMMYFUNCTION("if(GT$2="""","""", index(GOOGLEFINANCE($B$7,""close"",GT$2,TODAY()),2,2))"),"")</f>
        <v/>
      </c>
      <c r="GU7" s="1" t="str">
        <f ca="1">IFERROR(__xludf.DUMMYFUNCTION("if(GU$2="""","""", index(GOOGLEFINANCE($B$7,""close"",GU$2,TODAY()),2,2))"),"")</f>
        <v/>
      </c>
      <c r="GV7" s="1" t="str">
        <f ca="1">IFERROR(__xludf.DUMMYFUNCTION("if(GV$2="""","""", index(GOOGLEFINANCE($B$7,""close"",GV$2,TODAY()),2,2))"),"")</f>
        <v/>
      </c>
      <c r="GW7" s="1" t="str">
        <f ca="1">IFERROR(__xludf.DUMMYFUNCTION("if(GW$2="""","""", index(GOOGLEFINANCE($B$7,""close"",GW$2,TODAY()),2,2))"),"")</f>
        <v/>
      </c>
      <c r="GX7" s="1" t="str">
        <f ca="1">IFERROR(__xludf.DUMMYFUNCTION("if(GX$2="""","""", index(GOOGLEFINANCE($B$7,""close"",GX$2,TODAY()),2,2))"),"")</f>
        <v/>
      </c>
      <c r="GY7" s="1" t="str">
        <f ca="1">IFERROR(__xludf.DUMMYFUNCTION("if(GY$2="""","""", index(GOOGLEFINANCE($B$7,""close"",GY$2,TODAY()),2,2))"),"")</f>
        <v/>
      </c>
      <c r="GZ7" s="1" t="str">
        <f ca="1">IFERROR(__xludf.DUMMYFUNCTION("if(GZ$2="""","""", index(GOOGLEFINANCE($B$7,""close"",GZ$2,TODAY()),2,2))"),"")</f>
        <v/>
      </c>
      <c r="HA7" s="1" t="str">
        <f ca="1">IFERROR(__xludf.DUMMYFUNCTION("if(HA$2="""","""", index(GOOGLEFINANCE($B$7,""close"",HA$2,TODAY()),2,2))"),"")</f>
        <v/>
      </c>
      <c r="HB7" s="1" t="str">
        <f ca="1">IFERROR(__xludf.DUMMYFUNCTION("if(HB$2="""","""", index(GOOGLEFINANCE($B$7,""close"",HB$2,TODAY()),2,2))"),"")</f>
        <v/>
      </c>
      <c r="HC7" s="1" t="str">
        <f ca="1">IFERROR(__xludf.DUMMYFUNCTION("if(HC$2="""","""", index(GOOGLEFINANCE($B$7,""close"",HC$2,TODAY()),2,2))"),"")</f>
        <v/>
      </c>
      <c r="HD7" s="1" t="str">
        <f ca="1">IFERROR(__xludf.DUMMYFUNCTION("if(HD$2="""","""", index(GOOGLEFINANCE($B$7,""close"",HD$2,TODAY()),2,2))"),"")</f>
        <v/>
      </c>
      <c r="HE7" s="1" t="str">
        <f ca="1">IFERROR(__xludf.DUMMYFUNCTION("if(HE$2="""","""", index(GOOGLEFINANCE($B$7,""close"",HE$2,TODAY()),2,2))"),"")</f>
        <v/>
      </c>
      <c r="HF7" s="1" t="str">
        <f ca="1">IFERROR(__xludf.DUMMYFUNCTION("if(HF$2="""","""", index(GOOGLEFINANCE($B$7,""close"",HF$2,TODAY()),2,2))"),"")</f>
        <v/>
      </c>
      <c r="HG7" s="1" t="str">
        <f ca="1">IFERROR(__xludf.DUMMYFUNCTION("if(HG$2="""","""", index(GOOGLEFINANCE($B$7,""close"",HG$2,TODAY()),2,2))"),"")</f>
        <v/>
      </c>
      <c r="HH7" s="1" t="str">
        <f ca="1">IFERROR(__xludf.DUMMYFUNCTION("if(HH$2="""","""", index(GOOGLEFINANCE($B$7,""close"",HH$2,TODAY()),2,2))"),"")</f>
        <v/>
      </c>
      <c r="HI7" s="1" t="str">
        <f ca="1">IFERROR(__xludf.DUMMYFUNCTION("if(HI$2="""","""", index(GOOGLEFINANCE($B$7,""close"",HI$2,TODAY()),2,2))"),"")</f>
        <v/>
      </c>
      <c r="HJ7" s="1" t="str">
        <f ca="1">IFERROR(__xludf.DUMMYFUNCTION("if(HJ$2="""","""", index(GOOGLEFINANCE($B$7,""close"",HJ$2,TODAY()),2,2))"),"")</f>
        <v/>
      </c>
      <c r="HK7" s="1" t="str">
        <f ca="1">IFERROR(__xludf.DUMMYFUNCTION("if(HK$2="""","""", index(GOOGLEFINANCE($B$7,""close"",HK$2,TODAY()),2,2))"),"")</f>
        <v/>
      </c>
      <c r="HL7" s="1" t="str">
        <f ca="1">IFERROR(__xludf.DUMMYFUNCTION("if(HL$2="""","""", index(GOOGLEFINANCE($B$7,""close"",HL$2,TODAY()),2,2))"),"")</f>
        <v/>
      </c>
      <c r="HM7" s="1" t="str">
        <f ca="1">IFERROR(__xludf.DUMMYFUNCTION("if(HM$2="""","""", index(GOOGLEFINANCE($B$7,""close"",HM$2,TODAY()),2,2))"),"")</f>
        <v/>
      </c>
      <c r="HN7" s="1" t="str">
        <f ca="1">IFERROR(__xludf.DUMMYFUNCTION("if(HN$2="""","""", index(GOOGLEFINANCE($B$7,""close"",HN$2,TODAY()),2,2))"),"")</f>
        <v/>
      </c>
      <c r="HO7" s="1" t="str">
        <f ca="1">IFERROR(__xludf.DUMMYFUNCTION("if(HO$2="""","""", index(GOOGLEFINANCE($B$7,""close"",HO$2,TODAY()),2,2))"),"")</f>
        <v/>
      </c>
      <c r="HP7" s="1" t="str">
        <f ca="1">IFERROR(__xludf.DUMMYFUNCTION("if(HP$2="""","""", index(GOOGLEFINANCE($B$7,""close"",HP$2,TODAY()),2,2))"),"")</f>
        <v/>
      </c>
      <c r="HQ7" s="1" t="str">
        <f ca="1">IFERROR(__xludf.DUMMYFUNCTION("if(HQ$2="""","""", index(GOOGLEFINANCE($B$7,""close"",HQ$2,TODAY()),2,2))"),"")</f>
        <v/>
      </c>
      <c r="HR7" s="1" t="str">
        <f ca="1">IFERROR(__xludf.DUMMYFUNCTION("if(HR$2="""","""", index(GOOGLEFINANCE($B$7,""close"",HR$2,TODAY()),2,2))"),"")</f>
        <v/>
      </c>
      <c r="HS7" s="1" t="str">
        <f ca="1">IFERROR(__xludf.DUMMYFUNCTION("if(HS$2="""","""", index(GOOGLEFINANCE($B$7,""close"",HS$2,TODAY()),2,2))"),"")</f>
        <v/>
      </c>
      <c r="HT7" s="1" t="str">
        <f ca="1">IFERROR(__xludf.DUMMYFUNCTION("if(HT$2="""","""", index(GOOGLEFINANCE($B$7,""close"",HT$2,TODAY()),2,2))"),"")</f>
        <v/>
      </c>
      <c r="HU7" s="1" t="str">
        <f ca="1">IFERROR(__xludf.DUMMYFUNCTION("if(HU$2="""","""", index(GOOGLEFINANCE($B$7,""close"",HU$2,TODAY()),2,2))"),"")</f>
        <v/>
      </c>
      <c r="HV7" s="1" t="str">
        <f ca="1">IFERROR(__xludf.DUMMYFUNCTION("if(HV$2="""","""", index(GOOGLEFINANCE($B$7,""close"",HV$2,TODAY()),2,2))"),"")</f>
        <v/>
      </c>
      <c r="HW7" s="1" t="str">
        <f ca="1">IFERROR(__xludf.DUMMYFUNCTION("if(HW$2="""","""", index(GOOGLEFINANCE($B$7,""close"",HW$2,TODAY()),2,2))"),"")</f>
        <v/>
      </c>
      <c r="HX7" s="1" t="str">
        <f ca="1">IFERROR(__xludf.DUMMYFUNCTION("if(HX$2="""","""", index(GOOGLEFINANCE($B$7,""close"",HX$2,TODAY()),2,2))"),"")</f>
        <v/>
      </c>
      <c r="HY7" s="1" t="str">
        <f ca="1">IFERROR(__xludf.DUMMYFUNCTION("if(HY$2="""","""", index(GOOGLEFINANCE($B$7,""close"",HY$2,TODAY()),2,2))"),"")</f>
        <v/>
      </c>
      <c r="HZ7" s="1" t="str">
        <f ca="1">IFERROR(__xludf.DUMMYFUNCTION("if(HZ$2="""","""", index(GOOGLEFINANCE($B$7,""close"",HZ$2,TODAY()),2,2))"),"")</f>
        <v/>
      </c>
      <c r="IA7" s="1" t="str">
        <f ca="1">IFERROR(__xludf.DUMMYFUNCTION("if(IA$2="""","""", index(GOOGLEFINANCE($B$7,""close"",IA$2,TODAY()),2,2))"),"")</f>
        <v/>
      </c>
      <c r="IB7" s="1" t="str">
        <f ca="1">IFERROR(__xludf.DUMMYFUNCTION("if(IB$2="""","""", index(GOOGLEFINANCE($B$7,""close"",IB$2,TODAY()),2,2))"),"")</f>
        <v/>
      </c>
      <c r="IC7" s="1" t="str">
        <f ca="1">IFERROR(__xludf.DUMMYFUNCTION("if(IC$2="""","""", index(GOOGLEFINANCE($B$7,""close"",IC$2,TODAY()),2,2))"),"")</f>
        <v/>
      </c>
      <c r="ID7" s="1" t="str">
        <f ca="1">IFERROR(__xludf.DUMMYFUNCTION("if(ID$2="""","""", index(GOOGLEFINANCE($B$7,""close"",ID$2,TODAY()),2,2))"),"")</f>
        <v/>
      </c>
      <c r="IE7" s="1" t="str">
        <f ca="1">IFERROR(__xludf.DUMMYFUNCTION("if(IE$2="""","""", index(GOOGLEFINANCE($B$7,""close"",IE$2,TODAY()),2,2))"),"")</f>
        <v/>
      </c>
      <c r="IF7" s="1" t="str">
        <f ca="1">IFERROR(__xludf.DUMMYFUNCTION("if(IF$2="""","""", index(GOOGLEFINANCE($B$7,""close"",IF$2,TODAY()),2,2))"),"")</f>
        <v/>
      </c>
      <c r="IG7" s="1" t="str">
        <f ca="1">IFERROR(__xludf.DUMMYFUNCTION("if(IG$2="""","""", index(GOOGLEFINANCE($B$7,""close"",IG$2,TODAY()),2,2))"),"")</f>
        <v/>
      </c>
      <c r="IH7" s="1" t="str">
        <f ca="1">IFERROR(__xludf.DUMMYFUNCTION("if(IH$2="""","""", index(GOOGLEFINANCE($B$7,""close"",IH$2,TODAY()),2,2))"),"")</f>
        <v/>
      </c>
      <c r="II7" s="1" t="str">
        <f ca="1">IFERROR(__xludf.DUMMYFUNCTION("if(II$2="""","""", index(GOOGLEFINANCE($B$7,""close"",II$2,TODAY()),2,2))"),"")</f>
        <v/>
      </c>
      <c r="IJ7" s="1" t="str">
        <f ca="1">IFERROR(__xludf.DUMMYFUNCTION("if(IJ$2="""","""", index(GOOGLEFINANCE($B$7,""close"",IJ$2,TODAY()),2,2))"),"")</f>
        <v/>
      </c>
      <c r="IK7" s="1" t="str">
        <f ca="1">IFERROR(__xludf.DUMMYFUNCTION("if(IK$2="""","""", index(GOOGLEFINANCE($B$7,""close"",IK$2,TODAY()),2,2))"),"")</f>
        <v/>
      </c>
      <c r="IL7" s="1" t="str">
        <f ca="1">IFERROR(__xludf.DUMMYFUNCTION("if(IL$2="""","""", index(GOOGLEFINANCE($B$7,""close"",IL$2,TODAY()),2,2))"),"")</f>
        <v/>
      </c>
      <c r="IM7" s="1" t="str">
        <f ca="1">IFERROR(__xludf.DUMMYFUNCTION("if(IM$2="""","""", index(GOOGLEFINANCE($B$7,""close"",IM$2,TODAY()),2,2))"),"")</f>
        <v/>
      </c>
      <c r="IN7" s="1" t="str">
        <f ca="1">IFERROR(__xludf.DUMMYFUNCTION("if(IN$2="""","""", index(GOOGLEFINANCE($B$7,""close"",IN$2,TODAY()),2,2))"),"")</f>
        <v/>
      </c>
      <c r="IO7" s="1" t="str">
        <f ca="1">IFERROR(__xludf.DUMMYFUNCTION("if(IO$2="""","""", index(GOOGLEFINANCE($B$7,""close"",IO$2,TODAY()),2,2))"),"")</f>
        <v/>
      </c>
      <c r="IP7" s="1" t="str">
        <f ca="1">IFERROR(__xludf.DUMMYFUNCTION("if(IP$2="""","""", index(GOOGLEFINANCE($B$7,""close"",IP$2,TODAY()),2,2))"),"")</f>
        <v/>
      </c>
      <c r="IQ7" s="1" t="str">
        <f ca="1">IFERROR(__xludf.DUMMYFUNCTION("if(IQ$2="""","""", index(GOOGLEFINANCE($B$7,""close"",IQ$2,TODAY()),2,2))"),"")</f>
        <v/>
      </c>
      <c r="IR7" s="1" t="str">
        <f ca="1">IFERROR(__xludf.DUMMYFUNCTION("if(IR$2="""","""", index(GOOGLEFINANCE($B$7,""close"",IR$2,TODAY()),2,2))"),"")</f>
        <v/>
      </c>
      <c r="IS7" s="1" t="str">
        <f ca="1">IFERROR(__xludf.DUMMYFUNCTION("if(IS$2="""","""", index(GOOGLEFINANCE($B$7,""close"",IS$2,TODAY()),2,2))"),"")</f>
        <v/>
      </c>
      <c r="IT7" s="1" t="str">
        <f ca="1">IFERROR(__xludf.DUMMYFUNCTION("if(IT$2="""","""", index(GOOGLEFINANCE($B$7,""close"",IT$2,TODAY()),2,2))"),"")</f>
        <v/>
      </c>
      <c r="IU7" s="1" t="str">
        <f ca="1">IFERROR(__xludf.DUMMYFUNCTION("if(IU$2="""","""", index(GOOGLEFINANCE($B$7,""close"",IU$2,TODAY()),2,2))"),"")</f>
        <v/>
      </c>
      <c r="IV7" s="1" t="str">
        <f ca="1">IFERROR(__xludf.DUMMYFUNCTION("if(IV$2="""","""", index(GOOGLEFINANCE($B$7,""close"",IV$2,TODAY()),2,2))"),"")</f>
        <v/>
      </c>
      <c r="IW7" s="1" t="str">
        <f ca="1">IFERROR(__xludf.DUMMYFUNCTION("if(IW$2="""","""", index(GOOGLEFINANCE($B$7,""close"",IW$2,TODAY()),2,2))"),"")</f>
        <v/>
      </c>
      <c r="IX7" s="1" t="str">
        <f ca="1">IFERROR(__xludf.DUMMYFUNCTION("if(IX$2="""","""", index(GOOGLEFINANCE($B$7,""close"",IX$2,TODAY()),2,2))"),"")</f>
        <v/>
      </c>
      <c r="IY7" s="1" t="str">
        <f ca="1">IFERROR(__xludf.DUMMYFUNCTION("if(IY$2="""","""", index(GOOGLEFINANCE($B$7,""close"",IY$2,TODAY()),2,2))"),"")</f>
        <v/>
      </c>
      <c r="IZ7" s="1" t="str">
        <f ca="1">IFERROR(__xludf.DUMMYFUNCTION("if(IZ$2="""","""", index(GOOGLEFINANCE($B$7,""close"",IZ$2,TODAY()),2,2))"),"")</f>
        <v/>
      </c>
      <c r="JA7" s="1" t="str">
        <f ca="1">IFERROR(__xludf.DUMMYFUNCTION("if(JA$2="""","""", index(GOOGLEFINANCE($B$7,""close"",JA$2,TODAY()),2,2))"),"")</f>
        <v/>
      </c>
      <c r="JB7" s="1" t="str">
        <f ca="1">IFERROR(__xludf.DUMMYFUNCTION("if(JB$2="""","""", index(GOOGLEFINANCE($B$7,""close"",JB$2,TODAY()),2,2))"),"")</f>
        <v/>
      </c>
      <c r="JC7" s="1" t="str">
        <f ca="1">IFERROR(__xludf.DUMMYFUNCTION("if(JC$2="""","""", index(GOOGLEFINANCE($B$7,""close"",JC$2,TODAY()),2,2))"),"")</f>
        <v/>
      </c>
      <c r="JD7" s="1" t="str">
        <f ca="1">IFERROR(__xludf.DUMMYFUNCTION("if(JD$2="""","""", index(GOOGLEFINANCE($B$7,""close"",JD$2,TODAY()),2,2))"),"")</f>
        <v/>
      </c>
      <c r="JE7" s="1" t="str">
        <f ca="1">IFERROR(__xludf.DUMMYFUNCTION("if(JE$2="""","""", index(GOOGLEFINANCE($B$7,""close"",JE$2,TODAY()),2,2))"),"")</f>
        <v/>
      </c>
      <c r="JF7" s="1" t="str">
        <f ca="1">IFERROR(__xludf.DUMMYFUNCTION("if(JF$2="""","""", index(GOOGLEFINANCE($B$7,""close"",JF$2,TODAY()),2,2))"),"")</f>
        <v/>
      </c>
      <c r="JG7" s="1" t="str">
        <f ca="1">IFERROR(__xludf.DUMMYFUNCTION("if(JG$2="""","""", index(GOOGLEFINANCE($B$7,""close"",JG$2,TODAY()),2,2))"),"")</f>
        <v/>
      </c>
      <c r="JH7" s="1" t="str">
        <f ca="1">IFERROR(__xludf.DUMMYFUNCTION("if(JH$2="""","""", index(GOOGLEFINANCE($B$7,""close"",JH$2,TODAY()),2,2))"),"")</f>
        <v/>
      </c>
      <c r="JI7" s="1" t="str">
        <f ca="1">IFERROR(__xludf.DUMMYFUNCTION("if(JI$2="""","""", index(GOOGLEFINANCE($B$7,""close"",JI$2,TODAY()),2,2))"),"")</f>
        <v/>
      </c>
      <c r="JJ7" s="1" t="str">
        <f ca="1">IFERROR(__xludf.DUMMYFUNCTION("if(JJ$2="""","""", index(GOOGLEFINANCE($B$7,""close"",JJ$2,TODAY()),2,2))"),"")</f>
        <v/>
      </c>
      <c r="JK7" s="1" t="str">
        <f ca="1">IFERROR(__xludf.DUMMYFUNCTION("if(JK$2="""","""", index(GOOGLEFINANCE($B$7,""close"",JK$2,TODAY()),2,2))"),"")</f>
        <v/>
      </c>
      <c r="JL7" s="1" t="str">
        <f ca="1">IFERROR(__xludf.DUMMYFUNCTION("if(JL$2="""","""", index(GOOGLEFINANCE($B$7,""close"",JL$2,TODAY()),2,2))"),"")</f>
        <v/>
      </c>
      <c r="JM7" s="1" t="str">
        <f ca="1">IFERROR(__xludf.DUMMYFUNCTION("if(JM$2="""","""", index(GOOGLEFINANCE($B$7,""close"",JM$2,TODAY()),2,2))"),"")</f>
        <v/>
      </c>
      <c r="JN7" s="1" t="str">
        <f ca="1">IFERROR(__xludf.DUMMYFUNCTION("if(JN$2="""","""", index(GOOGLEFINANCE($B$7,""close"",JN$2,TODAY()),2,2))"),"")</f>
        <v/>
      </c>
      <c r="JO7" s="1" t="str">
        <f ca="1">IFERROR(__xludf.DUMMYFUNCTION("if(JO$2="""","""", index(GOOGLEFINANCE($B$7,""close"",JO$2,TODAY()),2,2))"),"")</f>
        <v/>
      </c>
      <c r="JP7" s="1" t="str">
        <f ca="1">IFERROR(__xludf.DUMMYFUNCTION("if(JP$2="""","""", index(GOOGLEFINANCE($B$7,""close"",JP$2,TODAY()),2,2))"),"")</f>
        <v/>
      </c>
      <c r="JQ7" s="1" t="str">
        <f ca="1">IFERROR(__xludf.DUMMYFUNCTION("if(JQ$2="""","""", index(GOOGLEFINANCE($B$7,""close"",JQ$2,TODAY()),2,2))"),"")</f>
        <v/>
      </c>
      <c r="JR7" s="1" t="str">
        <f ca="1">IFERROR(__xludf.DUMMYFUNCTION("if(JR$2="""","""", index(GOOGLEFINANCE($B$7,""close"",JR$2,TODAY()),2,2))"),"")</f>
        <v/>
      </c>
      <c r="JS7" s="1" t="str">
        <f ca="1">IFERROR(__xludf.DUMMYFUNCTION("if(JS$2="""","""", index(GOOGLEFINANCE($B$7,""close"",JS$2,TODAY()),2,2))"),"")</f>
        <v/>
      </c>
      <c r="JT7" s="1" t="str">
        <f ca="1">IFERROR(__xludf.DUMMYFUNCTION("if(JT$2="""","""", index(GOOGLEFINANCE($B$7,""close"",JT$2,TODAY()),2,2))"),"")</f>
        <v/>
      </c>
      <c r="JU7" s="1" t="str">
        <f ca="1">IFERROR(__xludf.DUMMYFUNCTION("if(JU$2="""","""", index(GOOGLEFINANCE($B$7,""close"",JU$2,TODAY()),2,2))"),"")</f>
        <v/>
      </c>
      <c r="JV7" s="1" t="str">
        <f ca="1">IFERROR(__xludf.DUMMYFUNCTION("if(JV$2="""","""", index(GOOGLEFINANCE($B$7,""close"",JV$2,TODAY()),2,2))"),"")</f>
        <v/>
      </c>
      <c r="JW7" s="1" t="str">
        <f ca="1">IFERROR(__xludf.DUMMYFUNCTION("if(JW$2="""","""", index(GOOGLEFINANCE($B$7,""close"",JW$2,TODAY()),2,2))"),"")</f>
        <v/>
      </c>
      <c r="JX7" s="1" t="str">
        <f ca="1">IFERROR(__xludf.DUMMYFUNCTION("if(JX$2="""","""", index(GOOGLEFINANCE($B$7,""close"",JX$2,TODAY()),2,2))"),"")</f>
        <v/>
      </c>
      <c r="JY7" s="1" t="str">
        <f ca="1">IFERROR(__xludf.DUMMYFUNCTION("if(JY$2="""","""", index(GOOGLEFINANCE($B$7,""close"",JY$2,TODAY()),2,2))"),"")</f>
        <v/>
      </c>
      <c r="JZ7" s="1" t="str">
        <f ca="1">IFERROR(__xludf.DUMMYFUNCTION("if(JZ$2="""","""", index(GOOGLEFINANCE($B$7,""close"",JZ$2,TODAY()),2,2))"),"")</f>
        <v/>
      </c>
      <c r="KA7" s="1" t="str">
        <f ca="1">IFERROR(__xludf.DUMMYFUNCTION("if(KA$2="""","""", index(GOOGLEFINANCE($B$7,""close"",KA$2,TODAY()),2,2))"),"")</f>
        <v/>
      </c>
      <c r="KB7" s="1" t="str">
        <f ca="1">IFERROR(__xludf.DUMMYFUNCTION("if(KB$2="""","""", index(GOOGLEFINANCE($B$7,""close"",KB$2,TODAY()),2,2))"),"")</f>
        <v/>
      </c>
      <c r="KC7" s="1" t="str">
        <f ca="1">IFERROR(__xludf.DUMMYFUNCTION("if(KC$2="""","""", index(GOOGLEFINANCE($B$7,""close"",KC$2,TODAY()),2,2))"),"")</f>
        <v/>
      </c>
      <c r="KD7" s="1" t="str">
        <f ca="1">IFERROR(__xludf.DUMMYFUNCTION("if(KD$2="""","""", index(GOOGLEFINANCE($B$7,""close"",KD$2,TODAY()),2,2))"),"")</f>
        <v/>
      </c>
      <c r="KE7" s="1" t="str">
        <f ca="1">IFERROR(__xludf.DUMMYFUNCTION("if(KE$2="""","""", index(GOOGLEFINANCE($B$7,""close"",KE$2,TODAY()),2,2))"),"")</f>
        <v/>
      </c>
      <c r="KF7" s="1" t="str">
        <f ca="1">IFERROR(__xludf.DUMMYFUNCTION("if(KF$2="""","""", index(GOOGLEFINANCE($B$7,""close"",KF$2,TODAY()),2,2))"),"")</f>
        <v/>
      </c>
      <c r="KG7" s="1" t="str">
        <f ca="1">IFERROR(__xludf.DUMMYFUNCTION("if(KG$2="""","""", index(GOOGLEFINANCE($B$7,""close"",KG$2,TODAY()),2,2))"),"")</f>
        <v/>
      </c>
    </row>
    <row r="8" spans="1:319" ht="15.75" customHeight="1">
      <c r="A8" s="18" t="s">
        <v>30</v>
      </c>
      <c r="B8" s="6" t="s">
        <v>52</v>
      </c>
      <c r="C8" s="1">
        <f ca="1">IFERROR(__xludf.DUMMYFUNCTION("if(C$2="""","""", index(GOOGLEFINANCE($B$8,""close"",C$2,TODAY()),2,2))"),256.31)</f>
        <v>256.31</v>
      </c>
      <c r="D8" s="1">
        <f ca="1">IFERROR(__xludf.DUMMYFUNCTION("if(D$2="""","""", index(GOOGLEFINANCE($B$8,""close"",D$2,TODAY()),2,2))"),255.02)</f>
        <v>255.02</v>
      </c>
      <c r="E8" s="1">
        <f ca="1">IFERROR(__xludf.DUMMYFUNCTION("if(E$2="""","""", index(GOOGLEFINANCE($B$8,""close"",E$2,TODAY()),2,2))"),241.57)</f>
        <v>241.57</v>
      </c>
      <c r="F8" s="1">
        <f ca="1">IFERROR(__xludf.DUMMYFUNCTION("if(F$2="""","""", index(GOOGLEFINANCE($B$8,""close"",F$2,TODAY()),2,2))"),241.67)</f>
        <v>241.67</v>
      </c>
      <c r="G8" s="1">
        <f ca="1">IFERROR(__xludf.DUMMYFUNCTION("if(G$2="""","""", index(GOOGLEFINANCE($B$8,""close"",G$2,TODAY()),2,2))"),231.47)</f>
        <v>231.47</v>
      </c>
      <c r="H8" s="1">
        <f ca="1">IFERROR(__xludf.DUMMYFUNCTION("if(H$2="""","""", index(GOOGLEFINANCE($B$8,""close"",H$2,TODAY()),2,2))"),239.86)</f>
        <v>239.86</v>
      </c>
      <c r="I8" s="1">
        <f ca="1">IFERROR(__xludf.DUMMYFUNCTION("if(I$2="""","""", index(GOOGLEFINANCE($B$8,""close"",I$2,TODAY()),2,2))"),240.04)</f>
        <v>240.04</v>
      </c>
      <c r="J8" s="1">
        <f ca="1">IFERROR(__xludf.DUMMYFUNCTION("if(J$2="""","""", index(GOOGLEFINANCE($B$8,""close"",J$2,TODAY()),2,2))"),239.7)</f>
        <v>239.7</v>
      </c>
      <c r="K8" s="1">
        <f ca="1">IFERROR(__xludf.DUMMYFUNCTION("if(K$2="""","""", index(GOOGLEFINANCE($B$8,""close"",K$2,TODAY()),2,2))"),227.15)</f>
        <v>227.15</v>
      </c>
      <c r="L8" s="1">
        <f ca="1">IFERROR(__xludf.DUMMYFUNCTION("if(L$2="""","""", index(GOOGLEFINANCE($B$8,""close"",L$2,TODAY()),2,2))"),223.85)</f>
        <v>223.85</v>
      </c>
      <c r="M8" s="1">
        <f ca="1">IFERROR(__xludf.DUMMYFUNCTION("if(M$2="""","""", index(GOOGLEFINANCE($B$8,""close"",M$2,TODAY()),2,2))"),218.27)</f>
        <v>218.27</v>
      </c>
      <c r="N8" s="1">
        <f ca="1">IFERROR(__xludf.DUMMYFUNCTION("if(N$2="""","""", index(GOOGLEFINANCE($B$8,""close"",N$2,TODAY()),2,2))"),220.13)</f>
        <v>220.13</v>
      </c>
      <c r="O8" s="1">
        <f ca="1">IFERROR(__xludf.DUMMYFUNCTION("if(O$2="""","""", index(GOOGLEFINANCE($B$8,""close"",O$2,TODAY()),2,2))"),222.68)</f>
        <v>222.68</v>
      </c>
      <c r="P8" s="1">
        <f ca="1">IFERROR(__xludf.DUMMYFUNCTION("if(P$2="""","""", index(GOOGLEFINANCE($B$8,""close"",P$2,TODAY()),2,2))"),222.08)</f>
        <v>222.08</v>
      </c>
      <c r="Q8" s="1">
        <f ca="1">IFERROR(__xludf.DUMMYFUNCTION("if(Q$2="""","""", index(GOOGLEFINANCE($B$8,""close"",Q$2,TODAY()),2,2))"),227.36)</f>
        <v>227.36</v>
      </c>
      <c r="R8" s="1">
        <f ca="1">IFERROR(__xludf.DUMMYFUNCTION("if(R$2="""","""", index(GOOGLEFINANCE($B$8,""close"",R$2,TODAY()),2,2))"),221.32)</f>
        <v>221.32</v>
      </c>
      <c r="S8" s="1">
        <f ca="1">IFERROR(__xludf.DUMMYFUNCTION("if(S$2="""","""", index(GOOGLEFINANCE($B$8,""close"",S$2,TODAY()),2,2))"),217.16)</f>
        <v>217.16</v>
      </c>
      <c r="T8" s="1">
        <f ca="1">IFERROR(__xludf.DUMMYFUNCTION("if(T$2="""","""", index(GOOGLEFINANCE($B$8,""close"",T$2,TODAY()),2,2))"),214.58)</f>
        <v>214.58</v>
      </c>
      <c r="U8" s="1">
        <f ca="1">IFERROR(__xludf.DUMMYFUNCTION("if(U$2="""","""", index(GOOGLEFINANCE($B$8,""close"",U$2,TODAY()),2,2))"),224.74)</f>
        <v>224.74</v>
      </c>
      <c r="V8" s="1">
        <f ca="1">IFERROR(__xludf.DUMMYFUNCTION("if(V$2="""","""", index(GOOGLEFINANCE($B$8,""close"",V$2,TODAY()),2,2))"),236.54)</f>
        <v>236.54</v>
      </c>
      <c r="W8" s="1">
        <f ca="1">IFERROR(__xludf.DUMMYFUNCTION("if(W$2="""","""", index(GOOGLEFINANCE($B$8,""close"",W$2,TODAY()),2,2))"),238.1)</f>
        <v>238.1</v>
      </c>
      <c r="X8" s="1">
        <f ca="1">IFERROR(__xludf.DUMMYFUNCTION("if(X$2="""","""", index(GOOGLEFINANCE($B$8,""close"",X$2,TODAY()),2,2))"),235.73)</f>
        <v>235.73</v>
      </c>
      <c r="Y8" s="1">
        <f ca="1">IFERROR(__xludf.DUMMYFUNCTION("if(Y$2="""","""", index(GOOGLEFINANCE($B$8,""close"",Y$2,TODAY()),2,2))"),228.93)</f>
        <v>228.93</v>
      </c>
      <c r="Z8" s="1">
        <f ca="1">IFERROR(__xludf.DUMMYFUNCTION("if(Z$2="""","""", index(GOOGLEFINANCE($B$8,""close"",Z$2,TODAY()),2,2))"),232.81)</f>
        <v>232.81</v>
      </c>
      <c r="AA8" s="1">
        <f ca="1">IFERROR(__xludf.DUMMYFUNCTION("if(AA$2="""","""", index(GOOGLEFINANCE($B$8,""close"",AA$2,TODAY()),2,2))"),232.13)</f>
        <v>232.13</v>
      </c>
      <c r="AB8" s="1">
        <f ca="1">IFERROR(__xludf.DUMMYFUNCTION("if(AB$2="""","""", index(GOOGLEFINANCE($B$8,""close"",AB$2,TODAY()),2,2))"),231.98)</f>
        <v>231.98</v>
      </c>
      <c r="AC8" s="1">
        <f ca="1">IFERROR(__xludf.DUMMYFUNCTION("if(AC$2="""","""", index(GOOGLEFINANCE($B$8,""close"",AC$2,TODAY()),2,2))"),236.66)</f>
        <v>236.66</v>
      </c>
      <c r="AD8" s="1">
        <f ca="1">IFERROR(__xludf.DUMMYFUNCTION("if(AD$2="""","""", index(GOOGLEFINANCE($B$8,""close"",AD$2,TODAY()),2,2))"),233.55)</f>
        <v>233.55</v>
      </c>
      <c r="AE8" s="1">
        <f ca="1">IFERROR(__xludf.DUMMYFUNCTION("if(AE$2="""","""", index(GOOGLEFINANCE($B$8,""close"",AE$2,TODAY()),2,2))"),228.39)</f>
        <v>228.39</v>
      </c>
      <c r="AF8" s="1">
        <f ca="1">IFERROR(__xludf.DUMMYFUNCTION("if(AF$2="""","""", index(GOOGLEFINANCE($B$8,""close"",AF$2,TODAY()),2,2))"),227.93)</f>
        <v>227.93</v>
      </c>
      <c r="AG8" s="1">
        <f ca="1">IFERROR(__xludf.DUMMYFUNCTION("if(AG$2="""","""", index(GOOGLEFINANCE($B$8,""close"",AG$2,TODAY()),2,2))"),229.91)</f>
        <v>229.91</v>
      </c>
      <c r="AH8" s="1">
        <f ca="1">IFERROR(__xludf.DUMMYFUNCTION("if(AH$2="""","""", index(GOOGLEFINANCE($B$8,""close"",AH$2,TODAY()),2,2))"),229.36)</f>
        <v>229.36</v>
      </c>
      <c r="AI8" s="1">
        <f ca="1">IFERROR(__xludf.DUMMYFUNCTION("if(AI$2="""","""", index(GOOGLEFINANCE($B$8,""close"",AI$2,TODAY()),2,2))"),219.29)</f>
        <v>219.29</v>
      </c>
      <c r="AJ8" s="1">
        <f ca="1">IFERROR(__xludf.DUMMYFUNCTION("if(AJ$2="""","""", index(GOOGLEFINANCE($B$8,""close"",AJ$2,TODAY()),2,2))"),217.9)</f>
        <v>217.9</v>
      </c>
      <c r="AK8" s="1">
        <f ca="1">IFERROR(__xludf.DUMMYFUNCTION("if(AK$2="""","""", index(GOOGLEFINANCE($B$8,""close"",AK$2,TODAY()),2,2))"),217.27)</f>
        <v>217.27</v>
      </c>
      <c r="AL8" s="1">
        <f ca="1">IFERROR(__xludf.DUMMYFUNCTION("if(AL$2="""","""", index(GOOGLEFINANCE($B$8,""close"",AL$2,TODAY()),2,2))"),209.28)</f>
        <v>209.28</v>
      </c>
      <c r="AM8" s="1">
        <f ca="1">IFERROR(__xludf.DUMMYFUNCTION("if(AM$2="""","""", index(GOOGLEFINANCE($B$8,""close"",AM$2,TODAY()),2,2))"),224.15)</f>
        <v>224.15</v>
      </c>
      <c r="AN8" s="1">
        <f ca="1">IFERROR(__xludf.DUMMYFUNCTION("if(AN$2="""","""", index(GOOGLEFINANCE($B$8,""close"",AN$2,TODAY()),2,2))"),225.95)</f>
        <v>225.95</v>
      </c>
      <c r="AO8" s="1">
        <f ca="1">IFERROR(__xludf.DUMMYFUNCTION("if(AO$2="""","""", index(GOOGLEFINANCE($B$8,""close"",AO$2,TODAY()),2,2))"),229.05)</f>
        <v>229.05</v>
      </c>
      <c r="AP8" s="1">
        <f ca="1">IFERROR(__xludf.DUMMYFUNCTION("if(AP$2="""","""", index(GOOGLEFINANCE($B$8,""close"",AP$2,TODAY()),2,2))"),232.05)</f>
        <v>232.05</v>
      </c>
      <c r="AQ8" s="1">
        <f ca="1">IFERROR(__xludf.DUMMYFUNCTION("if(AQ$2="""","""", index(GOOGLEFINANCE($B$8,""close"",AQ$2,TODAY()),2,2))"),230.62)</f>
        <v>230.62</v>
      </c>
      <c r="AR8" s="1">
        <f ca="1">IFERROR(__xludf.DUMMYFUNCTION("if(AR$2="""","""", index(GOOGLEFINANCE($B$8,""close"",AR$2,TODAY()),2,2))"),193.16)</f>
        <v>193.16</v>
      </c>
      <c r="AS8" s="1">
        <f ca="1">IFERROR(__xludf.DUMMYFUNCTION("if(AS$2="""","""", index(GOOGLEFINANCE($B$8,""close"",AS$2,TODAY()),2,2))"),187.69)</f>
        <v>187.69</v>
      </c>
      <c r="AT8" s="1">
        <f ca="1">IFERROR(__xludf.DUMMYFUNCTION("if(AT$2="""","""", index(GOOGLEFINANCE($B$8,""close"",AT$2,TODAY()),2,2))"),181.5)</f>
        <v>181.5</v>
      </c>
      <c r="AU8" s="1">
        <f ca="1">IFERROR(__xludf.DUMMYFUNCTION("if(AU$2="""","""", index(GOOGLEFINANCE($B$8,""close"",AU$2,TODAY()),2,2))"),181.83)</f>
        <v>181.83</v>
      </c>
      <c r="AV8" s="1">
        <f ca="1">IFERROR(__xludf.DUMMYFUNCTION("if(AV$2="""","""", index(GOOGLEFINANCE($B$8,""close"",AV$2,TODAY()),2,2))"),188.65)</f>
        <v>188.65</v>
      </c>
      <c r="AW8" s="1">
        <f ca="1">IFERROR(__xludf.DUMMYFUNCTION("if(AW$2="""","""", index(GOOGLEFINANCE($B$8,""close"",AW$2,TODAY()),2,2))"),184.35)</f>
        <v>184.35</v>
      </c>
      <c r="AX8" s="1">
        <f ca="1">IFERROR(__xludf.DUMMYFUNCTION("if(AX$2="""","""", index(GOOGLEFINANCE($B$8,""close"",AX$2,TODAY()),2,2))"),174.44)</f>
        <v>174.44</v>
      </c>
      <c r="AY8" s="1">
        <f ca="1">IFERROR(__xludf.DUMMYFUNCTION("if(AY$2="""","""", index(GOOGLEFINANCE($B$8,""close"",AY$2,TODAY()),2,2))"),170.79)</f>
        <v>170.79</v>
      </c>
      <c r="AZ8" s="1">
        <f ca="1">IFERROR(__xludf.DUMMYFUNCTION("if(AZ$2="""","""", index(GOOGLEFINANCE($B$8,""close"",AZ$2,TODAY()),2,2))"),174.03)</f>
        <v>174.03</v>
      </c>
      <c r="BA8" s="1">
        <f ca="1">IFERROR(__xludf.DUMMYFUNCTION("if(BA$2="""","""", index(GOOGLEFINANCE($B$8,""close"",BA$2,TODAY()),2,2))"),184.82)</f>
        <v>184.82</v>
      </c>
      <c r="BB8" s="1">
        <f ca="1">IFERROR(__xludf.DUMMYFUNCTION("if(BB$2="""","""", index(GOOGLEFINANCE($B$8,""close"",BB$2,TODAY()),2,2))"),191.76)</f>
        <v>191.76</v>
      </c>
      <c r="BC8" s="1">
        <f ca="1">IFERROR(__xludf.DUMMYFUNCTION("if(BC$2="""","""", index(GOOGLEFINANCE($B$8,""close"",BC$2,TODAY()),2,2))"),197.17)</f>
        <v>197.17</v>
      </c>
      <c r="BD8" s="1">
        <f ca="1">IFERROR(__xludf.DUMMYFUNCTION("if(BD$2="""","""", index(GOOGLEFINANCE($B$8,""close"",BD$2,TODAY()),2,2))"),194.42)</f>
        <v>194.42</v>
      </c>
      <c r="BE8" s="1">
        <f ca="1">IFERROR(__xludf.DUMMYFUNCTION("if(BE$2="""","""", index(GOOGLEFINANCE($B$8,""close"",BE$2,TODAY()),2,2))"),200.08)</f>
        <v>200.08</v>
      </c>
      <c r="BF8" s="1">
        <f ca="1">IFERROR(__xludf.DUMMYFUNCTION("if(BF$2="""","""", index(GOOGLEFINANCE($B$8,""close"",BF$2,TODAY()),2,2))"),197.26)</f>
        <v>197.26</v>
      </c>
      <c r="BG8" s="1">
        <f ca="1">IFERROR(__xludf.DUMMYFUNCTION("if(BG$2="""","""", index(GOOGLEFINANCE($B$8,""close"",BG$2,TODAY()),2,2))"),197.75)</f>
        <v>197.75</v>
      </c>
      <c r="BH8" s="1">
        <f ca="1">IFERROR(__xludf.DUMMYFUNCTION("if(BH$2="""","""", index(GOOGLEFINANCE($B$8,""close"",BH$2,TODAY()),2,2))"),195.88)</f>
        <v>195.88</v>
      </c>
      <c r="BI8" s="1">
        <f ca="1">IFERROR(__xludf.DUMMYFUNCTION("if(BI$2="""","""", index(GOOGLEFINANCE($B$8,""close"",BI$2,TODAY()),2,2))"),199.88)</f>
        <v>199.88</v>
      </c>
      <c r="BJ8" s="1">
        <f ca="1">IFERROR(__xludf.DUMMYFUNCTION("if(BJ$2="""","""", index(GOOGLEFINANCE($B$8,""close"",BJ$2,TODAY()),2,2))"),215.17)</f>
        <v>215.17</v>
      </c>
      <c r="BK8" s="1">
        <f ca="1">IFERROR(__xludf.DUMMYFUNCTION("if(BK$2="""","""", index(GOOGLEFINANCE($B$8,""close"",BK$2,TODAY()),2,2))"),214.01)</f>
        <v>214.01</v>
      </c>
      <c r="BL8" s="1">
        <f ca="1">IFERROR(__xludf.DUMMYFUNCTION("if(BL$2="""","""", index(GOOGLEFINANCE($B$8,""close"",BL$2,TODAY()),2,2))"),212.46)</f>
        <v>212.46</v>
      </c>
      <c r="BM8" s="1">
        <f ca="1">IFERROR(__xludf.DUMMYFUNCTION("if(BM$2="""","""", index(GOOGLEFINANCE($B$8,""close"",BM$2,TODAY()),2,2))"),216.76)</f>
        <v>216.76</v>
      </c>
      <c r="BN8" s="1">
        <f ca="1">IFERROR(__xludf.DUMMYFUNCTION("if(BN$2="""","""", index(GOOGLEFINANCE($B$8,""close"",BN$2,TODAY()),2,2))"),216.02)</f>
        <v>216.02</v>
      </c>
      <c r="BO8" s="1">
        <f ca="1">IFERROR(__xludf.DUMMYFUNCTION("if(BO$2="""","""", index(GOOGLEFINANCE($B$8,""close"",BO$2,TODAY()),2,2))"),212.39)</f>
        <v>212.39</v>
      </c>
      <c r="BP8" s="1">
        <f ca="1">IFERROR(__xludf.DUMMYFUNCTION("if(BP$2="""","""", index(GOOGLEFINANCE($B$8,""close"",BP$2,TODAY()),2,2))"),207.48)</f>
        <v>207.48</v>
      </c>
      <c r="BQ8" s="1">
        <f ca="1">IFERROR(__xludf.DUMMYFUNCTION("if(BQ$2="""","""", index(GOOGLEFINANCE($B$8,""close"",BQ$2,TODAY()),2,2))"),204.14)</f>
        <v>204.14</v>
      </c>
      <c r="BR8" s="1">
        <f ca="1">IFERROR(__xludf.DUMMYFUNCTION("if(BR$2="""","""", index(GOOGLEFINANCE($B$8,""close"",BR$2,TODAY()),2,2))"),196.36)</f>
        <v>196.36</v>
      </c>
      <c r="BS8" s="1">
        <f ca="1">IFERROR(__xludf.DUMMYFUNCTION("if(BS$2="""","""", index(GOOGLEFINANCE($B$8,""close"",BS$2,TODAY()),2,2))"),195.67)</f>
        <v>195.67</v>
      </c>
      <c r="BT8" s="1">
        <f ca="1">IFERROR(__xludf.DUMMYFUNCTION("if(BT$2="""","""", index(GOOGLEFINANCE($B$8,""close"",BT$2,TODAY()),2,2))"),191.72)</f>
        <v>191.72</v>
      </c>
      <c r="BU8" s="1">
        <f ca="1">IFERROR(__xludf.DUMMYFUNCTION("if(BU$2="""","""", index(GOOGLEFINANCE($B$8,""close"",BU$2,TODAY()),2,2))"),197.2)</f>
        <v>197.2</v>
      </c>
      <c r="BV8" s="1">
        <f ca="1">IFERROR(__xludf.DUMMYFUNCTION("if(BV$2="""","""", index(GOOGLEFINANCE($B$8,""close"",BV$2,TODAY()),2,2))"),191.46)</f>
        <v>191.46</v>
      </c>
      <c r="BW8" s="1">
        <f ca="1">IFERROR(__xludf.DUMMYFUNCTION("if(BW$2="""","""", index(GOOGLEFINANCE($B$8,""close"",BW$2,TODAY()),2,2))"),188.14)</f>
        <v>188.14</v>
      </c>
      <c r="BX8" s="1">
        <f ca="1">IFERROR(__xludf.DUMMYFUNCTION("if(BX$2="""","""", index(GOOGLEFINANCE($B$8,""close"",BX$2,TODAY()),2,2))"),199.26)</f>
        <v>199.26</v>
      </c>
      <c r="BY8" s="1">
        <f ca="1">IFERROR(__xludf.DUMMYFUNCTION("if(BY$2="""","""", index(GOOGLEFINANCE($B$8,""close"",BY$2,TODAY()),2,2))"),193.17)</f>
        <v>193.17</v>
      </c>
      <c r="BZ8" s="1">
        <f ca="1">IFERROR(__xludf.DUMMYFUNCTION("if(BZ$2="""","""", index(GOOGLEFINANCE($B$8,""close"",BZ$2,TODAY()),2,2))"),185.98)</f>
        <v>185.98</v>
      </c>
      <c r="CA8" s="1">
        <f ca="1">IFERROR(__xludf.DUMMYFUNCTION("if(CA$2="""","""", index(GOOGLEFINANCE($B$8,""close"",CA$2,TODAY()),2,2))"),183.97)</f>
        <v>183.97</v>
      </c>
      <c r="CB8" s="1">
        <f ca="1">IFERROR(__xludf.DUMMYFUNCTION("if(CB$2="""","""", index(GOOGLEFINANCE($B$8,""close"",CB$2,TODAY()),2,2))"),184.1)</f>
        <v>184.1</v>
      </c>
      <c r="CC8" s="1">
        <f ca="1">IFERROR(__xludf.DUMMYFUNCTION("if(CC$2="""","""", index(GOOGLEFINANCE($B$8,""close"",CC$2,TODAY()),2,2))"),180.22)</f>
        <v>180.22</v>
      </c>
      <c r="CD8" s="1">
        <f ca="1">IFERROR(__xludf.DUMMYFUNCTION("if(CD$2="""","""", index(GOOGLEFINANCE($B$8,""close"",CD$2,TODAY()),2,2))"),180.1)</f>
        <v>180.1</v>
      </c>
      <c r="CE8" s="1">
        <f ca="1">IFERROR(__xludf.DUMMYFUNCTION("if(CE$2="""","""", index(GOOGLEFINANCE($B$8,""close"",CE$2,TODAY()),2,2))"),185)</f>
        <v>185</v>
      </c>
      <c r="CF8" s="1">
        <f ca="1">IFERROR(__xludf.DUMMYFUNCTION("if(CF$2="""","""", index(GOOGLEFINANCE($B$8,""close"",CF$2,TODAY()),2,2))"),181.95)</f>
        <v>181.95</v>
      </c>
      <c r="CG8" s="1">
        <f ca="1">IFERROR(__xludf.DUMMYFUNCTION("if(CG$2="""","""", index(GOOGLEFINANCE($B$8,""close"",CG$2,TODAY()),2,2))"),187.59)</f>
        <v>187.59</v>
      </c>
      <c r="CH8" s="1">
        <f ca="1">IFERROR(__xludf.DUMMYFUNCTION("if(CH$2="""","""", index(GOOGLEFINANCE($B$8,""close"",CH$2,TODAY()),2,2))"),183.7)</f>
        <v>183.7</v>
      </c>
      <c r="CI8" s="1">
        <f ca="1">IFERROR(__xludf.DUMMYFUNCTION("if(CI$2="""","""", index(GOOGLEFINANCE($B$8,""close"",CI$2,TODAY()),2,2))"),188.19)</f>
        <v>188.19</v>
      </c>
      <c r="CJ8" s="1" t="str">
        <f ca="1">IFERROR(__xludf.DUMMYFUNCTION("if(CJ$2="""","""", index(GOOGLEFINANCE($B$8,""close"",CJ$2,TODAY()),2,2))"),"")</f>
        <v/>
      </c>
      <c r="CK8" s="1" t="str">
        <f ca="1">IFERROR(__xludf.DUMMYFUNCTION("if(CK$2="""","""", index(GOOGLEFINANCE($B$8,""close"",CK$2,TODAY()),2,2))"),"")</f>
        <v/>
      </c>
      <c r="CL8" s="1" t="str">
        <f ca="1">IFERROR(__xludf.DUMMYFUNCTION("if(CL$2="""","""", index(GOOGLEFINANCE($B$8,""close"",CL$2,TODAY()),2,2))"),"")</f>
        <v/>
      </c>
      <c r="CM8" s="1" t="str">
        <f ca="1">IFERROR(__xludf.DUMMYFUNCTION("if(CM$2="""","""", index(GOOGLEFINANCE($B$8,""close"",CM$2,TODAY()),2,2))"),"")</f>
        <v/>
      </c>
      <c r="CN8" s="1" t="str">
        <f ca="1">IFERROR(__xludf.DUMMYFUNCTION("if(CN$2="""","""", index(GOOGLEFINANCE($B$8,""close"",CN$2,TODAY()),2,2))"),"")</f>
        <v/>
      </c>
      <c r="CO8" s="1" t="str">
        <f ca="1">IFERROR(__xludf.DUMMYFUNCTION("if(CO$2="""","""", index(GOOGLEFINANCE($B$8,""close"",CO$2,TODAY()),2,2))"),"")</f>
        <v/>
      </c>
      <c r="CP8" s="1" t="str">
        <f ca="1">IFERROR(__xludf.DUMMYFUNCTION("if(CP$2="""","""", index(GOOGLEFINANCE($B$8,""close"",CP$2,TODAY()),2,2))"),"")</f>
        <v/>
      </c>
      <c r="CQ8" s="1" t="str">
        <f ca="1">IFERROR(__xludf.DUMMYFUNCTION("if(CQ$2="""","""", index(GOOGLEFINANCE($B$8,""close"",CQ$2,TODAY()),2,2))"),"")</f>
        <v/>
      </c>
      <c r="CR8" s="1" t="str">
        <f ca="1">IFERROR(__xludf.DUMMYFUNCTION("if(CR$2="""","""", index(GOOGLEFINANCE($B$8,""close"",CR$2,TODAY()),2,2))"),"")</f>
        <v/>
      </c>
      <c r="CS8" s="1" t="str">
        <f ca="1">IFERROR(__xludf.DUMMYFUNCTION("if(CS$2="""","""", index(GOOGLEFINANCE($B$8,""close"",CS$2,TODAY()),2,2))"),"")</f>
        <v/>
      </c>
      <c r="CT8" s="1" t="str">
        <f ca="1">IFERROR(__xludf.DUMMYFUNCTION("if(CT$2="""","""", index(GOOGLEFINANCE($B$8,""close"",CT$2,TODAY()),2,2))"),"")</f>
        <v/>
      </c>
      <c r="CU8" s="1" t="str">
        <f ca="1">IFERROR(__xludf.DUMMYFUNCTION("if(CU$2="""","""", index(GOOGLEFINANCE($B$8,""close"",CU$2,TODAY()),2,2))"),"")</f>
        <v/>
      </c>
      <c r="CV8" s="1" t="str">
        <f ca="1">IFERROR(__xludf.DUMMYFUNCTION("if(CV$2="""","""", index(GOOGLEFINANCE($B$8,""close"",CV$2,TODAY()),2,2))"),"")</f>
        <v/>
      </c>
      <c r="CW8" s="1" t="str">
        <f ca="1">IFERROR(__xludf.DUMMYFUNCTION("if(CW$2="""","""", index(GOOGLEFINANCE($B$8,""close"",CW$2,TODAY()),2,2))"),"")</f>
        <v/>
      </c>
      <c r="CX8" s="1" t="str">
        <f ca="1">IFERROR(__xludf.DUMMYFUNCTION("if(CX$2="""","""", index(GOOGLEFINANCE($B$8,""close"",CX$2,TODAY()),2,2))"),"")</f>
        <v/>
      </c>
      <c r="CY8" s="1" t="str">
        <f ca="1">IFERROR(__xludf.DUMMYFUNCTION("if(CY$2="""","""", index(GOOGLEFINANCE($B$8,""close"",CY$2,TODAY()),2,2))"),"")</f>
        <v/>
      </c>
      <c r="CZ8" s="1" t="str">
        <f ca="1">IFERROR(__xludf.DUMMYFUNCTION("if(CZ$2="""","""", index(GOOGLEFINANCE($B$8,""close"",CZ$2,TODAY()),2,2))"),"")</f>
        <v/>
      </c>
      <c r="DA8" s="1" t="str">
        <f ca="1">IFERROR(__xludf.DUMMYFUNCTION("if(DA$2="""","""", index(GOOGLEFINANCE($B$8,""close"",DA$2,TODAY()),2,2))"),"")</f>
        <v/>
      </c>
      <c r="DB8" s="1" t="str">
        <f ca="1">IFERROR(__xludf.DUMMYFUNCTION("if(DB$2="""","""", index(GOOGLEFINANCE($B$8,""close"",DB$2,TODAY()),2,2))"),"")</f>
        <v/>
      </c>
      <c r="DC8" s="1" t="str">
        <f ca="1">IFERROR(__xludf.DUMMYFUNCTION("if(DC$2="""","""", index(GOOGLEFINANCE($B$8,""close"",DC$2,TODAY()),2,2))"),"")</f>
        <v/>
      </c>
      <c r="DD8" s="1" t="str">
        <f ca="1">IFERROR(__xludf.DUMMYFUNCTION("if(DD$2="""","""", index(GOOGLEFINANCE($B$8,""close"",DD$2,TODAY()),2,2))"),"")</f>
        <v/>
      </c>
      <c r="DE8" s="1" t="str">
        <f ca="1">IFERROR(__xludf.DUMMYFUNCTION("if(DE$2="""","""", index(GOOGLEFINANCE($B$8,""close"",DE$2,TODAY()),2,2))"),"")</f>
        <v/>
      </c>
      <c r="DF8" s="1" t="str">
        <f ca="1">IFERROR(__xludf.DUMMYFUNCTION("if(DF$2="""","""", index(GOOGLEFINANCE($B$8,""close"",DF$2,TODAY()),2,2))"),"")</f>
        <v/>
      </c>
      <c r="DG8" s="1" t="str">
        <f ca="1">IFERROR(__xludf.DUMMYFUNCTION("if(DG$2="""","""", index(GOOGLEFINANCE($B$8,""close"",DG$2,TODAY()),2,2))"),"")</f>
        <v/>
      </c>
      <c r="DH8" s="1" t="str">
        <f ca="1">IFERROR(__xludf.DUMMYFUNCTION("if(DH$2="""","""", index(GOOGLEFINANCE($B$8,""close"",DH$2,TODAY()),2,2))"),"")</f>
        <v/>
      </c>
      <c r="DI8" s="1" t="str">
        <f ca="1">IFERROR(__xludf.DUMMYFUNCTION("if(DI$2="""","""", index(GOOGLEFINANCE($B$8,""close"",DI$2,TODAY()),2,2))"),"")</f>
        <v/>
      </c>
      <c r="DJ8" s="1" t="str">
        <f ca="1">IFERROR(__xludf.DUMMYFUNCTION("if(DJ$2="""","""", index(GOOGLEFINANCE($B$8,""close"",DJ$2,TODAY()),2,2))"),"")</f>
        <v/>
      </c>
      <c r="DK8" s="1" t="str">
        <f ca="1">IFERROR(__xludf.DUMMYFUNCTION("if(DK$2="""","""", index(GOOGLEFINANCE($B$8,""close"",DK$2,TODAY()),2,2))"),"")</f>
        <v/>
      </c>
      <c r="DL8" s="1" t="str">
        <f ca="1">IFERROR(__xludf.DUMMYFUNCTION("if(DL$2="""","""", index(GOOGLEFINANCE($B$8,""close"",DL$2,TODAY()),2,2))"),"")</f>
        <v/>
      </c>
      <c r="DM8" s="1" t="str">
        <f ca="1">IFERROR(__xludf.DUMMYFUNCTION("if(DM$2="""","""", index(GOOGLEFINANCE($B$8,""close"",DM$2,TODAY()),2,2))"),"")</f>
        <v/>
      </c>
      <c r="DN8" s="1" t="str">
        <f ca="1">IFERROR(__xludf.DUMMYFUNCTION("if(DN$2="""","""", index(GOOGLEFINANCE($B$8,""close"",DN$2,TODAY()),2,2))"),"")</f>
        <v/>
      </c>
      <c r="DO8" s="1" t="str">
        <f ca="1">IFERROR(__xludf.DUMMYFUNCTION("if(DO$2="""","""", index(GOOGLEFINANCE($B$8,""close"",DO$2,TODAY()),2,2))"),"")</f>
        <v/>
      </c>
      <c r="DP8" s="1" t="str">
        <f ca="1">IFERROR(__xludf.DUMMYFUNCTION("if(DP$2="""","""", index(GOOGLEFINANCE($B$8,""close"",DP$2,TODAY()),2,2))"),"")</f>
        <v/>
      </c>
      <c r="DQ8" s="1" t="str">
        <f ca="1">IFERROR(__xludf.DUMMYFUNCTION("if(DQ$2="""","""", index(GOOGLEFINANCE($B$8,""close"",DQ$2,TODAY()),2,2))"),"")</f>
        <v/>
      </c>
      <c r="DR8" s="1" t="str">
        <f ca="1">IFERROR(__xludf.DUMMYFUNCTION("if(DR$2="""","""", index(GOOGLEFINANCE($B$8,""close"",DR$2,TODAY()),2,2))"),"")</f>
        <v/>
      </c>
      <c r="DS8" s="1" t="str">
        <f ca="1">IFERROR(__xludf.DUMMYFUNCTION("if(DS$2="""","""", index(GOOGLEFINANCE($B$8,""close"",DS$2,TODAY()),2,2))"),"")</f>
        <v/>
      </c>
      <c r="DT8" s="1" t="str">
        <f ca="1">IFERROR(__xludf.DUMMYFUNCTION("if(DT$2="""","""", index(GOOGLEFINANCE($B$8,""close"",DT$2,TODAY()),2,2))"),"")</f>
        <v/>
      </c>
      <c r="DU8" s="1" t="str">
        <f ca="1">IFERROR(__xludf.DUMMYFUNCTION("if(DU$2="""","""", index(GOOGLEFINANCE($B$8,""close"",DU$2,TODAY()),2,2))"),"")</f>
        <v/>
      </c>
      <c r="DV8" s="1" t="str">
        <f ca="1">IFERROR(__xludf.DUMMYFUNCTION("if(DV$2="""","""", index(GOOGLEFINANCE($B$8,""close"",DV$2,TODAY()),2,2))"),"")</f>
        <v/>
      </c>
      <c r="DW8" s="1" t="str">
        <f ca="1">IFERROR(__xludf.DUMMYFUNCTION("if(DW$2="""","""", index(GOOGLEFINANCE($B$8,""close"",DW$2,TODAY()),2,2))"),"")</f>
        <v/>
      </c>
      <c r="DX8" s="1" t="str">
        <f ca="1">IFERROR(__xludf.DUMMYFUNCTION("if(DX$2="""","""", index(GOOGLEFINANCE($B$8,""close"",DX$2,TODAY()),2,2))"),"")</f>
        <v/>
      </c>
      <c r="DY8" s="1" t="str">
        <f ca="1">IFERROR(__xludf.DUMMYFUNCTION("if(DY$2="""","""", index(GOOGLEFINANCE($B$8,""close"",DY$2,TODAY()),2,2))"),"")</f>
        <v/>
      </c>
      <c r="DZ8" s="1" t="str">
        <f ca="1">IFERROR(__xludf.DUMMYFUNCTION("if(DZ$2="""","""", index(GOOGLEFINANCE($B$8,""close"",DZ$2,TODAY()),2,2))"),"")</f>
        <v/>
      </c>
      <c r="EA8" s="1" t="str">
        <f ca="1">IFERROR(__xludf.DUMMYFUNCTION("if(EA$2="""","""", index(GOOGLEFINANCE($B$8,""close"",EA$2,TODAY()),2,2))"),"")</f>
        <v/>
      </c>
      <c r="EB8" s="1" t="str">
        <f ca="1">IFERROR(__xludf.DUMMYFUNCTION("if(EB$2="""","""", index(GOOGLEFINANCE($B$8,""close"",EB$2,TODAY()),2,2))"),"")</f>
        <v/>
      </c>
      <c r="EC8" s="1" t="str">
        <f ca="1">IFERROR(__xludf.DUMMYFUNCTION("if(EC$2="""","""", index(GOOGLEFINANCE($B$8,""close"",EC$2,TODAY()),2,2))"),"")</f>
        <v/>
      </c>
      <c r="ED8" s="1" t="str">
        <f ca="1">IFERROR(__xludf.DUMMYFUNCTION("if(ED$2="""","""", index(GOOGLEFINANCE($B$8,""close"",ED$2,TODAY()),2,2))"),"")</f>
        <v/>
      </c>
      <c r="EE8" s="1" t="str">
        <f ca="1">IFERROR(__xludf.DUMMYFUNCTION("if(EE$2="""","""", index(GOOGLEFINANCE($B$8,""close"",EE$2,TODAY()),2,2))"),"")</f>
        <v/>
      </c>
      <c r="EF8" s="1" t="str">
        <f ca="1">IFERROR(__xludf.DUMMYFUNCTION("if(EF$2="""","""", index(GOOGLEFINANCE($B$8,""close"",EF$2,TODAY()),2,2))"),"")</f>
        <v/>
      </c>
      <c r="EG8" s="1" t="str">
        <f ca="1">IFERROR(__xludf.DUMMYFUNCTION("if(EG$2="""","""", index(GOOGLEFINANCE($B$8,""close"",EG$2,TODAY()),2,2))"),"")</f>
        <v/>
      </c>
      <c r="EH8" s="1" t="str">
        <f ca="1">IFERROR(__xludf.DUMMYFUNCTION("if(EH$2="""","""", index(GOOGLEFINANCE($B$8,""close"",EH$2,TODAY()),2,2))"),"")</f>
        <v/>
      </c>
      <c r="EI8" s="1" t="str">
        <f ca="1">IFERROR(__xludf.DUMMYFUNCTION("if(EI$2="""","""", index(GOOGLEFINANCE($B$8,""close"",EI$2,TODAY()),2,2))"),"")</f>
        <v/>
      </c>
      <c r="EJ8" s="1" t="str">
        <f ca="1">IFERROR(__xludf.DUMMYFUNCTION("if(EJ$2="""","""", index(GOOGLEFINANCE($B$8,""close"",EJ$2,TODAY()),2,2))"),"")</f>
        <v/>
      </c>
      <c r="EK8" s="1" t="str">
        <f ca="1">IFERROR(__xludf.DUMMYFUNCTION("if(EK$2="""","""", index(GOOGLEFINANCE($B$8,""close"",EK$2,TODAY()),2,2))"),"")</f>
        <v/>
      </c>
      <c r="EL8" s="1" t="str">
        <f ca="1">IFERROR(__xludf.DUMMYFUNCTION("if(EL$2="""","""", index(GOOGLEFINANCE($B$8,""close"",EL$2,TODAY()),2,2))"),"")</f>
        <v/>
      </c>
      <c r="EM8" s="1" t="str">
        <f ca="1">IFERROR(__xludf.DUMMYFUNCTION("if(EM$2="""","""", index(GOOGLEFINANCE($B$8,""close"",EM$2,TODAY()),2,2))"),"")</f>
        <v/>
      </c>
      <c r="EN8" s="1" t="str">
        <f ca="1">IFERROR(__xludf.DUMMYFUNCTION("if(EN$2="""","""", index(GOOGLEFINANCE($B$8,""close"",EN$2,TODAY()),2,2))"),"")</f>
        <v/>
      </c>
      <c r="EO8" s="1" t="str">
        <f ca="1">IFERROR(__xludf.DUMMYFUNCTION("if(EO$2="""","""", index(GOOGLEFINANCE($B$8,""close"",EO$2,TODAY()),2,2))"),"")</f>
        <v/>
      </c>
      <c r="EP8" s="1" t="str">
        <f ca="1">IFERROR(__xludf.DUMMYFUNCTION("if(EP$2="""","""", index(GOOGLEFINANCE($B$8,""close"",EP$2,TODAY()),2,2))"),"")</f>
        <v/>
      </c>
      <c r="EQ8" s="1" t="str">
        <f ca="1">IFERROR(__xludf.DUMMYFUNCTION("if(EQ$2="""","""", index(GOOGLEFINANCE($B$8,""close"",EQ$2,TODAY()),2,2))"),"")</f>
        <v/>
      </c>
      <c r="ER8" s="1" t="str">
        <f ca="1">IFERROR(__xludf.DUMMYFUNCTION("if(ER$2="""","""", index(GOOGLEFINANCE($B$8,""close"",ER$2,TODAY()),2,2))"),"")</f>
        <v/>
      </c>
      <c r="ES8" s="1" t="str">
        <f ca="1">IFERROR(__xludf.DUMMYFUNCTION("if(ES$2="""","""", index(GOOGLEFINANCE($B$8,""close"",ES$2,TODAY()),2,2))"),"")</f>
        <v/>
      </c>
      <c r="ET8" s="1" t="str">
        <f ca="1">IFERROR(__xludf.DUMMYFUNCTION("if(ET$2="""","""", index(GOOGLEFINANCE($B$8,""close"",ET$2,TODAY()),2,2))"),"")</f>
        <v/>
      </c>
      <c r="EU8" s="1" t="str">
        <f ca="1">IFERROR(__xludf.DUMMYFUNCTION("if(EU$2="""","""", index(GOOGLEFINANCE($B$8,""close"",EU$2,TODAY()),2,2))"),"")</f>
        <v/>
      </c>
      <c r="EV8" s="1" t="str">
        <f ca="1">IFERROR(__xludf.DUMMYFUNCTION("if(EV$2="""","""", index(GOOGLEFINANCE($B$8,""close"",EV$2,TODAY()),2,2))"),"")</f>
        <v/>
      </c>
      <c r="EW8" s="1" t="str">
        <f ca="1">IFERROR(__xludf.DUMMYFUNCTION("if(EW$2="""","""", index(GOOGLEFINANCE($B$8,""close"",EW$2,TODAY()),2,2))"),"")</f>
        <v/>
      </c>
      <c r="EX8" s="1" t="str">
        <f ca="1">IFERROR(__xludf.DUMMYFUNCTION("if(EX$2="""","""", index(GOOGLEFINANCE($B$8,""close"",EX$2,TODAY()),2,2))"),"")</f>
        <v/>
      </c>
      <c r="EY8" s="1" t="str">
        <f ca="1">IFERROR(__xludf.DUMMYFUNCTION("if(EY$2="""","""", index(GOOGLEFINANCE($B$8,""close"",EY$2,TODAY()),2,2))"),"")</f>
        <v/>
      </c>
      <c r="EZ8" s="1" t="str">
        <f ca="1">IFERROR(__xludf.DUMMYFUNCTION("if(EZ$2="""","""", index(GOOGLEFINANCE($B$8,""close"",EZ$2,TODAY()),2,2))"),"")</f>
        <v/>
      </c>
      <c r="FA8" s="1" t="str">
        <f ca="1">IFERROR(__xludf.DUMMYFUNCTION("if(FA$2="""","""", index(GOOGLEFINANCE($B$8,""close"",FA$2,TODAY()),2,2))"),"")</f>
        <v/>
      </c>
      <c r="FB8" s="1" t="str">
        <f ca="1">IFERROR(__xludf.DUMMYFUNCTION("if(FB$2="""","""", index(GOOGLEFINANCE($B$8,""close"",FB$2,TODAY()),2,2))"),"")</f>
        <v/>
      </c>
      <c r="FC8" s="1" t="str">
        <f ca="1">IFERROR(__xludf.DUMMYFUNCTION("if(FC$2="""","""", index(GOOGLEFINANCE($B$8,""close"",FC$2,TODAY()),2,2))"),"")</f>
        <v/>
      </c>
      <c r="FD8" s="1" t="str">
        <f ca="1">IFERROR(__xludf.DUMMYFUNCTION("if(FD$2="""","""", index(GOOGLEFINANCE($B$8,""close"",FD$2,TODAY()),2,2))"),"")</f>
        <v/>
      </c>
      <c r="FE8" s="1" t="str">
        <f ca="1">IFERROR(__xludf.DUMMYFUNCTION("if(FE$2="""","""", index(GOOGLEFINANCE($B$8,""close"",FE$2,TODAY()),2,2))"),"")</f>
        <v/>
      </c>
      <c r="FF8" s="1" t="str">
        <f ca="1">IFERROR(__xludf.DUMMYFUNCTION("if(FF$2="""","""", index(GOOGLEFINANCE($B$8,""close"",FF$2,TODAY()),2,2))"),"")</f>
        <v/>
      </c>
      <c r="FG8" s="1" t="str">
        <f ca="1">IFERROR(__xludf.DUMMYFUNCTION("if(FG$2="""","""", index(GOOGLEFINANCE($B$8,""close"",FG$2,TODAY()),2,2))"),"")</f>
        <v/>
      </c>
      <c r="FH8" s="1" t="str">
        <f ca="1">IFERROR(__xludf.DUMMYFUNCTION("if(FH$2="""","""", index(GOOGLEFINANCE($B$8,""close"",FH$2,TODAY()),2,2))"),"")</f>
        <v/>
      </c>
      <c r="FI8" s="1" t="str">
        <f ca="1">IFERROR(__xludf.DUMMYFUNCTION("if(FI$2="""","""", index(GOOGLEFINANCE($B$8,""close"",FI$2,TODAY()),2,2))"),"")</f>
        <v/>
      </c>
      <c r="FJ8" s="1" t="str">
        <f ca="1">IFERROR(__xludf.DUMMYFUNCTION("if(FJ$2="""","""", index(GOOGLEFINANCE($B$8,""close"",FJ$2,TODAY()),2,2))"),"")</f>
        <v/>
      </c>
      <c r="FK8" s="1" t="str">
        <f ca="1">IFERROR(__xludf.DUMMYFUNCTION("if(FK$2="""","""", index(GOOGLEFINANCE($B$8,""close"",FK$2,TODAY()),2,2))"),"")</f>
        <v/>
      </c>
      <c r="FL8" s="1" t="str">
        <f ca="1">IFERROR(__xludf.DUMMYFUNCTION("if(FL$2="""","""", index(GOOGLEFINANCE($B$8,""close"",FL$2,TODAY()),2,2))"),"")</f>
        <v/>
      </c>
      <c r="FM8" s="1" t="str">
        <f ca="1">IFERROR(__xludf.DUMMYFUNCTION("if(FM$2="""","""", index(GOOGLEFINANCE($B$8,""close"",FM$2,TODAY()),2,2))"),"")</f>
        <v/>
      </c>
      <c r="FN8" s="1" t="str">
        <f ca="1">IFERROR(__xludf.DUMMYFUNCTION("if(FN$2="""","""", index(GOOGLEFINANCE($B$8,""close"",FN$2,TODAY()),2,2))"),"")</f>
        <v/>
      </c>
      <c r="FO8" s="1" t="str">
        <f ca="1">IFERROR(__xludf.DUMMYFUNCTION("if(FO$2="""","""", index(GOOGLEFINANCE($B$8,""close"",FO$2,TODAY()),2,2))"),"")</f>
        <v/>
      </c>
      <c r="FP8" s="1" t="str">
        <f ca="1">IFERROR(__xludf.DUMMYFUNCTION("if(FP$2="""","""", index(GOOGLEFINANCE($B$8,""close"",FP$2,TODAY()),2,2))"),"")</f>
        <v/>
      </c>
      <c r="FQ8" s="1" t="str">
        <f ca="1">IFERROR(__xludf.DUMMYFUNCTION("if(FQ$2="""","""", index(GOOGLEFINANCE($B$8,""close"",FQ$2,TODAY()),2,2))"),"")</f>
        <v/>
      </c>
      <c r="FR8" s="1" t="str">
        <f ca="1">IFERROR(__xludf.DUMMYFUNCTION("if(FR$2="""","""", index(GOOGLEFINANCE($B$8,""close"",FR$2,TODAY()),2,2))"),"")</f>
        <v/>
      </c>
      <c r="FS8" s="1" t="str">
        <f ca="1">IFERROR(__xludf.DUMMYFUNCTION("if(FS$2="""","""", index(GOOGLEFINANCE($B$8,""close"",FS$2,TODAY()),2,2))"),"")</f>
        <v/>
      </c>
      <c r="FT8" s="1" t="str">
        <f ca="1">IFERROR(__xludf.DUMMYFUNCTION("if(FT$2="""","""", index(GOOGLEFINANCE($B$8,""close"",FT$2,TODAY()),2,2))"),"")</f>
        <v/>
      </c>
      <c r="FU8" s="1" t="str">
        <f ca="1">IFERROR(__xludf.DUMMYFUNCTION("if(FU$2="""","""", index(GOOGLEFINANCE($B$8,""close"",FU$2,TODAY()),2,2))"),"")</f>
        <v/>
      </c>
      <c r="FV8" s="1" t="str">
        <f ca="1">IFERROR(__xludf.DUMMYFUNCTION("if(FV$2="""","""", index(GOOGLEFINANCE($B$8,""close"",FV$2,TODAY()),2,2))"),"")</f>
        <v/>
      </c>
      <c r="FW8" s="1" t="str">
        <f ca="1">IFERROR(__xludf.DUMMYFUNCTION("if(FW$2="""","""", index(GOOGLEFINANCE($B$8,""close"",FW$2,TODAY()),2,2))"),"")</f>
        <v/>
      </c>
      <c r="FX8" s="1" t="str">
        <f ca="1">IFERROR(__xludf.DUMMYFUNCTION("if(FX$2="""","""", index(GOOGLEFINANCE($B$8,""close"",FX$2,TODAY()),2,2))"),"")</f>
        <v/>
      </c>
      <c r="FY8" s="1" t="str">
        <f ca="1">IFERROR(__xludf.DUMMYFUNCTION("if(FY$2="""","""", index(GOOGLEFINANCE($B$8,""close"",FY$2,TODAY()),2,2))"),"")</f>
        <v/>
      </c>
      <c r="FZ8" s="1" t="str">
        <f ca="1">IFERROR(__xludf.DUMMYFUNCTION("if(FZ$2="""","""", index(GOOGLEFINANCE($B$8,""close"",FZ$2,TODAY()),2,2))"),"")</f>
        <v/>
      </c>
      <c r="GA8" s="1" t="str">
        <f ca="1">IFERROR(__xludf.DUMMYFUNCTION("if(GA$2="""","""", index(GOOGLEFINANCE($B$8,""close"",GA$2,TODAY()),2,2))"),"")</f>
        <v/>
      </c>
      <c r="GB8" s="1" t="str">
        <f ca="1">IFERROR(__xludf.DUMMYFUNCTION("if(GB$2="""","""", index(GOOGLEFINANCE($B$8,""close"",GB$2,TODAY()),2,2))"),"")</f>
        <v/>
      </c>
      <c r="GC8" s="1" t="str">
        <f ca="1">IFERROR(__xludf.DUMMYFUNCTION("if(GC$2="""","""", index(GOOGLEFINANCE($B$8,""close"",GC$2,TODAY()),2,2))"),"")</f>
        <v/>
      </c>
      <c r="GD8" s="1" t="str">
        <f ca="1">IFERROR(__xludf.DUMMYFUNCTION("if(GD$2="""","""", index(GOOGLEFINANCE($B$8,""close"",GD$2,TODAY()),2,2))"),"")</f>
        <v/>
      </c>
      <c r="GE8" s="1" t="str">
        <f ca="1">IFERROR(__xludf.DUMMYFUNCTION("if(GE$2="""","""", index(GOOGLEFINANCE($B$8,""close"",GE$2,TODAY()),2,2))"),"")</f>
        <v/>
      </c>
      <c r="GF8" s="1" t="str">
        <f ca="1">IFERROR(__xludf.DUMMYFUNCTION("if(GF$2="""","""", index(GOOGLEFINANCE($B$8,""close"",GF$2,TODAY()),2,2))"),"")</f>
        <v/>
      </c>
      <c r="GG8" s="1" t="str">
        <f ca="1">IFERROR(__xludf.DUMMYFUNCTION("if(GG$2="""","""", index(GOOGLEFINANCE($B$8,""close"",GG$2,TODAY()),2,2))"),"")</f>
        <v/>
      </c>
      <c r="GH8" s="1" t="str">
        <f ca="1">IFERROR(__xludf.DUMMYFUNCTION("if(GH$2="""","""", index(GOOGLEFINANCE($B$8,""close"",GH$2,TODAY()),2,2))"),"")</f>
        <v/>
      </c>
      <c r="GI8" s="1" t="str">
        <f ca="1">IFERROR(__xludf.DUMMYFUNCTION("if(GI$2="""","""", index(GOOGLEFINANCE($B$8,""close"",GI$2,TODAY()),2,2))"),"")</f>
        <v/>
      </c>
      <c r="GJ8" s="1" t="str">
        <f ca="1">IFERROR(__xludf.DUMMYFUNCTION("if(GJ$2="""","""", index(GOOGLEFINANCE($B$8,""close"",GJ$2,TODAY()),2,2))"),"")</f>
        <v/>
      </c>
      <c r="GK8" s="1" t="str">
        <f ca="1">IFERROR(__xludf.DUMMYFUNCTION("if(GK$2="""","""", index(GOOGLEFINANCE($B$8,""close"",GK$2,TODAY()),2,2))"),"")</f>
        <v/>
      </c>
      <c r="GL8" s="1" t="str">
        <f ca="1">IFERROR(__xludf.DUMMYFUNCTION("if(GL$2="""","""", index(GOOGLEFINANCE($B$8,""close"",GL$2,TODAY()),2,2))"),"")</f>
        <v/>
      </c>
      <c r="GM8" s="1" t="str">
        <f ca="1">IFERROR(__xludf.DUMMYFUNCTION("if(GM$2="""","""", index(GOOGLEFINANCE($B$8,""close"",GM$2,TODAY()),2,2))"),"")</f>
        <v/>
      </c>
      <c r="GN8" s="1" t="str">
        <f ca="1">IFERROR(__xludf.DUMMYFUNCTION("if(GN$2="""","""", index(GOOGLEFINANCE($B$8,""close"",GN$2,TODAY()),2,2))"),"")</f>
        <v/>
      </c>
      <c r="GO8" s="1" t="str">
        <f ca="1">IFERROR(__xludf.DUMMYFUNCTION("if(GO$2="""","""", index(GOOGLEFINANCE($B$8,""close"",GO$2,TODAY()),2,2))"),"")</f>
        <v/>
      </c>
      <c r="GP8" s="1" t="str">
        <f ca="1">IFERROR(__xludf.DUMMYFUNCTION("if(GP$2="""","""", index(GOOGLEFINANCE($B$8,""close"",GP$2,TODAY()),2,2))"),"")</f>
        <v/>
      </c>
      <c r="GQ8" s="1" t="str">
        <f ca="1">IFERROR(__xludf.DUMMYFUNCTION("if(GQ$2="""","""", index(GOOGLEFINANCE($B$8,""close"",GQ$2,TODAY()),2,2))"),"")</f>
        <v/>
      </c>
      <c r="GR8" s="1" t="str">
        <f ca="1">IFERROR(__xludf.DUMMYFUNCTION("if(GR$2="""","""", index(GOOGLEFINANCE($B$8,""close"",GR$2,TODAY()),2,2))"),"")</f>
        <v/>
      </c>
      <c r="GS8" s="1" t="str">
        <f ca="1">IFERROR(__xludf.DUMMYFUNCTION("if(GS$2="""","""", index(GOOGLEFINANCE($B$8,""close"",GS$2,TODAY()),2,2))"),"")</f>
        <v/>
      </c>
      <c r="GT8" s="1" t="str">
        <f ca="1">IFERROR(__xludf.DUMMYFUNCTION("if(GT$2="""","""", index(GOOGLEFINANCE($B$8,""close"",GT$2,TODAY()),2,2))"),"")</f>
        <v/>
      </c>
      <c r="GU8" s="1" t="str">
        <f ca="1">IFERROR(__xludf.DUMMYFUNCTION("if(GU$2="""","""", index(GOOGLEFINANCE($B$8,""close"",GU$2,TODAY()),2,2))"),"")</f>
        <v/>
      </c>
      <c r="GV8" s="1" t="str">
        <f ca="1">IFERROR(__xludf.DUMMYFUNCTION("if(GV$2="""","""", index(GOOGLEFINANCE($B$8,""close"",GV$2,TODAY()),2,2))"),"")</f>
        <v/>
      </c>
      <c r="GW8" s="1" t="str">
        <f ca="1">IFERROR(__xludf.DUMMYFUNCTION("if(GW$2="""","""", index(GOOGLEFINANCE($B$8,""close"",GW$2,TODAY()),2,2))"),"")</f>
        <v/>
      </c>
      <c r="GX8" s="1" t="str">
        <f ca="1">IFERROR(__xludf.DUMMYFUNCTION("if(GX$2="""","""", index(GOOGLEFINANCE($B$8,""close"",GX$2,TODAY()),2,2))"),"")</f>
        <v/>
      </c>
      <c r="GY8" s="1" t="str">
        <f ca="1">IFERROR(__xludf.DUMMYFUNCTION("if(GY$2="""","""", index(GOOGLEFINANCE($B$8,""close"",GY$2,TODAY()),2,2))"),"")</f>
        <v/>
      </c>
      <c r="GZ8" s="1" t="str">
        <f ca="1">IFERROR(__xludf.DUMMYFUNCTION("if(GZ$2="""","""", index(GOOGLEFINANCE($B$8,""close"",GZ$2,TODAY()),2,2))"),"")</f>
        <v/>
      </c>
      <c r="HA8" s="1" t="str">
        <f ca="1">IFERROR(__xludf.DUMMYFUNCTION("if(HA$2="""","""", index(GOOGLEFINANCE($B$8,""close"",HA$2,TODAY()),2,2))"),"")</f>
        <v/>
      </c>
      <c r="HB8" s="1" t="str">
        <f ca="1">IFERROR(__xludf.DUMMYFUNCTION("if(HB$2="""","""", index(GOOGLEFINANCE($B$8,""close"",HB$2,TODAY()),2,2))"),"")</f>
        <v/>
      </c>
      <c r="HC8" s="1" t="str">
        <f ca="1">IFERROR(__xludf.DUMMYFUNCTION("if(HC$2="""","""", index(GOOGLEFINANCE($B$8,""close"",HC$2,TODAY()),2,2))"),"")</f>
        <v/>
      </c>
      <c r="HD8" s="1" t="str">
        <f ca="1">IFERROR(__xludf.DUMMYFUNCTION("if(HD$2="""","""", index(GOOGLEFINANCE($B$8,""close"",HD$2,TODAY()),2,2))"),"")</f>
        <v/>
      </c>
      <c r="HE8" s="1" t="str">
        <f ca="1">IFERROR(__xludf.DUMMYFUNCTION("if(HE$2="""","""", index(GOOGLEFINANCE($B$8,""close"",HE$2,TODAY()),2,2))"),"")</f>
        <v/>
      </c>
      <c r="HF8" s="1" t="str">
        <f ca="1">IFERROR(__xludf.DUMMYFUNCTION("if(HF$2="""","""", index(GOOGLEFINANCE($B$8,""close"",HF$2,TODAY()),2,2))"),"")</f>
        <v/>
      </c>
      <c r="HG8" s="1" t="str">
        <f ca="1">IFERROR(__xludf.DUMMYFUNCTION("if(HG$2="""","""", index(GOOGLEFINANCE($B$8,""close"",HG$2,TODAY()),2,2))"),"")</f>
        <v/>
      </c>
      <c r="HH8" s="1" t="str">
        <f ca="1">IFERROR(__xludf.DUMMYFUNCTION("if(HH$2="""","""", index(GOOGLEFINANCE($B$8,""close"",HH$2,TODAY()),2,2))"),"")</f>
        <v/>
      </c>
      <c r="HI8" s="1" t="str">
        <f ca="1">IFERROR(__xludf.DUMMYFUNCTION("if(HI$2="""","""", index(GOOGLEFINANCE($B$8,""close"",HI$2,TODAY()),2,2))"),"")</f>
        <v/>
      </c>
      <c r="HJ8" s="1" t="str">
        <f ca="1">IFERROR(__xludf.DUMMYFUNCTION("if(HJ$2="""","""", index(GOOGLEFINANCE($B$8,""close"",HJ$2,TODAY()),2,2))"),"")</f>
        <v/>
      </c>
      <c r="HK8" s="1" t="str">
        <f ca="1">IFERROR(__xludf.DUMMYFUNCTION("if(HK$2="""","""", index(GOOGLEFINANCE($B$8,""close"",HK$2,TODAY()),2,2))"),"")</f>
        <v/>
      </c>
      <c r="HL8" s="1" t="str">
        <f ca="1">IFERROR(__xludf.DUMMYFUNCTION("if(HL$2="""","""", index(GOOGLEFINANCE($B$8,""close"",HL$2,TODAY()),2,2))"),"")</f>
        <v/>
      </c>
      <c r="HM8" s="1" t="str">
        <f ca="1">IFERROR(__xludf.DUMMYFUNCTION("if(HM$2="""","""", index(GOOGLEFINANCE($B$8,""close"",HM$2,TODAY()),2,2))"),"")</f>
        <v/>
      </c>
      <c r="HN8" s="1" t="str">
        <f ca="1">IFERROR(__xludf.DUMMYFUNCTION("if(HN$2="""","""", index(GOOGLEFINANCE($B$8,""close"",HN$2,TODAY()),2,2))"),"")</f>
        <v/>
      </c>
      <c r="HO8" s="1" t="str">
        <f ca="1">IFERROR(__xludf.DUMMYFUNCTION("if(HO$2="""","""", index(GOOGLEFINANCE($B$8,""close"",HO$2,TODAY()),2,2))"),"")</f>
        <v/>
      </c>
      <c r="HP8" s="1" t="str">
        <f ca="1">IFERROR(__xludf.DUMMYFUNCTION("if(HP$2="""","""", index(GOOGLEFINANCE($B$8,""close"",HP$2,TODAY()),2,2))"),"")</f>
        <v/>
      </c>
      <c r="HQ8" s="1" t="str">
        <f ca="1">IFERROR(__xludf.DUMMYFUNCTION("if(HQ$2="""","""", index(GOOGLEFINANCE($B$8,""close"",HQ$2,TODAY()),2,2))"),"")</f>
        <v/>
      </c>
      <c r="HR8" s="1" t="str">
        <f ca="1">IFERROR(__xludf.DUMMYFUNCTION("if(HR$2="""","""", index(GOOGLEFINANCE($B$8,""close"",HR$2,TODAY()),2,2))"),"")</f>
        <v/>
      </c>
      <c r="HS8" s="1" t="str">
        <f ca="1">IFERROR(__xludf.DUMMYFUNCTION("if(HS$2="""","""", index(GOOGLEFINANCE($B$8,""close"",HS$2,TODAY()),2,2))"),"")</f>
        <v/>
      </c>
      <c r="HT8" s="1" t="str">
        <f ca="1">IFERROR(__xludf.DUMMYFUNCTION("if(HT$2="""","""", index(GOOGLEFINANCE($B$8,""close"",HT$2,TODAY()),2,2))"),"")</f>
        <v/>
      </c>
      <c r="HU8" s="1" t="str">
        <f ca="1">IFERROR(__xludf.DUMMYFUNCTION("if(HU$2="""","""", index(GOOGLEFINANCE($B$8,""close"",HU$2,TODAY()),2,2))"),"")</f>
        <v/>
      </c>
      <c r="HV8" s="1" t="str">
        <f ca="1">IFERROR(__xludf.DUMMYFUNCTION("if(HV$2="""","""", index(GOOGLEFINANCE($B$8,""close"",HV$2,TODAY()),2,2))"),"")</f>
        <v/>
      </c>
      <c r="HW8" s="1" t="str">
        <f ca="1">IFERROR(__xludf.DUMMYFUNCTION("if(HW$2="""","""", index(GOOGLEFINANCE($B$8,""close"",HW$2,TODAY()),2,2))"),"")</f>
        <v/>
      </c>
      <c r="HX8" s="1" t="str">
        <f ca="1">IFERROR(__xludf.DUMMYFUNCTION("if(HX$2="""","""", index(GOOGLEFINANCE($B$8,""close"",HX$2,TODAY()),2,2))"),"")</f>
        <v/>
      </c>
      <c r="HY8" s="1" t="str">
        <f ca="1">IFERROR(__xludf.DUMMYFUNCTION("if(HY$2="""","""", index(GOOGLEFINANCE($B$8,""close"",HY$2,TODAY()),2,2))"),"")</f>
        <v/>
      </c>
      <c r="HZ8" s="1" t="str">
        <f ca="1">IFERROR(__xludf.DUMMYFUNCTION("if(HZ$2="""","""", index(GOOGLEFINANCE($B$8,""close"",HZ$2,TODAY()),2,2))"),"")</f>
        <v/>
      </c>
      <c r="IA8" s="1" t="str">
        <f ca="1">IFERROR(__xludf.DUMMYFUNCTION("if(IA$2="""","""", index(GOOGLEFINANCE($B$8,""close"",IA$2,TODAY()),2,2))"),"")</f>
        <v/>
      </c>
      <c r="IB8" s="1" t="str">
        <f ca="1">IFERROR(__xludf.DUMMYFUNCTION("if(IB$2="""","""", index(GOOGLEFINANCE($B$8,""close"",IB$2,TODAY()),2,2))"),"")</f>
        <v/>
      </c>
      <c r="IC8" s="1" t="str">
        <f ca="1">IFERROR(__xludf.DUMMYFUNCTION("if(IC$2="""","""", index(GOOGLEFINANCE($B$8,""close"",IC$2,TODAY()),2,2))"),"")</f>
        <v/>
      </c>
      <c r="ID8" s="1" t="str">
        <f ca="1">IFERROR(__xludf.DUMMYFUNCTION("if(ID$2="""","""", index(GOOGLEFINANCE($B$8,""close"",ID$2,TODAY()),2,2))"),"")</f>
        <v/>
      </c>
      <c r="IE8" s="1" t="str">
        <f ca="1">IFERROR(__xludf.DUMMYFUNCTION("if(IE$2="""","""", index(GOOGLEFINANCE($B$8,""close"",IE$2,TODAY()),2,2))"),"")</f>
        <v/>
      </c>
      <c r="IF8" s="1" t="str">
        <f ca="1">IFERROR(__xludf.DUMMYFUNCTION("if(IF$2="""","""", index(GOOGLEFINANCE($B$8,""close"",IF$2,TODAY()),2,2))"),"")</f>
        <v/>
      </c>
      <c r="IG8" s="1" t="str">
        <f ca="1">IFERROR(__xludf.DUMMYFUNCTION("if(IG$2="""","""", index(GOOGLEFINANCE($B$8,""close"",IG$2,TODAY()),2,2))"),"")</f>
        <v/>
      </c>
      <c r="IH8" s="1" t="str">
        <f ca="1">IFERROR(__xludf.DUMMYFUNCTION("if(IH$2="""","""", index(GOOGLEFINANCE($B$8,""close"",IH$2,TODAY()),2,2))"),"")</f>
        <v/>
      </c>
      <c r="II8" s="1" t="str">
        <f ca="1">IFERROR(__xludf.DUMMYFUNCTION("if(II$2="""","""", index(GOOGLEFINANCE($B$8,""close"",II$2,TODAY()),2,2))"),"")</f>
        <v/>
      </c>
      <c r="IJ8" s="1" t="str">
        <f ca="1">IFERROR(__xludf.DUMMYFUNCTION("if(IJ$2="""","""", index(GOOGLEFINANCE($B$8,""close"",IJ$2,TODAY()),2,2))"),"")</f>
        <v/>
      </c>
      <c r="IK8" s="1" t="str">
        <f ca="1">IFERROR(__xludf.DUMMYFUNCTION("if(IK$2="""","""", index(GOOGLEFINANCE($B$8,""close"",IK$2,TODAY()),2,2))"),"")</f>
        <v/>
      </c>
      <c r="IL8" s="1" t="str">
        <f ca="1">IFERROR(__xludf.DUMMYFUNCTION("if(IL$2="""","""", index(GOOGLEFINANCE($B$8,""close"",IL$2,TODAY()),2,2))"),"")</f>
        <v/>
      </c>
      <c r="IM8" s="1" t="str">
        <f ca="1">IFERROR(__xludf.DUMMYFUNCTION("if(IM$2="""","""", index(GOOGLEFINANCE($B$8,""close"",IM$2,TODAY()),2,2))"),"")</f>
        <v/>
      </c>
      <c r="IN8" s="1" t="str">
        <f ca="1">IFERROR(__xludf.DUMMYFUNCTION("if(IN$2="""","""", index(GOOGLEFINANCE($B$8,""close"",IN$2,TODAY()),2,2))"),"")</f>
        <v/>
      </c>
      <c r="IO8" s="1" t="str">
        <f ca="1">IFERROR(__xludf.DUMMYFUNCTION("if(IO$2="""","""", index(GOOGLEFINANCE($B$8,""close"",IO$2,TODAY()),2,2))"),"")</f>
        <v/>
      </c>
      <c r="IP8" s="1" t="str">
        <f ca="1">IFERROR(__xludf.DUMMYFUNCTION("if(IP$2="""","""", index(GOOGLEFINANCE($B$8,""close"",IP$2,TODAY()),2,2))"),"")</f>
        <v/>
      </c>
      <c r="IQ8" s="1" t="str">
        <f ca="1">IFERROR(__xludf.DUMMYFUNCTION("if(IQ$2="""","""", index(GOOGLEFINANCE($B$8,""close"",IQ$2,TODAY()),2,2))"),"")</f>
        <v/>
      </c>
      <c r="IR8" s="1" t="str">
        <f ca="1">IFERROR(__xludf.DUMMYFUNCTION("if(IR$2="""","""", index(GOOGLEFINANCE($B$8,""close"",IR$2,TODAY()),2,2))"),"")</f>
        <v/>
      </c>
      <c r="IS8" s="1" t="str">
        <f ca="1">IFERROR(__xludf.DUMMYFUNCTION("if(IS$2="""","""", index(GOOGLEFINANCE($B$8,""close"",IS$2,TODAY()),2,2))"),"")</f>
        <v/>
      </c>
      <c r="IT8" s="1" t="str">
        <f ca="1">IFERROR(__xludf.DUMMYFUNCTION("if(IT$2="""","""", index(GOOGLEFINANCE($B$8,""close"",IT$2,TODAY()),2,2))"),"")</f>
        <v/>
      </c>
      <c r="IU8" s="1" t="str">
        <f ca="1">IFERROR(__xludf.DUMMYFUNCTION("if(IU$2="""","""", index(GOOGLEFINANCE($B$8,""close"",IU$2,TODAY()),2,2))"),"")</f>
        <v/>
      </c>
      <c r="IV8" s="1" t="str">
        <f ca="1">IFERROR(__xludf.DUMMYFUNCTION("if(IV$2="""","""", index(GOOGLEFINANCE($B$8,""close"",IV$2,TODAY()),2,2))"),"")</f>
        <v/>
      </c>
      <c r="IW8" s="1" t="str">
        <f ca="1">IFERROR(__xludf.DUMMYFUNCTION("if(IW$2="""","""", index(GOOGLEFINANCE($B$8,""close"",IW$2,TODAY()),2,2))"),"")</f>
        <v/>
      </c>
      <c r="IX8" s="1" t="str">
        <f ca="1">IFERROR(__xludf.DUMMYFUNCTION("if(IX$2="""","""", index(GOOGLEFINANCE($B$8,""close"",IX$2,TODAY()),2,2))"),"")</f>
        <v/>
      </c>
      <c r="IY8" s="1" t="str">
        <f ca="1">IFERROR(__xludf.DUMMYFUNCTION("if(IY$2="""","""", index(GOOGLEFINANCE($B$8,""close"",IY$2,TODAY()),2,2))"),"")</f>
        <v/>
      </c>
      <c r="IZ8" s="1" t="str">
        <f ca="1">IFERROR(__xludf.DUMMYFUNCTION("if(IZ$2="""","""", index(GOOGLEFINANCE($B$8,""close"",IZ$2,TODAY()),2,2))"),"")</f>
        <v/>
      </c>
      <c r="JA8" s="1" t="str">
        <f ca="1">IFERROR(__xludf.DUMMYFUNCTION("if(JA$2="""","""", index(GOOGLEFINANCE($B$8,""close"",JA$2,TODAY()),2,2))"),"")</f>
        <v/>
      </c>
      <c r="JB8" s="1" t="str">
        <f ca="1">IFERROR(__xludf.DUMMYFUNCTION("if(JB$2="""","""", index(GOOGLEFINANCE($B$8,""close"",JB$2,TODAY()),2,2))"),"")</f>
        <v/>
      </c>
      <c r="JC8" s="1" t="str">
        <f ca="1">IFERROR(__xludf.DUMMYFUNCTION("if(JC$2="""","""", index(GOOGLEFINANCE($B$8,""close"",JC$2,TODAY()),2,2))"),"")</f>
        <v/>
      </c>
      <c r="JD8" s="1" t="str">
        <f ca="1">IFERROR(__xludf.DUMMYFUNCTION("if(JD$2="""","""", index(GOOGLEFINANCE($B$8,""close"",JD$2,TODAY()),2,2))"),"")</f>
        <v/>
      </c>
      <c r="JE8" s="1" t="str">
        <f ca="1">IFERROR(__xludf.DUMMYFUNCTION("if(JE$2="""","""", index(GOOGLEFINANCE($B$8,""close"",JE$2,TODAY()),2,2))"),"")</f>
        <v/>
      </c>
      <c r="JF8" s="1" t="str">
        <f ca="1">IFERROR(__xludf.DUMMYFUNCTION("if(JF$2="""","""", index(GOOGLEFINANCE($B$8,""close"",JF$2,TODAY()),2,2))"),"")</f>
        <v/>
      </c>
      <c r="JG8" s="1" t="str">
        <f ca="1">IFERROR(__xludf.DUMMYFUNCTION("if(JG$2="""","""", index(GOOGLEFINANCE($B$8,""close"",JG$2,TODAY()),2,2))"),"")</f>
        <v/>
      </c>
      <c r="JH8" s="1" t="str">
        <f ca="1">IFERROR(__xludf.DUMMYFUNCTION("if(JH$2="""","""", index(GOOGLEFINANCE($B$8,""close"",JH$2,TODAY()),2,2))"),"")</f>
        <v/>
      </c>
      <c r="JI8" s="1" t="str">
        <f ca="1">IFERROR(__xludf.DUMMYFUNCTION("if(JI$2="""","""", index(GOOGLEFINANCE($B$8,""close"",JI$2,TODAY()),2,2))"),"")</f>
        <v/>
      </c>
      <c r="JJ8" s="1" t="str">
        <f ca="1">IFERROR(__xludf.DUMMYFUNCTION("if(JJ$2="""","""", index(GOOGLEFINANCE($B$8,""close"",JJ$2,TODAY()),2,2))"),"")</f>
        <v/>
      </c>
      <c r="JK8" s="1" t="str">
        <f ca="1">IFERROR(__xludf.DUMMYFUNCTION("if(JK$2="""","""", index(GOOGLEFINANCE($B$8,""close"",JK$2,TODAY()),2,2))"),"")</f>
        <v/>
      </c>
      <c r="JL8" s="1" t="str">
        <f ca="1">IFERROR(__xludf.DUMMYFUNCTION("if(JL$2="""","""", index(GOOGLEFINANCE($B$8,""close"",JL$2,TODAY()),2,2))"),"")</f>
        <v/>
      </c>
      <c r="JM8" s="1" t="str">
        <f ca="1">IFERROR(__xludf.DUMMYFUNCTION("if(JM$2="""","""", index(GOOGLEFINANCE($B$8,""close"",JM$2,TODAY()),2,2))"),"")</f>
        <v/>
      </c>
      <c r="JN8" s="1" t="str">
        <f ca="1">IFERROR(__xludf.DUMMYFUNCTION("if(JN$2="""","""", index(GOOGLEFINANCE($B$8,""close"",JN$2,TODAY()),2,2))"),"")</f>
        <v/>
      </c>
      <c r="JO8" s="1" t="str">
        <f ca="1">IFERROR(__xludf.DUMMYFUNCTION("if(JO$2="""","""", index(GOOGLEFINANCE($B$8,""close"",JO$2,TODAY()),2,2))"),"")</f>
        <v/>
      </c>
      <c r="JP8" s="1" t="str">
        <f ca="1">IFERROR(__xludf.DUMMYFUNCTION("if(JP$2="""","""", index(GOOGLEFINANCE($B$8,""close"",JP$2,TODAY()),2,2))"),"")</f>
        <v/>
      </c>
      <c r="JQ8" s="1" t="str">
        <f ca="1">IFERROR(__xludf.DUMMYFUNCTION("if(JQ$2="""","""", index(GOOGLEFINANCE($B$8,""close"",JQ$2,TODAY()),2,2))"),"")</f>
        <v/>
      </c>
      <c r="JR8" s="1" t="str">
        <f ca="1">IFERROR(__xludf.DUMMYFUNCTION("if(JR$2="""","""", index(GOOGLEFINANCE($B$8,""close"",JR$2,TODAY()),2,2))"),"")</f>
        <v/>
      </c>
      <c r="JS8" s="1" t="str">
        <f ca="1">IFERROR(__xludf.DUMMYFUNCTION("if(JS$2="""","""", index(GOOGLEFINANCE($B$8,""close"",JS$2,TODAY()),2,2))"),"")</f>
        <v/>
      </c>
      <c r="JT8" s="1" t="str">
        <f ca="1">IFERROR(__xludf.DUMMYFUNCTION("if(JT$2="""","""", index(GOOGLEFINANCE($B$8,""close"",JT$2,TODAY()),2,2))"),"")</f>
        <v/>
      </c>
      <c r="JU8" s="1" t="str">
        <f ca="1">IFERROR(__xludf.DUMMYFUNCTION("if(JU$2="""","""", index(GOOGLEFINANCE($B$8,""close"",JU$2,TODAY()),2,2))"),"")</f>
        <v/>
      </c>
      <c r="JV8" s="1" t="str">
        <f ca="1">IFERROR(__xludf.DUMMYFUNCTION("if(JV$2="""","""", index(GOOGLEFINANCE($B$8,""close"",JV$2,TODAY()),2,2))"),"")</f>
        <v/>
      </c>
      <c r="JW8" s="1" t="str">
        <f ca="1">IFERROR(__xludf.DUMMYFUNCTION("if(JW$2="""","""", index(GOOGLEFINANCE($B$8,""close"",JW$2,TODAY()),2,2))"),"")</f>
        <v/>
      </c>
      <c r="JX8" s="1" t="str">
        <f ca="1">IFERROR(__xludf.DUMMYFUNCTION("if(JX$2="""","""", index(GOOGLEFINANCE($B$8,""close"",JX$2,TODAY()),2,2))"),"")</f>
        <v/>
      </c>
      <c r="JY8" s="1" t="str">
        <f ca="1">IFERROR(__xludf.DUMMYFUNCTION("if(JY$2="""","""", index(GOOGLEFINANCE($B$8,""close"",JY$2,TODAY()),2,2))"),"")</f>
        <v/>
      </c>
      <c r="JZ8" s="1" t="str">
        <f ca="1">IFERROR(__xludf.DUMMYFUNCTION("if(JZ$2="""","""", index(GOOGLEFINANCE($B$8,""close"",JZ$2,TODAY()),2,2))"),"")</f>
        <v/>
      </c>
      <c r="KA8" s="1" t="str">
        <f ca="1">IFERROR(__xludf.DUMMYFUNCTION("if(KA$2="""","""", index(GOOGLEFINANCE($B$8,""close"",KA$2,TODAY()),2,2))"),"")</f>
        <v/>
      </c>
      <c r="KB8" s="1" t="str">
        <f ca="1">IFERROR(__xludf.DUMMYFUNCTION("if(KB$2="""","""", index(GOOGLEFINANCE($B$8,""close"",KB$2,TODAY()),2,2))"),"")</f>
        <v/>
      </c>
      <c r="KC8" s="1" t="str">
        <f ca="1">IFERROR(__xludf.DUMMYFUNCTION("if(KC$2="""","""", index(GOOGLEFINANCE($B$8,""close"",KC$2,TODAY()),2,2))"),"")</f>
        <v/>
      </c>
      <c r="KD8" s="1" t="str">
        <f ca="1">IFERROR(__xludf.DUMMYFUNCTION("if(KD$2="""","""", index(GOOGLEFINANCE($B$8,""close"",KD$2,TODAY()),2,2))"),"")</f>
        <v/>
      </c>
      <c r="KE8" s="1" t="str">
        <f ca="1">IFERROR(__xludf.DUMMYFUNCTION("if(KE$2="""","""", index(GOOGLEFINANCE($B$8,""close"",KE$2,TODAY()),2,2))"),"")</f>
        <v/>
      </c>
      <c r="KF8" s="1" t="str">
        <f ca="1">IFERROR(__xludf.DUMMYFUNCTION("if(KF$2="""","""", index(GOOGLEFINANCE($B$8,""close"",KF$2,TODAY()),2,2))"),"")</f>
        <v/>
      </c>
      <c r="KG8" s="1" t="str">
        <f ca="1">IFERROR(__xludf.DUMMYFUNCTION("if(KG$2="""","""", index(GOOGLEFINANCE($B$8,""close"",KG$2,TODAY()),2,2))"),"")</f>
        <v/>
      </c>
    </row>
    <row r="9" spans="1:319" ht="15.75" customHeight="1">
      <c r="A9" s="18" t="s">
        <v>30</v>
      </c>
      <c r="B9" s="6" t="s">
        <v>53</v>
      </c>
      <c r="C9" s="1">
        <f ca="1">IFERROR(__xludf.DUMMYFUNCTION("if(C$2="""","""", index(GOOGLEFINANCE($B$9,""close"",C$2,TODAY()),2,2))"),58.31)</f>
        <v>58.31</v>
      </c>
      <c r="D9" s="1">
        <f ca="1">IFERROR(__xludf.DUMMYFUNCTION("if(D$2="""","""", index(GOOGLEFINANCE($B$9,""close"",D$2,TODAY()),2,2))"),57.27)</f>
        <v>57.27</v>
      </c>
      <c r="E9" s="1">
        <f ca="1">IFERROR(__xludf.DUMMYFUNCTION("if(E$2="""","""", index(GOOGLEFINANCE($B$9,""close"",E$2,TODAY()),2,2))"),56.88)</f>
        <v>56.88</v>
      </c>
      <c r="F9" s="1">
        <f ca="1">IFERROR(__xludf.DUMMYFUNCTION("if(F$2="""","""", index(GOOGLEFINANCE($B$9,""close"",F$2,TODAY()),2,2))"),56.67)</f>
        <v>56.67</v>
      </c>
      <c r="G9" s="1">
        <f ca="1">IFERROR(__xludf.DUMMYFUNCTION("if(G$2="""","""", index(GOOGLEFINANCE($B$9,""close"",G$2,TODAY()),2,2))"),57.48)</f>
        <v>57.48</v>
      </c>
      <c r="H9" s="1">
        <f ca="1">IFERROR(__xludf.DUMMYFUNCTION("if(H$2="""","""", index(GOOGLEFINANCE($B$9,""close"",H$2,TODAY()),2,2))"),57.88)</f>
        <v>57.88</v>
      </c>
      <c r="I9" s="1">
        <f ca="1">IFERROR(__xludf.DUMMYFUNCTION("if(I$2="""","""", index(GOOGLEFINANCE($B$9,""close"",I$2,TODAY()),2,2))"),58.1)</f>
        <v>58.1</v>
      </c>
      <c r="J9" s="1">
        <f ca="1">IFERROR(__xludf.DUMMYFUNCTION("if(J$2="""","""", index(GOOGLEFINANCE($B$9,""close"",J$2,TODAY()),2,2))"),58.4)</f>
        <v>58.4</v>
      </c>
      <c r="K9" s="1">
        <f ca="1">IFERROR(__xludf.DUMMYFUNCTION("if(K$2="""","""", index(GOOGLEFINANCE($B$9,""close"",K$2,TODAY()),2,2))"),58.1)</f>
        <v>58.1</v>
      </c>
      <c r="L9" s="1">
        <f ca="1">IFERROR(__xludf.DUMMYFUNCTION("if(L$2="""","""", index(GOOGLEFINANCE($B$9,""close"",L$2,TODAY()),2,2))"),58.85)</f>
        <v>58.85</v>
      </c>
      <c r="M9" s="1">
        <f ca="1">IFERROR(__xludf.DUMMYFUNCTION("if(M$2="""","""", index(GOOGLEFINANCE($B$9,""close"",M$2,TODAY()),2,2))"),59.84)</f>
        <v>59.84</v>
      </c>
      <c r="N9" s="1">
        <f ca="1">IFERROR(__xludf.DUMMYFUNCTION("if(N$2="""","""", index(GOOGLEFINANCE($B$9,""close"",N$2,TODAY()),2,2))"),59.48)</f>
        <v>59.48</v>
      </c>
      <c r="O9" s="1">
        <f ca="1">IFERROR(__xludf.DUMMYFUNCTION("if(O$2="""","""", index(GOOGLEFINANCE($B$9,""close"",O$2,TODAY()),2,2))"),60.17)</f>
        <v>60.17</v>
      </c>
      <c r="P9" s="1">
        <f ca="1">IFERROR(__xludf.DUMMYFUNCTION("if(P$2="""","""", index(GOOGLEFINANCE($B$9,""close"",P$2,TODAY()),2,2))"),59.1)</f>
        <v>59.1</v>
      </c>
      <c r="Q9" s="1">
        <f ca="1">IFERROR(__xludf.DUMMYFUNCTION("if(Q$2="""","""", index(GOOGLEFINANCE($B$9,""close"",Q$2,TODAY()),2,2))"),56.97)</f>
        <v>56.97</v>
      </c>
      <c r="R9" s="1">
        <f ca="1">IFERROR(__xludf.DUMMYFUNCTION("if(R$2="""","""", index(GOOGLEFINANCE($B$9,""close"",R$2,TODAY()),2,2))"),57.85)</f>
        <v>57.85</v>
      </c>
      <c r="S9" s="1">
        <f ca="1">IFERROR(__xludf.DUMMYFUNCTION("if(S$2="""","""", index(GOOGLEFINANCE($B$9,""close"",S$2,TODAY()),2,2))"),57.12)</f>
        <v>57.12</v>
      </c>
      <c r="T9" s="1">
        <f ca="1">IFERROR(__xludf.DUMMYFUNCTION("if(T$2="""","""", index(GOOGLEFINANCE($B$9,""close"",T$2,TODAY()),2,2))"),59.52)</f>
        <v>59.52</v>
      </c>
      <c r="U9" s="1">
        <f ca="1">IFERROR(__xludf.DUMMYFUNCTION("if(U$2="""","""", index(GOOGLEFINANCE($B$9,""close"",U$2,TODAY()),2,2))"),59.3)</f>
        <v>59.3</v>
      </c>
      <c r="V9" s="1">
        <f ca="1">IFERROR(__xludf.DUMMYFUNCTION("if(V$2="""","""", index(GOOGLEFINANCE($B$9,""close"",V$2,TODAY()),2,2))"),58.21)</f>
        <v>58.21</v>
      </c>
      <c r="W9" s="1">
        <f ca="1">IFERROR(__xludf.DUMMYFUNCTION("if(W$2="""","""", index(GOOGLEFINANCE($B$9,""close"",W$2,TODAY()),2,2))"),57.68)</f>
        <v>57.68</v>
      </c>
      <c r="X9" s="1">
        <f ca="1">IFERROR(__xludf.DUMMYFUNCTION("if(X$2="""","""", index(GOOGLEFINANCE($B$9,""close"",X$2,TODAY()),2,2))"),59.01)</f>
        <v>59.01</v>
      </c>
      <c r="Y9" s="1">
        <f ca="1">IFERROR(__xludf.DUMMYFUNCTION("if(Y$2="""","""", index(GOOGLEFINANCE($B$9,""close"",Y$2,TODAY()),2,2))"),57.33)</f>
        <v>57.33</v>
      </c>
      <c r="Z9" s="1">
        <f ca="1">IFERROR(__xludf.DUMMYFUNCTION("if(Z$2="""","""", index(GOOGLEFINANCE($B$9,""close"",Z$2,TODAY()),2,2))"),55.72)</f>
        <v>55.72</v>
      </c>
      <c r="AA9" s="1">
        <f ca="1">IFERROR(__xludf.DUMMYFUNCTION("if(AA$2="""","""", index(GOOGLEFINANCE($B$9,""close"",AA$2,TODAY()),2,2))"),56.68)</f>
        <v>56.68</v>
      </c>
      <c r="AB9" s="1">
        <f ca="1">IFERROR(__xludf.DUMMYFUNCTION("if(AB$2="""","""", index(GOOGLEFINANCE($B$9,""close"",AB$2,TODAY()),2,2))"),56.65)</f>
        <v>56.65</v>
      </c>
      <c r="AC9" s="1">
        <f ca="1">IFERROR(__xludf.DUMMYFUNCTION("if(AC$2="""","""", index(GOOGLEFINANCE($B$9,""close"",AC$2,TODAY()),2,2))"),57.2)</f>
        <v>57.2</v>
      </c>
      <c r="AD9" s="1">
        <f ca="1">IFERROR(__xludf.DUMMYFUNCTION("if(AD$2="""","""", index(GOOGLEFINANCE($B$9,""close"",AD$2,TODAY()),2,2))"),58.6)</f>
        <v>58.6</v>
      </c>
      <c r="AE9" s="1">
        <f ca="1">IFERROR(__xludf.DUMMYFUNCTION("if(AE$2="""","""", index(GOOGLEFINANCE($B$9,""close"",AE$2,TODAY()),2,2))"),58.04)</f>
        <v>58.04</v>
      </c>
      <c r="AF9" s="1">
        <f ca="1">IFERROR(__xludf.DUMMYFUNCTION("if(AF$2="""","""", index(GOOGLEFINANCE($B$9,""close"",AF$2,TODAY()),2,2))"),57.54)</f>
        <v>57.54</v>
      </c>
      <c r="AG9" s="1">
        <f ca="1">IFERROR(__xludf.DUMMYFUNCTION("if(AG$2="""","""", index(GOOGLEFINANCE($B$9,""close"",AG$2,TODAY()),2,2))"),60.3)</f>
        <v>60.3</v>
      </c>
      <c r="AH9" s="1">
        <f ca="1">IFERROR(__xludf.DUMMYFUNCTION("if(AH$2="""","""", index(GOOGLEFINANCE($B$9,""close"",AH$2,TODAY()),2,2))"),60.84)</f>
        <v>60.84</v>
      </c>
      <c r="AI9" s="1">
        <f ca="1">IFERROR(__xludf.DUMMYFUNCTION("if(AI$2="""","""", index(GOOGLEFINANCE($B$9,""close"",AI$2,TODAY()),2,2))"),60.99)</f>
        <v>60.99</v>
      </c>
      <c r="AJ9" s="1">
        <f ca="1">IFERROR(__xludf.DUMMYFUNCTION("if(AJ$2="""","""", index(GOOGLEFINANCE($B$9,""close"",AJ$2,TODAY()),2,2))"),59.86)</f>
        <v>59.86</v>
      </c>
      <c r="AK9" s="1">
        <f ca="1">IFERROR(__xludf.DUMMYFUNCTION("if(AK$2="""","""", index(GOOGLEFINANCE($B$9,""close"",AK$2,TODAY()),2,2))"),60.81)</f>
        <v>60.81</v>
      </c>
      <c r="AL9" s="1">
        <f ca="1">IFERROR(__xludf.DUMMYFUNCTION("if(AL$2="""","""", index(GOOGLEFINANCE($B$9,""close"",AL$2,TODAY()),2,2))"),60.54)</f>
        <v>60.54</v>
      </c>
      <c r="AM9" s="1">
        <f ca="1">IFERROR(__xludf.DUMMYFUNCTION("if(AM$2="""","""", index(GOOGLEFINANCE($B$9,""close"",AM$2,TODAY()),2,2))"),58.13)</f>
        <v>58.13</v>
      </c>
      <c r="AN9" s="1">
        <f ca="1">IFERROR(__xludf.DUMMYFUNCTION("if(AN$2="""","""", index(GOOGLEFINANCE($B$9,""close"",AN$2,TODAY()),2,2))"),60.58)</f>
        <v>60.58</v>
      </c>
      <c r="AO9" s="1">
        <f ca="1">IFERROR(__xludf.DUMMYFUNCTION("if(AO$2="""","""", index(GOOGLEFINANCE($B$9,""close"",AO$2,TODAY()),2,2))"),60.88)</f>
        <v>60.88</v>
      </c>
      <c r="AP9" s="1">
        <f ca="1">IFERROR(__xludf.DUMMYFUNCTION("if(AP$2="""","""", index(GOOGLEFINANCE($B$9,""close"",AP$2,TODAY()),2,2))"),61.34)</f>
        <v>61.34</v>
      </c>
      <c r="AQ9" s="1">
        <f ca="1">IFERROR(__xludf.DUMMYFUNCTION("if(AQ$2="""","""", index(GOOGLEFINANCE($B$9,""close"",AQ$2,TODAY()),2,2))"),62)</f>
        <v>62</v>
      </c>
      <c r="AR9" s="1">
        <f ca="1">IFERROR(__xludf.DUMMYFUNCTION("if(AR$2="""","""", index(GOOGLEFINANCE($B$9,""close"",AR$2,TODAY()),2,2))"),60.07)</f>
        <v>60.07</v>
      </c>
      <c r="AS9" s="1">
        <f ca="1">IFERROR(__xludf.DUMMYFUNCTION("if(AS$2="""","""", index(GOOGLEFINANCE($B$9,""close"",AS$2,TODAY()),2,2))"),57.47)</f>
        <v>57.47</v>
      </c>
      <c r="AT9" s="1">
        <f ca="1">IFERROR(__xludf.DUMMYFUNCTION("if(AT$2="""","""", index(GOOGLEFINANCE($B$9,""close"",AT$2,TODAY()),2,2))"),56.5)</f>
        <v>56.5</v>
      </c>
      <c r="AU9" s="1">
        <f ca="1">IFERROR(__xludf.DUMMYFUNCTION("if(AU$2="""","""", index(GOOGLEFINANCE($B$9,""close"",AU$2,TODAY()),2,2))"),57.69)</f>
        <v>57.69</v>
      </c>
      <c r="AV9" s="1">
        <f ca="1">IFERROR(__xludf.DUMMYFUNCTION("if(AV$2="""","""", index(GOOGLEFINANCE($B$9,""close"",AV$2,TODAY()),2,2))"),60.43)</f>
        <v>60.43</v>
      </c>
      <c r="AW9" s="1">
        <f ca="1">IFERROR(__xludf.DUMMYFUNCTION("if(AW$2="""","""", index(GOOGLEFINANCE($B$9,""close"",AW$2,TODAY()),2,2))"),60.9)</f>
        <v>60.9</v>
      </c>
      <c r="AX9" s="1">
        <f ca="1">IFERROR(__xludf.DUMMYFUNCTION("if(AX$2="""","""", index(GOOGLEFINANCE($B$9,""close"",AX$2,TODAY()),2,2))"),60.3)</f>
        <v>60.3</v>
      </c>
      <c r="AY9" s="1">
        <f ca="1">IFERROR(__xludf.DUMMYFUNCTION("if(AY$2="""","""", index(GOOGLEFINANCE($B$9,""close"",AY$2,TODAY()),2,2))"),60.39)</f>
        <v>60.39</v>
      </c>
      <c r="AZ9" s="1">
        <f ca="1">IFERROR(__xludf.DUMMYFUNCTION("if(AZ$2="""","""", index(GOOGLEFINANCE($B$9,""close"",AZ$2,TODAY()),2,2))"),61.37)</f>
        <v>61.37</v>
      </c>
      <c r="BA9" s="1">
        <f ca="1">IFERROR(__xludf.DUMMYFUNCTION("if(BA$2="""","""", index(GOOGLEFINANCE($B$9,""close"",BA$2,TODAY()),2,2))"),61.96)</f>
        <v>61.96</v>
      </c>
      <c r="BB9" s="1">
        <f ca="1">IFERROR(__xludf.DUMMYFUNCTION("if(BB$2="""","""", index(GOOGLEFINANCE($B$9,""close"",BB$2,TODAY()),2,2))"),63.67)</f>
        <v>63.67</v>
      </c>
      <c r="BC9" s="1">
        <f ca="1">IFERROR(__xludf.DUMMYFUNCTION("if(BC$2="""","""", index(GOOGLEFINANCE($B$9,""close"",BC$2,TODAY()),2,2))"),63.23)</f>
        <v>63.23</v>
      </c>
      <c r="BD9" s="1">
        <f ca="1">IFERROR(__xludf.DUMMYFUNCTION("if(BD$2="""","""", index(GOOGLEFINANCE($B$9,""close"",BD$2,TODAY()),2,2))"),63.48)</f>
        <v>63.48</v>
      </c>
      <c r="BE9" s="1">
        <f ca="1">IFERROR(__xludf.DUMMYFUNCTION("if(BE$2="""","""", index(GOOGLEFINANCE($B$9,""close"",BE$2,TODAY()),2,2))"),63.66)</f>
        <v>63.66</v>
      </c>
      <c r="BF9" s="1">
        <f ca="1">IFERROR(__xludf.DUMMYFUNCTION("if(BF$2="""","""", index(GOOGLEFINANCE($B$9,""close"",BF$2,TODAY()),2,2))"),64.32)</f>
        <v>64.319999999999993</v>
      </c>
      <c r="BG9" s="1">
        <f ca="1">IFERROR(__xludf.DUMMYFUNCTION("if(BG$2="""","""", index(GOOGLEFINANCE($B$9,""close"",BG$2,TODAY()),2,2))"),66.02)</f>
        <v>66.02</v>
      </c>
      <c r="BH9" s="1">
        <f ca="1">IFERROR(__xludf.DUMMYFUNCTION("if(BH$2="""","""", index(GOOGLEFINANCE($B$9,""close"",BH$2,TODAY()),2,2))"),65.13)</f>
        <v>65.13</v>
      </c>
      <c r="BI9" s="1">
        <f ca="1">IFERROR(__xludf.DUMMYFUNCTION("if(BI$2="""","""", index(GOOGLEFINANCE($B$9,""close"",BI$2,TODAY()),2,2))"),65.38)</f>
        <v>65.38</v>
      </c>
      <c r="BJ9" s="1">
        <f ca="1">IFERROR(__xludf.DUMMYFUNCTION("if(BJ$2="""","""", index(GOOGLEFINANCE($B$9,""close"",BJ$2,TODAY()),2,2))"),65.95)</f>
        <v>65.95</v>
      </c>
      <c r="BK9" s="1">
        <f ca="1">IFERROR(__xludf.DUMMYFUNCTION("if(BK$2="""","""", index(GOOGLEFINANCE($B$9,""close"",BK$2,TODAY()),2,2))"),67.12)</f>
        <v>67.12</v>
      </c>
      <c r="BL9" s="1">
        <f ca="1">IFERROR(__xludf.DUMMYFUNCTION("if(BL$2="""","""", index(GOOGLEFINANCE($B$9,""close"",BL$2,TODAY()),2,2))"),66.34)</f>
        <v>66.34</v>
      </c>
      <c r="BM9" s="1">
        <f ca="1">IFERROR(__xludf.DUMMYFUNCTION("if(BM$2="""","""", index(GOOGLEFINANCE($B$9,""close"",BM$2,TODAY()),2,2))"),66.81)</f>
        <v>66.81</v>
      </c>
      <c r="BN9" s="1">
        <f ca="1">IFERROR(__xludf.DUMMYFUNCTION("if(BN$2="""","""", index(GOOGLEFINANCE($B$9,""close"",BN$2,TODAY()),2,2))"),66.67)</f>
        <v>66.67</v>
      </c>
      <c r="BO9" s="1">
        <f ca="1">IFERROR(__xludf.DUMMYFUNCTION("if(BO$2="""","""", index(GOOGLEFINANCE($B$9,""close"",BO$2,TODAY()),2,2))"),67.05)</f>
        <v>67.05</v>
      </c>
      <c r="BP9" s="1">
        <f ca="1">IFERROR(__xludf.DUMMYFUNCTION("if(BP$2="""","""", index(GOOGLEFINANCE($B$9,""close"",BP$2,TODAY()),2,2))"),69.07)</f>
        <v>69.069999999999993</v>
      </c>
      <c r="BQ9" s="1">
        <f ca="1">IFERROR(__xludf.DUMMYFUNCTION("if(BQ$2="""","""", index(GOOGLEFINANCE($B$9,""close"",BQ$2,TODAY()),2,2))"),71.01)</f>
        <v>71.010000000000005</v>
      </c>
      <c r="BR9" s="1">
        <f ca="1">IFERROR(__xludf.DUMMYFUNCTION("if(BR$2="""","""", index(GOOGLEFINANCE($B$9,""close"",BR$2,TODAY()),2,2))"),71.14)</f>
        <v>71.14</v>
      </c>
      <c r="BS9" s="1">
        <f ca="1">IFERROR(__xludf.DUMMYFUNCTION("if(BS$2="""","""", index(GOOGLEFINANCE($B$9,""close"",BS$2,TODAY()),2,2))"),70.63)</f>
        <v>70.63</v>
      </c>
      <c r="BT9" s="1">
        <f ca="1">IFERROR(__xludf.DUMMYFUNCTION("if(BT$2="""","""", index(GOOGLEFINANCE($B$9,""close"",BT$2,TODAY()),2,2))"),68.61)</f>
        <v>68.61</v>
      </c>
      <c r="BU9" s="1">
        <f ca="1">IFERROR(__xludf.DUMMYFUNCTION("if(BU$2="""","""", index(GOOGLEFINANCE($B$9,""close"",BU$2,TODAY()),2,2))"),68.97)</f>
        <v>68.97</v>
      </c>
      <c r="BV9" s="1">
        <f ca="1">IFERROR(__xludf.DUMMYFUNCTION("if(BV$2="""","""", index(GOOGLEFINANCE($B$9,""close"",BV$2,TODAY()),2,2))"),69.05)</f>
        <v>69.05</v>
      </c>
      <c r="BW9" s="1">
        <f ca="1">IFERROR(__xludf.DUMMYFUNCTION("if(BW$2="""","""", index(GOOGLEFINANCE($B$9,""close"",BW$2,TODAY()),2,2))"),68.61)</f>
        <v>68.61</v>
      </c>
      <c r="BX9" s="1">
        <f ca="1">IFERROR(__xludf.DUMMYFUNCTION("if(BX$2="""","""", index(GOOGLEFINANCE($B$9,""close"",BX$2,TODAY()),2,2))"),68.28)</f>
        <v>68.28</v>
      </c>
      <c r="BY9" s="1">
        <f ca="1">IFERROR(__xludf.DUMMYFUNCTION("if(BY$2="""","""", index(GOOGLEFINANCE($B$9,""close"",BY$2,TODAY()),2,2))"),68.85)</f>
        <v>68.849999999999994</v>
      </c>
      <c r="BZ9" s="1">
        <f ca="1">IFERROR(__xludf.DUMMYFUNCTION("if(BZ$2="""","""", index(GOOGLEFINANCE($B$9,""close"",BZ$2,TODAY()),2,2))"),67.39)</f>
        <v>67.39</v>
      </c>
      <c r="CA9" s="1">
        <f ca="1">IFERROR(__xludf.DUMMYFUNCTION("if(CA$2="""","""", index(GOOGLEFINANCE($B$9,""close"",CA$2,TODAY()),2,2))"),65.86)</f>
        <v>65.86</v>
      </c>
      <c r="CB9" s="1">
        <f ca="1">IFERROR(__xludf.DUMMYFUNCTION("if(CB$2="""","""", index(GOOGLEFINANCE($B$9,""close"",CB$2,TODAY()),2,2))"),65.96)</f>
        <v>65.959999999999994</v>
      </c>
      <c r="CC9" s="1">
        <f ca="1">IFERROR(__xludf.DUMMYFUNCTION("if(CC$2="""","""", index(GOOGLEFINANCE($B$9,""close"",CC$2,TODAY()),2,2))"),65.06)</f>
        <v>65.06</v>
      </c>
      <c r="CD9" s="1">
        <f ca="1">IFERROR(__xludf.DUMMYFUNCTION("if(CD$2="""","""", index(GOOGLEFINANCE($B$9,""close"",CD$2,TODAY()),2,2))"),66.19)</f>
        <v>66.19</v>
      </c>
      <c r="CE9" s="1">
        <f ca="1">IFERROR(__xludf.DUMMYFUNCTION("if(CE$2="""","""", index(GOOGLEFINANCE($B$9,""close"",CE$2,TODAY()),2,2))"),67.22)</f>
        <v>67.22</v>
      </c>
      <c r="CF9" s="1">
        <f ca="1">IFERROR(__xludf.DUMMYFUNCTION("if(CF$2="""","""", index(GOOGLEFINANCE($B$9,""close"",CF$2,TODAY()),2,2))"),66.4)</f>
        <v>66.400000000000006</v>
      </c>
      <c r="CG9" s="1">
        <f ca="1">IFERROR(__xludf.DUMMYFUNCTION("if(CG$2="""","""", index(GOOGLEFINANCE($B$9,""close"",CG$2,TODAY()),2,2))"),66.43)</f>
        <v>66.430000000000007</v>
      </c>
      <c r="CH9" s="1">
        <f ca="1">IFERROR(__xludf.DUMMYFUNCTION("if(CH$2="""","""", index(GOOGLEFINANCE($B$9,""close"",CH$2,TODAY()),2,2))"),67.17)</f>
        <v>67.17</v>
      </c>
      <c r="CI9" s="1">
        <f ca="1">IFERROR(__xludf.DUMMYFUNCTION("if(CI$2="""","""", index(GOOGLEFINANCE($B$9,""close"",CI$2,TODAY()),2,2))"),66.75)</f>
        <v>66.75</v>
      </c>
      <c r="CJ9" s="1" t="str">
        <f ca="1">IFERROR(__xludf.DUMMYFUNCTION("if(CJ$2="""","""", index(GOOGLEFINANCE($B$9,""close"",CJ$2,TODAY()),2,2))"),"")</f>
        <v/>
      </c>
      <c r="CK9" s="1" t="str">
        <f ca="1">IFERROR(__xludf.DUMMYFUNCTION("if(CK$2="""","""", index(GOOGLEFINANCE($B$9,""close"",CK$2,TODAY()),2,2))"),"")</f>
        <v/>
      </c>
      <c r="CL9" s="1" t="str">
        <f ca="1">IFERROR(__xludf.DUMMYFUNCTION("if(CL$2="""","""", index(GOOGLEFINANCE($B$9,""close"",CL$2,TODAY()),2,2))"),"")</f>
        <v/>
      </c>
      <c r="CM9" s="1" t="str">
        <f ca="1">IFERROR(__xludf.DUMMYFUNCTION("if(CM$2="""","""", index(GOOGLEFINANCE($B$9,""close"",CM$2,TODAY()),2,2))"),"")</f>
        <v/>
      </c>
      <c r="CN9" s="1" t="str">
        <f ca="1">IFERROR(__xludf.DUMMYFUNCTION("if(CN$2="""","""", index(GOOGLEFINANCE($B$9,""close"",CN$2,TODAY()),2,2))"),"")</f>
        <v/>
      </c>
      <c r="CO9" s="1" t="str">
        <f ca="1">IFERROR(__xludf.DUMMYFUNCTION("if(CO$2="""","""", index(GOOGLEFINANCE($B$9,""close"",CO$2,TODAY()),2,2))"),"")</f>
        <v/>
      </c>
      <c r="CP9" s="1" t="str">
        <f ca="1">IFERROR(__xludf.DUMMYFUNCTION("if(CP$2="""","""", index(GOOGLEFINANCE($B$9,""close"",CP$2,TODAY()),2,2))"),"")</f>
        <v/>
      </c>
      <c r="CQ9" s="1" t="str">
        <f ca="1">IFERROR(__xludf.DUMMYFUNCTION("if(CQ$2="""","""", index(GOOGLEFINANCE($B$9,""close"",CQ$2,TODAY()),2,2))"),"")</f>
        <v/>
      </c>
      <c r="CR9" s="1" t="str">
        <f ca="1">IFERROR(__xludf.DUMMYFUNCTION("if(CR$2="""","""", index(GOOGLEFINANCE($B$9,""close"",CR$2,TODAY()),2,2))"),"")</f>
        <v/>
      </c>
      <c r="CS9" s="1" t="str">
        <f ca="1">IFERROR(__xludf.DUMMYFUNCTION("if(CS$2="""","""", index(GOOGLEFINANCE($B$9,""close"",CS$2,TODAY()),2,2))"),"")</f>
        <v/>
      </c>
      <c r="CT9" s="1" t="str">
        <f ca="1">IFERROR(__xludf.DUMMYFUNCTION("if(CT$2="""","""", index(GOOGLEFINANCE($B$9,""close"",CT$2,TODAY()),2,2))"),"")</f>
        <v/>
      </c>
      <c r="CU9" s="1" t="str">
        <f ca="1">IFERROR(__xludf.DUMMYFUNCTION("if(CU$2="""","""", index(GOOGLEFINANCE($B$9,""close"",CU$2,TODAY()),2,2))"),"")</f>
        <v/>
      </c>
      <c r="CV9" s="1" t="str">
        <f ca="1">IFERROR(__xludf.DUMMYFUNCTION("if(CV$2="""","""", index(GOOGLEFINANCE($B$9,""close"",CV$2,TODAY()),2,2))"),"")</f>
        <v/>
      </c>
      <c r="CW9" s="1" t="str">
        <f ca="1">IFERROR(__xludf.DUMMYFUNCTION("if(CW$2="""","""", index(GOOGLEFINANCE($B$9,""close"",CW$2,TODAY()),2,2))"),"")</f>
        <v/>
      </c>
      <c r="CX9" s="1" t="str">
        <f ca="1">IFERROR(__xludf.DUMMYFUNCTION("if(CX$2="""","""", index(GOOGLEFINANCE($B$9,""close"",CX$2,TODAY()),2,2))"),"")</f>
        <v/>
      </c>
      <c r="CY9" s="1" t="str">
        <f ca="1">IFERROR(__xludf.DUMMYFUNCTION("if(CY$2="""","""", index(GOOGLEFINANCE($B$9,""close"",CY$2,TODAY()),2,2))"),"")</f>
        <v/>
      </c>
      <c r="CZ9" s="1" t="str">
        <f ca="1">IFERROR(__xludf.DUMMYFUNCTION("if(CZ$2="""","""", index(GOOGLEFINANCE($B$9,""close"",CZ$2,TODAY()),2,2))"),"")</f>
        <v/>
      </c>
      <c r="DA9" s="1" t="str">
        <f ca="1">IFERROR(__xludf.DUMMYFUNCTION("if(DA$2="""","""", index(GOOGLEFINANCE($B$9,""close"",DA$2,TODAY()),2,2))"),"")</f>
        <v/>
      </c>
      <c r="DB9" s="1" t="str">
        <f ca="1">IFERROR(__xludf.DUMMYFUNCTION("if(DB$2="""","""", index(GOOGLEFINANCE($B$9,""close"",DB$2,TODAY()),2,2))"),"")</f>
        <v/>
      </c>
      <c r="DC9" s="1" t="str">
        <f ca="1">IFERROR(__xludf.DUMMYFUNCTION("if(DC$2="""","""", index(GOOGLEFINANCE($B$9,""close"",DC$2,TODAY()),2,2))"),"")</f>
        <v/>
      </c>
      <c r="DD9" s="1" t="str">
        <f ca="1">IFERROR(__xludf.DUMMYFUNCTION("if(DD$2="""","""", index(GOOGLEFINANCE($B$9,""close"",DD$2,TODAY()),2,2))"),"")</f>
        <v/>
      </c>
      <c r="DE9" s="1" t="str">
        <f ca="1">IFERROR(__xludf.DUMMYFUNCTION("if(DE$2="""","""", index(GOOGLEFINANCE($B$9,""close"",DE$2,TODAY()),2,2))"),"")</f>
        <v/>
      </c>
      <c r="DF9" s="1" t="str">
        <f ca="1">IFERROR(__xludf.DUMMYFUNCTION("if(DF$2="""","""", index(GOOGLEFINANCE($B$9,""close"",DF$2,TODAY()),2,2))"),"")</f>
        <v/>
      </c>
      <c r="DG9" s="1" t="str">
        <f ca="1">IFERROR(__xludf.DUMMYFUNCTION("if(DG$2="""","""", index(GOOGLEFINANCE($B$9,""close"",DG$2,TODAY()),2,2))"),"")</f>
        <v/>
      </c>
      <c r="DH9" s="1" t="str">
        <f ca="1">IFERROR(__xludf.DUMMYFUNCTION("if(DH$2="""","""", index(GOOGLEFINANCE($B$9,""close"",DH$2,TODAY()),2,2))"),"")</f>
        <v/>
      </c>
      <c r="DI9" s="1" t="str">
        <f ca="1">IFERROR(__xludf.DUMMYFUNCTION("if(DI$2="""","""", index(GOOGLEFINANCE($B$9,""close"",DI$2,TODAY()),2,2))"),"")</f>
        <v/>
      </c>
      <c r="DJ9" s="1" t="str">
        <f ca="1">IFERROR(__xludf.DUMMYFUNCTION("if(DJ$2="""","""", index(GOOGLEFINANCE($B$9,""close"",DJ$2,TODAY()),2,2))"),"")</f>
        <v/>
      </c>
      <c r="DK9" s="1" t="str">
        <f ca="1">IFERROR(__xludf.DUMMYFUNCTION("if(DK$2="""","""", index(GOOGLEFINANCE($B$9,""close"",DK$2,TODAY()),2,2))"),"")</f>
        <v/>
      </c>
      <c r="DL9" s="1" t="str">
        <f ca="1">IFERROR(__xludf.DUMMYFUNCTION("if(DL$2="""","""", index(GOOGLEFINANCE($B$9,""close"",DL$2,TODAY()),2,2))"),"")</f>
        <v/>
      </c>
      <c r="DM9" s="1" t="str">
        <f ca="1">IFERROR(__xludf.DUMMYFUNCTION("if(DM$2="""","""", index(GOOGLEFINANCE($B$9,""close"",DM$2,TODAY()),2,2))"),"")</f>
        <v/>
      </c>
      <c r="DN9" s="1" t="str">
        <f ca="1">IFERROR(__xludf.DUMMYFUNCTION("if(DN$2="""","""", index(GOOGLEFINANCE($B$9,""close"",DN$2,TODAY()),2,2))"),"")</f>
        <v/>
      </c>
      <c r="DO9" s="1" t="str">
        <f ca="1">IFERROR(__xludf.DUMMYFUNCTION("if(DO$2="""","""", index(GOOGLEFINANCE($B$9,""close"",DO$2,TODAY()),2,2))"),"")</f>
        <v/>
      </c>
      <c r="DP9" s="1" t="str">
        <f ca="1">IFERROR(__xludf.DUMMYFUNCTION("if(DP$2="""","""", index(GOOGLEFINANCE($B$9,""close"",DP$2,TODAY()),2,2))"),"")</f>
        <v/>
      </c>
      <c r="DQ9" s="1" t="str">
        <f ca="1">IFERROR(__xludf.DUMMYFUNCTION("if(DQ$2="""","""", index(GOOGLEFINANCE($B$9,""close"",DQ$2,TODAY()),2,2))"),"")</f>
        <v/>
      </c>
      <c r="DR9" s="1" t="str">
        <f ca="1">IFERROR(__xludf.DUMMYFUNCTION("if(DR$2="""","""", index(GOOGLEFINANCE($B$9,""close"",DR$2,TODAY()),2,2))"),"")</f>
        <v/>
      </c>
      <c r="DS9" s="1" t="str">
        <f ca="1">IFERROR(__xludf.DUMMYFUNCTION("if(DS$2="""","""", index(GOOGLEFINANCE($B$9,""close"",DS$2,TODAY()),2,2))"),"")</f>
        <v/>
      </c>
      <c r="DT9" s="1" t="str">
        <f ca="1">IFERROR(__xludf.DUMMYFUNCTION("if(DT$2="""","""", index(GOOGLEFINANCE($B$9,""close"",DT$2,TODAY()),2,2))"),"")</f>
        <v/>
      </c>
      <c r="DU9" s="1" t="str">
        <f ca="1">IFERROR(__xludf.DUMMYFUNCTION("if(DU$2="""","""", index(GOOGLEFINANCE($B$9,""close"",DU$2,TODAY()),2,2))"),"")</f>
        <v/>
      </c>
      <c r="DV9" s="1" t="str">
        <f ca="1">IFERROR(__xludf.DUMMYFUNCTION("if(DV$2="""","""", index(GOOGLEFINANCE($B$9,""close"",DV$2,TODAY()),2,2))"),"")</f>
        <v/>
      </c>
      <c r="DW9" s="1" t="str">
        <f ca="1">IFERROR(__xludf.DUMMYFUNCTION("if(DW$2="""","""", index(GOOGLEFINANCE($B$9,""close"",DW$2,TODAY()),2,2))"),"")</f>
        <v/>
      </c>
      <c r="DX9" s="1" t="str">
        <f ca="1">IFERROR(__xludf.DUMMYFUNCTION("if(DX$2="""","""", index(GOOGLEFINANCE($B$9,""close"",DX$2,TODAY()),2,2))"),"")</f>
        <v/>
      </c>
      <c r="DY9" s="1" t="str">
        <f ca="1">IFERROR(__xludf.DUMMYFUNCTION("if(DY$2="""","""", index(GOOGLEFINANCE($B$9,""close"",DY$2,TODAY()),2,2))"),"")</f>
        <v/>
      </c>
      <c r="DZ9" s="1" t="str">
        <f ca="1">IFERROR(__xludf.DUMMYFUNCTION("if(DZ$2="""","""", index(GOOGLEFINANCE($B$9,""close"",DZ$2,TODAY()),2,2))"),"")</f>
        <v/>
      </c>
      <c r="EA9" s="1" t="str">
        <f ca="1">IFERROR(__xludf.DUMMYFUNCTION("if(EA$2="""","""", index(GOOGLEFINANCE($B$9,""close"",EA$2,TODAY()),2,2))"),"")</f>
        <v/>
      </c>
      <c r="EB9" s="1" t="str">
        <f ca="1">IFERROR(__xludf.DUMMYFUNCTION("if(EB$2="""","""", index(GOOGLEFINANCE($B$9,""close"",EB$2,TODAY()),2,2))"),"")</f>
        <v/>
      </c>
      <c r="EC9" s="1" t="str">
        <f ca="1">IFERROR(__xludf.DUMMYFUNCTION("if(EC$2="""","""", index(GOOGLEFINANCE($B$9,""close"",EC$2,TODAY()),2,2))"),"")</f>
        <v/>
      </c>
      <c r="ED9" s="1" t="str">
        <f ca="1">IFERROR(__xludf.DUMMYFUNCTION("if(ED$2="""","""", index(GOOGLEFINANCE($B$9,""close"",ED$2,TODAY()),2,2))"),"")</f>
        <v/>
      </c>
      <c r="EE9" s="1" t="str">
        <f ca="1">IFERROR(__xludf.DUMMYFUNCTION("if(EE$2="""","""", index(GOOGLEFINANCE($B$9,""close"",EE$2,TODAY()),2,2))"),"")</f>
        <v/>
      </c>
      <c r="EF9" s="1" t="str">
        <f ca="1">IFERROR(__xludf.DUMMYFUNCTION("if(EF$2="""","""", index(GOOGLEFINANCE($B$9,""close"",EF$2,TODAY()),2,2))"),"")</f>
        <v/>
      </c>
      <c r="EG9" s="1" t="str">
        <f ca="1">IFERROR(__xludf.DUMMYFUNCTION("if(EG$2="""","""", index(GOOGLEFINANCE($B$9,""close"",EG$2,TODAY()),2,2))"),"")</f>
        <v/>
      </c>
      <c r="EH9" s="1" t="str">
        <f ca="1">IFERROR(__xludf.DUMMYFUNCTION("if(EH$2="""","""", index(GOOGLEFINANCE($B$9,""close"",EH$2,TODAY()),2,2))"),"")</f>
        <v/>
      </c>
      <c r="EI9" s="1" t="str">
        <f ca="1">IFERROR(__xludf.DUMMYFUNCTION("if(EI$2="""","""", index(GOOGLEFINANCE($B$9,""close"",EI$2,TODAY()),2,2))"),"")</f>
        <v/>
      </c>
      <c r="EJ9" s="1" t="str">
        <f ca="1">IFERROR(__xludf.DUMMYFUNCTION("if(EJ$2="""","""", index(GOOGLEFINANCE($B$9,""close"",EJ$2,TODAY()),2,2))"),"")</f>
        <v/>
      </c>
      <c r="EK9" s="1" t="str">
        <f ca="1">IFERROR(__xludf.DUMMYFUNCTION("if(EK$2="""","""", index(GOOGLEFINANCE($B$9,""close"",EK$2,TODAY()),2,2))"),"")</f>
        <v/>
      </c>
      <c r="EL9" s="1" t="str">
        <f ca="1">IFERROR(__xludf.DUMMYFUNCTION("if(EL$2="""","""", index(GOOGLEFINANCE($B$9,""close"",EL$2,TODAY()),2,2))"),"")</f>
        <v/>
      </c>
      <c r="EM9" s="1" t="str">
        <f ca="1">IFERROR(__xludf.DUMMYFUNCTION("if(EM$2="""","""", index(GOOGLEFINANCE($B$9,""close"",EM$2,TODAY()),2,2))"),"")</f>
        <v/>
      </c>
      <c r="EN9" s="1" t="str">
        <f ca="1">IFERROR(__xludf.DUMMYFUNCTION("if(EN$2="""","""", index(GOOGLEFINANCE($B$9,""close"",EN$2,TODAY()),2,2))"),"")</f>
        <v/>
      </c>
      <c r="EO9" s="1" t="str">
        <f ca="1">IFERROR(__xludf.DUMMYFUNCTION("if(EO$2="""","""", index(GOOGLEFINANCE($B$9,""close"",EO$2,TODAY()),2,2))"),"")</f>
        <v/>
      </c>
      <c r="EP9" s="1" t="str">
        <f ca="1">IFERROR(__xludf.DUMMYFUNCTION("if(EP$2="""","""", index(GOOGLEFINANCE($B$9,""close"",EP$2,TODAY()),2,2))"),"")</f>
        <v/>
      </c>
      <c r="EQ9" s="1" t="str">
        <f ca="1">IFERROR(__xludf.DUMMYFUNCTION("if(EQ$2="""","""", index(GOOGLEFINANCE($B$9,""close"",EQ$2,TODAY()),2,2))"),"")</f>
        <v/>
      </c>
      <c r="ER9" s="1" t="str">
        <f ca="1">IFERROR(__xludf.DUMMYFUNCTION("if(ER$2="""","""", index(GOOGLEFINANCE($B$9,""close"",ER$2,TODAY()),2,2))"),"")</f>
        <v/>
      </c>
      <c r="ES9" s="1" t="str">
        <f ca="1">IFERROR(__xludf.DUMMYFUNCTION("if(ES$2="""","""", index(GOOGLEFINANCE($B$9,""close"",ES$2,TODAY()),2,2))"),"")</f>
        <v/>
      </c>
      <c r="ET9" s="1" t="str">
        <f ca="1">IFERROR(__xludf.DUMMYFUNCTION("if(ET$2="""","""", index(GOOGLEFINANCE($B$9,""close"",ET$2,TODAY()),2,2))"),"")</f>
        <v/>
      </c>
      <c r="EU9" s="1" t="str">
        <f ca="1">IFERROR(__xludf.DUMMYFUNCTION("if(EU$2="""","""", index(GOOGLEFINANCE($B$9,""close"",EU$2,TODAY()),2,2))"),"")</f>
        <v/>
      </c>
      <c r="EV9" s="1" t="str">
        <f ca="1">IFERROR(__xludf.DUMMYFUNCTION("if(EV$2="""","""", index(GOOGLEFINANCE($B$9,""close"",EV$2,TODAY()),2,2))"),"")</f>
        <v/>
      </c>
      <c r="EW9" s="1" t="str">
        <f ca="1">IFERROR(__xludf.DUMMYFUNCTION("if(EW$2="""","""", index(GOOGLEFINANCE($B$9,""close"",EW$2,TODAY()),2,2))"),"")</f>
        <v/>
      </c>
      <c r="EX9" s="1" t="str">
        <f ca="1">IFERROR(__xludf.DUMMYFUNCTION("if(EX$2="""","""", index(GOOGLEFINANCE($B$9,""close"",EX$2,TODAY()),2,2))"),"")</f>
        <v/>
      </c>
      <c r="EY9" s="1" t="str">
        <f ca="1">IFERROR(__xludf.DUMMYFUNCTION("if(EY$2="""","""", index(GOOGLEFINANCE($B$9,""close"",EY$2,TODAY()),2,2))"),"")</f>
        <v/>
      </c>
      <c r="EZ9" s="1" t="str">
        <f ca="1">IFERROR(__xludf.DUMMYFUNCTION("if(EZ$2="""","""", index(GOOGLEFINANCE($B$9,""close"",EZ$2,TODAY()),2,2))"),"")</f>
        <v/>
      </c>
      <c r="FA9" s="1" t="str">
        <f ca="1">IFERROR(__xludf.DUMMYFUNCTION("if(FA$2="""","""", index(GOOGLEFINANCE($B$9,""close"",FA$2,TODAY()),2,2))"),"")</f>
        <v/>
      </c>
      <c r="FB9" s="1" t="str">
        <f ca="1">IFERROR(__xludf.DUMMYFUNCTION("if(FB$2="""","""", index(GOOGLEFINANCE($B$9,""close"",FB$2,TODAY()),2,2))"),"")</f>
        <v/>
      </c>
      <c r="FC9" s="1" t="str">
        <f ca="1">IFERROR(__xludf.DUMMYFUNCTION("if(FC$2="""","""", index(GOOGLEFINANCE($B$9,""close"",FC$2,TODAY()),2,2))"),"")</f>
        <v/>
      </c>
      <c r="FD9" s="1" t="str">
        <f ca="1">IFERROR(__xludf.DUMMYFUNCTION("if(FD$2="""","""", index(GOOGLEFINANCE($B$9,""close"",FD$2,TODAY()),2,2))"),"")</f>
        <v/>
      </c>
      <c r="FE9" s="1" t="str">
        <f ca="1">IFERROR(__xludf.DUMMYFUNCTION("if(FE$2="""","""", index(GOOGLEFINANCE($B$9,""close"",FE$2,TODAY()),2,2))"),"")</f>
        <v/>
      </c>
      <c r="FF9" s="1" t="str">
        <f ca="1">IFERROR(__xludf.DUMMYFUNCTION("if(FF$2="""","""", index(GOOGLEFINANCE($B$9,""close"",FF$2,TODAY()),2,2))"),"")</f>
        <v/>
      </c>
      <c r="FG9" s="1" t="str">
        <f ca="1">IFERROR(__xludf.DUMMYFUNCTION("if(FG$2="""","""", index(GOOGLEFINANCE($B$9,""close"",FG$2,TODAY()),2,2))"),"")</f>
        <v/>
      </c>
      <c r="FH9" s="1" t="str">
        <f ca="1">IFERROR(__xludf.DUMMYFUNCTION("if(FH$2="""","""", index(GOOGLEFINANCE($B$9,""close"",FH$2,TODAY()),2,2))"),"")</f>
        <v/>
      </c>
      <c r="FI9" s="1" t="str">
        <f ca="1">IFERROR(__xludf.DUMMYFUNCTION("if(FI$2="""","""", index(GOOGLEFINANCE($B$9,""close"",FI$2,TODAY()),2,2))"),"")</f>
        <v/>
      </c>
      <c r="FJ9" s="1" t="str">
        <f ca="1">IFERROR(__xludf.DUMMYFUNCTION("if(FJ$2="""","""", index(GOOGLEFINANCE($B$9,""close"",FJ$2,TODAY()),2,2))"),"")</f>
        <v/>
      </c>
      <c r="FK9" s="1" t="str">
        <f ca="1">IFERROR(__xludf.DUMMYFUNCTION("if(FK$2="""","""", index(GOOGLEFINANCE($B$9,""close"",FK$2,TODAY()),2,2))"),"")</f>
        <v/>
      </c>
      <c r="FL9" s="1" t="str">
        <f ca="1">IFERROR(__xludf.DUMMYFUNCTION("if(FL$2="""","""", index(GOOGLEFINANCE($B$9,""close"",FL$2,TODAY()),2,2))"),"")</f>
        <v/>
      </c>
      <c r="FM9" s="1" t="str">
        <f ca="1">IFERROR(__xludf.DUMMYFUNCTION("if(FM$2="""","""", index(GOOGLEFINANCE($B$9,""close"",FM$2,TODAY()),2,2))"),"")</f>
        <v/>
      </c>
      <c r="FN9" s="1" t="str">
        <f ca="1">IFERROR(__xludf.DUMMYFUNCTION("if(FN$2="""","""", index(GOOGLEFINANCE($B$9,""close"",FN$2,TODAY()),2,2))"),"")</f>
        <v/>
      </c>
      <c r="FO9" s="1" t="str">
        <f ca="1">IFERROR(__xludf.DUMMYFUNCTION("if(FO$2="""","""", index(GOOGLEFINANCE($B$9,""close"",FO$2,TODAY()),2,2))"),"")</f>
        <v/>
      </c>
      <c r="FP9" s="1" t="str">
        <f ca="1">IFERROR(__xludf.DUMMYFUNCTION("if(FP$2="""","""", index(GOOGLEFINANCE($B$9,""close"",FP$2,TODAY()),2,2))"),"")</f>
        <v/>
      </c>
      <c r="FQ9" s="1" t="str">
        <f ca="1">IFERROR(__xludf.DUMMYFUNCTION("if(FQ$2="""","""", index(GOOGLEFINANCE($B$9,""close"",FQ$2,TODAY()),2,2))"),"")</f>
        <v/>
      </c>
      <c r="FR9" s="1" t="str">
        <f ca="1">IFERROR(__xludf.DUMMYFUNCTION("if(FR$2="""","""", index(GOOGLEFINANCE($B$9,""close"",FR$2,TODAY()),2,2))"),"")</f>
        <v/>
      </c>
      <c r="FS9" s="1" t="str">
        <f ca="1">IFERROR(__xludf.DUMMYFUNCTION("if(FS$2="""","""", index(GOOGLEFINANCE($B$9,""close"",FS$2,TODAY()),2,2))"),"")</f>
        <v/>
      </c>
      <c r="FT9" s="1" t="str">
        <f ca="1">IFERROR(__xludf.DUMMYFUNCTION("if(FT$2="""","""", index(GOOGLEFINANCE($B$9,""close"",FT$2,TODAY()),2,2))"),"")</f>
        <v/>
      </c>
      <c r="FU9" s="1" t="str">
        <f ca="1">IFERROR(__xludf.DUMMYFUNCTION("if(FU$2="""","""", index(GOOGLEFINANCE($B$9,""close"",FU$2,TODAY()),2,2))"),"")</f>
        <v/>
      </c>
      <c r="FV9" s="1" t="str">
        <f ca="1">IFERROR(__xludf.DUMMYFUNCTION("if(FV$2="""","""", index(GOOGLEFINANCE($B$9,""close"",FV$2,TODAY()),2,2))"),"")</f>
        <v/>
      </c>
      <c r="FW9" s="1" t="str">
        <f ca="1">IFERROR(__xludf.DUMMYFUNCTION("if(FW$2="""","""", index(GOOGLEFINANCE($B$9,""close"",FW$2,TODAY()),2,2))"),"")</f>
        <v/>
      </c>
      <c r="FX9" s="1" t="str">
        <f ca="1">IFERROR(__xludf.DUMMYFUNCTION("if(FX$2="""","""", index(GOOGLEFINANCE($B$9,""close"",FX$2,TODAY()),2,2))"),"")</f>
        <v/>
      </c>
      <c r="FY9" s="1" t="str">
        <f ca="1">IFERROR(__xludf.DUMMYFUNCTION("if(FY$2="""","""", index(GOOGLEFINANCE($B$9,""close"",FY$2,TODAY()),2,2))"),"")</f>
        <v/>
      </c>
      <c r="FZ9" s="1" t="str">
        <f ca="1">IFERROR(__xludf.DUMMYFUNCTION("if(FZ$2="""","""", index(GOOGLEFINANCE($B$9,""close"",FZ$2,TODAY()),2,2))"),"")</f>
        <v/>
      </c>
      <c r="GA9" s="1" t="str">
        <f ca="1">IFERROR(__xludf.DUMMYFUNCTION("if(GA$2="""","""", index(GOOGLEFINANCE($B$9,""close"",GA$2,TODAY()),2,2))"),"")</f>
        <v/>
      </c>
      <c r="GB9" s="1" t="str">
        <f ca="1">IFERROR(__xludf.DUMMYFUNCTION("if(GB$2="""","""", index(GOOGLEFINANCE($B$9,""close"",GB$2,TODAY()),2,2))"),"")</f>
        <v/>
      </c>
      <c r="GC9" s="1" t="str">
        <f ca="1">IFERROR(__xludf.DUMMYFUNCTION("if(GC$2="""","""", index(GOOGLEFINANCE($B$9,""close"",GC$2,TODAY()),2,2))"),"")</f>
        <v/>
      </c>
      <c r="GD9" s="1" t="str">
        <f ca="1">IFERROR(__xludf.DUMMYFUNCTION("if(GD$2="""","""", index(GOOGLEFINANCE($B$9,""close"",GD$2,TODAY()),2,2))"),"")</f>
        <v/>
      </c>
      <c r="GE9" s="1" t="str">
        <f ca="1">IFERROR(__xludf.DUMMYFUNCTION("if(GE$2="""","""", index(GOOGLEFINANCE($B$9,""close"",GE$2,TODAY()),2,2))"),"")</f>
        <v/>
      </c>
      <c r="GF9" s="1" t="str">
        <f ca="1">IFERROR(__xludf.DUMMYFUNCTION("if(GF$2="""","""", index(GOOGLEFINANCE($B$9,""close"",GF$2,TODAY()),2,2))"),"")</f>
        <v/>
      </c>
      <c r="GG9" s="1" t="str">
        <f ca="1">IFERROR(__xludf.DUMMYFUNCTION("if(GG$2="""","""", index(GOOGLEFINANCE($B$9,""close"",GG$2,TODAY()),2,2))"),"")</f>
        <v/>
      </c>
      <c r="GH9" s="1" t="str">
        <f ca="1">IFERROR(__xludf.DUMMYFUNCTION("if(GH$2="""","""", index(GOOGLEFINANCE($B$9,""close"",GH$2,TODAY()),2,2))"),"")</f>
        <v/>
      </c>
      <c r="GI9" s="1" t="str">
        <f ca="1">IFERROR(__xludf.DUMMYFUNCTION("if(GI$2="""","""", index(GOOGLEFINANCE($B$9,""close"",GI$2,TODAY()),2,2))"),"")</f>
        <v/>
      </c>
      <c r="GJ9" s="1" t="str">
        <f ca="1">IFERROR(__xludf.DUMMYFUNCTION("if(GJ$2="""","""", index(GOOGLEFINANCE($B$9,""close"",GJ$2,TODAY()),2,2))"),"")</f>
        <v/>
      </c>
      <c r="GK9" s="1" t="str">
        <f ca="1">IFERROR(__xludf.DUMMYFUNCTION("if(GK$2="""","""", index(GOOGLEFINANCE($B$9,""close"",GK$2,TODAY()),2,2))"),"")</f>
        <v/>
      </c>
      <c r="GL9" s="1" t="str">
        <f ca="1">IFERROR(__xludf.DUMMYFUNCTION("if(GL$2="""","""", index(GOOGLEFINANCE($B$9,""close"",GL$2,TODAY()),2,2))"),"")</f>
        <v/>
      </c>
      <c r="GM9" s="1" t="str">
        <f ca="1">IFERROR(__xludf.DUMMYFUNCTION("if(GM$2="""","""", index(GOOGLEFINANCE($B$9,""close"",GM$2,TODAY()),2,2))"),"")</f>
        <v/>
      </c>
      <c r="GN9" s="1" t="str">
        <f ca="1">IFERROR(__xludf.DUMMYFUNCTION("if(GN$2="""","""", index(GOOGLEFINANCE($B$9,""close"",GN$2,TODAY()),2,2))"),"")</f>
        <v/>
      </c>
      <c r="GO9" s="1" t="str">
        <f ca="1">IFERROR(__xludf.DUMMYFUNCTION("if(GO$2="""","""", index(GOOGLEFINANCE($B$9,""close"",GO$2,TODAY()),2,2))"),"")</f>
        <v/>
      </c>
      <c r="GP9" s="1" t="str">
        <f ca="1">IFERROR(__xludf.DUMMYFUNCTION("if(GP$2="""","""", index(GOOGLEFINANCE($B$9,""close"",GP$2,TODAY()),2,2))"),"")</f>
        <v/>
      </c>
      <c r="GQ9" s="1" t="str">
        <f ca="1">IFERROR(__xludf.DUMMYFUNCTION("if(GQ$2="""","""", index(GOOGLEFINANCE($B$9,""close"",GQ$2,TODAY()),2,2))"),"")</f>
        <v/>
      </c>
      <c r="GR9" s="1" t="str">
        <f ca="1">IFERROR(__xludf.DUMMYFUNCTION("if(GR$2="""","""", index(GOOGLEFINANCE($B$9,""close"",GR$2,TODAY()),2,2))"),"")</f>
        <v/>
      </c>
      <c r="GS9" s="1" t="str">
        <f ca="1">IFERROR(__xludf.DUMMYFUNCTION("if(GS$2="""","""", index(GOOGLEFINANCE($B$9,""close"",GS$2,TODAY()),2,2))"),"")</f>
        <v/>
      </c>
      <c r="GT9" s="1" t="str">
        <f ca="1">IFERROR(__xludf.DUMMYFUNCTION("if(GT$2="""","""", index(GOOGLEFINANCE($B$9,""close"",GT$2,TODAY()),2,2))"),"")</f>
        <v/>
      </c>
      <c r="GU9" s="1" t="str">
        <f ca="1">IFERROR(__xludf.DUMMYFUNCTION("if(GU$2="""","""", index(GOOGLEFINANCE($B$9,""close"",GU$2,TODAY()),2,2))"),"")</f>
        <v/>
      </c>
      <c r="GV9" s="1" t="str">
        <f ca="1">IFERROR(__xludf.DUMMYFUNCTION("if(GV$2="""","""", index(GOOGLEFINANCE($B$9,""close"",GV$2,TODAY()),2,2))"),"")</f>
        <v/>
      </c>
      <c r="GW9" s="1" t="str">
        <f ca="1">IFERROR(__xludf.DUMMYFUNCTION("if(GW$2="""","""", index(GOOGLEFINANCE($B$9,""close"",GW$2,TODAY()),2,2))"),"")</f>
        <v/>
      </c>
      <c r="GX9" s="1" t="str">
        <f ca="1">IFERROR(__xludf.DUMMYFUNCTION("if(GX$2="""","""", index(GOOGLEFINANCE($B$9,""close"",GX$2,TODAY()),2,2))"),"")</f>
        <v/>
      </c>
      <c r="GY9" s="1" t="str">
        <f ca="1">IFERROR(__xludf.DUMMYFUNCTION("if(GY$2="""","""", index(GOOGLEFINANCE($B$9,""close"",GY$2,TODAY()),2,2))"),"")</f>
        <v/>
      </c>
      <c r="GZ9" s="1" t="str">
        <f ca="1">IFERROR(__xludf.DUMMYFUNCTION("if(GZ$2="""","""", index(GOOGLEFINANCE($B$9,""close"",GZ$2,TODAY()),2,2))"),"")</f>
        <v/>
      </c>
      <c r="HA9" s="1" t="str">
        <f ca="1">IFERROR(__xludf.DUMMYFUNCTION("if(HA$2="""","""", index(GOOGLEFINANCE($B$9,""close"",HA$2,TODAY()),2,2))"),"")</f>
        <v/>
      </c>
      <c r="HB9" s="1" t="str">
        <f ca="1">IFERROR(__xludf.DUMMYFUNCTION("if(HB$2="""","""", index(GOOGLEFINANCE($B$9,""close"",HB$2,TODAY()),2,2))"),"")</f>
        <v/>
      </c>
      <c r="HC9" s="1" t="str">
        <f ca="1">IFERROR(__xludf.DUMMYFUNCTION("if(HC$2="""","""", index(GOOGLEFINANCE($B$9,""close"",HC$2,TODAY()),2,2))"),"")</f>
        <v/>
      </c>
      <c r="HD9" s="1" t="str">
        <f ca="1">IFERROR(__xludf.DUMMYFUNCTION("if(HD$2="""","""", index(GOOGLEFINANCE($B$9,""close"",HD$2,TODAY()),2,2))"),"")</f>
        <v/>
      </c>
      <c r="HE9" s="1" t="str">
        <f ca="1">IFERROR(__xludf.DUMMYFUNCTION("if(HE$2="""","""", index(GOOGLEFINANCE($B$9,""close"",HE$2,TODAY()),2,2))"),"")</f>
        <v/>
      </c>
      <c r="HF9" s="1" t="str">
        <f ca="1">IFERROR(__xludf.DUMMYFUNCTION("if(HF$2="""","""", index(GOOGLEFINANCE($B$9,""close"",HF$2,TODAY()),2,2))"),"")</f>
        <v/>
      </c>
      <c r="HG9" s="1" t="str">
        <f ca="1">IFERROR(__xludf.DUMMYFUNCTION("if(HG$2="""","""", index(GOOGLEFINANCE($B$9,""close"",HG$2,TODAY()),2,2))"),"")</f>
        <v/>
      </c>
      <c r="HH9" s="1" t="str">
        <f ca="1">IFERROR(__xludf.DUMMYFUNCTION("if(HH$2="""","""", index(GOOGLEFINANCE($B$9,""close"",HH$2,TODAY()),2,2))"),"")</f>
        <v/>
      </c>
      <c r="HI9" s="1" t="str">
        <f ca="1">IFERROR(__xludf.DUMMYFUNCTION("if(HI$2="""","""", index(GOOGLEFINANCE($B$9,""close"",HI$2,TODAY()),2,2))"),"")</f>
        <v/>
      </c>
      <c r="HJ9" s="1" t="str">
        <f ca="1">IFERROR(__xludf.DUMMYFUNCTION("if(HJ$2="""","""", index(GOOGLEFINANCE($B$9,""close"",HJ$2,TODAY()),2,2))"),"")</f>
        <v/>
      </c>
      <c r="HK9" s="1" t="str">
        <f ca="1">IFERROR(__xludf.DUMMYFUNCTION("if(HK$2="""","""", index(GOOGLEFINANCE($B$9,""close"",HK$2,TODAY()),2,2))"),"")</f>
        <v/>
      </c>
      <c r="HL9" s="1" t="str">
        <f ca="1">IFERROR(__xludf.DUMMYFUNCTION("if(HL$2="""","""", index(GOOGLEFINANCE($B$9,""close"",HL$2,TODAY()),2,2))"),"")</f>
        <v/>
      </c>
      <c r="HM9" s="1" t="str">
        <f ca="1">IFERROR(__xludf.DUMMYFUNCTION("if(HM$2="""","""", index(GOOGLEFINANCE($B$9,""close"",HM$2,TODAY()),2,2))"),"")</f>
        <v/>
      </c>
      <c r="HN9" s="1" t="str">
        <f ca="1">IFERROR(__xludf.DUMMYFUNCTION("if(HN$2="""","""", index(GOOGLEFINANCE($B$9,""close"",HN$2,TODAY()),2,2))"),"")</f>
        <v/>
      </c>
      <c r="HO9" s="1" t="str">
        <f ca="1">IFERROR(__xludf.DUMMYFUNCTION("if(HO$2="""","""", index(GOOGLEFINANCE($B$9,""close"",HO$2,TODAY()),2,2))"),"")</f>
        <v/>
      </c>
      <c r="HP9" s="1" t="str">
        <f ca="1">IFERROR(__xludf.DUMMYFUNCTION("if(HP$2="""","""", index(GOOGLEFINANCE($B$9,""close"",HP$2,TODAY()),2,2))"),"")</f>
        <v/>
      </c>
      <c r="HQ9" s="1" t="str">
        <f ca="1">IFERROR(__xludf.DUMMYFUNCTION("if(HQ$2="""","""", index(GOOGLEFINANCE($B$9,""close"",HQ$2,TODAY()),2,2))"),"")</f>
        <v/>
      </c>
      <c r="HR9" s="1" t="str">
        <f ca="1">IFERROR(__xludf.DUMMYFUNCTION("if(HR$2="""","""", index(GOOGLEFINANCE($B$9,""close"",HR$2,TODAY()),2,2))"),"")</f>
        <v/>
      </c>
      <c r="HS9" s="1" t="str">
        <f ca="1">IFERROR(__xludf.DUMMYFUNCTION("if(HS$2="""","""", index(GOOGLEFINANCE($B$9,""close"",HS$2,TODAY()),2,2))"),"")</f>
        <v/>
      </c>
      <c r="HT9" s="1" t="str">
        <f ca="1">IFERROR(__xludf.DUMMYFUNCTION("if(HT$2="""","""", index(GOOGLEFINANCE($B$9,""close"",HT$2,TODAY()),2,2))"),"")</f>
        <v/>
      </c>
      <c r="HU9" s="1" t="str">
        <f ca="1">IFERROR(__xludf.DUMMYFUNCTION("if(HU$2="""","""", index(GOOGLEFINANCE($B$9,""close"",HU$2,TODAY()),2,2))"),"")</f>
        <v/>
      </c>
      <c r="HV9" s="1" t="str">
        <f ca="1">IFERROR(__xludf.DUMMYFUNCTION("if(HV$2="""","""", index(GOOGLEFINANCE($B$9,""close"",HV$2,TODAY()),2,2))"),"")</f>
        <v/>
      </c>
      <c r="HW9" s="1" t="str">
        <f ca="1">IFERROR(__xludf.DUMMYFUNCTION("if(HW$2="""","""", index(GOOGLEFINANCE($B$9,""close"",HW$2,TODAY()),2,2))"),"")</f>
        <v/>
      </c>
      <c r="HX9" s="1" t="str">
        <f ca="1">IFERROR(__xludf.DUMMYFUNCTION("if(HX$2="""","""", index(GOOGLEFINANCE($B$9,""close"",HX$2,TODAY()),2,2))"),"")</f>
        <v/>
      </c>
      <c r="HY9" s="1" t="str">
        <f ca="1">IFERROR(__xludf.DUMMYFUNCTION("if(HY$2="""","""", index(GOOGLEFINANCE($B$9,""close"",HY$2,TODAY()),2,2))"),"")</f>
        <v/>
      </c>
      <c r="HZ9" s="1" t="str">
        <f ca="1">IFERROR(__xludf.DUMMYFUNCTION("if(HZ$2="""","""", index(GOOGLEFINANCE($B$9,""close"",HZ$2,TODAY()),2,2))"),"")</f>
        <v/>
      </c>
      <c r="IA9" s="1" t="str">
        <f ca="1">IFERROR(__xludf.DUMMYFUNCTION("if(IA$2="""","""", index(GOOGLEFINANCE($B$9,""close"",IA$2,TODAY()),2,2))"),"")</f>
        <v/>
      </c>
      <c r="IB9" s="1" t="str">
        <f ca="1">IFERROR(__xludf.DUMMYFUNCTION("if(IB$2="""","""", index(GOOGLEFINANCE($B$9,""close"",IB$2,TODAY()),2,2))"),"")</f>
        <v/>
      </c>
      <c r="IC9" s="1" t="str">
        <f ca="1">IFERROR(__xludf.DUMMYFUNCTION("if(IC$2="""","""", index(GOOGLEFINANCE($B$9,""close"",IC$2,TODAY()),2,2))"),"")</f>
        <v/>
      </c>
      <c r="ID9" s="1" t="str">
        <f ca="1">IFERROR(__xludf.DUMMYFUNCTION("if(ID$2="""","""", index(GOOGLEFINANCE($B$9,""close"",ID$2,TODAY()),2,2))"),"")</f>
        <v/>
      </c>
      <c r="IE9" s="1" t="str">
        <f ca="1">IFERROR(__xludf.DUMMYFUNCTION("if(IE$2="""","""", index(GOOGLEFINANCE($B$9,""close"",IE$2,TODAY()),2,2))"),"")</f>
        <v/>
      </c>
      <c r="IF9" s="1" t="str">
        <f ca="1">IFERROR(__xludf.DUMMYFUNCTION("if(IF$2="""","""", index(GOOGLEFINANCE($B$9,""close"",IF$2,TODAY()),2,2))"),"")</f>
        <v/>
      </c>
      <c r="IG9" s="1" t="str">
        <f ca="1">IFERROR(__xludf.DUMMYFUNCTION("if(IG$2="""","""", index(GOOGLEFINANCE($B$9,""close"",IG$2,TODAY()),2,2))"),"")</f>
        <v/>
      </c>
      <c r="IH9" s="1" t="str">
        <f ca="1">IFERROR(__xludf.DUMMYFUNCTION("if(IH$2="""","""", index(GOOGLEFINANCE($B$9,""close"",IH$2,TODAY()),2,2))"),"")</f>
        <v/>
      </c>
      <c r="II9" s="1" t="str">
        <f ca="1">IFERROR(__xludf.DUMMYFUNCTION("if(II$2="""","""", index(GOOGLEFINANCE($B$9,""close"",II$2,TODAY()),2,2))"),"")</f>
        <v/>
      </c>
      <c r="IJ9" s="1" t="str">
        <f ca="1">IFERROR(__xludf.DUMMYFUNCTION("if(IJ$2="""","""", index(GOOGLEFINANCE($B$9,""close"",IJ$2,TODAY()),2,2))"),"")</f>
        <v/>
      </c>
      <c r="IK9" s="1" t="str">
        <f ca="1">IFERROR(__xludf.DUMMYFUNCTION("if(IK$2="""","""", index(GOOGLEFINANCE($B$9,""close"",IK$2,TODAY()),2,2))"),"")</f>
        <v/>
      </c>
      <c r="IL9" s="1" t="str">
        <f ca="1">IFERROR(__xludf.DUMMYFUNCTION("if(IL$2="""","""", index(GOOGLEFINANCE($B$9,""close"",IL$2,TODAY()),2,2))"),"")</f>
        <v/>
      </c>
      <c r="IM9" s="1" t="str">
        <f ca="1">IFERROR(__xludf.DUMMYFUNCTION("if(IM$2="""","""", index(GOOGLEFINANCE($B$9,""close"",IM$2,TODAY()),2,2))"),"")</f>
        <v/>
      </c>
      <c r="IN9" s="1" t="str">
        <f ca="1">IFERROR(__xludf.DUMMYFUNCTION("if(IN$2="""","""", index(GOOGLEFINANCE($B$9,""close"",IN$2,TODAY()),2,2))"),"")</f>
        <v/>
      </c>
      <c r="IO9" s="1" t="str">
        <f ca="1">IFERROR(__xludf.DUMMYFUNCTION("if(IO$2="""","""", index(GOOGLEFINANCE($B$9,""close"",IO$2,TODAY()),2,2))"),"")</f>
        <v/>
      </c>
      <c r="IP9" s="1" t="str">
        <f ca="1">IFERROR(__xludf.DUMMYFUNCTION("if(IP$2="""","""", index(GOOGLEFINANCE($B$9,""close"",IP$2,TODAY()),2,2))"),"")</f>
        <v/>
      </c>
      <c r="IQ9" s="1" t="str">
        <f ca="1">IFERROR(__xludf.DUMMYFUNCTION("if(IQ$2="""","""", index(GOOGLEFINANCE($B$9,""close"",IQ$2,TODAY()),2,2))"),"")</f>
        <v/>
      </c>
      <c r="IR9" s="1" t="str">
        <f ca="1">IFERROR(__xludf.DUMMYFUNCTION("if(IR$2="""","""", index(GOOGLEFINANCE($B$9,""close"",IR$2,TODAY()),2,2))"),"")</f>
        <v/>
      </c>
      <c r="IS9" s="1" t="str">
        <f ca="1">IFERROR(__xludf.DUMMYFUNCTION("if(IS$2="""","""", index(GOOGLEFINANCE($B$9,""close"",IS$2,TODAY()),2,2))"),"")</f>
        <v/>
      </c>
      <c r="IT9" s="1" t="str">
        <f ca="1">IFERROR(__xludf.DUMMYFUNCTION("if(IT$2="""","""", index(GOOGLEFINANCE($B$9,""close"",IT$2,TODAY()),2,2))"),"")</f>
        <v/>
      </c>
      <c r="IU9" s="1" t="str">
        <f ca="1">IFERROR(__xludf.DUMMYFUNCTION("if(IU$2="""","""", index(GOOGLEFINANCE($B$9,""close"",IU$2,TODAY()),2,2))"),"")</f>
        <v/>
      </c>
      <c r="IV9" s="1" t="str">
        <f ca="1">IFERROR(__xludf.DUMMYFUNCTION("if(IV$2="""","""", index(GOOGLEFINANCE($B$9,""close"",IV$2,TODAY()),2,2))"),"")</f>
        <v/>
      </c>
      <c r="IW9" s="1" t="str">
        <f ca="1">IFERROR(__xludf.DUMMYFUNCTION("if(IW$2="""","""", index(GOOGLEFINANCE($B$9,""close"",IW$2,TODAY()),2,2))"),"")</f>
        <v/>
      </c>
      <c r="IX9" s="1" t="str">
        <f ca="1">IFERROR(__xludf.DUMMYFUNCTION("if(IX$2="""","""", index(GOOGLEFINANCE($B$9,""close"",IX$2,TODAY()),2,2))"),"")</f>
        <v/>
      </c>
      <c r="IY9" s="1" t="str">
        <f ca="1">IFERROR(__xludf.DUMMYFUNCTION("if(IY$2="""","""", index(GOOGLEFINANCE($B$9,""close"",IY$2,TODAY()),2,2))"),"")</f>
        <v/>
      </c>
      <c r="IZ9" s="1" t="str">
        <f ca="1">IFERROR(__xludf.DUMMYFUNCTION("if(IZ$2="""","""", index(GOOGLEFINANCE($B$9,""close"",IZ$2,TODAY()),2,2))"),"")</f>
        <v/>
      </c>
      <c r="JA9" s="1" t="str">
        <f ca="1">IFERROR(__xludf.DUMMYFUNCTION("if(JA$2="""","""", index(GOOGLEFINANCE($B$9,""close"",JA$2,TODAY()),2,2))"),"")</f>
        <v/>
      </c>
      <c r="JB9" s="1" t="str">
        <f ca="1">IFERROR(__xludf.DUMMYFUNCTION("if(JB$2="""","""", index(GOOGLEFINANCE($B$9,""close"",JB$2,TODAY()),2,2))"),"")</f>
        <v/>
      </c>
      <c r="JC9" s="1" t="str">
        <f ca="1">IFERROR(__xludf.DUMMYFUNCTION("if(JC$2="""","""", index(GOOGLEFINANCE($B$9,""close"",JC$2,TODAY()),2,2))"),"")</f>
        <v/>
      </c>
      <c r="JD9" s="1" t="str">
        <f ca="1">IFERROR(__xludf.DUMMYFUNCTION("if(JD$2="""","""", index(GOOGLEFINANCE($B$9,""close"",JD$2,TODAY()),2,2))"),"")</f>
        <v/>
      </c>
      <c r="JE9" s="1" t="str">
        <f ca="1">IFERROR(__xludf.DUMMYFUNCTION("if(JE$2="""","""", index(GOOGLEFINANCE($B$9,""close"",JE$2,TODAY()),2,2))"),"")</f>
        <v/>
      </c>
      <c r="JF9" s="1" t="str">
        <f ca="1">IFERROR(__xludf.DUMMYFUNCTION("if(JF$2="""","""", index(GOOGLEFINANCE($B$9,""close"",JF$2,TODAY()),2,2))"),"")</f>
        <v/>
      </c>
      <c r="JG9" s="1" t="str">
        <f ca="1">IFERROR(__xludf.DUMMYFUNCTION("if(JG$2="""","""", index(GOOGLEFINANCE($B$9,""close"",JG$2,TODAY()),2,2))"),"")</f>
        <v/>
      </c>
      <c r="JH9" s="1" t="str">
        <f ca="1">IFERROR(__xludf.DUMMYFUNCTION("if(JH$2="""","""", index(GOOGLEFINANCE($B$9,""close"",JH$2,TODAY()),2,2))"),"")</f>
        <v/>
      </c>
      <c r="JI9" s="1" t="str">
        <f ca="1">IFERROR(__xludf.DUMMYFUNCTION("if(JI$2="""","""", index(GOOGLEFINANCE($B$9,""close"",JI$2,TODAY()),2,2))"),"")</f>
        <v/>
      </c>
      <c r="JJ9" s="1" t="str">
        <f ca="1">IFERROR(__xludf.DUMMYFUNCTION("if(JJ$2="""","""", index(GOOGLEFINANCE($B$9,""close"",JJ$2,TODAY()),2,2))"),"")</f>
        <v/>
      </c>
      <c r="JK9" s="1" t="str">
        <f ca="1">IFERROR(__xludf.DUMMYFUNCTION("if(JK$2="""","""", index(GOOGLEFINANCE($B$9,""close"",JK$2,TODAY()),2,2))"),"")</f>
        <v/>
      </c>
      <c r="JL9" s="1" t="str">
        <f ca="1">IFERROR(__xludf.DUMMYFUNCTION("if(JL$2="""","""", index(GOOGLEFINANCE($B$9,""close"",JL$2,TODAY()),2,2))"),"")</f>
        <v/>
      </c>
      <c r="JM9" s="1" t="str">
        <f ca="1">IFERROR(__xludf.DUMMYFUNCTION("if(JM$2="""","""", index(GOOGLEFINANCE($B$9,""close"",JM$2,TODAY()),2,2))"),"")</f>
        <v/>
      </c>
      <c r="JN9" s="1" t="str">
        <f ca="1">IFERROR(__xludf.DUMMYFUNCTION("if(JN$2="""","""", index(GOOGLEFINANCE($B$9,""close"",JN$2,TODAY()),2,2))"),"")</f>
        <v/>
      </c>
      <c r="JO9" s="1" t="str">
        <f ca="1">IFERROR(__xludf.DUMMYFUNCTION("if(JO$2="""","""", index(GOOGLEFINANCE($B$9,""close"",JO$2,TODAY()),2,2))"),"")</f>
        <v/>
      </c>
      <c r="JP9" s="1" t="str">
        <f ca="1">IFERROR(__xludf.DUMMYFUNCTION("if(JP$2="""","""", index(GOOGLEFINANCE($B$9,""close"",JP$2,TODAY()),2,2))"),"")</f>
        <v/>
      </c>
      <c r="JQ9" s="1" t="str">
        <f ca="1">IFERROR(__xludf.DUMMYFUNCTION("if(JQ$2="""","""", index(GOOGLEFINANCE($B$9,""close"",JQ$2,TODAY()),2,2))"),"")</f>
        <v/>
      </c>
      <c r="JR9" s="1" t="str">
        <f ca="1">IFERROR(__xludf.DUMMYFUNCTION("if(JR$2="""","""", index(GOOGLEFINANCE($B$9,""close"",JR$2,TODAY()),2,2))"),"")</f>
        <v/>
      </c>
      <c r="JS9" s="1" t="str">
        <f ca="1">IFERROR(__xludf.DUMMYFUNCTION("if(JS$2="""","""", index(GOOGLEFINANCE($B$9,""close"",JS$2,TODAY()),2,2))"),"")</f>
        <v/>
      </c>
      <c r="JT9" s="1" t="str">
        <f ca="1">IFERROR(__xludf.DUMMYFUNCTION("if(JT$2="""","""", index(GOOGLEFINANCE($B$9,""close"",JT$2,TODAY()),2,2))"),"")</f>
        <v/>
      </c>
      <c r="JU9" s="1" t="str">
        <f ca="1">IFERROR(__xludf.DUMMYFUNCTION("if(JU$2="""","""", index(GOOGLEFINANCE($B$9,""close"",JU$2,TODAY()),2,2))"),"")</f>
        <v/>
      </c>
      <c r="JV9" s="1" t="str">
        <f ca="1">IFERROR(__xludf.DUMMYFUNCTION("if(JV$2="""","""", index(GOOGLEFINANCE($B$9,""close"",JV$2,TODAY()),2,2))"),"")</f>
        <v/>
      </c>
      <c r="JW9" s="1" t="str">
        <f ca="1">IFERROR(__xludf.DUMMYFUNCTION("if(JW$2="""","""", index(GOOGLEFINANCE($B$9,""close"",JW$2,TODAY()),2,2))"),"")</f>
        <v/>
      </c>
      <c r="JX9" s="1" t="str">
        <f ca="1">IFERROR(__xludf.DUMMYFUNCTION("if(JX$2="""","""", index(GOOGLEFINANCE($B$9,""close"",JX$2,TODAY()),2,2))"),"")</f>
        <v/>
      </c>
      <c r="JY9" s="1" t="str">
        <f ca="1">IFERROR(__xludf.DUMMYFUNCTION("if(JY$2="""","""", index(GOOGLEFINANCE($B$9,""close"",JY$2,TODAY()),2,2))"),"")</f>
        <v/>
      </c>
      <c r="JZ9" s="1" t="str">
        <f ca="1">IFERROR(__xludf.DUMMYFUNCTION("if(JZ$2="""","""", index(GOOGLEFINANCE($B$9,""close"",JZ$2,TODAY()),2,2))"),"")</f>
        <v/>
      </c>
      <c r="KA9" s="1" t="str">
        <f ca="1">IFERROR(__xludf.DUMMYFUNCTION("if(KA$2="""","""", index(GOOGLEFINANCE($B$9,""close"",KA$2,TODAY()),2,2))"),"")</f>
        <v/>
      </c>
      <c r="KB9" s="1" t="str">
        <f ca="1">IFERROR(__xludf.DUMMYFUNCTION("if(KB$2="""","""", index(GOOGLEFINANCE($B$9,""close"",KB$2,TODAY()),2,2))"),"")</f>
        <v/>
      </c>
      <c r="KC9" s="1" t="str">
        <f ca="1">IFERROR(__xludf.DUMMYFUNCTION("if(KC$2="""","""", index(GOOGLEFINANCE($B$9,""close"",KC$2,TODAY()),2,2))"),"")</f>
        <v/>
      </c>
      <c r="KD9" s="1" t="str">
        <f ca="1">IFERROR(__xludf.DUMMYFUNCTION("if(KD$2="""","""", index(GOOGLEFINANCE($B$9,""close"",KD$2,TODAY()),2,2))"),"")</f>
        <v/>
      </c>
      <c r="KE9" s="1" t="str">
        <f ca="1">IFERROR(__xludf.DUMMYFUNCTION("if(KE$2="""","""", index(GOOGLEFINANCE($B$9,""close"",KE$2,TODAY()),2,2))"),"")</f>
        <v/>
      </c>
      <c r="KF9" s="1" t="str">
        <f ca="1">IFERROR(__xludf.DUMMYFUNCTION("if(KF$2="""","""", index(GOOGLEFINANCE($B$9,""close"",KF$2,TODAY()),2,2))"),"")</f>
        <v/>
      </c>
      <c r="KG9" s="1" t="str">
        <f ca="1">IFERROR(__xludf.DUMMYFUNCTION("if(KG$2="""","""", index(GOOGLEFINANCE($B$9,""close"",KG$2,TODAY()),2,2))"),"")</f>
        <v/>
      </c>
    </row>
    <row r="10" spans="1:319" ht="15.75" customHeight="1">
      <c r="A10" s="18" t="s">
        <v>30</v>
      </c>
      <c r="B10" s="6" t="s">
        <v>54</v>
      </c>
      <c r="C10" s="1">
        <f ca="1">IFERROR(__xludf.DUMMYFUNCTION("if(C$2="""","""", index(GOOGLEFINANCE($B$10,""close"",C$2,TODAY()),2,2))"),103.53)</f>
        <v>103.53</v>
      </c>
      <c r="D10" s="1">
        <f ca="1">IFERROR(__xludf.DUMMYFUNCTION("if(D$2="""","""", index(GOOGLEFINANCE($B$10,""close"",D$2,TODAY()),2,2))"),102.25)</f>
        <v>102.25</v>
      </c>
      <c r="E10" s="1">
        <f ca="1">IFERROR(__xludf.DUMMYFUNCTION("if(E$2="""","""", index(GOOGLEFINANCE($B$10,""close"",E$2,TODAY()),2,2))"),96.87)</f>
        <v>96.87</v>
      </c>
      <c r="F10" s="1">
        <f ca="1">IFERROR(__xludf.DUMMYFUNCTION("if(F$2="""","""", index(GOOGLEFINANCE($B$10,""close"",F$2,TODAY()),2,2))"),98.36)</f>
        <v>98.36</v>
      </c>
      <c r="G10" s="1">
        <f ca="1">IFERROR(__xludf.DUMMYFUNCTION("if(G$2="""","""", index(GOOGLEFINANCE($B$10,""close"",G$2,TODAY()),2,2))"),97.92)</f>
        <v>97.92</v>
      </c>
      <c r="H10" s="1">
        <f ca="1">IFERROR(__xludf.DUMMYFUNCTION("if(H$2="""","""", index(GOOGLEFINANCE($B$10,""close"",H$2,TODAY()),2,2))"),99.99)</f>
        <v>99.99</v>
      </c>
      <c r="I10" s="1">
        <f ca="1">IFERROR(__xludf.DUMMYFUNCTION("if(I$2="""","""", index(GOOGLEFINANCE($B$10,""close"",I$2,TODAY()),2,2))"),100.45)</f>
        <v>100.45</v>
      </c>
      <c r="J10" s="1">
        <f ca="1">IFERROR(__xludf.DUMMYFUNCTION("if(J$2="""","""", index(GOOGLEFINANCE($B$10,""close"",J$2,TODAY()),2,2))"),101.95)</f>
        <v>101.95</v>
      </c>
      <c r="K10" s="1">
        <f ca="1">IFERROR(__xludf.DUMMYFUNCTION("if(K$2="""","""", index(GOOGLEFINANCE($B$10,""close"",K$2,TODAY()),2,2))"),99.15)</f>
        <v>99.15</v>
      </c>
      <c r="L10" s="1">
        <f ca="1">IFERROR(__xludf.DUMMYFUNCTION("if(L$2="""","""", index(GOOGLEFINANCE($B$10,""close"",L$2,TODAY()),2,2))"),100.41)</f>
        <v>100.41</v>
      </c>
      <c r="M10" s="1">
        <f ca="1">IFERROR(__xludf.DUMMYFUNCTION("if(M$2="""","""", index(GOOGLEFINANCE($B$10,""close"",M$2,TODAY()),2,2))"),96.88)</f>
        <v>96.88</v>
      </c>
      <c r="N10" s="1">
        <f ca="1">IFERROR(__xludf.DUMMYFUNCTION("if(N$2="""","""", index(GOOGLEFINANCE($B$10,""close"",N$2,TODAY()),2,2))"),97.57)</f>
        <v>97.57</v>
      </c>
      <c r="O10" s="1">
        <f ca="1">IFERROR(__xludf.DUMMYFUNCTION("if(O$2="""","""", index(GOOGLEFINANCE($B$10,""close"",O$2,TODAY()),2,2))"),97.69)</f>
        <v>97.69</v>
      </c>
      <c r="P10" s="1">
        <f ca="1">IFERROR(__xludf.DUMMYFUNCTION("if(P$2="""","""", index(GOOGLEFINANCE($B$10,""close"",P$2,TODAY()),2,2))"),94.74)</f>
        <v>94.74</v>
      </c>
      <c r="Q10" s="1">
        <f ca="1">IFERROR(__xludf.DUMMYFUNCTION("if(Q$2="""","""", index(GOOGLEFINANCE($B$10,""close"",Q$2,TODAY()),2,2))"),95.77)</f>
        <v>95.77</v>
      </c>
      <c r="R10" s="1">
        <f ca="1">IFERROR(__xludf.DUMMYFUNCTION("if(R$2="""","""", index(GOOGLEFINANCE($B$10,""close"",R$2,TODAY()),2,2))"),93.72)</f>
        <v>93.72</v>
      </c>
      <c r="S10" s="1">
        <f ca="1">IFERROR(__xludf.DUMMYFUNCTION("if(S$2="""","""", index(GOOGLEFINANCE($B$10,""close"",S$2,TODAY()),2,2))"),92.03)</f>
        <v>92.03</v>
      </c>
      <c r="T10" s="1">
        <f ca="1">IFERROR(__xludf.DUMMYFUNCTION("if(T$2="""","""", index(GOOGLEFINANCE($B$10,""close"",T$2,TODAY()),2,2))"),90.52)</f>
        <v>90.52</v>
      </c>
      <c r="U10" s="1">
        <f ca="1">IFERROR(__xludf.DUMMYFUNCTION("if(U$2="""","""", index(GOOGLEFINANCE($B$10,""close"",U$2,TODAY()),2,2))"),94.51)</f>
        <v>94.51</v>
      </c>
      <c r="V10" s="1">
        <f ca="1">IFERROR(__xludf.DUMMYFUNCTION("if(V$2="""","""", index(GOOGLEFINANCE($B$10,""close"",V$2,TODAY()),2,2))"),98.51)</f>
        <v>98.51</v>
      </c>
      <c r="W10" s="1">
        <f ca="1">IFERROR(__xludf.DUMMYFUNCTION("if(W$2="""","""", index(GOOGLEFINANCE($B$10,""close"",W$2,TODAY()),2,2))"),100.23)</f>
        <v>100.23</v>
      </c>
      <c r="X10" s="1">
        <f ca="1">IFERROR(__xludf.DUMMYFUNCTION("if(X$2="""","""", index(GOOGLEFINANCE($B$10,""close"",X$2,TODAY()),2,2))"),99.42)</f>
        <v>99.42</v>
      </c>
      <c r="Y10" s="1">
        <f ca="1">IFERROR(__xludf.DUMMYFUNCTION("if(Y$2="""","""", index(GOOGLEFINANCE($B$10,""close"",Y$2,TODAY()),2,2))"),94.57)</f>
        <v>94.57</v>
      </c>
      <c r="Z10" s="1">
        <f ca="1">IFERROR(__xludf.DUMMYFUNCTION("if(Z$2="""","""", index(GOOGLEFINANCE($B$10,""close"",Z$2,TODAY()),2,2))"),97.68)</f>
        <v>97.68</v>
      </c>
      <c r="AA10" s="1">
        <f ca="1">IFERROR(__xludf.DUMMYFUNCTION("if(AA$2="""","""", index(GOOGLEFINANCE($B$10,""close"",AA$2,TODAY()),2,2))"),98.43)</f>
        <v>98.43</v>
      </c>
      <c r="AB10" s="1">
        <f ca="1">IFERROR(__xludf.DUMMYFUNCTION("if(AB$2="""","""", index(GOOGLEFINANCE($B$10,""close"",AB$2,TODAY()),2,2))"),99.19)</f>
        <v>99.19</v>
      </c>
      <c r="AC10" s="1">
        <f ca="1">IFERROR(__xludf.DUMMYFUNCTION("if(AC$2="""","""", index(GOOGLEFINANCE($B$10,""close"",AC$2,TODAY()),2,2))"),103.11)</f>
        <v>103.11</v>
      </c>
      <c r="AD10" s="1">
        <f ca="1">IFERROR(__xludf.DUMMYFUNCTION("if(AD$2="""","""", index(GOOGLEFINANCE($B$10,""close"",AD$2,TODAY()),2,2))"),114.18)</f>
        <v>114.18</v>
      </c>
      <c r="AE10" s="1">
        <f ca="1">IFERROR(__xludf.DUMMYFUNCTION("if(AE$2="""","""", index(GOOGLEFINANCE($B$10,""close"",AE$2,TODAY()),2,2))"),116.27)</f>
        <v>116.27</v>
      </c>
      <c r="AF10" s="1">
        <f ca="1">IFERROR(__xludf.DUMMYFUNCTION("if(AF$2="""","""", index(GOOGLEFINANCE($B$10,""close"",AF$2,TODAY()),2,2))"),116.39)</f>
        <v>116.39</v>
      </c>
      <c r="AG10" s="1">
        <f ca="1">IFERROR(__xludf.DUMMYFUNCTION("if(AG$2="""","""", index(GOOGLEFINANCE($B$10,""close"",AG$2,TODAY()),2,2))"),118.78)</f>
        <v>118.78</v>
      </c>
      <c r="AH10" s="1">
        <f ca="1">IFERROR(__xludf.DUMMYFUNCTION("if(AH$2="""","""", index(GOOGLEFINANCE($B$10,""close"",AH$2,TODAY()),2,2))"),118)</f>
        <v>118</v>
      </c>
      <c r="AI10" s="1">
        <f ca="1">IFERROR(__xludf.DUMMYFUNCTION("if(AI$2="""","""", index(GOOGLEFINANCE($B$10,""close"",AI$2,TODAY()),2,2))"),116.65)</f>
        <v>116.65</v>
      </c>
      <c r="AJ10" s="1">
        <f ca="1">IFERROR(__xludf.DUMMYFUNCTION("if(AJ$2="""","""", index(GOOGLEFINANCE($B$10,""close"",AJ$2,TODAY()),2,2))"),115.06)</f>
        <v>115.06</v>
      </c>
      <c r="AK10" s="1">
        <f ca="1">IFERROR(__xludf.DUMMYFUNCTION("if(AK$2="""","""", index(GOOGLEFINANCE($B$10,""close"",AK$2,TODAY()),2,2))"),111.39)</f>
        <v>111.39</v>
      </c>
      <c r="AL10" s="1">
        <f ca="1">IFERROR(__xludf.DUMMYFUNCTION("if(AL$2="""","""", index(GOOGLEFINANCE($B$10,""close"",AL$2,TODAY()),2,2))"),112.06)</f>
        <v>112.06</v>
      </c>
      <c r="AM10" s="1">
        <f ca="1">IFERROR(__xludf.DUMMYFUNCTION("if(AM$2="""","""", index(GOOGLEFINANCE($B$10,""close"",AM$2,TODAY()),2,2))"),115.06)</f>
        <v>115.06</v>
      </c>
      <c r="AN10" s="1">
        <f ca="1">IFERROR(__xludf.DUMMYFUNCTION("if(AN$2="""","""", index(GOOGLEFINANCE($B$10,""close"",AN$2,TODAY()),2,2))"),115.48)</f>
        <v>115.48</v>
      </c>
      <c r="AO10" s="1">
        <f ca="1">IFERROR(__xludf.DUMMYFUNCTION("if(AO$2="""","""", index(GOOGLEFINANCE($B$10,""close"",AO$2,TODAY()),2,2))"),116.67)</f>
        <v>116.67</v>
      </c>
      <c r="AP10" s="1">
        <f ca="1">IFERROR(__xludf.DUMMYFUNCTION("if(AP$2="""","""", index(GOOGLEFINANCE($B$10,""close"",AP$2,TODAY()),2,2))"),116.8)</f>
        <v>116.8</v>
      </c>
      <c r="AQ10" s="1">
        <f ca="1">IFERROR(__xludf.DUMMYFUNCTION("if(AQ$2="""","""", index(GOOGLEFINANCE($B$10,""close"",AQ$2,TODAY()),2,2))"),124.19)</f>
        <v>124.19</v>
      </c>
      <c r="AR10" s="1">
        <f ca="1">IFERROR(__xludf.DUMMYFUNCTION("if(AR$2="""","""", index(GOOGLEFINANCE($B$10,""close"",AR$2,TODAY()),2,2))"),122)</f>
        <v>122</v>
      </c>
      <c r="AS10" s="1">
        <f ca="1">IFERROR(__xludf.DUMMYFUNCTION("if(AS$2="""","""", index(GOOGLEFINANCE($B$10,""close"",AS$2,TODAY()),2,2))"),119.81)</f>
        <v>119.81</v>
      </c>
      <c r="AT10" s="1">
        <f ca="1">IFERROR(__xludf.DUMMYFUNCTION("if(AT$2="""","""", index(GOOGLEFINANCE($B$10,""close"",AT$2,TODAY()),2,2))"),113.33)</f>
        <v>113.33</v>
      </c>
      <c r="AU10" s="1">
        <f ca="1">IFERROR(__xludf.DUMMYFUNCTION("if(AU$2="""","""", index(GOOGLEFINANCE($B$10,""close"",AU$2,TODAY()),2,2))"),113.56)</f>
        <v>113.56</v>
      </c>
      <c r="AV10" s="1">
        <f ca="1">IFERROR(__xludf.DUMMYFUNCTION("if(AV$2="""","""", index(GOOGLEFINANCE($B$10,""close"",AV$2,TODAY()),2,2))"),116.36)</f>
        <v>116.36</v>
      </c>
      <c r="AW10" s="1">
        <f ca="1">IFERROR(__xludf.DUMMYFUNCTION("if(AW$2="""","""", index(GOOGLEFINANCE($B$10,""close"",AW$2,TODAY()),2,2))"),118.93)</f>
        <v>118.93</v>
      </c>
      <c r="AX10" s="1">
        <f ca="1">IFERROR(__xludf.DUMMYFUNCTION("if(AX$2="""","""", index(GOOGLEFINANCE($B$10,""close"",AX$2,TODAY()),2,2))"),113.97)</f>
        <v>113.97</v>
      </c>
      <c r="AY10" s="1">
        <f ca="1">IFERROR(__xludf.DUMMYFUNCTION("if(AY$2="""","""", index(GOOGLEFINANCE($B$10,""close"",AY$2,TODAY()),2,2))"),110.79)</f>
        <v>110.79</v>
      </c>
      <c r="AZ10" s="1">
        <f ca="1">IFERROR(__xludf.DUMMYFUNCTION("if(AZ$2="""","""", index(GOOGLEFINANCE($B$10,""close"",AZ$2,TODAY()),2,2))"),111.2)</f>
        <v>111.2</v>
      </c>
      <c r="BA10" s="1">
        <f ca="1">IFERROR(__xludf.DUMMYFUNCTION("if(BA$2="""","""", index(GOOGLEFINANCE($B$10,""close"",BA$2,TODAY()),2,2))"),112.82)</f>
        <v>112.82</v>
      </c>
      <c r="BB10" s="1">
        <f ca="1">IFERROR(__xludf.DUMMYFUNCTION("if(BB$2="""","""", index(GOOGLEFINANCE($B$10,""close"",BB$2,TODAY()),2,2))"),115.48)</f>
        <v>115.48</v>
      </c>
      <c r="BC10" s="1">
        <f ca="1">IFERROR(__xludf.DUMMYFUNCTION("if(BC$2="""","""", index(GOOGLEFINANCE($B$10,""close"",BC$2,TODAY()),2,2))"),116.59)</f>
        <v>116.59</v>
      </c>
      <c r="BD10" s="1">
        <f ca="1">IFERROR(__xludf.DUMMYFUNCTION("if(BD$2="""","""", index(GOOGLEFINANCE($B$10,""close"",BD$2,TODAY()),2,2))"),119.89)</f>
        <v>119.89</v>
      </c>
      <c r="BE10" s="1">
        <f ca="1">IFERROR(__xludf.DUMMYFUNCTION("if(BE$2="""","""", index(GOOGLEFINANCE($B$10,""close"",BE$2,TODAY()),2,2))"),120.61)</f>
        <v>120.61</v>
      </c>
      <c r="BF10" s="1">
        <f ca="1">IFERROR(__xludf.DUMMYFUNCTION("if(BF$2="""","""", index(GOOGLEFINANCE($B$10,""close"",BF$2,TODAY()),2,2))"),118.97)</f>
        <v>118.97</v>
      </c>
      <c r="BG10" s="1">
        <f ca="1">IFERROR(__xludf.DUMMYFUNCTION("if(BG$2="""","""", index(GOOGLEFINANCE($B$10,""close"",BG$2,TODAY()),2,2))"),119.48)</f>
        <v>119.48</v>
      </c>
      <c r="BH10" s="1">
        <f ca="1">IFERROR(__xludf.DUMMYFUNCTION("if(BH$2="""","""", index(GOOGLEFINANCE($B$10,""close"",BH$2,TODAY()),2,2))"),120.47)</f>
        <v>120.47</v>
      </c>
      <c r="BI10" s="1">
        <f ca="1">IFERROR(__xludf.DUMMYFUNCTION("if(BI$2="""","""", index(GOOGLEFINANCE($B$10,""close"",BI$2,TODAY()),2,2))"),118.87)</f>
        <v>118.87</v>
      </c>
      <c r="BJ10" s="1">
        <f ca="1">IFERROR(__xludf.DUMMYFUNCTION("if(BJ$2="""","""", index(GOOGLEFINANCE($B$10,""close"",BJ$2,TODAY()),2,2))"),121.14)</f>
        <v>121.14</v>
      </c>
      <c r="BK10" s="1">
        <f ca="1">IFERROR(__xludf.DUMMYFUNCTION("if(BK$2="""","""", index(GOOGLEFINANCE($B$10,""close"",BK$2,TODAY()),2,2))"),119.69)</f>
        <v>119.69</v>
      </c>
      <c r="BL10" s="1">
        <f ca="1">IFERROR(__xludf.DUMMYFUNCTION("if(BL$2="""","""", index(GOOGLEFINANCE($B$10,""close"",BL$2,TODAY()),2,2))"),120.29)</f>
        <v>120.29</v>
      </c>
      <c r="BM10" s="1">
        <f ca="1">IFERROR(__xludf.DUMMYFUNCTION("if(BM$2="""","""", index(GOOGLEFINANCE($B$10,""close"",BM$2,TODAY()),2,2))"),123.81)</f>
        <v>123.81</v>
      </c>
      <c r="BN10" s="1">
        <f ca="1">IFERROR(__xludf.DUMMYFUNCTION("if(BN$2="""","""", index(GOOGLEFINANCE($B$10,""close"",BN$2,TODAY()),2,2))"),125.17)</f>
        <v>125.17</v>
      </c>
      <c r="BO10" s="1">
        <f ca="1">IFERROR(__xludf.DUMMYFUNCTION("if(BO$2="""","""", index(GOOGLEFINANCE($B$10,""close"",BO$2,TODAY()),2,2))"),124.76)</f>
        <v>124.76</v>
      </c>
      <c r="BP10" s="1">
        <f ca="1">IFERROR(__xludf.DUMMYFUNCTION("if(BP$2="""","""", index(GOOGLEFINANCE($B$10,""close"",BP$2,TODAY()),2,2))"),122.58)</f>
        <v>122.58</v>
      </c>
      <c r="BQ10" s="1">
        <f ca="1">IFERROR(__xludf.DUMMYFUNCTION("if(BQ$2="""","""", index(GOOGLEFINANCE($B$10,""close"",BQ$2,TODAY()),2,2))"),123.25)</f>
        <v>123.25</v>
      </c>
      <c r="BR10" s="1">
        <f ca="1">IFERROR(__xludf.DUMMYFUNCTION("if(BR$2="""","""", index(GOOGLEFINANCE($B$10,""close"",BR$2,TODAY()),2,2))"),122.5)</f>
        <v>122.5</v>
      </c>
      <c r="BS10" s="1">
        <f ca="1">IFERROR(__xludf.DUMMYFUNCTION("if(BS$2="""","""", index(GOOGLEFINANCE($B$10,""close"",BS$2,TODAY()),2,2))"),121.99)</f>
        <v>121.99</v>
      </c>
      <c r="BT10" s="1">
        <f ca="1">IFERROR(__xludf.DUMMYFUNCTION("if(BT$2="""","""", index(GOOGLEFINANCE($B$10,""close"",BT$2,TODAY()),2,2))"),123.38)</f>
        <v>123.38</v>
      </c>
      <c r="BU10" s="1">
        <f ca="1">IFERROR(__xludf.DUMMYFUNCTION("if(BU$2="""","""", index(GOOGLEFINANCE($B$10,""close"",BU$2,TODAY()),2,2))"),126.53)</f>
        <v>126.53</v>
      </c>
      <c r="BV10" s="1">
        <f ca="1">IFERROR(__xludf.DUMMYFUNCTION("if(BV$2="""","""", index(GOOGLEFINANCE($B$10,""close"",BV$2,TODAY()),2,2))"),125.17)</f>
        <v>125.17</v>
      </c>
      <c r="BW10" s="1">
        <f ca="1">IFERROR(__xludf.DUMMYFUNCTION("if(BW$2="""","""", index(GOOGLEFINANCE($B$10,""close"",BW$2,TODAY()),2,2))"),121.69)</f>
        <v>121.69</v>
      </c>
      <c r="BX10" s="1">
        <f ca="1">IFERROR(__xludf.DUMMYFUNCTION("if(BX$2="""","""", index(GOOGLEFINANCE($B$10,""close"",BX$2,TODAY()),2,2))"),129.12)</f>
        <v>129.12</v>
      </c>
      <c r="BY10" s="1">
        <f ca="1">IFERROR(__xludf.DUMMYFUNCTION("if(BY$2="""","""", index(GOOGLEFINANCE($B$10,""close"",BY$2,TODAY()),2,2))"),126.15)</f>
        <v>126.15</v>
      </c>
      <c r="BZ10" s="1">
        <f ca="1">IFERROR(__xludf.DUMMYFUNCTION("if(BZ$2="""","""", index(GOOGLEFINANCE($B$10,""close"",BZ$2,TODAY()),2,2))"),122.89)</f>
        <v>122.89</v>
      </c>
      <c r="CA10" s="1">
        <f ca="1">IFERROR(__xludf.DUMMYFUNCTION("if(CA$2="""","""", index(GOOGLEFINANCE($B$10,""close"",CA$2,TODAY()),2,2))"),120.85)</f>
        <v>120.85</v>
      </c>
      <c r="CB10" s="1">
        <f ca="1">IFERROR(__xludf.DUMMYFUNCTION("if(CB$2="""","""", index(GOOGLEFINANCE($B$10,""close"",CB$2,TODAY()),2,2))"),121.97)</f>
        <v>121.97</v>
      </c>
      <c r="CC10" s="1">
        <f ca="1">IFERROR(__xludf.DUMMYFUNCTION("if(CC$2="""","""", index(GOOGLEFINANCE($B$10,""close"",CC$2,TODAY()),2,2))"),123.08)</f>
        <v>123.08</v>
      </c>
      <c r="CD10" s="1">
        <f ca="1">IFERROR(__xludf.DUMMYFUNCTION("if(CD$2="""","""", index(GOOGLEFINANCE($B$10,""close"",CD$2,TODAY()),2,2))"),123.09)</f>
        <v>123.09</v>
      </c>
      <c r="CE10" s="1">
        <f ca="1">IFERROR(__xludf.DUMMYFUNCTION("if(CE$2="""","""", index(GOOGLEFINANCE($B$10,""close"",CE$2,TODAY()),2,2))"),120.77)</f>
        <v>120.77</v>
      </c>
      <c r="CF10" s="1">
        <f ca="1">IFERROR(__xludf.DUMMYFUNCTION("if(CF$2="""","""", index(GOOGLEFINANCE($B$10,""close"",CF$2,TODAY()),2,2))"),122.04)</f>
        <v>122.04</v>
      </c>
      <c r="CG10" s="1">
        <f ca="1">IFERROR(__xludf.DUMMYFUNCTION("if(CG$2="""","""", index(GOOGLEFINANCE($B$10,""close"",CG$2,TODAY()),2,2))"),122.14)</f>
        <v>122.14</v>
      </c>
      <c r="CH10" s="1">
        <f ca="1">IFERROR(__xludf.DUMMYFUNCTION("if(CH$2="""","""", index(GOOGLEFINANCE($B$10,""close"",CH$2,TODAY()),2,2))"),121.22)</f>
        <v>121.22</v>
      </c>
      <c r="CI10" s="1">
        <f ca="1">IFERROR(__xludf.DUMMYFUNCTION("if(CI$2="""","""", index(GOOGLEFINANCE($B$10,""close"",CI$2,TODAY()),2,2))"),123.65)</f>
        <v>123.65</v>
      </c>
      <c r="CJ10" s="1" t="str">
        <f ca="1">IFERROR(__xludf.DUMMYFUNCTION("if(CJ$2="""","""", index(GOOGLEFINANCE($B$10,""close"",CJ$2,TODAY()),2,2))"),"")</f>
        <v/>
      </c>
      <c r="CK10" s="1" t="str">
        <f ca="1">IFERROR(__xludf.DUMMYFUNCTION("if(CK$2="""","""", index(GOOGLEFINANCE($B$10,""close"",CK$2,TODAY()),2,2))"),"")</f>
        <v/>
      </c>
      <c r="CL10" s="1" t="str">
        <f ca="1">IFERROR(__xludf.DUMMYFUNCTION("if(CL$2="""","""", index(GOOGLEFINANCE($B$10,""close"",CL$2,TODAY()),2,2))"),"")</f>
        <v/>
      </c>
      <c r="CM10" s="1" t="str">
        <f ca="1">IFERROR(__xludf.DUMMYFUNCTION("if(CM$2="""","""", index(GOOGLEFINANCE($B$10,""close"",CM$2,TODAY()),2,2))"),"")</f>
        <v/>
      </c>
      <c r="CN10" s="1" t="str">
        <f ca="1">IFERROR(__xludf.DUMMYFUNCTION("if(CN$2="""","""", index(GOOGLEFINANCE($B$10,""close"",CN$2,TODAY()),2,2))"),"")</f>
        <v/>
      </c>
      <c r="CO10" s="1" t="str">
        <f ca="1">IFERROR(__xludf.DUMMYFUNCTION("if(CO$2="""","""", index(GOOGLEFINANCE($B$10,""close"",CO$2,TODAY()),2,2))"),"")</f>
        <v/>
      </c>
      <c r="CP10" s="1" t="str">
        <f ca="1">IFERROR(__xludf.DUMMYFUNCTION("if(CP$2="""","""", index(GOOGLEFINANCE($B$10,""close"",CP$2,TODAY()),2,2))"),"")</f>
        <v/>
      </c>
      <c r="CQ10" s="1" t="str">
        <f ca="1">IFERROR(__xludf.DUMMYFUNCTION("if(CQ$2="""","""", index(GOOGLEFINANCE($B$10,""close"",CQ$2,TODAY()),2,2))"),"")</f>
        <v/>
      </c>
      <c r="CR10" s="1" t="str">
        <f ca="1">IFERROR(__xludf.DUMMYFUNCTION("if(CR$2="""","""", index(GOOGLEFINANCE($B$10,""close"",CR$2,TODAY()),2,2))"),"")</f>
        <v/>
      </c>
      <c r="CS10" s="1" t="str">
        <f ca="1">IFERROR(__xludf.DUMMYFUNCTION("if(CS$2="""","""", index(GOOGLEFINANCE($B$10,""close"",CS$2,TODAY()),2,2))"),"")</f>
        <v/>
      </c>
      <c r="CT10" s="1" t="str">
        <f ca="1">IFERROR(__xludf.DUMMYFUNCTION("if(CT$2="""","""", index(GOOGLEFINANCE($B$10,""close"",CT$2,TODAY()),2,2))"),"")</f>
        <v/>
      </c>
      <c r="CU10" s="1" t="str">
        <f ca="1">IFERROR(__xludf.DUMMYFUNCTION("if(CU$2="""","""", index(GOOGLEFINANCE($B$10,""close"",CU$2,TODAY()),2,2))"),"")</f>
        <v/>
      </c>
      <c r="CV10" s="1" t="str">
        <f ca="1">IFERROR(__xludf.DUMMYFUNCTION("if(CV$2="""","""", index(GOOGLEFINANCE($B$10,""close"",CV$2,TODAY()),2,2))"),"")</f>
        <v/>
      </c>
      <c r="CW10" s="1" t="str">
        <f ca="1">IFERROR(__xludf.DUMMYFUNCTION("if(CW$2="""","""", index(GOOGLEFINANCE($B$10,""close"",CW$2,TODAY()),2,2))"),"")</f>
        <v/>
      </c>
      <c r="CX10" s="1" t="str">
        <f ca="1">IFERROR(__xludf.DUMMYFUNCTION("if(CX$2="""","""", index(GOOGLEFINANCE($B$10,""close"",CX$2,TODAY()),2,2))"),"")</f>
        <v/>
      </c>
      <c r="CY10" s="1" t="str">
        <f ca="1">IFERROR(__xludf.DUMMYFUNCTION("if(CY$2="""","""", index(GOOGLEFINANCE($B$10,""close"",CY$2,TODAY()),2,2))"),"")</f>
        <v/>
      </c>
      <c r="CZ10" s="1" t="str">
        <f ca="1">IFERROR(__xludf.DUMMYFUNCTION("if(CZ$2="""","""", index(GOOGLEFINANCE($B$10,""close"",CZ$2,TODAY()),2,2))"),"")</f>
        <v/>
      </c>
      <c r="DA10" s="1" t="str">
        <f ca="1">IFERROR(__xludf.DUMMYFUNCTION("if(DA$2="""","""", index(GOOGLEFINANCE($B$10,""close"",DA$2,TODAY()),2,2))"),"")</f>
        <v/>
      </c>
      <c r="DB10" s="1" t="str">
        <f ca="1">IFERROR(__xludf.DUMMYFUNCTION("if(DB$2="""","""", index(GOOGLEFINANCE($B$10,""close"",DB$2,TODAY()),2,2))"),"")</f>
        <v/>
      </c>
      <c r="DC10" s="1" t="str">
        <f ca="1">IFERROR(__xludf.DUMMYFUNCTION("if(DC$2="""","""", index(GOOGLEFINANCE($B$10,""close"",DC$2,TODAY()),2,2))"),"")</f>
        <v/>
      </c>
      <c r="DD10" s="1" t="str">
        <f ca="1">IFERROR(__xludf.DUMMYFUNCTION("if(DD$2="""","""", index(GOOGLEFINANCE($B$10,""close"",DD$2,TODAY()),2,2))"),"")</f>
        <v/>
      </c>
      <c r="DE10" s="1" t="str">
        <f ca="1">IFERROR(__xludf.DUMMYFUNCTION("if(DE$2="""","""", index(GOOGLEFINANCE($B$10,""close"",DE$2,TODAY()),2,2))"),"")</f>
        <v/>
      </c>
      <c r="DF10" s="1" t="str">
        <f ca="1">IFERROR(__xludf.DUMMYFUNCTION("if(DF$2="""","""", index(GOOGLEFINANCE($B$10,""close"",DF$2,TODAY()),2,2))"),"")</f>
        <v/>
      </c>
      <c r="DG10" s="1" t="str">
        <f ca="1">IFERROR(__xludf.DUMMYFUNCTION("if(DG$2="""","""", index(GOOGLEFINANCE($B$10,""close"",DG$2,TODAY()),2,2))"),"")</f>
        <v/>
      </c>
      <c r="DH10" s="1" t="str">
        <f ca="1">IFERROR(__xludf.DUMMYFUNCTION("if(DH$2="""","""", index(GOOGLEFINANCE($B$10,""close"",DH$2,TODAY()),2,2))"),"")</f>
        <v/>
      </c>
      <c r="DI10" s="1" t="str">
        <f ca="1">IFERROR(__xludf.DUMMYFUNCTION("if(DI$2="""","""", index(GOOGLEFINANCE($B$10,""close"",DI$2,TODAY()),2,2))"),"")</f>
        <v/>
      </c>
      <c r="DJ10" s="1" t="str">
        <f ca="1">IFERROR(__xludf.DUMMYFUNCTION("if(DJ$2="""","""", index(GOOGLEFINANCE($B$10,""close"",DJ$2,TODAY()),2,2))"),"")</f>
        <v/>
      </c>
      <c r="DK10" s="1" t="str">
        <f ca="1">IFERROR(__xludf.DUMMYFUNCTION("if(DK$2="""","""", index(GOOGLEFINANCE($B$10,""close"",DK$2,TODAY()),2,2))"),"")</f>
        <v/>
      </c>
      <c r="DL10" s="1" t="str">
        <f ca="1">IFERROR(__xludf.DUMMYFUNCTION("if(DL$2="""","""", index(GOOGLEFINANCE($B$10,""close"",DL$2,TODAY()),2,2))"),"")</f>
        <v/>
      </c>
      <c r="DM10" s="1" t="str">
        <f ca="1">IFERROR(__xludf.DUMMYFUNCTION("if(DM$2="""","""", index(GOOGLEFINANCE($B$10,""close"",DM$2,TODAY()),2,2))"),"")</f>
        <v/>
      </c>
      <c r="DN10" s="1" t="str">
        <f ca="1">IFERROR(__xludf.DUMMYFUNCTION("if(DN$2="""","""", index(GOOGLEFINANCE($B$10,""close"",DN$2,TODAY()),2,2))"),"")</f>
        <v/>
      </c>
      <c r="DO10" s="1" t="str">
        <f ca="1">IFERROR(__xludf.DUMMYFUNCTION("if(DO$2="""","""", index(GOOGLEFINANCE($B$10,""close"",DO$2,TODAY()),2,2))"),"")</f>
        <v/>
      </c>
      <c r="DP10" s="1" t="str">
        <f ca="1">IFERROR(__xludf.DUMMYFUNCTION("if(DP$2="""","""", index(GOOGLEFINANCE($B$10,""close"",DP$2,TODAY()),2,2))"),"")</f>
        <v/>
      </c>
      <c r="DQ10" s="1" t="str">
        <f ca="1">IFERROR(__xludf.DUMMYFUNCTION("if(DQ$2="""","""", index(GOOGLEFINANCE($B$10,""close"",DQ$2,TODAY()),2,2))"),"")</f>
        <v/>
      </c>
      <c r="DR10" s="1" t="str">
        <f ca="1">IFERROR(__xludf.DUMMYFUNCTION("if(DR$2="""","""", index(GOOGLEFINANCE($B$10,""close"",DR$2,TODAY()),2,2))"),"")</f>
        <v/>
      </c>
      <c r="DS10" s="1" t="str">
        <f ca="1">IFERROR(__xludf.DUMMYFUNCTION("if(DS$2="""","""", index(GOOGLEFINANCE($B$10,""close"",DS$2,TODAY()),2,2))"),"")</f>
        <v/>
      </c>
      <c r="DT10" s="1" t="str">
        <f ca="1">IFERROR(__xludf.DUMMYFUNCTION("if(DT$2="""","""", index(GOOGLEFINANCE($B$10,""close"",DT$2,TODAY()),2,2))"),"")</f>
        <v/>
      </c>
      <c r="DU10" s="1" t="str">
        <f ca="1">IFERROR(__xludf.DUMMYFUNCTION("if(DU$2="""","""", index(GOOGLEFINANCE($B$10,""close"",DU$2,TODAY()),2,2))"),"")</f>
        <v/>
      </c>
      <c r="DV10" s="1" t="str">
        <f ca="1">IFERROR(__xludf.DUMMYFUNCTION("if(DV$2="""","""", index(GOOGLEFINANCE($B$10,""close"",DV$2,TODAY()),2,2))"),"")</f>
        <v/>
      </c>
      <c r="DW10" s="1" t="str">
        <f ca="1">IFERROR(__xludf.DUMMYFUNCTION("if(DW$2="""","""", index(GOOGLEFINANCE($B$10,""close"",DW$2,TODAY()),2,2))"),"")</f>
        <v/>
      </c>
      <c r="DX10" s="1" t="str">
        <f ca="1">IFERROR(__xludf.DUMMYFUNCTION("if(DX$2="""","""", index(GOOGLEFINANCE($B$10,""close"",DX$2,TODAY()),2,2))"),"")</f>
        <v/>
      </c>
      <c r="DY10" s="1" t="str">
        <f ca="1">IFERROR(__xludf.DUMMYFUNCTION("if(DY$2="""","""", index(GOOGLEFINANCE($B$10,""close"",DY$2,TODAY()),2,2))"),"")</f>
        <v/>
      </c>
      <c r="DZ10" s="1" t="str">
        <f ca="1">IFERROR(__xludf.DUMMYFUNCTION("if(DZ$2="""","""", index(GOOGLEFINANCE($B$10,""close"",DZ$2,TODAY()),2,2))"),"")</f>
        <v/>
      </c>
      <c r="EA10" s="1" t="str">
        <f ca="1">IFERROR(__xludf.DUMMYFUNCTION("if(EA$2="""","""", index(GOOGLEFINANCE($B$10,""close"",EA$2,TODAY()),2,2))"),"")</f>
        <v/>
      </c>
      <c r="EB10" s="1" t="str">
        <f ca="1">IFERROR(__xludf.DUMMYFUNCTION("if(EB$2="""","""", index(GOOGLEFINANCE($B$10,""close"",EB$2,TODAY()),2,2))"),"")</f>
        <v/>
      </c>
      <c r="EC10" s="1" t="str">
        <f ca="1">IFERROR(__xludf.DUMMYFUNCTION("if(EC$2="""","""", index(GOOGLEFINANCE($B$10,""close"",EC$2,TODAY()),2,2))"),"")</f>
        <v/>
      </c>
      <c r="ED10" s="1" t="str">
        <f ca="1">IFERROR(__xludf.DUMMYFUNCTION("if(ED$2="""","""", index(GOOGLEFINANCE($B$10,""close"",ED$2,TODAY()),2,2))"),"")</f>
        <v/>
      </c>
      <c r="EE10" s="1" t="str">
        <f ca="1">IFERROR(__xludf.DUMMYFUNCTION("if(EE$2="""","""", index(GOOGLEFINANCE($B$10,""close"",EE$2,TODAY()),2,2))"),"")</f>
        <v/>
      </c>
      <c r="EF10" s="1" t="str">
        <f ca="1">IFERROR(__xludf.DUMMYFUNCTION("if(EF$2="""","""", index(GOOGLEFINANCE($B$10,""close"",EF$2,TODAY()),2,2))"),"")</f>
        <v/>
      </c>
      <c r="EG10" s="1" t="str">
        <f ca="1">IFERROR(__xludf.DUMMYFUNCTION("if(EG$2="""","""", index(GOOGLEFINANCE($B$10,""close"",EG$2,TODAY()),2,2))"),"")</f>
        <v/>
      </c>
      <c r="EH10" s="1" t="str">
        <f ca="1">IFERROR(__xludf.DUMMYFUNCTION("if(EH$2="""","""", index(GOOGLEFINANCE($B$10,""close"",EH$2,TODAY()),2,2))"),"")</f>
        <v/>
      </c>
      <c r="EI10" s="1" t="str">
        <f ca="1">IFERROR(__xludf.DUMMYFUNCTION("if(EI$2="""","""", index(GOOGLEFINANCE($B$10,""close"",EI$2,TODAY()),2,2))"),"")</f>
        <v/>
      </c>
      <c r="EJ10" s="1" t="str">
        <f ca="1">IFERROR(__xludf.DUMMYFUNCTION("if(EJ$2="""","""", index(GOOGLEFINANCE($B$10,""close"",EJ$2,TODAY()),2,2))"),"")</f>
        <v/>
      </c>
      <c r="EK10" s="1" t="str">
        <f ca="1">IFERROR(__xludf.DUMMYFUNCTION("if(EK$2="""","""", index(GOOGLEFINANCE($B$10,""close"",EK$2,TODAY()),2,2))"),"")</f>
        <v/>
      </c>
      <c r="EL10" s="1" t="str">
        <f ca="1">IFERROR(__xludf.DUMMYFUNCTION("if(EL$2="""","""", index(GOOGLEFINANCE($B$10,""close"",EL$2,TODAY()),2,2))"),"")</f>
        <v/>
      </c>
      <c r="EM10" s="1" t="str">
        <f ca="1">IFERROR(__xludf.DUMMYFUNCTION("if(EM$2="""","""", index(GOOGLEFINANCE($B$10,""close"",EM$2,TODAY()),2,2))"),"")</f>
        <v/>
      </c>
      <c r="EN10" s="1" t="str">
        <f ca="1">IFERROR(__xludf.DUMMYFUNCTION("if(EN$2="""","""", index(GOOGLEFINANCE($B$10,""close"",EN$2,TODAY()),2,2))"),"")</f>
        <v/>
      </c>
      <c r="EO10" s="1" t="str">
        <f ca="1">IFERROR(__xludf.DUMMYFUNCTION("if(EO$2="""","""", index(GOOGLEFINANCE($B$10,""close"",EO$2,TODAY()),2,2))"),"")</f>
        <v/>
      </c>
      <c r="EP10" s="1" t="str">
        <f ca="1">IFERROR(__xludf.DUMMYFUNCTION("if(EP$2="""","""", index(GOOGLEFINANCE($B$10,""close"",EP$2,TODAY()),2,2))"),"")</f>
        <v/>
      </c>
      <c r="EQ10" s="1" t="str">
        <f ca="1">IFERROR(__xludf.DUMMYFUNCTION("if(EQ$2="""","""", index(GOOGLEFINANCE($B$10,""close"",EQ$2,TODAY()),2,2))"),"")</f>
        <v/>
      </c>
      <c r="ER10" s="1" t="str">
        <f ca="1">IFERROR(__xludf.DUMMYFUNCTION("if(ER$2="""","""", index(GOOGLEFINANCE($B$10,""close"",ER$2,TODAY()),2,2))"),"")</f>
        <v/>
      </c>
      <c r="ES10" s="1" t="str">
        <f ca="1">IFERROR(__xludf.DUMMYFUNCTION("if(ES$2="""","""", index(GOOGLEFINANCE($B$10,""close"",ES$2,TODAY()),2,2))"),"")</f>
        <v/>
      </c>
      <c r="ET10" s="1" t="str">
        <f ca="1">IFERROR(__xludf.DUMMYFUNCTION("if(ET$2="""","""", index(GOOGLEFINANCE($B$10,""close"",ET$2,TODAY()),2,2))"),"")</f>
        <v/>
      </c>
      <c r="EU10" s="1" t="str">
        <f ca="1">IFERROR(__xludf.DUMMYFUNCTION("if(EU$2="""","""", index(GOOGLEFINANCE($B$10,""close"",EU$2,TODAY()),2,2))"),"")</f>
        <v/>
      </c>
      <c r="EV10" s="1" t="str">
        <f ca="1">IFERROR(__xludf.DUMMYFUNCTION("if(EV$2="""","""", index(GOOGLEFINANCE($B$10,""close"",EV$2,TODAY()),2,2))"),"")</f>
        <v/>
      </c>
      <c r="EW10" s="1" t="str">
        <f ca="1">IFERROR(__xludf.DUMMYFUNCTION("if(EW$2="""","""", index(GOOGLEFINANCE($B$10,""close"",EW$2,TODAY()),2,2))"),"")</f>
        <v/>
      </c>
      <c r="EX10" s="1" t="str">
        <f ca="1">IFERROR(__xludf.DUMMYFUNCTION("if(EX$2="""","""", index(GOOGLEFINANCE($B$10,""close"",EX$2,TODAY()),2,2))"),"")</f>
        <v/>
      </c>
      <c r="EY10" s="1" t="str">
        <f ca="1">IFERROR(__xludf.DUMMYFUNCTION("if(EY$2="""","""", index(GOOGLEFINANCE($B$10,""close"",EY$2,TODAY()),2,2))"),"")</f>
        <v/>
      </c>
      <c r="EZ10" s="1" t="str">
        <f ca="1">IFERROR(__xludf.DUMMYFUNCTION("if(EZ$2="""","""", index(GOOGLEFINANCE($B$10,""close"",EZ$2,TODAY()),2,2))"),"")</f>
        <v/>
      </c>
      <c r="FA10" s="1" t="str">
        <f ca="1">IFERROR(__xludf.DUMMYFUNCTION("if(FA$2="""","""", index(GOOGLEFINANCE($B$10,""close"",FA$2,TODAY()),2,2))"),"")</f>
        <v/>
      </c>
      <c r="FB10" s="1" t="str">
        <f ca="1">IFERROR(__xludf.DUMMYFUNCTION("if(FB$2="""","""", index(GOOGLEFINANCE($B$10,""close"",FB$2,TODAY()),2,2))"),"")</f>
        <v/>
      </c>
      <c r="FC10" s="1" t="str">
        <f ca="1">IFERROR(__xludf.DUMMYFUNCTION("if(FC$2="""","""", index(GOOGLEFINANCE($B$10,""close"",FC$2,TODAY()),2,2))"),"")</f>
        <v/>
      </c>
      <c r="FD10" s="1" t="str">
        <f ca="1">IFERROR(__xludf.DUMMYFUNCTION("if(FD$2="""","""", index(GOOGLEFINANCE($B$10,""close"",FD$2,TODAY()),2,2))"),"")</f>
        <v/>
      </c>
      <c r="FE10" s="1" t="str">
        <f ca="1">IFERROR(__xludf.DUMMYFUNCTION("if(FE$2="""","""", index(GOOGLEFINANCE($B$10,""close"",FE$2,TODAY()),2,2))"),"")</f>
        <v/>
      </c>
      <c r="FF10" s="1" t="str">
        <f ca="1">IFERROR(__xludf.DUMMYFUNCTION("if(FF$2="""","""", index(GOOGLEFINANCE($B$10,""close"",FF$2,TODAY()),2,2))"),"")</f>
        <v/>
      </c>
      <c r="FG10" s="1" t="str">
        <f ca="1">IFERROR(__xludf.DUMMYFUNCTION("if(FG$2="""","""", index(GOOGLEFINANCE($B$10,""close"",FG$2,TODAY()),2,2))"),"")</f>
        <v/>
      </c>
      <c r="FH10" s="1" t="str">
        <f ca="1">IFERROR(__xludf.DUMMYFUNCTION("if(FH$2="""","""", index(GOOGLEFINANCE($B$10,""close"",FH$2,TODAY()),2,2))"),"")</f>
        <v/>
      </c>
      <c r="FI10" s="1" t="str">
        <f ca="1">IFERROR(__xludf.DUMMYFUNCTION("if(FI$2="""","""", index(GOOGLEFINANCE($B$10,""close"",FI$2,TODAY()),2,2))"),"")</f>
        <v/>
      </c>
      <c r="FJ10" s="1" t="str">
        <f ca="1">IFERROR(__xludf.DUMMYFUNCTION("if(FJ$2="""","""", index(GOOGLEFINANCE($B$10,""close"",FJ$2,TODAY()),2,2))"),"")</f>
        <v/>
      </c>
      <c r="FK10" s="1" t="str">
        <f ca="1">IFERROR(__xludf.DUMMYFUNCTION("if(FK$2="""","""", index(GOOGLEFINANCE($B$10,""close"",FK$2,TODAY()),2,2))"),"")</f>
        <v/>
      </c>
      <c r="FL10" s="1" t="str">
        <f ca="1">IFERROR(__xludf.DUMMYFUNCTION("if(FL$2="""","""", index(GOOGLEFINANCE($B$10,""close"",FL$2,TODAY()),2,2))"),"")</f>
        <v/>
      </c>
      <c r="FM10" s="1" t="str">
        <f ca="1">IFERROR(__xludf.DUMMYFUNCTION("if(FM$2="""","""", index(GOOGLEFINANCE($B$10,""close"",FM$2,TODAY()),2,2))"),"")</f>
        <v/>
      </c>
      <c r="FN10" s="1" t="str">
        <f ca="1">IFERROR(__xludf.DUMMYFUNCTION("if(FN$2="""","""", index(GOOGLEFINANCE($B$10,""close"",FN$2,TODAY()),2,2))"),"")</f>
        <v/>
      </c>
      <c r="FO10" s="1" t="str">
        <f ca="1">IFERROR(__xludf.DUMMYFUNCTION("if(FO$2="""","""", index(GOOGLEFINANCE($B$10,""close"",FO$2,TODAY()),2,2))"),"")</f>
        <v/>
      </c>
      <c r="FP10" s="1" t="str">
        <f ca="1">IFERROR(__xludf.DUMMYFUNCTION("if(FP$2="""","""", index(GOOGLEFINANCE($B$10,""close"",FP$2,TODAY()),2,2))"),"")</f>
        <v/>
      </c>
      <c r="FQ10" s="1" t="str">
        <f ca="1">IFERROR(__xludf.DUMMYFUNCTION("if(FQ$2="""","""", index(GOOGLEFINANCE($B$10,""close"",FQ$2,TODAY()),2,2))"),"")</f>
        <v/>
      </c>
      <c r="FR10" s="1" t="str">
        <f ca="1">IFERROR(__xludf.DUMMYFUNCTION("if(FR$2="""","""", index(GOOGLEFINANCE($B$10,""close"",FR$2,TODAY()),2,2))"),"")</f>
        <v/>
      </c>
      <c r="FS10" s="1" t="str">
        <f ca="1">IFERROR(__xludf.DUMMYFUNCTION("if(FS$2="""","""", index(GOOGLEFINANCE($B$10,""close"",FS$2,TODAY()),2,2))"),"")</f>
        <v/>
      </c>
      <c r="FT10" s="1" t="str">
        <f ca="1">IFERROR(__xludf.DUMMYFUNCTION("if(FT$2="""","""", index(GOOGLEFINANCE($B$10,""close"",FT$2,TODAY()),2,2))"),"")</f>
        <v/>
      </c>
      <c r="FU10" s="1" t="str">
        <f ca="1">IFERROR(__xludf.DUMMYFUNCTION("if(FU$2="""","""", index(GOOGLEFINANCE($B$10,""close"",FU$2,TODAY()),2,2))"),"")</f>
        <v/>
      </c>
      <c r="FV10" s="1" t="str">
        <f ca="1">IFERROR(__xludf.DUMMYFUNCTION("if(FV$2="""","""", index(GOOGLEFINANCE($B$10,""close"",FV$2,TODAY()),2,2))"),"")</f>
        <v/>
      </c>
      <c r="FW10" s="1" t="str">
        <f ca="1">IFERROR(__xludf.DUMMYFUNCTION("if(FW$2="""","""", index(GOOGLEFINANCE($B$10,""close"",FW$2,TODAY()),2,2))"),"")</f>
        <v/>
      </c>
      <c r="FX10" s="1" t="str">
        <f ca="1">IFERROR(__xludf.DUMMYFUNCTION("if(FX$2="""","""", index(GOOGLEFINANCE($B$10,""close"",FX$2,TODAY()),2,2))"),"")</f>
        <v/>
      </c>
      <c r="FY10" s="1" t="str">
        <f ca="1">IFERROR(__xludf.DUMMYFUNCTION("if(FY$2="""","""", index(GOOGLEFINANCE($B$10,""close"",FY$2,TODAY()),2,2))"),"")</f>
        <v/>
      </c>
      <c r="FZ10" s="1" t="str">
        <f ca="1">IFERROR(__xludf.DUMMYFUNCTION("if(FZ$2="""","""", index(GOOGLEFINANCE($B$10,""close"",FZ$2,TODAY()),2,2))"),"")</f>
        <v/>
      </c>
      <c r="GA10" s="1" t="str">
        <f ca="1">IFERROR(__xludf.DUMMYFUNCTION("if(GA$2="""","""", index(GOOGLEFINANCE($B$10,""close"",GA$2,TODAY()),2,2))"),"")</f>
        <v/>
      </c>
      <c r="GB10" s="1" t="str">
        <f ca="1">IFERROR(__xludf.DUMMYFUNCTION("if(GB$2="""","""", index(GOOGLEFINANCE($B$10,""close"",GB$2,TODAY()),2,2))"),"")</f>
        <v/>
      </c>
      <c r="GC10" s="1" t="str">
        <f ca="1">IFERROR(__xludf.DUMMYFUNCTION("if(GC$2="""","""", index(GOOGLEFINANCE($B$10,""close"",GC$2,TODAY()),2,2))"),"")</f>
        <v/>
      </c>
      <c r="GD10" s="1" t="str">
        <f ca="1">IFERROR(__xludf.DUMMYFUNCTION("if(GD$2="""","""", index(GOOGLEFINANCE($B$10,""close"",GD$2,TODAY()),2,2))"),"")</f>
        <v/>
      </c>
      <c r="GE10" s="1" t="str">
        <f ca="1">IFERROR(__xludf.DUMMYFUNCTION("if(GE$2="""","""", index(GOOGLEFINANCE($B$10,""close"",GE$2,TODAY()),2,2))"),"")</f>
        <v/>
      </c>
      <c r="GF10" s="1" t="str">
        <f ca="1">IFERROR(__xludf.DUMMYFUNCTION("if(GF$2="""","""", index(GOOGLEFINANCE($B$10,""close"",GF$2,TODAY()),2,2))"),"")</f>
        <v/>
      </c>
      <c r="GG10" s="1" t="str">
        <f ca="1">IFERROR(__xludf.DUMMYFUNCTION("if(GG$2="""","""", index(GOOGLEFINANCE($B$10,""close"",GG$2,TODAY()),2,2))"),"")</f>
        <v/>
      </c>
      <c r="GH10" s="1" t="str">
        <f ca="1">IFERROR(__xludf.DUMMYFUNCTION("if(GH$2="""","""", index(GOOGLEFINANCE($B$10,""close"",GH$2,TODAY()),2,2))"),"")</f>
        <v/>
      </c>
      <c r="GI10" s="1" t="str">
        <f ca="1">IFERROR(__xludf.DUMMYFUNCTION("if(GI$2="""","""", index(GOOGLEFINANCE($B$10,""close"",GI$2,TODAY()),2,2))"),"")</f>
        <v/>
      </c>
      <c r="GJ10" s="1" t="str">
        <f ca="1">IFERROR(__xludf.DUMMYFUNCTION("if(GJ$2="""","""", index(GOOGLEFINANCE($B$10,""close"",GJ$2,TODAY()),2,2))"),"")</f>
        <v/>
      </c>
      <c r="GK10" s="1" t="str">
        <f ca="1">IFERROR(__xludf.DUMMYFUNCTION("if(GK$2="""","""", index(GOOGLEFINANCE($B$10,""close"",GK$2,TODAY()),2,2))"),"")</f>
        <v/>
      </c>
      <c r="GL10" s="1" t="str">
        <f ca="1">IFERROR(__xludf.DUMMYFUNCTION("if(GL$2="""","""", index(GOOGLEFINANCE($B$10,""close"",GL$2,TODAY()),2,2))"),"")</f>
        <v/>
      </c>
      <c r="GM10" s="1" t="str">
        <f ca="1">IFERROR(__xludf.DUMMYFUNCTION("if(GM$2="""","""", index(GOOGLEFINANCE($B$10,""close"",GM$2,TODAY()),2,2))"),"")</f>
        <v/>
      </c>
      <c r="GN10" s="1" t="str">
        <f ca="1">IFERROR(__xludf.DUMMYFUNCTION("if(GN$2="""","""", index(GOOGLEFINANCE($B$10,""close"",GN$2,TODAY()),2,2))"),"")</f>
        <v/>
      </c>
      <c r="GO10" s="1" t="str">
        <f ca="1">IFERROR(__xludf.DUMMYFUNCTION("if(GO$2="""","""", index(GOOGLEFINANCE($B$10,""close"",GO$2,TODAY()),2,2))"),"")</f>
        <v/>
      </c>
      <c r="GP10" s="1" t="str">
        <f ca="1">IFERROR(__xludf.DUMMYFUNCTION("if(GP$2="""","""", index(GOOGLEFINANCE($B$10,""close"",GP$2,TODAY()),2,2))"),"")</f>
        <v/>
      </c>
      <c r="GQ10" s="1" t="str">
        <f ca="1">IFERROR(__xludf.DUMMYFUNCTION("if(GQ$2="""","""", index(GOOGLEFINANCE($B$10,""close"",GQ$2,TODAY()),2,2))"),"")</f>
        <v/>
      </c>
      <c r="GR10" s="1" t="str">
        <f ca="1">IFERROR(__xludf.DUMMYFUNCTION("if(GR$2="""","""", index(GOOGLEFINANCE($B$10,""close"",GR$2,TODAY()),2,2))"),"")</f>
        <v/>
      </c>
      <c r="GS10" s="1" t="str">
        <f ca="1">IFERROR(__xludf.DUMMYFUNCTION("if(GS$2="""","""", index(GOOGLEFINANCE($B$10,""close"",GS$2,TODAY()),2,2))"),"")</f>
        <v/>
      </c>
      <c r="GT10" s="1" t="str">
        <f ca="1">IFERROR(__xludf.DUMMYFUNCTION("if(GT$2="""","""", index(GOOGLEFINANCE($B$10,""close"",GT$2,TODAY()),2,2))"),"")</f>
        <v/>
      </c>
      <c r="GU10" s="1" t="str">
        <f ca="1">IFERROR(__xludf.DUMMYFUNCTION("if(GU$2="""","""", index(GOOGLEFINANCE($B$10,""close"",GU$2,TODAY()),2,2))"),"")</f>
        <v/>
      </c>
      <c r="GV10" s="1" t="str">
        <f ca="1">IFERROR(__xludf.DUMMYFUNCTION("if(GV$2="""","""", index(GOOGLEFINANCE($B$10,""close"",GV$2,TODAY()),2,2))"),"")</f>
        <v/>
      </c>
      <c r="GW10" s="1" t="str">
        <f ca="1">IFERROR(__xludf.DUMMYFUNCTION("if(GW$2="""","""", index(GOOGLEFINANCE($B$10,""close"",GW$2,TODAY()),2,2))"),"")</f>
        <v/>
      </c>
      <c r="GX10" s="1" t="str">
        <f ca="1">IFERROR(__xludf.DUMMYFUNCTION("if(GX$2="""","""", index(GOOGLEFINANCE($B$10,""close"",GX$2,TODAY()),2,2))"),"")</f>
        <v/>
      </c>
      <c r="GY10" s="1" t="str">
        <f ca="1">IFERROR(__xludf.DUMMYFUNCTION("if(GY$2="""","""", index(GOOGLEFINANCE($B$10,""close"",GY$2,TODAY()),2,2))"),"")</f>
        <v/>
      </c>
      <c r="GZ10" s="1" t="str">
        <f ca="1">IFERROR(__xludf.DUMMYFUNCTION("if(GZ$2="""","""", index(GOOGLEFINANCE($B$10,""close"",GZ$2,TODAY()),2,2))"),"")</f>
        <v/>
      </c>
      <c r="HA10" s="1" t="str">
        <f ca="1">IFERROR(__xludf.DUMMYFUNCTION("if(HA$2="""","""", index(GOOGLEFINANCE($B$10,""close"",HA$2,TODAY()),2,2))"),"")</f>
        <v/>
      </c>
      <c r="HB10" s="1" t="str">
        <f ca="1">IFERROR(__xludf.DUMMYFUNCTION("if(HB$2="""","""", index(GOOGLEFINANCE($B$10,""close"",HB$2,TODAY()),2,2))"),"")</f>
        <v/>
      </c>
      <c r="HC10" s="1" t="str">
        <f ca="1">IFERROR(__xludf.DUMMYFUNCTION("if(HC$2="""","""", index(GOOGLEFINANCE($B$10,""close"",HC$2,TODAY()),2,2))"),"")</f>
        <v/>
      </c>
      <c r="HD10" s="1" t="str">
        <f ca="1">IFERROR(__xludf.DUMMYFUNCTION("if(HD$2="""","""", index(GOOGLEFINANCE($B$10,""close"",HD$2,TODAY()),2,2))"),"")</f>
        <v/>
      </c>
      <c r="HE10" s="1" t="str">
        <f ca="1">IFERROR(__xludf.DUMMYFUNCTION("if(HE$2="""","""", index(GOOGLEFINANCE($B$10,""close"",HE$2,TODAY()),2,2))"),"")</f>
        <v/>
      </c>
      <c r="HF10" s="1" t="str">
        <f ca="1">IFERROR(__xludf.DUMMYFUNCTION("if(HF$2="""","""", index(GOOGLEFINANCE($B$10,""close"",HF$2,TODAY()),2,2))"),"")</f>
        <v/>
      </c>
      <c r="HG10" s="1" t="str">
        <f ca="1">IFERROR(__xludf.DUMMYFUNCTION("if(HG$2="""","""", index(GOOGLEFINANCE($B$10,""close"",HG$2,TODAY()),2,2))"),"")</f>
        <v/>
      </c>
      <c r="HH10" s="1" t="str">
        <f ca="1">IFERROR(__xludf.DUMMYFUNCTION("if(HH$2="""","""", index(GOOGLEFINANCE($B$10,""close"",HH$2,TODAY()),2,2))"),"")</f>
        <v/>
      </c>
      <c r="HI10" s="1" t="str">
        <f ca="1">IFERROR(__xludf.DUMMYFUNCTION("if(HI$2="""","""", index(GOOGLEFINANCE($B$10,""close"",HI$2,TODAY()),2,2))"),"")</f>
        <v/>
      </c>
      <c r="HJ10" s="1" t="str">
        <f ca="1">IFERROR(__xludf.DUMMYFUNCTION("if(HJ$2="""","""", index(GOOGLEFINANCE($B$10,""close"",HJ$2,TODAY()),2,2))"),"")</f>
        <v/>
      </c>
      <c r="HK10" s="1" t="str">
        <f ca="1">IFERROR(__xludf.DUMMYFUNCTION("if(HK$2="""","""", index(GOOGLEFINANCE($B$10,""close"",HK$2,TODAY()),2,2))"),"")</f>
        <v/>
      </c>
      <c r="HL10" s="1" t="str">
        <f ca="1">IFERROR(__xludf.DUMMYFUNCTION("if(HL$2="""","""", index(GOOGLEFINANCE($B$10,""close"",HL$2,TODAY()),2,2))"),"")</f>
        <v/>
      </c>
      <c r="HM10" s="1" t="str">
        <f ca="1">IFERROR(__xludf.DUMMYFUNCTION("if(HM$2="""","""", index(GOOGLEFINANCE($B$10,""close"",HM$2,TODAY()),2,2))"),"")</f>
        <v/>
      </c>
      <c r="HN10" s="1" t="str">
        <f ca="1">IFERROR(__xludf.DUMMYFUNCTION("if(HN$2="""","""", index(GOOGLEFINANCE($B$10,""close"",HN$2,TODAY()),2,2))"),"")</f>
        <v/>
      </c>
      <c r="HO10" s="1" t="str">
        <f ca="1">IFERROR(__xludf.DUMMYFUNCTION("if(HO$2="""","""", index(GOOGLEFINANCE($B$10,""close"",HO$2,TODAY()),2,2))"),"")</f>
        <v/>
      </c>
      <c r="HP10" s="1" t="str">
        <f ca="1">IFERROR(__xludf.DUMMYFUNCTION("if(HP$2="""","""", index(GOOGLEFINANCE($B$10,""close"",HP$2,TODAY()),2,2))"),"")</f>
        <v/>
      </c>
      <c r="HQ10" s="1" t="str">
        <f ca="1">IFERROR(__xludf.DUMMYFUNCTION("if(HQ$2="""","""", index(GOOGLEFINANCE($B$10,""close"",HQ$2,TODAY()),2,2))"),"")</f>
        <v/>
      </c>
      <c r="HR10" s="1" t="str">
        <f ca="1">IFERROR(__xludf.DUMMYFUNCTION("if(HR$2="""","""", index(GOOGLEFINANCE($B$10,""close"",HR$2,TODAY()),2,2))"),"")</f>
        <v/>
      </c>
      <c r="HS10" s="1" t="str">
        <f ca="1">IFERROR(__xludf.DUMMYFUNCTION("if(HS$2="""","""", index(GOOGLEFINANCE($B$10,""close"",HS$2,TODAY()),2,2))"),"")</f>
        <v/>
      </c>
      <c r="HT10" s="1" t="str">
        <f ca="1">IFERROR(__xludf.DUMMYFUNCTION("if(HT$2="""","""", index(GOOGLEFINANCE($B$10,""close"",HT$2,TODAY()),2,2))"),"")</f>
        <v/>
      </c>
      <c r="HU10" s="1" t="str">
        <f ca="1">IFERROR(__xludf.DUMMYFUNCTION("if(HU$2="""","""", index(GOOGLEFINANCE($B$10,""close"",HU$2,TODAY()),2,2))"),"")</f>
        <v/>
      </c>
      <c r="HV10" s="1" t="str">
        <f ca="1">IFERROR(__xludf.DUMMYFUNCTION("if(HV$2="""","""", index(GOOGLEFINANCE($B$10,""close"",HV$2,TODAY()),2,2))"),"")</f>
        <v/>
      </c>
      <c r="HW10" s="1" t="str">
        <f ca="1">IFERROR(__xludf.DUMMYFUNCTION("if(HW$2="""","""", index(GOOGLEFINANCE($B$10,""close"",HW$2,TODAY()),2,2))"),"")</f>
        <v/>
      </c>
      <c r="HX10" s="1" t="str">
        <f ca="1">IFERROR(__xludf.DUMMYFUNCTION("if(HX$2="""","""", index(GOOGLEFINANCE($B$10,""close"",HX$2,TODAY()),2,2))"),"")</f>
        <v/>
      </c>
      <c r="HY10" s="1" t="str">
        <f ca="1">IFERROR(__xludf.DUMMYFUNCTION("if(HY$2="""","""", index(GOOGLEFINANCE($B$10,""close"",HY$2,TODAY()),2,2))"),"")</f>
        <v/>
      </c>
      <c r="HZ10" s="1" t="str">
        <f ca="1">IFERROR(__xludf.DUMMYFUNCTION("if(HZ$2="""","""", index(GOOGLEFINANCE($B$10,""close"",HZ$2,TODAY()),2,2))"),"")</f>
        <v/>
      </c>
      <c r="IA10" s="1" t="str">
        <f ca="1">IFERROR(__xludf.DUMMYFUNCTION("if(IA$2="""","""", index(GOOGLEFINANCE($B$10,""close"",IA$2,TODAY()),2,2))"),"")</f>
        <v/>
      </c>
      <c r="IB10" s="1" t="str">
        <f ca="1">IFERROR(__xludf.DUMMYFUNCTION("if(IB$2="""","""", index(GOOGLEFINANCE($B$10,""close"",IB$2,TODAY()),2,2))"),"")</f>
        <v/>
      </c>
      <c r="IC10" s="1" t="str">
        <f ca="1">IFERROR(__xludf.DUMMYFUNCTION("if(IC$2="""","""", index(GOOGLEFINANCE($B$10,""close"",IC$2,TODAY()),2,2))"),"")</f>
        <v/>
      </c>
      <c r="ID10" s="1" t="str">
        <f ca="1">IFERROR(__xludf.DUMMYFUNCTION("if(ID$2="""","""", index(GOOGLEFINANCE($B$10,""close"",ID$2,TODAY()),2,2))"),"")</f>
        <v/>
      </c>
      <c r="IE10" s="1" t="str">
        <f ca="1">IFERROR(__xludf.DUMMYFUNCTION("if(IE$2="""","""", index(GOOGLEFINANCE($B$10,""close"",IE$2,TODAY()),2,2))"),"")</f>
        <v/>
      </c>
      <c r="IF10" s="1" t="str">
        <f ca="1">IFERROR(__xludf.DUMMYFUNCTION("if(IF$2="""","""", index(GOOGLEFINANCE($B$10,""close"",IF$2,TODAY()),2,2))"),"")</f>
        <v/>
      </c>
      <c r="IG10" s="1" t="str">
        <f ca="1">IFERROR(__xludf.DUMMYFUNCTION("if(IG$2="""","""", index(GOOGLEFINANCE($B$10,""close"",IG$2,TODAY()),2,2))"),"")</f>
        <v/>
      </c>
      <c r="IH10" s="1" t="str">
        <f ca="1">IFERROR(__xludf.DUMMYFUNCTION("if(IH$2="""","""", index(GOOGLEFINANCE($B$10,""close"",IH$2,TODAY()),2,2))"),"")</f>
        <v/>
      </c>
      <c r="II10" s="1" t="str">
        <f ca="1">IFERROR(__xludf.DUMMYFUNCTION("if(II$2="""","""", index(GOOGLEFINANCE($B$10,""close"",II$2,TODAY()),2,2))"),"")</f>
        <v/>
      </c>
      <c r="IJ10" s="1" t="str">
        <f ca="1">IFERROR(__xludf.DUMMYFUNCTION("if(IJ$2="""","""", index(GOOGLEFINANCE($B$10,""close"",IJ$2,TODAY()),2,2))"),"")</f>
        <v/>
      </c>
      <c r="IK10" s="1" t="str">
        <f ca="1">IFERROR(__xludf.DUMMYFUNCTION("if(IK$2="""","""", index(GOOGLEFINANCE($B$10,""close"",IK$2,TODAY()),2,2))"),"")</f>
        <v/>
      </c>
      <c r="IL10" s="1" t="str">
        <f ca="1">IFERROR(__xludf.DUMMYFUNCTION("if(IL$2="""","""", index(GOOGLEFINANCE($B$10,""close"",IL$2,TODAY()),2,2))"),"")</f>
        <v/>
      </c>
      <c r="IM10" s="1" t="str">
        <f ca="1">IFERROR(__xludf.DUMMYFUNCTION("if(IM$2="""","""", index(GOOGLEFINANCE($B$10,""close"",IM$2,TODAY()),2,2))"),"")</f>
        <v/>
      </c>
      <c r="IN10" s="1" t="str">
        <f ca="1">IFERROR(__xludf.DUMMYFUNCTION("if(IN$2="""","""", index(GOOGLEFINANCE($B$10,""close"",IN$2,TODAY()),2,2))"),"")</f>
        <v/>
      </c>
      <c r="IO10" s="1" t="str">
        <f ca="1">IFERROR(__xludf.DUMMYFUNCTION("if(IO$2="""","""", index(GOOGLEFINANCE($B$10,""close"",IO$2,TODAY()),2,2))"),"")</f>
        <v/>
      </c>
      <c r="IP10" s="1" t="str">
        <f ca="1">IFERROR(__xludf.DUMMYFUNCTION("if(IP$2="""","""", index(GOOGLEFINANCE($B$10,""close"",IP$2,TODAY()),2,2))"),"")</f>
        <v/>
      </c>
      <c r="IQ10" s="1" t="str">
        <f ca="1">IFERROR(__xludf.DUMMYFUNCTION("if(IQ$2="""","""", index(GOOGLEFINANCE($B$10,""close"",IQ$2,TODAY()),2,2))"),"")</f>
        <v/>
      </c>
      <c r="IR10" s="1" t="str">
        <f ca="1">IFERROR(__xludf.DUMMYFUNCTION("if(IR$2="""","""", index(GOOGLEFINANCE($B$10,""close"",IR$2,TODAY()),2,2))"),"")</f>
        <v/>
      </c>
      <c r="IS10" s="1" t="str">
        <f ca="1">IFERROR(__xludf.DUMMYFUNCTION("if(IS$2="""","""", index(GOOGLEFINANCE($B$10,""close"",IS$2,TODAY()),2,2))"),"")</f>
        <v/>
      </c>
      <c r="IT10" s="1" t="str">
        <f ca="1">IFERROR(__xludf.DUMMYFUNCTION("if(IT$2="""","""", index(GOOGLEFINANCE($B$10,""close"",IT$2,TODAY()),2,2))"),"")</f>
        <v/>
      </c>
      <c r="IU10" s="1" t="str">
        <f ca="1">IFERROR(__xludf.DUMMYFUNCTION("if(IU$2="""","""", index(GOOGLEFINANCE($B$10,""close"",IU$2,TODAY()),2,2))"),"")</f>
        <v/>
      </c>
      <c r="IV10" s="1" t="str">
        <f ca="1">IFERROR(__xludf.DUMMYFUNCTION("if(IV$2="""","""", index(GOOGLEFINANCE($B$10,""close"",IV$2,TODAY()),2,2))"),"")</f>
        <v/>
      </c>
      <c r="IW10" s="1" t="str">
        <f ca="1">IFERROR(__xludf.DUMMYFUNCTION("if(IW$2="""","""", index(GOOGLEFINANCE($B$10,""close"",IW$2,TODAY()),2,2))"),"")</f>
        <v/>
      </c>
      <c r="IX10" s="1" t="str">
        <f ca="1">IFERROR(__xludf.DUMMYFUNCTION("if(IX$2="""","""", index(GOOGLEFINANCE($B$10,""close"",IX$2,TODAY()),2,2))"),"")</f>
        <v/>
      </c>
      <c r="IY10" s="1" t="str">
        <f ca="1">IFERROR(__xludf.DUMMYFUNCTION("if(IY$2="""","""", index(GOOGLEFINANCE($B$10,""close"",IY$2,TODAY()),2,2))"),"")</f>
        <v/>
      </c>
      <c r="IZ10" s="1" t="str">
        <f ca="1">IFERROR(__xludf.DUMMYFUNCTION("if(IZ$2="""","""", index(GOOGLEFINANCE($B$10,""close"",IZ$2,TODAY()),2,2))"),"")</f>
        <v/>
      </c>
      <c r="JA10" s="1" t="str">
        <f ca="1">IFERROR(__xludf.DUMMYFUNCTION("if(JA$2="""","""", index(GOOGLEFINANCE($B$10,""close"",JA$2,TODAY()),2,2))"),"")</f>
        <v/>
      </c>
      <c r="JB10" s="1" t="str">
        <f ca="1">IFERROR(__xludf.DUMMYFUNCTION("if(JB$2="""","""", index(GOOGLEFINANCE($B$10,""close"",JB$2,TODAY()),2,2))"),"")</f>
        <v/>
      </c>
      <c r="JC10" s="1" t="str">
        <f ca="1">IFERROR(__xludf.DUMMYFUNCTION("if(JC$2="""","""", index(GOOGLEFINANCE($B$10,""close"",JC$2,TODAY()),2,2))"),"")</f>
        <v/>
      </c>
      <c r="JD10" s="1" t="str">
        <f ca="1">IFERROR(__xludf.DUMMYFUNCTION("if(JD$2="""","""", index(GOOGLEFINANCE($B$10,""close"",JD$2,TODAY()),2,2))"),"")</f>
        <v/>
      </c>
      <c r="JE10" s="1" t="str">
        <f ca="1">IFERROR(__xludf.DUMMYFUNCTION("if(JE$2="""","""", index(GOOGLEFINANCE($B$10,""close"",JE$2,TODAY()),2,2))"),"")</f>
        <v/>
      </c>
      <c r="JF10" s="1" t="str">
        <f ca="1">IFERROR(__xludf.DUMMYFUNCTION("if(JF$2="""","""", index(GOOGLEFINANCE($B$10,""close"",JF$2,TODAY()),2,2))"),"")</f>
        <v/>
      </c>
      <c r="JG10" s="1" t="str">
        <f ca="1">IFERROR(__xludf.DUMMYFUNCTION("if(JG$2="""","""", index(GOOGLEFINANCE($B$10,""close"",JG$2,TODAY()),2,2))"),"")</f>
        <v/>
      </c>
      <c r="JH10" s="1" t="str">
        <f ca="1">IFERROR(__xludf.DUMMYFUNCTION("if(JH$2="""","""", index(GOOGLEFINANCE($B$10,""close"",JH$2,TODAY()),2,2))"),"")</f>
        <v/>
      </c>
      <c r="JI10" s="1" t="str">
        <f ca="1">IFERROR(__xludf.DUMMYFUNCTION("if(JI$2="""","""", index(GOOGLEFINANCE($B$10,""close"",JI$2,TODAY()),2,2))"),"")</f>
        <v/>
      </c>
      <c r="JJ10" s="1" t="str">
        <f ca="1">IFERROR(__xludf.DUMMYFUNCTION("if(JJ$2="""","""", index(GOOGLEFINANCE($B$10,""close"",JJ$2,TODAY()),2,2))"),"")</f>
        <v/>
      </c>
      <c r="JK10" s="1" t="str">
        <f ca="1">IFERROR(__xludf.DUMMYFUNCTION("if(JK$2="""","""", index(GOOGLEFINANCE($B$10,""close"",JK$2,TODAY()),2,2))"),"")</f>
        <v/>
      </c>
      <c r="JL10" s="1" t="str">
        <f ca="1">IFERROR(__xludf.DUMMYFUNCTION("if(JL$2="""","""", index(GOOGLEFINANCE($B$10,""close"",JL$2,TODAY()),2,2))"),"")</f>
        <v/>
      </c>
      <c r="JM10" s="1" t="str">
        <f ca="1">IFERROR(__xludf.DUMMYFUNCTION("if(JM$2="""","""", index(GOOGLEFINANCE($B$10,""close"",JM$2,TODAY()),2,2))"),"")</f>
        <v/>
      </c>
      <c r="JN10" s="1" t="str">
        <f ca="1">IFERROR(__xludf.DUMMYFUNCTION("if(JN$2="""","""", index(GOOGLEFINANCE($B$10,""close"",JN$2,TODAY()),2,2))"),"")</f>
        <v/>
      </c>
      <c r="JO10" s="1" t="str">
        <f ca="1">IFERROR(__xludf.DUMMYFUNCTION("if(JO$2="""","""", index(GOOGLEFINANCE($B$10,""close"",JO$2,TODAY()),2,2))"),"")</f>
        <v/>
      </c>
      <c r="JP10" s="1" t="str">
        <f ca="1">IFERROR(__xludf.DUMMYFUNCTION("if(JP$2="""","""", index(GOOGLEFINANCE($B$10,""close"",JP$2,TODAY()),2,2))"),"")</f>
        <v/>
      </c>
      <c r="JQ10" s="1" t="str">
        <f ca="1">IFERROR(__xludf.DUMMYFUNCTION("if(JQ$2="""","""", index(GOOGLEFINANCE($B$10,""close"",JQ$2,TODAY()),2,2))"),"")</f>
        <v/>
      </c>
      <c r="JR10" s="1" t="str">
        <f ca="1">IFERROR(__xludf.DUMMYFUNCTION("if(JR$2="""","""", index(GOOGLEFINANCE($B$10,""close"",JR$2,TODAY()),2,2))"),"")</f>
        <v/>
      </c>
      <c r="JS10" s="1" t="str">
        <f ca="1">IFERROR(__xludf.DUMMYFUNCTION("if(JS$2="""","""", index(GOOGLEFINANCE($B$10,""close"",JS$2,TODAY()),2,2))"),"")</f>
        <v/>
      </c>
      <c r="JT10" s="1" t="str">
        <f ca="1">IFERROR(__xludf.DUMMYFUNCTION("if(JT$2="""","""", index(GOOGLEFINANCE($B$10,""close"",JT$2,TODAY()),2,2))"),"")</f>
        <v/>
      </c>
      <c r="JU10" s="1" t="str">
        <f ca="1">IFERROR(__xludf.DUMMYFUNCTION("if(JU$2="""","""", index(GOOGLEFINANCE($B$10,""close"",JU$2,TODAY()),2,2))"),"")</f>
        <v/>
      </c>
      <c r="JV10" s="1" t="str">
        <f ca="1">IFERROR(__xludf.DUMMYFUNCTION("if(JV$2="""","""", index(GOOGLEFINANCE($B$10,""close"",JV$2,TODAY()),2,2))"),"")</f>
        <v/>
      </c>
      <c r="JW10" s="1" t="str">
        <f ca="1">IFERROR(__xludf.DUMMYFUNCTION("if(JW$2="""","""", index(GOOGLEFINANCE($B$10,""close"",JW$2,TODAY()),2,2))"),"")</f>
        <v/>
      </c>
      <c r="JX10" s="1" t="str">
        <f ca="1">IFERROR(__xludf.DUMMYFUNCTION("if(JX$2="""","""", index(GOOGLEFINANCE($B$10,""close"",JX$2,TODAY()),2,2))"),"")</f>
        <v/>
      </c>
      <c r="JY10" s="1" t="str">
        <f ca="1">IFERROR(__xludf.DUMMYFUNCTION("if(JY$2="""","""", index(GOOGLEFINANCE($B$10,""close"",JY$2,TODAY()),2,2))"),"")</f>
        <v/>
      </c>
      <c r="JZ10" s="1" t="str">
        <f ca="1">IFERROR(__xludf.DUMMYFUNCTION("if(JZ$2="""","""", index(GOOGLEFINANCE($B$10,""close"",JZ$2,TODAY()),2,2))"),"")</f>
        <v/>
      </c>
      <c r="KA10" s="1" t="str">
        <f ca="1">IFERROR(__xludf.DUMMYFUNCTION("if(KA$2="""","""", index(GOOGLEFINANCE($B$10,""close"",KA$2,TODAY()),2,2))"),"")</f>
        <v/>
      </c>
      <c r="KB10" s="1" t="str">
        <f ca="1">IFERROR(__xludf.DUMMYFUNCTION("if(KB$2="""","""", index(GOOGLEFINANCE($B$10,""close"",KB$2,TODAY()),2,2))"),"")</f>
        <v/>
      </c>
      <c r="KC10" s="1" t="str">
        <f ca="1">IFERROR(__xludf.DUMMYFUNCTION("if(KC$2="""","""", index(GOOGLEFINANCE($B$10,""close"",KC$2,TODAY()),2,2))"),"")</f>
        <v/>
      </c>
      <c r="KD10" s="1" t="str">
        <f ca="1">IFERROR(__xludf.DUMMYFUNCTION("if(KD$2="""","""", index(GOOGLEFINANCE($B$10,""close"",KD$2,TODAY()),2,2))"),"")</f>
        <v/>
      </c>
      <c r="KE10" s="1" t="str">
        <f ca="1">IFERROR(__xludf.DUMMYFUNCTION("if(KE$2="""","""", index(GOOGLEFINANCE($B$10,""close"",KE$2,TODAY()),2,2))"),"")</f>
        <v/>
      </c>
      <c r="KF10" s="1" t="str">
        <f ca="1">IFERROR(__xludf.DUMMYFUNCTION("if(KF$2="""","""", index(GOOGLEFINANCE($B$10,""close"",KF$2,TODAY()),2,2))"),"")</f>
        <v/>
      </c>
      <c r="KG10" s="1" t="str">
        <f ca="1">IFERROR(__xludf.DUMMYFUNCTION("if(KG$2="""","""", index(GOOGLEFINANCE($B$10,""close"",KG$2,TODAY()),2,2))"),"")</f>
        <v/>
      </c>
    </row>
    <row r="11" spans="1:319" ht="15.75" customHeight="1">
      <c r="A11" s="18" t="s">
        <v>30</v>
      </c>
      <c r="B11" s="6" t="s">
        <v>55</v>
      </c>
      <c r="C11" s="1">
        <f ca="1">IFERROR(__xludf.DUMMYFUNCTION("if(C$2="""","""", index(GOOGLEFINANCE($B$11,""close"",C$2,TODAY()),2,2))"),118.2)</f>
        <v>118.2</v>
      </c>
      <c r="D11" s="1">
        <f ca="1">IFERROR(__xludf.DUMMYFUNCTION("if(D$2="""","""", index(GOOGLEFINANCE($B$11,""close"",D$2,TODAY()),2,2))"),120.5)</f>
        <v>120.5</v>
      </c>
      <c r="E11" s="1">
        <f ca="1">IFERROR(__xludf.DUMMYFUNCTION("if(E$2="""","""", index(GOOGLEFINANCE($B$11,""close"",E$2,TODAY()),2,2))"),120.98)</f>
        <v>120.98</v>
      </c>
      <c r="F11" s="1">
        <f ca="1">IFERROR(__xludf.DUMMYFUNCTION("if(F$2="""","""", index(GOOGLEFINANCE($B$11,""close"",F$2,TODAY()),2,2))"),120.12)</f>
        <v>120.12</v>
      </c>
      <c r="G11" s="1">
        <f ca="1">IFERROR(__xludf.DUMMYFUNCTION("if(G$2="""","""", index(GOOGLEFINANCE($B$11,""close"",G$2,TODAY()),2,2))"),120.46)</f>
        <v>120.46</v>
      </c>
      <c r="H11" s="1">
        <f ca="1">IFERROR(__xludf.DUMMYFUNCTION("if(H$2="""","""", index(GOOGLEFINANCE($B$11,""close"",H$2,TODAY()),2,2))"),122.54)</f>
        <v>122.54</v>
      </c>
      <c r="I11" s="1">
        <f ca="1">IFERROR(__xludf.DUMMYFUNCTION("if(I$2="""","""", index(GOOGLEFINANCE($B$11,""close"",I$2,TODAY()),2,2))"),124.26)</f>
        <v>124.26</v>
      </c>
      <c r="J11" s="1">
        <f ca="1">IFERROR(__xludf.DUMMYFUNCTION("if(J$2="""","""", index(GOOGLEFINANCE($B$11,""close"",J$2,TODAY()),2,2))"),122.9)</f>
        <v>122.9</v>
      </c>
      <c r="K11" s="1">
        <f ca="1">IFERROR(__xludf.DUMMYFUNCTION("if(K$2="""","""", index(GOOGLEFINANCE($B$11,""close"",K$2,TODAY()),2,2))"),123.4)</f>
        <v>123.4</v>
      </c>
      <c r="L11" s="1">
        <f ca="1">IFERROR(__xludf.DUMMYFUNCTION("if(L$2="""","""", index(GOOGLEFINANCE($B$11,""close"",L$2,TODAY()),2,2))"),125.18)</f>
        <v>125.18</v>
      </c>
      <c r="M11" s="1">
        <f ca="1">IFERROR(__xludf.DUMMYFUNCTION("if(M$2="""","""", index(GOOGLEFINANCE($B$11,""close"",M$2,TODAY()),2,2))"),124.71)</f>
        <v>124.71</v>
      </c>
      <c r="N11" s="1">
        <f ca="1">IFERROR(__xludf.DUMMYFUNCTION("if(N$2="""","""", index(GOOGLEFINANCE($B$11,""close"",N$2,TODAY()),2,2))"),124.21)</f>
        <v>124.21</v>
      </c>
      <c r="O11" s="1">
        <f ca="1">IFERROR(__xludf.DUMMYFUNCTION("if(O$2="""","""", index(GOOGLEFINANCE($B$11,""close"",O$2,TODAY()),2,2))"),124.96)</f>
        <v>124.96</v>
      </c>
      <c r="P11" s="1">
        <f ca="1">IFERROR(__xludf.DUMMYFUNCTION("if(P$2="""","""", index(GOOGLEFINANCE($B$11,""close"",P$2,TODAY()),2,2))"),123.74)</f>
        <v>123.74</v>
      </c>
      <c r="Q11" s="1">
        <f ca="1">IFERROR(__xludf.DUMMYFUNCTION("if(Q$2="""","""", index(GOOGLEFINANCE($B$11,""close"",Q$2,TODAY()),2,2))"),125.19)</f>
        <v>125.19</v>
      </c>
      <c r="R11" s="1">
        <f ca="1">IFERROR(__xludf.DUMMYFUNCTION("if(R$2="""","""", index(GOOGLEFINANCE($B$11,""close"",R$2,TODAY()),2,2))"),122.65)</f>
        <v>122.65</v>
      </c>
      <c r="S11" s="1">
        <f ca="1">IFERROR(__xludf.DUMMYFUNCTION("if(S$2="""","""", index(GOOGLEFINANCE($B$11,""close"",S$2,TODAY()),2,2))"),122.36)</f>
        <v>122.36</v>
      </c>
      <c r="T11" s="1">
        <f ca="1">IFERROR(__xludf.DUMMYFUNCTION("if(T$2="""","""", index(GOOGLEFINANCE($B$11,""close"",T$2,TODAY()),2,2))"),124.76)</f>
        <v>124.76</v>
      </c>
      <c r="U11" s="1">
        <f ca="1">IFERROR(__xludf.DUMMYFUNCTION("if(U$2="""","""", index(GOOGLEFINANCE($B$11,""close"",U$2,TODAY()),2,2))"),129.14)</f>
        <v>129.13999999999999</v>
      </c>
      <c r="V11" s="1">
        <f ca="1">IFERROR(__xludf.DUMMYFUNCTION("if(V$2="""","""", index(GOOGLEFINANCE($B$11,""close"",V$2,TODAY()),2,2))"),128.48)</f>
        <v>128.47999999999999</v>
      </c>
      <c r="W11" s="1">
        <f ca="1">IFERROR(__xludf.DUMMYFUNCTION("if(W$2="""","""", index(GOOGLEFINANCE($B$11,""close"",W$2,TODAY()),2,2))"),128.47)</f>
        <v>128.47</v>
      </c>
      <c r="X11" s="1">
        <f ca="1">IFERROR(__xludf.DUMMYFUNCTION("if(X$2="""","""", index(GOOGLEFINANCE($B$11,""close"",X$2,TODAY()),2,2))"),130.8)</f>
        <v>130.80000000000001</v>
      </c>
      <c r="Y11" s="1">
        <f ca="1">IFERROR(__xludf.DUMMYFUNCTION("if(Y$2="""","""", index(GOOGLEFINANCE($B$11,""close"",Y$2,TODAY()),2,2))"),129.97)</f>
        <v>129.97</v>
      </c>
      <c r="Z11" s="1">
        <f ca="1">IFERROR(__xludf.DUMMYFUNCTION("if(Z$2="""","""", index(GOOGLEFINANCE($B$11,""close"",Z$2,TODAY()),2,2))"),131.07)</f>
        <v>131.07</v>
      </c>
      <c r="AA11" s="1">
        <f ca="1">IFERROR(__xludf.DUMMYFUNCTION("if(AA$2="""","""", index(GOOGLEFINANCE($B$11,""close"",AA$2,TODAY()),2,2))"),131.72)</f>
        <v>131.72</v>
      </c>
      <c r="AB11" s="1">
        <f ca="1">IFERROR(__xludf.DUMMYFUNCTION("if(AB$2="""","""", index(GOOGLEFINANCE($B$11,""close"",AB$2,TODAY()),2,2))"),132.5)</f>
        <v>132.5</v>
      </c>
      <c r="AC11" s="1">
        <f ca="1">IFERROR(__xludf.DUMMYFUNCTION("if(AC$2="""","""", index(GOOGLEFINANCE($B$11,""close"",AC$2,TODAY()),2,2))"),135.87)</f>
        <v>135.87</v>
      </c>
      <c r="AD11" s="1">
        <f ca="1">IFERROR(__xludf.DUMMYFUNCTION("if(AD$2="""","""", index(GOOGLEFINANCE($B$11,""close"",AD$2,TODAY()),2,2))"),133.77)</f>
        <v>133.77000000000001</v>
      </c>
      <c r="AE11" s="1">
        <f ca="1">IFERROR(__xludf.DUMMYFUNCTION("if(AE$2="""","""", index(GOOGLEFINANCE($B$11,""close"",AE$2,TODAY()),2,2))"),125.09)</f>
        <v>125.09</v>
      </c>
      <c r="AF11" s="1">
        <f ca="1">IFERROR(__xludf.DUMMYFUNCTION("if(AF$2="""","""", index(GOOGLEFINANCE($B$11,""close"",AF$2,TODAY()),2,2))"),123.58)</f>
        <v>123.58</v>
      </c>
      <c r="AG11" s="1">
        <f ca="1">IFERROR(__xludf.DUMMYFUNCTION("if(AG$2="""","""", index(GOOGLEFINANCE($B$11,""close"",AG$2,TODAY()),2,2))"),126.79)</f>
        <v>126.79</v>
      </c>
      <c r="AH11" s="1">
        <f ca="1">IFERROR(__xludf.DUMMYFUNCTION("if(AH$2="""","""", index(GOOGLEFINANCE($B$11,""close"",AH$2,TODAY()),2,2))"),125.9)</f>
        <v>125.9</v>
      </c>
      <c r="AI11" s="1">
        <f ca="1">IFERROR(__xludf.DUMMYFUNCTION("if(AI$2="""","""", index(GOOGLEFINANCE($B$11,""close"",AI$2,TODAY()),2,2))"),124.4)</f>
        <v>124.4</v>
      </c>
      <c r="AJ11" s="1">
        <f ca="1">IFERROR(__xludf.DUMMYFUNCTION("if(AJ$2="""","""", index(GOOGLEFINANCE($B$11,""close"",AJ$2,TODAY()),2,2))"),122.67)</f>
        <v>122.67</v>
      </c>
      <c r="AK11" s="1">
        <f ca="1">IFERROR(__xludf.DUMMYFUNCTION("if(AK$2="""","""", index(GOOGLEFINANCE($B$11,""close"",AK$2,TODAY()),2,2))"),120.38)</f>
        <v>120.38</v>
      </c>
      <c r="AL11" s="1">
        <f ca="1">IFERROR(__xludf.DUMMYFUNCTION("if(AL$2="""","""", index(GOOGLEFINANCE($B$11,""close"",AL$2,TODAY()),2,2))"),118.08)</f>
        <v>118.08</v>
      </c>
      <c r="AM11" s="1">
        <f ca="1">IFERROR(__xludf.DUMMYFUNCTION("if(AM$2="""","""", index(GOOGLEFINANCE($B$11,""close"",AM$2,TODAY()),2,2))"),118.12)</f>
        <v>118.12</v>
      </c>
      <c r="AN11" s="1">
        <f ca="1">IFERROR(__xludf.DUMMYFUNCTION("if(AN$2="""","""", index(GOOGLEFINANCE($B$11,""close"",AN$2,TODAY()),2,2))"),118.14)</f>
        <v>118.14</v>
      </c>
      <c r="AO11" s="1">
        <f ca="1">IFERROR(__xludf.DUMMYFUNCTION("if(AO$2="""","""", index(GOOGLEFINANCE($B$11,""close"",AO$2,TODAY()),2,2))"),117.32)</f>
        <v>117.32</v>
      </c>
      <c r="AP11" s="1">
        <f ca="1">IFERROR(__xludf.DUMMYFUNCTION("if(AP$2="""","""", index(GOOGLEFINANCE($B$11,""close"",AP$2,TODAY()),2,2))"),115.91)</f>
        <v>115.91</v>
      </c>
      <c r="AQ11" s="1">
        <f ca="1">IFERROR(__xludf.DUMMYFUNCTION("if(AQ$2="""","""", index(GOOGLEFINANCE($B$11,""close"",AQ$2,TODAY()),2,2))"),119.6)</f>
        <v>119.6</v>
      </c>
      <c r="AR11" s="1">
        <f ca="1">IFERROR(__xludf.DUMMYFUNCTION("if(AR$2="""","""", index(GOOGLEFINANCE($B$11,""close"",AR$2,TODAY()),2,2))"),120.1)</f>
        <v>120.1</v>
      </c>
      <c r="AS11" s="1">
        <f ca="1">IFERROR(__xludf.DUMMYFUNCTION("if(AS$2="""","""", index(GOOGLEFINANCE($B$11,""close"",AS$2,TODAY()),2,2))"),119.26)</f>
        <v>119.26</v>
      </c>
      <c r="AT11" s="1">
        <f ca="1">IFERROR(__xludf.DUMMYFUNCTION("if(AT$2="""","""", index(GOOGLEFINANCE($B$11,""close"",AT$2,TODAY()),2,2))"),112.38)</f>
        <v>112.38</v>
      </c>
      <c r="AU11" s="1">
        <f ca="1">IFERROR(__xludf.DUMMYFUNCTION("if(AU$2="""","""", index(GOOGLEFINANCE($B$11,""close"",AU$2,TODAY()),2,2))"),109.89)</f>
        <v>109.89</v>
      </c>
      <c r="AV11" s="1">
        <f ca="1">IFERROR(__xludf.DUMMYFUNCTION("if(AV$2="""","""", index(GOOGLEFINANCE($B$11,""close"",AV$2,TODAY()),2,2))"),114.83)</f>
        <v>114.83</v>
      </c>
      <c r="AW11" s="1">
        <f ca="1">IFERROR(__xludf.DUMMYFUNCTION("if(AW$2="""","""", index(GOOGLEFINANCE($B$11,""close"",AW$2,TODAY()),2,2))"),114.01)</f>
        <v>114.01</v>
      </c>
      <c r="AX11" s="1">
        <f ca="1">IFERROR(__xludf.DUMMYFUNCTION("if(AX$2="""","""", index(GOOGLEFINANCE($B$11,""close"",AX$2,TODAY()),2,2))"),110.6)</f>
        <v>110.6</v>
      </c>
      <c r="AY11" s="1">
        <f ca="1">IFERROR(__xludf.DUMMYFUNCTION("if(AY$2="""","""", index(GOOGLEFINANCE($B$11,""close"",AY$2,TODAY()),2,2))"),108.69)</f>
        <v>108.69</v>
      </c>
      <c r="AZ11" s="1">
        <f ca="1">IFERROR(__xludf.DUMMYFUNCTION("if(AZ$2="""","""", index(GOOGLEFINANCE($B$11,""close"",AZ$2,TODAY()),2,2))"),111.16)</f>
        <v>111.16</v>
      </c>
      <c r="BA11" s="1">
        <f ca="1">IFERROR(__xludf.DUMMYFUNCTION("if(BA$2="""","""", index(GOOGLEFINANCE($B$11,""close"",BA$2,TODAY()),2,2))"),113)</f>
        <v>113</v>
      </c>
      <c r="BB11" s="1">
        <f ca="1">IFERROR(__xludf.DUMMYFUNCTION("if(BB$2="""","""", index(GOOGLEFINANCE($B$11,""close"",BB$2,TODAY()),2,2))"),113.78)</f>
        <v>113.78</v>
      </c>
      <c r="BC11" s="1">
        <f ca="1">IFERROR(__xludf.DUMMYFUNCTION("if(BC$2="""","""", index(GOOGLEFINANCE($B$11,""close"",BC$2,TODAY()),2,2))"),115.31)</f>
        <v>115.31</v>
      </c>
      <c r="BD11" s="1">
        <f ca="1">IFERROR(__xludf.DUMMYFUNCTION("if(BD$2="""","""", index(GOOGLEFINANCE($B$11,""close"",BD$2,TODAY()),2,2))"),115.21)</f>
        <v>115.21</v>
      </c>
      <c r="BE11" s="1">
        <f ca="1">IFERROR(__xludf.DUMMYFUNCTION("if(BE$2="""","""", index(GOOGLEFINANCE($B$11,""close"",BE$2,TODAY()),2,2))"),116.8)</f>
        <v>116.8</v>
      </c>
      <c r="BF11" s="1">
        <f ca="1">IFERROR(__xludf.DUMMYFUNCTION("if(BF$2="""","""", index(GOOGLEFINANCE($B$11,""close"",BF$2,TODAY()),2,2))"),116.32)</f>
        <v>116.32</v>
      </c>
      <c r="BG11" s="1">
        <f ca="1">IFERROR(__xludf.DUMMYFUNCTION("if(BG$2="""","""", index(GOOGLEFINANCE($B$11,""close"",BG$2,TODAY()),2,2))"),117.37)</f>
        <v>117.37</v>
      </c>
      <c r="BH11" s="1">
        <f ca="1">IFERROR(__xludf.DUMMYFUNCTION("if(BH$2="""","""", index(GOOGLEFINANCE($B$11,""close"",BH$2,TODAY()),2,2))"),118.37)</f>
        <v>118.37</v>
      </c>
      <c r="BI11" s="1">
        <f ca="1">IFERROR(__xludf.DUMMYFUNCTION("if(BI$2="""","""", index(GOOGLEFINANCE($B$11,""close"",BI$2,TODAY()),2,2))"),118.76)</f>
        <v>118.76</v>
      </c>
      <c r="BJ11" s="1">
        <f ca="1">IFERROR(__xludf.DUMMYFUNCTION("if(BJ$2="""","""", index(GOOGLEFINANCE($B$11,""close"",BJ$2,TODAY()),2,2))"),119.23)</f>
        <v>119.23</v>
      </c>
      <c r="BK11" s="1">
        <f ca="1">IFERROR(__xludf.DUMMYFUNCTION("if(BK$2="""","""", index(GOOGLEFINANCE($B$11,""close"",BK$2,TODAY()),2,2))"),116.19)</f>
        <v>116.19</v>
      </c>
      <c r="BL11" s="1">
        <f ca="1">IFERROR(__xludf.DUMMYFUNCTION("if(BL$2="""","""", index(GOOGLEFINANCE($B$11,""close"",BL$2,TODAY()),2,2))"),113.87)</f>
        <v>113.87</v>
      </c>
      <c r="BM11" s="1">
        <f ca="1">IFERROR(__xludf.DUMMYFUNCTION("if(BM$2="""","""", index(GOOGLEFINANCE($B$11,""close"",BM$2,TODAY()),2,2))"),114.21)</f>
        <v>114.21</v>
      </c>
      <c r="BN11" s="1">
        <f ca="1">IFERROR(__xludf.DUMMYFUNCTION("if(BN$2="""","""", index(GOOGLEFINANCE($B$11,""close"",BN$2,TODAY()),2,2))"),115.84)</f>
        <v>115.84</v>
      </c>
      <c r="BO11" s="1">
        <f ca="1">IFERROR(__xludf.DUMMYFUNCTION("if(BO$2="""","""", index(GOOGLEFINANCE($B$11,""close"",BO$2,TODAY()),2,2))"),115.53)</f>
        <v>115.53</v>
      </c>
      <c r="BP11" s="1">
        <f ca="1">IFERROR(__xludf.DUMMYFUNCTION("if(BP$2="""","""", index(GOOGLEFINANCE($B$11,""close"",BP$2,TODAY()),2,2))"),111.01)</f>
        <v>111.01</v>
      </c>
      <c r="BQ11" s="1">
        <f ca="1">IFERROR(__xludf.DUMMYFUNCTION("if(BQ$2="""","""", index(GOOGLEFINANCE($B$11,""close"",BQ$2,TODAY()),2,2))"),111.25)</f>
        <v>111.25</v>
      </c>
      <c r="BR11" s="1">
        <f ca="1">IFERROR(__xludf.DUMMYFUNCTION("if(BR$2="""","""", index(GOOGLEFINANCE($B$11,""close"",BR$2,TODAY()),2,2))"),111.05)</f>
        <v>111.05</v>
      </c>
      <c r="BS11" s="1">
        <f ca="1">IFERROR(__xludf.DUMMYFUNCTION("if(BS$2="""","""", index(GOOGLEFINANCE($B$11,""close"",BS$2,TODAY()),2,2))"),111.11)</f>
        <v>111.11</v>
      </c>
      <c r="BT11" s="1">
        <f ca="1">IFERROR(__xludf.DUMMYFUNCTION("if(BT$2="""","""", index(GOOGLEFINANCE($B$11,""close"",BT$2,TODAY()),2,2))"),111.79)</f>
        <v>111.79</v>
      </c>
      <c r="BU11" s="1">
        <f ca="1">IFERROR(__xludf.DUMMYFUNCTION("if(BU$2="""","""", index(GOOGLEFINANCE($B$11,""close"",BU$2,TODAY()),2,2))"),114.25)</f>
        <v>114.25</v>
      </c>
      <c r="BV11" s="1">
        <f ca="1">IFERROR(__xludf.DUMMYFUNCTION("if(BV$2="""","""", index(GOOGLEFINANCE($B$11,""close"",BV$2,TODAY()),2,2))"),113.73)</f>
        <v>113.73</v>
      </c>
      <c r="BW11" s="1">
        <f ca="1">IFERROR(__xludf.DUMMYFUNCTION("if(BW$2="""","""", index(GOOGLEFINANCE($B$11,""close"",BW$2,TODAY()),2,2))"),109.47)</f>
        <v>109.47</v>
      </c>
      <c r="BX11" s="1">
        <f ca="1">IFERROR(__xludf.DUMMYFUNCTION("if(BX$2="""","""", index(GOOGLEFINANCE($B$11,""close"",BX$2,TODAY()),2,2))"),111.67)</f>
        <v>111.67</v>
      </c>
      <c r="BY11" s="1">
        <f ca="1">IFERROR(__xludf.DUMMYFUNCTION("if(BY$2="""","""", index(GOOGLEFINANCE($B$11,""close"",BY$2,TODAY()),2,2))"),111.2)</f>
        <v>111.2</v>
      </c>
      <c r="BZ11" s="1">
        <f ca="1">IFERROR(__xludf.DUMMYFUNCTION("if(BZ$2="""","""", index(GOOGLEFINANCE($B$11,""close"",BZ$2,TODAY()),2,2))"),110.32)</f>
        <v>110.32</v>
      </c>
      <c r="CA11" s="1">
        <f ca="1">IFERROR(__xludf.DUMMYFUNCTION("if(CA$2="""","""", index(GOOGLEFINANCE($B$11,""close"",CA$2,TODAY()),2,2))"),108.18)</f>
        <v>108.18</v>
      </c>
      <c r="CB11" s="1">
        <f ca="1">IFERROR(__xludf.DUMMYFUNCTION("if(CB$2="""","""", index(GOOGLEFINANCE($B$11,""close"",CB$2,TODAY()),2,2))"),110.17)</f>
        <v>110.17</v>
      </c>
      <c r="CC11" s="1">
        <f ca="1">IFERROR(__xludf.DUMMYFUNCTION("if(CC$2="""","""", index(GOOGLEFINANCE($B$11,""close"",CC$2,TODAY()),2,2))"),107.03)</f>
        <v>107.03</v>
      </c>
      <c r="CD11" s="1">
        <f ca="1">IFERROR(__xludf.DUMMYFUNCTION("if(CD$2="""","""", index(GOOGLEFINANCE($B$11,""close"",CD$2,TODAY()),2,2))"),107.94)</f>
        <v>107.94</v>
      </c>
      <c r="CE11" s="1">
        <f ca="1">IFERROR(__xludf.DUMMYFUNCTION("if(CE$2="""","""", index(GOOGLEFINANCE($B$11,""close"",CE$2,TODAY()),2,2))"),110.88)</f>
        <v>110.88</v>
      </c>
      <c r="CF11" s="1">
        <f ca="1">IFERROR(__xludf.DUMMYFUNCTION("if(CF$2="""","""", index(GOOGLEFINANCE($B$11,""close"",CF$2,TODAY()),2,2))"),108.04)</f>
        <v>108.04</v>
      </c>
      <c r="CG11" s="1">
        <f ca="1">IFERROR(__xludf.DUMMYFUNCTION("if(CG$2="""","""", index(GOOGLEFINANCE($B$11,""close"",CG$2,TODAY()),2,2))"),109.74)</f>
        <v>109.74</v>
      </c>
      <c r="CH11" s="1">
        <f ca="1">IFERROR(__xludf.DUMMYFUNCTION("if(CH$2="""","""", index(GOOGLEFINANCE($B$11,""close"",CH$2,TODAY()),2,2))"),109)</f>
        <v>109</v>
      </c>
      <c r="CI11" s="1">
        <f ca="1">IFERROR(__xludf.DUMMYFUNCTION("if(CI$2="""","""", index(GOOGLEFINANCE($B$11,""close"",CI$2,TODAY()),2,2))"),109.85)</f>
        <v>109.85</v>
      </c>
      <c r="CJ11" s="1" t="str">
        <f ca="1">IFERROR(__xludf.DUMMYFUNCTION("if(CJ$2="""","""", index(GOOGLEFINANCE($B$11,""close"",CJ$2,TODAY()),2,2))"),"")</f>
        <v/>
      </c>
      <c r="CK11" s="1" t="str">
        <f ca="1">IFERROR(__xludf.DUMMYFUNCTION("if(CK$2="""","""", index(GOOGLEFINANCE($B$11,""close"",CK$2,TODAY()),2,2))"),"")</f>
        <v/>
      </c>
      <c r="CL11" s="1" t="str">
        <f ca="1">IFERROR(__xludf.DUMMYFUNCTION("if(CL$2="""","""", index(GOOGLEFINANCE($B$11,""close"",CL$2,TODAY()),2,2))"),"")</f>
        <v/>
      </c>
      <c r="CM11" s="1" t="str">
        <f ca="1">IFERROR(__xludf.DUMMYFUNCTION("if(CM$2="""","""", index(GOOGLEFINANCE($B$11,""close"",CM$2,TODAY()),2,2))"),"")</f>
        <v/>
      </c>
      <c r="CN11" s="1" t="str">
        <f ca="1">IFERROR(__xludf.DUMMYFUNCTION("if(CN$2="""","""", index(GOOGLEFINANCE($B$11,""close"",CN$2,TODAY()),2,2))"),"")</f>
        <v/>
      </c>
      <c r="CO11" s="1" t="str">
        <f ca="1">IFERROR(__xludf.DUMMYFUNCTION("if(CO$2="""","""", index(GOOGLEFINANCE($B$11,""close"",CO$2,TODAY()),2,2))"),"")</f>
        <v/>
      </c>
      <c r="CP11" s="1" t="str">
        <f ca="1">IFERROR(__xludf.DUMMYFUNCTION("if(CP$2="""","""", index(GOOGLEFINANCE($B$11,""close"",CP$2,TODAY()),2,2))"),"")</f>
        <v/>
      </c>
      <c r="CQ11" s="1" t="str">
        <f ca="1">IFERROR(__xludf.DUMMYFUNCTION("if(CQ$2="""","""", index(GOOGLEFINANCE($B$11,""close"",CQ$2,TODAY()),2,2))"),"")</f>
        <v/>
      </c>
      <c r="CR11" s="1" t="str">
        <f ca="1">IFERROR(__xludf.DUMMYFUNCTION("if(CR$2="""","""", index(GOOGLEFINANCE($B$11,""close"",CR$2,TODAY()),2,2))"),"")</f>
        <v/>
      </c>
      <c r="CS11" s="1" t="str">
        <f ca="1">IFERROR(__xludf.DUMMYFUNCTION("if(CS$2="""","""", index(GOOGLEFINANCE($B$11,""close"",CS$2,TODAY()),2,2))"),"")</f>
        <v/>
      </c>
      <c r="CT11" s="1" t="str">
        <f ca="1">IFERROR(__xludf.DUMMYFUNCTION("if(CT$2="""","""", index(GOOGLEFINANCE($B$11,""close"",CT$2,TODAY()),2,2))"),"")</f>
        <v/>
      </c>
      <c r="CU11" s="1" t="str">
        <f ca="1">IFERROR(__xludf.DUMMYFUNCTION("if(CU$2="""","""", index(GOOGLEFINANCE($B$11,""close"",CU$2,TODAY()),2,2))"),"")</f>
        <v/>
      </c>
      <c r="CV11" s="1" t="str">
        <f ca="1">IFERROR(__xludf.DUMMYFUNCTION("if(CV$2="""","""", index(GOOGLEFINANCE($B$11,""close"",CV$2,TODAY()),2,2))"),"")</f>
        <v/>
      </c>
      <c r="CW11" s="1" t="str">
        <f ca="1">IFERROR(__xludf.DUMMYFUNCTION("if(CW$2="""","""", index(GOOGLEFINANCE($B$11,""close"",CW$2,TODAY()),2,2))"),"")</f>
        <v/>
      </c>
      <c r="CX11" s="1" t="str">
        <f ca="1">IFERROR(__xludf.DUMMYFUNCTION("if(CX$2="""","""", index(GOOGLEFINANCE($B$11,""close"",CX$2,TODAY()),2,2))"),"")</f>
        <v/>
      </c>
      <c r="CY11" s="1" t="str">
        <f ca="1">IFERROR(__xludf.DUMMYFUNCTION("if(CY$2="""","""", index(GOOGLEFINANCE($B$11,""close"",CY$2,TODAY()),2,2))"),"")</f>
        <v/>
      </c>
      <c r="CZ11" s="1" t="str">
        <f ca="1">IFERROR(__xludf.DUMMYFUNCTION("if(CZ$2="""","""", index(GOOGLEFINANCE($B$11,""close"",CZ$2,TODAY()),2,2))"),"")</f>
        <v/>
      </c>
      <c r="DA11" s="1" t="str">
        <f ca="1">IFERROR(__xludf.DUMMYFUNCTION("if(DA$2="""","""", index(GOOGLEFINANCE($B$11,""close"",DA$2,TODAY()),2,2))"),"")</f>
        <v/>
      </c>
      <c r="DB11" s="1" t="str">
        <f ca="1">IFERROR(__xludf.DUMMYFUNCTION("if(DB$2="""","""", index(GOOGLEFINANCE($B$11,""close"",DB$2,TODAY()),2,2))"),"")</f>
        <v/>
      </c>
      <c r="DC11" s="1" t="str">
        <f ca="1">IFERROR(__xludf.DUMMYFUNCTION("if(DC$2="""","""", index(GOOGLEFINANCE($B$11,""close"",DC$2,TODAY()),2,2))"),"")</f>
        <v/>
      </c>
      <c r="DD11" s="1" t="str">
        <f ca="1">IFERROR(__xludf.DUMMYFUNCTION("if(DD$2="""","""", index(GOOGLEFINANCE($B$11,""close"",DD$2,TODAY()),2,2))"),"")</f>
        <v/>
      </c>
      <c r="DE11" s="1" t="str">
        <f ca="1">IFERROR(__xludf.DUMMYFUNCTION("if(DE$2="""","""", index(GOOGLEFINANCE($B$11,""close"",DE$2,TODAY()),2,2))"),"")</f>
        <v/>
      </c>
      <c r="DF11" s="1" t="str">
        <f ca="1">IFERROR(__xludf.DUMMYFUNCTION("if(DF$2="""","""", index(GOOGLEFINANCE($B$11,""close"",DF$2,TODAY()),2,2))"),"")</f>
        <v/>
      </c>
      <c r="DG11" s="1" t="str">
        <f ca="1">IFERROR(__xludf.DUMMYFUNCTION("if(DG$2="""","""", index(GOOGLEFINANCE($B$11,""close"",DG$2,TODAY()),2,2))"),"")</f>
        <v/>
      </c>
      <c r="DH11" s="1" t="str">
        <f ca="1">IFERROR(__xludf.DUMMYFUNCTION("if(DH$2="""","""", index(GOOGLEFINANCE($B$11,""close"",DH$2,TODAY()),2,2))"),"")</f>
        <v/>
      </c>
      <c r="DI11" s="1" t="str">
        <f ca="1">IFERROR(__xludf.DUMMYFUNCTION("if(DI$2="""","""", index(GOOGLEFINANCE($B$11,""close"",DI$2,TODAY()),2,2))"),"")</f>
        <v/>
      </c>
      <c r="DJ11" s="1" t="str">
        <f ca="1">IFERROR(__xludf.DUMMYFUNCTION("if(DJ$2="""","""", index(GOOGLEFINANCE($B$11,""close"",DJ$2,TODAY()),2,2))"),"")</f>
        <v/>
      </c>
      <c r="DK11" s="1" t="str">
        <f ca="1">IFERROR(__xludf.DUMMYFUNCTION("if(DK$2="""","""", index(GOOGLEFINANCE($B$11,""close"",DK$2,TODAY()),2,2))"),"")</f>
        <v/>
      </c>
      <c r="DL11" s="1" t="str">
        <f ca="1">IFERROR(__xludf.DUMMYFUNCTION("if(DL$2="""","""", index(GOOGLEFINANCE($B$11,""close"",DL$2,TODAY()),2,2))"),"")</f>
        <v/>
      </c>
      <c r="DM11" s="1" t="str">
        <f ca="1">IFERROR(__xludf.DUMMYFUNCTION("if(DM$2="""","""", index(GOOGLEFINANCE($B$11,""close"",DM$2,TODAY()),2,2))"),"")</f>
        <v/>
      </c>
      <c r="DN11" s="1" t="str">
        <f ca="1">IFERROR(__xludf.DUMMYFUNCTION("if(DN$2="""","""", index(GOOGLEFINANCE($B$11,""close"",DN$2,TODAY()),2,2))"),"")</f>
        <v/>
      </c>
      <c r="DO11" s="1" t="str">
        <f ca="1">IFERROR(__xludf.DUMMYFUNCTION("if(DO$2="""","""", index(GOOGLEFINANCE($B$11,""close"",DO$2,TODAY()),2,2))"),"")</f>
        <v/>
      </c>
      <c r="DP11" s="1" t="str">
        <f ca="1">IFERROR(__xludf.DUMMYFUNCTION("if(DP$2="""","""", index(GOOGLEFINANCE($B$11,""close"",DP$2,TODAY()),2,2))"),"")</f>
        <v/>
      </c>
      <c r="DQ11" s="1" t="str">
        <f ca="1">IFERROR(__xludf.DUMMYFUNCTION("if(DQ$2="""","""", index(GOOGLEFINANCE($B$11,""close"",DQ$2,TODAY()),2,2))"),"")</f>
        <v/>
      </c>
      <c r="DR11" s="1" t="str">
        <f ca="1">IFERROR(__xludf.DUMMYFUNCTION("if(DR$2="""","""", index(GOOGLEFINANCE($B$11,""close"",DR$2,TODAY()),2,2))"),"")</f>
        <v/>
      </c>
      <c r="DS11" s="1" t="str">
        <f ca="1">IFERROR(__xludf.DUMMYFUNCTION("if(DS$2="""","""", index(GOOGLEFINANCE($B$11,""close"",DS$2,TODAY()),2,2))"),"")</f>
        <v/>
      </c>
      <c r="DT11" s="1" t="str">
        <f ca="1">IFERROR(__xludf.DUMMYFUNCTION("if(DT$2="""","""", index(GOOGLEFINANCE($B$11,""close"",DT$2,TODAY()),2,2))"),"")</f>
        <v/>
      </c>
      <c r="DU11" s="1" t="str">
        <f ca="1">IFERROR(__xludf.DUMMYFUNCTION("if(DU$2="""","""", index(GOOGLEFINANCE($B$11,""close"",DU$2,TODAY()),2,2))"),"")</f>
        <v/>
      </c>
      <c r="DV11" s="1" t="str">
        <f ca="1">IFERROR(__xludf.DUMMYFUNCTION("if(DV$2="""","""", index(GOOGLEFINANCE($B$11,""close"",DV$2,TODAY()),2,2))"),"")</f>
        <v/>
      </c>
      <c r="DW11" s="1" t="str">
        <f ca="1">IFERROR(__xludf.DUMMYFUNCTION("if(DW$2="""","""", index(GOOGLEFINANCE($B$11,""close"",DW$2,TODAY()),2,2))"),"")</f>
        <v/>
      </c>
      <c r="DX11" s="1" t="str">
        <f ca="1">IFERROR(__xludf.DUMMYFUNCTION("if(DX$2="""","""", index(GOOGLEFINANCE($B$11,""close"",DX$2,TODAY()),2,2))"),"")</f>
        <v/>
      </c>
      <c r="DY11" s="1" t="str">
        <f ca="1">IFERROR(__xludf.DUMMYFUNCTION("if(DY$2="""","""", index(GOOGLEFINANCE($B$11,""close"",DY$2,TODAY()),2,2))"),"")</f>
        <v/>
      </c>
      <c r="DZ11" s="1" t="str">
        <f ca="1">IFERROR(__xludf.DUMMYFUNCTION("if(DZ$2="""","""", index(GOOGLEFINANCE($B$11,""close"",DZ$2,TODAY()),2,2))"),"")</f>
        <v/>
      </c>
      <c r="EA11" s="1" t="str">
        <f ca="1">IFERROR(__xludf.DUMMYFUNCTION("if(EA$2="""","""", index(GOOGLEFINANCE($B$11,""close"",EA$2,TODAY()),2,2))"),"")</f>
        <v/>
      </c>
      <c r="EB11" s="1" t="str">
        <f ca="1">IFERROR(__xludf.DUMMYFUNCTION("if(EB$2="""","""", index(GOOGLEFINANCE($B$11,""close"",EB$2,TODAY()),2,2))"),"")</f>
        <v/>
      </c>
      <c r="EC11" s="1" t="str">
        <f ca="1">IFERROR(__xludf.DUMMYFUNCTION("if(EC$2="""","""", index(GOOGLEFINANCE($B$11,""close"",EC$2,TODAY()),2,2))"),"")</f>
        <v/>
      </c>
      <c r="ED11" s="1" t="str">
        <f ca="1">IFERROR(__xludf.DUMMYFUNCTION("if(ED$2="""","""", index(GOOGLEFINANCE($B$11,""close"",ED$2,TODAY()),2,2))"),"")</f>
        <v/>
      </c>
      <c r="EE11" s="1" t="str">
        <f ca="1">IFERROR(__xludf.DUMMYFUNCTION("if(EE$2="""","""", index(GOOGLEFINANCE($B$11,""close"",EE$2,TODAY()),2,2))"),"")</f>
        <v/>
      </c>
      <c r="EF11" s="1" t="str">
        <f ca="1">IFERROR(__xludf.DUMMYFUNCTION("if(EF$2="""","""", index(GOOGLEFINANCE($B$11,""close"",EF$2,TODAY()),2,2))"),"")</f>
        <v/>
      </c>
      <c r="EG11" s="1" t="str">
        <f ca="1">IFERROR(__xludf.DUMMYFUNCTION("if(EG$2="""","""", index(GOOGLEFINANCE($B$11,""close"",EG$2,TODAY()),2,2))"),"")</f>
        <v/>
      </c>
      <c r="EH11" s="1" t="str">
        <f ca="1">IFERROR(__xludf.DUMMYFUNCTION("if(EH$2="""","""", index(GOOGLEFINANCE($B$11,""close"",EH$2,TODAY()),2,2))"),"")</f>
        <v/>
      </c>
      <c r="EI11" s="1" t="str">
        <f ca="1">IFERROR(__xludf.DUMMYFUNCTION("if(EI$2="""","""", index(GOOGLEFINANCE($B$11,""close"",EI$2,TODAY()),2,2))"),"")</f>
        <v/>
      </c>
      <c r="EJ11" s="1" t="str">
        <f ca="1">IFERROR(__xludf.DUMMYFUNCTION("if(EJ$2="""","""", index(GOOGLEFINANCE($B$11,""close"",EJ$2,TODAY()),2,2))"),"")</f>
        <v/>
      </c>
      <c r="EK11" s="1" t="str">
        <f ca="1">IFERROR(__xludf.DUMMYFUNCTION("if(EK$2="""","""", index(GOOGLEFINANCE($B$11,""close"",EK$2,TODAY()),2,2))"),"")</f>
        <v/>
      </c>
      <c r="EL11" s="1" t="str">
        <f ca="1">IFERROR(__xludf.DUMMYFUNCTION("if(EL$2="""","""", index(GOOGLEFINANCE($B$11,""close"",EL$2,TODAY()),2,2))"),"")</f>
        <v/>
      </c>
      <c r="EM11" s="1" t="str">
        <f ca="1">IFERROR(__xludf.DUMMYFUNCTION("if(EM$2="""","""", index(GOOGLEFINANCE($B$11,""close"",EM$2,TODAY()),2,2))"),"")</f>
        <v/>
      </c>
      <c r="EN11" s="1" t="str">
        <f ca="1">IFERROR(__xludf.DUMMYFUNCTION("if(EN$2="""","""", index(GOOGLEFINANCE($B$11,""close"",EN$2,TODAY()),2,2))"),"")</f>
        <v/>
      </c>
      <c r="EO11" s="1" t="str">
        <f ca="1">IFERROR(__xludf.DUMMYFUNCTION("if(EO$2="""","""", index(GOOGLEFINANCE($B$11,""close"",EO$2,TODAY()),2,2))"),"")</f>
        <v/>
      </c>
      <c r="EP11" s="1" t="str">
        <f ca="1">IFERROR(__xludf.DUMMYFUNCTION("if(EP$2="""","""", index(GOOGLEFINANCE($B$11,""close"",EP$2,TODAY()),2,2))"),"")</f>
        <v/>
      </c>
      <c r="EQ11" s="1" t="str">
        <f ca="1">IFERROR(__xludf.DUMMYFUNCTION("if(EQ$2="""","""", index(GOOGLEFINANCE($B$11,""close"",EQ$2,TODAY()),2,2))"),"")</f>
        <v/>
      </c>
      <c r="ER11" s="1" t="str">
        <f ca="1">IFERROR(__xludf.DUMMYFUNCTION("if(ER$2="""","""", index(GOOGLEFINANCE($B$11,""close"",ER$2,TODAY()),2,2))"),"")</f>
        <v/>
      </c>
      <c r="ES11" s="1" t="str">
        <f ca="1">IFERROR(__xludf.DUMMYFUNCTION("if(ES$2="""","""", index(GOOGLEFINANCE($B$11,""close"",ES$2,TODAY()),2,2))"),"")</f>
        <v/>
      </c>
      <c r="ET11" s="1" t="str">
        <f ca="1">IFERROR(__xludf.DUMMYFUNCTION("if(ET$2="""","""", index(GOOGLEFINANCE($B$11,""close"",ET$2,TODAY()),2,2))"),"")</f>
        <v/>
      </c>
      <c r="EU11" s="1" t="str">
        <f ca="1">IFERROR(__xludf.DUMMYFUNCTION("if(EU$2="""","""", index(GOOGLEFINANCE($B$11,""close"",EU$2,TODAY()),2,2))"),"")</f>
        <v/>
      </c>
      <c r="EV11" s="1" t="str">
        <f ca="1">IFERROR(__xludf.DUMMYFUNCTION("if(EV$2="""","""", index(GOOGLEFINANCE($B$11,""close"",EV$2,TODAY()),2,2))"),"")</f>
        <v/>
      </c>
      <c r="EW11" s="1" t="str">
        <f ca="1">IFERROR(__xludf.DUMMYFUNCTION("if(EW$2="""","""", index(GOOGLEFINANCE($B$11,""close"",EW$2,TODAY()),2,2))"),"")</f>
        <v/>
      </c>
      <c r="EX11" s="1" t="str">
        <f ca="1">IFERROR(__xludf.DUMMYFUNCTION("if(EX$2="""","""", index(GOOGLEFINANCE($B$11,""close"",EX$2,TODAY()),2,2))"),"")</f>
        <v/>
      </c>
      <c r="EY11" s="1" t="str">
        <f ca="1">IFERROR(__xludf.DUMMYFUNCTION("if(EY$2="""","""", index(GOOGLEFINANCE($B$11,""close"",EY$2,TODAY()),2,2))"),"")</f>
        <v/>
      </c>
      <c r="EZ11" s="1" t="str">
        <f ca="1">IFERROR(__xludf.DUMMYFUNCTION("if(EZ$2="""","""", index(GOOGLEFINANCE($B$11,""close"",EZ$2,TODAY()),2,2))"),"")</f>
        <v/>
      </c>
      <c r="FA11" s="1" t="str">
        <f ca="1">IFERROR(__xludf.DUMMYFUNCTION("if(FA$2="""","""", index(GOOGLEFINANCE($B$11,""close"",FA$2,TODAY()),2,2))"),"")</f>
        <v/>
      </c>
      <c r="FB11" s="1" t="str">
        <f ca="1">IFERROR(__xludf.DUMMYFUNCTION("if(FB$2="""","""", index(GOOGLEFINANCE($B$11,""close"",FB$2,TODAY()),2,2))"),"")</f>
        <v/>
      </c>
      <c r="FC11" s="1" t="str">
        <f ca="1">IFERROR(__xludf.DUMMYFUNCTION("if(FC$2="""","""", index(GOOGLEFINANCE($B$11,""close"",FC$2,TODAY()),2,2))"),"")</f>
        <v/>
      </c>
      <c r="FD11" s="1" t="str">
        <f ca="1">IFERROR(__xludf.DUMMYFUNCTION("if(FD$2="""","""", index(GOOGLEFINANCE($B$11,""close"",FD$2,TODAY()),2,2))"),"")</f>
        <v/>
      </c>
      <c r="FE11" s="1" t="str">
        <f ca="1">IFERROR(__xludf.DUMMYFUNCTION("if(FE$2="""","""", index(GOOGLEFINANCE($B$11,""close"",FE$2,TODAY()),2,2))"),"")</f>
        <v/>
      </c>
      <c r="FF11" s="1" t="str">
        <f ca="1">IFERROR(__xludf.DUMMYFUNCTION("if(FF$2="""","""", index(GOOGLEFINANCE($B$11,""close"",FF$2,TODAY()),2,2))"),"")</f>
        <v/>
      </c>
      <c r="FG11" s="1" t="str">
        <f ca="1">IFERROR(__xludf.DUMMYFUNCTION("if(FG$2="""","""", index(GOOGLEFINANCE($B$11,""close"",FG$2,TODAY()),2,2))"),"")</f>
        <v/>
      </c>
      <c r="FH11" s="1" t="str">
        <f ca="1">IFERROR(__xludf.DUMMYFUNCTION("if(FH$2="""","""", index(GOOGLEFINANCE($B$11,""close"",FH$2,TODAY()),2,2))"),"")</f>
        <v/>
      </c>
      <c r="FI11" s="1" t="str">
        <f ca="1">IFERROR(__xludf.DUMMYFUNCTION("if(FI$2="""","""", index(GOOGLEFINANCE($B$11,""close"",FI$2,TODAY()),2,2))"),"")</f>
        <v/>
      </c>
      <c r="FJ11" s="1" t="str">
        <f ca="1">IFERROR(__xludf.DUMMYFUNCTION("if(FJ$2="""","""", index(GOOGLEFINANCE($B$11,""close"",FJ$2,TODAY()),2,2))"),"")</f>
        <v/>
      </c>
      <c r="FK11" s="1" t="str">
        <f ca="1">IFERROR(__xludf.DUMMYFUNCTION("if(FK$2="""","""", index(GOOGLEFINANCE($B$11,""close"",FK$2,TODAY()),2,2))"),"")</f>
        <v/>
      </c>
      <c r="FL11" s="1" t="str">
        <f ca="1">IFERROR(__xludf.DUMMYFUNCTION("if(FL$2="""","""", index(GOOGLEFINANCE($B$11,""close"",FL$2,TODAY()),2,2))"),"")</f>
        <v/>
      </c>
      <c r="FM11" s="1" t="str">
        <f ca="1">IFERROR(__xludf.DUMMYFUNCTION("if(FM$2="""","""", index(GOOGLEFINANCE($B$11,""close"",FM$2,TODAY()),2,2))"),"")</f>
        <v/>
      </c>
      <c r="FN11" s="1" t="str">
        <f ca="1">IFERROR(__xludf.DUMMYFUNCTION("if(FN$2="""","""", index(GOOGLEFINANCE($B$11,""close"",FN$2,TODAY()),2,2))"),"")</f>
        <v/>
      </c>
      <c r="FO11" s="1" t="str">
        <f ca="1">IFERROR(__xludf.DUMMYFUNCTION("if(FO$2="""","""", index(GOOGLEFINANCE($B$11,""close"",FO$2,TODAY()),2,2))"),"")</f>
        <v/>
      </c>
      <c r="FP11" s="1" t="str">
        <f ca="1">IFERROR(__xludf.DUMMYFUNCTION("if(FP$2="""","""", index(GOOGLEFINANCE($B$11,""close"",FP$2,TODAY()),2,2))"),"")</f>
        <v/>
      </c>
      <c r="FQ11" s="1" t="str">
        <f ca="1">IFERROR(__xludf.DUMMYFUNCTION("if(FQ$2="""","""", index(GOOGLEFINANCE($B$11,""close"",FQ$2,TODAY()),2,2))"),"")</f>
        <v/>
      </c>
      <c r="FR11" s="1" t="str">
        <f ca="1">IFERROR(__xludf.DUMMYFUNCTION("if(FR$2="""","""", index(GOOGLEFINANCE($B$11,""close"",FR$2,TODAY()),2,2))"),"")</f>
        <v/>
      </c>
      <c r="FS11" s="1" t="str">
        <f ca="1">IFERROR(__xludf.DUMMYFUNCTION("if(FS$2="""","""", index(GOOGLEFINANCE($B$11,""close"",FS$2,TODAY()),2,2))"),"")</f>
        <v/>
      </c>
      <c r="FT11" s="1" t="str">
        <f ca="1">IFERROR(__xludf.DUMMYFUNCTION("if(FT$2="""","""", index(GOOGLEFINANCE($B$11,""close"",FT$2,TODAY()),2,2))"),"")</f>
        <v/>
      </c>
      <c r="FU11" s="1" t="str">
        <f ca="1">IFERROR(__xludf.DUMMYFUNCTION("if(FU$2="""","""", index(GOOGLEFINANCE($B$11,""close"",FU$2,TODAY()),2,2))"),"")</f>
        <v/>
      </c>
      <c r="FV11" s="1" t="str">
        <f ca="1">IFERROR(__xludf.DUMMYFUNCTION("if(FV$2="""","""", index(GOOGLEFINANCE($B$11,""close"",FV$2,TODAY()),2,2))"),"")</f>
        <v/>
      </c>
      <c r="FW11" s="1" t="str">
        <f ca="1">IFERROR(__xludf.DUMMYFUNCTION("if(FW$2="""","""", index(GOOGLEFINANCE($B$11,""close"",FW$2,TODAY()),2,2))"),"")</f>
        <v/>
      </c>
      <c r="FX11" s="1" t="str">
        <f ca="1">IFERROR(__xludf.DUMMYFUNCTION("if(FX$2="""","""", index(GOOGLEFINANCE($B$11,""close"",FX$2,TODAY()),2,2))"),"")</f>
        <v/>
      </c>
      <c r="FY11" s="1" t="str">
        <f ca="1">IFERROR(__xludf.DUMMYFUNCTION("if(FY$2="""","""", index(GOOGLEFINANCE($B$11,""close"",FY$2,TODAY()),2,2))"),"")</f>
        <v/>
      </c>
      <c r="FZ11" s="1" t="str">
        <f ca="1">IFERROR(__xludf.DUMMYFUNCTION("if(FZ$2="""","""", index(GOOGLEFINANCE($B$11,""close"",FZ$2,TODAY()),2,2))"),"")</f>
        <v/>
      </c>
      <c r="GA11" s="1" t="str">
        <f ca="1">IFERROR(__xludf.DUMMYFUNCTION("if(GA$2="""","""", index(GOOGLEFINANCE($B$11,""close"",GA$2,TODAY()),2,2))"),"")</f>
        <v/>
      </c>
      <c r="GB11" s="1" t="str">
        <f ca="1">IFERROR(__xludf.DUMMYFUNCTION("if(GB$2="""","""", index(GOOGLEFINANCE($B$11,""close"",GB$2,TODAY()),2,2))"),"")</f>
        <v/>
      </c>
      <c r="GC11" s="1" t="str">
        <f ca="1">IFERROR(__xludf.DUMMYFUNCTION("if(GC$2="""","""", index(GOOGLEFINANCE($B$11,""close"",GC$2,TODAY()),2,2))"),"")</f>
        <v/>
      </c>
      <c r="GD11" s="1" t="str">
        <f ca="1">IFERROR(__xludf.DUMMYFUNCTION("if(GD$2="""","""", index(GOOGLEFINANCE($B$11,""close"",GD$2,TODAY()),2,2))"),"")</f>
        <v/>
      </c>
      <c r="GE11" s="1" t="str">
        <f ca="1">IFERROR(__xludf.DUMMYFUNCTION("if(GE$2="""","""", index(GOOGLEFINANCE($B$11,""close"",GE$2,TODAY()),2,2))"),"")</f>
        <v/>
      </c>
      <c r="GF11" s="1" t="str">
        <f ca="1">IFERROR(__xludf.DUMMYFUNCTION("if(GF$2="""","""", index(GOOGLEFINANCE($B$11,""close"",GF$2,TODAY()),2,2))"),"")</f>
        <v/>
      </c>
      <c r="GG11" s="1" t="str">
        <f ca="1">IFERROR(__xludf.DUMMYFUNCTION("if(GG$2="""","""", index(GOOGLEFINANCE($B$11,""close"",GG$2,TODAY()),2,2))"),"")</f>
        <v/>
      </c>
      <c r="GH11" s="1" t="str">
        <f ca="1">IFERROR(__xludf.DUMMYFUNCTION("if(GH$2="""","""", index(GOOGLEFINANCE($B$11,""close"",GH$2,TODAY()),2,2))"),"")</f>
        <v/>
      </c>
      <c r="GI11" s="1" t="str">
        <f ca="1">IFERROR(__xludf.DUMMYFUNCTION("if(GI$2="""","""", index(GOOGLEFINANCE($B$11,""close"",GI$2,TODAY()),2,2))"),"")</f>
        <v/>
      </c>
      <c r="GJ11" s="1" t="str">
        <f ca="1">IFERROR(__xludf.DUMMYFUNCTION("if(GJ$2="""","""", index(GOOGLEFINANCE($B$11,""close"",GJ$2,TODAY()),2,2))"),"")</f>
        <v/>
      </c>
      <c r="GK11" s="1" t="str">
        <f ca="1">IFERROR(__xludf.DUMMYFUNCTION("if(GK$2="""","""", index(GOOGLEFINANCE($B$11,""close"",GK$2,TODAY()),2,2))"),"")</f>
        <v/>
      </c>
      <c r="GL11" s="1" t="str">
        <f ca="1">IFERROR(__xludf.DUMMYFUNCTION("if(GL$2="""","""", index(GOOGLEFINANCE($B$11,""close"",GL$2,TODAY()),2,2))"),"")</f>
        <v/>
      </c>
      <c r="GM11" s="1" t="str">
        <f ca="1">IFERROR(__xludf.DUMMYFUNCTION("if(GM$2="""","""", index(GOOGLEFINANCE($B$11,""close"",GM$2,TODAY()),2,2))"),"")</f>
        <v/>
      </c>
      <c r="GN11" s="1" t="str">
        <f ca="1">IFERROR(__xludf.DUMMYFUNCTION("if(GN$2="""","""", index(GOOGLEFINANCE($B$11,""close"",GN$2,TODAY()),2,2))"),"")</f>
        <v/>
      </c>
      <c r="GO11" s="1" t="str">
        <f ca="1">IFERROR(__xludf.DUMMYFUNCTION("if(GO$2="""","""", index(GOOGLEFINANCE($B$11,""close"",GO$2,TODAY()),2,2))"),"")</f>
        <v/>
      </c>
      <c r="GP11" s="1" t="str">
        <f ca="1">IFERROR(__xludf.DUMMYFUNCTION("if(GP$2="""","""", index(GOOGLEFINANCE($B$11,""close"",GP$2,TODAY()),2,2))"),"")</f>
        <v/>
      </c>
      <c r="GQ11" s="1" t="str">
        <f ca="1">IFERROR(__xludf.DUMMYFUNCTION("if(GQ$2="""","""", index(GOOGLEFINANCE($B$11,""close"",GQ$2,TODAY()),2,2))"),"")</f>
        <v/>
      </c>
      <c r="GR11" s="1" t="str">
        <f ca="1">IFERROR(__xludf.DUMMYFUNCTION("if(GR$2="""","""", index(GOOGLEFINANCE($B$11,""close"",GR$2,TODAY()),2,2))"),"")</f>
        <v/>
      </c>
      <c r="GS11" s="1" t="str">
        <f ca="1">IFERROR(__xludf.DUMMYFUNCTION("if(GS$2="""","""", index(GOOGLEFINANCE($B$11,""close"",GS$2,TODAY()),2,2))"),"")</f>
        <v/>
      </c>
      <c r="GT11" s="1" t="str">
        <f ca="1">IFERROR(__xludf.DUMMYFUNCTION("if(GT$2="""","""", index(GOOGLEFINANCE($B$11,""close"",GT$2,TODAY()),2,2))"),"")</f>
        <v/>
      </c>
      <c r="GU11" s="1" t="str">
        <f ca="1">IFERROR(__xludf.DUMMYFUNCTION("if(GU$2="""","""", index(GOOGLEFINANCE($B$11,""close"",GU$2,TODAY()),2,2))"),"")</f>
        <v/>
      </c>
      <c r="GV11" s="1" t="str">
        <f ca="1">IFERROR(__xludf.DUMMYFUNCTION("if(GV$2="""","""", index(GOOGLEFINANCE($B$11,""close"",GV$2,TODAY()),2,2))"),"")</f>
        <v/>
      </c>
      <c r="GW11" s="1" t="str">
        <f ca="1">IFERROR(__xludf.DUMMYFUNCTION("if(GW$2="""","""", index(GOOGLEFINANCE($B$11,""close"",GW$2,TODAY()),2,2))"),"")</f>
        <v/>
      </c>
      <c r="GX11" s="1" t="str">
        <f ca="1">IFERROR(__xludf.DUMMYFUNCTION("if(GX$2="""","""", index(GOOGLEFINANCE($B$11,""close"",GX$2,TODAY()),2,2))"),"")</f>
        <v/>
      </c>
      <c r="GY11" s="1" t="str">
        <f ca="1">IFERROR(__xludf.DUMMYFUNCTION("if(GY$2="""","""", index(GOOGLEFINANCE($B$11,""close"",GY$2,TODAY()),2,2))"),"")</f>
        <v/>
      </c>
      <c r="GZ11" s="1" t="str">
        <f ca="1">IFERROR(__xludf.DUMMYFUNCTION("if(GZ$2="""","""", index(GOOGLEFINANCE($B$11,""close"",GZ$2,TODAY()),2,2))"),"")</f>
        <v/>
      </c>
      <c r="HA11" s="1" t="str">
        <f ca="1">IFERROR(__xludf.DUMMYFUNCTION("if(HA$2="""","""", index(GOOGLEFINANCE($B$11,""close"",HA$2,TODAY()),2,2))"),"")</f>
        <v/>
      </c>
      <c r="HB11" s="1" t="str">
        <f ca="1">IFERROR(__xludf.DUMMYFUNCTION("if(HB$2="""","""", index(GOOGLEFINANCE($B$11,""close"",HB$2,TODAY()),2,2))"),"")</f>
        <v/>
      </c>
      <c r="HC11" s="1" t="str">
        <f ca="1">IFERROR(__xludf.DUMMYFUNCTION("if(HC$2="""","""", index(GOOGLEFINANCE($B$11,""close"",HC$2,TODAY()),2,2))"),"")</f>
        <v/>
      </c>
      <c r="HD11" s="1" t="str">
        <f ca="1">IFERROR(__xludf.DUMMYFUNCTION("if(HD$2="""","""", index(GOOGLEFINANCE($B$11,""close"",HD$2,TODAY()),2,2))"),"")</f>
        <v/>
      </c>
      <c r="HE11" s="1" t="str">
        <f ca="1">IFERROR(__xludf.DUMMYFUNCTION("if(HE$2="""","""", index(GOOGLEFINANCE($B$11,""close"",HE$2,TODAY()),2,2))"),"")</f>
        <v/>
      </c>
      <c r="HF11" s="1" t="str">
        <f ca="1">IFERROR(__xludf.DUMMYFUNCTION("if(HF$2="""","""", index(GOOGLEFINANCE($B$11,""close"",HF$2,TODAY()),2,2))"),"")</f>
        <v/>
      </c>
      <c r="HG11" s="1" t="str">
        <f ca="1">IFERROR(__xludf.DUMMYFUNCTION("if(HG$2="""","""", index(GOOGLEFINANCE($B$11,""close"",HG$2,TODAY()),2,2))"),"")</f>
        <v/>
      </c>
      <c r="HH11" s="1" t="str">
        <f ca="1">IFERROR(__xludf.DUMMYFUNCTION("if(HH$2="""","""", index(GOOGLEFINANCE($B$11,""close"",HH$2,TODAY()),2,2))"),"")</f>
        <v/>
      </c>
      <c r="HI11" s="1" t="str">
        <f ca="1">IFERROR(__xludf.DUMMYFUNCTION("if(HI$2="""","""", index(GOOGLEFINANCE($B$11,""close"",HI$2,TODAY()),2,2))"),"")</f>
        <v/>
      </c>
      <c r="HJ11" s="1" t="str">
        <f ca="1">IFERROR(__xludf.DUMMYFUNCTION("if(HJ$2="""","""", index(GOOGLEFINANCE($B$11,""close"",HJ$2,TODAY()),2,2))"),"")</f>
        <v/>
      </c>
      <c r="HK11" s="1" t="str">
        <f ca="1">IFERROR(__xludf.DUMMYFUNCTION("if(HK$2="""","""", index(GOOGLEFINANCE($B$11,""close"",HK$2,TODAY()),2,2))"),"")</f>
        <v/>
      </c>
      <c r="HL11" s="1" t="str">
        <f ca="1">IFERROR(__xludf.DUMMYFUNCTION("if(HL$2="""","""", index(GOOGLEFINANCE($B$11,""close"",HL$2,TODAY()),2,2))"),"")</f>
        <v/>
      </c>
      <c r="HM11" s="1" t="str">
        <f ca="1">IFERROR(__xludf.DUMMYFUNCTION("if(HM$2="""","""", index(GOOGLEFINANCE($B$11,""close"",HM$2,TODAY()),2,2))"),"")</f>
        <v/>
      </c>
      <c r="HN11" s="1" t="str">
        <f ca="1">IFERROR(__xludf.DUMMYFUNCTION("if(HN$2="""","""", index(GOOGLEFINANCE($B$11,""close"",HN$2,TODAY()),2,2))"),"")</f>
        <v/>
      </c>
      <c r="HO11" s="1" t="str">
        <f ca="1">IFERROR(__xludf.DUMMYFUNCTION("if(HO$2="""","""", index(GOOGLEFINANCE($B$11,""close"",HO$2,TODAY()),2,2))"),"")</f>
        <v/>
      </c>
      <c r="HP11" s="1" t="str">
        <f ca="1">IFERROR(__xludf.DUMMYFUNCTION("if(HP$2="""","""", index(GOOGLEFINANCE($B$11,""close"",HP$2,TODAY()),2,2))"),"")</f>
        <v/>
      </c>
      <c r="HQ11" s="1" t="str">
        <f ca="1">IFERROR(__xludf.DUMMYFUNCTION("if(HQ$2="""","""", index(GOOGLEFINANCE($B$11,""close"",HQ$2,TODAY()),2,2))"),"")</f>
        <v/>
      </c>
      <c r="HR11" s="1" t="str">
        <f ca="1">IFERROR(__xludf.DUMMYFUNCTION("if(HR$2="""","""", index(GOOGLEFINANCE($B$11,""close"",HR$2,TODAY()),2,2))"),"")</f>
        <v/>
      </c>
      <c r="HS11" s="1" t="str">
        <f ca="1">IFERROR(__xludf.DUMMYFUNCTION("if(HS$2="""","""", index(GOOGLEFINANCE($B$11,""close"",HS$2,TODAY()),2,2))"),"")</f>
        <v/>
      </c>
      <c r="HT11" s="1" t="str">
        <f ca="1">IFERROR(__xludf.DUMMYFUNCTION("if(HT$2="""","""", index(GOOGLEFINANCE($B$11,""close"",HT$2,TODAY()),2,2))"),"")</f>
        <v/>
      </c>
      <c r="HU11" s="1" t="str">
        <f ca="1">IFERROR(__xludf.DUMMYFUNCTION("if(HU$2="""","""", index(GOOGLEFINANCE($B$11,""close"",HU$2,TODAY()),2,2))"),"")</f>
        <v/>
      </c>
      <c r="HV11" s="1" t="str">
        <f ca="1">IFERROR(__xludf.DUMMYFUNCTION("if(HV$2="""","""", index(GOOGLEFINANCE($B$11,""close"",HV$2,TODAY()),2,2))"),"")</f>
        <v/>
      </c>
      <c r="HW11" s="1" t="str">
        <f ca="1">IFERROR(__xludf.DUMMYFUNCTION("if(HW$2="""","""", index(GOOGLEFINANCE($B$11,""close"",HW$2,TODAY()),2,2))"),"")</f>
        <v/>
      </c>
      <c r="HX11" s="1" t="str">
        <f ca="1">IFERROR(__xludf.DUMMYFUNCTION("if(HX$2="""","""", index(GOOGLEFINANCE($B$11,""close"",HX$2,TODAY()),2,2))"),"")</f>
        <v/>
      </c>
      <c r="HY11" s="1" t="str">
        <f ca="1">IFERROR(__xludf.DUMMYFUNCTION("if(HY$2="""","""", index(GOOGLEFINANCE($B$11,""close"",HY$2,TODAY()),2,2))"),"")</f>
        <v/>
      </c>
      <c r="HZ11" s="1" t="str">
        <f ca="1">IFERROR(__xludf.DUMMYFUNCTION("if(HZ$2="""","""", index(GOOGLEFINANCE($B$11,""close"",HZ$2,TODAY()),2,2))"),"")</f>
        <v/>
      </c>
      <c r="IA11" s="1" t="str">
        <f ca="1">IFERROR(__xludf.DUMMYFUNCTION("if(IA$2="""","""", index(GOOGLEFINANCE($B$11,""close"",IA$2,TODAY()),2,2))"),"")</f>
        <v/>
      </c>
      <c r="IB11" s="1" t="str">
        <f ca="1">IFERROR(__xludf.DUMMYFUNCTION("if(IB$2="""","""", index(GOOGLEFINANCE($B$11,""close"",IB$2,TODAY()),2,2))"),"")</f>
        <v/>
      </c>
      <c r="IC11" s="1" t="str">
        <f ca="1">IFERROR(__xludf.DUMMYFUNCTION("if(IC$2="""","""", index(GOOGLEFINANCE($B$11,""close"",IC$2,TODAY()),2,2))"),"")</f>
        <v/>
      </c>
      <c r="ID11" s="1" t="str">
        <f ca="1">IFERROR(__xludf.DUMMYFUNCTION("if(ID$2="""","""", index(GOOGLEFINANCE($B$11,""close"",ID$2,TODAY()),2,2))"),"")</f>
        <v/>
      </c>
      <c r="IE11" s="1" t="str">
        <f ca="1">IFERROR(__xludf.DUMMYFUNCTION("if(IE$2="""","""", index(GOOGLEFINANCE($B$11,""close"",IE$2,TODAY()),2,2))"),"")</f>
        <v/>
      </c>
      <c r="IF11" s="1" t="str">
        <f ca="1">IFERROR(__xludf.DUMMYFUNCTION("if(IF$2="""","""", index(GOOGLEFINANCE($B$11,""close"",IF$2,TODAY()),2,2))"),"")</f>
        <v/>
      </c>
      <c r="IG11" s="1" t="str">
        <f ca="1">IFERROR(__xludf.DUMMYFUNCTION("if(IG$2="""","""", index(GOOGLEFINANCE($B$11,""close"",IG$2,TODAY()),2,2))"),"")</f>
        <v/>
      </c>
      <c r="IH11" s="1" t="str">
        <f ca="1">IFERROR(__xludf.DUMMYFUNCTION("if(IH$2="""","""", index(GOOGLEFINANCE($B$11,""close"",IH$2,TODAY()),2,2))"),"")</f>
        <v/>
      </c>
      <c r="II11" s="1" t="str">
        <f ca="1">IFERROR(__xludf.DUMMYFUNCTION("if(II$2="""","""", index(GOOGLEFINANCE($B$11,""close"",II$2,TODAY()),2,2))"),"")</f>
        <v/>
      </c>
      <c r="IJ11" s="1" t="str">
        <f ca="1">IFERROR(__xludf.DUMMYFUNCTION("if(IJ$2="""","""", index(GOOGLEFINANCE($B$11,""close"",IJ$2,TODAY()),2,2))"),"")</f>
        <v/>
      </c>
      <c r="IK11" s="1" t="str">
        <f ca="1">IFERROR(__xludf.DUMMYFUNCTION("if(IK$2="""","""", index(GOOGLEFINANCE($B$11,""close"",IK$2,TODAY()),2,2))"),"")</f>
        <v/>
      </c>
      <c r="IL11" s="1" t="str">
        <f ca="1">IFERROR(__xludf.DUMMYFUNCTION("if(IL$2="""","""", index(GOOGLEFINANCE($B$11,""close"",IL$2,TODAY()),2,2))"),"")</f>
        <v/>
      </c>
      <c r="IM11" s="1" t="str">
        <f ca="1">IFERROR(__xludf.DUMMYFUNCTION("if(IM$2="""","""", index(GOOGLEFINANCE($B$11,""close"",IM$2,TODAY()),2,2))"),"")</f>
        <v/>
      </c>
      <c r="IN11" s="1" t="str">
        <f ca="1">IFERROR(__xludf.DUMMYFUNCTION("if(IN$2="""","""", index(GOOGLEFINANCE($B$11,""close"",IN$2,TODAY()),2,2))"),"")</f>
        <v/>
      </c>
      <c r="IO11" s="1" t="str">
        <f ca="1">IFERROR(__xludf.DUMMYFUNCTION("if(IO$2="""","""", index(GOOGLEFINANCE($B$11,""close"",IO$2,TODAY()),2,2))"),"")</f>
        <v/>
      </c>
      <c r="IP11" s="1" t="str">
        <f ca="1">IFERROR(__xludf.DUMMYFUNCTION("if(IP$2="""","""", index(GOOGLEFINANCE($B$11,""close"",IP$2,TODAY()),2,2))"),"")</f>
        <v/>
      </c>
      <c r="IQ11" s="1" t="str">
        <f ca="1">IFERROR(__xludf.DUMMYFUNCTION("if(IQ$2="""","""", index(GOOGLEFINANCE($B$11,""close"",IQ$2,TODAY()),2,2))"),"")</f>
        <v/>
      </c>
      <c r="IR11" s="1" t="str">
        <f ca="1">IFERROR(__xludf.DUMMYFUNCTION("if(IR$2="""","""", index(GOOGLEFINANCE($B$11,""close"",IR$2,TODAY()),2,2))"),"")</f>
        <v/>
      </c>
      <c r="IS11" s="1" t="str">
        <f ca="1">IFERROR(__xludf.DUMMYFUNCTION("if(IS$2="""","""", index(GOOGLEFINANCE($B$11,""close"",IS$2,TODAY()),2,2))"),"")</f>
        <v/>
      </c>
      <c r="IT11" s="1" t="str">
        <f ca="1">IFERROR(__xludf.DUMMYFUNCTION("if(IT$2="""","""", index(GOOGLEFINANCE($B$11,""close"",IT$2,TODAY()),2,2))"),"")</f>
        <v/>
      </c>
      <c r="IU11" s="1" t="str">
        <f ca="1">IFERROR(__xludf.DUMMYFUNCTION("if(IU$2="""","""", index(GOOGLEFINANCE($B$11,""close"",IU$2,TODAY()),2,2))"),"")</f>
        <v/>
      </c>
      <c r="IV11" s="1" t="str">
        <f ca="1">IFERROR(__xludf.DUMMYFUNCTION("if(IV$2="""","""", index(GOOGLEFINANCE($B$11,""close"",IV$2,TODAY()),2,2))"),"")</f>
        <v/>
      </c>
      <c r="IW11" s="1" t="str">
        <f ca="1">IFERROR(__xludf.DUMMYFUNCTION("if(IW$2="""","""", index(GOOGLEFINANCE($B$11,""close"",IW$2,TODAY()),2,2))"),"")</f>
        <v/>
      </c>
      <c r="IX11" s="1" t="str">
        <f ca="1">IFERROR(__xludf.DUMMYFUNCTION("if(IX$2="""","""", index(GOOGLEFINANCE($B$11,""close"",IX$2,TODAY()),2,2))"),"")</f>
        <v/>
      </c>
      <c r="IY11" s="1" t="str">
        <f ca="1">IFERROR(__xludf.DUMMYFUNCTION("if(IY$2="""","""", index(GOOGLEFINANCE($B$11,""close"",IY$2,TODAY()),2,2))"),"")</f>
        <v/>
      </c>
      <c r="IZ11" s="1" t="str">
        <f ca="1">IFERROR(__xludf.DUMMYFUNCTION("if(IZ$2="""","""", index(GOOGLEFINANCE($B$11,""close"",IZ$2,TODAY()),2,2))"),"")</f>
        <v/>
      </c>
      <c r="JA11" s="1" t="str">
        <f ca="1">IFERROR(__xludf.DUMMYFUNCTION("if(JA$2="""","""", index(GOOGLEFINANCE($B$11,""close"",JA$2,TODAY()),2,2))"),"")</f>
        <v/>
      </c>
      <c r="JB11" s="1" t="str">
        <f ca="1">IFERROR(__xludf.DUMMYFUNCTION("if(JB$2="""","""", index(GOOGLEFINANCE($B$11,""close"",JB$2,TODAY()),2,2))"),"")</f>
        <v/>
      </c>
      <c r="JC11" s="1" t="str">
        <f ca="1">IFERROR(__xludf.DUMMYFUNCTION("if(JC$2="""","""", index(GOOGLEFINANCE($B$11,""close"",JC$2,TODAY()),2,2))"),"")</f>
        <v/>
      </c>
      <c r="JD11" s="1" t="str">
        <f ca="1">IFERROR(__xludf.DUMMYFUNCTION("if(JD$2="""","""", index(GOOGLEFINANCE($B$11,""close"",JD$2,TODAY()),2,2))"),"")</f>
        <v/>
      </c>
      <c r="JE11" s="1" t="str">
        <f ca="1">IFERROR(__xludf.DUMMYFUNCTION("if(JE$2="""","""", index(GOOGLEFINANCE($B$11,""close"",JE$2,TODAY()),2,2))"),"")</f>
        <v/>
      </c>
      <c r="JF11" s="1" t="str">
        <f ca="1">IFERROR(__xludf.DUMMYFUNCTION("if(JF$2="""","""", index(GOOGLEFINANCE($B$11,""close"",JF$2,TODAY()),2,2))"),"")</f>
        <v/>
      </c>
      <c r="JG11" s="1" t="str">
        <f ca="1">IFERROR(__xludf.DUMMYFUNCTION("if(JG$2="""","""", index(GOOGLEFINANCE($B$11,""close"",JG$2,TODAY()),2,2))"),"")</f>
        <v/>
      </c>
      <c r="JH11" s="1" t="str">
        <f ca="1">IFERROR(__xludf.DUMMYFUNCTION("if(JH$2="""","""", index(GOOGLEFINANCE($B$11,""close"",JH$2,TODAY()),2,2))"),"")</f>
        <v/>
      </c>
      <c r="JI11" s="1" t="str">
        <f ca="1">IFERROR(__xludf.DUMMYFUNCTION("if(JI$2="""","""", index(GOOGLEFINANCE($B$11,""close"",JI$2,TODAY()),2,2))"),"")</f>
        <v/>
      </c>
      <c r="JJ11" s="1" t="str">
        <f ca="1">IFERROR(__xludf.DUMMYFUNCTION("if(JJ$2="""","""", index(GOOGLEFINANCE($B$11,""close"",JJ$2,TODAY()),2,2))"),"")</f>
        <v/>
      </c>
      <c r="JK11" s="1" t="str">
        <f ca="1">IFERROR(__xludf.DUMMYFUNCTION("if(JK$2="""","""", index(GOOGLEFINANCE($B$11,""close"",JK$2,TODAY()),2,2))"),"")</f>
        <v/>
      </c>
      <c r="JL11" s="1" t="str">
        <f ca="1">IFERROR(__xludf.DUMMYFUNCTION("if(JL$2="""","""", index(GOOGLEFINANCE($B$11,""close"",JL$2,TODAY()),2,2))"),"")</f>
        <v/>
      </c>
      <c r="JM11" s="1" t="str">
        <f ca="1">IFERROR(__xludf.DUMMYFUNCTION("if(JM$2="""","""", index(GOOGLEFINANCE($B$11,""close"",JM$2,TODAY()),2,2))"),"")</f>
        <v/>
      </c>
      <c r="JN11" s="1" t="str">
        <f ca="1">IFERROR(__xludf.DUMMYFUNCTION("if(JN$2="""","""", index(GOOGLEFINANCE($B$11,""close"",JN$2,TODAY()),2,2))"),"")</f>
        <v/>
      </c>
      <c r="JO11" s="1" t="str">
        <f ca="1">IFERROR(__xludf.DUMMYFUNCTION("if(JO$2="""","""", index(GOOGLEFINANCE($B$11,""close"",JO$2,TODAY()),2,2))"),"")</f>
        <v/>
      </c>
      <c r="JP11" s="1" t="str">
        <f ca="1">IFERROR(__xludf.DUMMYFUNCTION("if(JP$2="""","""", index(GOOGLEFINANCE($B$11,""close"",JP$2,TODAY()),2,2))"),"")</f>
        <v/>
      </c>
      <c r="JQ11" s="1" t="str">
        <f ca="1">IFERROR(__xludf.DUMMYFUNCTION("if(JQ$2="""","""", index(GOOGLEFINANCE($B$11,""close"",JQ$2,TODAY()),2,2))"),"")</f>
        <v/>
      </c>
      <c r="JR11" s="1" t="str">
        <f ca="1">IFERROR(__xludf.DUMMYFUNCTION("if(JR$2="""","""", index(GOOGLEFINANCE($B$11,""close"",JR$2,TODAY()),2,2))"),"")</f>
        <v/>
      </c>
      <c r="JS11" s="1" t="str">
        <f ca="1">IFERROR(__xludf.DUMMYFUNCTION("if(JS$2="""","""", index(GOOGLEFINANCE($B$11,""close"",JS$2,TODAY()),2,2))"),"")</f>
        <v/>
      </c>
      <c r="JT11" s="1" t="str">
        <f ca="1">IFERROR(__xludf.DUMMYFUNCTION("if(JT$2="""","""", index(GOOGLEFINANCE($B$11,""close"",JT$2,TODAY()),2,2))"),"")</f>
        <v/>
      </c>
      <c r="JU11" s="1" t="str">
        <f ca="1">IFERROR(__xludf.DUMMYFUNCTION("if(JU$2="""","""", index(GOOGLEFINANCE($B$11,""close"",JU$2,TODAY()),2,2))"),"")</f>
        <v/>
      </c>
      <c r="JV11" s="1" t="str">
        <f ca="1">IFERROR(__xludf.DUMMYFUNCTION("if(JV$2="""","""", index(GOOGLEFINANCE($B$11,""close"",JV$2,TODAY()),2,2))"),"")</f>
        <v/>
      </c>
      <c r="JW11" s="1" t="str">
        <f ca="1">IFERROR(__xludf.DUMMYFUNCTION("if(JW$2="""","""", index(GOOGLEFINANCE($B$11,""close"",JW$2,TODAY()),2,2))"),"")</f>
        <v/>
      </c>
      <c r="JX11" s="1" t="str">
        <f ca="1">IFERROR(__xludf.DUMMYFUNCTION("if(JX$2="""","""", index(GOOGLEFINANCE($B$11,""close"",JX$2,TODAY()),2,2))"),"")</f>
        <v/>
      </c>
      <c r="JY11" s="1" t="str">
        <f ca="1">IFERROR(__xludf.DUMMYFUNCTION("if(JY$2="""","""", index(GOOGLEFINANCE($B$11,""close"",JY$2,TODAY()),2,2))"),"")</f>
        <v/>
      </c>
      <c r="JZ11" s="1" t="str">
        <f ca="1">IFERROR(__xludf.DUMMYFUNCTION("if(JZ$2="""","""", index(GOOGLEFINANCE($B$11,""close"",JZ$2,TODAY()),2,2))"),"")</f>
        <v/>
      </c>
      <c r="KA11" s="1" t="str">
        <f ca="1">IFERROR(__xludf.DUMMYFUNCTION("if(KA$2="""","""", index(GOOGLEFINANCE($B$11,""close"",KA$2,TODAY()),2,2))"),"")</f>
        <v/>
      </c>
      <c r="KB11" s="1" t="str">
        <f ca="1">IFERROR(__xludf.DUMMYFUNCTION("if(KB$2="""","""", index(GOOGLEFINANCE($B$11,""close"",KB$2,TODAY()),2,2))"),"")</f>
        <v/>
      </c>
      <c r="KC11" s="1" t="str">
        <f ca="1">IFERROR(__xludf.DUMMYFUNCTION("if(KC$2="""","""", index(GOOGLEFINANCE($B$11,""close"",KC$2,TODAY()),2,2))"),"")</f>
        <v/>
      </c>
      <c r="KD11" s="1" t="str">
        <f ca="1">IFERROR(__xludf.DUMMYFUNCTION("if(KD$2="""","""", index(GOOGLEFINANCE($B$11,""close"",KD$2,TODAY()),2,2))"),"")</f>
        <v/>
      </c>
      <c r="KE11" s="1" t="str">
        <f ca="1">IFERROR(__xludf.DUMMYFUNCTION("if(KE$2="""","""", index(GOOGLEFINANCE($B$11,""close"",KE$2,TODAY()),2,2))"),"")</f>
        <v/>
      </c>
      <c r="KF11" s="1" t="str">
        <f ca="1">IFERROR(__xludf.DUMMYFUNCTION("if(KF$2="""","""", index(GOOGLEFINANCE($B$11,""close"",KF$2,TODAY()),2,2))"),"")</f>
        <v/>
      </c>
      <c r="KG11" s="1" t="str">
        <f ca="1">IFERROR(__xludf.DUMMYFUNCTION("if(KG$2="""","""", index(GOOGLEFINANCE($B$11,""close"",KG$2,TODAY()),2,2))"),"")</f>
        <v/>
      </c>
    </row>
    <row r="12" spans="1:319" ht="15.75" customHeight="1">
      <c r="A12" s="18" t="s">
        <v>30</v>
      </c>
      <c r="B12" s="6" t="s">
        <v>56</v>
      </c>
      <c r="C12" s="1">
        <f ca="1">IFERROR(__xludf.DUMMYFUNCTION("if(C$2="""","""", index(GOOGLEFINANCE($B$12,""close"",C$2,TODAY()),2,2))"),138.95)</f>
        <v>138.94999999999999</v>
      </c>
      <c r="D12" s="1">
        <f ca="1">IFERROR(__xludf.DUMMYFUNCTION("if(D$2="""","""", index(GOOGLEFINANCE($B$12,""close"",D$2,TODAY()),2,2))"),136.96)</f>
        <v>136.96</v>
      </c>
      <c r="E12" s="1">
        <f ca="1">IFERROR(__xludf.DUMMYFUNCTION("if(E$2="""","""", index(GOOGLEFINANCE($B$12,""close"",E$2,TODAY()),2,2))"),133.22)</f>
        <v>133.22</v>
      </c>
      <c r="F12" s="1">
        <f ca="1">IFERROR(__xludf.DUMMYFUNCTION("if(F$2="""","""", index(GOOGLEFINANCE($B$12,""close"",F$2,TODAY()),2,2))"),134.79)</f>
        <v>134.79</v>
      </c>
      <c r="G12" s="1">
        <f ca="1">IFERROR(__xludf.DUMMYFUNCTION("if(G$2="""","""", index(GOOGLEFINANCE($B$12,""close"",G$2,TODAY()),2,2))"),134.02)</f>
        <v>134.02000000000001</v>
      </c>
      <c r="H12" s="1">
        <f ca="1">IFERROR(__xludf.DUMMYFUNCTION("if(H$2="""","""", index(GOOGLEFINANCE($B$12,""close"",H$2,TODAY()),2,2))"),137.26)</f>
        <v>137.26</v>
      </c>
      <c r="I12" s="1">
        <f ca="1">IFERROR(__xludf.DUMMYFUNCTION("if(I$2="""","""", index(GOOGLEFINANCE($B$12,""close"",I$2,TODAY()),2,2))"),138.37)</f>
        <v>138.37</v>
      </c>
      <c r="J12" s="1">
        <f ca="1">IFERROR(__xludf.DUMMYFUNCTION("if(J$2="""","""", index(GOOGLEFINANCE($B$12,""close"",J$2,TODAY()),2,2))"),133.12)</f>
        <v>133.12</v>
      </c>
      <c r="K12" s="1">
        <f ca="1">IFERROR(__xludf.DUMMYFUNCTION("if(K$2="""","""", index(GOOGLEFINANCE($B$12,""close"",K$2,TODAY()),2,2))"),125.36)</f>
        <v>125.36</v>
      </c>
      <c r="L12" s="1">
        <f ca="1">IFERROR(__xludf.DUMMYFUNCTION("if(L$2="""","""", index(GOOGLEFINANCE($B$12,""close"",L$2,TODAY()),2,2))"),128.36)</f>
        <v>128.36000000000001</v>
      </c>
      <c r="M12" s="1">
        <f ca="1">IFERROR(__xludf.DUMMYFUNCTION("if(M$2="""","""", index(GOOGLEFINANCE($B$12,""close"",M$2,TODAY()),2,2))"),125.1)</f>
        <v>125.1</v>
      </c>
      <c r="N12" s="1">
        <f ca="1">IFERROR(__xludf.DUMMYFUNCTION("if(N$2="""","""", index(GOOGLEFINANCE($B$12,""close"",N$2,TODAY()),2,2))"),127.92)</f>
        <v>127.92</v>
      </c>
      <c r="O12" s="1">
        <f ca="1">IFERROR(__xludf.DUMMYFUNCTION("if(O$2="""","""", index(GOOGLEFINANCE($B$12,""close"",O$2,TODAY()),2,2))"),124.93)</f>
        <v>124.93</v>
      </c>
      <c r="P12" s="1">
        <f ca="1">IFERROR(__xludf.DUMMYFUNCTION("if(P$2="""","""", index(GOOGLEFINANCE($B$12,""close"",P$2,TODAY()),2,2))"),121.88)</f>
        <v>121.88</v>
      </c>
      <c r="Q12" s="1">
        <f ca="1">IFERROR(__xludf.DUMMYFUNCTION("if(Q$2="""","""", index(GOOGLEFINANCE($B$12,""close"",Q$2,TODAY()),2,2))"),128.14)</f>
        <v>128.13999999999999</v>
      </c>
      <c r="R12" s="1">
        <f ca="1">IFERROR(__xludf.DUMMYFUNCTION("if(R$2="""","""", index(GOOGLEFINANCE($B$12,""close"",R$2,TODAY()),2,2))"),119.46)</f>
        <v>119.46</v>
      </c>
      <c r="S12" s="1">
        <f ca="1">IFERROR(__xludf.DUMMYFUNCTION("if(S$2="""","""", index(GOOGLEFINANCE($B$12,""close"",S$2,TODAY()),2,2))"),117.93)</f>
        <v>117.93</v>
      </c>
      <c r="T12" s="1">
        <f ca="1">IFERROR(__xludf.DUMMYFUNCTION("if(T$2="""","""", index(GOOGLEFINANCE($B$12,""close"",T$2,TODAY()),2,2))"),118.48)</f>
        <v>118.48</v>
      </c>
      <c r="U12" s="1">
        <f ca="1">IFERROR(__xludf.DUMMYFUNCTION("if(U$2="""","""", index(GOOGLEFINANCE($B$12,""close"",U$2,TODAY()),2,2))"),120.6)</f>
        <v>120.6</v>
      </c>
      <c r="V12" s="1">
        <f ca="1">IFERROR(__xludf.DUMMYFUNCTION("if(V$2="""","""", index(GOOGLEFINANCE($B$12,""close"",V$2,TODAY()),2,2))"),125.7)</f>
        <v>125.7</v>
      </c>
      <c r="W12" s="1">
        <f ca="1">IFERROR(__xludf.DUMMYFUNCTION("if(W$2="""","""", index(GOOGLEFINANCE($B$12,""close"",W$2,TODAY()),2,2))"),126.97)</f>
        <v>126.97</v>
      </c>
      <c r="X12" s="1">
        <f ca="1">IFERROR(__xludf.DUMMYFUNCTION("if(X$2="""","""", index(GOOGLEFINANCE($B$12,""close"",X$2,TODAY()),2,2))"),124.72)</f>
        <v>124.72</v>
      </c>
      <c r="Y12" s="1">
        <f ca="1">IFERROR(__xludf.DUMMYFUNCTION("if(Y$2="""","""", index(GOOGLEFINANCE($B$12,""close"",Y$2,TODAY()),2,2))"),122.98)</f>
        <v>122.98</v>
      </c>
      <c r="Z12" s="1">
        <f ca="1">IFERROR(__xludf.DUMMYFUNCTION("if(Z$2="""","""", index(GOOGLEFINANCE($B$12,""close"",Z$2,TODAY()),2,2))"),124.98)</f>
        <v>124.98</v>
      </c>
      <c r="AA12" s="1">
        <f ca="1">IFERROR(__xludf.DUMMYFUNCTION("if(AA$2="""","""", index(GOOGLEFINANCE($B$12,""close"",AA$2,TODAY()),2,2))"),125.03)</f>
        <v>125.03</v>
      </c>
      <c r="AB12" s="1">
        <f ca="1">IFERROR(__xludf.DUMMYFUNCTION("if(AB$2="""","""", index(GOOGLEFINANCE($B$12,""close"",AB$2,TODAY()),2,2))"),130.72)</f>
        <v>130.72</v>
      </c>
      <c r="AC12" s="1">
        <f ca="1">IFERROR(__xludf.DUMMYFUNCTION("if(AC$2="""","""", index(GOOGLEFINANCE($B$12,""close"",AC$2,TODAY()),2,2))"),132.83)</f>
        <v>132.83000000000001</v>
      </c>
      <c r="AD12" s="1">
        <f ca="1">IFERROR(__xludf.DUMMYFUNCTION("if(AD$2="""","""", index(GOOGLEFINANCE($B$12,""close"",AD$2,TODAY()),2,2))"),133.88)</f>
        <v>133.88</v>
      </c>
      <c r="AE12" s="1">
        <f ca="1">IFERROR(__xludf.DUMMYFUNCTION("if(AE$2="""","""", index(GOOGLEFINANCE($B$12,""close"",AE$2,TODAY()),2,2))"),130.73)</f>
        <v>130.72999999999999</v>
      </c>
      <c r="AF12" s="1">
        <f ca="1">IFERROR(__xludf.DUMMYFUNCTION("if(AF$2="""","""", index(GOOGLEFINANCE($B$12,""close"",AF$2,TODAY()),2,2))"),135.95)</f>
        <v>135.94999999999999</v>
      </c>
      <c r="AG12" s="1">
        <f ca="1">IFERROR(__xludf.DUMMYFUNCTION("if(AG$2="""","""", index(GOOGLEFINANCE($B$12,""close"",AG$2,TODAY()),2,2))"),136.72)</f>
        <v>136.72</v>
      </c>
      <c r="AH12" s="1">
        <f ca="1">IFERROR(__xludf.DUMMYFUNCTION("if(AH$2="""","""", index(GOOGLEFINANCE($B$12,""close"",AH$2,TODAY()),2,2))"),130.23)</f>
        <v>130.22999999999999</v>
      </c>
      <c r="AI12" s="1">
        <f ca="1">IFERROR(__xludf.DUMMYFUNCTION("if(AI$2="""","""", index(GOOGLEFINANCE($B$12,""close"",AI$2,TODAY()),2,2))"),122.7)</f>
        <v>122.7</v>
      </c>
      <c r="AJ12" s="1">
        <f ca="1">IFERROR(__xludf.DUMMYFUNCTION("if(AJ$2="""","""", index(GOOGLEFINANCE($B$12,""close"",AJ$2,TODAY()),2,2))"),115.09)</f>
        <v>115.09</v>
      </c>
      <c r="AK12" s="1">
        <f ca="1">IFERROR(__xludf.DUMMYFUNCTION("if(AK$2="""","""", index(GOOGLEFINANCE($B$12,""close"",AK$2,TODAY()),2,2))"),114.35)</f>
        <v>114.35</v>
      </c>
      <c r="AL12" s="1">
        <f ca="1">IFERROR(__xludf.DUMMYFUNCTION("if(AL$2="""","""", index(GOOGLEFINANCE($B$12,""close"",AL$2,TODAY()),2,2))"),104.14)</f>
        <v>104.14</v>
      </c>
      <c r="AM12" s="1">
        <f ca="1">IFERROR(__xludf.DUMMYFUNCTION("if(AM$2="""","""", index(GOOGLEFINANCE($B$12,""close"",AM$2,TODAY()),2,2))"),107.09)</f>
        <v>107.09</v>
      </c>
      <c r="AN12" s="1">
        <f ca="1">IFERROR(__xludf.DUMMYFUNCTION("if(AN$2="""","""", index(GOOGLEFINANCE($B$12,""close"",AN$2,TODAY()),2,2))"),106.93)</f>
        <v>106.93</v>
      </c>
      <c r="AO12" s="1">
        <f ca="1">IFERROR(__xludf.DUMMYFUNCTION("if(AO$2="""","""", index(GOOGLEFINANCE($B$12,""close"",AO$2,TODAY()),2,2))"),110)</f>
        <v>110</v>
      </c>
      <c r="AP12" s="1">
        <f ca="1">IFERROR(__xludf.DUMMYFUNCTION("if(AP$2="""","""", index(GOOGLEFINANCE($B$12,""close"",AP$2,TODAY()),2,2))"),107.54)</f>
        <v>107.54</v>
      </c>
      <c r="AQ12" s="1">
        <f ca="1">IFERROR(__xludf.DUMMYFUNCTION("if(AQ$2="""","""", index(GOOGLEFINANCE($B$12,""close"",AQ$2,TODAY()),2,2))"),109.07)</f>
        <v>109.07</v>
      </c>
      <c r="AR12" s="1">
        <f ca="1">IFERROR(__xludf.DUMMYFUNCTION("if(AR$2="""","""", index(GOOGLEFINANCE($B$12,""close"",AR$2,TODAY()),2,2))"),102.79)</f>
        <v>102.79</v>
      </c>
      <c r="AS12" s="1">
        <f ca="1">IFERROR(__xludf.DUMMYFUNCTION("if(AS$2="""","""", index(GOOGLEFINANCE($B$12,""close"",AS$2,TODAY()),2,2))"),97.42)</f>
        <v>97.42</v>
      </c>
      <c r="AT12" s="1">
        <f ca="1">IFERROR(__xludf.DUMMYFUNCTION("if(AT$2="""","""", index(GOOGLEFINANCE($B$12,""close"",AT$2,TODAY()),2,2))"),91.4)</f>
        <v>91.4</v>
      </c>
      <c r="AU12" s="1">
        <f ca="1">IFERROR(__xludf.DUMMYFUNCTION("if(AU$2="""","""", index(GOOGLEFINANCE($B$12,""close"",AU$2,TODAY()),2,2))"),91.82)</f>
        <v>91.82</v>
      </c>
      <c r="AV12" s="1">
        <f ca="1">IFERROR(__xludf.DUMMYFUNCTION("if(AV$2="""","""", index(GOOGLEFINANCE($B$12,""close"",AV$2,TODAY()),2,2))"),94.43)</f>
        <v>94.43</v>
      </c>
      <c r="AW12" s="1">
        <f ca="1">IFERROR(__xludf.DUMMYFUNCTION("if(AW$2="""","""", index(GOOGLEFINANCE($B$12,""close"",AW$2,TODAY()),2,2))"),91.41)</f>
        <v>91.41</v>
      </c>
      <c r="AX12" s="1">
        <f ca="1">IFERROR(__xludf.DUMMYFUNCTION("if(AX$2="""","""", index(GOOGLEFINANCE($B$12,""close"",AX$2,TODAY()),2,2))"),87.38)</f>
        <v>87.38</v>
      </c>
      <c r="AY12" s="1">
        <f ca="1">IFERROR(__xludf.DUMMYFUNCTION("if(AY$2="""","""", index(GOOGLEFINANCE($B$12,""close"",AY$2,TODAY()),2,2))"),83.12)</f>
        <v>83.12</v>
      </c>
      <c r="AZ12" s="1">
        <f ca="1">IFERROR(__xludf.DUMMYFUNCTION("if(AZ$2="""","""", index(GOOGLEFINANCE($B$12,""close"",AZ$2,TODAY()),2,2))"),85.03)</f>
        <v>85.03</v>
      </c>
      <c r="BA12" s="1">
        <f ca="1">IFERROR(__xludf.DUMMYFUNCTION("if(BA$2="""","""", index(GOOGLEFINANCE($B$12,""close"",BA$2,TODAY()),2,2))"),93.26)</f>
        <v>93.26</v>
      </c>
      <c r="BB12" s="1">
        <f ca="1">IFERROR(__xludf.DUMMYFUNCTION("if(BB$2="""","""", index(GOOGLEFINANCE($B$12,""close"",BB$2,TODAY()),2,2))"),96.64)</f>
        <v>96.64</v>
      </c>
      <c r="BC12" s="1">
        <f ca="1">IFERROR(__xludf.DUMMYFUNCTION("if(BC$2="""","""", index(GOOGLEFINANCE($B$12,""close"",BC$2,TODAY()),2,2))"),103.98)</f>
        <v>103.98</v>
      </c>
      <c r="BD12" s="1">
        <f ca="1">IFERROR(__xludf.DUMMYFUNCTION("if(BD$2="""","""", index(GOOGLEFINANCE($B$12,""close"",BD$2,TODAY()),2,2))"),103.56)</f>
        <v>103.56</v>
      </c>
      <c r="BE12" s="1">
        <f ca="1">IFERROR(__xludf.DUMMYFUNCTION("if(BE$2="""","""", index(GOOGLEFINANCE($B$12,""close"",BE$2,TODAY()),2,2))"),107.96)</f>
        <v>107.96</v>
      </c>
      <c r="BF12" s="1">
        <f ca="1">IFERROR(__xludf.DUMMYFUNCTION("if(BF$2="""","""", index(GOOGLEFINANCE($B$12,""close"",BF$2,TODAY()),2,2))"),107.48)</f>
        <v>107.48</v>
      </c>
      <c r="BG12" s="1">
        <f ca="1">IFERROR(__xludf.DUMMYFUNCTION("if(BG$2="""","""", index(GOOGLEFINANCE($B$12,""close"",BG$2,TODAY()),2,2))"),109.74)</f>
        <v>109.74</v>
      </c>
      <c r="BH12" s="1">
        <f ca="1">IFERROR(__xludf.DUMMYFUNCTION("if(BH$2="""","""", index(GOOGLEFINANCE($B$12,""close"",BH$2,TODAY()),2,2))"),106.32)</f>
        <v>106.32</v>
      </c>
      <c r="BI12" s="1">
        <f ca="1">IFERROR(__xludf.DUMMYFUNCTION("if(BI$2="""","""", index(GOOGLEFINANCE($B$12,""close"",BI$2,TODAY()),2,2))"),106.96)</f>
        <v>106.96</v>
      </c>
      <c r="BJ12" s="1">
        <f ca="1">IFERROR(__xludf.DUMMYFUNCTION("if(BJ$2="""","""", index(GOOGLEFINANCE($B$12,""close"",BJ$2,TODAY()),2,2))"),112.11)</f>
        <v>112.11</v>
      </c>
      <c r="BK12" s="1">
        <f ca="1">IFERROR(__xludf.DUMMYFUNCTION("if(BK$2="""","""", index(GOOGLEFINANCE($B$12,""close"",BK$2,TODAY()),2,2))"),110.64)</f>
        <v>110.64</v>
      </c>
      <c r="BL12" s="1">
        <f ca="1">IFERROR(__xludf.DUMMYFUNCTION("if(BL$2="""","""", index(GOOGLEFINANCE($B$12,""close"",BL$2,TODAY()),2,2))"),110.4)</f>
        <v>110.4</v>
      </c>
      <c r="BM12" s="1">
        <f ca="1">IFERROR(__xludf.DUMMYFUNCTION("if(BM$2="""","""", index(GOOGLEFINANCE($B$12,""close"",BM$2,TODAY()),2,2))"),116.5)</f>
        <v>116.5</v>
      </c>
      <c r="BN12" s="1">
        <f ca="1">IFERROR(__xludf.DUMMYFUNCTION("if(BN$2="""","""", index(GOOGLEFINANCE($B$12,""close"",BN$2,TODAY()),2,2))"),118.33)</f>
        <v>118.33</v>
      </c>
      <c r="BO12" s="1">
        <f ca="1">IFERROR(__xludf.DUMMYFUNCTION("if(BO$2="""","""", index(GOOGLEFINANCE($B$12,""close"",BO$2,TODAY()),2,2))"),119.09)</f>
        <v>119.09</v>
      </c>
      <c r="BP12" s="1">
        <f ca="1">IFERROR(__xludf.DUMMYFUNCTION("if(BP$2="""","""", index(GOOGLEFINANCE($B$12,""close"",BP$2,TODAY()),2,2))"),115.19)</f>
        <v>115.19</v>
      </c>
      <c r="BQ12" s="1">
        <f ca="1">IFERROR(__xludf.DUMMYFUNCTION("if(BQ$2="""","""", index(GOOGLEFINANCE($B$12,""close"",BQ$2,TODAY()),2,2))"),111.83)</f>
        <v>111.83</v>
      </c>
      <c r="BR12" s="1">
        <f ca="1">IFERROR(__xludf.DUMMYFUNCTION("if(BR$2="""","""", index(GOOGLEFINANCE($B$12,""close"",BR$2,TODAY()),2,2))"),110)</f>
        <v>110</v>
      </c>
      <c r="BS12" s="1">
        <f ca="1">IFERROR(__xludf.DUMMYFUNCTION("if(BS$2="""","""", index(GOOGLEFINANCE($B$12,""close"",BS$2,TODAY()),2,2))"),115.79)</f>
        <v>115.79</v>
      </c>
      <c r="BT12" s="1">
        <f ca="1">IFERROR(__xludf.DUMMYFUNCTION("if(BT$2="""","""", index(GOOGLEFINANCE($B$12,""close"",BT$2,TODAY()),2,2))"),110.97)</f>
        <v>110.97</v>
      </c>
      <c r="BU12" s="1">
        <f ca="1">IFERROR(__xludf.DUMMYFUNCTION("if(BU$2="""","""", index(GOOGLEFINANCE($B$12,""close"",BU$2,TODAY()),2,2))"),116.7)</f>
        <v>116.7</v>
      </c>
      <c r="BV12" s="1">
        <f ca="1">IFERROR(__xludf.DUMMYFUNCTION("if(BV$2="""","""", index(GOOGLEFINANCE($B$12,""close"",BV$2,TODAY()),2,2))"),113.49)</f>
        <v>113.49</v>
      </c>
      <c r="BW12" s="1">
        <f ca="1">IFERROR(__xludf.DUMMYFUNCTION("if(BW$2="""","""", index(GOOGLEFINANCE($B$12,""close"",BW$2,TODAY()),2,2))"),108.89)</f>
        <v>108.89</v>
      </c>
      <c r="BX12" s="1">
        <f ca="1">IFERROR(__xludf.DUMMYFUNCTION("if(BX$2="""","""", index(GOOGLEFINANCE($B$12,""close"",BX$2,TODAY()),2,2))"),111.29)</f>
        <v>111.29</v>
      </c>
      <c r="BY12" s="1">
        <f ca="1">IFERROR(__xludf.DUMMYFUNCTION("if(BY$2="""","""", index(GOOGLEFINANCE($B$12,""close"",BY$2,TODAY()),2,2))"),109.04)</f>
        <v>109.04</v>
      </c>
      <c r="BZ12" s="1">
        <f ca="1">IFERROR(__xludf.DUMMYFUNCTION("if(BZ$2="""","""", index(GOOGLEFINANCE($B$12,""close"",BZ$2,TODAY()),2,2))"),104.95)</f>
        <v>104.95</v>
      </c>
      <c r="CA12" s="1">
        <f ca="1">IFERROR(__xludf.DUMMYFUNCTION("if(CA$2="""","""", index(GOOGLEFINANCE($B$12,""close"",CA$2,TODAY()),2,2))"),102.85)</f>
        <v>102.85</v>
      </c>
      <c r="CB12" s="1">
        <f ca="1">IFERROR(__xludf.DUMMYFUNCTION("if(CB$2="""","""", index(GOOGLEFINANCE($B$12,""close"",CB$2,TODAY()),2,2))"),106.25)</f>
        <v>106.25</v>
      </c>
      <c r="CC12" s="1">
        <f ca="1">IFERROR(__xludf.DUMMYFUNCTION("if(CC$2="""","""", index(GOOGLEFINANCE($B$12,""close"",CC$2,TODAY()),2,2))"),100.9)</f>
        <v>100.9</v>
      </c>
      <c r="CD12" s="1">
        <f ca="1">IFERROR(__xludf.DUMMYFUNCTION("if(CD$2="""","""", index(GOOGLEFINANCE($B$12,""close"",CD$2,TODAY()),2,2))"),100.91)</f>
        <v>100.91</v>
      </c>
      <c r="CE12" s="1">
        <f ca="1">IFERROR(__xludf.DUMMYFUNCTION("if(CE$2="""","""", index(GOOGLEFINANCE($B$12,""close"",CE$2,TODAY()),2,2))"),103.04)</f>
        <v>103.04</v>
      </c>
      <c r="CF12" s="1">
        <f ca="1">IFERROR(__xludf.DUMMYFUNCTION("if(CF$2="""","""", index(GOOGLEFINANCE($B$12,""close"",CF$2,TODAY()),2,2))"),110.1)</f>
        <v>110.1</v>
      </c>
      <c r="CG12" s="1">
        <f ca="1">IFERROR(__xludf.DUMMYFUNCTION("if(CG$2="""","""", index(GOOGLEFINANCE($B$12,""close"",CG$2,TODAY()),2,2))"),116.07)</f>
        <v>116.07</v>
      </c>
      <c r="CH12" s="1">
        <f ca="1">IFERROR(__xludf.DUMMYFUNCTION("if(CH$2="""","""", index(GOOGLEFINANCE($B$12,""close"",CH$2,TODAY()),2,2))"),114.4)</f>
        <v>114.4</v>
      </c>
      <c r="CI12" s="1">
        <f ca="1">IFERROR(__xludf.DUMMYFUNCTION("if(CI$2="""","""", index(GOOGLEFINANCE($B$12,""close"",CI$2,TODAY()),2,2))"),115.15)</f>
        <v>115.15</v>
      </c>
      <c r="CJ12" s="1" t="str">
        <f ca="1">IFERROR(__xludf.DUMMYFUNCTION("if(CJ$2="""","""", index(GOOGLEFINANCE($B$12,""close"",CJ$2,TODAY()),2,2))"),"")</f>
        <v/>
      </c>
      <c r="CK12" s="1" t="str">
        <f ca="1">IFERROR(__xludf.DUMMYFUNCTION("if(CK$2="""","""", index(GOOGLEFINANCE($B$12,""close"",CK$2,TODAY()),2,2))"),"")</f>
        <v/>
      </c>
      <c r="CL12" s="1" t="str">
        <f ca="1">IFERROR(__xludf.DUMMYFUNCTION("if(CL$2="""","""", index(GOOGLEFINANCE($B$12,""close"",CL$2,TODAY()),2,2))"),"")</f>
        <v/>
      </c>
      <c r="CM12" s="1" t="str">
        <f ca="1">IFERROR(__xludf.DUMMYFUNCTION("if(CM$2="""","""", index(GOOGLEFINANCE($B$12,""close"",CM$2,TODAY()),2,2))"),"")</f>
        <v/>
      </c>
      <c r="CN12" s="1" t="str">
        <f ca="1">IFERROR(__xludf.DUMMYFUNCTION("if(CN$2="""","""", index(GOOGLEFINANCE($B$12,""close"",CN$2,TODAY()),2,2))"),"")</f>
        <v/>
      </c>
      <c r="CO12" s="1" t="str">
        <f ca="1">IFERROR(__xludf.DUMMYFUNCTION("if(CO$2="""","""", index(GOOGLEFINANCE($B$12,""close"",CO$2,TODAY()),2,2))"),"")</f>
        <v/>
      </c>
      <c r="CP12" s="1" t="str">
        <f ca="1">IFERROR(__xludf.DUMMYFUNCTION("if(CP$2="""","""", index(GOOGLEFINANCE($B$12,""close"",CP$2,TODAY()),2,2))"),"")</f>
        <v/>
      </c>
      <c r="CQ12" s="1" t="str">
        <f ca="1">IFERROR(__xludf.DUMMYFUNCTION("if(CQ$2="""","""", index(GOOGLEFINANCE($B$12,""close"",CQ$2,TODAY()),2,2))"),"")</f>
        <v/>
      </c>
      <c r="CR12" s="1" t="str">
        <f ca="1">IFERROR(__xludf.DUMMYFUNCTION("if(CR$2="""","""", index(GOOGLEFINANCE($B$12,""close"",CR$2,TODAY()),2,2))"),"")</f>
        <v/>
      </c>
      <c r="CS12" s="1" t="str">
        <f ca="1">IFERROR(__xludf.DUMMYFUNCTION("if(CS$2="""","""", index(GOOGLEFINANCE($B$12,""close"",CS$2,TODAY()),2,2))"),"")</f>
        <v/>
      </c>
      <c r="CT12" s="1" t="str">
        <f ca="1">IFERROR(__xludf.DUMMYFUNCTION("if(CT$2="""","""", index(GOOGLEFINANCE($B$12,""close"",CT$2,TODAY()),2,2))"),"")</f>
        <v/>
      </c>
      <c r="CU12" s="1" t="str">
        <f ca="1">IFERROR(__xludf.DUMMYFUNCTION("if(CU$2="""","""", index(GOOGLEFINANCE($B$12,""close"",CU$2,TODAY()),2,2))"),"")</f>
        <v/>
      </c>
      <c r="CV12" s="1" t="str">
        <f ca="1">IFERROR(__xludf.DUMMYFUNCTION("if(CV$2="""","""", index(GOOGLEFINANCE($B$12,""close"",CV$2,TODAY()),2,2))"),"")</f>
        <v/>
      </c>
      <c r="CW12" s="1" t="str">
        <f ca="1">IFERROR(__xludf.DUMMYFUNCTION("if(CW$2="""","""", index(GOOGLEFINANCE($B$12,""close"",CW$2,TODAY()),2,2))"),"")</f>
        <v/>
      </c>
      <c r="CX12" s="1" t="str">
        <f ca="1">IFERROR(__xludf.DUMMYFUNCTION("if(CX$2="""","""", index(GOOGLEFINANCE($B$12,""close"",CX$2,TODAY()),2,2))"),"")</f>
        <v/>
      </c>
      <c r="CY12" s="1" t="str">
        <f ca="1">IFERROR(__xludf.DUMMYFUNCTION("if(CY$2="""","""", index(GOOGLEFINANCE($B$12,""close"",CY$2,TODAY()),2,2))"),"")</f>
        <v/>
      </c>
      <c r="CZ12" s="1" t="str">
        <f ca="1">IFERROR(__xludf.DUMMYFUNCTION("if(CZ$2="""","""", index(GOOGLEFINANCE($B$12,""close"",CZ$2,TODAY()),2,2))"),"")</f>
        <v/>
      </c>
      <c r="DA12" s="1" t="str">
        <f ca="1">IFERROR(__xludf.DUMMYFUNCTION("if(DA$2="""","""", index(GOOGLEFINANCE($B$12,""close"",DA$2,TODAY()),2,2))"),"")</f>
        <v/>
      </c>
      <c r="DB12" s="1" t="str">
        <f ca="1">IFERROR(__xludf.DUMMYFUNCTION("if(DB$2="""","""", index(GOOGLEFINANCE($B$12,""close"",DB$2,TODAY()),2,2))"),"")</f>
        <v/>
      </c>
      <c r="DC12" s="1" t="str">
        <f ca="1">IFERROR(__xludf.DUMMYFUNCTION("if(DC$2="""","""", index(GOOGLEFINANCE($B$12,""close"",DC$2,TODAY()),2,2))"),"")</f>
        <v/>
      </c>
      <c r="DD12" s="1" t="str">
        <f ca="1">IFERROR(__xludf.DUMMYFUNCTION("if(DD$2="""","""", index(GOOGLEFINANCE($B$12,""close"",DD$2,TODAY()),2,2))"),"")</f>
        <v/>
      </c>
      <c r="DE12" s="1" t="str">
        <f ca="1">IFERROR(__xludf.DUMMYFUNCTION("if(DE$2="""","""", index(GOOGLEFINANCE($B$12,""close"",DE$2,TODAY()),2,2))"),"")</f>
        <v/>
      </c>
      <c r="DF12" s="1" t="str">
        <f ca="1">IFERROR(__xludf.DUMMYFUNCTION("if(DF$2="""","""", index(GOOGLEFINANCE($B$12,""close"",DF$2,TODAY()),2,2))"),"")</f>
        <v/>
      </c>
      <c r="DG12" s="1" t="str">
        <f ca="1">IFERROR(__xludf.DUMMYFUNCTION("if(DG$2="""","""", index(GOOGLEFINANCE($B$12,""close"",DG$2,TODAY()),2,2))"),"")</f>
        <v/>
      </c>
      <c r="DH12" s="1" t="str">
        <f ca="1">IFERROR(__xludf.DUMMYFUNCTION("if(DH$2="""","""", index(GOOGLEFINANCE($B$12,""close"",DH$2,TODAY()),2,2))"),"")</f>
        <v/>
      </c>
      <c r="DI12" s="1" t="str">
        <f ca="1">IFERROR(__xludf.DUMMYFUNCTION("if(DI$2="""","""", index(GOOGLEFINANCE($B$12,""close"",DI$2,TODAY()),2,2))"),"")</f>
        <v/>
      </c>
      <c r="DJ12" s="1" t="str">
        <f ca="1">IFERROR(__xludf.DUMMYFUNCTION("if(DJ$2="""","""", index(GOOGLEFINANCE($B$12,""close"",DJ$2,TODAY()),2,2))"),"")</f>
        <v/>
      </c>
      <c r="DK12" s="1" t="str">
        <f ca="1">IFERROR(__xludf.DUMMYFUNCTION("if(DK$2="""","""", index(GOOGLEFINANCE($B$12,""close"",DK$2,TODAY()),2,2))"),"")</f>
        <v/>
      </c>
      <c r="DL12" s="1" t="str">
        <f ca="1">IFERROR(__xludf.DUMMYFUNCTION("if(DL$2="""","""", index(GOOGLEFINANCE($B$12,""close"",DL$2,TODAY()),2,2))"),"")</f>
        <v/>
      </c>
      <c r="DM12" s="1" t="str">
        <f ca="1">IFERROR(__xludf.DUMMYFUNCTION("if(DM$2="""","""", index(GOOGLEFINANCE($B$12,""close"",DM$2,TODAY()),2,2))"),"")</f>
        <v/>
      </c>
      <c r="DN12" s="1" t="str">
        <f ca="1">IFERROR(__xludf.DUMMYFUNCTION("if(DN$2="""","""", index(GOOGLEFINANCE($B$12,""close"",DN$2,TODAY()),2,2))"),"")</f>
        <v/>
      </c>
      <c r="DO12" s="1" t="str">
        <f ca="1">IFERROR(__xludf.DUMMYFUNCTION("if(DO$2="""","""", index(GOOGLEFINANCE($B$12,""close"",DO$2,TODAY()),2,2))"),"")</f>
        <v/>
      </c>
      <c r="DP12" s="1" t="str">
        <f ca="1">IFERROR(__xludf.DUMMYFUNCTION("if(DP$2="""","""", index(GOOGLEFINANCE($B$12,""close"",DP$2,TODAY()),2,2))"),"")</f>
        <v/>
      </c>
      <c r="DQ12" s="1" t="str">
        <f ca="1">IFERROR(__xludf.DUMMYFUNCTION("if(DQ$2="""","""", index(GOOGLEFINANCE($B$12,""close"",DQ$2,TODAY()),2,2))"),"")</f>
        <v/>
      </c>
      <c r="DR12" s="1" t="str">
        <f ca="1">IFERROR(__xludf.DUMMYFUNCTION("if(DR$2="""","""", index(GOOGLEFINANCE($B$12,""close"",DR$2,TODAY()),2,2))"),"")</f>
        <v/>
      </c>
      <c r="DS12" s="1" t="str">
        <f ca="1">IFERROR(__xludf.DUMMYFUNCTION("if(DS$2="""","""", index(GOOGLEFINANCE($B$12,""close"",DS$2,TODAY()),2,2))"),"")</f>
        <v/>
      </c>
      <c r="DT12" s="1" t="str">
        <f ca="1">IFERROR(__xludf.DUMMYFUNCTION("if(DT$2="""","""", index(GOOGLEFINANCE($B$12,""close"",DT$2,TODAY()),2,2))"),"")</f>
        <v/>
      </c>
      <c r="DU12" s="1" t="str">
        <f ca="1">IFERROR(__xludf.DUMMYFUNCTION("if(DU$2="""","""", index(GOOGLEFINANCE($B$12,""close"",DU$2,TODAY()),2,2))"),"")</f>
        <v/>
      </c>
      <c r="DV12" s="1" t="str">
        <f ca="1">IFERROR(__xludf.DUMMYFUNCTION("if(DV$2="""","""", index(GOOGLEFINANCE($B$12,""close"",DV$2,TODAY()),2,2))"),"")</f>
        <v/>
      </c>
      <c r="DW12" s="1" t="str">
        <f ca="1">IFERROR(__xludf.DUMMYFUNCTION("if(DW$2="""","""", index(GOOGLEFINANCE($B$12,""close"",DW$2,TODAY()),2,2))"),"")</f>
        <v/>
      </c>
      <c r="DX12" s="1" t="str">
        <f ca="1">IFERROR(__xludf.DUMMYFUNCTION("if(DX$2="""","""", index(GOOGLEFINANCE($B$12,""close"",DX$2,TODAY()),2,2))"),"")</f>
        <v/>
      </c>
      <c r="DY12" s="1" t="str">
        <f ca="1">IFERROR(__xludf.DUMMYFUNCTION("if(DY$2="""","""", index(GOOGLEFINANCE($B$12,""close"",DY$2,TODAY()),2,2))"),"")</f>
        <v/>
      </c>
      <c r="DZ12" s="1" t="str">
        <f ca="1">IFERROR(__xludf.DUMMYFUNCTION("if(DZ$2="""","""", index(GOOGLEFINANCE($B$12,""close"",DZ$2,TODAY()),2,2))"),"")</f>
        <v/>
      </c>
      <c r="EA12" s="1" t="str">
        <f ca="1">IFERROR(__xludf.DUMMYFUNCTION("if(EA$2="""","""", index(GOOGLEFINANCE($B$12,""close"",EA$2,TODAY()),2,2))"),"")</f>
        <v/>
      </c>
      <c r="EB12" s="1" t="str">
        <f ca="1">IFERROR(__xludf.DUMMYFUNCTION("if(EB$2="""","""", index(GOOGLEFINANCE($B$12,""close"",EB$2,TODAY()),2,2))"),"")</f>
        <v/>
      </c>
      <c r="EC12" s="1" t="str">
        <f ca="1">IFERROR(__xludf.DUMMYFUNCTION("if(EC$2="""","""", index(GOOGLEFINANCE($B$12,""close"",EC$2,TODAY()),2,2))"),"")</f>
        <v/>
      </c>
      <c r="ED12" s="1" t="str">
        <f ca="1">IFERROR(__xludf.DUMMYFUNCTION("if(ED$2="""","""", index(GOOGLEFINANCE($B$12,""close"",ED$2,TODAY()),2,2))"),"")</f>
        <v/>
      </c>
      <c r="EE12" s="1" t="str">
        <f ca="1">IFERROR(__xludf.DUMMYFUNCTION("if(EE$2="""","""", index(GOOGLEFINANCE($B$12,""close"",EE$2,TODAY()),2,2))"),"")</f>
        <v/>
      </c>
      <c r="EF12" s="1" t="str">
        <f ca="1">IFERROR(__xludf.DUMMYFUNCTION("if(EF$2="""","""", index(GOOGLEFINANCE($B$12,""close"",EF$2,TODAY()),2,2))"),"")</f>
        <v/>
      </c>
      <c r="EG12" s="1" t="str">
        <f ca="1">IFERROR(__xludf.DUMMYFUNCTION("if(EG$2="""","""", index(GOOGLEFINANCE($B$12,""close"",EG$2,TODAY()),2,2))"),"")</f>
        <v/>
      </c>
      <c r="EH12" s="1" t="str">
        <f ca="1">IFERROR(__xludf.DUMMYFUNCTION("if(EH$2="""","""", index(GOOGLEFINANCE($B$12,""close"",EH$2,TODAY()),2,2))"),"")</f>
        <v/>
      </c>
      <c r="EI12" s="1" t="str">
        <f ca="1">IFERROR(__xludf.DUMMYFUNCTION("if(EI$2="""","""", index(GOOGLEFINANCE($B$12,""close"",EI$2,TODAY()),2,2))"),"")</f>
        <v/>
      </c>
      <c r="EJ12" s="1" t="str">
        <f ca="1">IFERROR(__xludf.DUMMYFUNCTION("if(EJ$2="""","""", index(GOOGLEFINANCE($B$12,""close"",EJ$2,TODAY()),2,2))"),"")</f>
        <v/>
      </c>
      <c r="EK12" s="1" t="str">
        <f ca="1">IFERROR(__xludf.DUMMYFUNCTION("if(EK$2="""","""", index(GOOGLEFINANCE($B$12,""close"",EK$2,TODAY()),2,2))"),"")</f>
        <v/>
      </c>
      <c r="EL12" s="1" t="str">
        <f ca="1">IFERROR(__xludf.DUMMYFUNCTION("if(EL$2="""","""", index(GOOGLEFINANCE($B$12,""close"",EL$2,TODAY()),2,2))"),"")</f>
        <v/>
      </c>
      <c r="EM12" s="1" t="str">
        <f ca="1">IFERROR(__xludf.DUMMYFUNCTION("if(EM$2="""","""", index(GOOGLEFINANCE($B$12,""close"",EM$2,TODAY()),2,2))"),"")</f>
        <v/>
      </c>
      <c r="EN12" s="1" t="str">
        <f ca="1">IFERROR(__xludf.DUMMYFUNCTION("if(EN$2="""","""", index(GOOGLEFINANCE($B$12,""close"",EN$2,TODAY()),2,2))"),"")</f>
        <v/>
      </c>
      <c r="EO12" s="1" t="str">
        <f ca="1">IFERROR(__xludf.DUMMYFUNCTION("if(EO$2="""","""", index(GOOGLEFINANCE($B$12,""close"",EO$2,TODAY()),2,2))"),"")</f>
        <v/>
      </c>
      <c r="EP12" s="1" t="str">
        <f ca="1">IFERROR(__xludf.DUMMYFUNCTION("if(EP$2="""","""", index(GOOGLEFINANCE($B$12,""close"",EP$2,TODAY()),2,2))"),"")</f>
        <v/>
      </c>
      <c r="EQ12" s="1" t="str">
        <f ca="1">IFERROR(__xludf.DUMMYFUNCTION("if(EQ$2="""","""", index(GOOGLEFINANCE($B$12,""close"",EQ$2,TODAY()),2,2))"),"")</f>
        <v/>
      </c>
      <c r="ER12" s="1" t="str">
        <f ca="1">IFERROR(__xludf.DUMMYFUNCTION("if(ER$2="""","""", index(GOOGLEFINANCE($B$12,""close"",ER$2,TODAY()),2,2))"),"")</f>
        <v/>
      </c>
      <c r="ES12" s="1" t="str">
        <f ca="1">IFERROR(__xludf.DUMMYFUNCTION("if(ES$2="""","""", index(GOOGLEFINANCE($B$12,""close"",ES$2,TODAY()),2,2))"),"")</f>
        <v/>
      </c>
      <c r="ET12" s="1" t="str">
        <f ca="1">IFERROR(__xludf.DUMMYFUNCTION("if(ET$2="""","""", index(GOOGLEFINANCE($B$12,""close"",ET$2,TODAY()),2,2))"),"")</f>
        <v/>
      </c>
      <c r="EU12" s="1" t="str">
        <f ca="1">IFERROR(__xludf.DUMMYFUNCTION("if(EU$2="""","""", index(GOOGLEFINANCE($B$12,""close"",EU$2,TODAY()),2,2))"),"")</f>
        <v/>
      </c>
      <c r="EV12" s="1" t="str">
        <f ca="1">IFERROR(__xludf.DUMMYFUNCTION("if(EV$2="""","""", index(GOOGLEFINANCE($B$12,""close"",EV$2,TODAY()),2,2))"),"")</f>
        <v/>
      </c>
      <c r="EW12" s="1" t="str">
        <f ca="1">IFERROR(__xludf.DUMMYFUNCTION("if(EW$2="""","""", index(GOOGLEFINANCE($B$12,""close"",EW$2,TODAY()),2,2))"),"")</f>
        <v/>
      </c>
      <c r="EX12" s="1" t="str">
        <f ca="1">IFERROR(__xludf.DUMMYFUNCTION("if(EX$2="""","""", index(GOOGLEFINANCE($B$12,""close"",EX$2,TODAY()),2,2))"),"")</f>
        <v/>
      </c>
      <c r="EY12" s="1" t="str">
        <f ca="1">IFERROR(__xludf.DUMMYFUNCTION("if(EY$2="""","""", index(GOOGLEFINANCE($B$12,""close"",EY$2,TODAY()),2,2))"),"")</f>
        <v/>
      </c>
      <c r="EZ12" s="1" t="str">
        <f ca="1">IFERROR(__xludf.DUMMYFUNCTION("if(EZ$2="""","""", index(GOOGLEFINANCE($B$12,""close"",EZ$2,TODAY()),2,2))"),"")</f>
        <v/>
      </c>
      <c r="FA12" s="1" t="str">
        <f ca="1">IFERROR(__xludf.DUMMYFUNCTION("if(FA$2="""","""", index(GOOGLEFINANCE($B$12,""close"",FA$2,TODAY()),2,2))"),"")</f>
        <v/>
      </c>
      <c r="FB12" s="1" t="str">
        <f ca="1">IFERROR(__xludf.DUMMYFUNCTION("if(FB$2="""","""", index(GOOGLEFINANCE($B$12,""close"",FB$2,TODAY()),2,2))"),"")</f>
        <v/>
      </c>
      <c r="FC12" s="1" t="str">
        <f ca="1">IFERROR(__xludf.DUMMYFUNCTION("if(FC$2="""","""", index(GOOGLEFINANCE($B$12,""close"",FC$2,TODAY()),2,2))"),"")</f>
        <v/>
      </c>
      <c r="FD12" s="1" t="str">
        <f ca="1">IFERROR(__xludf.DUMMYFUNCTION("if(FD$2="""","""", index(GOOGLEFINANCE($B$12,""close"",FD$2,TODAY()),2,2))"),"")</f>
        <v/>
      </c>
      <c r="FE12" s="1" t="str">
        <f ca="1">IFERROR(__xludf.DUMMYFUNCTION("if(FE$2="""","""", index(GOOGLEFINANCE($B$12,""close"",FE$2,TODAY()),2,2))"),"")</f>
        <v/>
      </c>
      <c r="FF12" s="1" t="str">
        <f ca="1">IFERROR(__xludf.DUMMYFUNCTION("if(FF$2="""","""", index(GOOGLEFINANCE($B$12,""close"",FF$2,TODAY()),2,2))"),"")</f>
        <v/>
      </c>
      <c r="FG12" s="1" t="str">
        <f ca="1">IFERROR(__xludf.DUMMYFUNCTION("if(FG$2="""","""", index(GOOGLEFINANCE($B$12,""close"",FG$2,TODAY()),2,2))"),"")</f>
        <v/>
      </c>
      <c r="FH12" s="1" t="str">
        <f ca="1">IFERROR(__xludf.DUMMYFUNCTION("if(FH$2="""","""", index(GOOGLEFINANCE($B$12,""close"",FH$2,TODAY()),2,2))"),"")</f>
        <v/>
      </c>
      <c r="FI12" s="1" t="str">
        <f ca="1">IFERROR(__xludf.DUMMYFUNCTION("if(FI$2="""","""", index(GOOGLEFINANCE($B$12,""close"",FI$2,TODAY()),2,2))"),"")</f>
        <v/>
      </c>
      <c r="FJ12" s="1" t="str">
        <f ca="1">IFERROR(__xludf.DUMMYFUNCTION("if(FJ$2="""","""", index(GOOGLEFINANCE($B$12,""close"",FJ$2,TODAY()),2,2))"),"")</f>
        <v/>
      </c>
      <c r="FK12" s="1" t="str">
        <f ca="1">IFERROR(__xludf.DUMMYFUNCTION("if(FK$2="""","""", index(GOOGLEFINANCE($B$12,""close"",FK$2,TODAY()),2,2))"),"")</f>
        <v/>
      </c>
      <c r="FL12" s="1" t="str">
        <f ca="1">IFERROR(__xludf.DUMMYFUNCTION("if(FL$2="""","""", index(GOOGLEFINANCE($B$12,""close"",FL$2,TODAY()),2,2))"),"")</f>
        <v/>
      </c>
      <c r="FM12" s="1" t="str">
        <f ca="1">IFERROR(__xludf.DUMMYFUNCTION("if(FM$2="""","""", index(GOOGLEFINANCE($B$12,""close"",FM$2,TODAY()),2,2))"),"")</f>
        <v/>
      </c>
      <c r="FN12" s="1" t="str">
        <f ca="1">IFERROR(__xludf.DUMMYFUNCTION("if(FN$2="""","""", index(GOOGLEFINANCE($B$12,""close"",FN$2,TODAY()),2,2))"),"")</f>
        <v/>
      </c>
      <c r="FO12" s="1" t="str">
        <f ca="1">IFERROR(__xludf.DUMMYFUNCTION("if(FO$2="""","""", index(GOOGLEFINANCE($B$12,""close"",FO$2,TODAY()),2,2))"),"")</f>
        <v/>
      </c>
      <c r="FP12" s="1" t="str">
        <f ca="1">IFERROR(__xludf.DUMMYFUNCTION("if(FP$2="""","""", index(GOOGLEFINANCE($B$12,""close"",FP$2,TODAY()),2,2))"),"")</f>
        <v/>
      </c>
      <c r="FQ12" s="1" t="str">
        <f ca="1">IFERROR(__xludf.DUMMYFUNCTION("if(FQ$2="""","""", index(GOOGLEFINANCE($B$12,""close"",FQ$2,TODAY()),2,2))"),"")</f>
        <v/>
      </c>
      <c r="FR12" s="1" t="str">
        <f ca="1">IFERROR(__xludf.DUMMYFUNCTION("if(FR$2="""","""", index(GOOGLEFINANCE($B$12,""close"",FR$2,TODAY()),2,2))"),"")</f>
        <v/>
      </c>
      <c r="FS12" s="1" t="str">
        <f ca="1">IFERROR(__xludf.DUMMYFUNCTION("if(FS$2="""","""", index(GOOGLEFINANCE($B$12,""close"",FS$2,TODAY()),2,2))"),"")</f>
        <v/>
      </c>
      <c r="FT12" s="1" t="str">
        <f ca="1">IFERROR(__xludf.DUMMYFUNCTION("if(FT$2="""","""", index(GOOGLEFINANCE($B$12,""close"",FT$2,TODAY()),2,2))"),"")</f>
        <v/>
      </c>
      <c r="FU12" s="1" t="str">
        <f ca="1">IFERROR(__xludf.DUMMYFUNCTION("if(FU$2="""","""", index(GOOGLEFINANCE($B$12,""close"",FU$2,TODAY()),2,2))"),"")</f>
        <v/>
      </c>
      <c r="FV12" s="1" t="str">
        <f ca="1">IFERROR(__xludf.DUMMYFUNCTION("if(FV$2="""","""", index(GOOGLEFINANCE($B$12,""close"",FV$2,TODAY()),2,2))"),"")</f>
        <v/>
      </c>
      <c r="FW12" s="1" t="str">
        <f ca="1">IFERROR(__xludf.DUMMYFUNCTION("if(FW$2="""","""", index(GOOGLEFINANCE($B$12,""close"",FW$2,TODAY()),2,2))"),"")</f>
        <v/>
      </c>
      <c r="FX12" s="1" t="str">
        <f ca="1">IFERROR(__xludf.DUMMYFUNCTION("if(FX$2="""","""", index(GOOGLEFINANCE($B$12,""close"",FX$2,TODAY()),2,2))"),"")</f>
        <v/>
      </c>
      <c r="FY12" s="1" t="str">
        <f ca="1">IFERROR(__xludf.DUMMYFUNCTION("if(FY$2="""","""", index(GOOGLEFINANCE($B$12,""close"",FY$2,TODAY()),2,2))"),"")</f>
        <v/>
      </c>
      <c r="FZ12" s="1" t="str">
        <f ca="1">IFERROR(__xludf.DUMMYFUNCTION("if(FZ$2="""","""", index(GOOGLEFINANCE($B$12,""close"",FZ$2,TODAY()),2,2))"),"")</f>
        <v/>
      </c>
      <c r="GA12" s="1" t="str">
        <f ca="1">IFERROR(__xludf.DUMMYFUNCTION("if(GA$2="""","""", index(GOOGLEFINANCE($B$12,""close"",GA$2,TODAY()),2,2))"),"")</f>
        <v/>
      </c>
      <c r="GB12" s="1" t="str">
        <f ca="1">IFERROR(__xludf.DUMMYFUNCTION("if(GB$2="""","""", index(GOOGLEFINANCE($B$12,""close"",GB$2,TODAY()),2,2))"),"")</f>
        <v/>
      </c>
      <c r="GC12" s="1" t="str">
        <f ca="1">IFERROR(__xludf.DUMMYFUNCTION("if(GC$2="""","""", index(GOOGLEFINANCE($B$12,""close"",GC$2,TODAY()),2,2))"),"")</f>
        <v/>
      </c>
      <c r="GD12" s="1" t="str">
        <f ca="1">IFERROR(__xludf.DUMMYFUNCTION("if(GD$2="""","""", index(GOOGLEFINANCE($B$12,""close"",GD$2,TODAY()),2,2))"),"")</f>
        <v/>
      </c>
      <c r="GE12" s="1" t="str">
        <f ca="1">IFERROR(__xludf.DUMMYFUNCTION("if(GE$2="""","""", index(GOOGLEFINANCE($B$12,""close"",GE$2,TODAY()),2,2))"),"")</f>
        <v/>
      </c>
      <c r="GF12" s="1" t="str">
        <f ca="1">IFERROR(__xludf.DUMMYFUNCTION("if(GF$2="""","""", index(GOOGLEFINANCE($B$12,""close"",GF$2,TODAY()),2,2))"),"")</f>
        <v/>
      </c>
      <c r="GG12" s="1" t="str">
        <f ca="1">IFERROR(__xludf.DUMMYFUNCTION("if(GG$2="""","""", index(GOOGLEFINANCE($B$12,""close"",GG$2,TODAY()),2,2))"),"")</f>
        <v/>
      </c>
      <c r="GH12" s="1" t="str">
        <f ca="1">IFERROR(__xludf.DUMMYFUNCTION("if(GH$2="""","""", index(GOOGLEFINANCE($B$12,""close"",GH$2,TODAY()),2,2))"),"")</f>
        <v/>
      </c>
      <c r="GI12" s="1" t="str">
        <f ca="1">IFERROR(__xludf.DUMMYFUNCTION("if(GI$2="""","""", index(GOOGLEFINANCE($B$12,""close"",GI$2,TODAY()),2,2))"),"")</f>
        <v/>
      </c>
      <c r="GJ12" s="1" t="str">
        <f ca="1">IFERROR(__xludf.DUMMYFUNCTION("if(GJ$2="""","""", index(GOOGLEFINANCE($B$12,""close"",GJ$2,TODAY()),2,2))"),"")</f>
        <v/>
      </c>
      <c r="GK12" s="1" t="str">
        <f ca="1">IFERROR(__xludf.DUMMYFUNCTION("if(GK$2="""","""", index(GOOGLEFINANCE($B$12,""close"",GK$2,TODAY()),2,2))"),"")</f>
        <v/>
      </c>
      <c r="GL12" s="1" t="str">
        <f ca="1">IFERROR(__xludf.DUMMYFUNCTION("if(GL$2="""","""", index(GOOGLEFINANCE($B$12,""close"",GL$2,TODAY()),2,2))"),"")</f>
        <v/>
      </c>
      <c r="GM12" s="1" t="str">
        <f ca="1">IFERROR(__xludf.DUMMYFUNCTION("if(GM$2="""","""", index(GOOGLEFINANCE($B$12,""close"",GM$2,TODAY()),2,2))"),"")</f>
        <v/>
      </c>
      <c r="GN12" s="1" t="str">
        <f ca="1">IFERROR(__xludf.DUMMYFUNCTION("if(GN$2="""","""", index(GOOGLEFINANCE($B$12,""close"",GN$2,TODAY()),2,2))"),"")</f>
        <v/>
      </c>
      <c r="GO12" s="1" t="str">
        <f ca="1">IFERROR(__xludf.DUMMYFUNCTION("if(GO$2="""","""", index(GOOGLEFINANCE($B$12,""close"",GO$2,TODAY()),2,2))"),"")</f>
        <v/>
      </c>
      <c r="GP12" s="1" t="str">
        <f ca="1">IFERROR(__xludf.DUMMYFUNCTION("if(GP$2="""","""", index(GOOGLEFINANCE($B$12,""close"",GP$2,TODAY()),2,2))"),"")</f>
        <v/>
      </c>
      <c r="GQ12" s="1" t="str">
        <f ca="1">IFERROR(__xludf.DUMMYFUNCTION("if(GQ$2="""","""", index(GOOGLEFINANCE($B$12,""close"",GQ$2,TODAY()),2,2))"),"")</f>
        <v/>
      </c>
      <c r="GR12" s="1" t="str">
        <f ca="1">IFERROR(__xludf.DUMMYFUNCTION("if(GR$2="""","""", index(GOOGLEFINANCE($B$12,""close"",GR$2,TODAY()),2,2))"),"")</f>
        <v/>
      </c>
      <c r="GS12" s="1" t="str">
        <f ca="1">IFERROR(__xludf.DUMMYFUNCTION("if(GS$2="""","""", index(GOOGLEFINANCE($B$12,""close"",GS$2,TODAY()),2,2))"),"")</f>
        <v/>
      </c>
      <c r="GT12" s="1" t="str">
        <f ca="1">IFERROR(__xludf.DUMMYFUNCTION("if(GT$2="""","""", index(GOOGLEFINANCE($B$12,""close"",GT$2,TODAY()),2,2))"),"")</f>
        <v/>
      </c>
      <c r="GU12" s="1" t="str">
        <f ca="1">IFERROR(__xludf.DUMMYFUNCTION("if(GU$2="""","""", index(GOOGLEFINANCE($B$12,""close"",GU$2,TODAY()),2,2))"),"")</f>
        <v/>
      </c>
      <c r="GV12" s="1" t="str">
        <f ca="1">IFERROR(__xludf.DUMMYFUNCTION("if(GV$2="""","""", index(GOOGLEFINANCE($B$12,""close"",GV$2,TODAY()),2,2))"),"")</f>
        <v/>
      </c>
      <c r="GW12" s="1" t="str">
        <f ca="1">IFERROR(__xludf.DUMMYFUNCTION("if(GW$2="""","""", index(GOOGLEFINANCE($B$12,""close"",GW$2,TODAY()),2,2))"),"")</f>
        <v/>
      </c>
      <c r="GX12" s="1" t="str">
        <f ca="1">IFERROR(__xludf.DUMMYFUNCTION("if(GX$2="""","""", index(GOOGLEFINANCE($B$12,""close"",GX$2,TODAY()),2,2))"),"")</f>
        <v/>
      </c>
      <c r="GY12" s="1" t="str">
        <f ca="1">IFERROR(__xludf.DUMMYFUNCTION("if(GY$2="""","""", index(GOOGLEFINANCE($B$12,""close"",GY$2,TODAY()),2,2))"),"")</f>
        <v/>
      </c>
      <c r="GZ12" s="1" t="str">
        <f ca="1">IFERROR(__xludf.DUMMYFUNCTION("if(GZ$2="""","""", index(GOOGLEFINANCE($B$12,""close"",GZ$2,TODAY()),2,2))"),"")</f>
        <v/>
      </c>
      <c r="HA12" s="1" t="str">
        <f ca="1">IFERROR(__xludf.DUMMYFUNCTION("if(HA$2="""","""", index(GOOGLEFINANCE($B$12,""close"",HA$2,TODAY()),2,2))"),"")</f>
        <v/>
      </c>
      <c r="HB12" s="1" t="str">
        <f ca="1">IFERROR(__xludf.DUMMYFUNCTION("if(HB$2="""","""", index(GOOGLEFINANCE($B$12,""close"",HB$2,TODAY()),2,2))"),"")</f>
        <v/>
      </c>
      <c r="HC12" s="1" t="str">
        <f ca="1">IFERROR(__xludf.DUMMYFUNCTION("if(HC$2="""","""", index(GOOGLEFINANCE($B$12,""close"",HC$2,TODAY()),2,2))"),"")</f>
        <v/>
      </c>
      <c r="HD12" s="1" t="str">
        <f ca="1">IFERROR(__xludf.DUMMYFUNCTION("if(HD$2="""","""", index(GOOGLEFINANCE($B$12,""close"",HD$2,TODAY()),2,2))"),"")</f>
        <v/>
      </c>
      <c r="HE12" s="1" t="str">
        <f ca="1">IFERROR(__xludf.DUMMYFUNCTION("if(HE$2="""","""", index(GOOGLEFINANCE($B$12,""close"",HE$2,TODAY()),2,2))"),"")</f>
        <v/>
      </c>
      <c r="HF12" s="1" t="str">
        <f ca="1">IFERROR(__xludf.DUMMYFUNCTION("if(HF$2="""","""", index(GOOGLEFINANCE($B$12,""close"",HF$2,TODAY()),2,2))"),"")</f>
        <v/>
      </c>
      <c r="HG12" s="1" t="str">
        <f ca="1">IFERROR(__xludf.DUMMYFUNCTION("if(HG$2="""","""", index(GOOGLEFINANCE($B$12,""close"",HG$2,TODAY()),2,2))"),"")</f>
        <v/>
      </c>
      <c r="HH12" s="1" t="str">
        <f ca="1">IFERROR(__xludf.DUMMYFUNCTION("if(HH$2="""","""", index(GOOGLEFINANCE($B$12,""close"",HH$2,TODAY()),2,2))"),"")</f>
        <v/>
      </c>
      <c r="HI12" s="1" t="str">
        <f ca="1">IFERROR(__xludf.DUMMYFUNCTION("if(HI$2="""","""", index(GOOGLEFINANCE($B$12,""close"",HI$2,TODAY()),2,2))"),"")</f>
        <v/>
      </c>
      <c r="HJ12" s="1" t="str">
        <f ca="1">IFERROR(__xludf.DUMMYFUNCTION("if(HJ$2="""","""", index(GOOGLEFINANCE($B$12,""close"",HJ$2,TODAY()),2,2))"),"")</f>
        <v/>
      </c>
      <c r="HK12" s="1" t="str">
        <f ca="1">IFERROR(__xludf.DUMMYFUNCTION("if(HK$2="""","""", index(GOOGLEFINANCE($B$12,""close"",HK$2,TODAY()),2,2))"),"")</f>
        <v/>
      </c>
      <c r="HL12" s="1" t="str">
        <f ca="1">IFERROR(__xludf.DUMMYFUNCTION("if(HL$2="""","""", index(GOOGLEFINANCE($B$12,""close"",HL$2,TODAY()),2,2))"),"")</f>
        <v/>
      </c>
      <c r="HM12" s="1" t="str">
        <f ca="1">IFERROR(__xludf.DUMMYFUNCTION("if(HM$2="""","""", index(GOOGLEFINANCE($B$12,""close"",HM$2,TODAY()),2,2))"),"")</f>
        <v/>
      </c>
      <c r="HN12" s="1" t="str">
        <f ca="1">IFERROR(__xludf.DUMMYFUNCTION("if(HN$2="""","""", index(GOOGLEFINANCE($B$12,""close"",HN$2,TODAY()),2,2))"),"")</f>
        <v/>
      </c>
      <c r="HO12" s="1" t="str">
        <f ca="1">IFERROR(__xludf.DUMMYFUNCTION("if(HO$2="""","""", index(GOOGLEFINANCE($B$12,""close"",HO$2,TODAY()),2,2))"),"")</f>
        <v/>
      </c>
      <c r="HP12" s="1" t="str">
        <f ca="1">IFERROR(__xludf.DUMMYFUNCTION("if(HP$2="""","""", index(GOOGLEFINANCE($B$12,""close"",HP$2,TODAY()),2,2))"),"")</f>
        <v/>
      </c>
      <c r="HQ12" s="1" t="str">
        <f ca="1">IFERROR(__xludf.DUMMYFUNCTION("if(HQ$2="""","""", index(GOOGLEFINANCE($B$12,""close"",HQ$2,TODAY()),2,2))"),"")</f>
        <v/>
      </c>
      <c r="HR12" s="1" t="str">
        <f ca="1">IFERROR(__xludf.DUMMYFUNCTION("if(HR$2="""","""", index(GOOGLEFINANCE($B$12,""close"",HR$2,TODAY()),2,2))"),"")</f>
        <v/>
      </c>
      <c r="HS12" s="1" t="str">
        <f ca="1">IFERROR(__xludf.DUMMYFUNCTION("if(HS$2="""","""", index(GOOGLEFINANCE($B$12,""close"",HS$2,TODAY()),2,2))"),"")</f>
        <v/>
      </c>
      <c r="HT12" s="1" t="str">
        <f ca="1">IFERROR(__xludf.DUMMYFUNCTION("if(HT$2="""","""", index(GOOGLEFINANCE($B$12,""close"",HT$2,TODAY()),2,2))"),"")</f>
        <v/>
      </c>
      <c r="HU12" s="1" t="str">
        <f ca="1">IFERROR(__xludf.DUMMYFUNCTION("if(HU$2="""","""", index(GOOGLEFINANCE($B$12,""close"",HU$2,TODAY()),2,2))"),"")</f>
        <v/>
      </c>
      <c r="HV12" s="1" t="str">
        <f ca="1">IFERROR(__xludf.DUMMYFUNCTION("if(HV$2="""","""", index(GOOGLEFINANCE($B$12,""close"",HV$2,TODAY()),2,2))"),"")</f>
        <v/>
      </c>
      <c r="HW12" s="1" t="str">
        <f ca="1">IFERROR(__xludf.DUMMYFUNCTION("if(HW$2="""","""", index(GOOGLEFINANCE($B$12,""close"",HW$2,TODAY()),2,2))"),"")</f>
        <v/>
      </c>
      <c r="HX12" s="1" t="str">
        <f ca="1">IFERROR(__xludf.DUMMYFUNCTION("if(HX$2="""","""", index(GOOGLEFINANCE($B$12,""close"",HX$2,TODAY()),2,2))"),"")</f>
        <v/>
      </c>
      <c r="HY12" s="1" t="str">
        <f ca="1">IFERROR(__xludf.DUMMYFUNCTION("if(HY$2="""","""", index(GOOGLEFINANCE($B$12,""close"",HY$2,TODAY()),2,2))"),"")</f>
        <v/>
      </c>
      <c r="HZ12" s="1" t="str">
        <f ca="1">IFERROR(__xludf.DUMMYFUNCTION("if(HZ$2="""","""", index(GOOGLEFINANCE($B$12,""close"",HZ$2,TODAY()),2,2))"),"")</f>
        <v/>
      </c>
      <c r="IA12" s="1" t="str">
        <f ca="1">IFERROR(__xludf.DUMMYFUNCTION("if(IA$2="""","""", index(GOOGLEFINANCE($B$12,""close"",IA$2,TODAY()),2,2))"),"")</f>
        <v/>
      </c>
      <c r="IB12" s="1" t="str">
        <f ca="1">IFERROR(__xludf.DUMMYFUNCTION("if(IB$2="""","""", index(GOOGLEFINANCE($B$12,""close"",IB$2,TODAY()),2,2))"),"")</f>
        <v/>
      </c>
      <c r="IC12" s="1" t="str">
        <f ca="1">IFERROR(__xludf.DUMMYFUNCTION("if(IC$2="""","""", index(GOOGLEFINANCE($B$12,""close"",IC$2,TODAY()),2,2))"),"")</f>
        <v/>
      </c>
      <c r="ID12" s="1" t="str">
        <f ca="1">IFERROR(__xludf.DUMMYFUNCTION("if(ID$2="""","""", index(GOOGLEFINANCE($B$12,""close"",ID$2,TODAY()),2,2))"),"")</f>
        <v/>
      </c>
      <c r="IE12" s="1" t="str">
        <f ca="1">IFERROR(__xludf.DUMMYFUNCTION("if(IE$2="""","""", index(GOOGLEFINANCE($B$12,""close"",IE$2,TODAY()),2,2))"),"")</f>
        <v/>
      </c>
      <c r="IF12" s="1" t="str">
        <f ca="1">IFERROR(__xludf.DUMMYFUNCTION("if(IF$2="""","""", index(GOOGLEFINANCE($B$12,""close"",IF$2,TODAY()),2,2))"),"")</f>
        <v/>
      </c>
      <c r="IG12" s="1" t="str">
        <f ca="1">IFERROR(__xludf.DUMMYFUNCTION("if(IG$2="""","""", index(GOOGLEFINANCE($B$12,""close"",IG$2,TODAY()),2,2))"),"")</f>
        <v/>
      </c>
      <c r="IH12" s="1" t="str">
        <f ca="1">IFERROR(__xludf.DUMMYFUNCTION("if(IH$2="""","""", index(GOOGLEFINANCE($B$12,""close"",IH$2,TODAY()),2,2))"),"")</f>
        <v/>
      </c>
      <c r="II12" s="1" t="str">
        <f ca="1">IFERROR(__xludf.DUMMYFUNCTION("if(II$2="""","""", index(GOOGLEFINANCE($B$12,""close"",II$2,TODAY()),2,2))"),"")</f>
        <v/>
      </c>
      <c r="IJ12" s="1" t="str">
        <f ca="1">IFERROR(__xludf.DUMMYFUNCTION("if(IJ$2="""","""", index(GOOGLEFINANCE($B$12,""close"",IJ$2,TODAY()),2,2))"),"")</f>
        <v/>
      </c>
      <c r="IK12" s="1" t="str">
        <f ca="1">IFERROR(__xludf.DUMMYFUNCTION("if(IK$2="""","""", index(GOOGLEFINANCE($B$12,""close"",IK$2,TODAY()),2,2))"),"")</f>
        <v/>
      </c>
      <c r="IL12" s="1" t="str">
        <f ca="1">IFERROR(__xludf.DUMMYFUNCTION("if(IL$2="""","""", index(GOOGLEFINANCE($B$12,""close"",IL$2,TODAY()),2,2))"),"")</f>
        <v/>
      </c>
      <c r="IM12" s="1" t="str">
        <f ca="1">IFERROR(__xludf.DUMMYFUNCTION("if(IM$2="""","""", index(GOOGLEFINANCE($B$12,""close"",IM$2,TODAY()),2,2))"),"")</f>
        <v/>
      </c>
      <c r="IN12" s="1" t="str">
        <f ca="1">IFERROR(__xludf.DUMMYFUNCTION("if(IN$2="""","""", index(GOOGLEFINANCE($B$12,""close"",IN$2,TODAY()),2,2))"),"")</f>
        <v/>
      </c>
      <c r="IO12" s="1" t="str">
        <f ca="1">IFERROR(__xludf.DUMMYFUNCTION("if(IO$2="""","""", index(GOOGLEFINANCE($B$12,""close"",IO$2,TODAY()),2,2))"),"")</f>
        <v/>
      </c>
      <c r="IP12" s="1" t="str">
        <f ca="1">IFERROR(__xludf.DUMMYFUNCTION("if(IP$2="""","""", index(GOOGLEFINANCE($B$12,""close"",IP$2,TODAY()),2,2))"),"")</f>
        <v/>
      </c>
      <c r="IQ12" s="1" t="str">
        <f ca="1">IFERROR(__xludf.DUMMYFUNCTION("if(IQ$2="""","""", index(GOOGLEFINANCE($B$12,""close"",IQ$2,TODAY()),2,2))"),"")</f>
        <v/>
      </c>
      <c r="IR12" s="1" t="str">
        <f ca="1">IFERROR(__xludf.DUMMYFUNCTION("if(IR$2="""","""", index(GOOGLEFINANCE($B$12,""close"",IR$2,TODAY()),2,2))"),"")</f>
        <v/>
      </c>
      <c r="IS12" s="1" t="str">
        <f ca="1">IFERROR(__xludf.DUMMYFUNCTION("if(IS$2="""","""", index(GOOGLEFINANCE($B$12,""close"",IS$2,TODAY()),2,2))"),"")</f>
        <v/>
      </c>
      <c r="IT12" s="1" t="str">
        <f ca="1">IFERROR(__xludf.DUMMYFUNCTION("if(IT$2="""","""", index(GOOGLEFINANCE($B$12,""close"",IT$2,TODAY()),2,2))"),"")</f>
        <v/>
      </c>
      <c r="IU12" s="1" t="str">
        <f ca="1">IFERROR(__xludf.DUMMYFUNCTION("if(IU$2="""","""", index(GOOGLEFINANCE($B$12,""close"",IU$2,TODAY()),2,2))"),"")</f>
        <v/>
      </c>
      <c r="IV12" s="1" t="str">
        <f ca="1">IFERROR(__xludf.DUMMYFUNCTION("if(IV$2="""","""", index(GOOGLEFINANCE($B$12,""close"",IV$2,TODAY()),2,2))"),"")</f>
        <v/>
      </c>
      <c r="IW12" s="1" t="str">
        <f ca="1">IFERROR(__xludf.DUMMYFUNCTION("if(IW$2="""","""", index(GOOGLEFINANCE($B$12,""close"",IW$2,TODAY()),2,2))"),"")</f>
        <v/>
      </c>
      <c r="IX12" s="1" t="str">
        <f ca="1">IFERROR(__xludf.DUMMYFUNCTION("if(IX$2="""","""", index(GOOGLEFINANCE($B$12,""close"",IX$2,TODAY()),2,2))"),"")</f>
        <v/>
      </c>
      <c r="IY12" s="1" t="str">
        <f ca="1">IFERROR(__xludf.DUMMYFUNCTION("if(IY$2="""","""", index(GOOGLEFINANCE($B$12,""close"",IY$2,TODAY()),2,2))"),"")</f>
        <v/>
      </c>
      <c r="IZ12" s="1" t="str">
        <f ca="1">IFERROR(__xludf.DUMMYFUNCTION("if(IZ$2="""","""", index(GOOGLEFINANCE($B$12,""close"",IZ$2,TODAY()),2,2))"),"")</f>
        <v/>
      </c>
      <c r="JA12" s="1" t="str">
        <f ca="1">IFERROR(__xludf.DUMMYFUNCTION("if(JA$2="""","""", index(GOOGLEFINANCE($B$12,""close"",JA$2,TODAY()),2,2))"),"")</f>
        <v/>
      </c>
      <c r="JB12" s="1" t="str">
        <f ca="1">IFERROR(__xludf.DUMMYFUNCTION("if(JB$2="""","""", index(GOOGLEFINANCE($B$12,""close"",JB$2,TODAY()),2,2))"),"")</f>
        <v/>
      </c>
      <c r="JC12" s="1" t="str">
        <f ca="1">IFERROR(__xludf.DUMMYFUNCTION("if(JC$2="""","""", index(GOOGLEFINANCE($B$12,""close"",JC$2,TODAY()),2,2))"),"")</f>
        <v/>
      </c>
      <c r="JD12" s="1" t="str">
        <f ca="1">IFERROR(__xludf.DUMMYFUNCTION("if(JD$2="""","""", index(GOOGLEFINANCE($B$12,""close"",JD$2,TODAY()),2,2))"),"")</f>
        <v/>
      </c>
      <c r="JE12" s="1" t="str">
        <f ca="1">IFERROR(__xludf.DUMMYFUNCTION("if(JE$2="""","""", index(GOOGLEFINANCE($B$12,""close"",JE$2,TODAY()),2,2))"),"")</f>
        <v/>
      </c>
      <c r="JF12" s="1" t="str">
        <f ca="1">IFERROR(__xludf.DUMMYFUNCTION("if(JF$2="""","""", index(GOOGLEFINANCE($B$12,""close"",JF$2,TODAY()),2,2))"),"")</f>
        <v/>
      </c>
      <c r="JG12" s="1" t="str">
        <f ca="1">IFERROR(__xludf.DUMMYFUNCTION("if(JG$2="""","""", index(GOOGLEFINANCE($B$12,""close"",JG$2,TODAY()),2,2))"),"")</f>
        <v/>
      </c>
      <c r="JH12" s="1" t="str">
        <f ca="1">IFERROR(__xludf.DUMMYFUNCTION("if(JH$2="""","""", index(GOOGLEFINANCE($B$12,""close"",JH$2,TODAY()),2,2))"),"")</f>
        <v/>
      </c>
      <c r="JI12" s="1" t="str">
        <f ca="1">IFERROR(__xludf.DUMMYFUNCTION("if(JI$2="""","""", index(GOOGLEFINANCE($B$12,""close"",JI$2,TODAY()),2,2))"),"")</f>
        <v/>
      </c>
      <c r="JJ12" s="1" t="str">
        <f ca="1">IFERROR(__xludf.DUMMYFUNCTION("if(JJ$2="""","""", index(GOOGLEFINANCE($B$12,""close"",JJ$2,TODAY()),2,2))"),"")</f>
        <v/>
      </c>
      <c r="JK12" s="1" t="str">
        <f ca="1">IFERROR(__xludf.DUMMYFUNCTION("if(JK$2="""","""", index(GOOGLEFINANCE($B$12,""close"",JK$2,TODAY()),2,2))"),"")</f>
        <v/>
      </c>
      <c r="JL12" s="1" t="str">
        <f ca="1">IFERROR(__xludf.DUMMYFUNCTION("if(JL$2="""","""", index(GOOGLEFINANCE($B$12,""close"",JL$2,TODAY()),2,2))"),"")</f>
        <v/>
      </c>
      <c r="JM12" s="1" t="str">
        <f ca="1">IFERROR(__xludf.DUMMYFUNCTION("if(JM$2="""","""", index(GOOGLEFINANCE($B$12,""close"",JM$2,TODAY()),2,2))"),"")</f>
        <v/>
      </c>
      <c r="JN12" s="1" t="str">
        <f ca="1">IFERROR(__xludf.DUMMYFUNCTION("if(JN$2="""","""", index(GOOGLEFINANCE($B$12,""close"",JN$2,TODAY()),2,2))"),"")</f>
        <v/>
      </c>
      <c r="JO12" s="1" t="str">
        <f ca="1">IFERROR(__xludf.DUMMYFUNCTION("if(JO$2="""","""", index(GOOGLEFINANCE($B$12,""close"",JO$2,TODAY()),2,2))"),"")</f>
        <v/>
      </c>
      <c r="JP12" s="1" t="str">
        <f ca="1">IFERROR(__xludf.DUMMYFUNCTION("if(JP$2="""","""", index(GOOGLEFINANCE($B$12,""close"",JP$2,TODAY()),2,2))"),"")</f>
        <v/>
      </c>
      <c r="JQ12" s="1" t="str">
        <f ca="1">IFERROR(__xludf.DUMMYFUNCTION("if(JQ$2="""","""", index(GOOGLEFINANCE($B$12,""close"",JQ$2,TODAY()),2,2))"),"")</f>
        <v/>
      </c>
      <c r="JR12" s="1" t="str">
        <f ca="1">IFERROR(__xludf.DUMMYFUNCTION("if(JR$2="""","""", index(GOOGLEFINANCE($B$12,""close"",JR$2,TODAY()),2,2))"),"")</f>
        <v/>
      </c>
      <c r="JS12" s="1" t="str">
        <f ca="1">IFERROR(__xludf.DUMMYFUNCTION("if(JS$2="""","""", index(GOOGLEFINANCE($B$12,""close"",JS$2,TODAY()),2,2))"),"")</f>
        <v/>
      </c>
      <c r="JT12" s="1" t="str">
        <f ca="1">IFERROR(__xludf.DUMMYFUNCTION("if(JT$2="""","""", index(GOOGLEFINANCE($B$12,""close"",JT$2,TODAY()),2,2))"),"")</f>
        <v/>
      </c>
      <c r="JU12" s="1" t="str">
        <f ca="1">IFERROR(__xludf.DUMMYFUNCTION("if(JU$2="""","""", index(GOOGLEFINANCE($B$12,""close"",JU$2,TODAY()),2,2))"),"")</f>
        <v/>
      </c>
      <c r="JV12" s="1" t="str">
        <f ca="1">IFERROR(__xludf.DUMMYFUNCTION("if(JV$2="""","""", index(GOOGLEFINANCE($B$12,""close"",JV$2,TODAY()),2,2))"),"")</f>
        <v/>
      </c>
      <c r="JW12" s="1" t="str">
        <f ca="1">IFERROR(__xludf.DUMMYFUNCTION("if(JW$2="""","""", index(GOOGLEFINANCE($B$12,""close"",JW$2,TODAY()),2,2))"),"")</f>
        <v/>
      </c>
      <c r="JX12" s="1" t="str">
        <f ca="1">IFERROR(__xludf.DUMMYFUNCTION("if(JX$2="""","""", index(GOOGLEFINANCE($B$12,""close"",JX$2,TODAY()),2,2))"),"")</f>
        <v/>
      </c>
      <c r="JY12" s="1" t="str">
        <f ca="1">IFERROR(__xludf.DUMMYFUNCTION("if(JY$2="""","""", index(GOOGLEFINANCE($B$12,""close"",JY$2,TODAY()),2,2))"),"")</f>
        <v/>
      </c>
      <c r="JZ12" s="1" t="str">
        <f ca="1">IFERROR(__xludf.DUMMYFUNCTION("if(JZ$2="""","""", index(GOOGLEFINANCE($B$12,""close"",JZ$2,TODAY()),2,2))"),"")</f>
        <v/>
      </c>
      <c r="KA12" s="1" t="str">
        <f ca="1">IFERROR(__xludf.DUMMYFUNCTION("if(KA$2="""","""", index(GOOGLEFINANCE($B$12,""close"",KA$2,TODAY()),2,2))"),"")</f>
        <v/>
      </c>
      <c r="KB12" s="1" t="str">
        <f ca="1">IFERROR(__xludf.DUMMYFUNCTION("if(KB$2="""","""", index(GOOGLEFINANCE($B$12,""close"",KB$2,TODAY()),2,2))"),"")</f>
        <v/>
      </c>
      <c r="KC12" s="1" t="str">
        <f ca="1">IFERROR(__xludf.DUMMYFUNCTION("if(KC$2="""","""", index(GOOGLEFINANCE($B$12,""close"",KC$2,TODAY()),2,2))"),"")</f>
        <v/>
      </c>
      <c r="KD12" s="1" t="str">
        <f ca="1">IFERROR(__xludf.DUMMYFUNCTION("if(KD$2="""","""", index(GOOGLEFINANCE($B$12,""close"",KD$2,TODAY()),2,2))"),"")</f>
        <v/>
      </c>
      <c r="KE12" s="1" t="str">
        <f ca="1">IFERROR(__xludf.DUMMYFUNCTION("if(KE$2="""","""", index(GOOGLEFINANCE($B$12,""close"",KE$2,TODAY()),2,2))"),"")</f>
        <v/>
      </c>
      <c r="KF12" s="1" t="str">
        <f ca="1">IFERROR(__xludf.DUMMYFUNCTION("if(KF$2="""","""", index(GOOGLEFINANCE($B$12,""close"",KF$2,TODAY()),2,2))"),"")</f>
        <v/>
      </c>
      <c r="KG12" s="1" t="str">
        <f ca="1">IFERROR(__xludf.DUMMYFUNCTION("if(KG$2="""","""", index(GOOGLEFINANCE($B$12,""close"",KG$2,TODAY()),2,2))"),"")</f>
        <v/>
      </c>
    </row>
    <row r="13" spans="1:319" ht="15.75" customHeight="1">
      <c r="A13" s="18" t="s">
        <v>30</v>
      </c>
      <c r="B13" s="6" t="s">
        <v>57</v>
      </c>
      <c r="C13" s="1">
        <f ca="1">IFERROR(__xludf.DUMMYFUNCTION("if(C$2="""","""", index(GOOGLEFINANCE($B$13,""close"",C$2,TODAY()),2,2))"),33.28)</f>
        <v>33.28</v>
      </c>
      <c r="D13" s="1">
        <f ca="1">IFERROR(__xludf.DUMMYFUNCTION("if(D$2="""","""", index(GOOGLEFINANCE($B$13,""close"",D$2,TODAY()),2,2))"),34.45)</f>
        <v>34.450000000000003</v>
      </c>
      <c r="E13" s="1">
        <f ca="1">IFERROR(__xludf.DUMMYFUNCTION("if(E$2="""","""", index(GOOGLEFINANCE($B$13,""close"",E$2,TODAY()),2,2))"),34.11)</f>
        <v>34.11</v>
      </c>
      <c r="F13" s="1">
        <f ca="1">IFERROR(__xludf.DUMMYFUNCTION("if(F$2="""","""", index(GOOGLEFINANCE($B$13,""close"",F$2,TODAY()),2,2))"),35.12)</f>
        <v>35.119999999999997</v>
      </c>
      <c r="G13" s="1">
        <f ca="1">IFERROR(__xludf.DUMMYFUNCTION("if(G$2="""","""", index(GOOGLEFINANCE($B$13,""close"",G$2,TODAY()),2,2))"),35.49)</f>
        <v>35.49</v>
      </c>
      <c r="H13" s="1">
        <f ca="1">IFERROR(__xludf.DUMMYFUNCTION("if(H$2="""","""", index(GOOGLEFINANCE($B$13,""close"",H$2,TODAY()),2,2))"),35.17)</f>
        <v>35.17</v>
      </c>
      <c r="I13" s="1">
        <f ca="1">IFERROR(__xludf.DUMMYFUNCTION("if(I$2="""","""", index(GOOGLEFINANCE($B$13,""close"",I$2,TODAY()),2,2))"),35.77)</f>
        <v>35.770000000000003</v>
      </c>
      <c r="J13" s="1">
        <f ca="1">IFERROR(__xludf.DUMMYFUNCTION("if(J$2="""","""", index(GOOGLEFINANCE($B$13,""close"",J$2,TODAY()),2,2))"),35.6)</f>
        <v>35.6</v>
      </c>
      <c r="K13" s="1">
        <f ca="1">IFERROR(__xludf.DUMMYFUNCTION("if(K$2="""","""", index(GOOGLEFINANCE($B$13,""close"",K$2,TODAY()),2,2))"),35.7)</f>
        <v>35.700000000000003</v>
      </c>
      <c r="L13" s="1">
        <f ca="1">IFERROR(__xludf.DUMMYFUNCTION("if(L$2="""","""", index(GOOGLEFINANCE($B$13,""close"",L$2,TODAY()),2,2))"),35.98)</f>
        <v>35.979999999999997</v>
      </c>
      <c r="M13" s="1">
        <f ca="1">IFERROR(__xludf.DUMMYFUNCTION("if(M$2="""","""", index(GOOGLEFINANCE($B$13,""close"",M$2,TODAY()),2,2))"),35.06)</f>
        <v>35.06</v>
      </c>
      <c r="N13" s="1">
        <f ca="1">IFERROR(__xludf.DUMMYFUNCTION("if(N$2="""","""", index(GOOGLEFINANCE($B$13,""close"",N$2,TODAY()),2,2))"),34.39)</f>
        <v>34.39</v>
      </c>
      <c r="O13" s="1">
        <f ca="1">IFERROR(__xludf.DUMMYFUNCTION("if(O$2="""","""", index(GOOGLEFINANCE($B$13,""close"",O$2,TODAY()),2,2))"),34.3)</f>
        <v>34.299999999999997</v>
      </c>
      <c r="P13" s="1">
        <f ca="1">IFERROR(__xludf.DUMMYFUNCTION("if(P$2="""","""", index(GOOGLEFINANCE($B$13,""close"",P$2,TODAY()),2,2))"),33.32)</f>
        <v>33.32</v>
      </c>
      <c r="Q13" s="1">
        <f ca="1">IFERROR(__xludf.DUMMYFUNCTION("if(Q$2="""","""", index(GOOGLEFINANCE($B$13,""close"",Q$2,TODAY()),2,2))"),32.93)</f>
        <v>32.93</v>
      </c>
      <c r="R13" s="1">
        <f ca="1">IFERROR(__xludf.DUMMYFUNCTION("if(R$2="""","""", index(GOOGLEFINANCE($B$13,""close"",R$2,TODAY()),2,2))"),32.94)</f>
        <v>32.94</v>
      </c>
      <c r="S13" s="1">
        <f ca="1">IFERROR(__xludf.DUMMYFUNCTION("if(S$2="""","""", index(GOOGLEFINANCE($B$13,""close"",S$2,TODAY()),2,2))"),33.09)</f>
        <v>33.090000000000003</v>
      </c>
      <c r="T13" s="1">
        <f ca="1">IFERROR(__xludf.DUMMYFUNCTION("if(T$2="""","""", index(GOOGLEFINANCE($B$13,""close"",T$2,TODAY()),2,2))"),32.28)</f>
        <v>32.28</v>
      </c>
      <c r="U13" s="1">
        <f ca="1">IFERROR(__xludf.DUMMYFUNCTION("if(U$2="""","""", index(GOOGLEFINANCE($B$13,""close"",U$2,TODAY()),2,2))"),31.99)</f>
        <v>31.99</v>
      </c>
      <c r="V13" s="1">
        <f ca="1">IFERROR(__xludf.DUMMYFUNCTION("if(V$2="""","""", index(GOOGLEFINANCE($B$13,""close"",V$2,TODAY()),2,2))"),33.64)</f>
        <v>33.64</v>
      </c>
      <c r="W13" s="1">
        <f ca="1">IFERROR(__xludf.DUMMYFUNCTION("if(W$2="""","""", index(GOOGLEFINANCE($B$13,""close"",W$2,TODAY()),2,2))"),34.64)</f>
        <v>34.64</v>
      </c>
      <c r="X13" s="1">
        <f ca="1">IFERROR(__xludf.DUMMYFUNCTION("if(X$2="""","""", index(GOOGLEFINANCE($B$13,""close"",X$2,TODAY()),2,2))"),34.8)</f>
        <v>34.799999999999997</v>
      </c>
      <c r="Y13" s="1">
        <f ca="1">IFERROR(__xludf.DUMMYFUNCTION("if(Y$2="""","""", index(GOOGLEFINANCE($B$13,""close"",Y$2,TODAY()),2,2))"),33.4)</f>
        <v>33.4</v>
      </c>
      <c r="Z13" s="1">
        <f ca="1">IFERROR(__xludf.DUMMYFUNCTION("if(Z$2="""","""", index(GOOGLEFINANCE($B$13,""close"",Z$2,TODAY()),2,2))"),34.59)</f>
        <v>34.590000000000003</v>
      </c>
      <c r="AA13" s="1">
        <f ca="1">IFERROR(__xludf.DUMMYFUNCTION("if(AA$2="""","""", index(GOOGLEFINANCE($B$13,""close"",AA$2,TODAY()),2,2))"),35.06)</f>
        <v>35.06</v>
      </c>
      <c r="AB13" s="1">
        <f ca="1">IFERROR(__xludf.DUMMYFUNCTION("if(AB$2="""","""", index(GOOGLEFINANCE($B$13,""close"",AB$2,TODAY()),2,2))"),35.81)</f>
        <v>35.81</v>
      </c>
      <c r="AC13" s="1">
        <f ca="1">IFERROR(__xludf.DUMMYFUNCTION("if(AC$2="""","""", index(GOOGLEFINANCE($B$13,""close"",AC$2,TODAY()),2,2))"),36.22)</f>
        <v>36.22</v>
      </c>
      <c r="AD13" s="1">
        <f ca="1">IFERROR(__xludf.DUMMYFUNCTION("if(AD$2="""","""", index(GOOGLEFINANCE($B$13,""close"",AD$2,TODAY()),2,2))"),36.3)</f>
        <v>36.299999999999997</v>
      </c>
      <c r="AE13" s="1">
        <f ca="1">IFERROR(__xludf.DUMMYFUNCTION("if(AE$2="""","""", index(GOOGLEFINANCE($B$13,""close"",AE$2,TODAY()),2,2))"),34.6)</f>
        <v>34.6</v>
      </c>
      <c r="AF13" s="1">
        <f ca="1">IFERROR(__xludf.DUMMYFUNCTION("if(AF$2="""","""", index(GOOGLEFINANCE($B$13,""close"",AF$2,TODAY()),2,2))"),33.94)</f>
        <v>33.94</v>
      </c>
      <c r="AG13" s="1">
        <f ca="1">IFERROR(__xludf.DUMMYFUNCTION("if(AG$2="""","""", index(GOOGLEFINANCE($B$13,""close"",AG$2,TODAY()),2,2))"),34.6)</f>
        <v>34.6</v>
      </c>
      <c r="AH13" s="1">
        <f ca="1">IFERROR(__xludf.DUMMYFUNCTION("if(AH$2="""","""", index(GOOGLEFINANCE($B$13,""close"",AH$2,TODAY()),2,2))"),34.59)</f>
        <v>34.590000000000003</v>
      </c>
      <c r="AI13" s="1">
        <f ca="1">IFERROR(__xludf.DUMMYFUNCTION("if(AI$2="""","""", index(GOOGLEFINANCE($B$13,""close"",AI$2,TODAY()),2,2))"),33.22)</f>
        <v>33.22</v>
      </c>
      <c r="AJ13" s="1">
        <f ca="1">IFERROR(__xludf.DUMMYFUNCTION("if(AJ$2="""","""", index(GOOGLEFINANCE($B$13,""close"",AJ$2,TODAY()),2,2))"),33.17)</f>
        <v>33.17</v>
      </c>
      <c r="AK13" s="1">
        <f ca="1">IFERROR(__xludf.DUMMYFUNCTION("if(AK$2="""","""", index(GOOGLEFINANCE($B$13,""close"",AK$2,TODAY()),2,2))"),32.48)</f>
        <v>32.479999999999997</v>
      </c>
      <c r="AL13" s="1">
        <f ca="1">IFERROR(__xludf.DUMMYFUNCTION("if(AL$2="""","""", index(GOOGLEFINANCE($B$13,""close"",AL$2,TODAY()),2,2))"),31.99)</f>
        <v>31.99</v>
      </c>
      <c r="AM13" s="1">
        <f ca="1">IFERROR(__xludf.DUMMYFUNCTION("if(AM$2="""","""", index(GOOGLEFINANCE($B$13,""close"",AM$2,TODAY()),2,2))"),31.91)</f>
        <v>31.91</v>
      </c>
      <c r="AN13" s="1">
        <f ca="1">IFERROR(__xludf.DUMMYFUNCTION("if(AN$2="""","""", index(GOOGLEFINANCE($B$13,""close"",AN$2,TODAY()),2,2))"),33.09)</f>
        <v>33.090000000000003</v>
      </c>
      <c r="AO13" s="1">
        <f ca="1">IFERROR(__xludf.DUMMYFUNCTION("if(AO$2="""","""", index(GOOGLEFINANCE($B$13,""close"",AO$2,TODAY()),2,2))"),32.66)</f>
        <v>32.659999999999997</v>
      </c>
      <c r="AP13" s="1">
        <f ca="1">IFERROR(__xludf.DUMMYFUNCTION("if(AP$2="""","""", index(GOOGLEFINANCE($B$13,""close"",AP$2,TODAY()),2,2))"),30.8)</f>
        <v>30.8</v>
      </c>
      <c r="AQ13" s="1">
        <f ca="1">IFERROR(__xludf.DUMMYFUNCTION("if(AQ$2="""","""", index(GOOGLEFINANCE($B$13,""close"",AQ$2,TODAY()),2,2))"),31.76)</f>
        <v>31.76</v>
      </c>
      <c r="AR13" s="1">
        <f ca="1">IFERROR(__xludf.DUMMYFUNCTION("if(AR$2="""","""", index(GOOGLEFINANCE($B$13,""close"",AR$2,TODAY()),2,2))"),31.44)</f>
        <v>31.44</v>
      </c>
      <c r="AS13" s="1">
        <f ca="1">IFERROR(__xludf.DUMMYFUNCTION("if(AS$2="""","""", index(GOOGLEFINANCE($B$13,""close"",AS$2,TODAY()),2,2))"),30.65)</f>
        <v>30.65</v>
      </c>
      <c r="AT13" s="1">
        <f ca="1">IFERROR(__xludf.DUMMYFUNCTION("if(AT$2="""","""", index(GOOGLEFINANCE($B$13,""close"",AT$2,TODAY()),2,2))"),28.52)</f>
        <v>28.52</v>
      </c>
      <c r="AU13" s="1">
        <f ca="1">IFERROR(__xludf.DUMMYFUNCTION("if(AU$2="""","""", index(GOOGLEFINANCE($B$13,""close"",AU$2,TODAY()),2,2))"),28.64)</f>
        <v>28.64</v>
      </c>
      <c r="AV13" s="1">
        <f ca="1">IFERROR(__xludf.DUMMYFUNCTION("if(AV$2="""","""", index(GOOGLEFINANCE($B$13,""close"",AV$2,TODAY()),2,2))"),30.24)</f>
        <v>30.24</v>
      </c>
      <c r="AW13" s="1">
        <f ca="1">IFERROR(__xludf.DUMMYFUNCTION("if(AW$2="""","""", index(GOOGLEFINANCE($B$13,""close"",AW$2,TODAY()),2,2))"),29.8)</f>
        <v>29.8</v>
      </c>
      <c r="AX13" s="1">
        <f ca="1">IFERROR(__xludf.DUMMYFUNCTION("if(AX$2="""","""", index(GOOGLEFINANCE($B$13,""close"",AX$2,TODAY()),2,2))"),29.92)</f>
        <v>29.92</v>
      </c>
      <c r="AY13" s="1">
        <f ca="1">IFERROR(__xludf.DUMMYFUNCTION("if(AY$2="""","""", index(GOOGLEFINANCE($B$13,""close"",AY$2,TODAY()),2,2))"),30.25)</f>
        <v>30.25</v>
      </c>
      <c r="AZ13" s="1">
        <f ca="1">IFERROR(__xludf.DUMMYFUNCTION("if(AZ$2="""","""", index(GOOGLEFINANCE($B$13,""close"",AZ$2,TODAY()),2,2))"),30.49)</f>
        <v>30.49</v>
      </c>
      <c r="BA13" s="1">
        <f ca="1">IFERROR(__xludf.DUMMYFUNCTION("if(BA$2="""","""", index(GOOGLEFINANCE($B$13,""close"",BA$2,TODAY()),2,2))"),31.54)</f>
        <v>31.54</v>
      </c>
      <c r="BB13" s="1">
        <f ca="1">IFERROR(__xludf.DUMMYFUNCTION("if(BB$2="""","""", index(GOOGLEFINANCE($B$13,""close"",BB$2,TODAY()),2,2))"),31.51)</f>
        <v>31.51</v>
      </c>
      <c r="BC13" s="1">
        <f ca="1">IFERROR(__xludf.DUMMYFUNCTION("if(BC$2="""","""", index(GOOGLEFINANCE($B$13,""close"",BC$2,TODAY()),2,2))"),31.77)</f>
        <v>31.77</v>
      </c>
      <c r="BD13" s="1">
        <f ca="1">IFERROR(__xludf.DUMMYFUNCTION("if(BD$2="""","""", index(GOOGLEFINANCE($B$13,""close"",BD$2,TODAY()),2,2))"),31.15)</f>
        <v>31.15</v>
      </c>
      <c r="BE13" s="1">
        <f ca="1">IFERROR(__xludf.DUMMYFUNCTION("if(BE$2="""","""", index(GOOGLEFINANCE($B$13,""close"",BE$2,TODAY()),2,2))"),32.13)</f>
        <v>32.130000000000003</v>
      </c>
      <c r="BF13" s="1">
        <f ca="1">IFERROR(__xludf.DUMMYFUNCTION("if(BF$2="""","""", index(GOOGLEFINANCE($B$13,""close"",BF$2,TODAY()),2,2))"),31.27)</f>
        <v>31.27</v>
      </c>
      <c r="BG13" s="1">
        <f ca="1">IFERROR(__xludf.DUMMYFUNCTION("if(BG$2="""","""", index(GOOGLEFINANCE($B$13,""close"",BG$2,TODAY()),2,2))"),31.77)</f>
        <v>31.77</v>
      </c>
      <c r="BH13" s="1">
        <f ca="1">IFERROR(__xludf.DUMMYFUNCTION("if(BH$2="""","""", index(GOOGLEFINANCE($B$13,""close"",BH$2,TODAY()),2,2))"),32.08)</f>
        <v>32.08</v>
      </c>
      <c r="BI13" s="1">
        <f ca="1">IFERROR(__xludf.DUMMYFUNCTION("if(BI$2="""","""", index(GOOGLEFINANCE($B$13,""close"",BI$2,TODAY()),2,2))"),31.62)</f>
        <v>31.62</v>
      </c>
      <c r="BJ13" s="1">
        <f ca="1">IFERROR(__xludf.DUMMYFUNCTION("if(BJ$2="""","""", index(GOOGLEFINANCE($B$13,""close"",BJ$2,TODAY()),2,2))"),31.97)</f>
        <v>31.97</v>
      </c>
      <c r="BK13" s="1">
        <f ca="1">IFERROR(__xludf.DUMMYFUNCTION("if(BK$2="""","""", index(GOOGLEFINANCE($B$13,""close"",BK$2,TODAY()),2,2))"),31.7)</f>
        <v>31.7</v>
      </c>
      <c r="BL13" s="1">
        <f ca="1">IFERROR(__xludf.DUMMYFUNCTION("if(BL$2="""","""", index(GOOGLEFINANCE($B$13,""close"",BL$2,TODAY()),2,2))"),30.91)</f>
        <v>30.91</v>
      </c>
      <c r="BM13" s="1">
        <f ca="1">IFERROR(__xludf.DUMMYFUNCTION("if(BM$2="""","""", index(GOOGLEFINANCE($B$13,""close"",BM$2,TODAY()),2,2))"),30.85)</f>
        <v>30.85</v>
      </c>
      <c r="BN13" s="1">
        <f ca="1">IFERROR(__xludf.DUMMYFUNCTION("if(BN$2="""","""", index(GOOGLEFINANCE($B$13,""close"",BN$2,TODAY()),2,2))"),30.87)</f>
        <v>30.87</v>
      </c>
      <c r="BO13" s="1">
        <f ca="1">IFERROR(__xludf.DUMMYFUNCTION("if(BO$2="""","""", index(GOOGLEFINANCE($B$13,""close"",BO$2,TODAY()),2,2))"),31.58)</f>
        <v>31.58</v>
      </c>
      <c r="BP13" s="1">
        <f ca="1">IFERROR(__xludf.DUMMYFUNCTION("if(BP$2="""","""", index(GOOGLEFINANCE($B$13,""close"",BP$2,TODAY()),2,2))"),31.54)</f>
        <v>31.54</v>
      </c>
      <c r="BQ13" s="1">
        <f ca="1">IFERROR(__xludf.DUMMYFUNCTION("if(BQ$2="""","""", index(GOOGLEFINANCE($B$13,""close"",BQ$2,TODAY()),2,2))"),30.86)</f>
        <v>30.86</v>
      </c>
      <c r="BR13" s="1">
        <f ca="1">IFERROR(__xludf.DUMMYFUNCTION("if(BR$2="""","""", index(GOOGLEFINANCE($B$13,""close"",BR$2,TODAY()),2,2))"),31.46)</f>
        <v>31.46</v>
      </c>
      <c r="BS13" s="1">
        <f ca="1">IFERROR(__xludf.DUMMYFUNCTION("if(BS$2="""","""", index(GOOGLEFINANCE($B$13,""close"",BS$2,TODAY()),2,2))"),30.9)</f>
        <v>30.9</v>
      </c>
      <c r="BT13" s="1">
        <f ca="1">IFERROR(__xludf.DUMMYFUNCTION("if(BT$2="""","""", index(GOOGLEFINANCE($B$13,""close"",BT$2,TODAY()),2,2))"),30.4)</f>
        <v>30.4</v>
      </c>
      <c r="BU13" s="1">
        <f ca="1">IFERROR(__xludf.DUMMYFUNCTION("if(BU$2="""","""", index(GOOGLEFINANCE($B$13,""close"",BU$2,TODAY()),2,2))"),31.01)</f>
        <v>31.01</v>
      </c>
      <c r="BV13" s="1">
        <f ca="1">IFERROR(__xludf.DUMMYFUNCTION("if(BV$2="""","""", index(GOOGLEFINANCE($B$13,""close"",BV$2,TODAY()),2,2))"),30.68)</f>
        <v>30.68</v>
      </c>
      <c r="BW13" s="1">
        <f ca="1">IFERROR(__xludf.DUMMYFUNCTION("if(BW$2="""","""", index(GOOGLEFINANCE($B$13,""close"",BW$2,TODAY()),2,2))"),30.97)</f>
        <v>30.97</v>
      </c>
      <c r="BX13" s="1">
        <f ca="1">IFERROR(__xludf.DUMMYFUNCTION("if(BX$2="""","""", index(GOOGLEFINANCE($B$13,""close"",BX$2,TODAY()),2,2))"),31.84)</f>
        <v>31.84</v>
      </c>
      <c r="BY13" s="1">
        <f ca="1">IFERROR(__xludf.DUMMYFUNCTION("if(BY$2="""","""", index(GOOGLEFINANCE($B$13,""close"",BY$2,TODAY()),2,2))"),32.3)</f>
        <v>32.299999999999997</v>
      </c>
      <c r="BZ13" s="1">
        <f ca="1">IFERROR(__xludf.DUMMYFUNCTION("if(BZ$2="""","""", index(GOOGLEFINANCE($B$13,""close"",BZ$2,TODAY()),2,2))"),31.86)</f>
        <v>31.86</v>
      </c>
      <c r="CA13" s="1">
        <f ca="1">IFERROR(__xludf.DUMMYFUNCTION("if(CA$2="""","""", index(GOOGLEFINANCE($B$13,""close"",CA$2,TODAY()),2,2))"),30.61)</f>
        <v>30.61</v>
      </c>
      <c r="CB13" s="1">
        <f ca="1">IFERROR(__xludf.DUMMYFUNCTION("if(CB$2="""","""", index(GOOGLEFINANCE($B$13,""close"",CB$2,TODAY()),2,2))"),30.19)</f>
        <v>30.19</v>
      </c>
      <c r="CC13" s="1">
        <f ca="1">IFERROR(__xludf.DUMMYFUNCTION("if(CC$2="""","""", index(GOOGLEFINANCE($B$13,""close"",CC$2,TODAY()),2,2))"),29.1)</f>
        <v>29.1</v>
      </c>
      <c r="CD13" s="1">
        <f ca="1">IFERROR(__xludf.DUMMYFUNCTION("if(CD$2="""","""", index(GOOGLEFINANCE($B$13,""close"",CD$2,TODAY()),2,2))"),29.3)</f>
        <v>29.3</v>
      </c>
      <c r="CE13" s="1">
        <f ca="1">IFERROR(__xludf.DUMMYFUNCTION("if(CE$2="""","""", index(GOOGLEFINANCE($B$13,""close"",CE$2,TODAY()),2,2))"),29.73)</f>
        <v>29.73</v>
      </c>
      <c r="CF13" s="1">
        <f ca="1">IFERROR(__xludf.DUMMYFUNCTION("if(CF$2="""","""", index(GOOGLEFINANCE($B$13,""close"",CF$2,TODAY()),2,2))"),28.83)</f>
        <v>28.83</v>
      </c>
      <c r="CG13" s="1">
        <f ca="1">IFERROR(__xludf.DUMMYFUNCTION("if(CG$2="""","""", index(GOOGLEFINANCE($B$13,""close"",CG$2,TODAY()),2,2))"),29)</f>
        <v>29</v>
      </c>
      <c r="CH13" s="1">
        <f ca="1">IFERROR(__xludf.DUMMYFUNCTION("if(CH$2="""","""", index(GOOGLEFINANCE($B$13,""close"",CH$2,TODAY()),2,2))"),29.92)</f>
        <v>29.92</v>
      </c>
      <c r="CI13" s="1">
        <f ca="1">IFERROR(__xludf.DUMMYFUNCTION("if(CI$2="""","""", index(GOOGLEFINANCE($B$13,""close"",CI$2,TODAY()),2,2))"),31)</f>
        <v>31</v>
      </c>
      <c r="CJ13" s="1" t="str">
        <f ca="1">IFERROR(__xludf.DUMMYFUNCTION("if(CJ$2="""","""", index(GOOGLEFINANCE($B$13,""close"",CJ$2,TODAY()),2,2))"),"")</f>
        <v/>
      </c>
      <c r="CK13" s="1" t="str">
        <f ca="1">IFERROR(__xludf.DUMMYFUNCTION("if(CK$2="""","""", index(GOOGLEFINANCE($B$13,""close"",CK$2,TODAY()),2,2))"),"")</f>
        <v/>
      </c>
      <c r="CL13" s="1" t="str">
        <f ca="1">IFERROR(__xludf.DUMMYFUNCTION("if(CL$2="""","""", index(GOOGLEFINANCE($B$13,""close"",CL$2,TODAY()),2,2))"),"")</f>
        <v/>
      </c>
      <c r="CM13" s="1" t="str">
        <f ca="1">IFERROR(__xludf.DUMMYFUNCTION("if(CM$2="""","""", index(GOOGLEFINANCE($B$13,""close"",CM$2,TODAY()),2,2))"),"")</f>
        <v/>
      </c>
      <c r="CN13" s="1" t="str">
        <f ca="1">IFERROR(__xludf.DUMMYFUNCTION("if(CN$2="""","""", index(GOOGLEFINANCE($B$13,""close"",CN$2,TODAY()),2,2))"),"")</f>
        <v/>
      </c>
      <c r="CO13" s="1" t="str">
        <f ca="1">IFERROR(__xludf.DUMMYFUNCTION("if(CO$2="""","""", index(GOOGLEFINANCE($B$13,""close"",CO$2,TODAY()),2,2))"),"")</f>
        <v/>
      </c>
      <c r="CP13" s="1" t="str">
        <f ca="1">IFERROR(__xludf.DUMMYFUNCTION("if(CP$2="""","""", index(GOOGLEFINANCE($B$13,""close"",CP$2,TODAY()),2,2))"),"")</f>
        <v/>
      </c>
      <c r="CQ13" s="1" t="str">
        <f ca="1">IFERROR(__xludf.DUMMYFUNCTION("if(CQ$2="""","""", index(GOOGLEFINANCE($B$13,""close"",CQ$2,TODAY()),2,2))"),"")</f>
        <v/>
      </c>
      <c r="CR13" s="1" t="str">
        <f ca="1">IFERROR(__xludf.DUMMYFUNCTION("if(CR$2="""","""", index(GOOGLEFINANCE($B$13,""close"",CR$2,TODAY()),2,2))"),"")</f>
        <v/>
      </c>
      <c r="CS13" s="1" t="str">
        <f ca="1">IFERROR(__xludf.DUMMYFUNCTION("if(CS$2="""","""", index(GOOGLEFINANCE($B$13,""close"",CS$2,TODAY()),2,2))"),"")</f>
        <v/>
      </c>
      <c r="CT13" s="1" t="str">
        <f ca="1">IFERROR(__xludf.DUMMYFUNCTION("if(CT$2="""","""", index(GOOGLEFINANCE($B$13,""close"",CT$2,TODAY()),2,2))"),"")</f>
        <v/>
      </c>
      <c r="CU13" s="1" t="str">
        <f ca="1">IFERROR(__xludf.DUMMYFUNCTION("if(CU$2="""","""", index(GOOGLEFINANCE($B$13,""close"",CU$2,TODAY()),2,2))"),"")</f>
        <v/>
      </c>
      <c r="CV13" s="1" t="str">
        <f ca="1">IFERROR(__xludf.DUMMYFUNCTION("if(CV$2="""","""", index(GOOGLEFINANCE($B$13,""close"",CV$2,TODAY()),2,2))"),"")</f>
        <v/>
      </c>
      <c r="CW13" s="1" t="str">
        <f ca="1">IFERROR(__xludf.DUMMYFUNCTION("if(CW$2="""","""", index(GOOGLEFINANCE($B$13,""close"",CW$2,TODAY()),2,2))"),"")</f>
        <v/>
      </c>
      <c r="CX13" s="1" t="str">
        <f ca="1">IFERROR(__xludf.DUMMYFUNCTION("if(CX$2="""","""", index(GOOGLEFINANCE($B$13,""close"",CX$2,TODAY()),2,2))"),"")</f>
        <v/>
      </c>
      <c r="CY13" s="1" t="str">
        <f ca="1">IFERROR(__xludf.DUMMYFUNCTION("if(CY$2="""","""", index(GOOGLEFINANCE($B$13,""close"",CY$2,TODAY()),2,2))"),"")</f>
        <v/>
      </c>
      <c r="CZ13" s="1" t="str">
        <f ca="1">IFERROR(__xludf.DUMMYFUNCTION("if(CZ$2="""","""", index(GOOGLEFINANCE($B$13,""close"",CZ$2,TODAY()),2,2))"),"")</f>
        <v/>
      </c>
      <c r="DA13" s="1" t="str">
        <f ca="1">IFERROR(__xludf.DUMMYFUNCTION("if(DA$2="""","""", index(GOOGLEFINANCE($B$13,""close"",DA$2,TODAY()),2,2))"),"")</f>
        <v/>
      </c>
      <c r="DB13" s="1" t="str">
        <f ca="1">IFERROR(__xludf.DUMMYFUNCTION("if(DB$2="""","""", index(GOOGLEFINANCE($B$13,""close"",DB$2,TODAY()),2,2))"),"")</f>
        <v/>
      </c>
      <c r="DC13" s="1" t="str">
        <f ca="1">IFERROR(__xludf.DUMMYFUNCTION("if(DC$2="""","""", index(GOOGLEFINANCE($B$13,""close"",DC$2,TODAY()),2,2))"),"")</f>
        <v/>
      </c>
      <c r="DD13" s="1" t="str">
        <f ca="1">IFERROR(__xludf.DUMMYFUNCTION("if(DD$2="""","""", index(GOOGLEFINANCE($B$13,""close"",DD$2,TODAY()),2,2))"),"")</f>
        <v/>
      </c>
      <c r="DE13" s="1" t="str">
        <f ca="1">IFERROR(__xludf.DUMMYFUNCTION("if(DE$2="""","""", index(GOOGLEFINANCE($B$13,""close"",DE$2,TODAY()),2,2))"),"")</f>
        <v/>
      </c>
      <c r="DF13" s="1" t="str">
        <f ca="1">IFERROR(__xludf.DUMMYFUNCTION("if(DF$2="""","""", index(GOOGLEFINANCE($B$13,""close"",DF$2,TODAY()),2,2))"),"")</f>
        <v/>
      </c>
      <c r="DG13" s="1" t="str">
        <f ca="1">IFERROR(__xludf.DUMMYFUNCTION("if(DG$2="""","""", index(GOOGLEFINANCE($B$13,""close"",DG$2,TODAY()),2,2))"),"")</f>
        <v/>
      </c>
      <c r="DH13" s="1" t="str">
        <f ca="1">IFERROR(__xludf.DUMMYFUNCTION("if(DH$2="""","""", index(GOOGLEFINANCE($B$13,""close"",DH$2,TODAY()),2,2))"),"")</f>
        <v/>
      </c>
      <c r="DI13" s="1" t="str">
        <f ca="1">IFERROR(__xludf.DUMMYFUNCTION("if(DI$2="""","""", index(GOOGLEFINANCE($B$13,""close"",DI$2,TODAY()),2,2))"),"")</f>
        <v/>
      </c>
      <c r="DJ13" s="1" t="str">
        <f ca="1">IFERROR(__xludf.DUMMYFUNCTION("if(DJ$2="""","""", index(GOOGLEFINANCE($B$13,""close"",DJ$2,TODAY()),2,2))"),"")</f>
        <v/>
      </c>
      <c r="DK13" s="1" t="str">
        <f ca="1">IFERROR(__xludf.DUMMYFUNCTION("if(DK$2="""","""", index(GOOGLEFINANCE($B$13,""close"",DK$2,TODAY()),2,2))"),"")</f>
        <v/>
      </c>
      <c r="DL13" s="1" t="str">
        <f ca="1">IFERROR(__xludf.DUMMYFUNCTION("if(DL$2="""","""", index(GOOGLEFINANCE($B$13,""close"",DL$2,TODAY()),2,2))"),"")</f>
        <v/>
      </c>
      <c r="DM13" s="1" t="str">
        <f ca="1">IFERROR(__xludf.DUMMYFUNCTION("if(DM$2="""","""", index(GOOGLEFINANCE($B$13,""close"",DM$2,TODAY()),2,2))"),"")</f>
        <v/>
      </c>
      <c r="DN13" s="1" t="str">
        <f ca="1">IFERROR(__xludf.DUMMYFUNCTION("if(DN$2="""","""", index(GOOGLEFINANCE($B$13,""close"",DN$2,TODAY()),2,2))"),"")</f>
        <v/>
      </c>
      <c r="DO13" s="1" t="str">
        <f ca="1">IFERROR(__xludf.DUMMYFUNCTION("if(DO$2="""","""", index(GOOGLEFINANCE($B$13,""close"",DO$2,TODAY()),2,2))"),"")</f>
        <v/>
      </c>
      <c r="DP13" s="1" t="str">
        <f ca="1">IFERROR(__xludf.DUMMYFUNCTION("if(DP$2="""","""", index(GOOGLEFINANCE($B$13,""close"",DP$2,TODAY()),2,2))"),"")</f>
        <v/>
      </c>
      <c r="DQ13" s="1" t="str">
        <f ca="1">IFERROR(__xludf.DUMMYFUNCTION("if(DQ$2="""","""", index(GOOGLEFINANCE($B$13,""close"",DQ$2,TODAY()),2,2))"),"")</f>
        <v/>
      </c>
      <c r="DR13" s="1" t="str">
        <f ca="1">IFERROR(__xludf.DUMMYFUNCTION("if(DR$2="""","""", index(GOOGLEFINANCE($B$13,""close"",DR$2,TODAY()),2,2))"),"")</f>
        <v/>
      </c>
      <c r="DS13" s="1" t="str">
        <f ca="1">IFERROR(__xludf.DUMMYFUNCTION("if(DS$2="""","""", index(GOOGLEFINANCE($B$13,""close"",DS$2,TODAY()),2,2))"),"")</f>
        <v/>
      </c>
      <c r="DT13" s="1" t="str">
        <f ca="1">IFERROR(__xludf.DUMMYFUNCTION("if(DT$2="""","""", index(GOOGLEFINANCE($B$13,""close"",DT$2,TODAY()),2,2))"),"")</f>
        <v/>
      </c>
      <c r="DU13" s="1" t="str">
        <f ca="1">IFERROR(__xludf.DUMMYFUNCTION("if(DU$2="""","""", index(GOOGLEFINANCE($B$13,""close"",DU$2,TODAY()),2,2))"),"")</f>
        <v/>
      </c>
      <c r="DV13" s="1" t="str">
        <f ca="1">IFERROR(__xludf.DUMMYFUNCTION("if(DV$2="""","""", index(GOOGLEFINANCE($B$13,""close"",DV$2,TODAY()),2,2))"),"")</f>
        <v/>
      </c>
      <c r="DW13" s="1" t="str">
        <f ca="1">IFERROR(__xludf.DUMMYFUNCTION("if(DW$2="""","""", index(GOOGLEFINANCE($B$13,""close"",DW$2,TODAY()),2,2))"),"")</f>
        <v/>
      </c>
      <c r="DX13" s="1" t="str">
        <f ca="1">IFERROR(__xludf.DUMMYFUNCTION("if(DX$2="""","""", index(GOOGLEFINANCE($B$13,""close"",DX$2,TODAY()),2,2))"),"")</f>
        <v/>
      </c>
      <c r="DY13" s="1" t="str">
        <f ca="1">IFERROR(__xludf.DUMMYFUNCTION("if(DY$2="""","""", index(GOOGLEFINANCE($B$13,""close"",DY$2,TODAY()),2,2))"),"")</f>
        <v/>
      </c>
      <c r="DZ13" s="1" t="str">
        <f ca="1">IFERROR(__xludf.DUMMYFUNCTION("if(DZ$2="""","""", index(GOOGLEFINANCE($B$13,""close"",DZ$2,TODAY()),2,2))"),"")</f>
        <v/>
      </c>
      <c r="EA13" s="1" t="str">
        <f ca="1">IFERROR(__xludf.DUMMYFUNCTION("if(EA$2="""","""", index(GOOGLEFINANCE($B$13,""close"",EA$2,TODAY()),2,2))"),"")</f>
        <v/>
      </c>
      <c r="EB13" s="1" t="str">
        <f ca="1">IFERROR(__xludf.DUMMYFUNCTION("if(EB$2="""","""", index(GOOGLEFINANCE($B$13,""close"",EB$2,TODAY()),2,2))"),"")</f>
        <v/>
      </c>
      <c r="EC13" s="1" t="str">
        <f ca="1">IFERROR(__xludf.DUMMYFUNCTION("if(EC$2="""","""", index(GOOGLEFINANCE($B$13,""close"",EC$2,TODAY()),2,2))"),"")</f>
        <v/>
      </c>
      <c r="ED13" s="1" t="str">
        <f ca="1">IFERROR(__xludf.DUMMYFUNCTION("if(ED$2="""","""", index(GOOGLEFINANCE($B$13,""close"",ED$2,TODAY()),2,2))"),"")</f>
        <v/>
      </c>
      <c r="EE13" s="1" t="str">
        <f ca="1">IFERROR(__xludf.DUMMYFUNCTION("if(EE$2="""","""", index(GOOGLEFINANCE($B$13,""close"",EE$2,TODAY()),2,2))"),"")</f>
        <v/>
      </c>
      <c r="EF13" s="1" t="str">
        <f ca="1">IFERROR(__xludf.DUMMYFUNCTION("if(EF$2="""","""", index(GOOGLEFINANCE($B$13,""close"",EF$2,TODAY()),2,2))"),"")</f>
        <v/>
      </c>
      <c r="EG13" s="1" t="str">
        <f ca="1">IFERROR(__xludf.DUMMYFUNCTION("if(EG$2="""","""", index(GOOGLEFINANCE($B$13,""close"",EG$2,TODAY()),2,2))"),"")</f>
        <v/>
      </c>
      <c r="EH13" s="1" t="str">
        <f ca="1">IFERROR(__xludf.DUMMYFUNCTION("if(EH$2="""","""", index(GOOGLEFINANCE($B$13,""close"",EH$2,TODAY()),2,2))"),"")</f>
        <v/>
      </c>
      <c r="EI13" s="1" t="str">
        <f ca="1">IFERROR(__xludf.DUMMYFUNCTION("if(EI$2="""","""", index(GOOGLEFINANCE($B$13,""close"",EI$2,TODAY()),2,2))"),"")</f>
        <v/>
      </c>
      <c r="EJ13" s="1" t="str">
        <f ca="1">IFERROR(__xludf.DUMMYFUNCTION("if(EJ$2="""","""", index(GOOGLEFINANCE($B$13,""close"",EJ$2,TODAY()),2,2))"),"")</f>
        <v/>
      </c>
      <c r="EK13" s="1" t="str">
        <f ca="1">IFERROR(__xludf.DUMMYFUNCTION("if(EK$2="""","""", index(GOOGLEFINANCE($B$13,""close"",EK$2,TODAY()),2,2))"),"")</f>
        <v/>
      </c>
      <c r="EL13" s="1" t="str">
        <f ca="1">IFERROR(__xludf.DUMMYFUNCTION("if(EL$2="""","""", index(GOOGLEFINANCE($B$13,""close"",EL$2,TODAY()),2,2))"),"")</f>
        <v/>
      </c>
      <c r="EM13" s="1" t="str">
        <f ca="1">IFERROR(__xludf.DUMMYFUNCTION("if(EM$2="""","""", index(GOOGLEFINANCE($B$13,""close"",EM$2,TODAY()),2,2))"),"")</f>
        <v/>
      </c>
      <c r="EN13" s="1" t="str">
        <f ca="1">IFERROR(__xludf.DUMMYFUNCTION("if(EN$2="""","""", index(GOOGLEFINANCE($B$13,""close"",EN$2,TODAY()),2,2))"),"")</f>
        <v/>
      </c>
      <c r="EO13" s="1" t="str">
        <f ca="1">IFERROR(__xludf.DUMMYFUNCTION("if(EO$2="""","""", index(GOOGLEFINANCE($B$13,""close"",EO$2,TODAY()),2,2))"),"")</f>
        <v/>
      </c>
      <c r="EP13" s="1" t="str">
        <f ca="1">IFERROR(__xludf.DUMMYFUNCTION("if(EP$2="""","""", index(GOOGLEFINANCE($B$13,""close"",EP$2,TODAY()),2,2))"),"")</f>
        <v/>
      </c>
      <c r="EQ13" s="1" t="str">
        <f ca="1">IFERROR(__xludf.DUMMYFUNCTION("if(EQ$2="""","""", index(GOOGLEFINANCE($B$13,""close"",EQ$2,TODAY()),2,2))"),"")</f>
        <v/>
      </c>
      <c r="ER13" s="1" t="str">
        <f ca="1">IFERROR(__xludf.DUMMYFUNCTION("if(ER$2="""","""", index(GOOGLEFINANCE($B$13,""close"",ER$2,TODAY()),2,2))"),"")</f>
        <v/>
      </c>
      <c r="ES13" s="1" t="str">
        <f ca="1">IFERROR(__xludf.DUMMYFUNCTION("if(ES$2="""","""", index(GOOGLEFINANCE($B$13,""close"",ES$2,TODAY()),2,2))"),"")</f>
        <v/>
      </c>
      <c r="ET13" s="1" t="str">
        <f ca="1">IFERROR(__xludf.DUMMYFUNCTION("if(ET$2="""","""", index(GOOGLEFINANCE($B$13,""close"",ET$2,TODAY()),2,2))"),"")</f>
        <v/>
      </c>
      <c r="EU13" s="1" t="str">
        <f ca="1">IFERROR(__xludf.DUMMYFUNCTION("if(EU$2="""","""", index(GOOGLEFINANCE($B$13,""close"",EU$2,TODAY()),2,2))"),"")</f>
        <v/>
      </c>
      <c r="EV13" s="1" t="str">
        <f ca="1">IFERROR(__xludf.DUMMYFUNCTION("if(EV$2="""","""", index(GOOGLEFINANCE($B$13,""close"",EV$2,TODAY()),2,2))"),"")</f>
        <v/>
      </c>
      <c r="EW13" s="1" t="str">
        <f ca="1">IFERROR(__xludf.DUMMYFUNCTION("if(EW$2="""","""", index(GOOGLEFINANCE($B$13,""close"",EW$2,TODAY()),2,2))"),"")</f>
        <v/>
      </c>
      <c r="EX13" s="1" t="str">
        <f ca="1">IFERROR(__xludf.DUMMYFUNCTION("if(EX$2="""","""", index(GOOGLEFINANCE($B$13,""close"",EX$2,TODAY()),2,2))"),"")</f>
        <v/>
      </c>
      <c r="EY13" s="1" t="str">
        <f ca="1">IFERROR(__xludf.DUMMYFUNCTION("if(EY$2="""","""", index(GOOGLEFINANCE($B$13,""close"",EY$2,TODAY()),2,2))"),"")</f>
        <v/>
      </c>
      <c r="EZ13" s="1" t="str">
        <f ca="1">IFERROR(__xludf.DUMMYFUNCTION("if(EZ$2="""","""", index(GOOGLEFINANCE($B$13,""close"",EZ$2,TODAY()),2,2))"),"")</f>
        <v/>
      </c>
      <c r="FA13" s="1" t="str">
        <f ca="1">IFERROR(__xludf.DUMMYFUNCTION("if(FA$2="""","""", index(GOOGLEFINANCE($B$13,""close"",FA$2,TODAY()),2,2))"),"")</f>
        <v/>
      </c>
      <c r="FB13" s="1" t="str">
        <f ca="1">IFERROR(__xludf.DUMMYFUNCTION("if(FB$2="""","""", index(GOOGLEFINANCE($B$13,""close"",FB$2,TODAY()),2,2))"),"")</f>
        <v/>
      </c>
      <c r="FC13" s="1" t="str">
        <f ca="1">IFERROR(__xludf.DUMMYFUNCTION("if(FC$2="""","""", index(GOOGLEFINANCE($B$13,""close"",FC$2,TODAY()),2,2))"),"")</f>
        <v/>
      </c>
      <c r="FD13" s="1" t="str">
        <f ca="1">IFERROR(__xludf.DUMMYFUNCTION("if(FD$2="""","""", index(GOOGLEFINANCE($B$13,""close"",FD$2,TODAY()),2,2))"),"")</f>
        <v/>
      </c>
      <c r="FE13" s="1" t="str">
        <f ca="1">IFERROR(__xludf.DUMMYFUNCTION("if(FE$2="""","""", index(GOOGLEFINANCE($B$13,""close"",FE$2,TODAY()),2,2))"),"")</f>
        <v/>
      </c>
      <c r="FF13" s="1" t="str">
        <f ca="1">IFERROR(__xludf.DUMMYFUNCTION("if(FF$2="""","""", index(GOOGLEFINANCE($B$13,""close"",FF$2,TODAY()),2,2))"),"")</f>
        <v/>
      </c>
      <c r="FG13" s="1" t="str">
        <f ca="1">IFERROR(__xludf.DUMMYFUNCTION("if(FG$2="""","""", index(GOOGLEFINANCE($B$13,""close"",FG$2,TODAY()),2,2))"),"")</f>
        <v/>
      </c>
      <c r="FH13" s="1" t="str">
        <f ca="1">IFERROR(__xludf.DUMMYFUNCTION("if(FH$2="""","""", index(GOOGLEFINANCE($B$13,""close"",FH$2,TODAY()),2,2))"),"")</f>
        <v/>
      </c>
      <c r="FI13" s="1" t="str">
        <f ca="1">IFERROR(__xludf.DUMMYFUNCTION("if(FI$2="""","""", index(GOOGLEFINANCE($B$13,""close"",FI$2,TODAY()),2,2))"),"")</f>
        <v/>
      </c>
      <c r="FJ13" s="1" t="str">
        <f ca="1">IFERROR(__xludf.DUMMYFUNCTION("if(FJ$2="""","""", index(GOOGLEFINANCE($B$13,""close"",FJ$2,TODAY()),2,2))"),"")</f>
        <v/>
      </c>
      <c r="FK13" s="1" t="str">
        <f ca="1">IFERROR(__xludf.DUMMYFUNCTION("if(FK$2="""","""", index(GOOGLEFINANCE($B$13,""close"",FK$2,TODAY()),2,2))"),"")</f>
        <v/>
      </c>
      <c r="FL13" s="1" t="str">
        <f ca="1">IFERROR(__xludf.DUMMYFUNCTION("if(FL$2="""","""", index(GOOGLEFINANCE($B$13,""close"",FL$2,TODAY()),2,2))"),"")</f>
        <v/>
      </c>
      <c r="FM13" s="1" t="str">
        <f ca="1">IFERROR(__xludf.DUMMYFUNCTION("if(FM$2="""","""", index(GOOGLEFINANCE($B$13,""close"",FM$2,TODAY()),2,2))"),"")</f>
        <v/>
      </c>
      <c r="FN13" s="1" t="str">
        <f ca="1">IFERROR(__xludf.DUMMYFUNCTION("if(FN$2="""","""", index(GOOGLEFINANCE($B$13,""close"",FN$2,TODAY()),2,2))"),"")</f>
        <v/>
      </c>
      <c r="FO13" s="1" t="str">
        <f ca="1">IFERROR(__xludf.DUMMYFUNCTION("if(FO$2="""","""", index(GOOGLEFINANCE($B$13,""close"",FO$2,TODAY()),2,2))"),"")</f>
        <v/>
      </c>
      <c r="FP13" s="1" t="str">
        <f ca="1">IFERROR(__xludf.DUMMYFUNCTION("if(FP$2="""","""", index(GOOGLEFINANCE($B$13,""close"",FP$2,TODAY()),2,2))"),"")</f>
        <v/>
      </c>
      <c r="FQ13" s="1" t="str">
        <f ca="1">IFERROR(__xludf.DUMMYFUNCTION("if(FQ$2="""","""", index(GOOGLEFINANCE($B$13,""close"",FQ$2,TODAY()),2,2))"),"")</f>
        <v/>
      </c>
      <c r="FR13" s="1" t="str">
        <f ca="1">IFERROR(__xludf.DUMMYFUNCTION("if(FR$2="""","""", index(GOOGLEFINANCE($B$13,""close"",FR$2,TODAY()),2,2))"),"")</f>
        <v/>
      </c>
      <c r="FS13" s="1" t="str">
        <f ca="1">IFERROR(__xludf.DUMMYFUNCTION("if(FS$2="""","""", index(GOOGLEFINANCE($B$13,""close"",FS$2,TODAY()),2,2))"),"")</f>
        <v/>
      </c>
      <c r="FT13" s="1" t="str">
        <f ca="1">IFERROR(__xludf.DUMMYFUNCTION("if(FT$2="""","""", index(GOOGLEFINANCE($B$13,""close"",FT$2,TODAY()),2,2))"),"")</f>
        <v/>
      </c>
      <c r="FU13" s="1" t="str">
        <f ca="1">IFERROR(__xludf.DUMMYFUNCTION("if(FU$2="""","""", index(GOOGLEFINANCE($B$13,""close"",FU$2,TODAY()),2,2))"),"")</f>
        <v/>
      </c>
      <c r="FV13" s="1" t="str">
        <f ca="1">IFERROR(__xludf.DUMMYFUNCTION("if(FV$2="""","""", index(GOOGLEFINANCE($B$13,""close"",FV$2,TODAY()),2,2))"),"")</f>
        <v/>
      </c>
      <c r="FW13" s="1" t="str">
        <f ca="1">IFERROR(__xludf.DUMMYFUNCTION("if(FW$2="""","""", index(GOOGLEFINANCE($B$13,""close"",FW$2,TODAY()),2,2))"),"")</f>
        <v/>
      </c>
      <c r="FX13" s="1" t="str">
        <f ca="1">IFERROR(__xludf.DUMMYFUNCTION("if(FX$2="""","""", index(GOOGLEFINANCE($B$13,""close"",FX$2,TODAY()),2,2))"),"")</f>
        <v/>
      </c>
      <c r="FY13" s="1" t="str">
        <f ca="1">IFERROR(__xludf.DUMMYFUNCTION("if(FY$2="""","""", index(GOOGLEFINANCE($B$13,""close"",FY$2,TODAY()),2,2))"),"")</f>
        <v/>
      </c>
      <c r="FZ13" s="1" t="str">
        <f ca="1">IFERROR(__xludf.DUMMYFUNCTION("if(FZ$2="""","""", index(GOOGLEFINANCE($B$13,""close"",FZ$2,TODAY()),2,2))"),"")</f>
        <v/>
      </c>
      <c r="GA13" s="1" t="str">
        <f ca="1">IFERROR(__xludf.DUMMYFUNCTION("if(GA$2="""","""", index(GOOGLEFINANCE($B$13,""close"",GA$2,TODAY()),2,2))"),"")</f>
        <v/>
      </c>
      <c r="GB13" s="1" t="str">
        <f ca="1">IFERROR(__xludf.DUMMYFUNCTION("if(GB$2="""","""", index(GOOGLEFINANCE($B$13,""close"",GB$2,TODAY()),2,2))"),"")</f>
        <v/>
      </c>
      <c r="GC13" s="1" t="str">
        <f ca="1">IFERROR(__xludf.DUMMYFUNCTION("if(GC$2="""","""", index(GOOGLEFINANCE($B$13,""close"",GC$2,TODAY()),2,2))"),"")</f>
        <v/>
      </c>
      <c r="GD13" s="1" t="str">
        <f ca="1">IFERROR(__xludf.DUMMYFUNCTION("if(GD$2="""","""", index(GOOGLEFINANCE($B$13,""close"",GD$2,TODAY()),2,2))"),"")</f>
        <v/>
      </c>
      <c r="GE13" s="1" t="str">
        <f ca="1">IFERROR(__xludf.DUMMYFUNCTION("if(GE$2="""","""", index(GOOGLEFINANCE($B$13,""close"",GE$2,TODAY()),2,2))"),"")</f>
        <v/>
      </c>
      <c r="GF13" s="1" t="str">
        <f ca="1">IFERROR(__xludf.DUMMYFUNCTION("if(GF$2="""","""", index(GOOGLEFINANCE($B$13,""close"",GF$2,TODAY()),2,2))"),"")</f>
        <v/>
      </c>
      <c r="GG13" s="1" t="str">
        <f ca="1">IFERROR(__xludf.DUMMYFUNCTION("if(GG$2="""","""", index(GOOGLEFINANCE($B$13,""close"",GG$2,TODAY()),2,2))"),"")</f>
        <v/>
      </c>
      <c r="GH13" s="1" t="str">
        <f ca="1">IFERROR(__xludf.DUMMYFUNCTION("if(GH$2="""","""", index(GOOGLEFINANCE($B$13,""close"",GH$2,TODAY()),2,2))"),"")</f>
        <v/>
      </c>
      <c r="GI13" s="1" t="str">
        <f ca="1">IFERROR(__xludf.DUMMYFUNCTION("if(GI$2="""","""", index(GOOGLEFINANCE($B$13,""close"",GI$2,TODAY()),2,2))"),"")</f>
        <v/>
      </c>
      <c r="GJ13" s="1" t="str">
        <f ca="1">IFERROR(__xludf.DUMMYFUNCTION("if(GJ$2="""","""", index(GOOGLEFINANCE($B$13,""close"",GJ$2,TODAY()),2,2))"),"")</f>
        <v/>
      </c>
      <c r="GK13" s="1" t="str">
        <f ca="1">IFERROR(__xludf.DUMMYFUNCTION("if(GK$2="""","""", index(GOOGLEFINANCE($B$13,""close"",GK$2,TODAY()),2,2))"),"")</f>
        <v/>
      </c>
      <c r="GL13" s="1" t="str">
        <f ca="1">IFERROR(__xludf.DUMMYFUNCTION("if(GL$2="""","""", index(GOOGLEFINANCE($B$13,""close"",GL$2,TODAY()),2,2))"),"")</f>
        <v/>
      </c>
      <c r="GM13" s="1" t="str">
        <f ca="1">IFERROR(__xludf.DUMMYFUNCTION("if(GM$2="""","""", index(GOOGLEFINANCE($B$13,""close"",GM$2,TODAY()),2,2))"),"")</f>
        <v/>
      </c>
      <c r="GN13" s="1" t="str">
        <f ca="1">IFERROR(__xludf.DUMMYFUNCTION("if(GN$2="""","""", index(GOOGLEFINANCE($B$13,""close"",GN$2,TODAY()),2,2))"),"")</f>
        <v/>
      </c>
      <c r="GO13" s="1" t="str">
        <f ca="1">IFERROR(__xludf.DUMMYFUNCTION("if(GO$2="""","""", index(GOOGLEFINANCE($B$13,""close"",GO$2,TODAY()),2,2))"),"")</f>
        <v/>
      </c>
      <c r="GP13" s="1" t="str">
        <f ca="1">IFERROR(__xludf.DUMMYFUNCTION("if(GP$2="""","""", index(GOOGLEFINANCE($B$13,""close"",GP$2,TODAY()),2,2))"),"")</f>
        <v/>
      </c>
      <c r="GQ13" s="1" t="str">
        <f ca="1">IFERROR(__xludf.DUMMYFUNCTION("if(GQ$2="""","""", index(GOOGLEFINANCE($B$13,""close"",GQ$2,TODAY()),2,2))"),"")</f>
        <v/>
      </c>
      <c r="GR13" s="1" t="str">
        <f ca="1">IFERROR(__xludf.DUMMYFUNCTION("if(GR$2="""","""", index(GOOGLEFINANCE($B$13,""close"",GR$2,TODAY()),2,2))"),"")</f>
        <v/>
      </c>
      <c r="GS13" s="1" t="str">
        <f ca="1">IFERROR(__xludf.DUMMYFUNCTION("if(GS$2="""","""", index(GOOGLEFINANCE($B$13,""close"",GS$2,TODAY()),2,2))"),"")</f>
        <v/>
      </c>
      <c r="GT13" s="1" t="str">
        <f ca="1">IFERROR(__xludf.DUMMYFUNCTION("if(GT$2="""","""", index(GOOGLEFINANCE($B$13,""close"",GT$2,TODAY()),2,2))"),"")</f>
        <v/>
      </c>
      <c r="GU13" s="1" t="str">
        <f ca="1">IFERROR(__xludf.DUMMYFUNCTION("if(GU$2="""","""", index(GOOGLEFINANCE($B$13,""close"",GU$2,TODAY()),2,2))"),"")</f>
        <v/>
      </c>
      <c r="GV13" s="1" t="str">
        <f ca="1">IFERROR(__xludf.DUMMYFUNCTION("if(GV$2="""","""", index(GOOGLEFINANCE($B$13,""close"",GV$2,TODAY()),2,2))"),"")</f>
        <v/>
      </c>
      <c r="GW13" s="1" t="str">
        <f ca="1">IFERROR(__xludf.DUMMYFUNCTION("if(GW$2="""","""", index(GOOGLEFINANCE($B$13,""close"",GW$2,TODAY()),2,2))"),"")</f>
        <v/>
      </c>
      <c r="GX13" s="1" t="str">
        <f ca="1">IFERROR(__xludf.DUMMYFUNCTION("if(GX$2="""","""", index(GOOGLEFINANCE($B$13,""close"",GX$2,TODAY()),2,2))"),"")</f>
        <v/>
      </c>
      <c r="GY13" s="1" t="str">
        <f ca="1">IFERROR(__xludf.DUMMYFUNCTION("if(GY$2="""","""", index(GOOGLEFINANCE($B$13,""close"",GY$2,TODAY()),2,2))"),"")</f>
        <v/>
      </c>
      <c r="GZ13" s="1" t="str">
        <f ca="1">IFERROR(__xludf.DUMMYFUNCTION("if(GZ$2="""","""", index(GOOGLEFINANCE($B$13,""close"",GZ$2,TODAY()),2,2))"),"")</f>
        <v/>
      </c>
      <c r="HA13" s="1" t="str">
        <f ca="1">IFERROR(__xludf.DUMMYFUNCTION("if(HA$2="""","""", index(GOOGLEFINANCE($B$13,""close"",HA$2,TODAY()),2,2))"),"")</f>
        <v/>
      </c>
      <c r="HB13" s="1" t="str">
        <f ca="1">IFERROR(__xludf.DUMMYFUNCTION("if(HB$2="""","""", index(GOOGLEFINANCE($B$13,""close"",HB$2,TODAY()),2,2))"),"")</f>
        <v/>
      </c>
      <c r="HC13" s="1" t="str">
        <f ca="1">IFERROR(__xludf.DUMMYFUNCTION("if(HC$2="""","""", index(GOOGLEFINANCE($B$13,""close"",HC$2,TODAY()),2,2))"),"")</f>
        <v/>
      </c>
      <c r="HD13" s="1" t="str">
        <f ca="1">IFERROR(__xludf.DUMMYFUNCTION("if(HD$2="""","""", index(GOOGLEFINANCE($B$13,""close"",HD$2,TODAY()),2,2))"),"")</f>
        <v/>
      </c>
      <c r="HE13" s="1" t="str">
        <f ca="1">IFERROR(__xludf.DUMMYFUNCTION("if(HE$2="""","""", index(GOOGLEFINANCE($B$13,""close"",HE$2,TODAY()),2,2))"),"")</f>
        <v/>
      </c>
      <c r="HF13" s="1" t="str">
        <f ca="1">IFERROR(__xludf.DUMMYFUNCTION("if(HF$2="""","""", index(GOOGLEFINANCE($B$13,""close"",HF$2,TODAY()),2,2))"),"")</f>
        <v/>
      </c>
      <c r="HG13" s="1" t="str">
        <f ca="1">IFERROR(__xludf.DUMMYFUNCTION("if(HG$2="""","""", index(GOOGLEFINANCE($B$13,""close"",HG$2,TODAY()),2,2))"),"")</f>
        <v/>
      </c>
      <c r="HH13" s="1" t="str">
        <f ca="1">IFERROR(__xludf.DUMMYFUNCTION("if(HH$2="""","""", index(GOOGLEFINANCE($B$13,""close"",HH$2,TODAY()),2,2))"),"")</f>
        <v/>
      </c>
      <c r="HI13" s="1" t="str">
        <f ca="1">IFERROR(__xludf.DUMMYFUNCTION("if(HI$2="""","""", index(GOOGLEFINANCE($B$13,""close"",HI$2,TODAY()),2,2))"),"")</f>
        <v/>
      </c>
      <c r="HJ13" s="1" t="str">
        <f ca="1">IFERROR(__xludf.DUMMYFUNCTION("if(HJ$2="""","""", index(GOOGLEFINANCE($B$13,""close"",HJ$2,TODAY()),2,2))"),"")</f>
        <v/>
      </c>
      <c r="HK13" s="1" t="str">
        <f ca="1">IFERROR(__xludf.DUMMYFUNCTION("if(HK$2="""","""", index(GOOGLEFINANCE($B$13,""close"",HK$2,TODAY()),2,2))"),"")</f>
        <v/>
      </c>
      <c r="HL13" s="1" t="str">
        <f ca="1">IFERROR(__xludf.DUMMYFUNCTION("if(HL$2="""","""", index(GOOGLEFINANCE($B$13,""close"",HL$2,TODAY()),2,2))"),"")</f>
        <v/>
      </c>
      <c r="HM13" s="1" t="str">
        <f ca="1">IFERROR(__xludf.DUMMYFUNCTION("if(HM$2="""","""", index(GOOGLEFINANCE($B$13,""close"",HM$2,TODAY()),2,2))"),"")</f>
        <v/>
      </c>
      <c r="HN13" s="1" t="str">
        <f ca="1">IFERROR(__xludf.DUMMYFUNCTION("if(HN$2="""","""", index(GOOGLEFINANCE($B$13,""close"",HN$2,TODAY()),2,2))"),"")</f>
        <v/>
      </c>
      <c r="HO13" s="1" t="str">
        <f ca="1">IFERROR(__xludf.DUMMYFUNCTION("if(HO$2="""","""", index(GOOGLEFINANCE($B$13,""close"",HO$2,TODAY()),2,2))"),"")</f>
        <v/>
      </c>
      <c r="HP13" s="1" t="str">
        <f ca="1">IFERROR(__xludf.DUMMYFUNCTION("if(HP$2="""","""", index(GOOGLEFINANCE($B$13,""close"",HP$2,TODAY()),2,2))"),"")</f>
        <v/>
      </c>
      <c r="HQ13" s="1" t="str">
        <f ca="1">IFERROR(__xludf.DUMMYFUNCTION("if(HQ$2="""","""", index(GOOGLEFINANCE($B$13,""close"",HQ$2,TODAY()),2,2))"),"")</f>
        <v/>
      </c>
      <c r="HR13" s="1" t="str">
        <f ca="1">IFERROR(__xludf.DUMMYFUNCTION("if(HR$2="""","""", index(GOOGLEFINANCE($B$13,""close"",HR$2,TODAY()),2,2))"),"")</f>
        <v/>
      </c>
      <c r="HS13" s="1" t="str">
        <f ca="1">IFERROR(__xludf.DUMMYFUNCTION("if(HS$2="""","""", index(GOOGLEFINANCE($B$13,""close"",HS$2,TODAY()),2,2))"),"")</f>
        <v/>
      </c>
      <c r="HT13" s="1" t="str">
        <f ca="1">IFERROR(__xludf.DUMMYFUNCTION("if(HT$2="""","""", index(GOOGLEFINANCE($B$13,""close"",HT$2,TODAY()),2,2))"),"")</f>
        <v/>
      </c>
      <c r="HU13" s="1" t="str">
        <f ca="1">IFERROR(__xludf.DUMMYFUNCTION("if(HU$2="""","""", index(GOOGLEFINANCE($B$13,""close"",HU$2,TODAY()),2,2))"),"")</f>
        <v/>
      </c>
      <c r="HV13" s="1" t="str">
        <f ca="1">IFERROR(__xludf.DUMMYFUNCTION("if(HV$2="""","""", index(GOOGLEFINANCE($B$13,""close"",HV$2,TODAY()),2,2))"),"")</f>
        <v/>
      </c>
      <c r="HW13" s="1" t="str">
        <f ca="1">IFERROR(__xludf.DUMMYFUNCTION("if(HW$2="""","""", index(GOOGLEFINANCE($B$13,""close"",HW$2,TODAY()),2,2))"),"")</f>
        <v/>
      </c>
      <c r="HX13" s="1" t="str">
        <f ca="1">IFERROR(__xludf.DUMMYFUNCTION("if(HX$2="""","""", index(GOOGLEFINANCE($B$13,""close"",HX$2,TODAY()),2,2))"),"")</f>
        <v/>
      </c>
      <c r="HY13" s="1" t="str">
        <f ca="1">IFERROR(__xludf.DUMMYFUNCTION("if(HY$2="""","""", index(GOOGLEFINANCE($B$13,""close"",HY$2,TODAY()),2,2))"),"")</f>
        <v/>
      </c>
      <c r="HZ13" s="1" t="str">
        <f ca="1">IFERROR(__xludf.DUMMYFUNCTION("if(HZ$2="""","""", index(GOOGLEFINANCE($B$13,""close"",HZ$2,TODAY()),2,2))"),"")</f>
        <v/>
      </c>
      <c r="IA13" s="1" t="str">
        <f ca="1">IFERROR(__xludf.DUMMYFUNCTION("if(IA$2="""","""", index(GOOGLEFINANCE($B$13,""close"",IA$2,TODAY()),2,2))"),"")</f>
        <v/>
      </c>
      <c r="IB13" s="1" t="str">
        <f ca="1">IFERROR(__xludf.DUMMYFUNCTION("if(IB$2="""","""", index(GOOGLEFINANCE($B$13,""close"",IB$2,TODAY()),2,2))"),"")</f>
        <v/>
      </c>
      <c r="IC13" s="1" t="str">
        <f ca="1">IFERROR(__xludf.DUMMYFUNCTION("if(IC$2="""","""", index(GOOGLEFINANCE($B$13,""close"",IC$2,TODAY()),2,2))"),"")</f>
        <v/>
      </c>
      <c r="ID13" s="1" t="str">
        <f ca="1">IFERROR(__xludf.DUMMYFUNCTION("if(ID$2="""","""", index(GOOGLEFINANCE($B$13,""close"",ID$2,TODAY()),2,2))"),"")</f>
        <v/>
      </c>
      <c r="IE13" s="1" t="str">
        <f ca="1">IFERROR(__xludf.DUMMYFUNCTION("if(IE$2="""","""", index(GOOGLEFINANCE($B$13,""close"",IE$2,TODAY()),2,2))"),"")</f>
        <v/>
      </c>
      <c r="IF13" s="1" t="str">
        <f ca="1">IFERROR(__xludf.DUMMYFUNCTION("if(IF$2="""","""", index(GOOGLEFINANCE($B$13,""close"",IF$2,TODAY()),2,2))"),"")</f>
        <v/>
      </c>
      <c r="IG13" s="1" t="str">
        <f ca="1">IFERROR(__xludf.DUMMYFUNCTION("if(IG$2="""","""", index(GOOGLEFINANCE($B$13,""close"",IG$2,TODAY()),2,2))"),"")</f>
        <v/>
      </c>
      <c r="IH13" s="1" t="str">
        <f ca="1">IFERROR(__xludf.DUMMYFUNCTION("if(IH$2="""","""", index(GOOGLEFINANCE($B$13,""close"",IH$2,TODAY()),2,2))"),"")</f>
        <v/>
      </c>
      <c r="II13" s="1" t="str">
        <f ca="1">IFERROR(__xludf.DUMMYFUNCTION("if(II$2="""","""", index(GOOGLEFINANCE($B$13,""close"",II$2,TODAY()),2,2))"),"")</f>
        <v/>
      </c>
      <c r="IJ13" s="1" t="str">
        <f ca="1">IFERROR(__xludf.DUMMYFUNCTION("if(IJ$2="""","""", index(GOOGLEFINANCE($B$13,""close"",IJ$2,TODAY()),2,2))"),"")</f>
        <v/>
      </c>
      <c r="IK13" s="1" t="str">
        <f ca="1">IFERROR(__xludf.DUMMYFUNCTION("if(IK$2="""","""", index(GOOGLEFINANCE($B$13,""close"",IK$2,TODAY()),2,2))"),"")</f>
        <v/>
      </c>
      <c r="IL13" s="1" t="str">
        <f ca="1">IFERROR(__xludf.DUMMYFUNCTION("if(IL$2="""","""", index(GOOGLEFINANCE($B$13,""close"",IL$2,TODAY()),2,2))"),"")</f>
        <v/>
      </c>
      <c r="IM13" s="1" t="str">
        <f ca="1">IFERROR(__xludf.DUMMYFUNCTION("if(IM$2="""","""", index(GOOGLEFINANCE($B$13,""close"",IM$2,TODAY()),2,2))"),"")</f>
        <v/>
      </c>
      <c r="IN13" s="1" t="str">
        <f ca="1">IFERROR(__xludf.DUMMYFUNCTION("if(IN$2="""","""", index(GOOGLEFINANCE($B$13,""close"",IN$2,TODAY()),2,2))"),"")</f>
        <v/>
      </c>
      <c r="IO13" s="1" t="str">
        <f ca="1">IFERROR(__xludf.DUMMYFUNCTION("if(IO$2="""","""", index(GOOGLEFINANCE($B$13,""close"",IO$2,TODAY()),2,2))"),"")</f>
        <v/>
      </c>
      <c r="IP13" s="1" t="str">
        <f ca="1">IFERROR(__xludf.DUMMYFUNCTION("if(IP$2="""","""", index(GOOGLEFINANCE($B$13,""close"",IP$2,TODAY()),2,2))"),"")</f>
        <v/>
      </c>
      <c r="IQ13" s="1" t="str">
        <f ca="1">IFERROR(__xludf.DUMMYFUNCTION("if(IQ$2="""","""", index(GOOGLEFINANCE($B$13,""close"",IQ$2,TODAY()),2,2))"),"")</f>
        <v/>
      </c>
      <c r="IR13" s="1" t="str">
        <f ca="1">IFERROR(__xludf.DUMMYFUNCTION("if(IR$2="""","""", index(GOOGLEFINANCE($B$13,""close"",IR$2,TODAY()),2,2))"),"")</f>
        <v/>
      </c>
      <c r="IS13" s="1" t="str">
        <f ca="1">IFERROR(__xludf.DUMMYFUNCTION("if(IS$2="""","""", index(GOOGLEFINANCE($B$13,""close"",IS$2,TODAY()),2,2))"),"")</f>
        <v/>
      </c>
      <c r="IT13" s="1" t="str">
        <f ca="1">IFERROR(__xludf.DUMMYFUNCTION("if(IT$2="""","""", index(GOOGLEFINANCE($B$13,""close"",IT$2,TODAY()),2,2))"),"")</f>
        <v/>
      </c>
      <c r="IU13" s="1" t="str">
        <f ca="1">IFERROR(__xludf.DUMMYFUNCTION("if(IU$2="""","""", index(GOOGLEFINANCE($B$13,""close"",IU$2,TODAY()),2,2))"),"")</f>
        <v/>
      </c>
      <c r="IV13" s="1" t="str">
        <f ca="1">IFERROR(__xludf.DUMMYFUNCTION("if(IV$2="""","""", index(GOOGLEFINANCE($B$13,""close"",IV$2,TODAY()),2,2))"),"")</f>
        <v/>
      </c>
      <c r="IW13" s="1" t="str">
        <f ca="1">IFERROR(__xludf.DUMMYFUNCTION("if(IW$2="""","""", index(GOOGLEFINANCE($B$13,""close"",IW$2,TODAY()),2,2))"),"")</f>
        <v/>
      </c>
      <c r="IX13" s="1" t="str">
        <f ca="1">IFERROR(__xludf.DUMMYFUNCTION("if(IX$2="""","""", index(GOOGLEFINANCE($B$13,""close"",IX$2,TODAY()),2,2))"),"")</f>
        <v/>
      </c>
      <c r="IY13" s="1" t="str">
        <f ca="1">IFERROR(__xludf.DUMMYFUNCTION("if(IY$2="""","""", index(GOOGLEFINANCE($B$13,""close"",IY$2,TODAY()),2,2))"),"")</f>
        <v/>
      </c>
      <c r="IZ13" s="1" t="str">
        <f ca="1">IFERROR(__xludf.DUMMYFUNCTION("if(IZ$2="""","""", index(GOOGLEFINANCE($B$13,""close"",IZ$2,TODAY()),2,2))"),"")</f>
        <v/>
      </c>
      <c r="JA13" s="1" t="str">
        <f ca="1">IFERROR(__xludf.DUMMYFUNCTION("if(JA$2="""","""", index(GOOGLEFINANCE($B$13,""close"",JA$2,TODAY()),2,2))"),"")</f>
        <v/>
      </c>
      <c r="JB13" s="1" t="str">
        <f ca="1">IFERROR(__xludf.DUMMYFUNCTION("if(JB$2="""","""", index(GOOGLEFINANCE($B$13,""close"",JB$2,TODAY()),2,2))"),"")</f>
        <v/>
      </c>
      <c r="JC13" s="1" t="str">
        <f ca="1">IFERROR(__xludf.DUMMYFUNCTION("if(JC$2="""","""", index(GOOGLEFINANCE($B$13,""close"",JC$2,TODAY()),2,2))"),"")</f>
        <v/>
      </c>
      <c r="JD13" s="1" t="str">
        <f ca="1">IFERROR(__xludf.DUMMYFUNCTION("if(JD$2="""","""", index(GOOGLEFINANCE($B$13,""close"",JD$2,TODAY()),2,2))"),"")</f>
        <v/>
      </c>
      <c r="JE13" s="1" t="str">
        <f ca="1">IFERROR(__xludf.DUMMYFUNCTION("if(JE$2="""","""", index(GOOGLEFINANCE($B$13,""close"",JE$2,TODAY()),2,2))"),"")</f>
        <v/>
      </c>
      <c r="JF13" s="1" t="str">
        <f ca="1">IFERROR(__xludf.DUMMYFUNCTION("if(JF$2="""","""", index(GOOGLEFINANCE($B$13,""close"",JF$2,TODAY()),2,2))"),"")</f>
        <v/>
      </c>
      <c r="JG13" s="1" t="str">
        <f ca="1">IFERROR(__xludf.DUMMYFUNCTION("if(JG$2="""","""", index(GOOGLEFINANCE($B$13,""close"",JG$2,TODAY()),2,2))"),"")</f>
        <v/>
      </c>
      <c r="JH13" s="1" t="str">
        <f ca="1">IFERROR(__xludf.DUMMYFUNCTION("if(JH$2="""","""", index(GOOGLEFINANCE($B$13,""close"",JH$2,TODAY()),2,2))"),"")</f>
        <v/>
      </c>
      <c r="JI13" s="1" t="str">
        <f ca="1">IFERROR(__xludf.DUMMYFUNCTION("if(JI$2="""","""", index(GOOGLEFINANCE($B$13,""close"",JI$2,TODAY()),2,2))"),"")</f>
        <v/>
      </c>
      <c r="JJ13" s="1" t="str">
        <f ca="1">IFERROR(__xludf.DUMMYFUNCTION("if(JJ$2="""","""", index(GOOGLEFINANCE($B$13,""close"",JJ$2,TODAY()),2,2))"),"")</f>
        <v/>
      </c>
      <c r="JK13" s="1" t="str">
        <f ca="1">IFERROR(__xludf.DUMMYFUNCTION("if(JK$2="""","""", index(GOOGLEFINANCE($B$13,""close"",JK$2,TODAY()),2,2))"),"")</f>
        <v/>
      </c>
      <c r="JL13" s="1" t="str">
        <f ca="1">IFERROR(__xludf.DUMMYFUNCTION("if(JL$2="""","""", index(GOOGLEFINANCE($B$13,""close"",JL$2,TODAY()),2,2))"),"")</f>
        <v/>
      </c>
      <c r="JM13" s="1" t="str">
        <f ca="1">IFERROR(__xludf.DUMMYFUNCTION("if(JM$2="""","""", index(GOOGLEFINANCE($B$13,""close"",JM$2,TODAY()),2,2))"),"")</f>
        <v/>
      </c>
      <c r="JN13" s="1" t="str">
        <f ca="1">IFERROR(__xludf.DUMMYFUNCTION("if(JN$2="""","""", index(GOOGLEFINANCE($B$13,""close"",JN$2,TODAY()),2,2))"),"")</f>
        <v/>
      </c>
      <c r="JO13" s="1" t="str">
        <f ca="1">IFERROR(__xludf.DUMMYFUNCTION("if(JO$2="""","""", index(GOOGLEFINANCE($B$13,""close"",JO$2,TODAY()),2,2))"),"")</f>
        <v/>
      </c>
      <c r="JP13" s="1" t="str">
        <f ca="1">IFERROR(__xludf.DUMMYFUNCTION("if(JP$2="""","""", index(GOOGLEFINANCE($B$13,""close"",JP$2,TODAY()),2,2))"),"")</f>
        <v/>
      </c>
      <c r="JQ13" s="1" t="str">
        <f ca="1">IFERROR(__xludf.DUMMYFUNCTION("if(JQ$2="""","""", index(GOOGLEFINANCE($B$13,""close"",JQ$2,TODAY()),2,2))"),"")</f>
        <v/>
      </c>
      <c r="JR13" s="1" t="str">
        <f ca="1">IFERROR(__xludf.DUMMYFUNCTION("if(JR$2="""","""", index(GOOGLEFINANCE($B$13,""close"",JR$2,TODAY()),2,2))"),"")</f>
        <v/>
      </c>
      <c r="JS13" s="1" t="str">
        <f ca="1">IFERROR(__xludf.DUMMYFUNCTION("if(JS$2="""","""", index(GOOGLEFINANCE($B$13,""close"",JS$2,TODAY()),2,2))"),"")</f>
        <v/>
      </c>
      <c r="JT13" s="1" t="str">
        <f ca="1">IFERROR(__xludf.DUMMYFUNCTION("if(JT$2="""","""", index(GOOGLEFINANCE($B$13,""close"",JT$2,TODAY()),2,2))"),"")</f>
        <v/>
      </c>
      <c r="JU13" s="1" t="str">
        <f ca="1">IFERROR(__xludf.DUMMYFUNCTION("if(JU$2="""","""", index(GOOGLEFINANCE($B$13,""close"",JU$2,TODAY()),2,2))"),"")</f>
        <v/>
      </c>
      <c r="JV13" s="1" t="str">
        <f ca="1">IFERROR(__xludf.DUMMYFUNCTION("if(JV$2="""","""", index(GOOGLEFINANCE($B$13,""close"",JV$2,TODAY()),2,2))"),"")</f>
        <v/>
      </c>
      <c r="JW13" s="1" t="str">
        <f ca="1">IFERROR(__xludf.DUMMYFUNCTION("if(JW$2="""","""", index(GOOGLEFINANCE($B$13,""close"",JW$2,TODAY()),2,2))"),"")</f>
        <v/>
      </c>
      <c r="JX13" s="1" t="str">
        <f ca="1">IFERROR(__xludf.DUMMYFUNCTION("if(JX$2="""","""", index(GOOGLEFINANCE($B$13,""close"",JX$2,TODAY()),2,2))"),"")</f>
        <v/>
      </c>
      <c r="JY13" s="1" t="str">
        <f ca="1">IFERROR(__xludf.DUMMYFUNCTION("if(JY$2="""","""", index(GOOGLEFINANCE($B$13,""close"",JY$2,TODAY()),2,2))"),"")</f>
        <v/>
      </c>
      <c r="JZ13" s="1" t="str">
        <f ca="1">IFERROR(__xludf.DUMMYFUNCTION("if(JZ$2="""","""", index(GOOGLEFINANCE($B$13,""close"",JZ$2,TODAY()),2,2))"),"")</f>
        <v/>
      </c>
      <c r="KA13" s="1" t="str">
        <f ca="1">IFERROR(__xludf.DUMMYFUNCTION("if(KA$2="""","""", index(GOOGLEFINANCE($B$13,""close"",KA$2,TODAY()),2,2))"),"")</f>
        <v/>
      </c>
      <c r="KB13" s="1" t="str">
        <f ca="1">IFERROR(__xludf.DUMMYFUNCTION("if(KB$2="""","""", index(GOOGLEFINANCE($B$13,""close"",KB$2,TODAY()),2,2))"),"")</f>
        <v/>
      </c>
      <c r="KC13" s="1" t="str">
        <f ca="1">IFERROR(__xludf.DUMMYFUNCTION("if(KC$2="""","""", index(GOOGLEFINANCE($B$13,""close"",KC$2,TODAY()),2,2))"),"")</f>
        <v/>
      </c>
      <c r="KD13" s="1" t="str">
        <f ca="1">IFERROR(__xludf.DUMMYFUNCTION("if(KD$2="""","""", index(GOOGLEFINANCE($B$13,""close"",KD$2,TODAY()),2,2))"),"")</f>
        <v/>
      </c>
      <c r="KE13" s="1" t="str">
        <f ca="1">IFERROR(__xludf.DUMMYFUNCTION("if(KE$2="""","""", index(GOOGLEFINANCE($B$13,""close"",KE$2,TODAY()),2,2))"),"")</f>
        <v/>
      </c>
      <c r="KF13" s="1" t="str">
        <f ca="1">IFERROR(__xludf.DUMMYFUNCTION("if(KF$2="""","""", index(GOOGLEFINANCE($B$13,""close"",KF$2,TODAY()),2,2))"),"")</f>
        <v/>
      </c>
      <c r="KG13" s="1" t="str">
        <f ca="1">IFERROR(__xludf.DUMMYFUNCTION("if(KG$2="""","""", index(GOOGLEFINANCE($B$13,""close"",KG$2,TODAY()),2,2))"),"")</f>
        <v/>
      </c>
    </row>
    <row r="14" spans="1:319" ht="15.75" customHeight="1">
      <c r="A14" s="18" t="s">
        <v>30</v>
      </c>
      <c r="B14" s="6" t="s">
        <v>58</v>
      </c>
      <c r="C14" s="1">
        <f ca="1">IFERROR(__xludf.DUMMYFUNCTION("if(C$2="""","""", index(GOOGLEFINANCE($B$14,""close"",C$2,TODAY()),2,2))"),69.62)</f>
        <v>69.62</v>
      </c>
      <c r="D14" s="1">
        <f ca="1">IFERROR(__xludf.DUMMYFUNCTION("if(D$2="""","""", index(GOOGLEFINANCE($B$14,""close"",D$2,TODAY()),2,2))"),70.45)</f>
        <v>70.45</v>
      </c>
      <c r="E14" s="1">
        <f ca="1">IFERROR(__xludf.DUMMYFUNCTION("if(E$2="""","""", index(GOOGLEFINANCE($B$14,""close"",E$2,TODAY()),2,2))"),66.6)</f>
        <v>66.599999999999994</v>
      </c>
      <c r="F14" s="1">
        <f ca="1">IFERROR(__xludf.DUMMYFUNCTION("if(F$2="""","""", index(GOOGLEFINANCE($B$14,""close"",F$2,TODAY()),2,2))"),62.34)</f>
        <v>62.34</v>
      </c>
      <c r="G14" s="1">
        <f ca="1">IFERROR(__xludf.DUMMYFUNCTION("if(G$2="""","""", index(GOOGLEFINANCE($B$14,""close"",G$2,TODAY()),2,2))"),59.9)</f>
        <v>59.9</v>
      </c>
      <c r="H14" s="1">
        <f ca="1">IFERROR(__xludf.DUMMYFUNCTION("if(H$2="""","""", index(GOOGLEFINANCE($B$14,""close"",H$2,TODAY()),2,2))"),58.42)</f>
        <v>58.42</v>
      </c>
      <c r="I14" s="1">
        <f ca="1">IFERROR(__xludf.DUMMYFUNCTION("if(I$2="""","""", index(GOOGLEFINANCE($B$14,""close"",I$2,TODAY()),2,2))"),58.83)</f>
        <v>58.83</v>
      </c>
      <c r="J14" s="1">
        <f ca="1">IFERROR(__xludf.DUMMYFUNCTION("if(J$2="""","""", index(GOOGLEFINANCE($B$14,""close"",J$2,TODAY()),2,2))"),58.67)</f>
        <v>58.67</v>
      </c>
      <c r="K14" s="1">
        <f ca="1">IFERROR(__xludf.DUMMYFUNCTION("if(K$2="""","""", index(GOOGLEFINANCE($B$14,""close"",K$2,TODAY()),2,2))"),57.36)</f>
        <v>57.36</v>
      </c>
      <c r="L14" s="1">
        <f ca="1">IFERROR(__xludf.DUMMYFUNCTION("if(L$2="""","""", index(GOOGLEFINANCE($B$14,""close"",L$2,TODAY()),2,2))"),55.83)</f>
        <v>55.83</v>
      </c>
      <c r="M14" s="1">
        <f ca="1">IFERROR(__xludf.DUMMYFUNCTION("if(M$2="""","""", index(GOOGLEFINANCE($B$14,""close"",M$2,TODAY()),2,2))"),55.53)</f>
        <v>55.53</v>
      </c>
      <c r="N14" s="1">
        <f ca="1">IFERROR(__xludf.DUMMYFUNCTION("if(N$2="""","""", index(GOOGLEFINANCE($B$14,""close"",N$2,TODAY()),2,2))"),55.57)</f>
        <v>55.57</v>
      </c>
      <c r="O14" s="1">
        <f ca="1">IFERROR(__xludf.DUMMYFUNCTION("if(O$2="""","""", index(GOOGLEFINANCE($B$14,""close"",O$2,TODAY()),2,2))"),53.11)</f>
        <v>53.11</v>
      </c>
      <c r="P14" s="1">
        <f ca="1">IFERROR(__xludf.DUMMYFUNCTION("if(P$2="""","""", index(GOOGLEFINANCE($B$14,""close"",P$2,TODAY()),2,2))"),53.05)</f>
        <v>53.05</v>
      </c>
      <c r="Q14" s="1">
        <f ca="1">IFERROR(__xludf.DUMMYFUNCTION("if(Q$2="""","""", index(GOOGLEFINANCE($B$14,""close"",Q$2,TODAY()),2,2))"),56.18)</f>
        <v>56.18</v>
      </c>
      <c r="R14" s="1">
        <f ca="1">IFERROR(__xludf.DUMMYFUNCTION("if(R$2="""","""", index(GOOGLEFINANCE($B$14,""close"",R$2,TODAY()),2,2))"),54.8)</f>
        <v>54.8</v>
      </c>
      <c r="S14" s="1">
        <f ca="1">IFERROR(__xludf.DUMMYFUNCTION("if(S$2="""","""", index(GOOGLEFINANCE($B$14,""close"",S$2,TODAY()),2,2))"),52.94)</f>
        <v>52.94</v>
      </c>
      <c r="T14" s="1">
        <f ca="1">IFERROR(__xludf.DUMMYFUNCTION("if(T$2="""","""", index(GOOGLEFINANCE($B$14,""close"",T$2,TODAY()),2,2))"),52.9)</f>
        <v>52.9</v>
      </c>
      <c r="U14" s="1">
        <f ca="1">IFERROR(__xludf.DUMMYFUNCTION("if(U$2="""","""", index(GOOGLEFINANCE($B$14,""close"",U$2,TODAY()),2,2))"),54.65)</f>
        <v>54.65</v>
      </c>
      <c r="V14" s="1">
        <f ca="1">IFERROR(__xludf.DUMMYFUNCTION("if(V$2="""","""", index(GOOGLEFINANCE($B$14,""close"",V$2,TODAY()),2,2))"),56.07)</f>
        <v>56.07</v>
      </c>
      <c r="W14" s="1">
        <f ca="1">IFERROR(__xludf.DUMMYFUNCTION("if(W$2="""","""", index(GOOGLEFINANCE($B$14,""close"",W$2,TODAY()),2,2))"),56.29)</f>
        <v>56.29</v>
      </c>
      <c r="X14" s="1">
        <f ca="1">IFERROR(__xludf.DUMMYFUNCTION("if(X$2="""","""", index(GOOGLEFINANCE($B$14,""close"",X$2,TODAY()),2,2))"),58.72)</f>
        <v>58.72</v>
      </c>
      <c r="Y14" s="1">
        <f ca="1">IFERROR(__xludf.DUMMYFUNCTION("if(Y$2="""","""", index(GOOGLEFINANCE($B$14,""close"",Y$2,TODAY()),2,2))"),55.66)</f>
        <v>55.66</v>
      </c>
      <c r="Z14" s="1">
        <f ca="1">IFERROR(__xludf.DUMMYFUNCTION("if(Z$2="""","""", index(GOOGLEFINANCE($B$14,""close"",Z$2,TODAY()),2,2))"),56.13)</f>
        <v>56.13</v>
      </c>
      <c r="AA14" s="1">
        <f ca="1">IFERROR(__xludf.DUMMYFUNCTION("if(AA$2="""","""", index(GOOGLEFINANCE($B$14,""close"",AA$2,TODAY()),2,2))"),55.93)</f>
        <v>55.93</v>
      </c>
      <c r="AB14" s="1">
        <f ca="1">IFERROR(__xludf.DUMMYFUNCTION("if(AB$2="""","""", index(GOOGLEFINANCE($B$14,""close"",AB$2,TODAY()),2,2))"),58.35)</f>
        <v>58.35</v>
      </c>
      <c r="AC14" s="1">
        <f ca="1">IFERROR(__xludf.DUMMYFUNCTION("if(AC$2="""","""", index(GOOGLEFINANCE($B$14,""close"",AC$2,TODAY()),2,2))"),61)</f>
        <v>61</v>
      </c>
      <c r="AD14" s="1">
        <f ca="1">IFERROR(__xludf.DUMMYFUNCTION("if(AD$2="""","""", index(GOOGLEFINANCE($B$14,""close"",AD$2,TODAY()),2,2))"),60.75)</f>
        <v>60.75</v>
      </c>
      <c r="AE14" s="1">
        <f ca="1">IFERROR(__xludf.DUMMYFUNCTION("if(AE$2="""","""", index(GOOGLEFINANCE($B$14,""close"",AE$2,TODAY()),2,2))"),57.35)</f>
        <v>57.35</v>
      </c>
      <c r="AF14" s="1">
        <f ca="1">IFERROR(__xludf.DUMMYFUNCTION("if(AF$2="""","""", index(GOOGLEFINANCE($B$14,""close"",AF$2,TODAY()),2,2))"),55.03)</f>
        <v>55.03</v>
      </c>
      <c r="AG14" s="1">
        <f ca="1">IFERROR(__xludf.DUMMYFUNCTION("if(AG$2="""","""", index(GOOGLEFINANCE($B$14,""close"",AG$2,TODAY()),2,2))"),55.37)</f>
        <v>55.37</v>
      </c>
      <c r="AH14" s="1">
        <f ca="1">IFERROR(__xludf.DUMMYFUNCTION("if(AH$2="""","""", index(GOOGLEFINANCE($B$14,""close"",AH$2,TODAY()),2,2))"),55.45)</f>
        <v>55.45</v>
      </c>
      <c r="AI14" s="1">
        <f ca="1">IFERROR(__xludf.DUMMYFUNCTION("if(AI$2="""","""", index(GOOGLEFINANCE($B$14,""close"",AI$2,TODAY()),2,2))"),52.16)</f>
        <v>52.16</v>
      </c>
      <c r="AJ14" s="1">
        <f ca="1">IFERROR(__xludf.DUMMYFUNCTION("if(AJ$2="""","""", index(GOOGLEFINANCE($B$14,""close"",AJ$2,TODAY()),2,2))"),52.28)</f>
        <v>52.28</v>
      </c>
      <c r="AK14" s="1">
        <f ca="1">IFERROR(__xludf.DUMMYFUNCTION("if(AK$2="""","""", index(GOOGLEFINANCE($B$14,""close"",AK$2,TODAY()),2,2))"),51.43)</f>
        <v>51.43</v>
      </c>
      <c r="AL14" s="1">
        <f ca="1">IFERROR(__xludf.DUMMYFUNCTION("if(AL$2="""","""", index(GOOGLEFINANCE($B$14,""close"",AL$2,TODAY()),2,2))"),50.32)</f>
        <v>50.32</v>
      </c>
      <c r="AM14" s="1">
        <f ca="1">IFERROR(__xludf.DUMMYFUNCTION("if(AM$2="""","""", index(GOOGLEFINANCE($B$14,""close"",AM$2,TODAY()),2,2))"),53.14)</f>
        <v>53.14</v>
      </c>
      <c r="AN14" s="1">
        <f ca="1">IFERROR(__xludf.DUMMYFUNCTION("if(AN$2="""","""", index(GOOGLEFINANCE($B$14,""close"",AN$2,TODAY()),2,2))"),54.45)</f>
        <v>54.45</v>
      </c>
      <c r="AO14" s="1">
        <f ca="1">IFERROR(__xludf.DUMMYFUNCTION("if(AO$2="""","""", index(GOOGLEFINANCE($B$14,""close"",AO$2,TODAY()),2,2))"),53.37)</f>
        <v>53.37</v>
      </c>
      <c r="AP14" s="1">
        <f ca="1">IFERROR(__xludf.DUMMYFUNCTION("if(AP$2="""","""", index(GOOGLEFINANCE($B$14,""close"",AP$2,TODAY()),2,2))"),50.94)</f>
        <v>50.94</v>
      </c>
      <c r="AQ14" s="1">
        <f ca="1">IFERROR(__xludf.DUMMYFUNCTION("if(AQ$2="""","""", index(GOOGLEFINANCE($B$14,""close"",AQ$2,TODAY()),2,2))"),53.35)</f>
        <v>53.35</v>
      </c>
      <c r="AR14" s="1">
        <f ca="1">IFERROR(__xludf.DUMMYFUNCTION("if(AR$2="""","""", index(GOOGLEFINANCE($B$14,""close"",AR$2,TODAY()),2,2))"),52.14)</f>
        <v>52.14</v>
      </c>
      <c r="AS14" s="1">
        <f ca="1">IFERROR(__xludf.DUMMYFUNCTION("if(AS$2="""","""", index(GOOGLEFINANCE($B$14,""close"",AS$2,TODAY()),2,2))"),49.82)</f>
        <v>49.82</v>
      </c>
      <c r="AT14" s="1">
        <f ca="1">IFERROR(__xludf.DUMMYFUNCTION("if(AT$2="""","""", index(GOOGLEFINANCE($B$14,""close"",AT$2,TODAY()),2,2))"),45.5)</f>
        <v>45.5</v>
      </c>
      <c r="AU14" s="1">
        <f ca="1">IFERROR(__xludf.DUMMYFUNCTION("if(AU$2="""","""", index(GOOGLEFINANCE($B$14,""close"",AU$2,TODAY()),2,2))"),45.59)</f>
        <v>45.59</v>
      </c>
      <c r="AV14" s="1">
        <f ca="1">IFERROR(__xludf.DUMMYFUNCTION("if(AV$2="""","""", index(GOOGLEFINANCE($B$14,""close"",AV$2,TODAY()),2,2))"),47.69)</f>
        <v>47.69</v>
      </c>
      <c r="AW14" s="1">
        <f ca="1">IFERROR(__xludf.DUMMYFUNCTION("if(AW$2="""","""", index(GOOGLEFINANCE($B$14,""close"",AW$2,TODAY()),2,2))"),48.08)</f>
        <v>48.08</v>
      </c>
      <c r="AX14" s="1">
        <f ca="1">IFERROR(__xludf.DUMMYFUNCTION("if(AX$2="""","""", index(GOOGLEFINANCE($B$14,""close"",AX$2,TODAY()),2,2))"),46.81)</f>
        <v>46.81</v>
      </c>
      <c r="AY14" s="1">
        <f ca="1">IFERROR(__xludf.DUMMYFUNCTION("if(AY$2="""","""", index(GOOGLEFINANCE($B$14,""close"",AY$2,TODAY()),2,2))"),46.42)</f>
        <v>46.42</v>
      </c>
      <c r="AZ14" s="1">
        <f ca="1">IFERROR(__xludf.DUMMYFUNCTION("if(AZ$2="""","""", index(GOOGLEFINANCE($B$14,""close"",AZ$2,TODAY()),2,2))"),47.12)</f>
        <v>47.12</v>
      </c>
      <c r="BA14" s="1">
        <f ca="1">IFERROR(__xludf.DUMMYFUNCTION("if(BA$2="""","""", index(GOOGLEFINANCE($B$14,""close"",BA$2,TODAY()),2,2))"),48.75)</f>
        <v>48.75</v>
      </c>
      <c r="BB14" s="1">
        <f ca="1">IFERROR(__xludf.DUMMYFUNCTION("if(BB$2="""","""", index(GOOGLEFINANCE($B$14,""close"",BB$2,TODAY()),2,2))"),48.73)</f>
        <v>48.73</v>
      </c>
      <c r="BC14" s="1">
        <f ca="1">IFERROR(__xludf.DUMMYFUNCTION("if(BC$2="""","""", index(GOOGLEFINANCE($B$14,""close"",BC$2,TODAY()),2,2))"),50.39)</f>
        <v>50.39</v>
      </c>
      <c r="BD14" s="1">
        <f ca="1">IFERROR(__xludf.DUMMYFUNCTION("if(BD$2="""","""", index(GOOGLEFINANCE($B$14,""close"",BD$2,TODAY()),2,2))"),49.31)</f>
        <v>49.31</v>
      </c>
      <c r="BE14" s="1">
        <f ca="1">IFERROR(__xludf.DUMMYFUNCTION("if(BE$2="""","""", index(GOOGLEFINANCE($B$14,""close"",BE$2,TODAY()),2,2))"),49.94)</f>
        <v>49.94</v>
      </c>
      <c r="BF14" s="1">
        <f ca="1">IFERROR(__xludf.DUMMYFUNCTION("if(BF$2="""","""", index(GOOGLEFINANCE($B$14,""close"",BF$2,TODAY()),2,2))"),48.83)</f>
        <v>48.83</v>
      </c>
      <c r="BG14" s="1">
        <f ca="1">IFERROR(__xludf.DUMMYFUNCTION("if(BG$2="""","""", index(GOOGLEFINANCE($B$14,""close"",BG$2,TODAY()),2,2))"),49.78)</f>
        <v>49.78</v>
      </c>
      <c r="BH14" s="1">
        <f ca="1">IFERROR(__xludf.DUMMYFUNCTION("if(BH$2="""","""", index(GOOGLEFINANCE($B$14,""close"",BH$2,TODAY()),2,2))"),50.92)</f>
        <v>50.92</v>
      </c>
      <c r="BI14" s="1">
        <f ca="1">IFERROR(__xludf.DUMMYFUNCTION("if(BI$2="""","""", index(GOOGLEFINANCE($B$14,""close"",BI$2,TODAY()),2,2))"),49.87)</f>
        <v>49.87</v>
      </c>
      <c r="BJ14" s="1">
        <f ca="1">IFERROR(__xludf.DUMMYFUNCTION("if(BJ$2="""","""", index(GOOGLEFINANCE($B$14,""close"",BJ$2,TODAY()),2,2))"),51.77)</f>
        <v>51.77</v>
      </c>
      <c r="BK14" s="1">
        <f ca="1">IFERROR(__xludf.DUMMYFUNCTION("if(BK$2="""","""", index(GOOGLEFINANCE($B$14,""close"",BK$2,TODAY()),2,2))"),49.9)</f>
        <v>49.9</v>
      </c>
      <c r="BL14" s="1">
        <f ca="1">IFERROR(__xludf.DUMMYFUNCTION("if(BL$2="""","""", index(GOOGLEFINANCE($B$14,""close"",BL$2,TODAY()),2,2))"),47.8)</f>
        <v>47.8</v>
      </c>
      <c r="BM14" s="1">
        <f ca="1">IFERROR(__xludf.DUMMYFUNCTION("if(BM$2="""","""", index(GOOGLEFINANCE($B$14,""close"",BM$2,TODAY()),2,2))"),47.46)</f>
        <v>47.46</v>
      </c>
      <c r="BN14" s="1">
        <f ca="1">IFERROR(__xludf.DUMMYFUNCTION("if(BN$2="""","""", index(GOOGLEFINANCE($B$14,""close"",BN$2,TODAY()),2,2))"),47.82)</f>
        <v>47.82</v>
      </c>
      <c r="BO14" s="1">
        <f ca="1">IFERROR(__xludf.DUMMYFUNCTION("if(BO$2="""","""", index(GOOGLEFINANCE($B$14,""close"",BO$2,TODAY()),2,2))"),46.91)</f>
        <v>46.91</v>
      </c>
      <c r="BP14" s="1">
        <f ca="1">IFERROR(__xludf.DUMMYFUNCTION("if(BP$2="""","""", index(GOOGLEFINANCE($B$14,""close"",BP$2,TODAY()),2,2))"),45.52)</f>
        <v>45.52</v>
      </c>
      <c r="BQ14" s="1">
        <f ca="1">IFERROR(__xludf.DUMMYFUNCTION("if(BQ$2="""","""", index(GOOGLEFINANCE($B$14,""close"",BQ$2,TODAY()),2,2))"),45.42)</f>
        <v>45.42</v>
      </c>
      <c r="BR14" s="1">
        <f ca="1">IFERROR(__xludf.DUMMYFUNCTION("if(BR$2="""","""", index(GOOGLEFINANCE($B$14,""close"",BR$2,TODAY()),2,2))"),46.13)</f>
        <v>46.13</v>
      </c>
      <c r="BS14" s="1">
        <f ca="1">IFERROR(__xludf.DUMMYFUNCTION("if(BS$2="""","""", index(GOOGLEFINANCE($B$14,""close"",BS$2,TODAY()),2,2))"),47.69)</f>
        <v>47.69</v>
      </c>
      <c r="BT14" s="1">
        <f ca="1">IFERROR(__xludf.DUMMYFUNCTION("if(BT$2="""","""", index(GOOGLEFINANCE($B$14,""close"",BT$2,TODAY()),2,2))"),48.89)</f>
        <v>48.89</v>
      </c>
      <c r="BU14" s="1">
        <f ca="1">IFERROR(__xludf.DUMMYFUNCTION("if(BU$2="""","""", index(GOOGLEFINANCE($B$14,""close"",BU$2,TODAY()),2,2))"),51.13)</f>
        <v>51.13</v>
      </c>
      <c r="BV14" s="1">
        <f ca="1">IFERROR(__xludf.DUMMYFUNCTION("if(BV$2="""","""", index(GOOGLEFINANCE($B$14,""close"",BV$2,TODAY()),2,2))"),52.19)</f>
        <v>52.19</v>
      </c>
      <c r="BW14" s="1">
        <f ca="1">IFERROR(__xludf.DUMMYFUNCTION("if(BW$2="""","""", index(GOOGLEFINANCE($B$14,""close"",BW$2,TODAY()),2,2))"),52.91)</f>
        <v>52.91</v>
      </c>
      <c r="BX14" s="1">
        <f ca="1">IFERROR(__xludf.DUMMYFUNCTION("if(BX$2="""","""", index(GOOGLEFINANCE($B$14,""close"",BX$2,TODAY()),2,2))"),55.57)</f>
        <v>55.57</v>
      </c>
      <c r="BY14" s="1">
        <f ca="1">IFERROR(__xludf.DUMMYFUNCTION("if(BY$2="""","""", index(GOOGLEFINANCE($B$14,""close"",BY$2,TODAY()),2,2))"),56.83)</f>
        <v>56.83</v>
      </c>
      <c r="BZ14" s="1">
        <f ca="1">IFERROR(__xludf.DUMMYFUNCTION("if(BZ$2="""","""", index(GOOGLEFINANCE($B$14,""close"",BZ$2,TODAY()),2,2))"),55.43)</f>
        <v>55.43</v>
      </c>
      <c r="CA14" s="1">
        <f ca="1">IFERROR(__xludf.DUMMYFUNCTION("if(CA$2="""","""", index(GOOGLEFINANCE($B$14,""close"",CA$2,TODAY()),2,2))"),53.41)</f>
        <v>53.41</v>
      </c>
      <c r="CB14" s="1">
        <f ca="1">IFERROR(__xludf.DUMMYFUNCTION("if(CB$2="""","""", index(GOOGLEFINANCE($B$14,""close"",CB$2,TODAY()),2,2))"),54.1)</f>
        <v>54.1</v>
      </c>
      <c r="CC14" s="1">
        <f ca="1">IFERROR(__xludf.DUMMYFUNCTION("if(CC$2="""","""", index(GOOGLEFINANCE($B$14,""close"",CC$2,TODAY()),2,2))"),52.91)</f>
        <v>52.91</v>
      </c>
      <c r="CD14" s="1">
        <f ca="1">IFERROR(__xludf.DUMMYFUNCTION("if(CD$2="""","""", index(GOOGLEFINANCE($B$14,""close"",CD$2,TODAY()),2,2))"),52.79)</f>
        <v>52.79</v>
      </c>
      <c r="CE14" s="1">
        <f ca="1">IFERROR(__xludf.DUMMYFUNCTION("if(CE$2="""","""", index(GOOGLEFINANCE($B$14,""close"",CE$2,TODAY()),2,2))"),54.36)</f>
        <v>54.36</v>
      </c>
      <c r="CF14" s="1">
        <f ca="1">IFERROR(__xludf.DUMMYFUNCTION("if(CF$2="""","""", index(GOOGLEFINANCE($B$14,""close"",CF$2,TODAY()),2,2))"),52.89)</f>
        <v>52.89</v>
      </c>
      <c r="CG14" s="1">
        <f ca="1">IFERROR(__xludf.DUMMYFUNCTION("if(CG$2="""","""", index(GOOGLEFINANCE($B$14,""close"",CG$2,TODAY()),2,2))"),54.3)</f>
        <v>54.3</v>
      </c>
      <c r="CH14" s="1">
        <f ca="1">IFERROR(__xludf.DUMMYFUNCTION("if(CH$2="""","""", index(GOOGLEFINANCE($B$14,""close"",CH$2,TODAY()),2,2))"),53.25)</f>
        <v>53.25</v>
      </c>
      <c r="CI14" s="1">
        <f ca="1">IFERROR(__xludf.DUMMYFUNCTION("if(CI$2="""","""", index(GOOGLEFINANCE($B$14,""close"",CI$2,TODAY()),2,2))"),54.39)</f>
        <v>54.39</v>
      </c>
      <c r="CJ14" s="1" t="str">
        <f ca="1">IFERROR(__xludf.DUMMYFUNCTION("if(CJ$2="""","""", index(GOOGLEFINANCE($B$14,""close"",CJ$2,TODAY()),2,2))"),"")</f>
        <v/>
      </c>
      <c r="CK14" s="1" t="str">
        <f ca="1">IFERROR(__xludf.DUMMYFUNCTION("if(CK$2="""","""", index(GOOGLEFINANCE($B$14,""close"",CK$2,TODAY()),2,2))"),"")</f>
        <v/>
      </c>
      <c r="CL14" s="1" t="str">
        <f ca="1">IFERROR(__xludf.DUMMYFUNCTION("if(CL$2="""","""", index(GOOGLEFINANCE($B$14,""close"",CL$2,TODAY()),2,2))"),"")</f>
        <v/>
      </c>
      <c r="CM14" s="1" t="str">
        <f ca="1">IFERROR(__xludf.DUMMYFUNCTION("if(CM$2="""","""", index(GOOGLEFINANCE($B$14,""close"",CM$2,TODAY()),2,2))"),"")</f>
        <v/>
      </c>
      <c r="CN14" s="1" t="str">
        <f ca="1">IFERROR(__xludf.DUMMYFUNCTION("if(CN$2="""","""", index(GOOGLEFINANCE($B$14,""close"",CN$2,TODAY()),2,2))"),"")</f>
        <v/>
      </c>
      <c r="CO14" s="1" t="str">
        <f ca="1">IFERROR(__xludf.DUMMYFUNCTION("if(CO$2="""","""", index(GOOGLEFINANCE($B$14,""close"",CO$2,TODAY()),2,2))"),"")</f>
        <v/>
      </c>
      <c r="CP14" s="1" t="str">
        <f ca="1">IFERROR(__xludf.DUMMYFUNCTION("if(CP$2="""","""", index(GOOGLEFINANCE($B$14,""close"",CP$2,TODAY()),2,2))"),"")</f>
        <v/>
      </c>
      <c r="CQ14" s="1" t="str">
        <f ca="1">IFERROR(__xludf.DUMMYFUNCTION("if(CQ$2="""","""", index(GOOGLEFINANCE($B$14,""close"",CQ$2,TODAY()),2,2))"),"")</f>
        <v/>
      </c>
      <c r="CR14" s="1" t="str">
        <f ca="1">IFERROR(__xludf.DUMMYFUNCTION("if(CR$2="""","""", index(GOOGLEFINANCE($B$14,""close"",CR$2,TODAY()),2,2))"),"")</f>
        <v/>
      </c>
      <c r="CS14" s="1" t="str">
        <f ca="1">IFERROR(__xludf.DUMMYFUNCTION("if(CS$2="""","""", index(GOOGLEFINANCE($B$14,""close"",CS$2,TODAY()),2,2))"),"")</f>
        <v/>
      </c>
      <c r="CT14" s="1" t="str">
        <f ca="1">IFERROR(__xludf.DUMMYFUNCTION("if(CT$2="""","""", index(GOOGLEFINANCE($B$14,""close"",CT$2,TODAY()),2,2))"),"")</f>
        <v/>
      </c>
      <c r="CU14" s="1" t="str">
        <f ca="1">IFERROR(__xludf.DUMMYFUNCTION("if(CU$2="""","""", index(GOOGLEFINANCE($B$14,""close"",CU$2,TODAY()),2,2))"),"")</f>
        <v/>
      </c>
      <c r="CV14" s="1" t="str">
        <f ca="1">IFERROR(__xludf.DUMMYFUNCTION("if(CV$2="""","""", index(GOOGLEFINANCE($B$14,""close"",CV$2,TODAY()),2,2))"),"")</f>
        <v/>
      </c>
      <c r="CW14" s="1" t="str">
        <f ca="1">IFERROR(__xludf.DUMMYFUNCTION("if(CW$2="""","""", index(GOOGLEFINANCE($B$14,""close"",CW$2,TODAY()),2,2))"),"")</f>
        <v/>
      </c>
      <c r="CX14" s="1" t="str">
        <f ca="1">IFERROR(__xludf.DUMMYFUNCTION("if(CX$2="""","""", index(GOOGLEFINANCE($B$14,""close"",CX$2,TODAY()),2,2))"),"")</f>
        <v/>
      </c>
      <c r="CY14" s="1" t="str">
        <f ca="1">IFERROR(__xludf.DUMMYFUNCTION("if(CY$2="""","""", index(GOOGLEFINANCE($B$14,""close"",CY$2,TODAY()),2,2))"),"")</f>
        <v/>
      </c>
      <c r="CZ14" s="1" t="str">
        <f ca="1">IFERROR(__xludf.DUMMYFUNCTION("if(CZ$2="""","""", index(GOOGLEFINANCE($B$14,""close"",CZ$2,TODAY()),2,2))"),"")</f>
        <v/>
      </c>
      <c r="DA14" s="1" t="str">
        <f ca="1">IFERROR(__xludf.DUMMYFUNCTION("if(DA$2="""","""", index(GOOGLEFINANCE($B$14,""close"",DA$2,TODAY()),2,2))"),"")</f>
        <v/>
      </c>
      <c r="DB14" s="1" t="str">
        <f ca="1">IFERROR(__xludf.DUMMYFUNCTION("if(DB$2="""","""", index(GOOGLEFINANCE($B$14,""close"",DB$2,TODAY()),2,2))"),"")</f>
        <v/>
      </c>
      <c r="DC14" s="1" t="str">
        <f ca="1">IFERROR(__xludf.DUMMYFUNCTION("if(DC$2="""","""", index(GOOGLEFINANCE($B$14,""close"",DC$2,TODAY()),2,2))"),"")</f>
        <v/>
      </c>
      <c r="DD14" s="1" t="str">
        <f ca="1">IFERROR(__xludf.DUMMYFUNCTION("if(DD$2="""","""", index(GOOGLEFINANCE($B$14,""close"",DD$2,TODAY()),2,2))"),"")</f>
        <v/>
      </c>
      <c r="DE14" s="1" t="str">
        <f ca="1">IFERROR(__xludf.DUMMYFUNCTION("if(DE$2="""","""", index(GOOGLEFINANCE($B$14,""close"",DE$2,TODAY()),2,2))"),"")</f>
        <v/>
      </c>
      <c r="DF14" s="1" t="str">
        <f ca="1">IFERROR(__xludf.DUMMYFUNCTION("if(DF$2="""","""", index(GOOGLEFINANCE($B$14,""close"",DF$2,TODAY()),2,2))"),"")</f>
        <v/>
      </c>
      <c r="DG14" s="1" t="str">
        <f ca="1">IFERROR(__xludf.DUMMYFUNCTION("if(DG$2="""","""", index(GOOGLEFINANCE($B$14,""close"",DG$2,TODAY()),2,2))"),"")</f>
        <v/>
      </c>
      <c r="DH14" s="1" t="str">
        <f ca="1">IFERROR(__xludf.DUMMYFUNCTION("if(DH$2="""","""", index(GOOGLEFINANCE($B$14,""close"",DH$2,TODAY()),2,2))"),"")</f>
        <v/>
      </c>
      <c r="DI14" s="1" t="str">
        <f ca="1">IFERROR(__xludf.DUMMYFUNCTION("if(DI$2="""","""", index(GOOGLEFINANCE($B$14,""close"",DI$2,TODAY()),2,2))"),"")</f>
        <v/>
      </c>
      <c r="DJ14" s="1" t="str">
        <f ca="1">IFERROR(__xludf.DUMMYFUNCTION("if(DJ$2="""","""", index(GOOGLEFINANCE($B$14,""close"",DJ$2,TODAY()),2,2))"),"")</f>
        <v/>
      </c>
      <c r="DK14" s="1" t="str">
        <f ca="1">IFERROR(__xludf.DUMMYFUNCTION("if(DK$2="""","""", index(GOOGLEFINANCE($B$14,""close"",DK$2,TODAY()),2,2))"),"")</f>
        <v/>
      </c>
      <c r="DL14" s="1" t="str">
        <f ca="1">IFERROR(__xludf.DUMMYFUNCTION("if(DL$2="""","""", index(GOOGLEFINANCE($B$14,""close"",DL$2,TODAY()),2,2))"),"")</f>
        <v/>
      </c>
      <c r="DM14" s="1" t="str">
        <f ca="1">IFERROR(__xludf.DUMMYFUNCTION("if(DM$2="""","""", index(GOOGLEFINANCE($B$14,""close"",DM$2,TODAY()),2,2))"),"")</f>
        <v/>
      </c>
      <c r="DN14" s="1" t="str">
        <f ca="1">IFERROR(__xludf.DUMMYFUNCTION("if(DN$2="""","""", index(GOOGLEFINANCE($B$14,""close"",DN$2,TODAY()),2,2))"),"")</f>
        <v/>
      </c>
      <c r="DO14" s="1" t="str">
        <f ca="1">IFERROR(__xludf.DUMMYFUNCTION("if(DO$2="""","""", index(GOOGLEFINANCE($B$14,""close"",DO$2,TODAY()),2,2))"),"")</f>
        <v/>
      </c>
      <c r="DP14" s="1" t="str">
        <f ca="1">IFERROR(__xludf.DUMMYFUNCTION("if(DP$2="""","""", index(GOOGLEFINANCE($B$14,""close"",DP$2,TODAY()),2,2))"),"")</f>
        <v/>
      </c>
      <c r="DQ14" s="1" t="str">
        <f ca="1">IFERROR(__xludf.DUMMYFUNCTION("if(DQ$2="""","""", index(GOOGLEFINANCE($B$14,""close"",DQ$2,TODAY()),2,2))"),"")</f>
        <v/>
      </c>
      <c r="DR14" s="1" t="str">
        <f ca="1">IFERROR(__xludf.DUMMYFUNCTION("if(DR$2="""","""", index(GOOGLEFINANCE($B$14,""close"",DR$2,TODAY()),2,2))"),"")</f>
        <v/>
      </c>
      <c r="DS14" s="1" t="str">
        <f ca="1">IFERROR(__xludf.DUMMYFUNCTION("if(DS$2="""","""", index(GOOGLEFINANCE($B$14,""close"",DS$2,TODAY()),2,2))"),"")</f>
        <v/>
      </c>
      <c r="DT14" s="1" t="str">
        <f ca="1">IFERROR(__xludf.DUMMYFUNCTION("if(DT$2="""","""", index(GOOGLEFINANCE($B$14,""close"",DT$2,TODAY()),2,2))"),"")</f>
        <v/>
      </c>
      <c r="DU14" s="1" t="str">
        <f ca="1">IFERROR(__xludf.DUMMYFUNCTION("if(DU$2="""","""", index(GOOGLEFINANCE($B$14,""close"",DU$2,TODAY()),2,2))"),"")</f>
        <v/>
      </c>
      <c r="DV14" s="1" t="str">
        <f ca="1">IFERROR(__xludf.DUMMYFUNCTION("if(DV$2="""","""", index(GOOGLEFINANCE($B$14,""close"",DV$2,TODAY()),2,2))"),"")</f>
        <v/>
      </c>
      <c r="DW14" s="1" t="str">
        <f ca="1">IFERROR(__xludf.DUMMYFUNCTION("if(DW$2="""","""", index(GOOGLEFINANCE($B$14,""close"",DW$2,TODAY()),2,2))"),"")</f>
        <v/>
      </c>
      <c r="DX14" s="1" t="str">
        <f ca="1">IFERROR(__xludf.DUMMYFUNCTION("if(DX$2="""","""", index(GOOGLEFINANCE($B$14,""close"",DX$2,TODAY()),2,2))"),"")</f>
        <v/>
      </c>
      <c r="DY14" s="1" t="str">
        <f ca="1">IFERROR(__xludf.DUMMYFUNCTION("if(DY$2="""","""", index(GOOGLEFINANCE($B$14,""close"",DY$2,TODAY()),2,2))"),"")</f>
        <v/>
      </c>
      <c r="DZ14" s="1" t="str">
        <f ca="1">IFERROR(__xludf.DUMMYFUNCTION("if(DZ$2="""","""", index(GOOGLEFINANCE($B$14,""close"",DZ$2,TODAY()),2,2))"),"")</f>
        <v/>
      </c>
      <c r="EA14" s="1" t="str">
        <f ca="1">IFERROR(__xludf.DUMMYFUNCTION("if(EA$2="""","""", index(GOOGLEFINANCE($B$14,""close"",EA$2,TODAY()),2,2))"),"")</f>
        <v/>
      </c>
      <c r="EB14" s="1" t="str">
        <f ca="1">IFERROR(__xludf.DUMMYFUNCTION("if(EB$2="""","""", index(GOOGLEFINANCE($B$14,""close"",EB$2,TODAY()),2,2))"),"")</f>
        <v/>
      </c>
      <c r="EC14" s="1" t="str">
        <f ca="1">IFERROR(__xludf.DUMMYFUNCTION("if(EC$2="""","""", index(GOOGLEFINANCE($B$14,""close"",EC$2,TODAY()),2,2))"),"")</f>
        <v/>
      </c>
      <c r="ED14" s="1" t="str">
        <f ca="1">IFERROR(__xludf.DUMMYFUNCTION("if(ED$2="""","""", index(GOOGLEFINANCE($B$14,""close"",ED$2,TODAY()),2,2))"),"")</f>
        <v/>
      </c>
      <c r="EE14" s="1" t="str">
        <f ca="1">IFERROR(__xludf.DUMMYFUNCTION("if(EE$2="""","""", index(GOOGLEFINANCE($B$14,""close"",EE$2,TODAY()),2,2))"),"")</f>
        <v/>
      </c>
      <c r="EF14" s="1" t="str">
        <f ca="1">IFERROR(__xludf.DUMMYFUNCTION("if(EF$2="""","""", index(GOOGLEFINANCE($B$14,""close"",EF$2,TODAY()),2,2))"),"")</f>
        <v/>
      </c>
      <c r="EG14" s="1" t="str">
        <f ca="1">IFERROR(__xludf.DUMMYFUNCTION("if(EG$2="""","""", index(GOOGLEFINANCE($B$14,""close"",EG$2,TODAY()),2,2))"),"")</f>
        <v/>
      </c>
      <c r="EH14" s="1" t="str">
        <f ca="1">IFERROR(__xludf.DUMMYFUNCTION("if(EH$2="""","""", index(GOOGLEFINANCE($B$14,""close"",EH$2,TODAY()),2,2))"),"")</f>
        <v/>
      </c>
      <c r="EI14" s="1" t="str">
        <f ca="1">IFERROR(__xludf.DUMMYFUNCTION("if(EI$2="""","""", index(GOOGLEFINANCE($B$14,""close"",EI$2,TODAY()),2,2))"),"")</f>
        <v/>
      </c>
      <c r="EJ14" s="1" t="str">
        <f ca="1">IFERROR(__xludf.DUMMYFUNCTION("if(EJ$2="""","""", index(GOOGLEFINANCE($B$14,""close"",EJ$2,TODAY()),2,2))"),"")</f>
        <v/>
      </c>
      <c r="EK14" s="1" t="str">
        <f ca="1">IFERROR(__xludf.DUMMYFUNCTION("if(EK$2="""","""", index(GOOGLEFINANCE($B$14,""close"",EK$2,TODAY()),2,2))"),"")</f>
        <v/>
      </c>
      <c r="EL14" s="1" t="str">
        <f ca="1">IFERROR(__xludf.DUMMYFUNCTION("if(EL$2="""","""", index(GOOGLEFINANCE($B$14,""close"",EL$2,TODAY()),2,2))"),"")</f>
        <v/>
      </c>
      <c r="EM14" s="1" t="str">
        <f ca="1">IFERROR(__xludf.DUMMYFUNCTION("if(EM$2="""","""", index(GOOGLEFINANCE($B$14,""close"",EM$2,TODAY()),2,2))"),"")</f>
        <v/>
      </c>
      <c r="EN14" s="1" t="str">
        <f ca="1">IFERROR(__xludf.DUMMYFUNCTION("if(EN$2="""","""", index(GOOGLEFINANCE($B$14,""close"",EN$2,TODAY()),2,2))"),"")</f>
        <v/>
      </c>
      <c r="EO14" s="1" t="str">
        <f ca="1">IFERROR(__xludf.DUMMYFUNCTION("if(EO$2="""","""", index(GOOGLEFINANCE($B$14,""close"",EO$2,TODAY()),2,2))"),"")</f>
        <v/>
      </c>
      <c r="EP14" s="1" t="str">
        <f ca="1">IFERROR(__xludf.DUMMYFUNCTION("if(EP$2="""","""", index(GOOGLEFINANCE($B$14,""close"",EP$2,TODAY()),2,2))"),"")</f>
        <v/>
      </c>
      <c r="EQ14" s="1" t="str">
        <f ca="1">IFERROR(__xludf.DUMMYFUNCTION("if(EQ$2="""","""", index(GOOGLEFINANCE($B$14,""close"",EQ$2,TODAY()),2,2))"),"")</f>
        <v/>
      </c>
      <c r="ER14" s="1" t="str">
        <f ca="1">IFERROR(__xludf.DUMMYFUNCTION("if(ER$2="""","""", index(GOOGLEFINANCE($B$14,""close"",ER$2,TODAY()),2,2))"),"")</f>
        <v/>
      </c>
      <c r="ES14" s="1" t="str">
        <f ca="1">IFERROR(__xludf.DUMMYFUNCTION("if(ES$2="""","""", index(GOOGLEFINANCE($B$14,""close"",ES$2,TODAY()),2,2))"),"")</f>
        <v/>
      </c>
      <c r="ET14" s="1" t="str">
        <f ca="1">IFERROR(__xludf.DUMMYFUNCTION("if(ET$2="""","""", index(GOOGLEFINANCE($B$14,""close"",ET$2,TODAY()),2,2))"),"")</f>
        <v/>
      </c>
      <c r="EU14" s="1" t="str">
        <f ca="1">IFERROR(__xludf.DUMMYFUNCTION("if(EU$2="""","""", index(GOOGLEFINANCE($B$14,""close"",EU$2,TODAY()),2,2))"),"")</f>
        <v/>
      </c>
      <c r="EV14" s="1" t="str">
        <f ca="1">IFERROR(__xludf.DUMMYFUNCTION("if(EV$2="""","""", index(GOOGLEFINANCE($B$14,""close"",EV$2,TODAY()),2,2))"),"")</f>
        <v/>
      </c>
      <c r="EW14" s="1" t="str">
        <f ca="1">IFERROR(__xludf.DUMMYFUNCTION("if(EW$2="""","""", index(GOOGLEFINANCE($B$14,""close"",EW$2,TODAY()),2,2))"),"")</f>
        <v/>
      </c>
      <c r="EX14" s="1" t="str">
        <f ca="1">IFERROR(__xludf.DUMMYFUNCTION("if(EX$2="""","""", index(GOOGLEFINANCE($B$14,""close"",EX$2,TODAY()),2,2))"),"")</f>
        <v/>
      </c>
      <c r="EY14" s="1" t="str">
        <f ca="1">IFERROR(__xludf.DUMMYFUNCTION("if(EY$2="""","""", index(GOOGLEFINANCE($B$14,""close"",EY$2,TODAY()),2,2))"),"")</f>
        <v/>
      </c>
      <c r="EZ14" s="1" t="str">
        <f ca="1">IFERROR(__xludf.DUMMYFUNCTION("if(EZ$2="""","""", index(GOOGLEFINANCE($B$14,""close"",EZ$2,TODAY()),2,2))"),"")</f>
        <v/>
      </c>
      <c r="FA14" s="1" t="str">
        <f ca="1">IFERROR(__xludf.DUMMYFUNCTION("if(FA$2="""","""", index(GOOGLEFINANCE($B$14,""close"",FA$2,TODAY()),2,2))"),"")</f>
        <v/>
      </c>
      <c r="FB14" s="1" t="str">
        <f ca="1">IFERROR(__xludf.DUMMYFUNCTION("if(FB$2="""","""", index(GOOGLEFINANCE($B$14,""close"",FB$2,TODAY()),2,2))"),"")</f>
        <v/>
      </c>
      <c r="FC14" s="1" t="str">
        <f ca="1">IFERROR(__xludf.DUMMYFUNCTION("if(FC$2="""","""", index(GOOGLEFINANCE($B$14,""close"",FC$2,TODAY()),2,2))"),"")</f>
        <v/>
      </c>
      <c r="FD14" s="1" t="str">
        <f ca="1">IFERROR(__xludf.DUMMYFUNCTION("if(FD$2="""","""", index(GOOGLEFINANCE($B$14,""close"",FD$2,TODAY()),2,2))"),"")</f>
        <v/>
      </c>
      <c r="FE14" s="1" t="str">
        <f ca="1">IFERROR(__xludf.DUMMYFUNCTION("if(FE$2="""","""", index(GOOGLEFINANCE($B$14,""close"",FE$2,TODAY()),2,2))"),"")</f>
        <v/>
      </c>
      <c r="FF14" s="1" t="str">
        <f ca="1">IFERROR(__xludf.DUMMYFUNCTION("if(FF$2="""","""", index(GOOGLEFINANCE($B$14,""close"",FF$2,TODAY()),2,2))"),"")</f>
        <v/>
      </c>
      <c r="FG14" s="1" t="str">
        <f ca="1">IFERROR(__xludf.DUMMYFUNCTION("if(FG$2="""","""", index(GOOGLEFINANCE($B$14,""close"",FG$2,TODAY()),2,2))"),"")</f>
        <v/>
      </c>
      <c r="FH14" s="1" t="str">
        <f ca="1">IFERROR(__xludf.DUMMYFUNCTION("if(FH$2="""","""", index(GOOGLEFINANCE($B$14,""close"",FH$2,TODAY()),2,2))"),"")</f>
        <v/>
      </c>
      <c r="FI14" s="1" t="str">
        <f ca="1">IFERROR(__xludf.DUMMYFUNCTION("if(FI$2="""","""", index(GOOGLEFINANCE($B$14,""close"",FI$2,TODAY()),2,2))"),"")</f>
        <v/>
      </c>
      <c r="FJ14" s="1" t="str">
        <f ca="1">IFERROR(__xludf.DUMMYFUNCTION("if(FJ$2="""","""", index(GOOGLEFINANCE($B$14,""close"",FJ$2,TODAY()),2,2))"),"")</f>
        <v/>
      </c>
      <c r="FK14" s="1" t="str">
        <f ca="1">IFERROR(__xludf.DUMMYFUNCTION("if(FK$2="""","""", index(GOOGLEFINANCE($B$14,""close"",FK$2,TODAY()),2,2))"),"")</f>
        <v/>
      </c>
      <c r="FL14" s="1" t="str">
        <f ca="1">IFERROR(__xludf.DUMMYFUNCTION("if(FL$2="""","""", index(GOOGLEFINANCE($B$14,""close"",FL$2,TODAY()),2,2))"),"")</f>
        <v/>
      </c>
      <c r="FM14" s="1" t="str">
        <f ca="1">IFERROR(__xludf.DUMMYFUNCTION("if(FM$2="""","""", index(GOOGLEFINANCE($B$14,""close"",FM$2,TODAY()),2,2))"),"")</f>
        <v/>
      </c>
      <c r="FN14" s="1" t="str">
        <f ca="1">IFERROR(__xludf.DUMMYFUNCTION("if(FN$2="""","""", index(GOOGLEFINANCE($B$14,""close"",FN$2,TODAY()),2,2))"),"")</f>
        <v/>
      </c>
      <c r="FO14" s="1" t="str">
        <f ca="1">IFERROR(__xludf.DUMMYFUNCTION("if(FO$2="""","""", index(GOOGLEFINANCE($B$14,""close"",FO$2,TODAY()),2,2))"),"")</f>
        <v/>
      </c>
      <c r="FP14" s="1" t="str">
        <f ca="1">IFERROR(__xludf.DUMMYFUNCTION("if(FP$2="""","""", index(GOOGLEFINANCE($B$14,""close"",FP$2,TODAY()),2,2))"),"")</f>
        <v/>
      </c>
      <c r="FQ14" s="1" t="str">
        <f ca="1">IFERROR(__xludf.DUMMYFUNCTION("if(FQ$2="""","""", index(GOOGLEFINANCE($B$14,""close"",FQ$2,TODAY()),2,2))"),"")</f>
        <v/>
      </c>
      <c r="FR14" s="1" t="str">
        <f ca="1">IFERROR(__xludf.DUMMYFUNCTION("if(FR$2="""","""", index(GOOGLEFINANCE($B$14,""close"",FR$2,TODAY()),2,2))"),"")</f>
        <v/>
      </c>
      <c r="FS14" s="1" t="str">
        <f ca="1">IFERROR(__xludf.DUMMYFUNCTION("if(FS$2="""","""", index(GOOGLEFINANCE($B$14,""close"",FS$2,TODAY()),2,2))"),"")</f>
        <v/>
      </c>
      <c r="FT14" s="1" t="str">
        <f ca="1">IFERROR(__xludf.DUMMYFUNCTION("if(FT$2="""","""", index(GOOGLEFINANCE($B$14,""close"",FT$2,TODAY()),2,2))"),"")</f>
        <v/>
      </c>
      <c r="FU14" s="1" t="str">
        <f ca="1">IFERROR(__xludf.DUMMYFUNCTION("if(FU$2="""","""", index(GOOGLEFINANCE($B$14,""close"",FU$2,TODAY()),2,2))"),"")</f>
        <v/>
      </c>
      <c r="FV14" s="1" t="str">
        <f ca="1">IFERROR(__xludf.DUMMYFUNCTION("if(FV$2="""","""", index(GOOGLEFINANCE($B$14,""close"",FV$2,TODAY()),2,2))"),"")</f>
        <v/>
      </c>
      <c r="FW14" s="1" t="str">
        <f ca="1">IFERROR(__xludf.DUMMYFUNCTION("if(FW$2="""","""", index(GOOGLEFINANCE($B$14,""close"",FW$2,TODAY()),2,2))"),"")</f>
        <v/>
      </c>
      <c r="FX14" s="1" t="str">
        <f ca="1">IFERROR(__xludf.DUMMYFUNCTION("if(FX$2="""","""", index(GOOGLEFINANCE($B$14,""close"",FX$2,TODAY()),2,2))"),"")</f>
        <v/>
      </c>
      <c r="FY14" s="1" t="str">
        <f ca="1">IFERROR(__xludf.DUMMYFUNCTION("if(FY$2="""","""", index(GOOGLEFINANCE($B$14,""close"",FY$2,TODAY()),2,2))"),"")</f>
        <v/>
      </c>
      <c r="FZ14" s="1" t="str">
        <f ca="1">IFERROR(__xludf.DUMMYFUNCTION("if(FZ$2="""","""", index(GOOGLEFINANCE($B$14,""close"",FZ$2,TODAY()),2,2))"),"")</f>
        <v/>
      </c>
      <c r="GA14" s="1" t="str">
        <f ca="1">IFERROR(__xludf.DUMMYFUNCTION("if(GA$2="""","""", index(GOOGLEFINANCE($B$14,""close"",GA$2,TODAY()),2,2))"),"")</f>
        <v/>
      </c>
      <c r="GB14" s="1" t="str">
        <f ca="1">IFERROR(__xludf.DUMMYFUNCTION("if(GB$2="""","""", index(GOOGLEFINANCE($B$14,""close"",GB$2,TODAY()),2,2))"),"")</f>
        <v/>
      </c>
      <c r="GC14" s="1" t="str">
        <f ca="1">IFERROR(__xludf.DUMMYFUNCTION("if(GC$2="""","""", index(GOOGLEFINANCE($B$14,""close"",GC$2,TODAY()),2,2))"),"")</f>
        <v/>
      </c>
      <c r="GD14" s="1" t="str">
        <f ca="1">IFERROR(__xludf.DUMMYFUNCTION("if(GD$2="""","""", index(GOOGLEFINANCE($B$14,""close"",GD$2,TODAY()),2,2))"),"")</f>
        <v/>
      </c>
      <c r="GE14" s="1" t="str">
        <f ca="1">IFERROR(__xludf.DUMMYFUNCTION("if(GE$2="""","""", index(GOOGLEFINANCE($B$14,""close"",GE$2,TODAY()),2,2))"),"")</f>
        <v/>
      </c>
      <c r="GF14" s="1" t="str">
        <f ca="1">IFERROR(__xludf.DUMMYFUNCTION("if(GF$2="""","""", index(GOOGLEFINANCE($B$14,""close"",GF$2,TODAY()),2,2))"),"")</f>
        <v/>
      </c>
      <c r="GG14" s="1" t="str">
        <f ca="1">IFERROR(__xludf.DUMMYFUNCTION("if(GG$2="""","""", index(GOOGLEFINANCE($B$14,""close"",GG$2,TODAY()),2,2))"),"")</f>
        <v/>
      </c>
      <c r="GH14" s="1" t="str">
        <f ca="1">IFERROR(__xludf.DUMMYFUNCTION("if(GH$2="""","""", index(GOOGLEFINANCE($B$14,""close"",GH$2,TODAY()),2,2))"),"")</f>
        <v/>
      </c>
      <c r="GI14" s="1" t="str">
        <f ca="1">IFERROR(__xludf.DUMMYFUNCTION("if(GI$2="""","""", index(GOOGLEFINANCE($B$14,""close"",GI$2,TODAY()),2,2))"),"")</f>
        <v/>
      </c>
      <c r="GJ14" s="1" t="str">
        <f ca="1">IFERROR(__xludf.DUMMYFUNCTION("if(GJ$2="""","""", index(GOOGLEFINANCE($B$14,""close"",GJ$2,TODAY()),2,2))"),"")</f>
        <v/>
      </c>
      <c r="GK14" s="1" t="str">
        <f ca="1">IFERROR(__xludf.DUMMYFUNCTION("if(GK$2="""","""", index(GOOGLEFINANCE($B$14,""close"",GK$2,TODAY()),2,2))"),"")</f>
        <v/>
      </c>
      <c r="GL14" s="1" t="str">
        <f ca="1">IFERROR(__xludf.DUMMYFUNCTION("if(GL$2="""","""", index(GOOGLEFINANCE($B$14,""close"",GL$2,TODAY()),2,2))"),"")</f>
        <v/>
      </c>
      <c r="GM14" s="1" t="str">
        <f ca="1">IFERROR(__xludf.DUMMYFUNCTION("if(GM$2="""","""", index(GOOGLEFINANCE($B$14,""close"",GM$2,TODAY()),2,2))"),"")</f>
        <v/>
      </c>
      <c r="GN14" s="1" t="str">
        <f ca="1">IFERROR(__xludf.DUMMYFUNCTION("if(GN$2="""","""", index(GOOGLEFINANCE($B$14,""close"",GN$2,TODAY()),2,2))"),"")</f>
        <v/>
      </c>
      <c r="GO14" s="1" t="str">
        <f ca="1">IFERROR(__xludf.DUMMYFUNCTION("if(GO$2="""","""", index(GOOGLEFINANCE($B$14,""close"",GO$2,TODAY()),2,2))"),"")</f>
        <v/>
      </c>
      <c r="GP14" s="1" t="str">
        <f ca="1">IFERROR(__xludf.DUMMYFUNCTION("if(GP$2="""","""", index(GOOGLEFINANCE($B$14,""close"",GP$2,TODAY()),2,2))"),"")</f>
        <v/>
      </c>
      <c r="GQ14" s="1" t="str">
        <f ca="1">IFERROR(__xludf.DUMMYFUNCTION("if(GQ$2="""","""", index(GOOGLEFINANCE($B$14,""close"",GQ$2,TODAY()),2,2))"),"")</f>
        <v/>
      </c>
      <c r="GR14" s="1" t="str">
        <f ca="1">IFERROR(__xludf.DUMMYFUNCTION("if(GR$2="""","""", index(GOOGLEFINANCE($B$14,""close"",GR$2,TODAY()),2,2))"),"")</f>
        <v/>
      </c>
      <c r="GS14" s="1" t="str">
        <f ca="1">IFERROR(__xludf.DUMMYFUNCTION("if(GS$2="""","""", index(GOOGLEFINANCE($B$14,""close"",GS$2,TODAY()),2,2))"),"")</f>
        <v/>
      </c>
      <c r="GT14" s="1" t="str">
        <f ca="1">IFERROR(__xludf.DUMMYFUNCTION("if(GT$2="""","""", index(GOOGLEFINANCE($B$14,""close"",GT$2,TODAY()),2,2))"),"")</f>
        <v/>
      </c>
      <c r="GU14" s="1" t="str">
        <f ca="1">IFERROR(__xludf.DUMMYFUNCTION("if(GU$2="""","""", index(GOOGLEFINANCE($B$14,""close"",GU$2,TODAY()),2,2))"),"")</f>
        <v/>
      </c>
      <c r="GV14" s="1" t="str">
        <f ca="1">IFERROR(__xludf.DUMMYFUNCTION("if(GV$2="""","""", index(GOOGLEFINANCE($B$14,""close"",GV$2,TODAY()),2,2))"),"")</f>
        <v/>
      </c>
      <c r="GW14" s="1" t="str">
        <f ca="1">IFERROR(__xludf.DUMMYFUNCTION("if(GW$2="""","""", index(GOOGLEFINANCE($B$14,""close"",GW$2,TODAY()),2,2))"),"")</f>
        <v/>
      </c>
      <c r="GX14" s="1" t="str">
        <f ca="1">IFERROR(__xludf.DUMMYFUNCTION("if(GX$2="""","""", index(GOOGLEFINANCE($B$14,""close"",GX$2,TODAY()),2,2))"),"")</f>
        <v/>
      </c>
      <c r="GY14" s="1" t="str">
        <f ca="1">IFERROR(__xludf.DUMMYFUNCTION("if(GY$2="""","""", index(GOOGLEFINANCE($B$14,""close"",GY$2,TODAY()),2,2))"),"")</f>
        <v/>
      </c>
      <c r="GZ14" s="1" t="str">
        <f ca="1">IFERROR(__xludf.DUMMYFUNCTION("if(GZ$2="""","""", index(GOOGLEFINANCE($B$14,""close"",GZ$2,TODAY()),2,2))"),"")</f>
        <v/>
      </c>
      <c r="HA14" s="1" t="str">
        <f ca="1">IFERROR(__xludf.DUMMYFUNCTION("if(HA$2="""","""", index(GOOGLEFINANCE($B$14,""close"",HA$2,TODAY()),2,2))"),"")</f>
        <v/>
      </c>
      <c r="HB14" s="1" t="str">
        <f ca="1">IFERROR(__xludf.DUMMYFUNCTION("if(HB$2="""","""", index(GOOGLEFINANCE($B$14,""close"",HB$2,TODAY()),2,2))"),"")</f>
        <v/>
      </c>
      <c r="HC14" s="1" t="str">
        <f ca="1">IFERROR(__xludf.DUMMYFUNCTION("if(HC$2="""","""", index(GOOGLEFINANCE($B$14,""close"",HC$2,TODAY()),2,2))"),"")</f>
        <v/>
      </c>
      <c r="HD14" s="1" t="str">
        <f ca="1">IFERROR(__xludf.DUMMYFUNCTION("if(HD$2="""","""", index(GOOGLEFINANCE($B$14,""close"",HD$2,TODAY()),2,2))"),"")</f>
        <v/>
      </c>
      <c r="HE14" s="1" t="str">
        <f ca="1">IFERROR(__xludf.DUMMYFUNCTION("if(HE$2="""","""", index(GOOGLEFINANCE($B$14,""close"",HE$2,TODAY()),2,2))"),"")</f>
        <v/>
      </c>
      <c r="HF14" s="1" t="str">
        <f ca="1">IFERROR(__xludf.DUMMYFUNCTION("if(HF$2="""","""", index(GOOGLEFINANCE($B$14,""close"",HF$2,TODAY()),2,2))"),"")</f>
        <v/>
      </c>
      <c r="HG14" s="1" t="str">
        <f ca="1">IFERROR(__xludf.DUMMYFUNCTION("if(HG$2="""","""", index(GOOGLEFINANCE($B$14,""close"",HG$2,TODAY()),2,2))"),"")</f>
        <v/>
      </c>
      <c r="HH14" s="1" t="str">
        <f ca="1">IFERROR(__xludf.DUMMYFUNCTION("if(HH$2="""","""", index(GOOGLEFINANCE($B$14,""close"",HH$2,TODAY()),2,2))"),"")</f>
        <v/>
      </c>
      <c r="HI14" s="1" t="str">
        <f ca="1">IFERROR(__xludf.DUMMYFUNCTION("if(HI$2="""","""", index(GOOGLEFINANCE($B$14,""close"",HI$2,TODAY()),2,2))"),"")</f>
        <v/>
      </c>
      <c r="HJ14" s="1" t="str">
        <f ca="1">IFERROR(__xludf.DUMMYFUNCTION("if(HJ$2="""","""", index(GOOGLEFINANCE($B$14,""close"",HJ$2,TODAY()),2,2))"),"")</f>
        <v/>
      </c>
      <c r="HK14" s="1" t="str">
        <f ca="1">IFERROR(__xludf.DUMMYFUNCTION("if(HK$2="""","""", index(GOOGLEFINANCE($B$14,""close"",HK$2,TODAY()),2,2))"),"")</f>
        <v/>
      </c>
      <c r="HL14" s="1" t="str">
        <f ca="1">IFERROR(__xludf.DUMMYFUNCTION("if(HL$2="""","""", index(GOOGLEFINANCE($B$14,""close"",HL$2,TODAY()),2,2))"),"")</f>
        <v/>
      </c>
      <c r="HM14" s="1" t="str">
        <f ca="1">IFERROR(__xludf.DUMMYFUNCTION("if(HM$2="""","""", index(GOOGLEFINANCE($B$14,""close"",HM$2,TODAY()),2,2))"),"")</f>
        <v/>
      </c>
      <c r="HN14" s="1" t="str">
        <f ca="1">IFERROR(__xludf.DUMMYFUNCTION("if(HN$2="""","""", index(GOOGLEFINANCE($B$14,""close"",HN$2,TODAY()),2,2))"),"")</f>
        <v/>
      </c>
      <c r="HO14" s="1" t="str">
        <f ca="1">IFERROR(__xludf.DUMMYFUNCTION("if(HO$2="""","""", index(GOOGLEFINANCE($B$14,""close"",HO$2,TODAY()),2,2))"),"")</f>
        <v/>
      </c>
      <c r="HP14" s="1" t="str">
        <f ca="1">IFERROR(__xludf.DUMMYFUNCTION("if(HP$2="""","""", index(GOOGLEFINANCE($B$14,""close"",HP$2,TODAY()),2,2))"),"")</f>
        <v/>
      </c>
      <c r="HQ14" s="1" t="str">
        <f ca="1">IFERROR(__xludf.DUMMYFUNCTION("if(HQ$2="""","""", index(GOOGLEFINANCE($B$14,""close"",HQ$2,TODAY()),2,2))"),"")</f>
        <v/>
      </c>
      <c r="HR14" s="1" t="str">
        <f ca="1">IFERROR(__xludf.DUMMYFUNCTION("if(HR$2="""","""", index(GOOGLEFINANCE($B$14,""close"",HR$2,TODAY()),2,2))"),"")</f>
        <v/>
      </c>
      <c r="HS14" s="1" t="str">
        <f ca="1">IFERROR(__xludf.DUMMYFUNCTION("if(HS$2="""","""", index(GOOGLEFINANCE($B$14,""close"",HS$2,TODAY()),2,2))"),"")</f>
        <v/>
      </c>
      <c r="HT14" s="1" t="str">
        <f ca="1">IFERROR(__xludf.DUMMYFUNCTION("if(HT$2="""","""", index(GOOGLEFINANCE($B$14,""close"",HT$2,TODAY()),2,2))"),"")</f>
        <v/>
      </c>
      <c r="HU14" s="1" t="str">
        <f ca="1">IFERROR(__xludf.DUMMYFUNCTION("if(HU$2="""","""", index(GOOGLEFINANCE($B$14,""close"",HU$2,TODAY()),2,2))"),"")</f>
        <v/>
      </c>
      <c r="HV14" s="1" t="str">
        <f ca="1">IFERROR(__xludf.DUMMYFUNCTION("if(HV$2="""","""", index(GOOGLEFINANCE($B$14,""close"",HV$2,TODAY()),2,2))"),"")</f>
        <v/>
      </c>
      <c r="HW14" s="1" t="str">
        <f ca="1">IFERROR(__xludf.DUMMYFUNCTION("if(HW$2="""","""", index(GOOGLEFINANCE($B$14,""close"",HW$2,TODAY()),2,2))"),"")</f>
        <v/>
      </c>
      <c r="HX14" s="1" t="str">
        <f ca="1">IFERROR(__xludf.DUMMYFUNCTION("if(HX$2="""","""", index(GOOGLEFINANCE($B$14,""close"",HX$2,TODAY()),2,2))"),"")</f>
        <v/>
      </c>
      <c r="HY14" s="1" t="str">
        <f ca="1">IFERROR(__xludf.DUMMYFUNCTION("if(HY$2="""","""", index(GOOGLEFINANCE($B$14,""close"",HY$2,TODAY()),2,2))"),"")</f>
        <v/>
      </c>
      <c r="HZ14" s="1" t="str">
        <f ca="1">IFERROR(__xludf.DUMMYFUNCTION("if(HZ$2="""","""", index(GOOGLEFINANCE($B$14,""close"",HZ$2,TODAY()),2,2))"),"")</f>
        <v/>
      </c>
      <c r="IA14" s="1" t="str">
        <f ca="1">IFERROR(__xludf.DUMMYFUNCTION("if(IA$2="""","""", index(GOOGLEFINANCE($B$14,""close"",IA$2,TODAY()),2,2))"),"")</f>
        <v/>
      </c>
      <c r="IB14" s="1" t="str">
        <f ca="1">IFERROR(__xludf.DUMMYFUNCTION("if(IB$2="""","""", index(GOOGLEFINANCE($B$14,""close"",IB$2,TODAY()),2,2))"),"")</f>
        <v/>
      </c>
      <c r="IC14" s="1" t="str">
        <f ca="1">IFERROR(__xludf.DUMMYFUNCTION("if(IC$2="""","""", index(GOOGLEFINANCE($B$14,""close"",IC$2,TODAY()),2,2))"),"")</f>
        <v/>
      </c>
      <c r="ID14" s="1" t="str">
        <f ca="1">IFERROR(__xludf.DUMMYFUNCTION("if(ID$2="""","""", index(GOOGLEFINANCE($B$14,""close"",ID$2,TODAY()),2,2))"),"")</f>
        <v/>
      </c>
      <c r="IE14" s="1" t="str">
        <f ca="1">IFERROR(__xludf.DUMMYFUNCTION("if(IE$2="""","""", index(GOOGLEFINANCE($B$14,""close"",IE$2,TODAY()),2,2))"),"")</f>
        <v/>
      </c>
      <c r="IF14" s="1" t="str">
        <f ca="1">IFERROR(__xludf.DUMMYFUNCTION("if(IF$2="""","""", index(GOOGLEFINANCE($B$14,""close"",IF$2,TODAY()),2,2))"),"")</f>
        <v/>
      </c>
      <c r="IG14" s="1" t="str">
        <f ca="1">IFERROR(__xludf.DUMMYFUNCTION("if(IG$2="""","""", index(GOOGLEFINANCE($B$14,""close"",IG$2,TODAY()),2,2))"),"")</f>
        <v/>
      </c>
      <c r="IH14" s="1" t="str">
        <f ca="1">IFERROR(__xludf.DUMMYFUNCTION("if(IH$2="""","""", index(GOOGLEFINANCE($B$14,""close"",IH$2,TODAY()),2,2))"),"")</f>
        <v/>
      </c>
      <c r="II14" s="1" t="str">
        <f ca="1">IFERROR(__xludf.DUMMYFUNCTION("if(II$2="""","""", index(GOOGLEFINANCE($B$14,""close"",II$2,TODAY()),2,2))"),"")</f>
        <v/>
      </c>
      <c r="IJ14" s="1" t="str">
        <f ca="1">IFERROR(__xludf.DUMMYFUNCTION("if(IJ$2="""","""", index(GOOGLEFINANCE($B$14,""close"",IJ$2,TODAY()),2,2))"),"")</f>
        <v/>
      </c>
      <c r="IK14" s="1" t="str">
        <f ca="1">IFERROR(__xludf.DUMMYFUNCTION("if(IK$2="""","""", index(GOOGLEFINANCE($B$14,""close"",IK$2,TODAY()),2,2))"),"")</f>
        <v/>
      </c>
      <c r="IL14" s="1" t="str">
        <f ca="1">IFERROR(__xludf.DUMMYFUNCTION("if(IL$2="""","""", index(GOOGLEFINANCE($B$14,""close"",IL$2,TODAY()),2,2))"),"")</f>
        <v/>
      </c>
      <c r="IM14" s="1" t="str">
        <f ca="1">IFERROR(__xludf.DUMMYFUNCTION("if(IM$2="""","""", index(GOOGLEFINANCE($B$14,""close"",IM$2,TODAY()),2,2))"),"")</f>
        <v/>
      </c>
      <c r="IN14" s="1" t="str">
        <f ca="1">IFERROR(__xludf.DUMMYFUNCTION("if(IN$2="""","""", index(GOOGLEFINANCE($B$14,""close"",IN$2,TODAY()),2,2))"),"")</f>
        <v/>
      </c>
      <c r="IO14" s="1" t="str">
        <f ca="1">IFERROR(__xludf.DUMMYFUNCTION("if(IO$2="""","""", index(GOOGLEFINANCE($B$14,""close"",IO$2,TODAY()),2,2))"),"")</f>
        <v/>
      </c>
      <c r="IP14" s="1" t="str">
        <f ca="1">IFERROR(__xludf.DUMMYFUNCTION("if(IP$2="""","""", index(GOOGLEFINANCE($B$14,""close"",IP$2,TODAY()),2,2))"),"")</f>
        <v/>
      </c>
      <c r="IQ14" s="1" t="str">
        <f ca="1">IFERROR(__xludf.DUMMYFUNCTION("if(IQ$2="""","""", index(GOOGLEFINANCE($B$14,""close"",IQ$2,TODAY()),2,2))"),"")</f>
        <v/>
      </c>
      <c r="IR14" s="1" t="str">
        <f ca="1">IFERROR(__xludf.DUMMYFUNCTION("if(IR$2="""","""", index(GOOGLEFINANCE($B$14,""close"",IR$2,TODAY()),2,2))"),"")</f>
        <v/>
      </c>
      <c r="IS14" s="1" t="str">
        <f ca="1">IFERROR(__xludf.DUMMYFUNCTION("if(IS$2="""","""", index(GOOGLEFINANCE($B$14,""close"",IS$2,TODAY()),2,2))"),"")</f>
        <v/>
      </c>
      <c r="IT14" s="1" t="str">
        <f ca="1">IFERROR(__xludf.DUMMYFUNCTION("if(IT$2="""","""", index(GOOGLEFINANCE($B$14,""close"",IT$2,TODAY()),2,2))"),"")</f>
        <v/>
      </c>
      <c r="IU14" s="1" t="str">
        <f ca="1">IFERROR(__xludf.DUMMYFUNCTION("if(IU$2="""","""", index(GOOGLEFINANCE($B$14,""close"",IU$2,TODAY()),2,2))"),"")</f>
        <v/>
      </c>
      <c r="IV14" s="1" t="str">
        <f ca="1">IFERROR(__xludf.DUMMYFUNCTION("if(IV$2="""","""", index(GOOGLEFINANCE($B$14,""close"",IV$2,TODAY()),2,2))"),"")</f>
        <v/>
      </c>
      <c r="IW14" s="1" t="str">
        <f ca="1">IFERROR(__xludf.DUMMYFUNCTION("if(IW$2="""","""", index(GOOGLEFINANCE($B$14,""close"",IW$2,TODAY()),2,2))"),"")</f>
        <v/>
      </c>
      <c r="IX14" s="1" t="str">
        <f ca="1">IFERROR(__xludf.DUMMYFUNCTION("if(IX$2="""","""", index(GOOGLEFINANCE($B$14,""close"",IX$2,TODAY()),2,2))"),"")</f>
        <v/>
      </c>
      <c r="IY14" s="1" t="str">
        <f ca="1">IFERROR(__xludf.DUMMYFUNCTION("if(IY$2="""","""", index(GOOGLEFINANCE($B$14,""close"",IY$2,TODAY()),2,2))"),"")</f>
        <v/>
      </c>
      <c r="IZ14" s="1" t="str">
        <f ca="1">IFERROR(__xludf.DUMMYFUNCTION("if(IZ$2="""","""", index(GOOGLEFINANCE($B$14,""close"",IZ$2,TODAY()),2,2))"),"")</f>
        <v/>
      </c>
      <c r="JA14" s="1" t="str">
        <f ca="1">IFERROR(__xludf.DUMMYFUNCTION("if(JA$2="""","""", index(GOOGLEFINANCE($B$14,""close"",JA$2,TODAY()),2,2))"),"")</f>
        <v/>
      </c>
      <c r="JB14" s="1" t="str">
        <f ca="1">IFERROR(__xludf.DUMMYFUNCTION("if(JB$2="""","""", index(GOOGLEFINANCE($B$14,""close"",JB$2,TODAY()),2,2))"),"")</f>
        <v/>
      </c>
      <c r="JC14" s="1" t="str">
        <f ca="1">IFERROR(__xludf.DUMMYFUNCTION("if(JC$2="""","""", index(GOOGLEFINANCE($B$14,""close"",JC$2,TODAY()),2,2))"),"")</f>
        <v/>
      </c>
      <c r="JD14" s="1" t="str">
        <f ca="1">IFERROR(__xludf.DUMMYFUNCTION("if(JD$2="""","""", index(GOOGLEFINANCE($B$14,""close"",JD$2,TODAY()),2,2))"),"")</f>
        <v/>
      </c>
      <c r="JE14" s="1" t="str">
        <f ca="1">IFERROR(__xludf.DUMMYFUNCTION("if(JE$2="""","""", index(GOOGLEFINANCE($B$14,""close"",JE$2,TODAY()),2,2))"),"")</f>
        <v/>
      </c>
      <c r="JF14" s="1" t="str">
        <f ca="1">IFERROR(__xludf.DUMMYFUNCTION("if(JF$2="""","""", index(GOOGLEFINANCE($B$14,""close"",JF$2,TODAY()),2,2))"),"")</f>
        <v/>
      </c>
      <c r="JG14" s="1" t="str">
        <f ca="1">IFERROR(__xludf.DUMMYFUNCTION("if(JG$2="""","""", index(GOOGLEFINANCE($B$14,""close"",JG$2,TODAY()),2,2))"),"")</f>
        <v/>
      </c>
      <c r="JH14" s="1" t="str">
        <f ca="1">IFERROR(__xludf.DUMMYFUNCTION("if(JH$2="""","""", index(GOOGLEFINANCE($B$14,""close"",JH$2,TODAY()),2,2))"),"")</f>
        <v/>
      </c>
      <c r="JI14" s="1" t="str">
        <f ca="1">IFERROR(__xludf.DUMMYFUNCTION("if(JI$2="""","""", index(GOOGLEFINANCE($B$14,""close"",JI$2,TODAY()),2,2))"),"")</f>
        <v/>
      </c>
      <c r="JJ14" s="1" t="str">
        <f ca="1">IFERROR(__xludf.DUMMYFUNCTION("if(JJ$2="""","""", index(GOOGLEFINANCE($B$14,""close"",JJ$2,TODAY()),2,2))"),"")</f>
        <v/>
      </c>
      <c r="JK14" s="1" t="str">
        <f ca="1">IFERROR(__xludf.DUMMYFUNCTION("if(JK$2="""","""", index(GOOGLEFINANCE($B$14,""close"",JK$2,TODAY()),2,2))"),"")</f>
        <v/>
      </c>
      <c r="JL14" s="1" t="str">
        <f ca="1">IFERROR(__xludf.DUMMYFUNCTION("if(JL$2="""","""", index(GOOGLEFINANCE($B$14,""close"",JL$2,TODAY()),2,2))"),"")</f>
        <v/>
      </c>
      <c r="JM14" s="1" t="str">
        <f ca="1">IFERROR(__xludf.DUMMYFUNCTION("if(JM$2="""","""", index(GOOGLEFINANCE($B$14,""close"",JM$2,TODAY()),2,2))"),"")</f>
        <v/>
      </c>
      <c r="JN14" s="1" t="str">
        <f ca="1">IFERROR(__xludf.DUMMYFUNCTION("if(JN$2="""","""", index(GOOGLEFINANCE($B$14,""close"",JN$2,TODAY()),2,2))"),"")</f>
        <v/>
      </c>
      <c r="JO14" s="1" t="str">
        <f ca="1">IFERROR(__xludf.DUMMYFUNCTION("if(JO$2="""","""", index(GOOGLEFINANCE($B$14,""close"",JO$2,TODAY()),2,2))"),"")</f>
        <v/>
      </c>
      <c r="JP14" s="1" t="str">
        <f ca="1">IFERROR(__xludf.DUMMYFUNCTION("if(JP$2="""","""", index(GOOGLEFINANCE($B$14,""close"",JP$2,TODAY()),2,2))"),"")</f>
        <v/>
      </c>
      <c r="JQ14" s="1" t="str">
        <f ca="1">IFERROR(__xludf.DUMMYFUNCTION("if(JQ$2="""","""", index(GOOGLEFINANCE($B$14,""close"",JQ$2,TODAY()),2,2))"),"")</f>
        <v/>
      </c>
      <c r="JR14" s="1" t="str">
        <f ca="1">IFERROR(__xludf.DUMMYFUNCTION("if(JR$2="""","""", index(GOOGLEFINANCE($B$14,""close"",JR$2,TODAY()),2,2))"),"")</f>
        <v/>
      </c>
      <c r="JS14" s="1" t="str">
        <f ca="1">IFERROR(__xludf.DUMMYFUNCTION("if(JS$2="""","""", index(GOOGLEFINANCE($B$14,""close"",JS$2,TODAY()),2,2))"),"")</f>
        <v/>
      </c>
      <c r="JT14" s="1" t="str">
        <f ca="1">IFERROR(__xludf.DUMMYFUNCTION("if(JT$2="""","""", index(GOOGLEFINANCE($B$14,""close"",JT$2,TODAY()),2,2))"),"")</f>
        <v/>
      </c>
      <c r="JU14" s="1" t="str">
        <f ca="1">IFERROR(__xludf.DUMMYFUNCTION("if(JU$2="""","""", index(GOOGLEFINANCE($B$14,""close"",JU$2,TODAY()),2,2))"),"")</f>
        <v/>
      </c>
      <c r="JV14" s="1" t="str">
        <f ca="1">IFERROR(__xludf.DUMMYFUNCTION("if(JV$2="""","""", index(GOOGLEFINANCE($B$14,""close"",JV$2,TODAY()),2,2))"),"")</f>
        <v/>
      </c>
      <c r="JW14" s="1" t="str">
        <f ca="1">IFERROR(__xludf.DUMMYFUNCTION("if(JW$2="""","""", index(GOOGLEFINANCE($B$14,""close"",JW$2,TODAY()),2,2))"),"")</f>
        <v/>
      </c>
      <c r="JX14" s="1" t="str">
        <f ca="1">IFERROR(__xludf.DUMMYFUNCTION("if(JX$2="""","""", index(GOOGLEFINANCE($B$14,""close"",JX$2,TODAY()),2,2))"),"")</f>
        <v/>
      </c>
      <c r="JY14" s="1" t="str">
        <f ca="1">IFERROR(__xludf.DUMMYFUNCTION("if(JY$2="""","""", index(GOOGLEFINANCE($B$14,""close"",JY$2,TODAY()),2,2))"),"")</f>
        <v/>
      </c>
      <c r="JZ14" s="1" t="str">
        <f ca="1">IFERROR(__xludf.DUMMYFUNCTION("if(JZ$2="""","""", index(GOOGLEFINANCE($B$14,""close"",JZ$2,TODAY()),2,2))"),"")</f>
        <v/>
      </c>
      <c r="KA14" s="1" t="str">
        <f ca="1">IFERROR(__xludf.DUMMYFUNCTION("if(KA$2="""","""", index(GOOGLEFINANCE($B$14,""close"",KA$2,TODAY()),2,2))"),"")</f>
        <v/>
      </c>
      <c r="KB14" s="1" t="str">
        <f ca="1">IFERROR(__xludf.DUMMYFUNCTION("if(KB$2="""","""", index(GOOGLEFINANCE($B$14,""close"",KB$2,TODAY()),2,2))"),"")</f>
        <v/>
      </c>
      <c r="KC14" s="1" t="str">
        <f ca="1">IFERROR(__xludf.DUMMYFUNCTION("if(KC$2="""","""", index(GOOGLEFINANCE($B$14,""close"",KC$2,TODAY()),2,2))"),"")</f>
        <v/>
      </c>
      <c r="KD14" s="1" t="str">
        <f ca="1">IFERROR(__xludf.DUMMYFUNCTION("if(KD$2="""","""", index(GOOGLEFINANCE($B$14,""close"",KD$2,TODAY()),2,2))"),"")</f>
        <v/>
      </c>
      <c r="KE14" s="1" t="str">
        <f ca="1">IFERROR(__xludf.DUMMYFUNCTION("if(KE$2="""","""", index(GOOGLEFINANCE($B$14,""close"",KE$2,TODAY()),2,2))"),"")</f>
        <v/>
      </c>
      <c r="KF14" s="1" t="str">
        <f ca="1">IFERROR(__xludf.DUMMYFUNCTION("if(KF$2="""","""", index(GOOGLEFINANCE($B$14,""close"",KF$2,TODAY()),2,2))"),"")</f>
        <v/>
      </c>
      <c r="KG14" s="1" t="str">
        <f ca="1">IFERROR(__xludf.DUMMYFUNCTION("if(KG$2="""","""", index(GOOGLEFINANCE($B$14,""close"",KG$2,TODAY()),2,2))"),"")</f>
        <v/>
      </c>
    </row>
    <row r="15" spans="1:319" ht="15.75" customHeight="1">
      <c r="A15" s="18" t="s">
        <v>30</v>
      </c>
      <c r="B15" s="6" t="s">
        <v>59</v>
      </c>
      <c r="C15" s="1">
        <f ca="1">IFERROR(__xludf.DUMMYFUNCTION("if(C$2="""","""", index(GOOGLEFINANCE($B$15,""close"",C$2,TODAY()),2,2))"),45.18)</f>
        <v>45.18</v>
      </c>
      <c r="D15" s="1">
        <f ca="1">IFERROR(__xludf.DUMMYFUNCTION("if(D$2="""","""", index(GOOGLEFINANCE($B$15,""close"",D$2,TODAY()),2,2))"),47.93)</f>
        <v>47.93</v>
      </c>
      <c r="E15" s="1">
        <f ca="1">IFERROR(__xludf.DUMMYFUNCTION("if(E$2="""","""", index(GOOGLEFINANCE($B$15,""close"",E$2,TODAY()),2,2))"),47.97)</f>
        <v>47.97</v>
      </c>
      <c r="F15" s="1">
        <f ca="1">IFERROR(__xludf.DUMMYFUNCTION("if(F$2="""","""", index(GOOGLEFINANCE($B$15,""close"",F$2,TODAY()),2,2))"),48.7)</f>
        <v>48.7</v>
      </c>
      <c r="G15" s="1">
        <f ca="1">IFERROR(__xludf.DUMMYFUNCTION("if(G$2="""","""", index(GOOGLEFINANCE($B$15,""close"",G$2,TODAY()),2,2))"),48.62)</f>
        <v>48.62</v>
      </c>
      <c r="H15" s="1">
        <f ca="1">IFERROR(__xludf.DUMMYFUNCTION("if(H$2="""","""", index(GOOGLEFINANCE($B$15,""close"",H$2,TODAY()),2,2))"),48.05)</f>
        <v>48.05</v>
      </c>
      <c r="I15" s="1">
        <f ca="1">IFERROR(__xludf.DUMMYFUNCTION("if(I$2="""","""", index(GOOGLEFINANCE($B$15,""close"",I$2,TODAY()),2,2))"),48.58)</f>
        <v>48.58</v>
      </c>
      <c r="J15" s="1">
        <f ca="1">IFERROR(__xludf.DUMMYFUNCTION("if(J$2="""","""", index(GOOGLEFINANCE($B$15,""close"",J$2,TODAY()),2,2))"),47.84)</f>
        <v>47.84</v>
      </c>
      <c r="K15" s="1">
        <f ca="1">IFERROR(__xludf.DUMMYFUNCTION("if(K$2="""","""", index(GOOGLEFINANCE($B$15,""close"",K$2,TODAY()),2,2))"),49.88)</f>
        <v>49.88</v>
      </c>
      <c r="L15" s="1">
        <f ca="1">IFERROR(__xludf.DUMMYFUNCTION("if(L$2="""","""", index(GOOGLEFINANCE($B$15,""close"",L$2,TODAY()),2,2))"),49.76)</f>
        <v>49.76</v>
      </c>
      <c r="M15" s="1">
        <f ca="1">IFERROR(__xludf.DUMMYFUNCTION("if(M$2="""","""", index(GOOGLEFINANCE($B$15,""close"",M$2,TODAY()),2,2))"),48.96)</f>
        <v>48.96</v>
      </c>
      <c r="N15" s="1">
        <f ca="1">IFERROR(__xludf.DUMMYFUNCTION("if(N$2="""","""", index(GOOGLEFINANCE($B$15,""close"",N$2,TODAY()),2,2))"),46.48)</f>
        <v>46.48</v>
      </c>
      <c r="O15" s="1">
        <f ca="1">IFERROR(__xludf.DUMMYFUNCTION("if(O$2="""","""", index(GOOGLEFINANCE($B$15,""close"",O$2,TODAY()),2,2))"),44.48)</f>
        <v>44.48</v>
      </c>
      <c r="P15" s="1">
        <f ca="1">IFERROR(__xludf.DUMMYFUNCTION("if(P$2="""","""", index(GOOGLEFINANCE($B$15,""close"",P$2,TODAY()),2,2))"),43.92)</f>
        <v>43.92</v>
      </c>
      <c r="Q15" s="1">
        <f ca="1">IFERROR(__xludf.DUMMYFUNCTION("if(Q$2="""","""", index(GOOGLEFINANCE($B$15,""close"",Q$2,TODAY()),2,2))"),44.17)</f>
        <v>44.17</v>
      </c>
      <c r="R15" s="1">
        <f ca="1">IFERROR(__xludf.DUMMYFUNCTION("if(R$2="""","""", index(GOOGLEFINANCE($B$15,""close"",R$2,TODAY()),2,2))"),44.16)</f>
        <v>44.16</v>
      </c>
      <c r="S15" s="1">
        <f ca="1">IFERROR(__xludf.DUMMYFUNCTION("if(S$2="""","""", index(GOOGLEFINANCE($B$15,""close"",S$2,TODAY()),2,2))"),44.22)</f>
        <v>44.22</v>
      </c>
      <c r="T15" s="1">
        <f ca="1">IFERROR(__xludf.DUMMYFUNCTION("if(T$2="""","""", index(GOOGLEFINANCE($B$15,""close"",T$2,TODAY()),2,2))"),43.49)</f>
        <v>43.49</v>
      </c>
      <c r="U15" s="1">
        <f ca="1">IFERROR(__xludf.DUMMYFUNCTION("if(U$2="""","""", index(GOOGLEFINANCE($B$15,""close"",U$2,TODAY()),2,2))"),42.66)</f>
        <v>42.66</v>
      </c>
      <c r="V15" s="1">
        <f ca="1">IFERROR(__xludf.DUMMYFUNCTION("if(V$2="""","""", index(GOOGLEFINANCE($B$15,""close"",V$2,TODAY()),2,2))"),43.85)</f>
        <v>43.85</v>
      </c>
      <c r="W15" s="1">
        <f ca="1">IFERROR(__xludf.DUMMYFUNCTION("if(W$2="""","""", index(GOOGLEFINANCE($B$15,""close"",W$2,TODAY()),2,2))"),44.71)</f>
        <v>44.71</v>
      </c>
      <c r="X15" s="1">
        <f ca="1">IFERROR(__xludf.DUMMYFUNCTION("if(X$2="""","""", index(GOOGLEFINANCE($B$15,""close"",X$2,TODAY()),2,2))"),45.11)</f>
        <v>45.11</v>
      </c>
      <c r="Y15" s="1">
        <f ca="1">IFERROR(__xludf.DUMMYFUNCTION("if(Y$2="""","""", index(GOOGLEFINANCE($B$15,""close"",Y$2,TODAY()),2,2))"),44.22)</f>
        <v>44.22</v>
      </c>
      <c r="Z15" s="1">
        <f ca="1">IFERROR(__xludf.DUMMYFUNCTION("if(Z$2="""","""", index(GOOGLEFINANCE($B$15,""close"",Z$2,TODAY()),2,2))"),43.31)</f>
        <v>43.31</v>
      </c>
      <c r="AA15" s="1">
        <f ca="1">IFERROR(__xludf.DUMMYFUNCTION("if(AA$2="""","""", index(GOOGLEFINANCE($B$15,""close"",AA$2,TODAY()),2,2))"),43.38)</f>
        <v>43.38</v>
      </c>
      <c r="AB15" s="1">
        <f ca="1">IFERROR(__xludf.DUMMYFUNCTION("if(AB$2="""","""", index(GOOGLEFINANCE($B$15,""close"",AB$2,TODAY()),2,2))"),44.5)</f>
        <v>44.5</v>
      </c>
      <c r="AC15" s="1">
        <f ca="1">IFERROR(__xludf.DUMMYFUNCTION("if(AC$2="""","""", index(GOOGLEFINANCE($B$15,""close"",AC$2,TODAY()),2,2))"),44.72)</f>
        <v>44.72</v>
      </c>
      <c r="AD15" s="1">
        <f ca="1">IFERROR(__xludf.DUMMYFUNCTION("if(AD$2="""","""", index(GOOGLEFINANCE($B$15,""close"",AD$2,TODAY()),2,2))"),44.06)</f>
        <v>44.06</v>
      </c>
      <c r="AE15" s="1">
        <f ca="1">IFERROR(__xludf.DUMMYFUNCTION("if(AE$2="""","""", index(GOOGLEFINANCE($B$15,""close"",AE$2,TODAY()),2,2))"),43.39)</f>
        <v>43.39</v>
      </c>
      <c r="AF15" s="1">
        <f ca="1">IFERROR(__xludf.DUMMYFUNCTION("if(AF$2="""","""", index(GOOGLEFINANCE($B$15,""close"",AF$2,TODAY()),2,2))"),42.76)</f>
        <v>42.76</v>
      </c>
      <c r="AG15" s="1">
        <f ca="1">IFERROR(__xludf.DUMMYFUNCTION("if(AG$2="""","""", index(GOOGLEFINANCE($B$15,""close"",AG$2,TODAY()),2,2))"),45.28)</f>
        <v>45.28</v>
      </c>
      <c r="AH15" s="1">
        <f ca="1">IFERROR(__xludf.DUMMYFUNCTION("if(AH$2="""","""", index(GOOGLEFINANCE($B$15,""close"",AH$2,TODAY()),2,2))"),45.22)</f>
        <v>45.22</v>
      </c>
      <c r="AI15" s="1">
        <f ca="1">IFERROR(__xludf.DUMMYFUNCTION("if(AI$2="""","""", index(GOOGLEFINANCE($B$15,""close"",AI$2,TODAY()),2,2))"),44.62)</f>
        <v>44.62</v>
      </c>
      <c r="AJ15" s="1">
        <f ca="1">IFERROR(__xludf.DUMMYFUNCTION("if(AJ$2="""","""", index(GOOGLEFINANCE($B$15,""close"",AJ$2,TODAY()),2,2))"),43.56)</f>
        <v>43.56</v>
      </c>
      <c r="AK15" s="1">
        <f ca="1">IFERROR(__xludf.DUMMYFUNCTION("if(AK$2="""","""", index(GOOGLEFINANCE($B$15,""close"",AK$2,TODAY()),2,2))"),42.38)</f>
        <v>42.38</v>
      </c>
      <c r="AL15" s="1">
        <f ca="1">IFERROR(__xludf.DUMMYFUNCTION("if(AL$2="""","""", index(GOOGLEFINANCE($B$15,""close"",AL$2,TODAY()),2,2))"),42.31)</f>
        <v>42.31</v>
      </c>
      <c r="AM15" s="1">
        <f ca="1">IFERROR(__xludf.DUMMYFUNCTION("if(AM$2="""","""", index(GOOGLEFINANCE($B$15,""close"",AM$2,TODAY()),2,2))"),41.1)</f>
        <v>41.1</v>
      </c>
      <c r="AN15" s="1">
        <f ca="1">IFERROR(__xludf.DUMMYFUNCTION("if(AN$2="""","""", index(GOOGLEFINANCE($B$15,""close"",AN$2,TODAY()),2,2))"),42.15)</f>
        <v>42.15</v>
      </c>
      <c r="AO15" s="1">
        <f ca="1">IFERROR(__xludf.DUMMYFUNCTION("if(AO$2="""","""", index(GOOGLEFINANCE($B$15,""close"",AO$2,TODAY()),2,2))"),41.01)</f>
        <v>41.01</v>
      </c>
      <c r="AP15" s="1">
        <f ca="1">IFERROR(__xludf.DUMMYFUNCTION("if(AP$2="""","""", index(GOOGLEFINANCE($B$15,""close"",AP$2,TODAY()),2,2))"),38.83)</f>
        <v>38.83</v>
      </c>
      <c r="AQ15" s="1">
        <f ca="1">IFERROR(__xludf.DUMMYFUNCTION("if(AQ$2="""","""", index(GOOGLEFINANCE($B$15,""close"",AQ$2,TODAY()),2,2))"),40.62)</f>
        <v>40.619999999999997</v>
      </c>
      <c r="AR15" s="1">
        <f ca="1">IFERROR(__xludf.DUMMYFUNCTION("if(AR$2="""","""", index(GOOGLEFINANCE($B$15,""close"",AR$2,TODAY()),2,2))"),39.91)</f>
        <v>39.909999999999997</v>
      </c>
      <c r="AS15" s="1">
        <f ca="1">IFERROR(__xludf.DUMMYFUNCTION("if(AS$2="""","""", index(GOOGLEFINANCE($B$15,""close"",AS$2,TODAY()),2,2))"),36.93)</f>
        <v>36.93</v>
      </c>
      <c r="AT15" s="1">
        <f ca="1">IFERROR(__xludf.DUMMYFUNCTION("if(AT$2="""","""", index(GOOGLEFINANCE($B$15,""close"",AT$2,TODAY()),2,2))"),35.02)</f>
        <v>35.020000000000003</v>
      </c>
      <c r="AU15" s="1">
        <f ca="1">IFERROR(__xludf.DUMMYFUNCTION("if(AU$2="""","""", index(GOOGLEFINANCE($B$15,""close"",AU$2,TODAY()),2,2))"),36.12)</f>
        <v>36.119999999999997</v>
      </c>
      <c r="AV15" s="1">
        <f ca="1">IFERROR(__xludf.DUMMYFUNCTION("if(AV$2="""","""", index(GOOGLEFINANCE($B$15,""close"",AV$2,TODAY()),2,2))"),37.46)</f>
        <v>37.46</v>
      </c>
      <c r="AW15" s="1">
        <f ca="1">IFERROR(__xludf.DUMMYFUNCTION("if(AW$2="""","""", index(GOOGLEFINANCE($B$15,""close"",AW$2,TODAY()),2,2))"),36.72)</f>
        <v>36.72</v>
      </c>
      <c r="AX15" s="1">
        <f ca="1">IFERROR(__xludf.DUMMYFUNCTION("if(AX$2="""","""", index(GOOGLEFINANCE($B$15,""close"",AX$2,TODAY()),2,2))"),36.32)</f>
        <v>36.32</v>
      </c>
      <c r="AY15" s="1">
        <f ca="1">IFERROR(__xludf.DUMMYFUNCTION("if(AY$2="""","""", index(GOOGLEFINANCE($B$15,""close"",AY$2,TODAY()),2,2))"),36.31)</f>
        <v>36.31</v>
      </c>
      <c r="AZ15" s="1">
        <f ca="1">IFERROR(__xludf.DUMMYFUNCTION("if(AZ$2="""","""", index(GOOGLEFINANCE($B$15,""close"",AZ$2,TODAY()),2,2))"),36.52)</f>
        <v>36.520000000000003</v>
      </c>
      <c r="BA15" s="1">
        <f ca="1">IFERROR(__xludf.DUMMYFUNCTION("if(BA$2="""","""", index(GOOGLEFINANCE($B$15,""close"",BA$2,TODAY()),2,2))"),38.16)</f>
        <v>38.159999999999997</v>
      </c>
      <c r="BB15" s="1">
        <f ca="1">IFERROR(__xludf.DUMMYFUNCTION("if(BB$2="""","""", index(GOOGLEFINANCE($B$15,""close"",BB$2,TODAY()),2,2))"),38.35)</f>
        <v>38.35</v>
      </c>
      <c r="BC15" s="1">
        <f ca="1">IFERROR(__xludf.DUMMYFUNCTION("if(BC$2="""","""", index(GOOGLEFINANCE($B$15,""close"",BC$2,TODAY()),2,2))"),38.62)</f>
        <v>38.619999999999997</v>
      </c>
      <c r="BD15" s="1">
        <f ca="1">IFERROR(__xludf.DUMMYFUNCTION("if(BD$2="""","""", index(GOOGLEFINANCE($B$15,""close"",BD$2,TODAY()),2,2))"),38.38)</f>
        <v>38.380000000000003</v>
      </c>
      <c r="BE15" s="1">
        <f ca="1">IFERROR(__xludf.DUMMYFUNCTION("if(BE$2="""","""", index(GOOGLEFINANCE($B$15,""close"",BE$2,TODAY()),2,2))"),38.45)</f>
        <v>38.450000000000003</v>
      </c>
      <c r="BF15" s="1">
        <f ca="1">IFERROR(__xludf.DUMMYFUNCTION("if(BF$2="""","""", index(GOOGLEFINANCE($B$15,""close"",BF$2,TODAY()),2,2))"),37.41)</f>
        <v>37.409999999999997</v>
      </c>
      <c r="BG15" s="1">
        <f ca="1">IFERROR(__xludf.DUMMYFUNCTION("if(BG$2="""","""", index(GOOGLEFINANCE($B$15,""close"",BG$2,TODAY()),2,2))"),38.52)</f>
        <v>38.520000000000003</v>
      </c>
      <c r="BH15" s="1">
        <f ca="1">IFERROR(__xludf.DUMMYFUNCTION("if(BH$2="""","""", index(GOOGLEFINANCE($B$15,""close"",BH$2,TODAY()),2,2))"),38.59)</f>
        <v>38.590000000000003</v>
      </c>
      <c r="BI15" s="1">
        <f ca="1">IFERROR(__xludf.DUMMYFUNCTION("if(BI$2="""","""", index(GOOGLEFINANCE($B$15,""close"",BI$2,TODAY()),2,2))"),38.57)</f>
        <v>38.57</v>
      </c>
      <c r="BJ15" s="1">
        <f ca="1">IFERROR(__xludf.DUMMYFUNCTION("if(BJ$2="""","""", index(GOOGLEFINANCE($B$15,""close"",BJ$2,TODAY()),2,2))"),40.08)</f>
        <v>40.08</v>
      </c>
      <c r="BK15" s="1">
        <f ca="1">IFERROR(__xludf.DUMMYFUNCTION("if(BK$2="""","""", index(GOOGLEFINANCE($B$15,""close"",BK$2,TODAY()),2,2))"),39.62)</f>
        <v>39.619999999999997</v>
      </c>
      <c r="BL15" s="1">
        <f ca="1">IFERROR(__xludf.DUMMYFUNCTION("if(BL$2="""","""", index(GOOGLEFINANCE($B$15,""close"",BL$2,TODAY()),2,2))"),38.9)</f>
        <v>38.9</v>
      </c>
      <c r="BM15" s="1">
        <f ca="1">IFERROR(__xludf.DUMMYFUNCTION("if(BM$2="""","""", index(GOOGLEFINANCE($B$15,""close"",BM$2,TODAY()),2,2))"),39.36)</f>
        <v>39.36</v>
      </c>
      <c r="BN15" s="1">
        <f ca="1">IFERROR(__xludf.DUMMYFUNCTION("if(BN$2="""","""", index(GOOGLEFINANCE($B$15,""close"",BN$2,TODAY()),2,2))"),38.79)</f>
        <v>38.79</v>
      </c>
      <c r="BO15" s="1">
        <f ca="1">IFERROR(__xludf.DUMMYFUNCTION("if(BO$2="""","""", index(GOOGLEFINANCE($B$15,""close"",BO$2,TODAY()),2,2))"),37.08)</f>
        <v>37.08</v>
      </c>
      <c r="BP15" s="1">
        <f ca="1">IFERROR(__xludf.DUMMYFUNCTION("if(BP$2="""","""", index(GOOGLEFINANCE($B$15,""close"",BP$2,TODAY()),2,2))"),37.22)</f>
        <v>37.22</v>
      </c>
      <c r="BQ15" s="1">
        <f ca="1">IFERROR(__xludf.DUMMYFUNCTION("if(BQ$2="""","""", index(GOOGLEFINANCE($B$15,""close"",BQ$2,TODAY()),2,2))"),36.34)</f>
        <v>36.340000000000003</v>
      </c>
      <c r="BR15" s="1">
        <f ca="1">IFERROR(__xludf.DUMMYFUNCTION("if(BR$2="""","""", index(GOOGLEFINANCE($B$15,""close"",BR$2,TODAY()),2,2))"),36.41)</f>
        <v>36.409999999999997</v>
      </c>
      <c r="BS15" s="1">
        <f ca="1">IFERROR(__xludf.DUMMYFUNCTION("if(BS$2="""","""", index(GOOGLEFINANCE($B$15,""close"",BS$2,TODAY()),2,2))"),36.85)</f>
        <v>36.85</v>
      </c>
      <c r="BT15" s="1">
        <f ca="1">IFERROR(__xludf.DUMMYFUNCTION("if(BT$2="""","""", index(GOOGLEFINANCE($B$15,""close"",BT$2,TODAY()),2,2))"),37.06)</f>
        <v>37.06</v>
      </c>
      <c r="BU15" s="1">
        <f ca="1">IFERROR(__xludf.DUMMYFUNCTION("if(BU$2="""","""", index(GOOGLEFINANCE($B$15,""close"",BU$2,TODAY()),2,2))"),36.85)</f>
        <v>36.85</v>
      </c>
      <c r="BV15" s="1">
        <f ca="1">IFERROR(__xludf.DUMMYFUNCTION("if(BV$2="""","""", index(GOOGLEFINANCE($B$15,""close"",BV$2,TODAY()),2,2))"),37.01)</f>
        <v>37.01</v>
      </c>
      <c r="BW15" s="1">
        <f ca="1">IFERROR(__xludf.DUMMYFUNCTION("if(BW$2="""","""", index(GOOGLEFINANCE($B$15,""close"",BW$2,TODAY()),2,2))"),37.29)</f>
        <v>37.29</v>
      </c>
      <c r="BX15" s="1">
        <f ca="1">IFERROR(__xludf.DUMMYFUNCTION("if(BX$2="""","""", index(GOOGLEFINANCE($B$15,""close"",BX$2,TODAY()),2,2))"),38.43)</f>
        <v>38.43</v>
      </c>
      <c r="BY15" s="1">
        <f ca="1">IFERROR(__xludf.DUMMYFUNCTION("if(BY$2="""","""", index(GOOGLEFINANCE($B$15,""close"",BY$2,TODAY()),2,2))"),38.76)</f>
        <v>38.76</v>
      </c>
      <c r="BZ15" s="1">
        <f ca="1">IFERROR(__xludf.DUMMYFUNCTION("if(BZ$2="""","""", index(GOOGLEFINANCE($B$15,""close"",BZ$2,TODAY()),2,2))"),38.74)</f>
        <v>38.74</v>
      </c>
      <c r="CA15" s="1">
        <f ca="1">IFERROR(__xludf.DUMMYFUNCTION("if(CA$2="""","""", index(GOOGLEFINANCE($B$15,""close"",CA$2,TODAY()),2,2))"),37.86)</f>
        <v>37.86</v>
      </c>
      <c r="CB15" s="1">
        <f ca="1">IFERROR(__xludf.DUMMYFUNCTION("if(CB$2="""","""", index(GOOGLEFINANCE($B$15,""close"",CB$2,TODAY()),2,2))"),37.72)</f>
        <v>37.72</v>
      </c>
      <c r="CC15" s="1">
        <f ca="1">IFERROR(__xludf.DUMMYFUNCTION("if(CC$2="""","""", index(GOOGLEFINANCE($B$15,""close"",CC$2,TODAY()),2,2))"),35.93)</f>
        <v>35.93</v>
      </c>
      <c r="CD15" s="1">
        <f ca="1">IFERROR(__xludf.DUMMYFUNCTION("if(CD$2="""","""", index(GOOGLEFINANCE($B$15,""close"",CD$2,TODAY()),2,2))"),36.72)</f>
        <v>36.72</v>
      </c>
      <c r="CE15" s="1">
        <f ca="1">IFERROR(__xludf.DUMMYFUNCTION("if(CE$2="""","""", index(GOOGLEFINANCE($B$15,""close"",CE$2,TODAY()),2,2))"),37.59)</f>
        <v>37.590000000000003</v>
      </c>
      <c r="CF15" s="1">
        <f ca="1">IFERROR(__xludf.DUMMYFUNCTION("if(CF$2="""","""", index(GOOGLEFINANCE($B$15,""close"",CF$2,TODAY()),2,2))"),36.83)</f>
        <v>36.83</v>
      </c>
      <c r="CG15" s="1">
        <f ca="1">IFERROR(__xludf.DUMMYFUNCTION("if(CG$2="""","""", index(GOOGLEFINANCE($B$15,""close"",CG$2,TODAY()),2,2))"),37.33)</f>
        <v>37.33</v>
      </c>
      <c r="CH15" s="1">
        <f ca="1">IFERROR(__xludf.DUMMYFUNCTION("if(CH$2="""","""", index(GOOGLEFINANCE($B$15,""close"",CH$2,TODAY()),2,2))"),38.14)</f>
        <v>38.14</v>
      </c>
      <c r="CI15" s="1">
        <f ca="1">IFERROR(__xludf.DUMMYFUNCTION("if(CI$2="""","""", index(GOOGLEFINANCE($B$15,""close"",CI$2,TODAY()),2,2))"),38.98)</f>
        <v>38.979999999999997</v>
      </c>
      <c r="CJ15" s="1" t="str">
        <f ca="1">IFERROR(__xludf.DUMMYFUNCTION("if(CJ$2="""","""", index(GOOGLEFINANCE($B$15,""close"",CJ$2,TODAY()),2,2))"),"")</f>
        <v/>
      </c>
      <c r="CK15" s="1" t="str">
        <f ca="1">IFERROR(__xludf.DUMMYFUNCTION("if(CK$2="""","""", index(GOOGLEFINANCE($B$15,""close"",CK$2,TODAY()),2,2))"),"")</f>
        <v/>
      </c>
      <c r="CL15" s="1" t="str">
        <f ca="1">IFERROR(__xludf.DUMMYFUNCTION("if(CL$2="""","""", index(GOOGLEFINANCE($B$15,""close"",CL$2,TODAY()),2,2))"),"")</f>
        <v/>
      </c>
      <c r="CM15" s="1" t="str">
        <f ca="1">IFERROR(__xludf.DUMMYFUNCTION("if(CM$2="""","""", index(GOOGLEFINANCE($B$15,""close"",CM$2,TODAY()),2,2))"),"")</f>
        <v/>
      </c>
      <c r="CN15" s="1" t="str">
        <f ca="1">IFERROR(__xludf.DUMMYFUNCTION("if(CN$2="""","""", index(GOOGLEFINANCE($B$15,""close"",CN$2,TODAY()),2,2))"),"")</f>
        <v/>
      </c>
      <c r="CO15" s="1" t="str">
        <f ca="1">IFERROR(__xludf.DUMMYFUNCTION("if(CO$2="""","""", index(GOOGLEFINANCE($B$15,""close"",CO$2,TODAY()),2,2))"),"")</f>
        <v/>
      </c>
      <c r="CP15" s="1" t="str">
        <f ca="1">IFERROR(__xludf.DUMMYFUNCTION("if(CP$2="""","""", index(GOOGLEFINANCE($B$15,""close"",CP$2,TODAY()),2,2))"),"")</f>
        <v/>
      </c>
      <c r="CQ15" s="1" t="str">
        <f ca="1">IFERROR(__xludf.DUMMYFUNCTION("if(CQ$2="""","""", index(GOOGLEFINANCE($B$15,""close"",CQ$2,TODAY()),2,2))"),"")</f>
        <v/>
      </c>
      <c r="CR15" s="1" t="str">
        <f ca="1">IFERROR(__xludf.DUMMYFUNCTION("if(CR$2="""","""", index(GOOGLEFINANCE($B$15,""close"",CR$2,TODAY()),2,2))"),"")</f>
        <v/>
      </c>
      <c r="CS15" s="1" t="str">
        <f ca="1">IFERROR(__xludf.DUMMYFUNCTION("if(CS$2="""","""", index(GOOGLEFINANCE($B$15,""close"",CS$2,TODAY()),2,2))"),"")</f>
        <v/>
      </c>
      <c r="CT15" s="1" t="str">
        <f ca="1">IFERROR(__xludf.DUMMYFUNCTION("if(CT$2="""","""", index(GOOGLEFINANCE($B$15,""close"",CT$2,TODAY()),2,2))"),"")</f>
        <v/>
      </c>
      <c r="CU15" s="1" t="str">
        <f ca="1">IFERROR(__xludf.DUMMYFUNCTION("if(CU$2="""","""", index(GOOGLEFINANCE($B$15,""close"",CU$2,TODAY()),2,2))"),"")</f>
        <v/>
      </c>
      <c r="CV15" s="1" t="str">
        <f ca="1">IFERROR(__xludf.DUMMYFUNCTION("if(CV$2="""","""", index(GOOGLEFINANCE($B$15,""close"",CV$2,TODAY()),2,2))"),"")</f>
        <v/>
      </c>
      <c r="CW15" s="1" t="str">
        <f ca="1">IFERROR(__xludf.DUMMYFUNCTION("if(CW$2="""","""", index(GOOGLEFINANCE($B$15,""close"",CW$2,TODAY()),2,2))"),"")</f>
        <v/>
      </c>
      <c r="CX15" s="1" t="str">
        <f ca="1">IFERROR(__xludf.DUMMYFUNCTION("if(CX$2="""","""", index(GOOGLEFINANCE($B$15,""close"",CX$2,TODAY()),2,2))"),"")</f>
        <v/>
      </c>
      <c r="CY15" s="1" t="str">
        <f ca="1">IFERROR(__xludf.DUMMYFUNCTION("if(CY$2="""","""", index(GOOGLEFINANCE($B$15,""close"",CY$2,TODAY()),2,2))"),"")</f>
        <v/>
      </c>
      <c r="CZ15" s="1" t="str">
        <f ca="1">IFERROR(__xludf.DUMMYFUNCTION("if(CZ$2="""","""", index(GOOGLEFINANCE($B$15,""close"",CZ$2,TODAY()),2,2))"),"")</f>
        <v/>
      </c>
      <c r="DA15" s="1" t="str">
        <f ca="1">IFERROR(__xludf.DUMMYFUNCTION("if(DA$2="""","""", index(GOOGLEFINANCE($B$15,""close"",DA$2,TODAY()),2,2))"),"")</f>
        <v/>
      </c>
      <c r="DB15" s="1" t="str">
        <f ca="1">IFERROR(__xludf.DUMMYFUNCTION("if(DB$2="""","""", index(GOOGLEFINANCE($B$15,""close"",DB$2,TODAY()),2,2))"),"")</f>
        <v/>
      </c>
      <c r="DC15" s="1" t="str">
        <f ca="1">IFERROR(__xludf.DUMMYFUNCTION("if(DC$2="""","""", index(GOOGLEFINANCE($B$15,""close"",DC$2,TODAY()),2,2))"),"")</f>
        <v/>
      </c>
      <c r="DD15" s="1" t="str">
        <f ca="1">IFERROR(__xludf.DUMMYFUNCTION("if(DD$2="""","""", index(GOOGLEFINANCE($B$15,""close"",DD$2,TODAY()),2,2))"),"")</f>
        <v/>
      </c>
      <c r="DE15" s="1" t="str">
        <f ca="1">IFERROR(__xludf.DUMMYFUNCTION("if(DE$2="""","""", index(GOOGLEFINANCE($B$15,""close"",DE$2,TODAY()),2,2))"),"")</f>
        <v/>
      </c>
      <c r="DF15" s="1" t="str">
        <f ca="1">IFERROR(__xludf.DUMMYFUNCTION("if(DF$2="""","""", index(GOOGLEFINANCE($B$15,""close"",DF$2,TODAY()),2,2))"),"")</f>
        <v/>
      </c>
      <c r="DG15" s="1" t="str">
        <f ca="1">IFERROR(__xludf.DUMMYFUNCTION("if(DG$2="""","""", index(GOOGLEFINANCE($B$15,""close"",DG$2,TODAY()),2,2))"),"")</f>
        <v/>
      </c>
      <c r="DH15" s="1" t="str">
        <f ca="1">IFERROR(__xludf.DUMMYFUNCTION("if(DH$2="""","""", index(GOOGLEFINANCE($B$15,""close"",DH$2,TODAY()),2,2))"),"")</f>
        <v/>
      </c>
      <c r="DI15" s="1" t="str">
        <f ca="1">IFERROR(__xludf.DUMMYFUNCTION("if(DI$2="""","""", index(GOOGLEFINANCE($B$15,""close"",DI$2,TODAY()),2,2))"),"")</f>
        <v/>
      </c>
      <c r="DJ15" s="1" t="str">
        <f ca="1">IFERROR(__xludf.DUMMYFUNCTION("if(DJ$2="""","""", index(GOOGLEFINANCE($B$15,""close"",DJ$2,TODAY()),2,2))"),"")</f>
        <v/>
      </c>
      <c r="DK15" s="1" t="str">
        <f ca="1">IFERROR(__xludf.DUMMYFUNCTION("if(DK$2="""","""", index(GOOGLEFINANCE($B$15,""close"",DK$2,TODAY()),2,2))"),"")</f>
        <v/>
      </c>
      <c r="DL15" s="1" t="str">
        <f ca="1">IFERROR(__xludf.DUMMYFUNCTION("if(DL$2="""","""", index(GOOGLEFINANCE($B$15,""close"",DL$2,TODAY()),2,2))"),"")</f>
        <v/>
      </c>
      <c r="DM15" s="1" t="str">
        <f ca="1">IFERROR(__xludf.DUMMYFUNCTION("if(DM$2="""","""", index(GOOGLEFINANCE($B$15,""close"",DM$2,TODAY()),2,2))"),"")</f>
        <v/>
      </c>
      <c r="DN15" s="1" t="str">
        <f ca="1">IFERROR(__xludf.DUMMYFUNCTION("if(DN$2="""","""", index(GOOGLEFINANCE($B$15,""close"",DN$2,TODAY()),2,2))"),"")</f>
        <v/>
      </c>
      <c r="DO15" s="1" t="str">
        <f ca="1">IFERROR(__xludf.DUMMYFUNCTION("if(DO$2="""","""", index(GOOGLEFINANCE($B$15,""close"",DO$2,TODAY()),2,2))"),"")</f>
        <v/>
      </c>
      <c r="DP15" s="1" t="str">
        <f ca="1">IFERROR(__xludf.DUMMYFUNCTION("if(DP$2="""","""", index(GOOGLEFINANCE($B$15,""close"",DP$2,TODAY()),2,2))"),"")</f>
        <v/>
      </c>
      <c r="DQ15" s="1" t="str">
        <f ca="1">IFERROR(__xludf.DUMMYFUNCTION("if(DQ$2="""","""", index(GOOGLEFINANCE($B$15,""close"",DQ$2,TODAY()),2,2))"),"")</f>
        <v/>
      </c>
      <c r="DR15" s="1" t="str">
        <f ca="1">IFERROR(__xludf.DUMMYFUNCTION("if(DR$2="""","""", index(GOOGLEFINANCE($B$15,""close"",DR$2,TODAY()),2,2))"),"")</f>
        <v/>
      </c>
      <c r="DS15" s="1" t="str">
        <f ca="1">IFERROR(__xludf.DUMMYFUNCTION("if(DS$2="""","""", index(GOOGLEFINANCE($B$15,""close"",DS$2,TODAY()),2,2))"),"")</f>
        <v/>
      </c>
      <c r="DT15" s="1" t="str">
        <f ca="1">IFERROR(__xludf.DUMMYFUNCTION("if(DT$2="""","""", index(GOOGLEFINANCE($B$15,""close"",DT$2,TODAY()),2,2))"),"")</f>
        <v/>
      </c>
      <c r="DU15" s="1" t="str">
        <f ca="1">IFERROR(__xludf.DUMMYFUNCTION("if(DU$2="""","""", index(GOOGLEFINANCE($B$15,""close"",DU$2,TODAY()),2,2))"),"")</f>
        <v/>
      </c>
      <c r="DV15" s="1" t="str">
        <f ca="1">IFERROR(__xludf.DUMMYFUNCTION("if(DV$2="""","""", index(GOOGLEFINANCE($B$15,""close"",DV$2,TODAY()),2,2))"),"")</f>
        <v/>
      </c>
      <c r="DW15" s="1" t="str">
        <f ca="1">IFERROR(__xludf.DUMMYFUNCTION("if(DW$2="""","""", index(GOOGLEFINANCE($B$15,""close"",DW$2,TODAY()),2,2))"),"")</f>
        <v/>
      </c>
      <c r="DX15" s="1" t="str">
        <f ca="1">IFERROR(__xludf.DUMMYFUNCTION("if(DX$2="""","""", index(GOOGLEFINANCE($B$15,""close"",DX$2,TODAY()),2,2))"),"")</f>
        <v/>
      </c>
      <c r="DY15" s="1" t="str">
        <f ca="1">IFERROR(__xludf.DUMMYFUNCTION("if(DY$2="""","""", index(GOOGLEFINANCE($B$15,""close"",DY$2,TODAY()),2,2))"),"")</f>
        <v/>
      </c>
      <c r="DZ15" s="1" t="str">
        <f ca="1">IFERROR(__xludf.DUMMYFUNCTION("if(DZ$2="""","""", index(GOOGLEFINANCE($B$15,""close"",DZ$2,TODAY()),2,2))"),"")</f>
        <v/>
      </c>
      <c r="EA15" s="1" t="str">
        <f ca="1">IFERROR(__xludf.DUMMYFUNCTION("if(EA$2="""","""", index(GOOGLEFINANCE($B$15,""close"",EA$2,TODAY()),2,2))"),"")</f>
        <v/>
      </c>
      <c r="EB15" s="1" t="str">
        <f ca="1">IFERROR(__xludf.DUMMYFUNCTION("if(EB$2="""","""", index(GOOGLEFINANCE($B$15,""close"",EB$2,TODAY()),2,2))"),"")</f>
        <v/>
      </c>
      <c r="EC15" s="1" t="str">
        <f ca="1">IFERROR(__xludf.DUMMYFUNCTION("if(EC$2="""","""", index(GOOGLEFINANCE($B$15,""close"",EC$2,TODAY()),2,2))"),"")</f>
        <v/>
      </c>
      <c r="ED15" s="1" t="str">
        <f ca="1">IFERROR(__xludf.DUMMYFUNCTION("if(ED$2="""","""", index(GOOGLEFINANCE($B$15,""close"",ED$2,TODAY()),2,2))"),"")</f>
        <v/>
      </c>
      <c r="EE15" s="1" t="str">
        <f ca="1">IFERROR(__xludf.DUMMYFUNCTION("if(EE$2="""","""", index(GOOGLEFINANCE($B$15,""close"",EE$2,TODAY()),2,2))"),"")</f>
        <v/>
      </c>
      <c r="EF15" s="1" t="str">
        <f ca="1">IFERROR(__xludf.DUMMYFUNCTION("if(EF$2="""","""", index(GOOGLEFINANCE($B$15,""close"",EF$2,TODAY()),2,2))"),"")</f>
        <v/>
      </c>
      <c r="EG15" s="1" t="str">
        <f ca="1">IFERROR(__xludf.DUMMYFUNCTION("if(EG$2="""","""", index(GOOGLEFINANCE($B$15,""close"",EG$2,TODAY()),2,2))"),"")</f>
        <v/>
      </c>
      <c r="EH15" s="1" t="str">
        <f ca="1">IFERROR(__xludf.DUMMYFUNCTION("if(EH$2="""","""", index(GOOGLEFINANCE($B$15,""close"",EH$2,TODAY()),2,2))"),"")</f>
        <v/>
      </c>
      <c r="EI15" s="1" t="str">
        <f ca="1">IFERROR(__xludf.DUMMYFUNCTION("if(EI$2="""","""", index(GOOGLEFINANCE($B$15,""close"",EI$2,TODAY()),2,2))"),"")</f>
        <v/>
      </c>
      <c r="EJ15" s="1" t="str">
        <f ca="1">IFERROR(__xludf.DUMMYFUNCTION("if(EJ$2="""","""", index(GOOGLEFINANCE($B$15,""close"",EJ$2,TODAY()),2,2))"),"")</f>
        <v/>
      </c>
      <c r="EK15" s="1" t="str">
        <f ca="1">IFERROR(__xludf.DUMMYFUNCTION("if(EK$2="""","""", index(GOOGLEFINANCE($B$15,""close"",EK$2,TODAY()),2,2))"),"")</f>
        <v/>
      </c>
      <c r="EL15" s="1" t="str">
        <f ca="1">IFERROR(__xludf.DUMMYFUNCTION("if(EL$2="""","""", index(GOOGLEFINANCE($B$15,""close"",EL$2,TODAY()),2,2))"),"")</f>
        <v/>
      </c>
      <c r="EM15" s="1" t="str">
        <f ca="1">IFERROR(__xludf.DUMMYFUNCTION("if(EM$2="""","""", index(GOOGLEFINANCE($B$15,""close"",EM$2,TODAY()),2,2))"),"")</f>
        <v/>
      </c>
      <c r="EN15" s="1" t="str">
        <f ca="1">IFERROR(__xludf.DUMMYFUNCTION("if(EN$2="""","""", index(GOOGLEFINANCE($B$15,""close"",EN$2,TODAY()),2,2))"),"")</f>
        <v/>
      </c>
      <c r="EO15" s="1" t="str">
        <f ca="1">IFERROR(__xludf.DUMMYFUNCTION("if(EO$2="""","""", index(GOOGLEFINANCE($B$15,""close"",EO$2,TODAY()),2,2))"),"")</f>
        <v/>
      </c>
      <c r="EP15" s="1" t="str">
        <f ca="1">IFERROR(__xludf.DUMMYFUNCTION("if(EP$2="""","""", index(GOOGLEFINANCE($B$15,""close"",EP$2,TODAY()),2,2))"),"")</f>
        <v/>
      </c>
      <c r="EQ15" s="1" t="str">
        <f ca="1">IFERROR(__xludf.DUMMYFUNCTION("if(EQ$2="""","""", index(GOOGLEFINANCE($B$15,""close"",EQ$2,TODAY()),2,2))"),"")</f>
        <v/>
      </c>
      <c r="ER15" s="1" t="str">
        <f ca="1">IFERROR(__xludf.DUMMYFUNCTION("if(ER$2="""","""", index(GOOGLEFINANCE($B$15,""close"",ER$2,TODAY()),2,2))"),"")</f>
        <v/>
      </c>
      <c r="ES15" s="1" t="str">
        <f ca="1">IFERROR(__xludf.DUMMYFUNCTION("if(ES$2="""","""", index(GOOGLEFINANCE($B$15,""close"",ES$2,TODAY()),2,2))"),"")</f>
        <v/>
      </c>
      <c r="ET15" s="1" t="str">
        <f ca="1">IFERROR(__xludf.DUMMYFUNCTION("if(ET$2="""","""", index(GOOGLEFINANCE($B$15,""close"",ET$2,TODAY()),2,2))"),"")</f>
        <v/>
      </c>
      <c r="EU15" s="1" t="str">
        <f ca="1">IFERROR(__xludf.DUMMYFUNCTION("if(EU$2="""","""", index(GOOGLEFINANCE($B$15,""close"",EU$2,TODAY()),2,2))"),"")</f>
        <v/>
      </c>
      <c r="EV15" s="1" t="str">
        <f ca="1">IFERROR(__xludf.DUMMYFUNCTION("if(EV$2="""","""", index(GOOGLEFINANCE($B$15,""close"",EV$2,TODAY()),2,2))"),"")</f>
        <v/>
      </c>
      <c r="EW15" s="1" t="str">
        <f ca="1">IFERROR(__xludf.DUMMYFUNCTION("if(EW$2="""","""", index(GOOGLEFINANCE($B$15,""close"",EW$2,TODAY()),2,2))"),"")</f>
        <v/>
      </c>
      <c r="EX15" s="1" t="str">
        <f ca="1">IFERROR(__xludf.DUMMYFUNCTION("if(EX$2="""","""", index(GOOGLEFINANCE($B$15,""close"",EX$2,TODAY()),2,2))"),"")</f>
        <v/>
      </c>
      <c r="EY15" s="1" t="str">
        <f ca="1">IFERROR(__xludf.DUMMYFUNCTION("if(EY$2="""","""", index(GOOGLEFINANCE($B$15,""close"",EY$2,TODAY()),2,2))"),"")</f>
        <v/>
      </c>
      <c r="EZ15" s="1" t="str">
        <f ca="1">IFERROR(__xludf.DUMMYFUNCTION("if(EZ$2="""","""", index(GOOGLEFINANCE($B$15,""close"",EZ$2,TODAY()),2,2))"),"")</f>
        <v/>
      </c>
      <c r="FA15" s="1" t="str">
        <f ca="1">IFERROR(__xludf.DUMMYFUNCTION("if(FA$2="""","""", index(GOOGLEFINANCE($B$15,""close"",FA$2,TODAY()),2,2))"),"")</f>
        <v/>
      </c>
      <c r="FB15" s="1" t="str">
        <f ca="1">IFERROR(__xludf.DUMMYFUNCTION("if(FB$2="""","""", index(GOOGLEFINANCE($B$15,""close"",FB$2,TODAY()),2,2))"),"")</f>
        <v/>
      </c>
      <c r="FC15" s="1" t="str">
        <f ca="1">IFERROR(__xludf.DUMMYFUNCTION("if(FC$2="""","""", index(GOOGLEFINANCE($B$15,""close"",FC$2,TODAY()),2,2))"),"")</f>
        <v/>
      </c>
      <c r="FD15" s="1" t="str">
        <f ca="1">IFERROR(__xludf.DUMMYFUNCTION("if(FD$2="""","""", index(GOOGLEFINANCE($B$15,""close"",FD$2,TODAY()),2,2))"),"")</f>
        <v/>
      </c>
      <c r="FE15" s="1" t="str">
        <f ca="1">IFERROR(__xludf.DUMMYFUNCTION("if(FE$2="""","""", index(GOOGLEFINANCE($B$15,""close"",FE$2,TODAY()),2,2))"),"")</f>
        <v/>
      </c>
      <c r="FF15" s="1" t="str">
        <f ca="1">IFERROR(__xludf.DUMMYFUNCTION("if(FF$2="""","""", index(GOOGLEFINANCE($B$15,""close"",FF$2,TODAY()),2,2))"),"")</f>
        <v/>
      </c>
      <c r="FG15" s="1" t="str">
        <f ca="1">IFERROR(__xludf.DUMMYFUNCTION("if(FG$2="""","""", index(GOOGLEFINANCE($B$15,""close"",FG$2,TODAY()),2,2))"),"")</f>
        <v/>
      </c>
      <c r="FH15" s="1" t="str">
        <f ca="1">IFERROR(__xludf.DUMMYFUNCTION("if(FH$2="""","""", index(GOOGLEFINANCE($B$15,""close"",FH$2,TODAY()),2,2))"),"")</f>
        <v/>
      </c>
      <c r="FI15" s="1" t="str">
        <f ca="1">IFERROR(__xludf.DUMMYFUNCTION("if(FI$2="""","""", index(GOOGLEFINANCE($B$15,""close"",FI$2,TODAY()),2,2))"),"")</f>
        <v/>
      </c>
      <c r="FJ15" s="1" t="str">
        <f ca="1">IFERROR(__xludf.DUMMYFUNCTION("if(FJ$2="""","""", index(GOOGLEFINANCE($B$15,""close"",FJ$2,TODAY()),2,2))"),"")</f>
        <v/>
      </c>
      <c r="FK15" s="1" t="str">
        <f ca="1">IFERROR(__xludf.DUMMYFUNCTION("if(FK$2="""","""", index(GOOGLEFINANCE($B$15,""close"",FK$2,TODAY()),2,2))"),"")</f>
        <v/>
      </c>
      <c r="FL15" s="1" t="str">
        <f ca="1">IFERROR(__xludf.DUMMYFUNCTION("if(FL$2="""","""", index(GOOGLEFINANCE($B$15,""close"",FL$2,TODAY()),2,2))"),"")</f>
        <v/>
      </c>
      <c r="FM15" s="1" t="str">
        <f ca="1">IFERROR(__xludf.DUMMYFUNCTION("if(FM$2="""","""", index(GOOGLEFINANCE($B$15,""close"",FM$2,TODAY()),2,2))"),"")</f>
        <v/>
      </c>
      <c r="FN15" s="1" t="str">
        <f ca="1">IFERROR(__xludf.DUMMYFUNCTION("if(FN$2="""","""", index(GOOGLEFINANCE($B$15,""close"",FN$2,TODAY()),2,2))"),"")</f>
        <v/>
      </c>
      <c r="FO15" s="1" t="str">
        <f ca="1">IFERROR(__xludf.DUMMYFUNCTION("if(FO$2="""","""", index(GOOGLEFINANCE($B$15,""close"",FO$2,TODAY()),2,2))"),"")</f>
        <v/>
      </c>
      <c r="FP15" s="1" t="str">
        <f ca="1">IFERROR(__xludf.DUMMYFUNCTION("if(FP$2="""","""", index(GOOGLEFINANCE($B$15,""close"",FP$2,TODAY()),2,2))"),"")</f>
        <v/>
      </c>
      <c r="FQ15" s="1" t="str">
        <f ca="1">IFERROR(__xludf.DUMMYFUNCTION("if(FQ$2="""","""", index(GOOGLEFINANCE($B$15,""close"",FQ$2,TODAY()),2,2))"),"")</f>
        <v/>
      </c>
      <c r="FR15" s="1" t="str">
        <f ca="1">IFERROR(__xludf.DUMMYFUNCTION("if(FR$2="""","""", index(GOOGLEFINANCE($B$15,""close"",FR$2,TODAY()),2,2))"),"")</f>
        <v/>
      </c>
      <c r="FS15" s="1" t="str">
        <f ca="1">IFERROR(__xludf.DUMMYFUNCTION("if(FS$2="""","""", index(GOOGLEFINANCE($B$15,""close"",FS$2,TODAY()),2,2))"),"")</f>
        <v/>
      </c>
      <c r="FT15" s="1" t="str">
        <f ca="1">IFERROR(__xludf.DUMMYFUNCTION("if(FT$2="""","""", index(GOOGLEFINANCE($B$15,""close"",FT$2,TODAY()),2,2))"),"")</f>
        <v/>
      </c>
      <c r="FU15" s="1" t="str">
        <f ca="1">IFERROR(__xludf.DUMMYFUNCTION("if(FU$2="""","""", index(GOOGLEFINANCE($B$15,""close"",FU$2,TODAY()),2,2))"),"")</f>
        <v/>
      </c>
      <c r="FV15" s="1" t="str">
        <f ca="1">IFERROR(__xludf.DUMMYFUNCTION("if(FV$2="""","""", index(GOOGLEFINANCE($B$15,""close"",FV$2,TODAY()),2,2))"),"")</f>
        <v/>
      </c>
      <c r="FW15" s="1" t="str">
        <f ca="1">IFERROR(__xludf.DUMMYFUNCTION("if(FW$2="""","""", index(GOOGLEFINANCE($B$15,""close"",FW$2,TODAY()),2,2))"),"")</f>
        <v/>
      </c>
      <c r="FX15" s="1" t="str">
        <f ca="1">IFERROR(__xludf.DUMMYFUNCTION("if(FX$2="""","""", index(GOOGLEFINANCE($B$15,""close"",FX$2,TODAY()),2,2))"),"")</f>
        <v/>
      </c>
      <c r="FY15" s="1" t="str">
        <f ca="1">IFERROR(__xludf.DUMMYFUNCTION("if(FY$2="""","""", index(GOOGLEFINANCE($B$15,""close"",FY$2,TODAY()),2,2))"),"")</f>
        <v/>
      </c>
      <c r="FZ15" s="1" t="str">
        <f ca="1">IFERROR(__xludf.DUMMYFUNCTION("if(FZ$2="""","""", index(GOOGLEFINANCE($B$15,""close"",FZ$2,TODAY()),2,2))"),"")</f>
        <v/>
      </c>
      <c r="GA15" s="1" t="str">
        <f ca="1">IFERROR(__xludf.DUMMYFUNCTION("if(GA$2="""","""", index(GOOGLEFINANCE($B$15,""close"",GA$2,TODAY()),2,2))"),"")</f>
        <v/>
      </c>
      <c r="GB15" s="1" t="str">
        <f ca="1">IFERROR(__xludf.DUMMYFUNCTION("if(GB$2="""","""", index(GOOGLEFINANCE($B$15,""close"",GB$2,TODAY()),2,2))"),"")</f>
        <v/>
      </c>
      <c r="GC15" s="1" t="str">
        <f ca="1">IFERROR(__xludf.DUMMYFUNCTION("if(GC$2="""","""", index(GOOGLEFINANCE($B$15,""close"",GC$2,TODAY()),2,2))"),"")</f>
        <v/>
      </c>
      <c r="GD15" s="1" t="str">
        <f ca="1">IFERROR(__xludf.DUMMYFUNCTION("if(GD$2="""","""", index(GOOGLEFINANCE($B$15,""close"",GD$2,TODAY()),2,2))"),"")</f>
        <v/>
      </c>
      <c r="GE15" s="1" t="str">
        <f ca="1">IFERROR(__xludf.DUMMYFUNCTION("if(GE$2="""","""", index(GOOGLEFINANCE($B$15,""close"",GE$2,TODAY()),2,2))"),"")</f>
        <v/>
      </c>
      <c r="GF15" s="1" t="str">
        <f ca="1">IFERROR(__xludf.DUMMYFUNCTION("if(GF$2="""","""", index(GOOGLEFINANCE($B$15,""close"",GF$2,TODAY()),2,2))"),"")</f>
        <v/>
      </c>
      <c r="GG15" s="1" t="str">
        <f ca="1">IFERROR(__xludf.DUMMYFUNCTION("if(GG$2="""","""", index(GOOGLEFINANCE($B$15,""close"",GG$2,TODAY()),2,2))"),"")</f>
        <v/>
      </c>
      <c r="GH15" s="1" t="str">
        <f ca="1">IFERROR(__xludf.DUMMYFUNCTION("if(GH$2="""","""", index(GOOGLEFINANCE($B$15,""close"",GH$2,TODAY()),2,2))"),"")</f>
        <v/>
      </c>
      <c r="GI15" s="1" t="str">
        <f ca="1">IFERROR(__xludf.DUMMYFUNCTION("if(GI$2="""","""", index(GOOGLEFINANCE($B$15,""close"",GI$2,TODAY()),2,2))"),"")</f>
        <v/>
      </c>
      <c r="GJ15" s="1" t="str">
        <f ca="1">IFERROR(__xludf.DUMMYFUNCTION("if(GJ$2="""","""", index(GOOGLEFINANCE($B$15,""close"",GJ$2,TODAY()),2,2))"),"")</f>
        <v/>
      </c>
      <c r="GK15" s="1" t="str">
        <f ca="1">IFERROR(__xludf.DUMMYFUNCTION("if(GK$2="""","""", index(GOOGLEFINANCE($B$15,""close"",GK$2,TODAY()),2,2))"),"")</f>
        <v/>
      </c>
      <c r="GL15" s="1" t="str">
        <f ca="1">IFERROR(__xludf.DUMMYFUNCTION("if(GL$2="""","""", index(GOOGLEFINANCE($B$15,""close"",GL$2,TODAY()),2,2))"),"")</f>
        <v/>
      </c>
      <c r="GM15" s="1" t="str">
        <f ca="1">IFERROR(__xludf.DUMMYFUNCTION("if(GM$2="""","""", index(GOOGLEFINANCE($B$15,""close"",GM$2,TODAY()),2,2))"),"")</f>
        <v/>
      </c>
      <c r="GN15" s="1" t="str">
        <f ca="1">IFERROR(__xludf.DUMMYFUNCTION("if(GN$2="""","""", index(GOOGLEFINANCE($B$15,""close"",GN$2,TODAY()),2,2))"),"")</f>
        <v/>
      </c>
      <c r="GO15" s="1" t="str">
        <f ca="1">IFERROR(__xludf.DUMMYFUNCTION("if(GO$2="""","""", index(GOOGLEFINANCE($B$15,""close"",GO$2,TODAY()),2,2))"),"")</f>
        <v/>
      </c>
      <c r="GP15" s="1" t="str">
        <f ca="1">IFERROR(__xludf.DUMMYFUNCTION("if(GP$2="""","""", index(GOOGLEFINANCE($B$15,""close"",GP$2,TODAY()),2,2))"),"")</f>
        <v/>
      </c>
      <c r="GQ15" s="1" t="str">
        <f ca="1">IFERROR(__xludf.DUMMYFUNCTION("if(GQ$2="""","""", index(GOOGLEFINANCE($B$15,""close"",GQ$2,TODAY()),2,2))"),"")</f>
        <v/>
      </c>
      <c r="GR15" s="1" t="str">
        <f ca="1">IFERROR(__xludf.DUMMYFUNCTION("if(GR$2="""","""", index(GOOGLEFINANCE($B$15,""close"",GR$2,TODAY()),2,2))"),"")</f>
        <v/>
      </c>
      <c r="GS15" s="1" t="str">
        <f ca="1">IFERROR(__xludf.DUMMYFUNCTION("if(GS$2="""","""", index(GOOGLEFINANCE($B$15,""close"",GS$2,TODAY()),2,2))"),"")</f>
        <v/>
      </c>
      <c r="GT15" s="1" t="str">
        <f ca="1">IFERROR(__xludf.DUMMYFUNCTION("if(GT$2="""","""", index(GOOGLEFINANCE($B$15,""close"",GT$2,TODAY()),2,2))"),"")</f>
        <v/>
      </c>
      <c r="GU15" s="1" t="str">
        <f ca="1">IFERROR(__xludf.DUMMYFUNCTION("if(GU$2="""","""", index(GOOGLEFINANCE($B$15,""close"",GU$2,TODAY()),2,2))"),"")</f>
        <v/>
      </c>
      <c r="GV15" s="1" t="str">
        <f ca="1">IFERROR(__xludf.DUMMYFUNCTION("if(GV$2="""","""", index(GOOGLEFINANCE($B$15,""close"",GV$2,TODAY()),2,2))"),"")</f>
        <v/>
      </c>
      <c r="GW15" s="1" t="str">
        <f ca="1">IFERROR(__xludf.DUMMYFUNCTION("if(GW$2="""","""", index(GOOGLEFINANCE($B$15,""close"",GW$2,TODAY()),2,2))"),"")</f>
        <v/>
      </c>
      <c r="GX15" s="1" t="str">
        <f ca="1">IFERROR(__xludf.DUMMYFUNCTION("if(GX$2="""","""", index(GOOGLEFINANCE($B$15,""close"",GX$2,TODAY()),2,2))"),"")</f>
        <v/>
      </c>
      <c r="GY15" s="1" t="str">
        <f ca="1">IFERROR(__xludf.DUMMYFUNCTION("if(GY$2="""","""", index(GOOGLEFINANCE($B$15,""close"",GY$2,TODAY()),2,2))"),"")</f>
        <v/>
      </c>
      <c r="GZ15" s="1" t="str">
        <f ca="1">IFERROR(__xludf.DUMMYFUNCTION("if(GZ$2="""","""", index(GOOGLEFINANCE($B$15,""close"",GZ$2,TODAY()),2,2))"),"")</f>
        <v/>
      </c>
      <c r="HA15" s="1" t="str">
        <f ca="1">IFERROR(__xludf.DUMMYFUNCTION("if(HA$2="""","""", index(GOOGLEFINANCE($B$15,""close"",HA$2,TODAY()),2,2))"),"")</f>
        <v/>
      </c>
      <c r="HB15" s="1" t="str">
        <f ca="1">IFERROR(__xludf.DUMMYFUNCTION("if(HB$2="""","""", index(GOOGLEFINANCE($B$15,""close"",HB$2,TODAY()),2,2))"),"")</f>
        <v/>
      </c>
      <c r="HC15" s="1" t="str">
        <f ca="1">IFERROR(__xludf.DUMMYFUNCTION("if(HC$2="""","""", index(GOOGLEFINANCE($B$15,""close"",HC$2,TODAY()),2,2))"),"")</f>
        <v/>
      </c>
      <c r="HD15" s="1" t="str">
        <f ca="1">IFERROR(__xludf.DUMMYFUNCTION("if(HD$2="""","""", index(GOOGLEFINANCE($B$15,""close"",HD$2,TODAY()),2,2))"),"")</f>
        <v/>
      </c>
      <c r="HE15" s="1" t="str">
        <f ca="1">IFERROR(__xludf.DUMMYFUNCTION("if(HE$2="""","""", index(GOOGLEFINANCE($B$15,""close"",HE$2,TODAY()),2,2))"),"")</f>
        <v/>
      </c>
      <c r="HF15" s="1" t="str">
        <f ca="1">IFERROR(__xludf.DUMMYFUNCTION("if(HF$2="""","""", index(GOOGLEFINANCE($B$15,""close"",HF$2,TODAY()),2,2))"),"")</f>
        <v/>
      </c>
      <c r="HG15" s="1" t="str">
        <f ca="1">IFERROR(__xludf.DUMMYFUNCTION("if(HG$2="""","""", index(GOOGLEFINANCE($B$15,""close"",HG$2,TODAY()),2,2))"),"")</f>
        <v/>
      </c>
      <c r="HH15" s="1" t="str">
        <f ca="1">IFERROR(__xludf.DUMMYFUNCTION("if(HH$2="""","""", index(GOOGLEFINANCE($B$15,""close"",HH$2,TODAY()),2,2))"),"")</f>
        <v/>
      </c>
      <c r="HI15" s="1" t="str">
        <f ca="1">IFERROR(__xludf.DUMMYFUNCTION("if(HI$2="""","""", index(GOOGLEFINANCE($B$15,""close"",HI$2,TODAY()),2,2))"),"")</f>
        <v/>
      </c>
      <c r="HJ15" s="1" t="str">
        <f ca="1">IFERROR(__xludf.DUMMYFUNCTION("if(HJ$2="""","""", index(GOOGLEFINANCE($B$15,""close"",HJ$2,TODAY()),2,2))"),"")</f>
        <v/>
      </c>
      <c r="HK15" s="1" t="str">
        <f ca="1">IFERROR(__xludf.DUMMYFUNCTION("if(HK$2="""","""", index(GOOGLEFINANCE($B$15,""close"",HK$2,TODAY()),2,2))"),"")</f>
        <v/>
      </c>
      <c r="HL15" s="1" t="str">
        <f ca="1">IFERROR(__xludf.DUMMYFUNCTION("if(HL$2="""","""", index(GOOGLEFINANCE($B$15,""close"",HL$2,TODAY()),2,2))"),"")</f>
        <v/>
      </c>
      <c r="HM15" s="1" t="str">
        <f ca="1">IFERROR(__xludf.DUMMYFUNCTION("if(HM$2="""","""", index(GOOGLEFINANCE($B$15,""close"",HM$2,TODAY()),2,2))"),"")</f>
        <v/>
      </c>
      <c r="HN15" s="1" t="str">
        <f ca="1">IFERROR(__xludf.DUMMYFUNCTION("if(HN$2="""","""", index(GOOGLEFINANCE($B$15,""close"",HN$2,TODAY()),2,2))"),"")</f>
        <v/>
      </c>
      <c r="HO15" s="1" t="str">
        <f ca="1">IFERROR(__xludf.DUMMYFUNCTION("if(HO$2="""","""", index(GOOGLEFINANCE($B$15,""close"",HO$2,TODAY()),2,2))"),"")</f>
        <v/>
      </c>
      <c r="HP15" s="1" t="str">
        <f ca="1">IFERROR(__xludf.DUMMYFUNCTION("if(HP$2="""","""", index(GOOGLEFINANCE($B$15,""close"",HP$2,TODAY()),2,2))"),"")</f>
        <v/>
      </c>
      <c r="HQ15" s="1" t="str">
        <f ca="1">IFERROR(__xludf.DUMMYFUNCTION("if(HQ$2="""","""", index(GOOGLEFINANCE($B$15,""close"",HQ$2,TODAY()),2,2))"),"")</f>
        <v/>
      </c>
      <c r="HR15" s="1" t="str">
        <f ca="1">IFERROR(__xludf.DUMMYFUNCTION("if(HR$2="""","""", index(GOOGLEFINANCE($B$15,""close"",HR$2,TODAY()),2,2))"),"")</f>
        <v/>
      </c>
      <c r="HS15" s="1" t="str">
        <f ca="1">IFERROR(__xludf.DUMMYFUNCTION("if(HS$2="""","""", index(GOOGLEFINANCE($B$15,""close"",HS$2,TODAY()),2,2))"),"")</f>
        <v/>
      </c>
      <c r="HT15" s="1" t="str">
        <f ca="1">IFERROR(__xludf.DUMMYFUNCTION("if(HT$2="""","""", index(GOOGLEFINANCE($B$15,""close"",HT$2,TODAY()),2,2))"),"")</f>
        <v/>
      </c>
      <c r="HU15" s="1" t="str">
        <f ca="1">IFERROR(__xludf.DUMMYFUNCTION("if(HU$2="""","""", index(GOOGLEFINANCE($B$15,""close"",HU$2,TODAY()),2,2))"),"")</f>
        <v/>
      </c>
      <c r="HV15" s="1" t="str">
        <f ca="1">IFERROR(__xludf.DUMMYFUNCTION("if(HV$2="""","""", index(GOOGLEFINANCE($B$15,""close"",HV$2,TODAY()),2,2))"),"")</f>
        <v/>
      </c>
      <c r="HW15" s="1" t="str">
        <f ca="1">IFERROR(__xludf.DUMMYFUNCTION("if(HW$2="""","""", index(GOOGLEFINANCE($B$15,""close"",HW$2,TODAY()),2,2))"),"")</f>
        <v/>
      </c>
      <c r="HX15" s="1" t="str">
        <f ca="1">IFERROR(__xludf.DUMMYFUNCTION("if(HX$2="""","""", index(GOOGLEFINANCE($B$15,""close"",HX$2,TODAY()),2,2))"),"")</f>
        <v/>
      </c>
      <c r="HY15" s="1" t="str">
        <f ca="1">IFERROR(__xludf.DUMMYFUNCTION("if(HY$2="""","""", index(GOOGLEFINANCE($B$15,""close"",HY$2,TODAY()),2,2))"),"")</f>
        <v/>
      </c>
      <c r="HZ15" s="1" t="str">
        <f ca="1">IFERROR(__xludf.DUMMYFUNCTION("if(HZ$2="""","""", index(GOOGLEFINANCE($B$15,""close"",HZ$2,TODAY()),2,2))"),"")</f>
        <v/>
      </c>
      <c r="IA15" s="1" t="str">
        <f ca="1">IFERROR(__xludf.DUMMYFUNCTION("if(IA$2="""","""", index(GOOGLEFINANCE($B$15,""close"",IA$2,TODAY()),2,2))"),"")</f>
        <v/>
      </c>
      <c r="IB15" s="1" t="str">
        <f ca="1">IFERROR(__xludf.DUMMYFUNCTION("if(IB$2="""","""", index(GOOGLEFINANCE($B$15,""close"",IB$2,TODAY()),2,2))"),"")</f>
        <v/>
      </c>
      <c r="IC15" s="1" t="str">
        <f ca="1">IFERROR(__xludf.DUMMYFUNCTION("if(IC$2="""","""", index(GOOGLEFINANCE($B$15,""close"",IC$2,TODAY()),2,2))"),"")</f>
        <v/>
      </c>
      <c r="ID15" s="1" t="str">
        <f ca="1">IFERROR(__xludf.DUMMYFUNCTION("if(ID$2="""","""", index(GOOGLEFINANCE($B$15,""close"",ID$2,TODAY()),2,2))"),"")</f>
        <v/>
      </c>
      <c r="IE15" s="1" t="str">
        <f ca="1">IFERROR(__xludf.DUMMYFUNCTION("if(IE$2="""","""", index(GOOGLEFINANCE($B$15,""close"",IE$2,TODAY()),2,2))"),"")</f>
        <v/>
      </c>
      <c r="IF15" s="1" t="str">
        <f ca="1">IFERROR(__xludf.DUMMYFUNCTION("if(IF$2="""","""", index(GOOGLEFINANCE($B$15,""close"",IF$2,TODAY()),2,2))"),"")</f>
        <v/>
      </c>
      <c r="IG15" s="1" t="str">
        <f ca="1">IFERROR(__xludf.DUMMYFUNCTION("if(IG$2="""","""", index(GOOGLEFINANCE($B$15,""close"",IG$2,TODAY()),2,2))"),"")</f>
        <v/>
      </c>
      <c r="IH15" s="1" t="str">
        <f ca="1">IFERROR(__xludf.DUMMYFUNCTION("if(IH$2="""","""", index(GOOGLEFINANCE($B$15,""close"",IH$2,TODAY()),2,2))"),"")</f>
        <v/>
      </c>
      <c r="II15" s="1" t="str">
        <f ca="1">IFERROR(__xludf.DUMMYFUNCTION("if(II$2="""","""", index(GOOGLEFINANCE($B$15,""close"",II$2,TODAY()),2,2))"),"")</f>
        <v/>
      </c>
      <c r="IJ15" s="1" t="str">
        <f ca="1">IFERROR(__xludf.DUMMYFUNCTION("if(IJ$2="""","""", index(GOOGLEFINANCE($B$15,""close"",IJ$2,TODAY()),2,2))"),"")</f>
        <v/>
      </c>
      <c r="IK15" s="1" t="str">
        <f ca="1">IFERROR(__xludf.DUMMYFUNCTION("if(IK$2="""","""", index(GOOGLEFINANCE($B$15,""close"",IK$2,TODAY()),2,2))"),"")</f>
        <v/>
      </c>
      <c r="IL15" s="1" t="str">
        <f ca="1">IFERROR(__xludf.DUMMYFUNCTION("if(IL$2="""","""", index(GOOGLEFINANCE($B$15,""close"",IL$2,TODAY()),2,2))"),"")</f>
        <v/>
      </c>
      <c r="IM15" s="1" t="str">
        <f ca="1">IFERROR(__xludf.DUMMYFUNCTION("if(IM$2="""","""", index(GOOGLEFINANCE($B$15,""close"",IM$2,TODAY()),2,2))"),"")</f>
        <v/>
      </c>
      <c r="IN15" s="1" t="str">
        <f ca="1">IFERROR(__xludf.DUMMYFUNCTION("if(IN$2="""","""", index(GOOGLEFINANCE($B$15,""close"",IN$2,TODAY()),2,2))"),"")</f>
        <v/>
      </c>
      <c r="IO15" s="1" t="str">
        <f ca="1">IFERROR(__xludf.DUMMYFUNCTION("if(IO$2="""","""", index(GOOGLEFINANCE($B$15,""close"",IO$2,TODAY()),2,2))"),"")</f>
        <v/>
      </c>
      <c r="IP15" s="1" t="str">
        <f ca="1">IFERROR(__xludf.DUMMYFUNCTION("if(IP$2="""","""", index(GOOGLEFINANCE($B$15,""close"",IP$2,TODAY()),2,2))"),"")</f>
        <v/>
      </c>
      <c r="IQ15" s="1" t="str">
        <f ca="1">IFERROR(__xludf.DUMMYFUNCTION("if(IQ$2="""","""", index(GOOGLEFINANCE($B$15,""close"",IQ$2,TODAY()),2,2))"),"")</f>
        <v/>
      </c>
      <c r="IR15" s="1" t="str">
        <f ca="1">IFERROR(__xludf.DUMMYFUNCTION("if(IR$2="""","""", index(GOOGLEFINANCE($B$15,""close"",IR$2,TODAY()),2,2))"),"")</f>
        <v/>
      </c>
      <c r="IS15" s="1" t="str">
        <f ca="1">IFERROR(__xludf.DUMMYFUNCTION("if(IS$2="""","""", index(GOOGLEFINANCE($B$15,""close"",IS$2,TODAY()),2,2))"),"")</f>
        <v/>
      </c>
      <c r="IT15" s="1" t="str">
        <f ca="1">IFERROR(__xludf.DUMMYFUNCTION("if(IT$2="""","""", index(GOOGLEFINANCE($B$15,""close"",IT$2,TODAY()),2,2))"),"")</f>
        <v/>
      </c>
      <c r="IU15" s="1" t="str">
        <f ca="1">IFERROR(__xludf.DUMMYFUNCTION("if(IU$2="""","""", index(GOOGLEFINANCE($B$15,""close"",IU$2,TODAY()),2,2))"),"")</f>
        <v/>
      </c>
      <c r="IV15" s="1" t="str">
        <f ca="1">IFERROR(__xludf.DUMMYFUNCTION("if(IV$2="""","""", index(GOOGLEFINANCE($B$15,""close"",IV$2,TODAY()),2,2))"),"")</f>
        <v/>
      </c>
      <c r="IW15" s="1" t="str">
        <f ca="1">IFERROR(__xludf.DUMMYFUNCTION("if(IW$2="""","""", index(GOOGLEFINANCE($B$15,""close"",IW$2,TODAY()),2,2))"),"")</f>
        <v/>
      </c>
      <c r="IX15" s="1" t="str">
        <f ca="1">IFERROR(__xludf.DUMMYFUNCTION("if(IX$2="""","""", index(GOOGLEFINANCE($B$15,""close"",IX$2,TODAY()),2,2))"),"")</f>
        <v/>
      </c>
      <c r="IY15" s="1" t="str">
        <f ca="1">IFERROR(__xludf.DUMMYFUNCTION("if(IY$2="""","""", index(GOOGLEFINANCE($B$15,""close"",IY$2,TODAY()),2,2))"),"")</f>
        <v/>
      </c>
      <c r="IZ15" s="1" t="str">
        <f ca="1">IFERROR(__xludf.DUMMYFUNCTION("if(IZ$2="""","""", index(GOOGLEFINANCE($B$15,""close"",IZ$2,TODAY()),2,2))"),"")</f>
        <v/>
      </c>
      <c r="JA15" s="1" t="str">
        <f ca="1">IFERROR(__xludf.DUMMYFUNCTION("if(JA$2="""","""", index(GOOGLEFINANCE($B$15,""close"",JA$2,TODAY()),2,2))"),"")</f>
        <v/>
      </c>
      <c r="JB15" s="1" t="str">
        <f ca="1">IFERROR(__xludf.DUMMYFUNCTION("if(JB$2="""","""", index(GOOGLEFINANCE($B$15,""close"",JB$2,TODAY()),2,2))"),"")</f>
        <v/>
      </c>
      <c r="JC15" s="1" t="str">
        <f ca="1">IFERROR(__xludf.DUMMYFUNCTION("if(JC$2="""","""", index(GOOGLEFINANCE($B$15,""close"",JC$2,TODAY()),2,2))"),"")</f>
        <v/>
      </c>
      <c r="JD15" s="1" t="str">
        <f ca="1">IFERROR(__xludf.DUMMYFUNCTION("if(JD$2="""","""", index(GOOGLEFINANCE($B$15,""close"",JD$2,TODAY()),2,2))"),"")</f>
        <v/>
      </c>
      <c r="JE15" s="1" t="str">
        <f ca="1">IFERROR(__xludf.DUMMYFUNCTION("if(JE$2="""","""", index(GOOGLEFINANCE($B$15,""close"",JE$2,TODAY()),2,2))"),"")</f>
        <v/>
      </c>
      <c r="JF15" s="1" t="str">
        <f ca="1">IFERROR(__xludf.DUMMYFUNCTION("if(JF$2="""","""", index(GOOGLEFINANCE($B$15,""close"",JF$2,TODAY()),2,2))"),"")</f>
        <v/>
      </c>
      <c r="JG15" s="1" t="str">
        <f ca="1">IFERROR(__xludf.DUMMYFUNCTION("if(JG$2="""","""", index(GOOGLEFINANCE($B$15,""close"",JG$2,TODAY()),2,2))"),"")</f>
        <v/>
      </c>
      <c r="JH15" s="1" t="str">
        <f ca="1">IFERROR(__xludf.DUMMYFUNCTION("if(JH$2="""","""", index(GOOGLEFINANCE($B$15,""close"",JH$2,TODAY()),2,2))"),"")</f>
        <v/>
      </c>
      <c r="JI15" s="1" t="str">
        <f ca="1">IFERROR(__xludf.DUMMYFUNCTION("if(JI$2="""","""", index(GOOGLEFINANCE($B$15,""close"",JI$2,TODAY()),2,2))"),"")</f>
        <v/>
      </c>
      <c r="JJ15" s="1" t="str">
        <f ca="1">IFERROR(__xludf.DUMMYFUNCTION("if(JJ$2="""","""", index(GOOGLEFINANCE($B$15,""close"",JJ$2,TODAY()),2,2))"),"")</f>
        <v/>
      </c>
      <c r="JK15" s="1" t="str">
        <f ca="1">IFERROR(__xludf.DUMMYFUNCTION("if(JK$2="""","""", index(GOOGLEFINANCE($B$15,""close"",JK$2,TODAY()),2,2))"),"")</f>
        <v/>
      </c>
      <c r="JL15" s="1" t="str">
        <f ca="1">IFERROR(__xludf.DUMMYFUNCTION("if(JL$2="""","""", index(GOOGLEFINANCE($B$15,""close"",JL$2,TODAY()),2,2))"),"")</f>
        <v/>
      </c>
      <c r="JM15" s="1" t="str">
        <f ca="1">IFERROR(__xludf.DUMMYFUNCTION("if(JM$2="""","""", index(GOOGLEFINANCE($B$15,""close"",JM$2,TODAY()),2,2))"),"")</f>
        <v/>
      </c>
      <c r="JN15" s="1" t="str">
        <f ca="1">IFERROR(__xludf.DUMMYFUNCTION("if(JN$2="""","""", index(GOOGLEFINANCE($B$15,""close"",JN$2,TODAY()),2,2))"),"")</f>
        <v/>
      </c>
      <c r="JO15" s="1" t="str">
        <f ca="1">IFERROR(__xludf.DUMMYFUNCTION("if(JO$2="""","""", index(GOOGLEFINANCE($B$15,""close"",JO$2,TODAY()),2,2))"),"")</f>
        <v/>
      </c>
      <c r="JP15" s="1" t="str">
        <f ca="1">IFERROR(__xludf.DUMMYFUNCTION("if(JP$2="""","""", index(GOOGLEFINANCE($B$15,""close"",JP$2,TODAY()),2,2))"),"")</f>
        <v/>
      </c>
      <c r="JQ15" s="1" t="str">
        <f ca="1">IFERROR(__xludf.DUMMYFUNCTION("if(JQ$2="""","""", index(GOOGLEFINANCE($B$15,""close"",JQ$2,TODAY()),2,2))"),"")</f>
        <v/>
      </c>
      <c r="JR15" s="1" t="str">
        <f ca="1">IFERROR(__xludf.DUMMYFUNCTION("if(JR$2="""","""", index(GOOGLEFINANCE($B$15,""close"",JR$2,TODAY()),2,2))"),"")</f>
        <v/>
      </c>
      <c r="JS15" s="1" t="str">
        <f ca="1">IFERROR(__xludf.DUMMYFUNCTION("if(JS$2="""","""", index(GOOGLEFINANCE($B$15,""close"",JS$2,TODAY()),2,2))"),"")</f>
        <v/>
      </c>
      <c r="JT15" s="1" t="str">
        <f ca="1">IFERROR(__xludf.DUMMYFUNCTION("if(JT$2="""","""", index(GOOGLEFINANCE($B$15,""close"",JT$2,TODAY()),2,2))"),"")</f>
        <v/>
      </c>
      <c r="JU15" s="1" t="str">
        <f ca="1">IFERROR(__xludf.DUMMYFUNCTION("if(JU$2="""","""", index(GOOGLEFINANCE($B$15,""close"",JU$2,TODAY()),2,2))"),"")</f>
        <v/>
      </c>
      <c r="JV15" s="1" t="str">
        <f ca="1">IFERROR(__xludf.DUMMYFUNCTION("if(JV$2="""","""", index(GOOGLEFINANCE($B$15,""close"",JV$2,TODAY()),2,2))"),"")</f>
        <v/>
      </c>
      <c r="JW15" s="1" t="str">
        <f ca="1">IFERROR(__xludf.DUMMYFUNCTION("if(JW$2="""","""", index(GOOGLEFINANCE($B$15,""close"",JW$2,TODAY()),2,2))"),"")</f>
        <v/>
      </c>
      <c r="JX15" s="1" t="str">
        <f ca="1">IFERROR(__xludf.DUMMYFUNCTION("if(JX$2="""","""", index(GOOGLEFINANCE($B$15,""close"",JX$2,TODAY()),2,2))"),"")</f>
        <v/>
      </c>
      <c r="JY15" s="1" t="str">
        <f ca="1">IFERROR(__xludf.DUMMYFUNCTION("if(JY$2="""","""", index(GOOGLEFINANCE($B$15,""close"",JY$2,TODAY()),2,2))"),"")</f>
        <v/>
      </c>
      <c r="JZ15" s="1" t="str">
        <f ca="1">IFERROR(__xludf.DUMMYFUNCTION("if(JZ$2="""","""", index(GOOGLEFINANCE($B$15,""close"",JZ$2,TODAY()),2,2))"),"")</f>
        <v/>
      </c>
      <c r="KA15" s="1" t="str">
        <f ca="1">IFERROR(__xludf.DUMMYFUNCTION("if(KA$2="""","""", index(GOOGLEFINANCE($B$15,""close"",KA$2,TODAY()),2,2))"),"")</f>
        <v/>
      </c>
      <c r="KB15" s="1" t="str">
        <f ca="1">IFERROR(__xludf.DUMMYFUNCTION("if(KB$2="""","""", index(GOOGLEFINANCE($B$15,""close"",KB$2,TODAY()),2,2))"),"")</f>
        <v/>
      </c>
      <c r="KC15" s="1" t="str">
        <f ca="1">IFERROR(__xludf.DUMMYFUNCTION("if(KC$2="""","""", index(GOOGLEFINANCE($B$15,""close"",KC$2,TODAY()),2,2))"),"")</f>
        <v/>
      </c>
      <c r="KD15" s="1" t="str">
        <f ca="1">IFERROR(__xludf.DUMMYFUNCTION("if(KD$2="""","""", index(GOOGLEFINANCE($B$15,""close"",KD$2,TODAY()),2,2))"),"")</f>
        <v/>
      </c>
      <c r="KE15" s="1" t="str">
        <f ca="1">IFERROR(__xludf.DUMMYFUNCTION("if(KE$2="""","""", index(GOOGLEFINANCE($B$15,""close"",KE$2,TODAY()),2,2))"),"")</f>
        <v/>
      </c>
      <c r="KF15" s="1" t="str">
        <f ca="1">IFERROR(__xludf.DUMMYFUNCTION("if(KF$2="""","""", index(GOOGLEFINANCE($B$15,""close"",KF$2,TODAY()),2,2))"),"")</f>
        <v/>
      </c>
      <c r="KG15" s="1" t="str">
        <f ca="1">IFERROR(__xludf.DUMMYFUNCTION("if(KG$2="""","""", index(GOOGLEFINANCE($B$15,""close"",KG$2,TODAY()),2,2))"),"")</f>
        <v/>
      </c>
    </row>
    <row r="16" spans="1:319" ht="15.75" customHeight="1">
      <c r="A16" s="18" t="s">
        <v>30</v>
      </c>
      <c r="B16" s="6" t="s">
        <v>60</v>
      </c>
      <c r="C16" s="1">
        <f ca="1">IFERROR(__xludf.DUMMYFUNCTION("if(C$2="""","""", index(GOOGLEFINANCE($B$16,""close"",C$2,TODAY()),2,2))"),16.8)</f>
        <v>16.8</v>
      </c>
      <c r="D16" s="1">
        <f ca="1">IFERROR(__xludf.DUMMYFUNCTION("if(D$2="""","""", index(GOOGLEFINANCE($B$16,""close"",D$2,TODAY()),2,2))"),16.67)</f>
        <v>16.670000000000002</v>
      </c>
      <c r="E16" s="1">
        <f ca="1">IFERROR(__xludf.DUMMYFUNCTION("if(E$2="""","""", index(GOOGLEFINANCE($B$16,""close"",E$2,TODAY()),2,2))"),16.4)</f>
        <v>16.399999999999999</v>
      </c>
      <c r="F16" s="1">
        <f ca="1">IFERROR(__xludf.DUMMYFUNCTION("if(F$2="""","""", index(GOOGLEFINANCE($B$16,""close"",F$2,TODAY()),2,2))"),16.41)</f>
        <v>16.41</v>
      </c>
      <c r="G16" s="1">
        <f ca="1">IFERROR(__xludf.DUMMYFUNCTION("if(G$2="""","""", index(GOOGLEFINANCE($B$16,""close"",G$2,TODAY()),2,2))"),16.38)</f>
        <v>16.38</v>
      </c>
      <c r="H16" s="1">
        <f ca="1">IFERROR(__xludf.DUMMYFUNCTION("if(H$2="""","""", index(GOOGLEFINANCE($B$16,""close"",H$2,TODAY()),2,2))"),16.37)</f>
        <v>16.37</v>
      </c>
      <c r="I16" s="1">
        <f ca="1">IFERROR(__xludf.DUMMYFUNCTION("if(I$2="""","""", index(GOOGLEFINANCE($B$16,""close"",I$2,TODAY()),2,2))"),16.52)</f>
        <v>16.52</v>
      </c>
      <c r="J16" s="1">
        <f ca="1">IFERROR(__xludf.DUMMYFUNCTION("if(J$2="""","""", index(GOOGLEFINANCE($B$16,""close"",J$2,TODAY()),2,2))"),16.62)</f>
        <v>16.62</v>
      </c>
      <c r="K16" s="1">
        <f ca="1">IFERROR(__xludf.DUMMYFUNCTION("if(K$2="""","""", index(GOOGLEFINANCE($B$16,""close"",K$2,TODAY()),2,2))"),16.4)</f>
        <v>16.399999999999999</v>
      </c>
      <c r="L16" s="1">
        <f ca="1">IFERROR(__xludf.DUMMYFUNCTION("if(L$2="""","""", index(GOOGLEFINANCE($B$16,""close"",L$2,TODAY()),2,2))"),16.36)</f>
        <v>16.36</v>
      </c>
      <c r="M16" s="1">
        <f ca="1">IFERROR(__xludf.DUMMYFUNCTION("if(M$2="""","""", index(GOOGLEFINANCE($B$16,""close"",M$2,TODAY()),2,2))"),16.13)</f>
        <v>16.13</v>
      </c>
      <c r="N16" s="1">
        <f ca="1">IFERROR(__xludf.DUMMYFUNCTION("if(N$2="""","""", index(GOOGLEFINANCE($B$16,""close"",N$2,TODAY()),2,2))"),16.05)</f>
        <v>16.05</v>
      </c>
      <c r="O16" s="1">
        <f ca="1">IFERROR(__xludf.DUMMYFUNCTION("if(O$2="""","""", index(GOOGLEFINANCE($B$16,""close"",O$2,TODAY()),2,2))"),15.86)</f>
        <v>15.86</v>
      </c>
      <c r="P16" s="1">
        <f ca="1">IFERROR(__xludf.DUMMYFUNCTION("if(P$2="""","""", index(GOOGLEFINANCE($B$16,""close"",P$2,TODAY()),2,2))"),15.43)</f>
        <v>15.43</v>
      </c>
      <c r="Q16" s="1">
        <f ca="1">IFERROR(__xludf.DUMMYFUNCTION("if(Q$2="""","""", index(GOOGLEFINANCE($B$16,""close"",Q$2,TODAY()),2,2))"),14.95)</f>
        <v>14.95</v>
      </c>
      <c r="R16" s="1">
        <f ca="1">IFERROR(__xludf.DUMMYFUNCTION("if(R$2="""","""", index(GOOGLEFINANCE($B$16,""close"",R$2,TODAY()),2,2))"),14.77)</f>
        <v>14.77</v>
      </c>
      <c r="S16" s="1">
        <f ca="1">IFERROR(__xludf.DUMMYFUNCTION("if(S$2="""","""", index(GOOGLEFINANCE($B$16,""close"",S$2,TODAY()),2,2))"),14.9)</f>
        <v>14.9</v>
      </c>
      <c r="T16" s="1">
        <f ca="1">IFERROR(__xludf.DUMMYFUNCTION("if(T$2="""","""", index(GOOGLEFINANCE($B$16,""close"",T$2,TODAY()),2,2))"),14.85)</f>
        <v>14.85</v>
      </c>
      <c r="U16" s="1">
        <f ca="1">IFERROR(__xludf.DUMMYFUNCTION("if(U$2="""","""", index(GOOGLEFINANCE($B$16,""close"",U$2,TODAY()),2,2))"),15.2)</f>
        <v>15.2</v>
      </c>
      <c r="V16" s="1">
        <f ca="1">IFERROR(__xludf.DUMMYFUNCTION("if(V$2="""","""", index(GOOGLEFINANCE($B$16,""close"",V$2,TODAY()),2,2))"),15.54)</f>
        <v>15.54</v>
      </c>
      <c r="W16" s="1">
        <f ca="1">IFERROR(__xludf.DUMMYFUNCTION("if(W$2="""","""", index(GOOGLEFINANCE($B$16,""close"",W$2,TODAY()),2,2))"),15.68)</f>
        <v>15.68</v>
      </c>
      <c r="X16" s="1">
        <f ca="1">IFERROR(__xludf.DUMMYFUNCTION("if(X$2="""","""", index(GOOGLEFINANCE($B$16,""close"",X$2,TODAY()),2,2))"),15.92)</f>
        <v>15.92</v>
      </c>
      <c r="Y16" s="1">
        <f ca="1">IFERROR(__xludf.DUMMYFUNCTION("if(Y$2="""","""", index(GOOGLEFINANCE($B$16,""close"",Y$2,TODAY()),2,2))"),15.56)</f>
        <v>15.56</v>
      </c>
      <c r="Z16" s="1">
        <f ca="1">IFERROR(__xludf.DUMMYFUNCTION("if(Z$2="""","""", index(GOOGLEFINANCE($B$16,""close"",Z$2,TODAY()),2,2))"),15.55)</f>
        <v>15.55</v>
      </c>
      <c r="AA16" s="1">
        <f ca="1">IFERROR(__xludf.DUMMYFUNCTION("if(AA$2="""","""", index(GOOGLEFINANCE($B$16,""close"",AA$2,TODAY()),2,2))"),15.58)</f>
        <v>15.58</v>
      </c>
      <c r="AB16" s="1">
        <f ca="1">IFERROR(__xludf.DUMMYFUNCTION("if(AB$2="""","""", index(GOOGLEFINANCE($B$16,""close"",AB$2,TODAY()),2,2))"),15.69)</f>
        <v>15.69</v>
      </c>
      <c r="AC16" s="1">
        <f ca="1">IFERROR(__xludf.DUMMYFUNCTION("if(AC$2="""","""", index(GOOGLEFINANCE($B$16,""close"",AC$2,TODAY()),2,2))"),16.14)</f>
        <v>16.14</v>
      </c>
      <c r="AD16" s="1">
        <f ca="1">IFERROR(__xludf.DUMMYFUNCTION("if(AD$2="""","""", index(GOOGLEFINANCE($B$16,""close"",AD$2,TODAY()),2,2))"),15.9)</f>
        <v>15.9</v>
      </c>
      <c r="AE16" s="1">
        <f ca="1">IFERROR(__xludf.DUMMYFUNCTION("if(AE$2="""","""", index(GOOGLEFINANCE($B$16,""close"",AE$2,TODAY()),2,2))"),15.49)</f>
        <v>15.49</v>
      </c>
      <c r="AF16" s="1">
        <f ca="1">IFERROR(__xludf.DUMMYFUNCTION("if(AF$2="""","""", index(GOOGLEFINANCE($B$16,""close"",AF$2,TODAY()),2,2))"),15.33)</f>
        <v>15.33</v>
      </c>
      <c r="AG16" s="1">
        <f ca="1">IFERROR(__xludf.DUMMYFUNCTION("if(AG$2="""","""", index(GOOGLEFINANCE($B$16,""close"",AG$2,TODAY()),2,2))"),15.6)</f>
        <v>15.6</v>
      </c>
      <c r="AH16" s="1">
        <f ca="1">IFERROR(__xludf.DUMMYFUNCTION("if(AH$2="""","""", index(GOOGLEFINANCE($B$16,""close"",AH$2,TODAY()),2,2))"),15.91)</f>
        <v>15.91</v>
      </c>
      <c r="AI16" s="1">
        <f ca="1">IFERROR(__xludf.DUMMYFUNCTION("if(AI$2="""","""", index(GOOGLEFINANCE($B$16,""close"",AI$2,TODAY()),2,2))"),15.33)</f>
        <v>15.33</v>
      </c>
      <c r="AJ16" s="1">
        <f ca="1">IFERROR(__xludf.DUMMYFUNCTION("if(AJ$2="""","""", index(GOOGLEFINANCE($B$16,""close"",AJ$2,TODAY()),2,2))"),15.21)</f>
        <v>15.21</v>
      </c>
      <c r="AK16" s="1">
        <f ca="1">IFERROR(__xludf.DUMMYFUNCTION("if(AK$2="""","""", index(GOOGLEFINANCE($B$16,""close"",AK$2,TODAY()),2,2))"),14.96)</f>
        <v>14.96</v>
      </c>
      <c r="AL16" s="1">
        <f ca="1">IFERROR(__xludf.DUMMYFUNCTION("if(AL$2="""","""", index(GOOGLEFINANCE($B$16,""close"",AL$2,TODAY()),2,2))"),14.79)</f>
        <v>14.79</v>
      </c>
      <c r="AM16" s="1">
        <f ca="1">IFERROR(__xludf.DUMMYFUNCTION("if(AM$2="""","""", index(GOOGLEFINANCE($B$16,""close"",AM$2,TODAY()),2,2))"),15.11)</f>
        <v>15.11</v>
      </c>
      <c r="AN16" s="1">
        <f ca="1">IFERROR(__xludf.DUMMYFUNCTION("if(AN$2="""","""", index(GOOGLEFINANCE($B$16,""close"",AN$2,TODAY()),2,2))"),15.36)</f>
        <v>15.36</v>
      </c>
      <c r="AO16" s="1">
        <f ca="1">IFERROR(__xludf.DUMMYFUNCTION("if(AO$2="""","""", index(GOOGLEFINANCE($B$16,""close"",AO$2,TODAY()),2,2))"),15.42)</f>
        <v>15.42</v>
      </c>
      <c r="AP16" s="1">
        <f ca="1">IFERROR(__xludf.DUMMYFUNCTION("if(AP$2="""","""", index(GOOGLEFINANCE($B$16,""close"",AP$2,TODAY()),2,2))"),15.42)</f>
        <v>15.42</v>
      </c>
      <c r="AQ16" s="1">
        <f ca="1">IFERROR(__xludf.DUMMYFUNCTION("if(AQ$2="""","""", index(GOOGLEFINANCE($B$16,""close"",AQ$2,TODAY()),2,2))"),15.69)</f>
        <v>15.69</v>
      </c>
      <c r="AR16" s="1">
        <f ca="1">IFERROR(__xludf.DUMMYFUNCTION("if(AR$2="""","""", index(GOOGLEFINANCE($B$16,""close"",AR$2,TODAY()),2,2))"),15.53)</f>
        <v>15.53</v>
      </c>
      <c r="AS16" s="1">
        <f ca="1">IFERROR(__xludf.DUMMYFUNCTION("if(AS$2="""","""", index(GOOGLEFINANCE($B$16,""close"",AS$2,TODAY()),2,2))"),15.44)</f>
        <v>15.44</v>
      </c>
      <c r="AT16" s="1">
        <f ca="1">IFERROR(__xludf.DUMMYFUNCTION("if(AT$2="""","""", index(GOOGLEFINANCE($B$16,""close"",AT$2,TODAY()),2,2))"),15)</f>
        <v>15</v>
      </c>
      <c r="AU16" s="1">
        <f ca="1">IFERROR(__xludf.DUMMYFUNCTION("if(AU$2="""","""", index(GOOGLEFINANCE($B$16,""close"",AU$2,TODAY()),2,2))"),14.97)</f>
        <v>14.97</v>
      </c>
      <c r="AV16" s="1">
        <f ca="1">IFERROR(__xludf.DUMMYFUNCTION("if(AV$2="""","""", index(GOOGLEFINANCE($B$16,""close"",AV$2,TODAY()),2,2))"),15.29)</f>
        <v>15.29</v>
      </c>
      <c r="AW16" s="1">
        <f ca="1">IFERROR(__xludf.DUMMYFUNCTION("if(AW$2="""","""", index(GOOGLEFINANCE($B$16,""close"",AW$2,TODAY()),2,2))"),15.26)</f>
        <v>15.26</v>
      </c>
      <c r="AX16" s="1">
        <f ca="1">IFERROR(__xludf.DUMMYFUNCTION("if(AX$2="""","""", index(GOOGLEFINANCE($B$16,""close"",AX$2,TODAY()),2,2))"),15.14)</f>
        <v>15.14</v>
      </c>
      <c r="AY16" s="1">
        <f ca="1">IFERROR(__xludf.DUMMYFUNCTION("if(AY$2="""","""", index(GOOGLEFINANCE($B$16,""close"",AY$2,TODAY()),2,2))"),14.94)</f>
        <v>14.94</v>
      </c>
      <c r="AZ16" s="1">
        <f ca="1">IFERROR(__xludf.DUMMYFUNCTION("if(AZ$2="""","""", index(GOOGLEFINANCE($B$16,""close"",AZ$2,TODAY()),2,2))"),15.16)</f>
        <v>15.16</v>
      </c>
      <c r="BA16" s="1">
        <f ca="1">IFERROR(__xludf.DUMMYFUNCTION("if(BA$2="""","""", index(GOOGLEFINANCE($B$16,""close"",BA$2,TODAY()),2,2))"),15.4)</f>
        <v>15.4</v>
      </c>
      <c r="BB16" s="1">
        <f ca="1">IFERROR(__xludf.DUMMYFUNCTION("if(BB$2="""","""", index(GOOGLEFINANCE($B$16,""close"",BB$2,TODAY()),2,2))"),15.8)</f>
        <v>15.8</v>
      </c>
      <c r="BC16" s="1">
        <f ca="1">IFERROR(__xludf.DUMMYFUNCTION("if(BC$2="""","""", index(GOOGLEFINANCE($B$16,""close"",BC$2,TODAY()),2,2))"),15.9)</f>
        <v>15.9</v>
      </c>
      <c r="BD16" s="1">
        <f ca="1">IFERROR(__xludf.DUMMYFUNCTION("if(BD$2="""","""", index(GOOGLEFINANCE($B$16,""close"",BD$2,TODAY()),2,2))"),15.87)</f>
        <v>15.87</v>
      </c>
      <c r="BE16" s="1">
        <f ca="1">IFERROR(__xludf.DUMMYFUNCTION("if(BE$2="""","""", index(GOOGLEFINANCE($B$16,""close"",BE$2,TODAY()),2,2))"),15.98)</f>
        <v>15.98</v>
      </c>
      <c r="BF16" s="1">
        <f ca="1">IFERROR(__xludf.DUMMYFUNCTION("if(BF$2="""","""", index(GOOGLEFINANCE($B$16,""close"",BF$2,TODAY()),2,2))"),15.75)</f>
        <v>15.75</v>
      </c>
      <c r="BG16" s="1">
        <f ca="1">IFERROR(__xludf.DUMMYFUNCTION("if(BG$2="""","""", index(GOOGLEFINANCE($B$16,""close"",BG$2,TODAY()),2,2))"),15.78)</f>
        <v>15.78</v>
      </c>
      <c r="BH16" s="1">
        <f ca="1">IFERROR(__xludf.DUMMYFUNCTION("if(BH$2="""","""", index(GOOGLEFINANCE($B$16,""close"",BH$2,TODAY()),2,2))"),15.72)</f>
        <v>15.72</v>
      </c>
      <c r="BI16" s="1">
        <f ca="1">IFERROR(__xludf.DUMMYFUNCTION("if(BI$2="""","""", index(GOOGLEFINANCE($B$16,""close"",BI$2,TODAY()),2,2))"),15.78)</f>
        <v>15.78</v>
      </c>
      <c r="BJ16" s="1">
        <f ca="1">IFERROR(__xludf.DUMMYFUNCTION("if(BJ$2="""","""", index(GOOGLEFINANCE($B$16,""close"",BJ$2,TODAY()),2,2))"),15.86)</f>
        <v>15.86</v>
      </c>
      <c r="BK16" s="1">
        <f ca="1">IFERROR(__xludf.DUMMYFUNCTION("if(BK$2="""","""", index(GOOGLEFINANCE($B$16,""close"",BK$2,TODAY()),2,2))"),15.78)</f>
        <v>15.78</v>
      </c>
      <c r="BL16" s="1">
        <f ca="1">IFERROR(__xludf.DUMMYFUNCTION("if(BL$2="""","""", index(GOOGLEFINANCE($B$16,""close"",BL$2,TODAY()),2,2))"),15.62)</f>
        <v>15.62</v>
      </c>
      <c r="BM16" s="1">
        <f ca="1">IFERROR(__xludf.DUMMYFUNCTION("if(BM$2="""","""", index(GOOGLEFINANCE($B$16,""close"",BM$2,TODAY()),2,2))"),15.75)</f>
        <v>15.75</v>
      </c>
      <c r="BN16" s="1">
        <f ca="1">IFERROR(__xludf.DUMMYFUNCTION("if(BN$2="""","""", index(GOOGLEFINANCE($B$16,""close"",BN$2,TODAY()),2,2))"),15.77)</f>
        <v>15.77</v>
      </c>
      <c r="BO16" s="1">
        <f ca="1">IFERROR(__xludf.DUMMYFUNCTION("if(BO$2="""","""", index(GOOGLEFINANCE($B$16,""close"",BO$2,TODAY()),2,2))"),15.51)</f>
        <v>15.51</v>
      </c>
      <c r="BP16" s="1">
        <f ca="1">IFERROR(__xludf.DUMMYFUNCTION("if(BP$2="""","""", index(GOOGLEFINANCE($B$16,""close"",BP$2,TODAY()),2,2))"),15.29)</f>
        <v>15.29</v>
      </c>
      <c r="BQ16" s="1">
        <f ca="1">IFERROR(__xludf.DUMMYFUNCTION("if(BQ$2="""","""", index(GOOGLEFINANCE($B$16,""close"",BQ$2,TODAY()),2,2))"),15.39)</f>
        <v>15.39</v>
      </c>
      <c r="BR16" s="1">
        <f ca="1">IFERROR(__xludf.DUMMYFUNCTION("if(BR$2="""","""", index(GOOGLEFINANCE($B$16,""close"",BR$2,TODAY()),2,2))"),15.35)</f>
        <v>15.35</v>
      </c>
      <c r="BS16" s="1">
        <f ca="1">IFERROR(__xludf.DUMMYFUNCTION("if(BS$2="""","""", index(GOOGLEFINANCE($B$16,""close"",BS$2,TODAY()),2,2))"),15.1)</f>
        <v>15.1</v>
      </c>
      <c r="BT16" s="1">
        <f ca="1">IFERROR(__xludf.DUMMYFUNCTION("if(BT$2="""","""", index(GOOGLEFINANCE($B$16,""close"",BT$2,TODAY()),2,2))"),15.1)</f>
        <v>15.1</v>
      </c>
      <c r="BU16" s="1">
        <f ca="1">IFERROR(__xludf.DUMMYFUNCTION("if(BU$2="""","""", index(GOOGLEFINANCE($B$16,""close"",BU$2,TODAY()),2,2))"),15.23)</f>
        <v>15.23</v>
      </c>
      <c r="BV16" s="1">
        <f ca="1">IFERROR(__xludf.DUMMYFUNCTION("if(BV$2="""","""", index(GOOGLEFINANCE($B$16,""close"",BV$2,TODAY()),2,2))"),15.09)</f>
        <v>15.09</v>
      </c>
      <c r="BW16" s="1">
        <f ca="1">IFERROR(__xludf.DUMMYFUNCTION("if(BW$2="""","""", index(GOOGLEFINANCE($B$16,""close"",BW$2,TODAY()),2,2))"),15.11)</f>
        <v>15.11</v>
      </c>
      <c r="BX16" s="1">
        <f ca="1">IFERROR(__xludf.DUMMYFUNCTION("if(BX$2="""","""", index(GOOGLEFINANCE($B$16,""close"",BX$2,TODAY()),2,2))"),15.33)</f>
        <v>15.33</v>
      </c>
      <c r="BY16" s="1">
        <f ca="1">IFERROR(__xludf.DUMMYFUNCTION("if(BY$2="""","""", index(GOOGLEFINANCE($B$16,""close"",BY$2,TODAY()),2,2))"),15.26)</f>
        <v>15.26</v>
      </c>
      <c r="BZ16" s="1">
        <f ca="1">IFERROR(__xludf.DUMMYFUNCTION("if(BZ$2="""","""", index(GOOGLEFINANCE($B$16,""close"",BZ$2,TODAY()),2,2))"),15.02)</f>
        <v>15.02</v>
      </c>
      <c r="CA16" s="1">
        <f ca="1">IFERROR(__xludf.DUMMYFUNCTION("if(CA$2="""","""", index(GOOGLEFINANCE($B$16,""close"",CA$2,TODAY()),2,2))"),14.82)</f>
        <v>14.82</v>
      </c>
      <c r="CB16" s="1">
        <f ca="1">IFERROR(__xludf.DUMMYFUNCTION("if(CB$2="""","""", index(GOOGLEFINANCE($B$16,""close"",CB$2,TODAY()),2,2))"),14.85)</f>
        <v>14.85</v>
      </c>
      <c r="CC16" s="1">
        <f ca="1">IFERROR(__xludf.DUMMYFUNCTION("if(CC$2="""","""", index(GOOGLEFINANCE($B$16,""close"",CC$2,TODAY()),2,2))"),14.44)</f>
        <v>14.44</v>
      </c>
      <c r="CD16" s="1">
        <f ca="1">IFERROR(__xludf.DUMMYFUNCTION("if(CD$2="""","""", index(GOOGLEFINANCE($B$16,""close"",CD$2,TODAY()),2,2))"),14.51)</f>
        <v>14.51</v>
      </c>
      <c r="CE16" s="1">
        <f ca="1">IFERROR(__xludf.DUMMYFUNCTION("if(CE$2="""","""", index(GOOGLEFINANCE($B$16,""close"",CE$2,TODAY()),2,2))"),14.85)</f>
        <v>14.85</v>
      </c>
      <c r="CF16" s="1">
        <f ca="1">IFERROR(__xludf.DUMMYFUNCTION("if(CF$2="""","""", index(GOOGLEFINANCE($B$16,""close"",CF$2,TODAY()),2,2))"),14.54)</f>
        <v>14.54</v>
      </c>
      <c r="CG16" s="1">
        <f ca="1">IFERROR(__xludf.DUMMYFUNCTION("if(CG$2="""","""", index(GOOGLEFINANCE($B$16,""close"",CG$2,TODAY()),2,2))"),14.52)</f>
        <v>14.52</v>
      </c>
      <c r="CH16" s="1">
        <f ca="1">IFERROR(__xludf.DUMMYFUNCTION("if(CH$2="""","""", index(GOOGLEFINANCE($B$16,""close"",CH$2,TODAY()),2,2))"),14.67)</f>
        <v>14.67</v>
      </c>
      <c r="CI16" s="1">
        <f ca="1">IFERROR(__xludf.DUMMYFUNCTION("if(CI$2="""","""", index(GOOGLEFINANCE($B$16,""close"",CI$2,TODAY()),2,2))"),15.09)</f>
        <v>15.09</v>
      </c>
      <c r="CJ16" s="1" t="str">
        <f ca="1">IFERROR(__xludf.DUMMYFUNCTION("if(CJ$2="""","""", index(GOOGLEFINANCE($B$16,""close"",CJ$2,TODAY()),2,2))"),"")</f>
        <v/>
      </c>
      <c r="CK16" s="1" t="str">
        <f ca="1">IFERROR(__xludf.DUMMYFUNCTION("if(CK$2="""","""", index(GOOGLEFINANCE($B$16,""close"",CK$2,TODAY()),2,2))"),"")</f>
        <v/>
      </c>
      <c r="CL16" s="1" t="str">
        <f ca="1">IFERROR(__xludf.DUMMYFUNCTION("if(CL$2="""","""", index(GOOGLEFINANCE($B$16,""close"",CL$2,TODAY()),2,2))"),"")</f>
        <v/>
      </c>
      <c r="CM16" s="1" t="str">
        <f ca="1">IFERROR(__xludf.DUMMYFUNCTION("if(CM$2="""","""", index(GOOGLEFINANCE($B$16,""close"",CM$2,TODAY()),2,2))"),"")</f>
        <v/>
      </c>
      <c r="CN16" s="1" t="str">
        <f ca="1">IFERROR(__xludf.DUMMYFUNCTION("if(CN$2="""","""", index(GOOGLEFINANCE($B$16,""close"",CN$2,TODAY()),2,2))"),"")</f>
        <v/>
      </c>
      <c r="CO16" s="1" t="str">
        <f ca="1">IFERROR(__xludf.DUMMYFUNCTION("if(CO$2="""","""", index(GOOGLEFINANCE($B$16,""close"",CO$2,TODAY()),2,2))"),"")</f>
        <v/>
      </c>
      <c r="CP16" s="1" t="str">
        <f ca="1">IFERROR(__xludf.DUMMYFUNCTION("if(CP$2="""","""", index(GOOGLEFINANCE($B$16,""close"",CP$2,TODAY()),2,2))"),"")</f>
        <v/>
      </c>
      <c r="CQ16" s="1" t="str">
        <f ca="1">IFERROR(__xludf.DUMMYFUNCTION("if(CQ$2="""","""", index(GOOGLEFINANCE($B$16,""close"",CQ$2,TODAY()),2,2))"),"")</f>
        <v/>
      </c>
      <c r="CR16" s="1" t="str">
        <f ca="1">IFERROR(__xludf.DUMMYFUNCTION("if(CR$2="""","""", index(GOOGLEFINANCE($B$16,""close"",CR$2,TODAY()),2,2))"),"")</f>
        <v/>
      </c>
      <c r="CS16" s="1" t="str">
        <f ca="1">IFERROR(__xludf.DUMMYFUNCTION("if(CS$2="""","""", index(GOOGLEFINANCE($B$16,""close"",CS$2,TODAY()),2,2))"),"")</f>
        <v/>
      </c>
      <c r="CT16" s="1" t="str">
        <f ca="1">IFERROR(__xludf.DUMMYFUNCTION("if(CT$2="""","""", index(GOOGLEFINANCE($B$16,""close"",CT$2,TODAY()),2,2))"),"")</f>
        <v/>
      </c>
      <c r="CU16" s="1" t="str">
        <f ca="1">IFERROR(__xludf.DUMMYFUNCTION("if(CU$2="""","""", index(GOOGLEFINANCE($B$16,""close"",CU$2,TODAY()),2,2))"),"")</f>
        <v/>
      </c>
      <c r="CV16" s="1" t="str">
        <f ca="1">IFERROR(__xludf.DUMMYFUNCTION("if(CV$2="""","""", index(GOOGLEFINANCE($B$16,""close"",CV$2,TODAY()),2,2))"),"")</f>
        <v/>
      </c>
      <c r="CW16" s="1" t="str">
        <f ca="1">IFERROR(__xludf.DUMMYFUNCTION("if(CW$2="""","""", index(GOOGLEFINANCE($B$16,""close"",CW$2,TODAY()),2,2))"),"")</f>
        <v/>
      </c>
      <c r="CX16" s="1" t="str">
        <f ca="1">IFERROR(__xludf.DUMMYFUNCTION("if(CX$2="""","""", index(GOOGLEFINANCE($B$16,""close"",CX$2,TODAY()),2,2))"),"")</f>
        <v/>
      </c>
      <c r="CY16" s="1" t="str">
        <f ca="1">IFERROR(__xludf.DUMMYFUNCTION("if(CY$2="""","""", index(GOOGLEFINANCE($B$16,""close"",CY$2,TODAY()),2,2))"),"")</f>
        <v/>
      </c>
      <c r="CZ16" s="1" t="str">
        <f ca="1">IFERROR(__xludf.DUMMYFUNCTION("if(CZ$2="""","""", index(GOOGLEFINANCE($B$16,""close"",CZ$2,TODAY()),2,2))"),"")</f>
        <v/>
      </c>
      <c r="DA16" s="1" t="str">
        <f ca="1">IFERROR(__xludf.DUMMYFUNCTION("if(DA$2="""","""", index(GOOGLEFINANCE($B$16,""close"",DA$2,TODAY()),2,2))"),"")</f>
        <v/>
      </c>
      <c r="DB16" s="1" t="str">
        <f ca="1">IFERROR(__xludf.DUMMYFUNCTION("if(DB$2="""","""", index(GOOGLEFINANCE($B$16,""close"",DB$2,TODAY()),2,2))"),"")</f>
        <v/>
      </c>
      <c r="DC16" s="1" t="str">
        <f ca="1">IFERROR(__xludf.DUMMYFUNCTION("if(DC$2="""","""", index(GOOGLEFINANCE($B$16,""close"",DC$2,TODAY()),2,2))"),"")</f>
        <v/>
      </c>
      <c r="DD16" s="1" t="str">
        <f ca="1">IFERROR(__xludf.DUMMYFUNCTION("if(DD$2="""","""", index(GOOGLEFINANCE($B$16,""close"",DD$2,TODAY()),2,2))"),"")</f>
        <v/>
      </c>
      <c r="DE16" s="1" t="str">
        <f ca="1">IFERROR(__xludf.DUMMYFUNCTION("if(DE$2="""","""", index(GOOGLEFINANCE($B$16,""close"",DE$2,TODAY()),2,2))"),"")</f>
        <v/>
      </c>
      <c r="DF16" s="1" t="str">
        <f ca="1">IFERROR(__xludf.DUMMYFUNCTION("if(DF$2="""","""", index(GOOGLEFINANCE($B$16,""close"",DF$2,TODAY()),2,2))"),"")</f>
        <v/>
      </c>
      <c r="DG16" s="1" t="str">
        <f ca="1">IFERROR(__xludf.DUMMYFUNCTION("if(DG$2="""","""", index(GOOGLEFINANCE($B$16,""close"",DG$2,TODAY()),2,2))"),"")</f>
        <v/>
      </c>
      <c r="DH16" s="1" t="str">
        <f ca="1">IFERROR(__xludf.DUMMYFUNCTION("if(DH$2="""","""", index(GOOGLEFINANCE($B$16,""close"",DH$2,TODAY()),2,2))"),"")</f>
        <v/>
      </c>
      <c r="DI16" s="1" t="str">
        <f ca="1">IFERROR(__xludf.DUMMYFUNCTION("if(DI$2="""","""", index(GOOGLEFINANCE($B$16,""close"",DI$2,TODAY()),2,2))"),"")</f>
        <v/>
      </c>
      <c r="DJ16" s="1" t="str">
        <f ca="1">IFERROR(__xludf.DUMMYFUNCTION("if(DJ$2="""","""", index(GOOGLEFINANCE($B$16,""close"",DJ$2,TODAY()),2,2))"),"")</f>
        <v/>
      </c>
      <c r="DK16" s="1" t="str">
        <f ca="1">IFERROR(__xludf.DUMMYFUNCTION("if(DK$2="""","""", index(GOOGLEFINANCE($B$16,""close"",DK$2,TODAY()),2,2))"),"")</f>
        <v/>
      </c>
      <c r="DL16" s="1" t="str">
        <f ca="1">IFERROR(__xludf.DUMMYFUNCTION("if(DL$2="""","""", index(GOOGLEFINANCE($B$16,""close"",DL$2,TODAY()),2,2))"),"")</f>
        <v/>
      </c>
      <c r="DM16" s="1" t="str">
        <f ca="1">IFERROR(__xludf.DUMMYFUNCTION("if(DM$2="""","""", index(GOOGLEFINANCE($B$16,""close"",DM$2,TODAY()),2,2))"),"")</f>
        <v/>
      </c>
      <c r="DN16" s="1" t="str">
        <f ca="1">IFERROR(__xludf.DUMMYFUNCTION("if(DN$2="""","""", index(GOOGLEFINANCE($B$16,""close"",DN$2,TODAY()),2,2))"),"")</f>
        <v/>
      </c>
      <c r="DO16" s="1" t="str">
        <f ca="1">IFERROR(__xludf.DUMMYFUNCTION("if(DO$2="""","""", index(GOOGLEFINANCE($B$16,""close"",DO$2,TODAY()),2,2))"),"")</f>
        <v/>
      </c>
      <c r="DP16" s="1" t="str">
        <f ca="1">IFERROR(__xludf.DUMMYFUNCTION("if(DP$2="""","""", index(GOOGLEFINANCE($B$16,""close"",DP$2,TODAY()),2,2))"),"")</f>
        <v/>
      </c>
      <c r="DQ16" s="1" t="str">
        <f ca="1">IFERROR(__xludf.DUMMYFUNCTION("if(DQ$2="""","""", index(GOOGLEFINANCE($B$16,""close"",DQ$2,TODAY()),2,2))"),"")</f>
        <v/>
      </c>
      <c r="DR16" s="1" t="str">
        <f ca="1">IFERROR(__xludf.DUMMYFUNCTION("if(DR$2="""","""", index(GOOGLEFINANCE($B$16,""close"",DR$2,TODAY()),2,2))"),"")</f>
        <v/>
      </c>
      <c r="DS16" s="1" t="str">
        <f ca="1">IFERROR(__xludf.DUMMYFUNCTION("if(DS$2="""","""", index(GOOGLEFINANCE($B$16,""close"",DS$2,TODAY()),2,2))"),"")</f>
        <v/>
      </c>
      <c r="DT16" s="1" t="str">
        <f ca="1">IFERROR(__xludf.DUMMYFUNCTION("if(DT$2="""","""", index(GOOGLEFINANCE($B$16,""close"",DT$2,TODAY()),2,2))"),"")</f>
        <v/>
      </c>
      <c r="DU16" s="1" t="str">
        <f ca="1">IFERROR(__xludf.DUMMYFUNCTION("if(DU$2="""","""", index(GOOGLEFINANCE($B$16,""close"",DU$2,TODAY()),2,2))"),"")</f>
        <v/>
      </c>
      <c r="DV16" s="1" t="str">
        <f ca="1">IFERROR(__xludf.DUMMYFUNCTION("if(DV$2="""","""", index(GOOGLEFINANCE($B$16,""close"",DV$2,TODAY()),2,2))"),"")</f>
        <v/>
      </c>
      <c r="DW16" s="1" t="str">
        <f ca="1">IFERROR(__xludf.DUMMYFUNCTION("if(DW$2="""","""", index(GOOGLEFINANCE($B$16,""close"",DW$2,TODAY()),2,2))"),"")</f>
        <v/>
      </c>
      <c r="DX16" s="1" t="str">
        <f ca="1">IFERROR(__xludf.DUMMYFUNCTION("if(DX$2="""","""", index(GOOGLEFINANCE($B$16,""close"",DX$2,TODAY()),2,2))"),"")</f>
        <v/>
      </c>
      <c r="DY16" s="1" t="str">
        <f ca="1">IFERROR(__xludf.DUMMYFUNCTION("if(DY$2="""","""", index(GOOGLEFINANCE($B$16,""close"",DY$2,TODAY()),2,2))"),"")</f>
        <v/>
      </c>
      <c r="DZ16" s="1" t="str">
        <f ca="1">IFERROR(__xludf.DUMMYFUNCTION("if(DZ$2="""","""", index(GOOGLEFINANCE($B$16,""close"",DZ$2,TODAY()),2,2))"),"")</f>
        <v/>
      </c>
      <c r="EA16" s="1" t="str">
        <f ca="1">IFERROR(__xludf.DUMMYFUNCTION("if(EA$2="""","""", index(GOOGLEFINANCE($B$16,""close"",EA$2,TODAY()),2,2))"),"")</f>
        <v/>
      </c>
      <c r="EB16" s="1" t="str">
        <f ca="1">IFERROR(__xludf.DUMMYFUNCTION("if(EB$2="""","""", index(GOOGLEFINANCE($B$16,""close"",EB$2,TODAY()),2,2))"),"")</f>
        <v/>
      </c>
      <c r="EC16" s="1" t="str">
        <f ca="1">IFERROR(__xludf.DUMMYFUNCTION("if(EC$2="""","""", index(GOOGLEFINANCE($B$16,""close"",EC$2,TODAY()),2,2))"),"")</f>
        <v/>
      </c>
      <c r="ED16" s="1" t="str">
        <f ca="1">IFERROR(__xludf.DUMMYFUNCTION("if(ED$2="""","""", index(GOOGLEFINANCE($B$16,""close"",ED$2,TODAY()),2,2))"),"")</f>
        <v/>
      </c>
      <c r="EE16" s="1" t="str">
        <f ca="1">IFERROR(__xludf.DUMMYFUNCTION("if(EE$2="""","""", index(GOOGLEFINANCE($B$16,""close"",EE$2,TODAY()),2,2))"),"")</f>
        <v/>
      </c>
      <c r="EF16" s="1" t="str">
        <f ca="1">IFERROR(__xludf.DUMMYFUNCTION("if(EF$2="""","""", index(GOOGLEFINANCE($B$16,""close"",EF$2,TODAY()),2,2))"),"")</f>
        <v/>
      </c>
      <c r="EG16" s="1" t="str">
        <f ca="1">IFERROR(__xludf.DUMMYFUNCTION("if(EG$2="""","""", index(GOOGLEFINANCE($B$16,""close"",EG$2,TODAY()),2,2))"),"")</f>
        <v/>
      </c>
      <c r="EH16" s="1" t="str">
        <f ca="1">IFERROR(__xludf.DUMMYFUNCTION("if(EH$2="""","""", index(GOOGLEFINANCE($B$16,""close"",EH$2,TODAY()),2,2))"),"")</f>
        <v/>
      </c>
      <c r="EI16" s="1" t="str">
        <f ca="1">IFERROR(__xludf.DUMMYFUNCTION("if(EI$2="""","""", index(GOOGLEFINANCE($B$16,""close"",EI$2,TODAY()),2,2))"),"")</f>
        <v/>
      </c>
      <c r="EJ16" s="1" t="str">
        <f ca="1">IFERROR(__xludf.DUMMYFUNCTION("if(EJ$2="""","""", index(GOOGLEFINANCE($B$16,""close"",EJ$2,TODAY()),2,2))"),"")</f>
        <v/>
      </c>
      <c r="EK16" s="1" t="str">
        <f ca="1">IFERROR(__xludf.DUMMYFUNCTION("if(EK$2="""","""", index(GOOGLEFINANCE($B$16,""close"",EK$2,TODAY()),2,2))"),"")</f>
        <v/>
      </c>
      <c r="EL16" s="1" t="str">
        <f ca="1">IFERROR(__xludf.DUMMYFUNCTION("if(EL$2="""","""", index(GOOGLEFINANCE($B$16,""close"",EL$2,TODAY()),2,2))"),"")</f>
        <v/>
      </c>
      <c r="EM16" s="1" t="str">
        <f ca="1">IFERROR(__xludf.DUMMYFUNCTION("if(EM$2="""","""", index(GOOGLEFINANCE($B$16,""close"",EM$2,TODAY()),2,2))"),"")</f>
        <v/>
      </c>
      <c r="EN16" s="1" t="str">
        <f ca="1">IFERROR(__xludf.DUMMYFUNCTION("if(EN$2="""","""", index(GOOGLEFINANCE($B$16,""close"",EN$2,TODAY()),2,2))"),"")</f>
        <v/>
      </c>
      <c r="EO16" s="1" t="str">
        <f ca="1">IFERROR(__xludf.DUMMYFUNCTION("if(EO$2="""","""", index(GOOGLEFINANCE($B$16,""close"",EO$2,TODAY()),2,2))"),"")</f>
        <v/>
      </c>
      <c r="EP16" s="1" t="str">
        <f ca="1">IFERROR(__xludf.DUMMYFUNCTION("if(EP$2="""","""", index(GOOGLEFINANCE($B$16,""close"",EP$2,TODAY()),2,2))"),"")</f>
        <v/>
      </c>
      <c r="EQ16" s="1" t="str">
        <f ca="1">IFERROR(__xludf.DUMMYFUNCTION("if(EQ$2="""","""", index(GOOGLEFINANCE($B$16,""close"",EQ$2,TODAY()),2,2))"),"")</f>
        <v/>
      </c>
      <c r="ER16" s="1" t="str">
        <f ca="1">IFERROR(__xludf.DUMMYFUNCTION("if(ER$2="""","""", index(GOOGLEFINANCE($B$16,""close"",ER$2,TODAY()),2,2))"),"")</f>
        <v/>
      </c>
      <c r="ES16" s="1" t="str">
        <f ca="1">IFERROR(__xludf.DUMMYFUNCTION("if(ES$2="""","""", index(GOOGLEFINANCE($B$16,""close"",ES$2,TODAY()),2,2))"),"")</f>
        <v/>
      </c>
      <c r="ET16" s="1" t="str">
        <f ca="1">IFERROR(__xludf.DUMMYFUNCTION("if(ET$2="""","""", index(GOOGLEFINANCE($B$16,""close"",ET$2,TODAY()),2,2))"),"")</f>
        <v/>
      </c>
      <c r="EU16" s="1" t="str">
        <f ca="1">IFERROR(__xludf.DUMMYFUNCTION("if(EU$2="""","""", index(GOOGLEFINANCE($B$16,""close"",EU$2,TODAY()),2,2))"),"")</f>
        <v/>
      </c>
      <c r="EV16" s="1" t="str">
        <f ca="1">IFERROR(__xludf.DUMMYFUNCTION("if(EV$2="""","""", index(GOOGLEFINANCE($B$16,""close"",EV$2,TODAY()),2,2))"),"")</f>
        <v/>
      </c>
      <c r="EW16" s="1" t="str">
        <f ca="1">IFERROR(__xludf.DUMMYFUNCTION("if(EW$2="""","""", index(GOOGLEFINANCE($B$16,""close"",EW$2,TODAY()),2,2))"),"")</f>
        <v/>
      </c>
      <c r="EX16" s="1" t="str">
        <f ca="1">IFERROR(__xludf.DUMMYFUNCTION("if(EX$2="""","""", index(GOOGLEFINANCE($B$16,""close"",EX$2,TODAY()),2,2))"),"")</f>
        <v/>
      </c>
      <c r="EY16" s="1" t="str">
        <f ca="1">IFERROR(__xludf.DUMMYFUNCTION("if(EY$2="""","""", index(GOOGLEFINANCE($B$16,""close"",EY$2,TODAY()),2,2))"),"")</f>
        <v/>
      </c>
      <c r="EZ16" s="1" t="str">
        <f ca="1">IFERROR(__xludf.DUMMYFUNCTION("if(EZ$2="""","""", index(GOOGLEFINANCE($B$16,""close"",EZ$2,TODAY()),2,2))"),"")</f>
        <v/>
      </c>
      <c r="FA16" s="1" t="str">
        <f ca="1">IFERROR(__xludf.DUMMYFUNCTION("if(FA$2="""","""", index(GOOGLEFINANCE($B$16,""close"",FA$2,TODAY()),2,2))"),"")</f>
        <v/>
      </c>
      <c r="FB16" s="1" t="str">
        <f ca="1">IFERROR(__xludf.DUMMYFUNCTION("if(FB$2="""","""", index(GOOGLEFINANCE($B$16,""close"",FB$2,TODAY()),2,2))"),"")</f>
        <v/>
      </c>
      <c r="FC16" s="1" t="str">
        <f ca="1">IFERROR(__xludf.DUMMYFUNCTION("if(FC$2="""","""", index(GOOGLEFINANCE($B$16,""close"",FC$2,TODAY()),2,2))"),"")</f>
        <v/>
      </c>
      <c r="FD16" s="1" t="str">
        <f ca="1">IFERROR(__xludf.DUMMYFUNCTION("if(FD$2="""","""", index(GOOGLEFINANCE($B$16,""close"",FD$2,TODAY()),2,2))"),"")</f>
        <v/>
      </c>
      <c r="FE16" s="1" t="str">
        <f ca="1">IFERROR(__xludf.DUMMYFUNCTION("if(FE$2="""","""", index(GOOGLEFINANCE($B$16,""close"",FE$2,TODAY()),2,2))"),"")</f>
        <v/>
      </c>
      <c r="FF16" s="1" t="str">
        <f ca="1">IFERROR(__xludf.DUMMYFUNCTION("if(FF$2="""","""", index(GOOGLEFINANCE($B$16,""close"",FF$2,TODAY()),2,2))"),"")</f>
        <v/>
      </c>
      <c r="FG16" s="1" t="str">
        <f ca="1">IFERROR(__xludf.DUMMYFUNCTION("if(FG$2="""","""", index(GOOGLEFINANCE($B$16,""close"",FG$2,TODAY()),2,2))"),"")</f>
        <v/>
      </c>
      <c r="FH16" s="1" t="str">
        <f ca="1">IFERROR(__xludf.DUMMYFUNCTION("if(FH$2="""","""", index(GOOGLEFINANCE($B$16,""close"",FH$2,TODAY()),2,2))"),"")</f>
        <v/>
      </c>
      <c r="FI16" s="1" t="str">
        <f ca="1">IFERROR(__xludf.DUMMYFUNCTION("if(FI$2="""","""", index(GOOGLEFINANCE($B$16,""close"",FI$2,TODAY()),2,2))"),"")</f>
        <v/>
      </c>
      <c r="FJ16" s="1" t="str">
        <f ca="1">IFERROR(__xludf.DUMMYFUNCTION("if(FJ$2="""","""", index(GOOGLEFINANCE($B$16,""close"",FJ$2,TODAY()),2,2))"),"")</f>
        <v/>
      </c>
      <c r="FK16" s="1" t="str">
        <f ca="1">IFERROR(__xludf.DUMMYFUNCTION("if(FK$2="""","""", index(GOOGLEFINANCE($B$16,""close"",FK$2,TODAY()),2,2))"),"")</f>
        <v/>
      </c>
      <c r="FL16" s="1" t="str">
        <f ca="1">IFERROR(__xludf.DUMMYFUNCTION("if(FL$2="""","""", index(GOOGLEFINANCE($B$16,""close"",FL$2,TODAY()),2,2))"),"")</f>
        <v/>
      </c>
      <c r="FM16" s="1" t="str">
        <f ca="1">IFERROR(__xludf.DUMMYFUNCTION("if(FM$2="""","""", index(GOOGLEFINANCE($B$16,""close"",FM$2,TODAY()),2,2))"),"")</f>
        <v/>
      </c>
      <c r="FN16" s="1" t="str">
        <f ca="1">IFERROR(__xludf.DUMMYFUNCTION("if(FN$2="""","""", index(GOOGLEFINANCE($B$16,""close"",FN$2,TODAY()),2,2))"),"")</f>
        <v/>
      </c>
      <c r="FO16" s="1" t="str">
        <f ca="1">IFERROR(__xludf.DUMMYFUNCTION("if(FO$2="""","""", index(GOOGLEFINANCE($B$16,""close"",FO$2,TODAY()),2,2))"),"")</f>
        <v/>
      </c>
      <c r="FP16" s="1" t="str">
        <f ca="1">IFERROR(__xludf.DUMMYFUNCTION("if(FP$2="""","""", index(GOOGLEFINANCE($B$16,""close"",FP$2,TODAY()),2,2))"),"")</f>
        <v/>
      </c>
      <c r="FQ16" s="1" t="str">
        <f ca="1">IFERROR(__xludf.DUMMYFUNCTION("if(FQ$2="""","""", index(GOOGLEFINANCE($B$16,""close"",FQ$2,TODAY()),2,2))"),"")</f>
        <v/>
      </c>
      <c r="FR16" s="1" t="str">
        <f ca="1">IFERROR(__xludf.DUMMYFUNCTION("if(FR$2="""","""", index(GOOGLEFINANCE($B$16,""close"",FR$2,TODAY()),2,2))"),"")</f>
        <v/>
      </c>
      <c r="FS16" s="1" t="str">
        <f ca="1">IFERROR(__xludf.DUMMYFUNCTION("if(FS$2="""","""", index(GOOGLEFINANCE($B$16,""close"",FS$2,TODAY()),2,2))"),"")</f>
        <v/>
      </c>
      <c r="FT16" s="1" t="str">
        <f ca="1">IFERROR(__xludf.DUMMYFUNCTION("if(FT$2="""","""", index(GOOGLEFINANCE($B$16,""close"",FT$2,TODAY()),2,2))"),"")</f>
        <v/>
      </c>
      <c r="FU16" s="1" t="str">
        <f ca="1">IFERROR(__xludf.DUMMYFUNCTION("if(FU$2="""","""", index(GOOGLEFINANCE($B$16,""close"",FU$2,TODAY()),2,2))"),"")</f>
        <v/>
      </c>
      <c r="FV16" s="1" t="str">
        <f ca="1">IFERROR(__xludf.DUMMYFUNCTION("if(FV$2="""","""", index(GOOGLEFINANCE($B$16,""close"",FV$2,TODAY()),2,2))"),"")</f>
        <v/>
      </c>
      <c r="FW16" s="1" t="str">
        <f ca="1">IFERROR(__xludf.DUMMYFUNCTION("if(FW$2="""","""", index(GOOGLEFINANCE($B$16,""close"",FW$2,TODAY()),2,2))"),"")</f>
        <v/>
      </c>
      <c r="FX16" s="1" t="str">
        <f ca="1">IFERROR(__xludf.DUMMYFUNCTION("if(FX$2="""","""", index(GOOGLEFINANCE($B$16,""close"",FX$2,TODAY()),2,2))"),"")</f>
        <v/>
      </c>
      <c r="FY16" s="1" t="str">
        <f ca="1">IFERROR(__xludf.DUMMYFUNCTION("if(FY$2="""","""", index(GOOGLEFINANCE($B$16,""close"",FY$2,TODAY()),2,2))"),"")</f>
        <v/>
      </c>
      <c r="FZ16" s="1" t="str">
        <f ca="1">IFERROR(__xludf.DUMMYFUNCTION("if(FZ$2="""","""", index(GOOGLEFINANCE($B$16,""close"",FZ$2,TODAY()),2,2))"),"")</f>
        <v/>
      </c>
      <c r="GA16" s="1" t="str">
        <f ca="1">IFERROR(__xludf.DUMMYFUNCTION("if(GA$2="""","""", index(GOOGLEFINANCE($B$16,""close"",GA$2,TODAY()),2,2))"),"")</f>
        <v/>
      </c>
      <c r="GB16" s="1" t="str">
        <f ca="1">IFERROR(__xludf.DUMMYFUNCTION("if(GB$2="""","""", index(GOOGLEFINANCE($B$16,""close"",GB$2,TODAY()),2,2))"),"")</f>
        <v/>
      </c>
      <c r="GC16" s="1" t="str">
        <f ca="1">IFERROR(__xludf.DUMMYFUNCTION("if(GC$2="""","""", index(GOOGLEFINANCE($B$16,""close"",GC$2,TODAY()),2,2))"),"")</f>
        <v/>
      </c>
      <c r="GD16" s="1" t="str">
        <f ca="1">IFERROR(__xludf.DUMMYFUNCTION("if(GD$2="""","""", index(GOOGLEFINANCE($B$16,""close"",GD$2,TODAY()),2,2))"),"")</f>
        <v/>
      </c>
      <c r="GE16" s="1" t="str">
        <f ca="1">IFERROR(__xludf.DUMMYFUNCTION("if(GE$2="""","""", index(GOOGLEFINANCE($B$16,""close"",GE$2,TODAY()),2,2))"),"")</f>
        <v/>
      </c>
      <c r="GF16" s="1" t="str">
        <f ca="1">IFERROR(__xludf.DUMMYFUNCTION("if(GF$2="""","""", index(GOOGLEFINANCE($B$16,""close"",GF$2,TODAY()),2,2))"),"")</f>
        <v/>
      </c>
      <c r="GG16" s="1" t="str">
        <f ca="1">IFERROR(__xludf.DUMMYFUNCTION("if(GG$2="""","""", index(GOOGLEFINANCE($B$16,""close"",GG$2,TODAY()),2,2))"),"")</f>
        <v/>
      </c>
      <c r="GH16" s="1" t="str">
        <f ca="1">IFERROR(__xludf.DUMMYFUNCTION("if(GH$2="""","""", index(GOOGLEFINANCE($B$16,""close"",GH$2,TODAY()),2,2))"),"")</f>
        <v/>
      </c>
      <c r="GI16" s="1" t="str">
        <f ca="1">IFERROR(__xludf.DUMMYFUNCTION("if(GI$2="""","""", index(GOOGLEFINANCE($B$16,""close"",GI$2,TODAY()),2,2))"),"")</f>
        <v/>
      </c>
      <c r="GJ16" s="1" t="str">
        <f ca="1">IFERROR(__xludf.DUMMYFUNCTION("if(GJ$2="""","""", index(GOOGLEFINANCE($B$16,""close"",GJ$2,TODAY()),2,2))"),"")</f>
        <v/>
      </c>
      <c r="GK16" s="1" t="str">
        <f ca="1">IFERROR(__xludf.DUMMYFUNCTION("if(GK$2="""","""", index(GOOGLEFINANCE($B$16,""close"",GK$2,TODAY()),2,2))"),"")</f>
        <v/>
      </c>
      <c r="GL16" s="1" t="str">
        <f ca="1">IFERROR(__xludf.DUMMYFUNCTION("if(GL$2="""","""", index(GOOGLEFINANCE($B$16,""close"",GL$2,TODAY()),2,2))"),"")</f>
        <v/>
      </c>
      <c r="GM16" s="1" t="str">
        <f ca="1">IFERROR(__xludf.DUMMYFUNCTION("if(GM$2="""","""", index(GOOGLEFINANCE($B$16,""close"",GM$2,TODAY()),2,2))"),"")</f>
        <v/>
      </c>
      <c r="GN16" s="1" t="str">
        <f ca="1">IFERROR(__xludf.DUMMYFUNCTION("if(GN$2="""","""", index(GOOGLEFINANCE($B$16,""close"",GN$2,TODAY()),2,2))"),"")</f>
        <v/>
      </c>
      <c r="GO16" s="1" t="str">
        <f ca="1">IFERROR(__xludf.DUMMYFUNCTION("if(GO$2="""","""", index(GOOGLEFINANCE($B$16,""close"",GO$2,TODAY()),2,2))"),"")</f>
        <v/>
      </c>
      <c r="GP16" s="1" t="str">
        <f ca="1">IFERROR(__xludf.DUMMYFUNCTION("if(GP$2="""","""", index(GOOGLEFINANCE($B$16,""close"",GP$2,TODAY()),2,2))"),"")</f>
        <v/>
      </c>
      <c r="GQ16" s="1" t="str">
        <f ca="1">IFERROR(__xludf.DUMMYFUNCTION("if(GQ$2="""","""", index(GOOGLEFINANCE($B$16,""close"",GQ$2,TODAY()),2,2))"),"")</f>
        <v/>
      </c>
      <c r="GR16" s="1" t="str">
        <f ca="1">IFERROR(__xludf.DUMMYFUNCTION("if(GR$2="""","""", index(GOOGLEFINANCE($B$16,""close"",GR$2,TODAY()),2,2))"),"")</f>
        <v/>
      </c>
      <c r="GS16" s="1" t="str">
        <f ca="1">IFERROR(__xludf.DUMMYFUNCTION("if(GS$2="""","""", index(GOOGLEFINANCE($B$16,""close"",GS$2,TODAY()),2,2))"),"")</f>
        <v/>
      </c>
      <c r="GT16" s="1" t="str">
        <f ca="1">IFERROR(__xludf.DUMMYFUNCTION("if(GT$2="""","""", index(GOOGLEFINANCE($B$16,""close"",GT$2,TODAY()),2,2))"),"")</f>
        <v/>
      </c>
      <c r="GU16" s="1" t="str">
        <f ca="1">IFERROR(__xludf.DUMMYFUNCTION("if(GU$2="""","""", index(GOOGLEFINANCE($B$16,""close"",GU$2,TODAY()),2,2))"),"")</f>
        <v/>
      </c>
      <c r="GV16" s="1" t="str">
        <f ca="1">IFERROR(__xludf.DUMMYFUNCTION("if(GV$2="""","""", index(GOOGLEFINANCE($B$16,""close"",GV$2,TODAY()),2,2))"),"")</f>
        <v/>
      </c>
      <c r="GW16" s="1" t="str">
        <f ca="1">IFERROR(__xludf.DUMMYFUNCTION("if(GW$2="""","""", index(GOOGLEFINANCE($B$16,""close"",GW$2,TODAY()),2,2))"),"")</f>
        <v/>
      </c>
      <c r="GX16" s="1" t="str">
        <f ca="1">IFERROR(__xludf.DUMMYFUNCTION("if(GX$2="""","""", index(GOOGLEFINANCE($B$16,""close"",GX$2,TODAY()),2,2))"),"")</f>
        <v/>
      </c>
      <c r="GY16" s="1" t="str">
        <f ca="1">IFERROR(__xludf.DUMMYFUNCTION("if(GY$2="""","""", index(GOOGLEFINANCE($B$16,""close"",GY$2,TODAY()),2,2))"),"")</f>
        <v/>
      </c>
      <c r="GZ16" s="1" t="str">
        <f ca="1">IFERROR(__xludf.DUMMYFUNCTION("if(GZ$2="""","""", index(GOOGLEFINANCE($B$16,""close"",GZ$2,TODAY()),2,2))"),"")</f>
        <v/>
      </c>
      <c r="HA16" s="1" t="str">
        <f ca="1">IFERROR(__xludf.DUMMYFUNCTION("if(HA$2="""","""", index(GOOGLEFINANCE($B$16,""close"",HA$2,TODAY()),2,2))"),"")</f>
        <v/>
      </c>
      <c r="HB16" s="1" t="str">
        <f ca="1">IFERROR(__xludf.DUMMYFUNCTION("if(HB$2="""","""", index(GOOGLEFINANCE($B$16,""close"",HB$2,TODAY()),2,2))"),"")</f>
        <v/>
      </c>
      <c r="HC16" s="1" t="str">
        <f ca="1">IFERROR(__xludf.DUMMYFUNCTION("if(HC$2="""","""", index(GOOGLEFINANCE($B$16,""close"",HC$2,TODAY()),2,2))"),"")</f>
        <v/>
      </c>
      <c r="HD16" s="1" t="str">
        <f ca="1">IFERROR(__xludf.DUMMYFUNCTION("if(HD$2="""","""", index(GOOGLEFINANCE($B$16,""close"",HD$2,TODAY()),2,2))"),"")</f>
        <v/>
      </c>
      <c r="HE16" s="1" t="str">
        <f ca="1">IFERROR(__xludf.DUMMYFUNCTION("if(HE$2="""","""", index(GOOGLEFINANCE($B$16,""close"",HE$2,TODAY()),2,2))"),"")</f>
        <v/>
      </c>
      <c r="HF16" s="1" t="str">
        <f ca="1">IFERROR(__xludf.DUMMYFUNCTION("if(HF$2="""","""", index(GOOGLEFINANCE($B$16,""close"",HF$2,TODAY()),2,2))"),"")</f>
        <v/>
      </c>
      <c r="HG16" s="1" t="str">
        <f ca="1">IFERROR(__xludf.DUMMYFUNCTION("if(HG$2="""","""", index(GOOGLEFINANCE($B$16,""close"",HG$2,TODAY()),2,2))"),"")</f>
        <v/>
      </c>
      <c r="HH16" s="1" t="str">
        <f ca="1">IFERROR(__xludf.DUMMYFUNCTION("if(HH$2="""","""", index(GOOGLEFINANCE($B$16,""close"",HH$2,TODAY()),2,2))"),"")</f>
        <v/>
      </c>
      <c r="HI16" s="1" t="str">
        <f ca="1">IFERROR(__xludf.DUMMYFUNCTION("if(HI$2="""","""", index(GOOGLEFINANCE($B$16,""close"",HI$2,TODAY()),2,2))"),"")</f>
        <v/>
      </c>
      <c r="HJ16" s="1" t="str">
        <f ca="1">IFERROR(__xludf.DUMMYFUNCTION("if(HJ$2="""","""", index(GOOGLEFINANCE($B$16,""close"",HJ$2,TODAY()),2,2))"),"")</f>
        <v/>
      </c>
      <c r="HK16" s="1" t="str">
        <f ca="1">IFERROR(__xludf.DUMMYFUNCTION("if(HK$2="""","""", index(GOOGLEFINANCE($B$16,""close"",HK$2,TODAY()),2,2))"),"")</f>
        <v/>
      </c>
      <c r="HL16" s="1" t="str">
        <f ca="1">IFERROR(__xludf.DUMMYFUNCTION("if(HL$2="""","""", index(GOOGLEFINANCE($B$16,""close"",HL$2,TODAY()),2,2))"),"")</f>
        <v/>
      </c>
      <c r="HM16" s="1" t="str">
        <f ca="1">IFERROR(__xludf.DUMMYFUNCTION("if(HM$2="""","""", index(GOOGLEFINANCE($B$16,""close"",HM$2,TODAY()),2,2))"),"")</f>
        <v/>
      </c>
      <c r="HN16" s="1" t="str">
        <f ca="1">IFERROR(__xludf.DUMMYFUNCTION("if(HN$2="""","""", index(GOOGLEFINANCE($B$16,""close"",HN$2,TODAY()),2,2))"),"")</f>
        <v/>
      </c>
      <c r="HO16" s="1" t="str">
        <f ca="1">IFERROR(__xludf.DUMMYFUNCTION("if(HO$2="""","""", index(GOOGLEFINANCE($B$16,""close"",HO$2,TODAY()),2,2))"),"")</f>
        <v/>
      </c>
      <c r="HP16" s="1" t="str">
        <f ca="1">IFERROR(__xludf.DUMMYFUNCTION("if(HP$2="""","""", index(GOOGLEFINANCE($B$16,""close"",HP$2,TODAY()),2,2))"),"")</f>
        <v/>
      </c>
      <c r="HQ16" s="1" t="str">
        <f ca="1">IFERROR(__xludf.DUMMYFUNCTION("if(HQ$2="""","""", index(GOOGLEFINANCE($B$16,""close"",HQ$2,TODAY()),2,2))"),"")</f>
        <v/>
      </c>
      <c r="HR16" s="1" t="str">
        <f ca="1">IFERROR(__xludf.DUMMYFUNCTION("if(HR$2="""","""", index(GOOGLEFINANCE($B$16,""close"",HR$2,TODAY()),2,2))"),"")</f>
        <v/>
      </c>
      <c r="HS16" s="1" t="str">
        <f ca="1">IFERROR(__xludf.DUMMYFUNCTION("if(HS$2="""","""", index(GOOGLEFINANCE($B$16,""close"",HS$2,TODAY()),2,2))"),"")</f>
        <v/>
      </c>
      <c r="HT16" s="1" t="str">
        <f ca="1">IFERROR(__xludf.DUMMYFUNCTION("if(HT$2="""","""", index(GOOGLEFINANCE($B$16,""close"",HT$2,TODAY()),2,2))"),"")</f>
        <v/>
      </c>
      <c r="HU16" s="1" t="str">
        <f ca="1">IFERROR(__xludf.DUMMYFUNCTION("if(HU$2="""","""", index(GOOGLEFINANCE($B$16,""close"",HU$2,TODAY()),2,2))"),"")</f>
        <v/>
      </c>
      <c r="HV16" s="1" t="str">
        <f ca="1">IFERROR(__xludf.DUMMYFUNCTION("if(HV$2="""","""", index(GOOGLEFINANCE($B$16,""close"",HV$2,TODAY()),2,2))"),"")</f>
        <v/>
      </c>
      <c r="HW16" s="1" t="str">
        <f ca="1">IFERROR(__xludf.DUMMYFUNCTION("if(HW$2="""","""", index(GOOGLEFINANCE($B$16,""close"",HW$2,TODAY()),2,2))"),"")</f>
        <v/>
      </c>
      <c r="HX16" s="1" t="str">
        <f ca="1">IFERROR(__xludf.DUMMYFUNCTION("if(HX$2="""","""", index(GOOGLEFINANCE($B$16,""close"",HX$2,TODAY()),2,2))"),"")</f>
        <v/>
      </c>
      <c r="HY16" s="1" t="str">
        <f ca="1">IFERROR(__xludf.DUMMYFUNCTION("if(HY$2="""","""", index(GOOGLEFINANCE($B$16,""close"",HY$2,TODAY()),2,2))"),"")</f>
        <v/>
      </c>
      <c r="HZ16" s="1" t="str">
        <f ca="1">IFERROR(__xludf.DUMMYFUNCTION("if(HZ$2="""","""", index(GOOGLEFINANCE($B$16,""close"",HZ$2,TODAY()),2,2))"),"")</f>
        <v/>
      </c>
      <c r="IA16" s="1" t="str">
        <f ca="1">IFERROR(__xludf.DUMMYFUNCTION("if(IA$2="""","""", index(GOOGLEFINANCE($B$16,""close"",IA$2,TODAY()),2,2))"),"")</f>
        <v/>
      </c>
      <c r="IB16" s="1" t="str">
        <f ca="1">IFERROR(__xludf.DUMMYFUNCTION("if(IB$2="""","""", index(GOOGLEFINANCE($B$16,""close"",IB$2,TODAY()),2,2))"),"")</f>
        <v/>
      </c>
      <c r="IC16" s="1" t="str">
        <f ca="1">IFERROR(__xludf.DUMMYFUNCTION("if(IC$2="""","""", index(GOOGLEFINANCE($B$16,""close"",IC$2,TODAY()),2,2))"),"")</f>
        <v/>
      </c>
      <c r="ID16" s="1" t="str">
        <f ca="1">IFERROR(__xludf.DUMMYFUNCTION("if(ID$2="""","""", index(GOOGLEFINANCE($B$16,""close"",ID$2,TODAY()),2,2))"),"")</f>
        <v/>
      </c>
      <c r="IE16" s="1" t="str">
        <f ca="1">IFERROR(__xludf.DUMMYFUNCTION("if(IE$2="""","""", index(GOOGLEFINANCE($B$16,""close"",IE$2,TODAY()),2,2))"),"")</f>
        <v/>
      </c>
      <c r="IF16" s="1" t="str">
        <f ca="1">IFERROR(__xludf.DUMMYFUNCTION("if(IF$2="""","""", index(GOOGLEFINANCE($B$16,""close"",IF$2,TODAY()),2,2))"),"")</f>
        <v/>
      </c>
      <c r="IG16" s="1" t="str">
        <f ca="1">IFERROR(__xludf.DUMMYFUNCTION("if(IG$2="""","""", index(GOOGLEFINANCE($B$16,""close"",IG$2,TODAY()),2,2))"),"")</f>
        <v/>
      </c>
      <c r="IH16" s="1" t="str">
        <f ca="1">IFERROR(__xludf.DUMMYFUNCTION("if(IH$2="""","""", index(GOOGLEFINANCE($B$16,""close"",IH$2,TODAY()),2,2))"),"")</f>
        <v/>
      </c>
      <c r="II16" s="1" t="str">
        <f ca="1">IFERROR(__xludf.DUMMYFUNCTION("if(II$2="""","""", index(GOOGLEFINANCE($B$16,""close"",II$2,TODAY()),2,2))"),"")</f>
        <v/>
      </c>
      <c r="IJ16" s="1" t="str">
        <f ca="1">IFERROR(__xludf.DUMMYFUNCTION("if(IJ$2="""","""", index(GOOGLEFINANCE($B$16,""close"",IJ$2,TODAY()),2,2))"),"")</f>
        <v/>
      </c>
      <c r="IK16" s="1" t="str">
        <f ca="1">IFERROR(__xludf.DUMMYFUNCTION("if(IK$2="""","""", index(GOOGLEFINANCE($B$16,""close"",IK$2,TODAY()),2,2))"),"")</f>
        <v/>
      </c>
      <c r="IL16" s="1" t="str">
        <f ca="1">IFERROR(__xludf.DUMMYFUNCTION("if(IL$2="""","""", index(GOOGLEFINANCE($B$16,""close"",IL$2,TODAY()),2,2))"),"")</f>
        <v/>
      </c>
      <c r="IM16" s="1" t="str">
        <f ca="1">IFERROR(__xludf.DUMMYFUNCTION("if(IM$2="""","""", index(GOOGLEFINANCE($B$16,""close"",IM$2,TODAY()),2,2))"),"")</f>
        <v/>
      </c>
      <c r="IN16" s="1" t="str">
        <f ca="1">IFERROR(__xludf.DUMMYFUNCTION("if(IN$2="""","""", index(GOOGLEFINANCE($B$16,""close"",IN$2,TODAY()),2,2))"),"")</f>
        <v/>
      </c>
      <c r="IO16" s="1" t="str">
        <f ca="1">IFERROR(__xludf.DUMMYFUNCTION("if(IO$2="""","""", index(GOOGLEFINANCE($B$16,""close"",IO$2,TODAY()),2,2))"),"")</f>
        <v/>
      </c>
      <c r="IP16" s="1" t="str">
        <f ca="1">IFERROR(__xludf.DUMMYFUNCTION("if(IP$2="""","""", index(GOOGLEFINANCE($B$16,""close"",IP$2,TODAY()),2,2))"),"")</f>
        <v/>
      </c>
      <c r="IQ16" s="1" t="str">
        <f ca="1">IFERROR(__xludf.DUMMYFUNCTION("if(IQ$2="""","""", index(GOOGLEFINANCE($B$16,""close"",IQ$2,TODAY()),2,2))"),"")</f>
        <v/>
      </c>
      <c r="IR16" s="1" t="str">
        <f ca="1">IFERROR(__xludf.DUMMYFUNCTION("if(IR$2="""","""", index(GOOGLEFINANCE($B$16,""close"",IR$2,TODAY()),2,2))"),"")</f>
        <v/>
      </c>
      <c r="IS16" s="1" t="str">
        <f ca="1">IFERROR(__xludf.DUMMYFUNCTION("if(IS$2="""","""", index(GOOGLEFINANCE($B$16,""close"",IS$2,TODAY()),2,2))"),"")</f>
        <v/>
      </c>
      <c r="IT16" s="1" t="str">
        <f ca="1">IFERROR(__xludf.DUMMYFUNCTION("if(IT$2="""","""", index(GOOGLEFINANCE($B$16,""close"",IT$2,TODAY()),2,2))"),"")</f>
        <v/>
      </c>
      <c r="IU16" s="1" t="str">
        <f ca="1">IFERROR(__xludf.DUMMYFUNCTION("if(IU$2="""","""", index(GOOGLEFINANCE($B$16,""close"",IU$2,TODAY()),2,2))"),"")</f>
        <v/>
      </c>
      <c r="IV16" s="1" t="str">
        <f ca="1">IFERROR(__xludf.DUMMYFUNCTION("if(IV$2="""","""", index(GOOGLEFINANCE($B$16,""close"",IV$2,TODAY()),2,2))"),"")</f>
        <v/>
      </c>
      <c r="IW16" s="1" t="str">
        <f ca="1">IFERROR(__xludf.DUMMYFUNCTION("if(IW$2="""","""", index(GOOGLEFINANCE($B$16,""close"",IW$2,TODAY()),2,2))"),"")</f>
        <v/>
      </c>
      <c r="IX16" s="1" t="str">
        <f ca="1">IFERROR(__xludf.DUMMYFUNCTION("if(IX$2="""","""", index(GOOGLEFINANCE($B$16,""close"",IX$2,TODAY()),2,2))"),"")</f>
        <v/>
      </c>
      <c r="IY16" s="1" t="str">
        <f ca="1">IFERROR(__xludf.DUMMYFUNCTION("if(IY$2="""","""", index(GOOGLEFINANCE($B$16,""close"",IY$2,TODAY()),2,2))"),"")</f>
        <v/>
      </c>
      <c r="IZ16" s="1" t="str">
        <f ca="1">IFERROR(__xludf.DUMMYFUNCTION("if(IZ$2="""","""", index(GOOGLEFINANCE($B$16,""close"",IZ$2,TODAY()),2,2))"),"")</f>
        <v/>
      </c>
      <c r="JA16" s="1" t="str">
        <f ca="1">IFERROR(__xludf.DUMMYFUNCTION("if(JA$2="""","""", index(GOOGLEFINANCE($B$16,""close"",JA$2,TODAY()),2,2))"),"")</f>
        <v/>
      </c>
      <c r="JB16" s="1" t="str">
        <f ca="1">IFERROR(__xludf.DUMMYFUNCTION("if(JB$2="""","""", index(GOOGLEFINANCE($B$16,""close"",JB$2,TODAY()),2,2))"),"")</f>
        <v/>
      </c>
      <c r="JC16" s="1" t="str">
        <f ca="1">IFERROR(__xludf.DUMMYFUNCTION("if(JC$2="""","""", index(GOOGLEFINANCE($B$16,""close"",JC$2,TODAY()),2,2))"),"")</f>
        <v/>
      </c>
      <c r="JD16" s="1" t="str">
        <f ca="1">IFERROR(__xludf.DUMMYFUNCTION("if(JD$2="""","""", index(GOOGLEFINANCE($B$16,""close"",JD$2,TODAY()),2,2))"),"")</f>
        <v/>
      </c>
      <c r="JE16" s="1" t="str">
        <f ca="1">IFERROR(__xludf.DUMMYFUNCTION("if(JE$2="""","""", index(GOOGLEFINANCE($B$16,""close"",JE$2,TODAY()),2,2))"),"")</f>
        <v/>
      </c>
      <c r="JF16" s="1" t="str">
        <f ca="1">IFERROR(__xludf.DUMMYFUNCTION("if(JF$2="""","""", index(GOOGLEFINANCE($B$16,""close"",JF$2,TODAY()),2,2))"),"")</f>
        <v/>
      </c>
      <c r="JG16" s="1" t="str">
        <f ca="1">IFERROR(__xludf.DUMMYFUNCTION("if(JG$2="""","""", index(GOOGLEFINANCE($B$16,""close"",JG$2,TODAY()),2,2))"),"")</f>
        <v/>
      </c>
      <c r="JH16" s="1" t="str">
        <f ca="1">IFERROR(__xludf.DUMMYFUNCTION("if(JH$2="""","""", index(GOOGLEFINANCE($B$16,""close"",JH$2,TODAY()),2,2))"),"")</f>
        <v/>
      </c>
      <c r="JI16" s="1" t="str">
        <f ca="1">IFERROR(__xludf.DUMMYFUNCTION("if(JI$2="""","""", index(GOOGLEFINANCE($B$16,""close"",JI$2,TODAY()),2,2))"),"")</f>
        <v/>
      </c>
      <c r="JJ16" s="1" t="str">
        <f ca="1">IFERROR(__xludf.DUMMYFUNCTION("if(JJ$2="""","""", index(GOOGLEFINANCE($B$16,""close"",JJ$2,TODAY()),2,2))"),"")</f>
        <v/>
      </c>
      <c r="JK16" s="1" t="str">
        <f ca="1">IFERROR(__xludf.DUMMYFUNCTION("if(JK$2="""","""", index(GOOGLEFINANCE($B$16,""close"",JK$2,TODAY()),2,2))"),"")</f>
        <v/>
      </c>
      <c r="JL16" s="1" t="str">
        <f ca="1">IFERROR(__xludf.DUMMYFUNCTION("if(JL$2="""","""", index(GOOGLEFINANCE($B$16,""close"",JL$2,TODAY()),2,2))"),"")</f>
        <v/>
      </c>
      <c r="JM16" s="1" t="str">
        <f ca="1">IFERROR(__xludf.DUMMYFUNCTION("if(JM$2="""","""", index(GOOGLEFINANCE($B$16,""close"",JM$2,TODAY()),2,2))"),"")</f>
        <v/>
      </c>
      <c r="JN16" s="1" t="str">
        <f ca="1">IFERROR(__xludf.DUMMYFUNCTION("if(JN$2="""","""", index(GOOGLEFINANCE($B$16,""close"",JN$2,TODAY()),2,2))"),"")</f>
        <v/>
      </c>
      <c r="JO16" s="1" t="str">
        <f ca="1">IFERROR(__xludf.DUMMYFUNCTION("if(JO$2="""","""", index(GOOGLEFINANCE($B$16,""close"",JO$2,TODAY()),2,2))"),"")</f>
        <v/>
      </c>
      <c r="JP16" s="1" t="str">
        <f ca="1">IFERROR(__xludf.DUMMYFUNCTION("if(JP$2="""","""", index(GOOGLEFINANCE($B$16,""close"",JP$2,TODAY()),2,2))"),"")</f>
        <v/>
      </c>
      <c r="JQ16" s="1" t="str">
        <f ca="1">IFERROR(__xludf.DUMMYFUNCTION("if(JQ$2="""","""", index(GOOGLEFINANCE($B$16,""close"",JQ$2,TODAY()),2,2))"),"")</f>
        <v/>
      </c>
      <c r="JR16" s="1" t="str">
        <f ca="1">IFERROR(__xludf.DUMMYFUNCTION("if(JR$2="""","""", index(GOOGLEFINANCE($B$16,""close"",JR$2,TODAY()),2,2))"),"")</f>
        <v/>
      </c>
      <c r="JS16" s="1" t="str">
        <f ca="1">IFERROR(__xludf.DUMMYFUNCTION("if(JS$2="""","""", index(GOOGLEFINANCE($B$16,""close"",JS$2,TODAY()),2,2))"),"")</f>
        <v/>
      </c>
      <c r="JT16" s="1" t="str">
        <f ca="1">IFERROR(__xludf.DUMMYFUNCTION("if(JT$2="""","""", index(GOOGLEFINANCE($B$16,""close"",JT$2,TODAY()),2,2))"),"")</f>
        <v/>
      </c>
      <c r="JU16" s="1" t="str">
        <f ca="1">IFERROR(__xludf.DUMMYFUNCTION("if(JU$2="""","""", index(GOOGLEFINANCE($B$16,""close"",JU$2,TODAY()),2,2))"),"")</f>
        <v/>
      </c>
      <c r="JV16" s="1" t="str">
        <f ca="1">IFERROR(__xludf.DUMMYFUNCTION("if(JV$2="""","""", index(GOOGLEFINANCE($B$16,""close"",JV$2,TODAY()),2,2))"),"")</f>
        <v/>
      </c>
      <c r="JW16" s="1" t="str">
        <f ca="1">IFERROR(__xludf.DUMMYFUNCTION("if(JW$2="""","""", index(GOOGLEFINANCE($B$16,""close"",JW$2,TODAY()),2,2))"),"")</f>
        <v/>
      </c>
      <c r="JX16" s="1" t="str">
        <f ca="1">IFERROR(__xludf.DUMMYFUNCTION("if(JX$2="""","""", index(GOOGLEFINANCE($B$16,""close"",JX$2,TODAY()),2,2))"),"")</f>
        <v/>
      </c>
      <c r="JY16" s="1" t="str">
        <f ca="1">IFERROR(__xludf.DUMMYFUNCTION("if(JY$2="""","""", index(GOOGLEFINANCE($B$16,""close"",JY$2,TODAY()),2,2))"),"")</f>
        <v/>
      </c>
      <c r="JZ16" s="1" t="str">
        <f ca="1">IFERROR(__xludf.DUMMYFUNCTION("if(JZ$2="""","""", index(GOOGLEFINANCE($B$16,""close"",JZ$2,TODAY()),2,2))"),"")</f>
        <v/>
      </c>
      <c r="KA16" s="1" t="str">
        <f ca="1">IFERROR(__xludf.DUMMYFUNCTION("if(KA$2="""","""", index(GOOGLEFINANCE($B$16,""close"",KA$2,TODAY()),2,2))"),"")</f>
        <v/>
      </c>
      <c r="KB16" s="1" t="str">
        <f ca="1">IFERROR(__xludf.DUMMYFUNCTION("if(KB$2="""","""", index(GOOGLEFINANCE($B$16,""close"",KB$2,TODAY()),2,2))"),"")</f>
        <v/>
      </c>
      <c r="KC16" s="1" t="str">
        <f ca="1">IFERROR(__xludf.DUMMYFUNCTION("if(KC$2="""","""", index(GOOGLEFINANCE($B$16,""close"",KC$2,TODAY()),2,2))"),"")</f>
        <v/>
      </c>
      <c r="KD16" s="1" t="str">
        <f ca="1">IFERROR(__xludf.DUMMYFUNCTION("if(KD$2="""","""", index(GOOGLEFINANCE($B$16,""close"",KD$2,TODAY()),2,2))"),"")</f>
        <v/>
      </c>
      <c r="KE16" s="1" t="str">
        <f ca="1">IFERROR(__xludf.DUMMYFUNCTION("if(KE$2="""","""", index(GOOGLEFINANCE($B$16,""close"",KE$2,TODAY()),2,2))"),"")</f>
        <v/>
      </c>
      <c r="KF16" s="1" t="str">
        <f ca="1">IFERROR(__xludf.DUMMYFUNCTION("if(KF$2="""","""", index(GOOGLEFINANCE($B$16,""close"",KF$2,TODAY()),2,2))"),"")</f>
        <v/>
      </c>
      <c r="KG16" s="1" t="str">
        <f ca="1">IFERROR(__xludf.DUMMYFUNCTION("if(KG$2="""","""", index(GOOGLEFINANCE($B$16,""close"",KG$2,TODAY()),2,2))"),"")</f>
        <v/>
      </c>
    </row>
    <row r="17" spans="1:293" ht="15.75" customHeight="1">
      <c r="A17" s="18" t="s">
        <v>30</v>
      </c>
      <c r="B17" s="6" t="s">
        <v>61</v>
      </c>
      <c r="C17" s="1">
        <f ca="1">IFERROR(__xludf.DUMMYFUNCTION("if(C$2="""","""", index(GOOGLEFINANCE($B$17,""close"",C$2,TODAY()),2,2))"),79.81)</f>
        <v>79.81</v>
      </c>
      <c r="D17" s="1">
        <f ca="1">IFERROR(__xludf.DUMMYFUNCTION("if(D$2="""","""", index(GOOGLEFINANCE($B$17,""close"",D$2,TODAY()),2,2))"),82.2)</f>
        <v>82.2</v>
      </c>
      <c r="E17" s="1">
        <f ca="1">IFERROR(__xludf.DUMMYFUNCTION("if(E$2="""","""", index(GOOGLEFINANCE($B$17,""close"",E$2,TODAY()),2,2))"),82.57)</f>
        <v>82.57</v>
      </c>
      <c r="F17" s="1">
        <f ca="1">IFERROR(__xludf.DUMMYFUNCTION("if(F$2="""","""", index(GOOGLEFINANCE($B$17,""close"",F$2,TODAY()),2,2))"),86.08)</f>
        <v>86.08</v>
      </c>
      <c r="G17" s="1">
        <f ca="1">IFERROR(__xludf.DUMMYFUNCTION("if(G$2="""","""", index(GOOGLEFINANCE($B$17,""close"",G$2,TODAY()),2,2))"),86.81)</f>
        <v>86.81</v>
      </c>
      <c r="H17" s="1">
        <f ca="1">IFERROR(__xludf.DUMMYFUNCTION("if(H$2="""","""", index(GOOGLEFINANCE($B$17,""close"",H$2,TODAY()),2,2))"),87.29)</f>
        <v>87.29</v>
      </c>
      <c r="I17" s="1">
        <f ca="1">IFERROR(__xludf.DUMMYFUNCTION("if(I$2="""","""", index(GOOGLEFINANCE($B$17,""close"",I$2,TODAY()),2,2))"),88.27)</f>
        <v>88.27</v>
      </c>
      <c r="J17" s="1">
        <f ca="1">IFERROR(__xludf.DUMMYFUNCTION("if(J$2="""","""", index(GOOGLEFINANCE($B$17,""close"",J$2,TODAY()),2,2))"),89.42)</f>
        <v>89.42</v>
      </c>
      <c r="K17" s="1">
        <f ca="1">IFERROR(__xludf.DUMMYFUNCTION("if(K$2="""","""", index(GOOGLEFINANCE($B$17,""close"",K$2,TODAY()),2,2))"),89.72)</f>
        <v>89.72</v>
      </c>
      <c r="L17" s="1">
        <f ca="1">IFERROR(__xludf.DUMMYFUNCTION("if(L$2="""","""", index(GOOGLEFINANCE($B$17,""close"",L$2,TODAY()),2,2))"),90.49)</f>
        <v>90.49</v>
      </c>
      <c r="M17" s="1">
        <f ca="1">IFERROR(__xludf.DUMMYFUNCTION("if(M$2="""","""", index(GOOGLEFINANCE($B$17,""close"",M$2,TODAY()),2,2))"),90.34)</f>
        <v>90.34</v>
      </c>
      <c r="N17" s="1">
        <f ca="1">IFERROR(__xludf.DUMMYFUNCTION("if(N$2="""","""", index(GOOGLEFINANCE($B$17,""close"",N$2,TODAY()),2,2))"),87.25)</f>
        <v>87.25</v>
      </c>
      <c r="O17" s="1">
        <f ca="1">IFERROR(__xludf.DUMMYFUNCTION("if(O$2="""","""", index(GOOGLEFINANCE($B$17,""close"",O$2,TODAY()),2,2))"),85.27)</f>
        <v>85.27</v>
      </c>
      <c r="P17" s="1">
        <f ca="1">IFERROR(__xludf.DUMMYFUNCTION("if(P$2="""","""", index(GOOGLEFINANCE($B$17,""close"",P$2,TODAY()),2,2))"),82.72)</f>
        <v>82.72</v>
      </c>
      <c r="Q17" s="1">
        <f ca="1">IFERROR(__xludf.DUMMYFUNCTION("if(Q$2="""","""", index(GOOGLEFINANCE($B$17,""close"",Q$2,TODAY()),2,2))"),83.49)</f>
        <v>83.49</v>
      </c>
      <c r="R17" s="1">
        <f ca="1">IFERROR(__xludf.DUMMYFUNCTION("if(R$2="""","""", index(GOOGLEFINANCE($B$17,""close"",R$2,TODAY()),2,2))"),83.51)</f>
        <v>83.51</v>
      </c>
      <c r="S17" s="1">
        <f ca="1">IFERROR(__xludf.DUMMYFUNCTION("if(S$2="""","""", index(GOOGLEFINANCE($B$17,""close"",S$2,TODAY()),2,2))"),83.64)</f>
        <v>83.64</v>
      </c>
      <c r="T17" s="1">
        <f ca="1">IFERROR(__xludf.DUMMYFUNCTION("if(T$2="""","""", index(GOOGLEFINANCE($B$17,""close"",T$2,TODAY()),2,2))"),82.61)</f>
        <v>82.61</v>
      </c>
      <c r="U17" s="1">
        <f ca="1">IFERROR(__xludf.DUMMYFUNCTION("if(U$2="""","""", index(GOOGLEFINANCE($B$17,""close"",U$2,TODAY()),2,2))"),84.08)</f>
        <v>84.08</v>
      </c>
      <c r="V17" s="1">
        <f ca="1">IFERROR(__xludf.DUMMYFUNCTION("if(V$2="""","""", index(GOOGLEFINANCE($B$17,""close"",V$2,TODAY()),2,2))"),86.34)</f>
        <v>86.34</v>
      </c>
      <c r="W17" s="1">
        <f ca="1">IFERROR(__xludf.DUMMYFUNCTION("if(W$2="""","""", index(GOOGLEFINANCE($B$17,""close"",W$2,TODAY()),2,2))"),86.94)</f>
        <v>86.94</v>
      </c>
      <c r="X17" s="1">
        <f ca="1">IFERROR(__xludf.DUMMYFUNCTION("if(X$2="""","""", index(GOOGLEFINANCE($B$17,""close"",X$2,TODAY()),2,2))"),86.19)</f>
        <v>86.19</v>
      </c>
      <c r="Y17" s="1">
        <f ca="1">IFERROR(__xludf.DUMMYFUNCTION("if(Y$2="""","""", index(GOOGLEFINANCE($B$17,""close"",Y$2,TODAY()),2,2))"),85.89)</f>
        <v>85.89</v>
      </c>
      <c r="Z17" s="1">
        <f ca="1">IFERROR(__xludf.DUMMYFUNCTION("if(Z$2="""","""", index(GOOGLEFINANCE($B$17,""close"",Z$2,TODAY()),2,2))"),88.02)</f>
        <v>88.02</v>
      </c>
      <c r="AA17" s="1">
        <f ca="1">IFERROR(__xludf.DUMMYFUNCTION("if(AA$2="""","""", index(GOOGLEFINANCE($B$17,""close"",AA$2,TODAY()),2,2))"),88.42)</f>
        <v>88.42</v>
      </c>
      <c r="AB17" s="1">
        <f ca="1">IFERROR(__xludf.DUMMYFUNCTION("if(AB$2="""","""", index(GOOGLEFINANCE($B$17,""close"",AB$2,TODAY()),2,2))"),91.34)</f>
        <v>91.34</v>
      </c>
      <c r="AC17" s="1">
        <f ca="1">IFERROR(__xludf.DUMMYFUNCTION("if(AC$2="""","""", index(GOOGLEFINANCE($B$17,""close"",AC$2,TODAY()),2,2))"),89.97)</f>
        <v>89.97</v>
      </c>
      <c r="AD17" s="1">
        <f ca="1">IFERROR(__xludf.DUMMYFUNCTION("if(AD$2="""","""", index(GOOGLEFINANCE($B$17,""close"",AD$2,TODAY()),2,2))"),91.15)</f>
        <v>91.15</v>
      </c>
      <c r="AE17" s="1">
        <f ca="1">IFERROR(__xludf.DUMMYFUNCTION("if(AE$2="""","""", index(GOOGLEFINANCE($B$17,""close"",AE$2,TODAY()),2,2))"),89.89)</f>
        <v>89.89</v>
      </c>
      <c r="AF17" s="1">
        <f ca="1">IFERROR(__xludf.DUMMYFUNCTION("if(AF$2="""","""", index(GOOGLEFINANCE($B$17,""close"",AF$2,TODAY()),2,2))"),89.35)</f>
        <v>89.35</v>
      </c>
      <c r="AG17" s="1">
        <f ca="1">IFERROR(__xludf.DUMMYFUNCTION("if(AG$2="""","""", index(GOOGLEFINANCE($B$17,""close"",AG$2,TODAY()),2,2))"),92)</f>
        <v>92</v>
      </c>
      <c r="AH17" s="1">
        <f ca="1">IFERROR(__xludf.DUMMYFUNCTION("if(AH$2="""","""", index(GOOGLEFINANCE($B$17,""close"",AH$2,TODAY()),2,2))"),93.05)</f>
        <v>93.05</v>
      </c>
      <c r="AI17" s="1">
        <f ca="1">IFERROR(__xludf.DUMMYFUNCTION("if(AI$2="""","""", index(GOOGLEFINANCE($B$17,""close"",AI$2,TODAY()),2,2))"),89.69)</f>
        <v>89.69</v>
      </c>
      <c r="AJ17" s="1">
        <f ca="1">IFERROR(__xludf.DUMMYFUNCTION("if(AJ$2="""","""", index(GOOGLEFINANCE($B$17,""close"",AJ$2,TODAY()),2,2))"),88.93)</f>
        <v>88.93</v>
      </c>
      <c r="AK17" s="1">
        <f ca="1">IFERROR(__xludf.DUMMYFUNCTION("if(AK$2="""","""", index(GOOGLEFINANCE($B$17,""close"",AK$2,TODAY()),2,2))"),87.87)</f>
        <v>87.87</v>
      </c>
      <c r="AL17" s="1">
        <f ca="1">IFERROR(__xludf.DUMMYFUNCTION("if(AL$2="""","""", index(GOOGLEFINANCE($B$17,""close"",AL$2,TODAY()),2,2))"),87.04)</f>
        <v>87.04</v>
      </c>
      <c r="AM17" s="1">
        <f ca="1">IFERROR(__xludf.DUMMYFUNCTION("if(AM$2="""","""", index(GOOGLEFINANCE($B$17,""close"",AM$2,TODAY()),2,2))"),83.51)</f>
        <v>83.51</v>
      </c>
      <c r="AN17" s="1">
        <f ca="1">IFERROR(__xludf.DUMMYFUNCTION("if(AN$2="""","""", index(GOOGLEFINANCE($B$17,""close"",AN$2,TODAY()),2,2))"),88.57)</f>
        <v>88.57</v>
      </c>
      <c r="AO17" s="1">
        <f ca="1">IFERROR(__xludf.DUMMYFUNCTION("if(AO$2="""","""", index(GOOGLEFINANCE($B$17,""close"",AO$2,TODAY()),2,2))"),87.56)</f>
        <v>87.56</v>
      </c>
      <c r="AP17" s="1">
        <f ca="1">IFERROR(__xludf.DUMMYFUNCTION("if(AP$2="""","""", index(GOOGLEFINANCE($B$17,""close"",AP$2,TODAY()),2,2))"),81.96)</f>
        <v>81.96</v>
      </c>
      <c r="AQ17" s="1">
        <f ca="1">IFERROR(__xludf.DUMMYFUNCTION("if(AQ$2="""","""", index(GOOGLEFINANCE($B$17,""close"",AQ$2,TODAY()),2,2))"),85.07)</f>
        <v>85.07</v>
      </c>
      <c r="AR17" s="1">
        <f ca="1">IFERROR(__xludf.DUMMYFUNCTION("if(AR$2="""","""", index(GOOGLEFINANCE($B$17,""close"",AR$2,TODAY()),2,2))"),83.06)</f>
        <v>83.06</v>
      </c>
      <c r="AS17" s="1">
        <f ca="1">IFERROR(__xludf.DUMMYFUNCTION("if(AS$2="""","""", index(GOOGLEFINANCE($B$17,""close"",AS$2,TODAY()),2,2))"),77.28)</f>
        <v>77.28</v>
      </c>
      <c r="AT17" s="1">
        <f ca="1">IFERROR(__xludf.DUMMYFUNCTION("if(AT$2="""","""", index(GOOGLEFINANCE($B$17,""close"",AT$2,TODAY()),2,2))"),71.35)</f>
        <v>71.349999999999994</v>
      </c>
      <c r="AU17" s="1">
        <f ca="1">IFERROR(__xludf.DUMMYFUNCTION("if(AU$2="""","""", index(GOOGLEFINANCE($B$17,""close"",AU$2,TODAY()),2,2))"),72.52)</f>
        <v>72.52</v>
      </c>
      <c r="AV17" s="1">
        <f ca="1">IFERROR(__xludf.DUMMYFUNCTION("if(AV$2="""","""", index(GOOGLEFINANCE($B$17,""close"",AV$2,TODAY()),2,2))"),77.32)</f>
        <v>77.319999999999993</v>
      </c>
      <c r="AW17" s="1">
        <f ca="1">IFERROR(__xludf.DUMMYFUNCTION("if(AW$2="""","""", index(GOOGLEFINANCE($B$17,""close"",AW$2,TODAY()),2,2))"),77.72)</f>
        <v>77.72</v>
      </c>
      <c r="AX17" s="1">
        <f ca="1">IFERROR(__xludf.DUMMYFUNCTION("if(AX$2="""","""", index(GOOGLEFINANCE($B$17,""close"",AX$2,TODAY()),2,2))"),76.64)</f>
        <v>76.64</v>
      </c>
      <c r="AY17" s="1">
        <f ca="1">IFERROR(__xludf.DUMMYFUNCTION("if(AY$2="""","""", index(GOOGLEFINANCE($B$17,""close"",AY$2,TODAY()),2,2))"),75.67)</f>
        <v>75.67</v>
      </c>
      <c r="AZ17" s="1">
        <f ca="1">IFERROR(__xludf.DUMMYFUNCTION("if(AZ$2="""","""", index(GOOGLEFINANCE($B$17,""close"",AZ$2,TODAY()),2,2))"),76.53)</f>
        <v>76.53</v>
      </c>
      <c r="BA17" s="1">
        <f ca="1">IFERROR(__xludf.DUMMYFUNCTION("if(BA$2="""","""", index(GOOGLEFINANCE($B$17,""close"",BA$2,TODAY()),2,2))"),81.03)</f>
        <v>81.03</v>
      </c>
      <c r="BB17" s="1">
        <f ca="1">IFERROR(__xludf.DUMMYFUNCTION("if(BB$2="""","""", index(GOOGLEFINANCE($B$17,""close"",BB$2,TODAY()),2,2))"),80.61)</f>
        <v>80.61</v>
      </c>
      <c r="BC17" s="1">
        <f ca="1">IFERROR(__xludf.DUMMYFUNCTION("if(BC$2="""","""", index(GOOGLEFINANCE($B$17,""close"",BC$2,TODAY()),2,2))"),81.64)</f>
        <v>81.64</v>
      </c>
      <c r="BD17" s="1">
        <f ca="1">IFERROR(__xludf.DUMMYFUNCTION("if(BD$2="""","""", index(GOOGLEFINANCE($B$17,""close"",BD$2,TODAY()),2,2))"),81.42)</f>
        <v>81.42</v>
      </c>
      <c r="BE17" s="1">
        <f ca="1">IFERROR(__xludf.DUMMYFUNCTION("if(BE$2="""","""", index(GOOGLEFINANCE($B$17,""close"",BE$2,TODAY()),2,2))"),83.68)</f>
        <v>83.68</v>
      </c>
      <c r="BF17" s="1">
        <f ca="1">IFERROR(__xludf.DUMMYFUNCTION("if(BF$2="""","""", index(GOOGLEFINANCE($B$17,""close"",BF$2,TODAY()),2,2))"),80.56)</f>
        <v>80.56</v>
      </c>
      <c r="BG17" s="1">
        <f ca="1">IFERROR(__xludf.DUMMYFUNCTION("if(BG$2="""","""", index(GOOGLEFINANCE($B$17,""close"",BG$2,TODAY()),2,2))"),81.11)</f>
        <v>81.11</v>
      </c>
      <c r="BH17" s="1">
        <f ca="1">IFERROR(__xludf.DUMMYFUNCTION("if(BH$2="""","""", index(GOOGLEFINANCE($B$17,""close"",BH$2,TODAY()),2,2))"),82.83)</f>
        <v>82.83</v>
      </c>
      <c r="BI17" s="1">
        <f ca="1">IFERROR(__xludf.DUMMYFUNCTION("if(BI$2="""","""", index(GOOGLEFINANCE($B$17,""close"",BI$2,TODAY()),2,2))"),82.4)</f>
        <v>82.4</v>
      </c>
      <c r="BJ17" s="1">
        <f ca="1">IFERROR(__xludf.DUMMYFUNCTION("if(BJ$2="""","""", index(GOOGLEFINANCE($B$17,""close"",BJ$2,TODAY()),2,2))"),84.16)</f>
        <v>84.16</v>
      </c>
      <c r="BK17" s="1">
        <f ca="1">IFERROR(__xludf.DUMMYFUNCTION("if(BK$2="""","""", index(GOOGLEFINANCE($B$17,""close"",BK$2,TODAY()),2,2))"),81.56)</f>
        <v>81.56</v>
      </c>
      <c r="BL17" s="1">
        <f ca="1">IFERROR(__xludf.DUMMYFUNCTION("if(BL$2="""","""", index(GOOGLEFINANCE($B$17,""close"",BL$2,TODAY()),2,2))"),79.02)</f>
        <v>79.02</v>
      </c>
      <c r="BM17" s="1">
        <f ca="1">IFERROR(__xludf.DUMMYFUNCTION("if(BM$2="""","""", index(GOOGLEFINANCE($B$17,""close"",BM$2,TODAY()),2,2))"),78.34)</f>
        <v>78.34</v>
      </c>
      <c r="BN17" s="1">
        <f ca="1">IFERROR(__xludf.DUMMYFUNCTION("if(BN$2="""","""", index(GOOGLEFINANCE($B$17,""close"",BN$2,TODAY()),2,2))"),78.41)</f>
        <v>78.41</v>
      </c>
      <c r="BO17" s="1">
        <f ca="1">IFERROR(__xludf.DUMMYFUNCTION("if(BO$2="""","""", index(GOOGLEFINANCE($B$17,""close"",BO$2,TODAY()),2,2))"),77.87)</f>
        <v>77.87</v>
      </c>
      <c r="BP17" s="1">
        <f ca="1">IFERROR(__xludf.DUMMYFUNCTION("if(BP$2="""","""", index(GOOGLEFINANCE($B$17,""close"",BP$2,TODAY()),2,2))"),76.56)</f>
        <v>76.56</v>
      </c>
      <c r="BQ17" s="1">
        <f ca="1">IFERROR(__xludf.DUMMYFUNCTION("if(BQ$2="""","""", index(GOOGLEFINANCE($B$17,""close"",BQ$2,TODAY()),2,2))"),75.91)</f>
        <v>75.91</v>
      </c>
      <c r="BR17" s="1">
        <f ca="1">IFERROR(__xludf.DUMMYFUNCTION("if(BR$2="""","""", index(GOOGLEFINANCE($B$17,""close"",BR$2,TODAY()),2,2))"),76.17)</f>
        <v>76.17</v>
      </c>
      <c r="BS17" s="1">
        <f ca="1">IFERROR(__xludf.DUMMYFUNCTION("if(BS$2="""","""", index(GOOGLEFINANCE($B$17,""close"",BS$2,TODAY()),2,2))"),76.14)</f>
        <v>76.14</v>
      </c>
      <c r="BT17" s="1">
        <f ca="1">IFERROR(__xludf.DUMMYFUNCTION("if(BT$2="""","""", index(GOOGLEFINANCE($B$17,""close"",BT$2,TODAY()),2,2))"),74.8)</f>
        <v>74.8</v>
      </c>
      <c r="BU17" s="1">
        <f ca="1">IFERROR(__xludf.DUMMYFUNCTION("if(BU$2="""","""", index(GOOGLEFINANCE($B$17,""close"",BU$2,TODAY()),2,2))"),76.25)</f>
        <v>76.25</v>
      </c>
      <c r="BV17" s="1">
        <f ca="1">IFERROR(__xludf.DUMMYFUNCTION("if(BV$2="""","""", index(GOOGLEFINANCE($B$17,""close"",BV$2,TODAY()),2,2))"),74.96)</f>
        <v>74.959999999999994</v>
      </c>
      <c r="BW17" s="1">
        <f ca="1">IFERROR(__xludf.DUMMYFUNCTION("if(BW$2="""","""", index(GOOGLEFINANCE($B$17,""close"",BW$2,TODAY()),2,2))"),75.04)</f>
        <v>75.040000000000006</v>
      </c>
      <c r="BX17" s="1">
        <f ca="1">IFERROR(__xludf.DUMMYFUNCTION("if(BX$2="""","""", index(GOOGLEFINANCE($B$17,""close"",BX$2,TODAY()),2,2))"),79.07)</f>
        <v>79.069999999999993</v>
      </c>
      <c r="BY17" s="1">
        <f ca="1">IFERROR(__xludf.DUMMYFUNCTION("if(BY$2="""","""", index(GOOGLEFINANCE($B$17,""close"",BY$2,TODAY()),2,2))"),80.56)</f>
        <v>80.56</v>
      </c>
      <c r="BZ17" s="1">
        <f ca="1">IFERROR(__xludf.DUMMYFUNCTION("if(BZ$2="""","""", index(GOOGLEFINANCE($B$17,""close"",BZ$2,TODAY()),2,2))"),79.74)</f>
        <v>79.739999999999995</v>
      </c>
      <c r="CA17" s="1">
        <f ca="1">IFERROR(__xludf.DUMMYFUNCTION("if(CA$2="""","""", index(GOOGLEFINANCE($B$17,""close"",CA$2,TODAY()),2,2))"),77.64)</f>
        <v>77.64</v>
      </c>
      <c r="CB17" s="1">
        <f ca="1">IFERROR(__xludf.DUMMYFUNCTION("if(CB$2="""","""", index(GOOGLEFINANCE($B$17,""close"",CB$2,TODAY()),2,2))"),75.71)</f>
        <v>75.709999999999994</v>
      </c>
      <c r="CC17" s="1">
        <f ca="1">IFERROR(__xludf.DUMMYFUNCTION("if(CC$2="""","""", index(GOOGLEFINANCE($B$17,""close"",CC$2,TODAY()),2,2))"),71.19)</f>
        <v>71.19</v>
      </c>
      <c r="CD17" s="1">
        <f ca="1">IFERROR(__xludf.DUMMYFUNCTION("if(CD$2="""","""", index(GOOGLEFINANCE($B$17,""close"",CD$2,TODAY()),2,2))"),71.9)</f>
        <v>71.900000000000006</v>
      </c>
      <c r="CE17" s="1">
        <f ca="1">IFERROR(__xludf.DUMMYFUNCTION("if(CE$2="""","""", index(GOOGLEFINANCE($B$17,""close"",CE$2,TODAY()),2,2))"),74.34)</f>
        <v>74.34</v>
      </c>
      <c r="CF17" s="1">
        <f ca="1">IFERROR(__xludf.DUMMYFUNCTION("if(CF$2="""","""", index(GOOGLEFINANCE($B$17,""close"",CF$2,TODAY()),2,2))"),71.3)</f>
        <v>71.3</v>
      </c>
      <c r="CG17" s="1">
        <f ca="1">IFERROR(__xludf.DUMMYFUNCTION("if(CG$2="""","""", index(GOOGLEFINANCE($B$17,""close"",CG$2,TODAY()),2,2))"),73.33)</f>
        <v>73.33</v>
      </c>
      <c r="CH17" s="1">
        <f ca="1">IFERROR(__xludf.DUMMYFUNCTION("if(CH$2="""","""", index(GOOGLEFINANCE($B$17,""close"",CH$2,TODAY()),2,2))"),74.42)</f>
        <v>74.42</v>
      </c>
      <c r="CI17" s="1">
        <f ca="1">IFERROR(__xludf.DUMMYFUNCTION("if(CI$2="""","""", index(GOOGLEFINANCE($B$17,""close"",CI$2,TODAY()),2,2))"),77)</f>
        <v>77</v>
      </c>
      <c r="CJ17" s="1" t="str">
        <f ca="1">IFERROR(__xludf.DUMMYFUNCTION("if(CJ$2="""","""", index(GOOGLEFINANCE($B$17,""close"",CJ$2,TODAY()),2,2))"),"")</f>
        <v/>
      </c>
      <c r="CK17" s="1" t="str">
        <f ca="1">IFERROR(__xludf.DUMMYFUNCTION("if(CK$2="""","""", index(GOOGLEFINANCE($B$17,""close"",CK$2,TODAY()),2,2))"),"")</f>
        <v/>
      </c>
      <c r="CL17" s="1" t="str">
        <f ca="1">IFERROR(__xludf.DUMMYFUNCTION("if(CL$2="""","""", index(GOOGLEFINANCE($B$17,""close"",CL$2,TODAY()),2,2))"),"")</f>
        <v/>
      </c>
      <c r="CM17" s="1" t="str">
        <f ca="1">IFERROR(__xludf.DUMMYFUNCTION("if(CM$2="""","""", index(GOOGLEFINANCE($B$17,""close"",CM$2,TODAY()),2,2))"),"")</f>
        <v/>
      </c>
      <c r="CN17" s="1" t="str">
        <f ca="1">IFERROR(__xludf.DUMMYFUNCTION("if(CN$2="""","""", index(GOOGLEFINANCE($B$17,""close"",CN$2,TODAY()),2,2))"),"")</f>
        <v/>
      </c>
      <c r="CO17" s="1" t="str">
        <f ca="1">IFERROR(__xludf.DUMMYFUNCTION("if(CO$2="""","""", index(GOOGLEFINANCE($B$17,""close"",CO$2,TODAY()),2,2))"),"")</f>
        <v/>
      </c>
      <c r="CP17" s="1" t="str">
        <f ca="1">IFERROR(__xludf.DUMMYFUNCTION("if(CP$2="""","""", index(GOOGLEFINANCE($B$17,""close"",CP$2,TODAY()),2,2))"),"")</f>
        <v/>
      </c>
      <c r="CQ17" s="1" t="str">
        <f ca="1">IFERROR(__xludf.DUMMYFUNCTION("if(CQ$2="""","""", index(GOOGLEFINANCE($B$17,""close"",CQ$2,TODAY()),2,2))"),"")</f>
        <v/>
      </c>
      <c r="CR17" s="1" t="str">
        <f ca="1">IFERROR(__xludf.DUMMYFUNCTION("if(CR$2="""","""", index(GOOGLEFINANCE($B$17,""close"",CR$2,TODAY()),2,2))"),"")</f>
        <v/>
      </c>
      <c r="CS17" s="1" t="str">
        <f ca="1">IFERROR(__xludf.DUMMYFUNCTION("if(CS$2="""","""", index(GOOGLEFINANCE($B$17,""close"",CS$2,TODAY()),2,2))"),"")</f>
        <v/>
      </c>
      <c r="CT17" s="1" t="str">
        <f ca="1">IFERROR(__xludf.DUMMYFUNCTION("if(CT$2="""","""", index(GOOGLEFINANCE($B$17,""close"",CT$2,TODAY()),2,2))"),"")</f>
        <v/>
      </c>
      <c r="CU17" s="1" t="str">
        <f ca="1">IFERROR(__xludf.DUMMYFUNCTION("if(CU$2="""","""", index(GOOGLEFINANCE($B$17,""close"",CU$2,TODAY()),2,2))"),"")</f>
        <v/>
      </c>
      <c r="CV17" s="1" t="str">
        <f ca="1">IFERROR(__xludf.DUMMYFUNCTION("if(CV$2="""","""", index(GOOGLEFINANCE($B$17,""close"",CV$2,TODAY()),2,2))"),"")</f>
        <v/>
      </c>
      <c r="CW17" s="1" t="str">
        <f ca="1">IFERROR(__xludf.DUMMYFUNCTION("if(CW$2="""","""", index(GOOGLEFINANCE($B$17,""close"",CW$2,TODAY()),2,2))"),"")</f>
        <v/>
      </c>
      <c r="CX17" s="1" t="str">
        <f ca="1">IFERROR(__xludf.DUMMYFUNCTION("if(CX$2="""","""", index(GOOGLEFINANCE($B$17,""close"",CX$2,TODAY()),2,2))"),"")</f>
        <v/>
      </c>
      <c r="CY17" s="1" t="str">
        <f ca="1">IFERROR(__xludf.DUMMYFUNCTION("if(CY$2="""","""", index(GOOGLEFINANCE($B$17,""close"",CY$2,TODAY()),2,2))"),"")</f>
        <v/>
      </c>
      <c r="CZ17" s="1" t="str">
        <f ca="1">IFERROR(__xludf.DUMMYFUNCTION("if(CZ$2="""","""", index(GOOGLEFINANCE($B$17,""close"",CZ$2,TODAY()),2,2))"),"")</f>
        <v/>
      </c>
      <c r="DA17" s="1" t="str">
        <f ca="1">IFERROR(__xludf.DUMMYFUNCTION("if(DA$2="""","""", index(GOOGLEFINANCE($B$17,""close"",DA$2,TODAY()),2,2))"),"")</f>
        <v/>
      </c>
      <c r="DB17" s="1" t="str">
        <f ca="1">IFERROR(__xludf.DUMMYFUNCTION("if(DB$2="""","""", index(GOOGLEFINANCE($B$17,""close"",DB$2,TODAY()),2,2))"),"")</f>
        <v/>
      </c>
      <c r="DC17" s="1" t="str">
        <f ca="1">IFERROR(__xludf.DUMMYFUNCTION("if(DC$2="""","""", index(GOOGLEFINANCE($B$17,""close"",DC$2,TODAY()),2,2))"),"")</f>
        <v/>
      </c>
      <c r="DD17" s="1" t="str">
        <f ca="1">IFERROR(__xludf.DUMMYFUNCTION("if(DD$2="""","""", index(GOOGLEFINANCE($B$17,""close"",DD$2,TODAY()),2,2))"),"")</f>
        <v/>
      </c>
      <c r="DE17" s="1" t="str">
        <f ca="1">IFERROR(__xludf.DUMMYFUNCTION("if(DE$2="""","""", index(GOOGLEFINANCE($B$17,""close"",DE$2,TODAY()),2,2))"),"")</f>
        <v/>
      </c>
      <c r="DF17" s="1" t="str">
        <f ca="1">IFERROR(__xludf.DUMMYFUNCTION("if(DF$2="""","""", index(GOOGLEFINANCE($B$17,""close"",DF$2,TODAY()),2,2))"),"")</f>
        <v/>
      </c>
      <c r="DG17" s="1" t="str">
        <f ca="1">IFERROR(__xludf.DUMMYFUNCTION("if(DG$2="""","""", index(GOOGLEFINANCE($B$17,""close"",DG$2,TODAY()),2,2))"),"")</f>
        <v/>
      </c>
      <c r="DH17" s="1" t="str">
        <f ca="1">IFERROR(__xludf.DUMMYFUNCTION("if(DH$2="""","""", index(GOOGLEFINANCE($B$17,""close"",DH$2,TODAY()),2,2))"),"")</f>
        <v/>
      </c>
      <c r="DI17" s="1" t="str">
        <f ca="1">IFERROR(__xludf.DUMMYFUNCTION("if(DI$2="""","""", index(GOOGLEFINANCE($B$17,""close"",DI$2,TODAY()),2,2))"),"")</f>
        <v/>
      </c>
      <c r="DJ17" s="1" t="str">
        <f ca="1">IFERROR(__xludf.DUMMYFUNCTION("if(DJ$2="""","""", index(GOOGLEFINANCE($B$17,""close"",DJ$2,TODAY()),2,2))"),"")</f>
        <v/>
      </c>
      <c r="DK17" s="1" t="str">
        <f ca="1">IFERROR(__xludf.DUMMYFUNCTION("if(DK$2="""","""", index(GOOGLEFINANCE($B$17,""close"",DK$2,TODAY()),2,2))"),"")</f>
        <v/>
      </c>
      <c r="DL17" s="1" t="str">
        <f ca="1">IFERROR(__xludf.DUMMYFUNCTION("if(DL$2="""","""", index(GOOGLEFINANCE($B$17,""close"",DL$2,TODAY()),2,2))"),"")</f>
        <v/>
      </c>
      <c r="DM17" s="1" t="str">
        <f ca="1">IFERROR(__xludf.DUMMYFUNCTION("if(DM$2="""","""", index(GOOGLEFINANCE($B$17,""close"",DM$2,TODAY()),2,2))"),"")</f>
        <v/>
      </c>
      <c r="DN17" s="1" t="str">
        <f ca="1">IFERROR(__xludf.DUMMYFUNCTION("if(DN$2="""","""", index(GOOGLEFINANCE($B$17,""close"",DN$2,TODAY()),2,2))"),"")</f>
        <v/>
      </c>
      <c r="DO17" s="1" t="str">
        <f ca="1">IFERROR(__xludf.DUMMYFUNCTION("if(DO$2="""","""", index(GOOGLEFINANCE($B$17,""close"",DO$2,TODAY()),2,2))"),"")</f>
        <v/>
      </c>
      <c r="DP17" s="1" t="str">
        <f ca="1">IFERROR(__xludf.DUMMYFUNCTION("if(DP$2="""","""", index(GOOGLEFINANCE($B$17,""close"",DP$2,TODAY()),2,2))"),"")</f>
        <v/>
      </c>
      <c r="DQ17" s="1" t="str">
        <f ca="1">IFERROR(__xludf.DUMMYFUNCTION("if(DQ$2="""","""", index(GOOGLEFINANCE($B$17,""close"",DQ$2,TODAY()),2,2))"),"")</f>
        <v/>
      </c>
      <c r="DR17" s="1" t="str">
        <f ca="1">IFERROR(__xludf.DUMMYFUNCTION("if(DR$2="""","""", index(GOOGLEFINANCE($B$17,""close"",DR$2,TODAY()),2,2))"),"")</f>
        <v/>
      </c>
      <c r="DS17" s="1" t="str">
        <f ca="1">IFERROR(__xludf.DUMMYFUNCTION("if(DS$2="""","""", index(GOOGLEFINANCE($B$17,""close"",DS$2,TODAY()),2,2))"),"")</f>
        <v/>
      </c>
      <c r="DT17" s="1" t="str">
        <f ca="1">IFERROR(__xludf.DUMMYFUNCTION("if(DT$2="""","""", index(GOOGLEFINANCE($B$17,""close"",DT$2,TODAY()),2,2))"),"")</f>
        <v/>
      </c>
      <c r="DU17" s="1" t="str">
        <f ca="1">IFERROR(__xludf.DUMMYFUNCTION("if(DU$2="""","""", index(GOOGLEFINANCE($B$17,""close"",DU$2,TODAY()),2,2))"),"")</f>
        <v/>
      </c>
      <c r="DV17" s="1" t="str">
        <f ca="1">IFERROR(__xludf.DUMMYFUNCTION("if(DV$2="""","""", index(GOOGLEFINANCE($B$17,""close"",DV$2,TODAY()),2,2))"),"")</f>
        <v/>
      </c>
      <c r="DW17" s="1" t="str">
        <f ca="1">IFERROR(__xludf.DUMMYFUNCTION("if(DW$2="""","""", index(GOOGLEFINANCE($B$17,""close"",DW$2,TODAY()),2,2))"),"")</f>
        <v/>
      </c>
      <c r="DX17" s="1" t="str">
        <f ca="1">IFERROR(__xludf.DUMMYFUNCTION("if(DX$2="""","""", index(GOOGLEFINANCE($B$17,""close"",DX$2,TODAY()),2,2))"),"")</f>
        <v/>
      </c>
      <c r="DY17" s="1" t="str">
        <f ca="1">IFERROR(__xludf.DUMMYFUNCTION("if(DY$2="""","""", index(GOOGLEFINANCE($B$17,""close"",DY$2,TODAY()),2,2))"),"")</f>
        <v/>
      </c>
      <c r="DZ17" s="1" t="str">
        <f ca="1">IFERROR(__xludf.DUMMYFUNCTION("if(DZ$2="""","""", index(GOOGLEFINANCE($B$17,""close"",DZ$2,TODAY()),2,2))"),"")</f>
        <v/>
      </c>
      <c r="EA17" s="1" t="str">
        <f ca="1">IFERROR(__xludf.DUMMYFUNCTION("if(EA$2="""","""", index(GOOGLEFINANCE($B$17,""close"",EA$2,TODAY()),2,2))"),"")</f>
        <v/>
      </c>
      <c r="EB17" s="1" t="str">
        <f ca="1">IFERROR(__xludf.DUMMYFUNCTION("if(EB$2="""","""", index(GOOGLEFINANCE($B$17,""close"",EB$2,TODAY()),2,2))"),"")</f>
        <v/>
      </c>
      <c r="EC17" s="1" t="str">
        <f ca="1">IFERROR(__xludf.DUMMYFUNCTION("if(EC$2="""","""", index(GOOGLEFINANCE($B$17,""close"",EC$2,TODAY()),2,2))"),"")</f>
        <v/>
      </c>
      <c r="ED17" s="1" t="str">
        <f ca="1">IFERROR(__xludf.DUMMYFUNCTION("if(ED$2="""","""", index(GOOGLEFINANCE($B$17,""close"",ED$2,TODAY()),2,2))"),"")</f>
        <v/>
      </c>
      <c r="EE17" s="1" t="str">
        <f ca="1">IFERROR(__xludf.DUMMYFUNCTION("if(EE$2="""","""", index(GOOGLEFINANCE($B$17,""close"",EE$2,TODAY()),2,2))"),"")</f>
        <v/>
      </c>
      <c r="EF17" s="1" t="str">
        <f ca="1">IFERROR(__xludf.DUMMYFUNCTION("if(EF$2="""","""", index(GOOGLEFINANCE($B$17,""close"",EF$2,TODAY()),2,2))"),"")</f>
        <v/>
      </c>
      <c r="EG17" s="1" t="str">
        <f ca="1">IFERROR(__xludf.DUMMYFUNCTION("if(EG$2="""","""", index(GOOGLEFINANCE($B$17,""close"",EG$2,TODAY()),2,2))"),"")</f>
        <v/>
      </c>
      <c r="EH17" s="1" t="str">
        <f ca="1">IFERROR(__xludf.DUMMYFUNCTION("if(EH$2="""","""", index(GOOGLEFINANCE($B$17,""close"",EH$2,TODAY()),2,2))"),"")</f>
        <v/>
      </c>
      <c r="EI17" s="1" t="str">
        <f ca="1">IFERROR(__xludf.DUMMYFUNCTION("if(EI$2="""","""", index(GOOGLEFINANCE($B$17,""close"",EI$2,TODAY()),2,2))"),"")</f>
        <v/>
      </c>
      <c r="EJ17" s="1" t="str">
        <f ca="1">IFERROR(__xludf.DUMMYFUNCTION("if(EJ$2="""","""", index(GOOGLEFINANCE($B$17,""close"",EJ$2,TODAY()),2,2))"),"")</f>
        <v/>
      </c>
      <c r="EK17" s="1" t="str">
        <f ca="1">IFERROR(__xludf.DUMMYFUNCTION("if(EK$2="""","""", index(GOOGLEFINANCE($B$17,""close"",EK$2,TODAY()),2,2))"),"")</f>
        <v/>
      </c>
      <c r="EL17" s="1" t="str">
        <f ca="1">IFERROR(__xludf.DUMMYFUNCTION("if(EL$2="""","""", index(GOOGLEFINANCE($B$17,""close"",EL$2,TODAY()),2,2))"),"")</f>
        <v/>
      </c>
      <c r="EM17" s="1" t="str">
        <f ca="1">IFERROR(__xludf.DUMMYFUNCTION("if(EM$2="""","""", index(GOOGLEFINANCE($B$17,""close"",EM$2,TODAY()),2,2))"),"")</f>
        <v/>
      </c>
      <c r="EN17" s="1" t="str">
        <f ca="1">IFERROR(__xludf.DUMMYFUNCTION("if(EN$2="""","""", index(GOOGLEFINANCE($B$17,""close"",EN$2,TODAY()),2,2))"),"")</f>
        <v/>
      </c>
      <c r="EO17" s="1" t="str">
        <f ca="1">IFERROR(__xludf.DUMMYFUNCTION("if(EO$2="""","""", index(GOOGLEFINANCE($B$17,""close"",EO$2,TODAY()),2,2))"),"")</f>
        <v/>
      </c>
      <c r="EP17" s="1" t="str">
        <f ca="1">IFERROR(__xludf.DUMMYFUNCTION("if(EP$2="""","""", index(GOOGLEFINANCE($B$17,""close"",EP$2,TODAY()),2,2))"),"")</f>
        <v/>
      </c>
      <c r="EQ17" s="1" t="str">
        <f ca="1">IFERROR(__xludf.DUMMYFUNCTION("if(EQ$2="""","""", index(GOOGLEFINANCE($B$17,""close"",EQ$2,TODAY()),2,2))"),"")</f>
        <v/>
      </c>
      <c r="ER17" s="1" t="str">
        <f ca="1">IFERROR(__xludf.DUMMYFUNCTION("if(ER$2="""","""", index(GOOGLEFINANCE($B$17,""close"",ER$2,TODAY()),2,2))"),"")</f>
        <v/>
      </c>
      <c r="ES17" s="1" t="str">
        <f ca="1">IFERROR(__xludf.DUMMYFUNCTION("if(ES$2="""","""", index(GOOGLEFINANCE($B$17,""close"",ES$2,TODAY()),2,2))"),"")</f>
        <v/>
      </c>
      <c r="ET17" s="1" t="str">
        <f ca="1">IFERROR(__xludf.DUMMYFUNCTION("if(ET$2="""","""", index(GOOGLEFINANCE($B$17,""close"",ET$2,TODAY()),2,2))"),"")</f>
        <v/>
      </c>
      <c r="EU17" s="1" t="str">
        <f ca="1">IFERROR(__xludf.DUMMYFUNCTION("if(EU$2="""","""", index(GOOGLEFINANCE($B$17,""close"",EU$2,TODAY()),2,2))"),"")</f>
        <v/>
      </c>
      <c r="EV17" s="1" t="str">
        <f ca="1">IFERROR(__xludf.DUMMYFUNCTION("if(EV$2="""","""", index(GOOGLEFINANCE($B$17,""close"",EV$2,TODAY()),2,2))"),"")</f>
        <v/>
      </c>
      <c r="EW17" s="1" t="str">
        <f ca="1">IFERROR(__xludf.DUMMYFUNCTION("if(EW$2="""","""", index(GOOGLEFINANCE($B$17,""close"",EW$2,TODAY()),2,2))"),"")</f>
        <v/>
      </c>
      <c r="EX17" s="1" t="str">
        <f ca="1">IFERROR(__xludf.DUMMYFUNCTION("if(EX$2="""","""", index(GOOGLEFINANCE($B$17,""close"",EX$2,TODAY()),2,2))"),"")</f>
        <v/>
      </c>
      <c r="EY17" s="1" t="str">
        <f ca="1">IFERROR(__xludf.DUMMYFUNCTION("if(EY$2="""","""", index(GOOGLEFINANCE($B$17,""close"",EY$2,TODAY()),2,2))"),"")</f>
        <v/>
      </c>
      <c r="EZ17" s="1" t="str">
        <f ca="1">IFERROR(__xludf.DUMMYFUNCTION("if(EZ$2="""","""", index(GOOGLEFINANCE($B$17,""close"",EZ$2,TODAY()),2,2))"),"")</f>
        <v/>
      </c>
      <c r="FA17" s="1" t="str">
        <f ca="1">IFERROR(__xludf.DUMMYFUNCTION("if(FA$2="""","""", index(GOOGLEFINANCE($B$17,""close"",FA$2,TODAY()),2,2))"),"")</f>
        <v/>
      </c>
      <c r="FB17" s="1" t="str">
        <f ca="1">IFERROR(__xludf.DUMMYFUNCTION("if(FB$2="""","""", index(GOOGLEFINANCE($B$17,""close"",FB$2,TODAY()),2,2))"),"")</f>
        <v/>
      </c>
      <c r="FC17" s="1" t="str">
        <f ca="1">IFERROR(__xludf.DUMMYFUNCTION("if(FC$2="""","""", index(GOOGLEFINANCE($B$17,""close"",FC$2,TODAY()),2,2))"),"")</f>
        <v/>
      </c>
      <c r="FD17" s="1" t="str">
        <f ca="1">IFERROR(__xludf.DUMMYFUNCTION("if(FD$2="""","""", index(GOOGLEFINANCE($B$17,""close"",FD$2,TODAY()),2,2))"),"")</f>
        <v/>
      </c>
      <c r="FE17" s="1" t="str">
        <f ca="1">IFERROR(__xludf.DUMMYFUNCTION("if(FE$2="""","""", index(GOOGLEFINANCE($B$17,""close"",FE$2,TODAY()),2,2))"),"")</f>
        <v/>
      </c>
      <c r="FF17" s="1" t="str">
        <f ca="1">IFERROR(__xludf.DUMMYFUNCTION("if(FF$2="""","""", index(GOOGLEFINANCE($B$17,""close"",FF$2,TODAY()),2,2))"),"")</f>
        <v/>
      </c>
      <c r="FG17" s="1" t="str">
        <f ca="1">IFERROR(__xludf.DUMMYFUNCTION("if(FG$2="""","""", index(GOOGLEFINANCE($B$17,""close"",FG$2,TODAY()),2,2))"),"")</f>
        <v/>
      </c>
      <c r="FH17" s="1" t="str">
        <f ca="1">IFERROR(__xludf.DUMMYFUNCTION("if(FH$2="""","""", index(GOOGLEFINANCE($B$17,""close"",FH$2,TODAY()),2,2))"),"")</f>
        <v/>
      </c>
      <c r="FI17" s="1" t="str">
        <f ca="1">IFERROR(__xludf.DUMMYFUNCTION("if(FI$2="""","""", index(GOOGLEFINANCE($B$17,""close"",FI$2,TODAY()),2,2))"),"")</f>
        <v/>
      </c>
      <c r="FJ17" s="1" t="str">
        <f ca="1">IFERROR(__xludf.DUMMYFUNCTION("if(FJ$2="""","""", index(GOOGLEFINANCE($B$17,""close"",FJ$2,TODAY()),2,2))"),"")</f>
        <v/>
      </c>
      <c r="FK17" s="1" t="str">
        <f ca="1">IFERROR(__xludf.DUMMYFUNCTION("if(FK$2="""","""", index(GOOGLEFINANCE($B$17,""close"",FK$2,TODAY()),2,2))"),"")</f>
        <v/>
      </c>
      <c r="FL17" s="1" t="str">
        <f ca="1">IFERROR(__xludf.DUMMYFUNCTION("if(FL$2="""","""", index(GOOGLEFINANCE($B$17,""close"",FL$2,TODAY()),2,2))"),"")</f>
        <v/>
      </c>
      <c r="FM17" s="1" t="str">
        <f ca="1">IFERROR(__xludf.DUMMYFUNCTION("if(FM$2="""","""", index(GOOGLEFINANCE($B$17,""close"",FM$2,TODAY()),2,2))"),"")</f>
        <v/>
      </c>
      <c r="FN17" s="1" t="str">
        <f ca="1">IFERROR(__xludf.DUMMYFUNCTION("if(FN$2="""","""", index(GOOGLEFINANCE($B$17,""close"",FN$2,TODAY()),2,2))"),"")</f>
        <v/>
      </c>
      <c r="FO17" s="1" t="str">
        <f ca="1">IFERROR(__xludf.DUMMYFUNCTION("if(FO$2="""","""", index(GOOGLEFINANCE($B$17,""close"",FO$2,TODAY()),2,2))"),"")</f>
        <v/>
      </c>
      <c r="FP17" s="1" t="str">
        <f ca="1">IFERROR(__xludf.DUMMYFUNCTION("if(FP$2="""","""", index(GOOGLEFINANCE($B$17,""close"",FP$2,TODAY()),2,2))"),"")</f>
        <v/>
      </c>
      <c r="FQ17" s="1" t="str">
        <f ca="1">IFERROR(__xludf.DUMMYFUNCTION("if(FQ$2="""","""", index(GOOGLEFINANCE($B$17,""close"",FQ$2,TODAY()),2,2))"),"")</f>
        <v/>
      </c>
      <c r="FR17" s="1" t="str">
        <f ca="1">IFERROR(__xludf.DUMMYFUNCTION("if(FR$2="""","""", index(GOOGLEFINANCE($B$17,""close"",FR$2,TODAY()),2,2))"),"")</f>
        <v/>
      </c>
      <c r="FS17" s="1" t="str">
        <f ca="1">IFERROR(__xludf.DUMMYFUNCTION("if(FS$2="""","""", index(GOOGLEFINANCE($B$17,""close"",FS$2,TODAY()),2,2))"),"")</f>
        <v/>
      </c>
      <c r="FT17" s="1" t="str">
        <f ca="1">IFERROR(__xludf.DUMMYFUNCTION("if(FT$2="""","""", index(GOOGLEFINANCE($B$17,""close"",FT$2,TODAY()),2,2))"),"")</f>
        <v/>
      </c>
      <c r="FU17" s="1" t="str">
        <f ca="1">IFERROR(__xludf.DUMMYFUNCTION("if(FU$2="""","""", index(GOOGLEFINANCE($B$17,""close"",FU$2,TODAY()),2,2))"),"")</f>
        <v/>
      </c>
      <c r="FV17" s="1" t="str">
        <f ca="1">IFERROR(__xludf.DUMMYFUNCTION("if(FV$2="""","""", index(GOOGLEFINANCE($B$17,""close"",FV$2,TODAY()),2,2))"),"")</f>
        <v/>
      </c>
      <c r="FW17" s="1" t="str">
        <f ca="1">IFERROR(__xludf.DUMMYFUNCTION("if(FW$2="""","""", index(GOOGLEFINANCE($B$17,""close"",FW$2,TODAY()),2,2))"),"")</f>
        <v/>
      </c>
      <c r="FX17" s="1" t="str">
        <f ca="1">IFERROR(__xludf.DUMMYFUNCTION("if(FX$2="""","""", index(GOOGLEFINANCE($B$17,""close"",FX$2,TODAY()),2,2))"),"")</f>
        <v/>
      </c>
      <c r="FY17" s="1" t="str">
        <f ca="1">IFERROR(__xludf.DUMMYFUNCTION("if(FY$2="""","""", index(GOOGLEFINANCE($B$17,""close"",FY$2,TODAY()),2,2))"),"")</f>
        <v/>
      </c>
      <c r="FZ17" s="1" t="str">
        <f ca="1">IFERROR(__xludf.DUMMYFUNCTION("if(FZ$2="""","""", index(GOOGLEFINANCE($B$17,""close"",FZ$2,TODAY()),2,2))"),"")</f>
        <v/>
      </c>
      <c r="GA17" s="1" t="str">
        <f ca="1">IFERROR(__xludf.DUMMYFUNCTION("if(GA$2="""","""", index(GOOGLEFINANCE($B$17,""close"",GA$2,TODAY()),2,2))"),"")</f>
        <v/>
      </c>
      <c r="GB17" s="1" t="str">
        <f ca="1">IFERROR(__xludf.DUMMYFUNCTION("if(GB$2="""","""", index(GOOGLEFINANCE($B$17,""close"",GB$2,TODAY()),2,2))"),"")</f>
        <v/>
      </c>
      <c r="GC17" s="1" t="str">
        <f ca="1">IFERROR(__xludf.DUMMYFUNCTION("if(GC$2="""","""", index(GOOGLEFINANCE($B$17,""close"",GC$2,TODAY()),2,2))"),"")</f>
        <v/>
      </c>
      <c r="GD17" s="1" t="str">
        <f ca="1">IFERROR(__xludf.DUMMYFUNCTION("if(GD$2="""","""", index(GOOGLEFINANCE($B$17,""close"",GD$2,TODAY()),2,2))"),"")</f>
        <v/>
      </c>
      <c r="GE17" s="1" t="str">
        <f ca="1">IFERROR(__xludf.DUMMYFUNCTION("if(GE$2="""","""", index(GOOGLEFINANCE($B$17,""close"",GE$2,TODAY()),2,2))"),"")</f>
        <v/>
      </c>
      <c r="GF17" s="1" t="str">
        <f ca="1">IFERROR(__xludf.DUMMYFUNCTION("if(GF$2="""","""", index(GOOGLEFINANCE($B$17,""close"",GF$2,TODAY()),2,2))"),"")</f>
        <v/>
      </c>
      <c r="GG17" s="1" t="str">
        <f ca="1">IFERROR(__xludf.DUMMYFUNCTION("if(GG$2="""","""", index(GOOGLEFINANCE($B$17,""close"",GG$2,TODAY()),2,2))"),"")</f>
        <v/>
      </c>
      <c r="GH17" s="1" t="str">
        <f ca="1">IFERROR(__xludf.DUMMYFUNCTION("if(GH$2="""","""", index(GOOGLEFINANCE($B$17,""close"",GH$2,TODAY()),2,2))"),"")</f>
        <v/>
      </c>
      <c r="GI17" s="1" t="str">
        <f ca="1">IFERROR(__xludf.DUMMYFUNCTION("if(GI$2="""","""", index(GOOGLEFINANCE($B$17,""close"",GI$2,TODAY()),2,2))"),"")</f>
        <v/>
      </c>
      <c r="GJ17" s="1" t="str">
        <f ca="1">IFERROR(__xludf.DUMMYFUNCTION("if(GJ$2="""","""", index(GOOGLEFINANCE($B$17,""close"",GJ$2,TODAY()),2,2))"),"")</f>
        <v/>
      </c>
      <c r="GK17" s="1" t="str">
        <f ca="1">IFERROR(__xludf.DUMMYFUNCTION("if(GK$2="""","""", index(GOOGLEFINANCE($B$17,""close"",GK$2,TODAY()),2,2))"),"")</f>
        <v/>
      </c>
      <c r="GL17" s="1" t="str">
        <f ca="1">IFERROR(__xludf.DUMMYFUNCTION("if(GL$2="""","""", index(GOOGLEFINANCE($B$17,""close"",GL$2,TODAY()),2,2))"),"")</f>
        <v/>
      </c>
      <c r="GM17" s="1" t="str">
        <f ca="1">IFERROR(__xludf.DUMMYFUNCTION("if(GM$2="""","""", index(GOOGLEFINANCE($B$17,""close"",GM$2,TODAY()),2,2))"),"")</f>
        <v/>
      </c>
      <c r="GN17" s="1" t="str">
        <f ca="1">IFERROR(__xludf.DUMMYFUNCTION("if(GN$2="""","""", index(GOOGLEFINANCE($B$17,""close"",GN$2,TODAY()),2,2))"),"")</f>
        <v/>
      </c>
      <c r="GO17" s="1" t="str">
        <f ca="1">IFERROR(__xludf.DUMMYFUNCTION("if(GO$2="""","""", index(GOOGLEFINANCE($B$17,""close"",GO$2,TODAY()),2,2))"),"")</f>
        <v/>
      </c>
      <c r="GP17" s="1" t="str">
        <f ca="1">IFERROR(__xludf.DUMMYFUNCTION("if(GP$2="""","""", index(GOOGLEFINANCE($B$17,""close"",GP$2,TODAY()),2,2))"),"")</f>
        <v/>
      </c>
      <c r="GQ17" s="1" t="str">
        <f ca="1">IFERROR(__xludf.DUMMYFUNCTION("if(GQ$2="""","""", index(GOOGLEFINANCE($B$17,""close"",GQ$2,TODAY()),2,2))"),"")</f>
        <v/>
      </c>
      <c r="GR17" s="1" t="str">
        <f ca="1">IFERROR(__xludf.DUMMYFUNCTION("if(GR$2="""","""", index(GOOGLEFINANCE($B$17,""close"",GR$2,TODAY()),2,2))"),"")</f>
        <v/>
      </c>
      <c r="GS17" s="1" t="str">
        <f ca="1">IFERROR(__xludf.DUMMYFUNCTION("if(GS$2="""","""", index(GOOGLEFINANCE($B$17,""close"",GS$2,TODAY()),2,2))"),"")</f>
        <v/>
      </c>
      <c r="GT17" s="1" t="str">
        <f ca="1">IFERROR(__xludf.DUMMYFUNCTION("if(GT$2="""","""", index(GOOGLEFINANCE($B$17,""close"",GT$2,TODAY()),2,2))"),"")</f>
        <v/>
      </c>
      <c r="GU17" s="1" t="str">
        <f ca="1">IFERROR(__xludf.DUMMYFUNCTION("if(GU$2="""","""", index(GOOGLEFINANCE($B$17,""close"",GU$2,TODAY()),2,2))"),"")</f>
        <v/>
      </c>
      <c r="GV17" s="1" t="str">
        <f ca="1">IFERROR(__xludf.DUMMYFUNCTION("if(GV$2="""","""", index(GOOGLEFINANCE($B$17,""close"",GV$2,TODAY()),2,2))"),"")</f>
        <v/>
      </c>
      <c r="GW17" s="1" t="str">
        <f ca="1">IFERROR(__xludf.DUMMYFUNCTION("if(GW$2="""","""", index(GOOGLEFINANCE($B$17,""close"",GW$2,TODAY()),2,2))"),"")</f>
        <v/>
      </c>
      <c r="GX17" s="1" t="str">
        <f ca="1">IFERROR(__xludf.DUMMYFUNCTION("if(GX$2="""","""", index(GOOGLEFINANCE($B$17,""close"",GX$2,TODAY()),2,2))"),"")</f>
        <v/>
      </c>
      <c r="GY17" s="1" t="str">
        <f ca="1">IFERROR(__xludf.DUMMYFUNCTION("if(GY$2="""","""", index(GOOGLEFINANCE($B$17,""close"",GY$2,TODAY()),2,2))"),"")</f>
        <v/>
      </c>
      <c r="GZ17" s="1" t="str">
        <f ca="1">IFERROR(__xludf.DUMMYFUNCTION("if(GZ$2="""","""", index(GOOGLEFINANCE($B$17,""close"",GZ$2,TODAY()),2,2))"),"")</f>
        <v/>
      </c>
      <c r="HA17" s="1" t="str">
        <f ca="1">IFERROR(__xludf.DUMMYFUNCTION("if(HA$2="""","""", index(GOOGLEFINANCE($B$17,""close"",HA$2,TODAY()),2,2))"),"")</f>
        <v/>
      </c>
      <c r="HB17" s="1" t="str">
        <f ca="1">IFERROR(__xludf.DUMMYFUNCTION("if(HB$2="""","""", index(GOOGLEFINANCE($B$17,""close"",HB$2,TODAY()),2,2))"),"")</f>
        <v/>
      </c>
      <c r="HC17" s="1" t="str">
        <f ca="1">IFERROR(__xludf.DUMMYFUNCTION("if(HC$2="""","""", index(GOOGLEFINANCE($B$17,""close"",HC$2,TODAY()),2,2))"),"")</f>
        <v/>
      </c>
      <c r="HD17" s="1" t="str">
        <f ca="1">IFERROR(__xludf.DUMMYFUNCTION("if(HD$2="""","""", index(GOOGLEFINANCE($B$17,""close"",HD$2,TODAY()),2,2))"),"")</f>
        <v/>
      </c>
      <c r="HE17" s="1" t="str">
        <f ca="1">IFERROR(__xludf.DUMMYFUNCTION("if(HE$2="""","""", index(GOOGLEFINANCE($B$17,""close"",HE$2,TODAY()),2,2))"),"")</f>
        <v/>
      </c>
      <c r="HF17" s="1" t="str">
        <f ca="1">IFERROR(__xludf.DUMMYFUNCTION("if(HF$2="""","""", index(GOOGLEFINANCE($B$17,""close"",HF$2,TODAY()),2,2))"),"")</f>
        <v/>
      </c>
      <c r="HG17" s="1" t="str">
        <f ca="1">IFERROR(__xludf.DUMMYFUNCTION("if(HG$2="""","""", index(GOOGLEFINANCE($B$17,""close"",HG$2,TODAY()),2,2))"),"")</f>
        <v/>
      </c>
      <c r="HH17" s="1" t="str">
        <f ca="1">IFERROR(__xludf.DUMMYFUNCTION("if(HH$2="""","""", index(GOOGLEFINANCE($B$17,""close"",HH$2,TODAY()),2,2))"),"")</f>
        <v/>
      </c>
      <c r="HI17" s="1" t="str">
        <f ca="1">IFERROR(__xludf.DUMMYFUNCTION("if(HI$2="""","""", index(GOOGLEFINANCE($B$17,""close"",HI$2,TODAY()),2,2))"),"")</f>
        <v/>
      </c>
      <c r="HJ17" s="1" t="str">
        <f ca="1">IFERROR(__xludf.DUMMYFUNCTION("if(HJ$2="""","""", index(GOOGLEFINANCE($B$17,""close"",HJ$2,TODAY()),2,2))"),"")</f>
        <v/>
      </c>
      <c r="HK17" s="1" t="str">
        <f ca="1">IFERROR(__xludf.DUMMYFUNCTION("if(HK$2="""","""", index(GOOGLEFINANCE($B$17,""close"",HK$2,TODAY()),2,2))"),"")</f>
        <v/>
      </c>
      <c r="HL17" s="1" t="str">
        <f ca="1">IFERROR(__xludf.DUMMYFUNCTION("if(HL$2="""","""", index(GOOGLEFINANCE($B$17,""close"",HL$2,TODAY()),2,2))"),"")</f>
        <v/>
      </c>
      <c r="HM17" s="1" t="str">
        <f ca="1">IFERROR(__xludf.DUMMYFUNCTION("if(HM$2="""","""", index(GOOGLEFINANCE($B$17,""close"",HM$2,TODAY()),2,2))"),"")</f>
        <v/>
      </c>
      <c r="HN17" s="1" t="str">
        <f ca="1">IFERROR(__xludf.DUMMYFUNCTION("if(HN$2="""","""", index(GOOGLEFINANCE($B$17,""close"",HN$2,TODAY()),2,2))"),"")</f>
        <v/>
      </c>
      <c r="HO17" s="1" t="str">
        <f ca="1">IFERROR(__xludf.DUMMYFUNCTION("if(HO$2="""","""", index(GOOGLEFINANCE($B$17,""close"",HO$2,TODAY()),2,2))"),"")</f>
        <v/>
      </c>
      <c r="HP17" s="1" t="str">
        <f ca="1">IFERROR(__xludf.DUMMYFUNCTION("if(HP$2="""","""", index(GOOGLEFINANCE($B$17,""close"",HP$2,TODAY()),2,2))"),"")</f>
        <v/>
      </c>
      <c r="HQ17" s="1" t="str">
        <f ca="1">IFERROR(__xludf.DUMMYFUNCTION("if(HQ$2="""","""", index(GOOGLEFINANCE($B$17,""close"",HQ$2,TODAY()),2,2))"),"")</f>
        <v/>
      </c>
      <c r="HR17" s="1" t="str">
        <f ca="1">IFERROR(__xludf.DUMMYFUNCTION("if(HR$2="""","""", index(GOOGLEFINANCE($B$17,""close"",HR$2,TODAY()),2,2))"),"")</f>
        <v/>
      </c>
      <c r="HS17" s="1" t="str">
        <f ca="1">IFERROR(__xludf.DUMMYFUNCTION("if(HS$2="""","""", index(GOOGLEFINANCE($B$17,""close"",HS$2,TODAY()),2,2))"),"")</f>
        <v/>
      </c>
      <c r="HT17" s="1" t="str">
        <f ca="1">IFERROR(__xludf.DUMMYFUNCTION("if(HT$2="""","""", index(GOOGLEFINANCE($B$17,""close"",HT$2,TODAY()),2,2))"),"")</f>
        <v/>
      </c>
      <c r="HU17" s="1" t="str">
        <f ca="1">IFERROR(__xludf.DUMMYFUNCTION("if(HU$2="""","""", index(GOOGLEFINANCE($B$17,""close"",HU$2,TODAY()),2,2))"),"")</f>
        <v/>
      </c>
      <c r="HV17" s="1" t="str">
        <f ca="1">IFERROR(__xludf.DUMMYFUNCTION("if(HV$2="""","""", index(GOOGLEFINANCE($B$17,""close"",HV$2,TODAY()),2,2))"),"")</f>
        <v/>
      </c>
      <c r="HW17" s="1" t="str">
        <f ca="1">IFERROR(__xludf.DUMMYFUNCTION("if(HW$2="""","""", index(GOOGLEFINANCE($B$17,""close"",HW$2,TODAY()),2,2))"),"")</f>
        <v/>
      </c>
      <c r="HX17" s="1" t="str">
        <f ca="1">IFERROR(__xludf.DUMMYFUNCTION("if(HX$2="""","""", index(GOOGLEFINANCE($B$17,""close"",HX$2,TODAY()),2,2))"),"")</f>
        <v/>
      </c>
      <c r="HY17" s="1" t="str">
        <f ca="1">IFERROR(__xludf.DUMMYFUNCTION("if(HY$2="""","""", index(GOOGLEFINANCE($B$17,""close"",HY$2,TODAY()),2,2))"),"")</f>
        <v/>
      </c>
      <c r="HZ17" s="1" t="str">
        <f ca="1">IFERROR(__xludf.DUMMYFUNCTION("if(HZ$2="""","""", index(GOOGLEFINANCE($B$17,""close"",HZ$2,TODAY()),2,2))"),"")</f>
        <v/>
      </c>
      <c r="IA17" s="1" t="str">
        <f ca="1">IFERROR(__xludf.DUMMYFUNCTION("if(IA$2="""","""", index(GOOGLEFINANCE($B$17,""close"",IA$2,TODAY()),2,2))"),"")</f>
        <v/>
      </c>
      <c r="IB17" s="1" t="str">
        <f ca="1">IFERROR(__xludf.DUMMYFUNCTION("if(IB$2="""","""", index(GOOGLEFINANCE($B$17,""close"",IB$2,TODAY()),2,2))"),"")</f>
        <v/>
      </c>
      <c r="IC17" s="1" t="str">
        <f ca="1">IFERROR(__xludf.DUMMYFUNCTION("if(IC$2="""","""", index(GOOGLEFINANCE($B$17,""close"",IC$2,TODAY()),2,2))"),"")</f>
        <v/>
      </c>
      <c r="ID17" s="1" t="str">
        <f ca="1">IFERROR(__xludf.DUMMYFUNCTION("if(ID$2="""","""", index(GOOGLEFINANCE($B$17,""close"",ID$2,TODAY()),2,2))"),"")</f>
        <v/>
      </c>
      <c r="IE17" s="1" t="str">
        <f ca="1">IFERROR(__xludf.DUMMYFUNCTION("if(IE$2="""","""", index(GOOGLEFINANCE($B$17,""close"",IE$2,TODAY()),2,2))"),"")</f>
        <v/>
      </c>
      <c r="IF17" s="1" t="str">
        <f ca="1">IFERROR(__xludf.DUMMYFUNCTION("if(IF$2="""","""", index(GOOGLEFINANCE($B$17,""close"",IF$2,TODAY()),2,2))"),"")</f>
        <v/>
      </c>
      <c r="IG17" s="1" t="str">
        <f ca="1">IFERROR(__xludf.DUMMYFUNCTION("if(IG$2="""","""", index(GOOGLEFINANCE($B$17,""close"",IG$2,TODAY()),2,2))"),"")</f>
        <v/>
      </c>
      <c r="IH17" s="1" t="str">
        <f ca="1">IFERROR(__xludf.DUMMYFUNCTION("if(IH$2="""","""", index(GOOGLEFINANCE($B$17,""close"",IH$2,TODAY()),2,2))"),"")</f>
        <v/>
      </c>
      <c r="II17" s="1" t="str">
        <f ca="1">IFERROR(__xludf.DUMMYFUNCTION("if(II$2="""","""", index(GOOGLEFINANCE($B$17,""close"",II$2,TODAY()),2,2))"),"")</f>
        <v/>
      </c>
      <c r="IJ17" s="1" t="str">
        <f ca="1">IFERROR(__xludf.DUMMYFUNCTION("if(IJ$2="""","""", index(GOOGLEFINANCE($B$17,""close"",IJ$2,TODAY()),2,2))"),"")</f>
        <v/>
      </c>
      <c r="IK17" s="1" t="str">
        <f ca="1">IFERROR(__xludf.DUMMYFUNCTION("if(IK$2="""","""", index(GOOGLEFINANCE($B$17,""close"",IK$2,TODAY()),2,2))"),"")</f>
        <v/>
      </c>
      <c r="IL17" s="1" t="str">
        <f ca="1">IFERROR(__xludf.DUMMYFUNCTION("if(IL$2="""","""", index(GOOGLEFINANCE($B$17,""close"",IL$2,TODAY()),2,2))"),"")</f>
        <v/>
      </c>
      <c r="IM17" s="1" t="str">
        <f ca="1">IFERROR(__xludf.DUMMYFUNCTION("if(IM$2="""","""", index(GOOGLEFINANCE($B$17,""close"",IM$2,TODAY()),2,2))"),"")</f>
        <v/>
      </c>
      <c r="IN17" s="1" t="str">
        <f ca="1">IFERROR(__xludf.DUMMYFUNCTION("if(IN$2="""","""", index(GOOGLEFINANCE($B$17,""close"",IN$2,TODAY()),2,2))"),"")</f>
        <v/>
      </c>
      <c r="IO17" s="1" t="str">
        <f ca="1">IFERROR(__xludf.DUMMYFUNCTION("if(IO$2="""","""", index(GOOGLEFINANCE($B$17,""close"",IO$2,TODAY()),2,2))"),"")</f>
        <v/>
      </c>
      <c r="IP17" s="1" t="str">
        <f ca="1">IFERROR(__xludf.DUMMYFUNCTION("if(IP$2="""","""", index(GOOGLEFINANCE($B$17,""close"",IP$2,TODAY()),2,2))"),"")</f>
        <v/>
      </c>
      <c r="IQ17" s="1" t="str">
        <f ca="1">IFERROR(__xludf.DUMMYFUNCTION("if(IQ$2="""","""", index(GOOGLEFINANCE($B$17,""close"",IQ$2,TODAY()),2,2))"),"")</f>
        <v/>
      </c>
      <c r="IR17" s="1" t="str">
        <f ca="1">IFERROR(__xludf.DUMMYFUNCTION("if(IR$2="""","""", index(GOOGLEFINANCE($B$17,""close"",IR$2,TODAY()),2,2))"),"")</f>
        <v/>
      </c>
      <c r="IS17" s="1" t="str">
        <f ca="1">IFERROR(__xludf.DUMMYFUNCTION("if(IS$2="""","""", index(GOOGLEFINANCE($B$17,""close"",IS$2,TODAY()),2,2))"),"")</f>
        <v/>
      </c>
      <c r="IT17" s="1" t="str">
        <f ca="1">IFERROR(__xludf.DUMMYFUNCTION("if(IT$2="""","""", index(GOOGLEFINANCE($B$17,""close"",IT$2,TODAY()),2,2))"),"")</f>
        <v/>
      </c>
      <c r="IU17" s="1" t="str">
        <f ca="1">IFERROR(__xludf.DUMMYFUNCTION("if(IU$2="""","""", index(GOOGLEFINANCE($B$17,""close"",IU$2,TODAY()),2,2))"),"")</f>
        <v/>
      </c>
      <c r="IV17" s="1" t="str">
        <f ca="1">IFERROR(__xludf.DUMMYFUNCTION("if(IV$2="""","""", index(GOOGLEFINANCE($B$17,""close"",IV$2,TODAY()),2,2))"),"")</f>
        <v/>
      </c>
      <c r="IW17" s="1" t="str">
        <f ca="1">IFERROR(__xludf.DUMMYFUNCTION("if(IW$2="""","""", index(GOOGLEFINANCE($B$17,""close"",IW$2,TODAY()),2,2))"),"")</f>
        <v/>
      </c>
      <c r="IX17" s="1" t="str">
        <f ca="1">IFERROR(__xludf.DUMMYFUNCTION("if(IX$2="""","""", index(GOOGLEFINANCE($B$17,""close"",IX$2,TODAY()),2,2))"),"")</f>
        <v/>
      </c>
      <c r="IY17" s="1" t="str">
        <f ca="1">IFERROR(__xludf.DUMMYFUNCTION("if(IY$2="""","""", index(GOOGLEFINANCE($B$17,""close"",IY$2,TODAY()),2,2))"),"")</f>
        <v/>
      </c>
      <c r="IZ17" s="1" t="str">
        <f ca="1">IFERROR(__xludf.DUMMYFUNCTION("if(IZ$2="""","""", index(GOOGLEFINANCE($B$17,""close"",IZ$2,TODAY()),2,2))"),"")</f>
        <v/>
      </c>
      <c r="JA17" s="1" t="str">
        <f ca="1">IFERROR(__xludf.DUMMYFUNCTION("if(JA$2="""","""", index(GOOGLEFINANCE($B$17,""close"",JA$2,TODAY()),2,2))"),"")</f>
        <v/>
      </c>
      <c r="JB17" s="1" t="str">
        <f ca="1">IFERROR(__xludf.DUMMYFUNCTION("if(JB$2="""","""", index(GOOGLEFINANCE($B$17,""close"",JB$2,TODAY()),2,2))"),"")</f>
        <v/>
      </c>
      <c r="JC17" s="1" t="str">
        <f ca="1">IFERROR(__xludf.DUMMYFUNCTION("if(JC$2="""","""", index(GOOGLEFINANCE($B$17,""close"",JC$2,TODAY()),2,2))"),"")</f>
        <v/>
      </c>
      <c r="JD17" s="1" t="str">
        <f ca="1">IFERROR(__xludf.DUMMYFUNCTION("if(JD$2="""","""", index(GOOGLEFINANCE($B$17,""close"",JD$2,TODAY()),2,2))"),"")</f>
        <v/>
      </c>
      <c r="JE17" s="1" t="str">
        <f ca="1">IFERROR(__xludf.DUMMYFUNCTION("if(JE$2="""","""", index(GOOGLEFINANCE($B$17,""close"",JE$2,TODAY()),2,2))"),"")</f>
        <v/>
      </c>
      <c r="JF17" s="1" t="str">
        <f ca="1">IFERROR(__xludf.DUMMYFUNCTION("if(JF$2="""","""", index(GOOGLEFINANCE($B$17,""close"",JF$2,TODAY()),2,2))"),"")</f>
        <v/>
      </c>
      <c r="JG17" s="1" t="str">
        <f ca="1">IFERROR(__xludf.DUMMYFUNCTION("if(JG$2="""","""", index(GOOGLEFINANCE($B$17,""close"",JG$2,TODAY()),2,2))"),"")</f>
        <v/>
      </c>
      <c r="JH17" s="1" t="str">
        <f ca="1">IFERROR(__xludf.DUMMYFUNCTION("if(JH$2="""","""", index(GOOGLEFINANCE($B$17,""close"",JH$2,TODAY()),2,2))"),"")</f>
        <v/>
      </c>
      <c r="JI17" s="1" t="str">
        <f ca="1">IFERROR(__xludf.DUMMYFUNCTION("if(JI$2="""","""", index(GOOGLEFINANCE($B$17,""close"",JI$2,TODAY()),2,2))"),"")</f>
        <v/>
      </c>
      <c r="JJ17" s="1" t="str">
        <f ca="1">IFERROR(__xludf.DUMMYFUNCTION("if(JJ$2="""","""", index(GOOGLEFINANCE($B$17,""close"",JJ$2,TODAY()),2,2))"),"")</f>
        <v/>
      </c>
      <c r="JK17" s="1" t="str">
        <f ca="1">IFERROR(__xludf.DUMMYFUNCTION("if(JK$2="""","""", index(GOOGLEFINANCE($B$17,""close"",JK$2,TODAY()),2,2))"),"")</f>
        <v/>
      </c>
      <c r="JL17" s="1" t="str">
        <f ca="1">IFERROR(__xludf.DUMMYFUNCTION("if(JL$2="""","""", index(GOOGLEFINANCE($B$17,""close"",JL$2,TODAY()),2,2))"),"")</f>
        <v/>
      </c>
      <c r="JM17" s="1" t="str">
        <f ca="1">IFERROR(__xludf.DUMMYFUNCTION("if(JM$2="""","""", index(GOOGLEFINANCE($B$17,""close"",JM$2,TODAY()),2,2))"),"")</f>
        <v/>
      </c>
      <c r="JN17" s="1" t="str">
        <f ca="1">IFERROR(__xludf.DUMMYFUNCTION("if(JN$2="""","""", index(GOOGLEFINANCE($B$17,""close"",JN$2,TODAY()),2,2))"),"")</f>
        <v/>
      </c>
      <c r="JO17" s="1" t="str">
        <f ca="1">IFERROR(__xludf.DUMMYFUNCTION("if(JO$2="""","""", index(GOOGLEFINANCE($B$17,""close"",JO$2,TODAY()),2,2))"),"")</f>
        <v/>
      </c>
      <c r="JP17" s="1" t="str">
        <f ca="1">IFERROR(__xludf.DUMMYFUNCTION("if(JP$2="""","""", index(GOOGLEFINANCE($B$17,""close"",JP$2,TODAY()),2,2))"),"")</f>
        <v/>
      </c>
      <c r="JQ17" s="1" t="str">
        <f ca="1">IFERROR(__xludf.DUMMYFUNCTION("if(JQ$2="""","""", index(GOOGLEFINANCE($B$17,""close"",JQ$2,TODAY()),2,2))"),"")</f>
        <v/>
      </c>
      <c r="JR17" s="1" t="str">
        <f ca="1">IFERROR(__xludf.DUMMYFUNCTION("if(JR$2="""","""", index(GOOGLEFINANCE($B$17,""close"",JR$2,TODAY()),2,2))"),"")</f>
        <v/>
      </c>
      <c r="JS17" s="1" t="str">
        <f ca="1">IFERROR(__xludf.DUMMYFUNCTION("if(JS$2="""","""", index(GOOGLEFINANCE($B$17,""close"",JS$2,TODAY()),2,2))"),"")</f>
        <v/>
      </c>
      <c r="JT17" s="1" t="str">
        <f ca="1">IFERROR(__xludf.DUMMYFUNCTION("if(JT$2="""","""", index(GOOGLEFINANCE($B$17,""close"",JT$2,TODAY()),2,2))"),"")</f>
        <v/>
      </c>
      <c r="JU17" s="1" t="str">
        <f ca="1">IFERROR(__xludf.DUMMYFUNCTION("if(JU$2="""","""", index(GOOGLEFINANCE($B$17,""close"",JU$2,TODAY()),2,2))"),"")</f>
        <v/>
      </c>
      <c r="JV17" s="1" t="str">
        <f ca="1">IFERROR(__xludf.DUMMYFUNCTION("if(JV$2="""","""", index(GOOGLEFINANCE($B$17,""close"",JV$2,TODAY()),2,2))"),"")</f>
        <v/>
      </c>
      <c r="JW17" s="1" t="str">
        <f ca="1">IFERROR(__xludf.DUMMYFUNCTION("if(JW$2="""","""", index(GOOGLEFINANCE($B$17,""close"",JW$2,TODAY()),2,2))"),"")</f>
        <v/>
      </c>
      <c r="JX17" s="1" t="str">
        <f ca="1">IFERROR(__xludf.DUMMYFUNCTION("if(JX$2="""","""", index(GOOGLEFINANCE($B$17,""close"",JX$2,TODAY()),2,2))"),"")</f>
        <v/>
      </c>
      <c r="JY17" s="1" t="str">
        <f ca="1">IFERROR(__xludf.DUMMYFUNCTION("if(JY$2="""","""", index(GOOGLEFINANCE($B$17,""close"",JY$2,TODAY()),2,2))"),"")</f>
        <v/>
      </c>
      <c r="JZ17" s="1" t="str">
        <f ca="1">IFERROR(__xludf.DUMMYFUNCTION("if(JZ$2="""","""", index(GOOGLEFINANCE($B$17,""close"",JZ$2,TODAY()),2,2))"),"")</f>
        <v/>
      </c>
      <c r="KA17" s="1" t="str">
        <f ca="1">IFERROR(__xludf.DUMMYFUNCTION("if(KA$2="""","""", index(GOOGLEFINANCE($B$17,""close"",KA$2,TODAY()),2,2))"),"")</f>
        <v/>
      </c>
      <c r="KB17" s="1" t="str">
        <f ca="1">IFERROR(__xludf.DUMMYFUNCTION("if(KB$2="""","""", index(GOOGLEFINANCE($B$17,""close"",KB$2,TODAY()),2,2))"),"")</f>
        <v/>
      </c>
      <c r="KC17" s="1" t="str">
        <f ca="1">IFERROR(__xludf.DUMMYFUNCTION("if(KC$2="""","""", index(GOOGLEFINANCE($B$17,""close"",KC$2,TODAY()),2,2))"),"")</f>
        <v/>
      </c>
      <c r="KD17" s="1" t="str">
        <f ca="1">IFERROR(__xludf.DUMMYFUNCTION("if(KD$2="""","""", index(GOOGLEFINANCE($B$17,""close"",KD$2,TODAY()),2,2))"),"")</f>
        <v/>
      </c>
      <c r="KE17" s="1" t="str">
        <f ca="1">IFERROR(__xludf.DUMMYFUNCTION("if(KE$2="""","""", index(GOOGLEFINANCE($B$17,""close"",KE$2,TODAY()),2,2))"),"")</f>
        <v/>
      </c>
      <c r="KF17" s="1" t="str">
        <f ca="1">IFERROR(__xludf.DUMMYFUNCTION("if(KF$2="""","""", index(GOOGLEFINANCE($B$17,""close"",KF$2,TODAY()),2,2))"),"")</f>
        <v/>
      </c>
      <c r="KG17" s="1" t="str">
        <f ca="1">IFERROR(__xludf.DUMMYFUNCTION("if(KG$2="""","""", index(GOOGLEFINANCE($B$17,""close"",KG$2,TODAY()),2,2))"),"")</f>
        <v/>
      </c>
    </row>
    <row r="18" spans="1:293" ht="15.75" customHeight="1">
      <c r="A18" s="18" t="s">
        <v>30</v>
      </c>
      <c r="B18" s="6" t="s">
        <v>62</v>
      </c>
      <c r="C18" s="1">
        <f ca="1">IFERROR(__xludf.DUMMYFUNCTION("if(C$2="""","""", index(GOOGLEFINANCE($B$18,""close"",C$2,TODAY()),2,2))"),99.36)</f>
        <v>99.36</v>
      </c>
      <c r="D18" s="1">
        <f ca="1">IFERROR(__xludf.DUMMYFUNCTION("if(D$2="""","""", index(GOOGLEFINANCE($B$18,""close"",D$2,TODAY()),2,2))"),94.38)</f>
        <v>94.38</v>
      </c>
      <c r="E18" s="1">
        <f ca="1">IFERROR(__xludf.DUMMYFUNCTION("if(E$2="""","""", index(GOOGLEFINANCE($B$18,""close"",E$2,TODAY()),2,2))"),93.81)</f>
        <v>93.81</v>
      </c>
      <c r="F18" s="1">
        <f ca="1">IFERROR(__xludf.DUMMYFUNCTION("if(F$2="""","""", index(GOOGLEFINANCE($B$18,""close"",F$2,TODAY()),2,2))"),95.3)</f>
        <v>95.3</v>
      </c>
      <c r="G18" s="1">
        <f ca="1">IFERROR(__xludf.DUMMYFUNCTION("if(G$2="""","""", index(GOOGLEFINANCE($B$18,""close"",G$2,TODAY()),2,2))"),91.8)</f>
        <v>91.8</v>
      </c>
      <c r="H18" s="1">
        <f ca="1">IFERROR(__xludf.DUMMYFUNCTION("if(H$2="""","""", index(GOOGLEFINANCE($B$18,""close"",H$2,TODAY()),2,2))"),93.69)</f>
        <v>93.69</v>
      </c>
      <c r="I18" s="1">
        <f ca="1">IFERROR(__xludf.DUMMYFUNCTION("if(I$2="""","""", index(GOOGLEFINANCE($B$18,""close"",I$2,TODAY()),2,2))"),94)</f>
        <v>94</v>
      </c>
      <c r="J18" s="1">
        <f ca="1">IFERROR(__xludf.DUMMYFUNCTION("if(J$2="""","""", index(GOOGLEFINANCE($B$18,""close"",J$2,TODAY()),2,2))"),93.37)</f>
        <v>93.37</v>
      </c>
      <c r="K18" s="1">
        <f ca="1">IFERROR(__xludf.DUMMYFUNCTION("if(K$2="""","""", index(GOOGLEFINANCE($B$18,""close"",K$2,TODAY()),2,2))"),92.26)</f>
        <v>92.26</v>
      </c>
      <c r="L18" s="1">
        <f ca="1">IFERROR(__xludf.DUMMYFUNCTION("if(L$2="""","""", index(GOOGLEFINANCE($B$18,""close"",L$2,TODAY()),2,2))"),89.99)</f>
        <v>89.99</v>
      </c>
      <c r="M18" s="1">
        <f ca="1">IFERROR(__xludf.DUMMYFUNCTION("if(M$2="""","""", index(GOOGLEFINANCE($B$18,""close"",M$2,TODAY()),2,2))"),86.09)</f>
        <v>86.09</v>
      </c>
      <c r="N18" s="1">
        <f ca="1">IFERROR(__xludf.DUMMYFUNCTION("if(N$2="""","""", index(GOOGLEFINANCE($B$18,""close"",N$2,TODAY()),2,2))"),86.46)</f>
        <v>86.46</v>
      </c>
      <c r="O18" s="1">
        <f ca="1">IFERROR(__xludf.DUMMYFUNCTION("if(O$2="""","""", index(GOOGLEFINANCE($B$18,""close"",O$2,TODAY()),2,2))"),87.36)</f>
        <v>87.36</v>
      </c>
      <c r="P18" s="1">
        <f ca="1">IFERROR(__xludf.DUMMYFUNCTION("if(P$2="""","""", index(GOOGLEFINANCE($B$18,""close"",P$2,TODAY()),2,2))"),86.24)</f>
        <v>86.24</v>
      </c>
      <c r="Q18" s="1">
        <f ca="1">IFERROR(__xludf.DUMMYFUNCTION("if(Q$2="""","""", index(GOOGLEFINANCE($B$18,""close"",Q$2,TODAY()),2,2))"),87.87)</f>
        <v>87.87</v>
      </c>
      <c r="R18" s="1">
        <f ca="1">IFERROR(__xludf.DUMMYFUNCTION("if(R$2="""","""", index(GOOGLEFINANCE($B$18,""close"",R$2,TODAY()),2,2))"),86.28)</f>
        <v>86.28</v>
      </c>
      <c r="S18" s="1">
        <f ca="1">IFERROR(__xludf.DUMMYFUNCTION("if(S$2="""","""", index(GOOGLEFINANCE($B$18,""close"",S$2,TODAY()),2,2))"),85.64)</f>
        <v>85.64</v>
      </c>
      <c r="T18" s="1">
        <f ca="1">IFERROR(__xludf.DUMMYFUNCTION("if(T$2="""","""", index(GOOGLEFINANCE($B$18,""close"",T$2,TODAY()),2,2))"),85.4)</f>
        <v>85.4</v>
      </c>
      <c r="U18" s="1">
        <f ca="1">IFERROR(__xludf.DUMMYFUNCTION("if(U$2="""","""", index(GOOGLEFINANCE($B$18,""close"",U$2,TODAY()),2,2))"),88.66)</f>
        <v>88.66</v>
      </c>
      <c r="V18" s="1">
        <f ca="1">IFERROR(__xludf.DUMMYFUNCTION("if(V$2="""","""", index(GOOGLEFINANCE($B$18,""close"",V$2,TODAY()),2,2))"),90.56)</f>
        <v>90.56</v>
      </c>
      <c r="W18" s="1">
        <f ca="1">IFERROR(__xludf.DUMMYFUNCTION("if(W$2="""","""", index(GOOGLEFINANCE($B$18,""close"",W$2,TODAY()),2,2))"),90.36)</f>
        <v>90.36</v>
      </c>
      <c r="X18" s="1">
        <f ca="1">IFERROR(__xludf.DUMMYFUNCTION("if(X$2="""","""", index(GOOGLEFINANCE($B$18,""close"",X$2,TODAY()),2,2))"),91.86)</f>
        <v>91.86</v>
      </c>
      <c r="Y18" s="1">
        <f ca="1">IFERROR(__xludf.DUMMYFUNCTION("if(Y$2="""","""", index(GOOGLEFINANCE($B$18,""close"",Y$2,TODAY()),2,2))"),90.01)</f>
        <v>90.01</v>
      </c>
      <c r="Z18" s="1">
        <f ca="1">IFERROR(__xludf.DUMMYFUNCTION("if(Z$2="""","""", index(GOOGLEFINANCE($B$18,""close"",Z$2,TODAY()),2,2))"),89.84)</f>
        <v>89.84</v>
      </c>
      <c r="AA18" s="1">
        <f ca="1">IFERROR(__xludf.DUMMYFUNCTION("if(AA$2="""","""", index(GOOGLEFINANCE($B$18,""close"",AA$2,TODAY()),2,2))"),89.24)</f>
        <v>89.24</v>
      </c>
      <c r="AB18" s="1">
        <f ca="1">IFERROR(__xludf.DUMMYFUNCTION("if(AB$2="""","""", index(GOOGLEFINANCE($B$18,""close"",AB$2,TODAY()),2,2))"),90.17)</f>
        <v>90.17</v>
      </c>
      <c r="AC18" s="1">
        <f ca="1">IFERROR(__xludf.DUMMYFUNCTION("if(AC$2="""","""", index(GOOGLEFINANCE($B$18,""close"",AC$2,TODAY()),2,2))"),91.61)</f>
        <v>91.61</v>
      </c>
      <c r="AD18" s="1">
        <f ca="1">IFERROR(__xludf.DUMMYFUNCTION("if(AD$2="""","""", index(GOOGLEFINANCE($B$18,""close"",AD$2,TODAY()),2,2))"),91.59)</f>
        <v>91.59</v>
      </c>
      <c r="AE18" s="1">
        <f ca="1">IFERROR(__xludf.DUMMYFUNCTION("if(AE$2="""","""", index(GOOGLEFINANCE($B$18,""close"",AE$2,TODAY()),2,2))"),90.25)</f>
        <v>90.25</v>
      </c>
      <c r="AF18" s="1">
        <f ca="1">IFERROR(__xludf.DUMMYFUNCTION("if(AF$2="""","""", index(GOOGLEFINANCE($B$18,""close"",AF$2,TODAY()),2,2))"),88.97)</f>
        <v>88.97</v>
      </c>
      <c r="AG18" s="1">
        <f ca="1">IFERROR(__xludf.DUMMYFUNCTION("if(AG$2="""","""", index(GOOGLEFINANCE($B$18,""close"",AG$2,TODAY()),2,2))"),82.17)</f>
        <v>82.17</v>
      </c>
      <c r="AH18" s="1">
        <f ca="1">IFERROR(__xludf.DUMMYFUNCTION("if(AH$2="""","""", index(GOOGLEFINANCE($B$18,""close"",AH$2,TODAY()),2,2))"),83.37)</f>
        <v>83.37</v>
      </c>
      <c r="AI18" s="1">
        <f ca="1">IFERROR(__xludf.DUMMYFUNCTION("if(AI$2="""","""", index(GOOGLEFINANCE($B$18,""close"",AI$2,TODAY()),2,2))"),79.36)</f>
        <v>79.36</v>
      </c>
      <c r="AJ18" s="1">
        <f ca="1">IFERROR(__xludf.DUMMYFUNCTION("if(AJ$2="""","""", index(GOOGLEFINANCE($B$18,""close"",AJ$2,TODAY()),2,2))"),78.99)</f>
        <v>78.989999999999995</v>
      </c>
      <c r="AK18" s="1">
        <f ca="1">IFERROR(__xludf.DUMMYFUNCTION("if(AK$2="""","""", index(GOOGLEFINANCE($B$18,""close"",AK$2,TODAY()),2,2))"),78.6)</f>
        <v>78.599999999999994</v>
      </c>
      <c r="AL18" s="1">
        <f ca="1">IFERROR(__xludf.DUMMYFUNCTION("if(AL$2="""","""", index(GOOGLEFINANCE($B$18,""close"",AL$2,TODAY()),2,2))"),76.94)</f>
        <v>76.94</v>
      </c>
      <c r="AM18" s="1">
        <f ca="1">IFERROR(__xludf.DUMMYFUNCTION("if(AM$2="""","""", index(GOOGLEFINANCE($B$18,""close"",AM$2,TODAY()),2,2))"),77.85)</f>
        <v>77.849999999999994</v>
      </c>
      <c r="AN18" s="1">
        <f ca="1">IFERROR(__xludf.DUMMYFUNCTION("if(AN$2="""","""", index(GOOGLEFINANCE($B$18,""close"",AN$2,TODAY()),2,2))"),80.26)</f>
        <v>80.260000000000005</v>
      </c>
      <c r="AO18" s="1">
        <f ca="1">IFERROR(__xludf.DUMMYFUNCTION("if(AO$2="""","""", index(GOOGLEFINANCE($B$18,""close"",AO$2,TODAY()),2,2))"),79.2)</f>
        <v>79.2</v>
      </c>
      <c r="AP18" s="1">
        <f ca="1">IFERROR(__xludf.DUMMYFUNCTION("if(AP$2="""","""", index(GOOGLEFINANCE($B$18,""close"",AP$2,TODAY()),2,2))"),78.72)</f>
        <v>78.72</v>
      </c>
      <c r="AQ18" s="1">
        <f ca="1">IFERROR(__xludf.DUMMYFUNCTION("if(AQ$2="""","""", index(GOOGLEFINANCE($B$18,""close"",AQ$2,TODAY()),2,2))"),80.75)</f>
        <v>80.75</v>
      </c>
      <c r="AR18" s="1">
        <f ca="1">IFERROR(__xludf.DUMMYFUNCTION("if(AR$2="""","""", index(GOOGLEFINANCE($B$18,""close"",AR$2,TODAY()),2,2))"),79.73)</f>
        <v>79.73</v>
      </c>
      <c r="AS18" s="1">
        <f ca="1">IFERROR(__xludf.DUMMYFUNCTION("if(AS$2="""","""", index(GOOGLEFINANCE($B$18,""close"",AS$2,TODAY()),2,2))"),79.35)</f>
        <v>79.349999999999994</v>
      </c>
      <c r="AT18" s="1">
        <f ca="1">IFERROR(__xludf.DUMMYFUNCTION("if(AT$2="""","""", index(GOOGLEFINANCE($B$18,""close"",AT$2,TODAY()),2,2))"),74.84)</f>
        <v>74.84</v>
      </c>
      <c r="AU18" s="1">
        <f ca="1">IFERROR(__xludf.DUMMYFUNCTION("if(AU$2="""","""", index(GOOGLEFINANCE($B$18,""close"",AU$2,TODAY()),2,2))"),74.15)</f>
        <v>74.150000000000006</v>
      </c>
      <c r="AV18" s="1">
        <f ca="1">IFERROR(__xludf.DUMMYFUNCTION("if(AV$2="""","""", index(GOOGLEFINANCE($B$18,""close"",AV$2,TODAY()),2,2))"),78.13)</f>
        <v>78.13</v>
      </c>
      <c r="AW18" s="1">
        <f ca="1">IFERROR(__xludf.DUMMYFUNCTION("if(AW$2="""","""", index(GOOGLEFINANCE($B$18,""close"",AW$2,TODAY()),2,2))"),76.78)</f>
        <v>76.78</v>
      </c>
      <c r="AX18" s="1">
        <f ca="1">IFERROR(__xludf.DUMMYFUNCTION("if(AX$2="""","""", index(GOOGLEFINANCE($B$18,""close"",AX$2,TODAY()),2,2))"),75.24)</f>
        <v>75.239999999999995</v>
      </c>
      <c r="AY18" s="1">
        <f ca="1">IFERROR(__xludf.DUMMYFUNCTION("if(AY$2="""","""", index(GOOGLEFINANCE($B$18,""close"",AY$2,TODAY()),2,2))"),75.53)</f>
        <v>75.53</v>
      </c>
      <c r="AZ18" s="1">
        <f ca="1">IFERROR(__xludf.DUMMYFUNCTION("if(AZ$2="""","""", index(GOOGLEFINANCE($B$18,""close"",AZ$2,TODAY()),2,2))"),76.97)</f>
        <v>76.97</v>
      </c>
      <c r="BA18" s="1">
        <f ca="1">IFERROR(__xludf.DUMMYFUNCTION("if(BA$2="""","""", index(GOOGLEFINANCE($B$18,""close"",BA$2,TODAY()),2,2))"),79.68)</f>
        <v>79.680000000000007</v>
      </c>
      <c r="BB18" s="1">
        <f ca="1">IFERROR(__xludf.DUMMYFUNCTION("if(BB$2="""","""", index(GOOGLEFINANCE($B$18,""close"",BB$2,TODAY()),2,2))"),79.45)</f>
        <v>79.45</v>
      </c>
      <c r="BC18" s="1">
        <f ca="1">IFERROR(__xludf.DUMMYFUNCTION("if(BC$2="""","""", index(GOOGLEFINANCE($B$18,""close"",BC$2,TODAY()),2,2))"),79.97)</f>
        <v>79.97</v>
      </c>
      <c r="BD18" s="1">
        <f ca="1">IFERROR(__xludf.DUMMYFUNCTION("if(BD$2="""","""", index(GOOGLEFINANCE($B$18,""close"",BD$2,TODAY()),2,2))"),82.03)</f>
        <v>82.03</v>
      </c>
      <c r="BE18" s="1">
        <f ca="1">IFERROR(__xludf.DUMMYFUNCTION("if(BE$2="""","""", index(GOOGLEFINANCE($B$18,""close"",BE$2,TODAY()),2,2))"),83.13)</f>
        <v>83.13</v>
      </c>
      <c r="BF18" s="1">
        <f ca="1">IFERROR(__xludf.DUMMYFUNCTION("if(BF$2="""","""", index(GOOGLEFINANCE($B$18,""close"",BF$2,TODAY()),2,2))"),78.23)</f>
        <v>78.23</v>
      </c>
      <c r="BG18" s="1">
        <f ca="1">IFERROR(__xludf.DUMMYFUNCTION("if(BG$2="""","""", index(GOOGLEFINANCE($B$18,""close"",BG$2,TODAY()),2,2))"),78.98)</f>
        <v>78.98</v>
      </c>
      <c r="BH18" s="1">
        <f ca="1">IFERROR(__xludf.DUMMYFUNCTION("if(BH$2="""","""", index(GOOGLEFINANCE($B$18,""close"",BH$2,TODAY()),2,2))"),79.18)</f>
        <v>79.180000000000007</v>
      </c>
      <c r="BI18" s="1">
        <f ca="1">IFERROR(__xludf.DUMMYFUNCTION("if(BI$2="""","""", index(GOOGLEFINANCE($B$18,""close"",BI$2,TODAY()),2,2))"),79.65)</f>
        <v>79.650000000000006</v>
      </c>
      <c r="BJ18" s="1">
        <f ca="1">IFERROR(__xludf.DUMMYFUNCTION("if(BJ$2="""","""", index(GOOGLEFINANCE($B$18,""close"",BJ$2,TODAY()),2,2))"),82.61)</f>
        <v>82.61</v>
      </c>
      <c r="BK18" s="1">
        <f ca="1">IFERROR(__xludf.DUMMYFUNCTION("if(BK$2="""","""", index(GOOGLEFINANCE($B$18,""close"",BK$2,TODAY()),2,2))"),81.59)</f>
        <v>81.59</v>
      </c>
      <c r="BL18" s="1">
        <f ca="1">IFERROR(__xludf.DUMMYFUNCTION("if(BL$2="""","""", index(GOOGLEFINANCE($B$18,""close"",BL$2,TODAY()),2,2))"),80.95)</f>
        <v>80.95</v>
      </c>
      <c r="BM18" s="1">
        <f ca="1">IFERROR(__xludf.DUMMYFUNCTION("if(BM$2="""","""", index(GOOGLEFINANCE($B$18,""close"",BM$2,TODAY()),2,2))"),82.77)</f>
        <v>82.77</v>
      </c>
      <c r="BN18" s="1">
        <f ca="1">IFERROR(__xludf.DUMMYFUNCTION("if(BN$2="""","""", index(GOOGLEFINANCE($B$18,""close"",BN$2,TODAY()),2,2))"),82.23)</f>
        <v>82.23</v>
      </c>
      <c r="BO18" s="1">
        <f ca="1">IFERROR(__xludf.DUMMYFUNCTION("if(BO$2="""","""", index(GOOGLEFINANCE($B$18,""close"",BO$2,TODAY()),2,2))"),81.51)</f>
        <v>81.510000000000005</v>
      </c>
      <c r="BP18" s="1">
        <f ca="1">IFERROR(__xludf.DUMMYFUNCTION("if(BP$2="""","""", index(GOOGLEFINANCE($B$18,""close"",BP$2,TODAY()),2,2))"),81.82)</f>
        <v>81.819999999999993</v>
      </c>
      <c r="BQ18" s="1">
        <f ca="1">IFERROR(__xludf.DUMMYFUNCTION("if(BQ$2="""","""", index(GOOGLEFINANCE($B$18,""close"",BQ$2,TODAY()),2,2))"),84.75)</f>
        <v>84.75</v>
      </c>
      <c r="BR18" s="1">
        <f ca="1">IFERROR(__xludf.DUMMYFUNCTION("if(BR$2="""","""", index(GOOGLEFINANCE($B$18,""close"",BR$2,TODAY()),2,2))"),84.08)</f>
        <v>84.08</v>
      </c>
      <c r="BS18" s="1">
        <f ca="1">IFERROR(__xludf.DUMMYFUNCTION("if(BS$2="""","""", index(GOOGLEFINANCE($B$18,""close"",BS$2,TODAY()),2,2))"),81.77)</f>
        <v>81.77</v>
      </c>
      <c r="BT18" s="1">
        <f ca="1">IFERROR(__xludf.DUMMYFUNCTION("if(BT$2="""","""", index(GOOGLEFINANCE($B$18,""close"",BT$2,TODAY()),2,2))"),81.15)</f>
        <v>81.150000000000006</v>
      </c>
      <c r="BU18" s="1">
        <f ca="1">IFERROR(__xludf.DUMMYFUNCTION("if(BU$2="""","""", index(GOOGLEFINANCE($B$18,""close"",BU$2,TODAY()),2,2))"),81.24)</f>
        <v>81.239999999999995</v>
      </c>
      <c r="BV18" s="1">
        <f ca="1">IFERROR(__xludf.DUMMYFUNCTION("if(BV$2="""","""", index(GOOGLEFINANCE($B$18,""close"",BV$2,TODAY()),2,2))"),80.43)</f>
        <v>80.430000000000007</v>
      </c>
      <c r="BW18" s="1">
        <f ca="1">IFERROR(__xludf.DUMMYFUNCTION("if(BW$2="""","""", index(GOOGLEFINANCE($B$18,""close"",BW$2,TODAY()),2,2))"),78.5)</f>
        <v>78.5</v>
      </c>
      <c r="BX18" s="1">
        <f ca="1">IFERROR(__xludf.DUMMYFUNCTION("if(BX$2="""","""", index(GOOGLEFINANCE($B$18,""close"",BX$2,TODAY()),2,2))"),79.05)</f>
        <v>79.05</v>
      </c>
      <c r="BY18" s="1">
        <f ca="1">IFERROR(__xludf.DUMMYFUNCTION("if(BY$2="""","""", index(GOOGLEFINANCE($B$18,""close"",BY$2,TODAY()),2,2))"),81.29)</f>
        <v>81.290000000000006</v>
      </c>
      <c r="BZ18" s="1">
        <f ca="1">IFERROR(__xludf.DUMMYFUNCTION("if(BZ$2="""","""", index(GOOGLEFINANCE($B$18,""close"",BZ$2,TODAY()),2,2))"),79.79)</f>
        <v>79.790000000000006</v>
      </c>
      <c r="CA18" s="1">
        <f ca="1">IFERROR(__xludf.DUMMYFUNCTION("if(CA$2="""","""", index(GOOGLEFINANCE($B$18,""close"",CA$2,TODAY()),2,2))"),77.16)</f>
        <v>77.16</v>
      </c>
      <c r="CB18" s="1">
        <f ca="1">IFERROR(__xludf.DUMMYFUNCTION("if(CB$2="""","""", index(GOOGLEFINANCE($B$18,""close"",CB$2,TODAY()),2,2))"),72.57)</f>
        <v>72.569999999999993</v>
      </c>
      <c r="CC18" s="1">
        <f ca="1">IFERROR(__xludf.DUMMYFUNCTION("if(CC$2="""","""", index(GOOGLEFINANCE($B$18,""close"",CC$2,TODAY()),2,2))"),67.33)</f>
        <v>67.33</v>
      </c>
      <c r="CD18" s="1">
        <f ca="1">IFERROR(__xludf.DUMMYFUNCTION("if(CD$2="""","""", index(GOOGLEFINANCE($B$18,""close"",CD$2,TODAY()),2,2))"),69.92)</f>
        <v>69.92</v>
      </c>
      <c r="CE18" s="1">
        <f ca="1">IFERROR(__xludf.DUMMYFUNCTION("if(CE$2="""","""", index(GOOGLEFINANCE($B$18,""close"",CE$2,TODAY()),2,2))"),70.46)</f>
        <v>70.459999999999994</v>
      </c>
      <c r="CF18" s="1">
        <f ca="1">IFERROR(__xludf.DUMMYFUNCTION("if(CF$2="""","""", index(GOOGLEFINANCE($B$18,""close"",CF$2,TODAY()),2,2))"),73.09)</f>
        <v>73.09</v>
      </c>
      <c r="CG18" s="1">
        <f ca="1">IFERROR(__xludf.DUMMYFUNCTION("if(CG$2="""","""", index(GOOGLEFINANCE($B$18,""close"",CG$2,TODAY()),2,2))"),72.3)</f>
        <v>72.3</v>
      </c>
      <c r="CH18" s="1">
        <f ca="1">IFERROR(__xludf.DUMMYFUNCTION("if(CH$2="""","""", index(GOOGLEFINANCE($B$18,""close"",CH$2,TODAY()),2,2))"),72.03)</f>
        <v>72.03</v>
      </c>
      <c r="CI18" s="1">
        <f ca="1">IFERROR(__xludf.DUMMYFUNCTION("if(CI$2="""","""", index(GOOGLEFINANCE($B$18,""close"",CI$2,TODAY()),2,2))"),75.71)</f>
        <v>75.709999999999994</v>
      </c>
      <c r="CJ18" s="1" t="str">
        <f ca="1">IFERROR(__xludf.DUMMYFUNCTION("if(CJ$2="""","""", index(GOOGLEFINANCE($B$18,""close"",CJ$2,TODAY()),2,2))"),"")</f>
        <v/>
      </c>
      <c r="CK18" s="1" t="str">
        <f ca="1">IFERROR(__xludf.DUMMYFUNCTION("if(CK$2="""","""", index(GOOGLEFINANCE($B$18,""close"",CK$2,TODAY()),2,2))"),"")</f>
        <v/>
      </c>
      <c r="CL18" s="1" t="str">
        <f ca="1">IFERROR(__xludf.DUMMYFUNCTION("if(CL$2="""","""", index(GOOGLEFINANCE($B$18,""close"",CL$2,TODAY()),2,2))"),"")</f>
        <v/>
      </c>
      <c r="CM18" s="1" t="str">
        <f ca="1">IFERROR(__xludf.DUMMYFUNCTION("if(CM$2="""","""", index(GOOGLEFINANCE($B$18,""close"",CM$2,TODAY()),2,2))"),"")</f>
        <v/>
      </c>
      <c r="CN18" s="1" t="str">
        <f ca="1">IFERROR(__xludf.DUMMYFUNCTION("if(CN$2="""","""", index(GOOGLEFINANCE($B$18,""close"",CN$2,TODAY()),2,2))"),"")</f>
        <v/>
      </c>
      <c r="CO18" s="1" t="str">
        <f ca="1">IFERROR(__xludf.DUMMYFUNCTION("if(CO$2="""","""", index(GOOGLEFINANCE($B$18,""close"",CO$2,TODAY()),2,2))"),"")</f>
        <v/>
      </c>
      <c r="CP18" s="1" t="str">
        <f ca="1">IFERROR(__xludf.DUMMYFUNCTION("if(CP$2="""","""", index(GOOGLEFINANCE($B$18,""close"",CP$2,TODAY()),2,2))"),"")</f>
        <v/>
      </c>
      <c r="CQ18" s="1" t="str">
        <f ca="1">IFERROR(__xludf.DUMMYFUNCTION("if(CQ$2="""","""", index(GOOGLEFINANCE($B$18,""close"",CQ$2,TODAY()),2,2))"),"")</f>
        <v/>
      </c>
      <c r="CR18" s="1" t="str">
        <f ca="1">IFERROR(__xludf.DUMMYFUNCTION("if(CR$2="""","""", index(GOOGLEFINANCE($B$18,""close"",CR$2,TODAY()),2,2))"),"")</f>
        <v/>
      </c>
      <c r="CS18" s="1" t="str">
        <f ca="1">IFERROR(__xludf.DUMMYFUNCTION("if(CS$2="""","""", index(GOOGLEFINANCE($B$18,""close"",CS$2,TODAY()),2,2))"),"")</f>
        <v/>
      </c>
      <c r="CT18" s="1" t="str">
        <f ca="1">IFERROR(__xludf.DUMMYFUNCTION("if(CT$2="""","""", index(GOOGLEFINANCE($B$18,""close"",CT$2,TODAY()),2,2))"),"")</f>
        <v/>
      </c>
      <c r="CU18" s="1" t="str">
        <f ca="1">IFERROR(__xludf.DUMMYFUNCTION("if(CU$2="""","""", index(GOOGLEFINANCE($B$18,""close"",CU$2,TODAY()),2,2))"),"")</f>
        <v/>
      </c>
      <c r="CV18" s="1" t="str">
        <f ca="1">IFERROR(__xludf.DUMMYFUNCTION("if(CV$2="""","""", index(GOOGLEFINANCE($B$18,""close"",CV$2,TODAY()),2,2))"),"")</f>
        <v/>
      </c>
      <c r="CW18" s="1" t="str">
        <f ca="1">IFERROR(__xludf.DUMMYFUNCTION("if(CW$2="""","""", index(GOOGLEFINANCE($B$18,""close"",CW$2,TODAY()),2,2))"),"")</f>
        <v/>
      </c>
      <c r="CX18" s="1" t="str">
        <f ca="1">IFERROR(__xludf.DUMMYFUNCTION("if(CX$2="""","""", index(GOOGLEFINANCE($B$18,""close"",CX$2,TODAY()),2,2))"),"")</f>
        <v/>
      </c>
      <c r="CY18" s="1" t="str">
        <f ca="1">IFERROR(__xludf.DUMMYFUNCTION("if(CY$2="""","""", index(GOOGLEFINANCE($B$18,""close"",CY$2,TODAY()),2,2))"),"")</f>
        <v/>
      </c>
      <c r="CZ18" s="1" t="str">
        <f ca="1">IFERROR(__xludf.DUMMYFUNCTION("if(CZ$2="""","""", index(GOOGLEFINANCE($B$18,""close"",CZ$2,TODAY()),2,2))"),"")</f>
        <v/>
      </c>
      <c r="DA18" s="1" t="str">
        <f ca="1">IFERROR(__xludf.DUMMYFUNCTION("if(DA$2="""","""", index(GOOGLEFINANCE($B$18,""close"",DA$2,TODAY()),2,2))"),"")</f>
        <v/>
      </c>
      <c r="DB18" s="1" t="str">
        <f ca="1">IFERROR(__xludf.DUMMYFUNCTION("if(DB$2="""","""", index(GOOGLEFINANCE($B$18,""close"",DB$2,TODAY()),2,2))"),"")</f>
        <v/>
      </c>
      <c r="DC18" s="1" t="str">
        <f ca="1">IFERROR(__xludf.DUMMYFUNCTION("if(DC$2="""","""", index(GOOGLEFINANCE($B$18,""close"",DC$2,TODAY()),2,2))"),"")</f>
        <v/>
      </c>
      <c r="DD18" s="1" t="str">
        <f ca="1">IFERROR(__xludf.DUMMYFUNCTION("if(DD$2="""","""", index(GOOGLEFINANCE($B$18,""close"",DD$2,TODAY()),2,2))"),"")</f>
        <v/>
      </c>
      <c r="DE18" s="1" t="str">
        <f ca="1">IFERROR(__xludf.DUMMYFUNCTION("if(DE$2="""","""", index(GOOGLEFINANCE($B$18,""close"",DE$2,TODAY()),2,2))"),"")</f>
        <v/>
      </c>
      <c r="DF18" s="1" t="str">
        <f ca="1">IFERROR(__xludf.DUMMYFUNCTION("if(DF$2="""","""", index(GOOGLEFINANCE($B$18,""close"",DF$2,TODAY()),2,2))"),"")</f>
        <v/>
      </c>
      <c r="DG18" s="1" t="str">
        <f ca="1">IFERROR(__xludf.DUMMYFUNCTION("if(DG$2="""","""", index(GOOGLEFINANCE($B$18,""close"",DG$2,TODAY()),2,2))"),"")</f>
        <v/>
      </c>
      <c r="DH18" s="1" t="str">
        <f ca="1">IFERROR(__xludf.DUMMYFUNCTION("if(DH$2="""","""", index(GOOGLEFINANCE($B$18,""close"",DH$2,TODAY()),2,2))"),"")</f>
        <v/>
      </c>
      <c r="DI18" s="1" t="str">
        <f ca="1">IFERROR(__xludf.DUMMYFUNCTION("if(DI$2="""","""", index(GOOGLEFINANCE($B$18,""close"",DI$2,TODAY()),2,2))"),"")</f>
        <v/>
      </c>
      <c r="DJ18" s="1" t="str">
        <f ca="1">IFERROR(__xludf.DUMMYFUNCTION("if(DJ$2="""","""", index(GOOGLEFINANCE($B$18,""close"",DJ$2,TODAY()),2,2))"),"")</f>
        <v/>
      </c>
      <c r="DK18" s="1" t="str">
        <f ca="1">IFERROR(__xludf.DUMMYFUNCTION("if(DK$2="""","""", index(GOOGLEFINANCE($B$18,""close"",DK$2,TODAY()),2,2))"),"")</f>
        <v/>
      </c>
      <c r="DL18" s="1" t="str">
        <f ca="1">IFERROR(__xludf.DUMMYFUNCTION("if(DL$2="""","""", index(GOOGLEFINANCE($B$18,""close"",DL$2,TODAY()),2,2))"),"")</f>
        <v/>
      </c>
      <c r="DM18" s="1" t="str">
        <f ca="1">IFERROR(__xludf.DUMMYFUNCTION("if(DM$2="""","""", index(GOOGLEFINANCE($B$18,""close"",DM$2,TODAY()),2,2))"),"")</f>
        <v/>
      </c>
      <c r="DN18" s="1" t="str">
        <f ca="1">IFERROR(__xludf.DUMMYFUNCTION("if(DN$2="""","""", index(GOOGLEFINANCE($B$18,""close"",DN$2,TODAY()),2,2))"),"")</f>
        <v/>
      </c>
      <c r="DO18" s="1" t="str">
        <f ca="1">IFERROR(__xludf.DUMMYFUNCTION("if(DO$2="""","""", index(GOOGLEFINANCE($B$18,""close"",DO$2,TODAY()),2,2))"),"")</f>
        <v/>
      </c>
      <c r="DP18" s="1" t="str">
        <f ca="1">IFERROR(__xludf.DUMMYFUNCTION("if(DP$2="""","""", index(GOOGLEFINANCE($B$18,""close"",DP$2,TODAY()),2,2))"),"")</f>
        <v/>
      </c>
      <c r="DQ18" s="1" t="str">
        <f ca="1">IFERROR(__xludf.DUMMYFUNCTION("if(DQ$2="""","""", index(GOOGLEFINANCE($B$18,""close"",DQ$2,TODAY()),2,2))"),"")</f>
        <v/>
      </c>
      <c r="DR18" s="1" t="str">
        <f ca="1">IFERROR(__xludf.DUMMYFUNCTION("if(DR$2="""","""", index(GOOGLEFINANCE($B$18,""close"",DR$2,TODAY()),2,2))"),"")</f>
        <v/>
      </c>
      <c r="DS18" s="1" t="str">
        <f ca="1">IFERROR(__xludf.DUMMYFUNCTION("if(DS$2="""","""", index(GOOGLEFINANCE($B$18,""close"",DS$2,TODAY()),2,2))"),"")</f>
        <v/>
      </c>
      <c r="DT18" s="1" t="str">
        <f ca="1">IFERROR(__xludf.DUMMYFUNCTION("if(DT$2="""","""", index(GOOGLEFINANCE($B$18,""close"",DT$2,TODAY()),2,2))"),"")</f>
        <v/>
      </c>
      <c r="DU18" s="1" t="str">
        <f ca="1">IFERROR(__xludf.DUMMYFUNCTION("if(DU$2="""","""", index(GOOGLEFINANCE($B$18,""close"",DU$2,TODAY()),2,2))"),"")</f>
        <v/>
      </c>
      <c r="DV18" s="1" t="str">
        <f ca="1">IFERROR(__xludf.DUMMYFUNCTION("if(DV$2="""","""", index(GOOGLEFINANCE($B$18,""close"",DV$2,TODAY()),2,2))"),"")</f>
        <v/>
      </c>
      <c r="DW18" s="1" t="str">
        <f ca="1">IFERROR(__xludf.DUMMYFUNCTION("if(DW$2="""","""", index(GOOGLEFINANCE($B$18,""close"",DW$2,TODAY()),2,2))"),"")</f>
        <v/>
      </c>
      <c r="DX18" s="1" t="str">
        <f ca="1">IFERROR(__xludf.DUMMYFUNCTION("if(DX$2="""","""", index(GOOGLEFINANCE($B$18,""close"",DX$2,TODAY()),2,2))"),"")</f>
        <v/>
      </c>
      <c r="DY18" s="1" t="str">
        <f ca="1">IFERROR(__xludf.DUMMYFUNCTION("if(DY$2="""","""", index(GOOGLEFINANCE($B$18,""close"",DY$2,TODAY()),2,2))"),"")</f>
        <v/>
      </c>
      <c r="DZ18" s="1" t="str">
        <f ca="1">IFERROR(__xludf.DUMMYFUNCTION("if(DZ$2="""","""", index(GOOGLEFINANCE($B$18,""close"",DZ$2,TODAY()),2,2))"),"")</f>
        <v/>
      </c>
      <c r="EA18" s="1" t="str">
        <f ca="1">IFERROR(__xludf.DUMMYFUNCTION("if(EA$2="""","""", index(GOOGLEFINANCE($B$18,""close"",EA$2,TODAY()),2,2))"),"")</f>
        <v/>
      </c>
      <c r="EB18" s="1" t="str">
        <f ca="1">IFERROR(__xludf.DUMMYFUNCTION("if(EB$2="""","""", index(GOOGLEFINANCE($B$18,""close"",EB$2,TODAY()),2,2))"),"")</f>
        <v/>
      </c>
      <c r="EC18" s="1" t="str">
        <f ca="1">IFERROR(__xludf.DUMMYFUNCTION("if(EC$2="""","""", index(GOOGLEFINANCE($B$18,""close"",EC$2,TODAY()),2,2))"),"")</f>
        <v/>
      </c>
      <c r="ED18" s="1" t="str">
        <f ca="1">IFERROR(__xludf.DUMMYFUNCTION("if(ED$2="""","""", index(GOOGLEFINANCE($B$18,""close"",ED$2,TODAY()),2,2))"),"")</f>
        <v/>
      </c>
      <c r="EE18" s="1" t="str">
        <f ca="1">IFERROR(__xludf.DUMMYFUNCTION("if(EE$2="""","""", index(GOOGLEFINANCE($B$18,""close"",EE$2,TODAY()),2,2))"),"")</f>
        <v/>
      </c>
      <c r="EF18" s="1" t="str">
        <f ca="1">IFERROR(__xludf.DUMMYFUNCTION("if(EF$2="""","""", index(GOOGLEFINANCE($B$18,""close"",EF$2,TODAY()),2,2))"),"")</f>
        <v/>
      </c>
      <c r="EG18" s="1" t="str">
        <f ca="1">IFERROR(__xludf.DUMMYFUNCTION("if(EG$2="""","""", index(GOOGLEFINANCE($B$18,""close"",EG$2,TODAY()),2,2))"),"")</f>
        <v/>
      </c>
      <c r="EH18" s="1" t="str">
        <f ca="1">IFERROR(__xludf.DUMMYFUNCTION("if(EH$2="""","""", index(GOOGLEFINANCE($B$18,""close"",EH$2,TODAY()),2,2))"),"")</f>
        <v/>
      </c>
      <c r="EI18" s="1" t="str">
        <f ca="1">IFERROR(__xludf.DUMMYFUNCTION("if(EI$2="""","""", index(GOOGLEFINANCE($B$18,""close"",EI$2,TODAY()),2,2))"),"")</f>
        <v/>
      </c>
      <c r="EJ18" s="1" t="str">
        <f ca="1">IFERROR(__xludf.DUMMYFUNCTION("if(EJ$2="""","""", index(GOOGLEFINANCE($B$18,""close"",EJ$2,TODAY()),2,2))"),"")</f>
        <v/>
      </c>
      <c r="EK18" s="1" t="str">
        <f ca="1">IFERROR(__xludf.DUMMYFUNCTION("if(EK$2="""","""", index(GOOGLEFINANCE($B$18,""close"",EK$2,TODAY()),2,2))"),"")</f>
        <v/>
      </c>
      <c r="EL18" s="1" t="str">
        <f ca="1">IFERROR(__xludf.DUMMYFUNCTION("if(EL$2="""","""", index(GOOGLEFINANCE($B$18,""close"",EL$2,TODAY()),2,2))"),"")</f>
        <v/>
      </c>
      <c r="EM18" s="1" t="str">
        <f ca="1">IFERROR(__xludf.DUMMYFUNCTION("if(EM$2="""","""", index(GOOGLEFINANCE($B$18,""close"",EM$2,TODAY()),2,2))"),"")</f>
        <v/>
      </c>
      <c r="EN18" s="1" t="str">
        <f ca="1">IFERROR(__xludf.DUMMYFUNCTION("if(EN$2="""","""", index(GOOGLEFINANCE($B$18,""close"",EN$2,TODAY()),2,2))"),"")</f>
        <v/>
      </c>
      <c r="EO18" s="1" t="str">
        <f ca="1">IFERROR(__xludf.DUMMYFUNCTION("if(EO$2="""","""", index(GOOGLEFINANCE($B$18,""close"",EO$2,TODAY()),2,2))"),"")</f>
        <v/>
      </c>
      <c r="EP18" s="1" t="str">
        <f ca="1">IFERROR(__xludf.DUMMYFUNCTION("if(EP$2="""","""", index(GOOGLEFINANCE($B$18,""close"",EP$2,TODAY()),2,2))"),"")</f>
        <v/>
      </c>
      <c r="EQ18" s="1" t="str">
        <f ca="1">IFERROR(__xludf.DUMMYFUNCTION("if(EQ$2="""","""", index(GOOGLEFINANCE($B$18,""close"",EQ$2,TODAY()),2,2))"),"")</f>
        <v/>
      </c>
      <c r="ER18" s="1" t="str">
        <f ca="1">IFERROR(__xludf.DUMMYFUNCTION("if(ER$2="""","""", index(GOOGLEFINANCE($B$18,""close"",ER$2,TODAY()),2,2))"),"")</f>
        <v/>
      </c>
      <c r="ES18" s="1" t="str">
        <f ca="1">IFERROR(__xludf.DUMMYFUNCTION("if(ES$2="""","""", index(GOOGLEFINANCE($B$18,""close"",ES$2,TODAY()),2,2))"),"")</f>
        <v/>
      </c>
      <c r="ET18" s="1" t="str">
        <f ca="1">IFERROR(__xludf.DUMMYFUNCTION("if(ET$2="""","""", index(GOOGLEFINANCE($B$18,""close"",ET$2,TODAY()),2,2))"),"")</f>
        <v/>
      </c>
      <c r="EU18" s="1" t="str">
        <f ca="1">IFERROR(__xludf.DUMMYFUNCTION("if(EU$2="""","""", index(GOOGLEFINANCE($B$18,""close"",EU$2,TODAY()),2,2))"),"")</f>
        <v/>
      </c>
      <c r="EV18" s="1" t="str">
        <f ca="1">IFERROR(__xludf.DUMMYFUNCTION("if(EV$2="""","""", index(GOOGLEFINANCE($B$18,""close"",EV$2,TODAY()),2,2))"),"")</f>
        <v/>
      </c>
      <c r="EW18" s="1" t="str">
        <f ca="1">IFERROR(__xludf.DUMMYFUNCTION("if(EW$2="""","""", index(GOOGLEFINANCE($B$18,""close"",EW$2,TODAY()),2,2))"),"")</f>
        <v/>
      </c>
      <c r="EX18" s="1" t="str">
        <f ca="1">IFERROR(__xludf.DUMMYFUNCTION("if(EX$2="""","""", index(GOOGLEFINANCE($B$18,""close"",EX$2,TODAY()),2,2))"),"")</f>
        <v/>
      </c>
      <c r="EY18" s="1" t="str">
        <f ca="1">IFERROR(__xludf.DUMMYFUNCTION("if(EY$2="""","""", index(GOOGLEFINANCE($B$18,""close"",EY$2,TODAY()),2,2))"),"")</f>
        <v/>
      </c>
      <c r="EZ18" s="1" t="str">
        <f ca="1">IFERROR(__xludf.DUMMYFUNCTION("if(EZ$2="""","""", index(GOOGLEFINANCE($B$18,""close"",EZ$2,TODAY()),2,2))"),"")</f>
        <v/>
      </c>
      <c r="FA18" s="1" t="str">
        <f ca="1">IFERROR(__xludf.DUMMYFUNCTION("if(FA$2="""","""", index(GOOGLEFINANCE($B$18,""close"",FA$2,TODAY()),2,2))"),"")</f>
        <v/>
      </c>
      <c r="FB18" s="1" t="str">
        <f ca="1">IFERROR(__xludf.DUMMYFUNCTION("if(FB$2="""","""", index(GOOGLEFINANCE($B$18,""close"",FB$2,TODAY()),2,2))"),"")</f>
        <v/>
      </c>
      <c r="FC18" s="1" t="str">
        <f ca="1">IFERROR(__xludf.DUMMYFUNCTION("if(FC$2="""","""", index(GOOGLEFINANCE($B$18,""close"",FC$2,TODAY()),2,2))"),"")</f>
        <v/>
      </c>
      <c r="FD18" s="1" t="str">
        <f ca="1">IFERROR(__xludf.DUMMYFUNCTION("if(FD$2="""","""", index(GOOGLEFINANCE($B$18,""close"",FD$2,TODAY()),2,2))"),"")</f>
        <v/>
      </c>
      <c r="FE18" s="1" t="str">
        <f ca="1">IFERROR(__xludf.DUMMYFUNCTION("if(FE$2="""","""", index(GOOGLEFINANCE($B$18,""close"",FE$2,TODAY()),2,2))"),"")</f>
        <v/>
      </c>
      <c r="FF18" s="1" t="str">
        <f ca="1">IFERROR(__xludf.DUMMYFUNCTION("if(FF$2="""","""", index(GOOGLEFINANCE($B$18,""close"",FF$2,TODAY()),2,2))"),"")</f>
        <v/>
      </c>
      <c r="FG18" s="1" t="str">
        <f ca="1">IFERROR(__xludf.DUMMYFUNCTION("if(FG$2="""","""", index(GOOGLEFINANCE($B$18,""close"",FG$2,TODAY()),2,2))"),"")</f>
        <v/>
      </c>
      <c r="FH18" s="1" t="str">
        <f ca="1">IFERROR(__xludf.DUMMYFUNCTION("if(FH$2="""","""", index(GOOGLEFINANCE($B$18,""close"",FH$2,TODAY()),2,2))"),"")</f>
        <v/>
      </c>
      <c r="FI18" s="1" t="str">
        <f ca="1">IFERROR(__xludf.DUMMYFUNCTION("if(FI$2="""","""", index(GOOGLEFINANCE($B$18,""close"",FI$2,TODAY()),2,2))"),"")</f>
        <v/>
      </c>
      <c r="FJ18" s="1" t="str">
        <f ca="1">IFERROR(__xludf.DUMMYFUNCTION("if(FJ$2="""","""", index(GOOGLEFINANCE($B$18,""close"",FJ$2,TODAY()),2,2))"),"")</f>
        <v/>
      </c>
      <c r="FK18" s="1" t="str">
        <f ca="1">IFERROR(__xludf.DUMMYFUNCTION("if(FK$2="""","""", index(GOOGLEFINANCE($B$18,""close"",FK$2,TODAY()),2,2))"),"")</f>
        <v/>
      </c>
      <c r="FL18" s="1" t="str">
        <f ca="1">IFERROR(__xludf.DUMMYFUNCTION("if(FL$2="""","""", index(GOOGLEFINANCE($B$18,""close"",FL$2,TODAY()),2,2))"),"")</f>
        <v/>
      </c>
      <c r="FM18" s="1" t="str">
        <f ca="1">IFERROR(__xludf.DUMMYFUNCTION("if(FM$2="""","""", index(GOOGLEFINANCE($B$18,""close"",FM$2,TODAY()),2,2))"),"")</f>
        <v/>
      </c>
      <c r="FN18" s="1" t="str">
        <f ca="1">IFERROR(__xludf.DUMMYFUNCTION("if(FN$2="""","""", index(GOOGLEFINANCE($B$18,""close"",FN$2,TODAY()),2,2))"),"")</f>
        <v/>
      </c>
      <c r="FO18" s="1" t="str">
        <f ca="1">IFERROR(__xludf.DUMMYFUNCTION("if(FO$2="""","""", index(GOOGLEFINANCE($B$18,""close"",FO$2,TODAY()),2,2))"),"")</f>
        <v/>
      </c>
      <c r="FP18" s="1" t="str">
        <f ca="1">IFERROR(__xludf.DUMMYFUNCTION("if(FP$2="""","""", index(GOOGLEFINANCE($B$18,""close"",FP$2,TODAY()),2,2))"),"")</f>
        <v/>
      </c>
      <c r="FQ18" s="1" t="str">
        <f ca="1">IFERROR(__xludf.DUMMYFUNCTION("if(FQ$2="""","""", index(GOOGLEFINANCE($B$18,""close"",FQ$2,TODAY()),2,2))"),"")</f>
        <v/>
      </c>
      <c r="FR18" s="1" t="str">
        <f ca="1">IFERROR(__xludf.DUMMYFUNCTION("if(FR$2="""","""", index(GOOGLEFINANCE($B$18,""close"",FR$2,TODAY()),2,2))"),"")</f>
        <v/>
      </c>
      <c r="FS18" s="1" t="str">
        <f ca="1">IFERROR(__xludf.DUMMYFUNCTION("if(FS$2="""","""", index(GOOGLEFINANCE($B$18,""close"",FS$2,TODAY()),2,2))"),"")</f>
        <v/>
      </c>
      <c r="FT18" s="1" t="str">
        <f ca="1">IFERROR(__xludf.DUMMYFUNCTION("if(FT$2="""","""", index(GOOGLEFINANCE($B$18,""close"",FT$2,TODAY()),2,2))"),"")</f>
        <v/>
      </c>
      <c r="FU18" s="1" t="str">
        <f ca="1">IFERROR(__xludf.DUMMYFUNCTION("if(FU$2="""","""", index(GOOGLEFINANCE($B$18,""close"",FU$2,TODAY()),2,2))"),"")</f>
        <v/>
      </c>
      <c r="FV18" s="1" t="str">
        <f ca="1">IFERROR(__xludf.DUMMYFUNCTION("if(FV$2="""","""", index(GOOGLEFINANCE($B$18,""close"",FV$2,TODAY()),2,2))"),"")</f>
        <v/>
      </c>
      <c r="FW18" s="1" t="str">
        <f ca="1">IFERROR(__xludf.DUMMYFUNCTION("if(FW$2="""","""", index(GOOGLEFINANCE($B$18,""close"",FW$2,TODAY()),2,2))"),"")</f>
        <v/>
      </c>
      <c r="FX18" s="1" t="str">
        <f ca="1">IFERROR(__xludf.DUMMYFUNCTION("if(FX$2="""","""", index(GOOGLEFINANCE($B$18,""close"",FX$2,TODAY()),2,2))"),"")</f>
        <v/>
      </c>
      <c r="FY18" s="1" t="str">
        <f ca="1">IFERROR(__xludf.DUMMYFUNCTION("if(FY$2="""","""", index(GOOGLEFINANCE($B$18,""close"",FY$2,TODAY()),2,2))"),"")</f>
        <v/>
      </c>
      <c r="FZ18" s="1" t="str">
        <f ca="1">IFERROR(__xludf.DUMMYFUNCTION("if(FZ$2="""","""", index(GOOGLEFINANCE($B$18,""close"",FZ$2,TODAY()),2,2))"),"")</f>
        <v/>
      </c>
      <c r="GA18" s="1" t="str">
        <f ca="1">IFERROR(__xludf.DUMMYFUNCTION("if(GA$2="""","""", index(GOOGLEFINANCE($B$18,""close"",GA$2,TODAY()),2,2))"),"")</f>
        <v/>
      </c>
      <c r="GB18" s="1" t="str">
        <f ca="1">IFERROR(__xludf.DUMMYFUNCTION("if(GB$2="""","""", index(GOOGLEFINANCE($B$18,""close"",GB$2,TODAY()),2,2))"),"")</f>
        <v/>
      </c>
      <c r="GC18" s="1" t="str">
        <f ca="1">IFERROR(__xludf.DUMMYFUNCTION("if(GC$2="""","""", index(GOOGLEFINANCE($B$18,""close"",GC$2,TODAY()),2,2))"),"")</f>
        <v/>
      </c>
      <c r="GD18" s="1" t="str">
        <f ca="1">IFERROR(__xludf.DUMMYFUNCTION("if(GD$2="""","""", index(GOOGLEFINANCE($B$18,""close"",GD$2,TODAY()),2,2))"),"")</f>
        <v/>
      </c>
      <c r="GE18" s="1" t="str">
        <f ca="1">IFERROR(__xludf.DUMMYFUNCTION("if(GE$2="""","""", index(GOOGLEFINANCE($B$18,""close"",GE$2,TODAY()),2,2))"),"")</f>
        <v/>
      </c>
      <c r="GF18" s="1" t="str">
        <f ca="1">IFERROR(__xludf.DUMMYFUNCTION("if(GF$2="""","""", index(GOOGLEFINANCE($B$18,""close"",GF$2,TODAY()),2,2))"),"")</f>
        <v/>
      </c>
      <c r="GG18" s="1" t="str">
        <f ca="1">IFERROR(__xludf.DUMMYFUNCTION("if(GG$2="""","""", index(GOOGLEFINANCE($B$18,""close"",GG$2,TODAY()),2,2))"),"")</f>
        <v/>
      </c>
      <c r="GH18" s="1" t="str">
        <f ca="1">IFERROR(__xludf.DUMMYFUNCTION("if(GH$2="""","""", index(GOOGLEFINANCE($B$18,""close"",GH$2,TODAY()),2,2))"),"")</f>
        <v/>
      </c>
      <c r="GI18" s="1" t="str">
        <f ca="1">IFERROR(__xludf.DUMMYFUNCTION("if(GI$2="""","""", index(GOOGLEFINANCE($B$18,""close"",GI$2,TODAY()),2,2))"),"")</f>
        <v/>
      </c>
      <c r="GJ18" s="1" t="str">
        <f ca="1">IFERROR(__xludf.DUMMYFUNCTION("if(GJ$2="""","""", index(GOOGLEFINANCE($B$18,""close"",GJ$2,TODAY()),2,2))"),"")</f>
        <v/>
      </c>
      <c r="GK18" s="1" t="str">
        <f ca="1">IFERROR(__xludf.DUMMYFUNCTION("if(GK$2="""","""", index(GOOGLEFINANCE($B$18,""close"",GK$2,TODAY()),2,2))"),"")</f>
        <v/>
      </c>
      <c r="GL18" s="1" t="str">
        <f ca="1">IFERROR(__xludf.DUMMYFUNCTION("if(GL$2="""","""", index(GOOGLEFINANCE($B$18,""close"",GL$2,TODAY()),2,2))"),"")</f>
        <v/>
      </c>
      <c r="GM18" s="1" t="str">
        <f ca="1">IFERROR(__xludf.DUMMYFUNCTION("if(GM$2="""","""", index(GOOGLEFINANCE($B$18,""close"",GM$2,TODAY()),2,2))"),"")</f>
        <v/>
      </c>
      <c r="GN18" s="1" t="str">
        <f ca="1">IFERROR(__xludf.DUMMYFUNCTION("if(GN$2="""","""", index(GOOGLEFINANCE($B$18,""close"",GN$2,TODAY()),2,2))"),"")</f>
        <v/>
      </c>
      <c r="GO18" s="1" t="str">
        <f ca="1">IFERROR(__xludf.DUMMYFUNCTION("if(GO$2="""","""", index(GOOGLEFINANCE($B$18,""close"",GO$2,TODAY()),2,2))"),"")</f>
        <v/>
      </c>
      <c r="GP18" s="1" t="str">
        <f ca="1">IFERROR(__xludf.DUMMYFUNCTION("if(GP$2="""","""", index(GOOGLEFINANCE($B$18,""close"",GP$2,TODAY()),2,2))"),"")</f>
        <v/>
      </c>
      <c r="GQ18" s="1" t="str">
        <f ca="1">IFERROR(__xludf.DUMMYFUNCTION("if(GQ$2="""","""", index(GOOGLEFINANCE($B$18,""close"",GQ$2,TODAY()),2,2))"),"")</f>
        <v/>
      </c>
      <c r="GR18" s="1" t="str">
        <f ca="1">IFERROR(__xludf.DUMMYFUNCTION("if(GR$2="""","""", index(GOOGLEFINANCE($B$18,""close"",GR$2,TODAY()),2,2))"),"")</f>
        <v/>
      </c>
      <c r="GS18" s="1" t="str">
        <f ca="1">IFERROR(__xludf.DUMMYFUNCTION("if(GS$2="""","""", index(GOOGLEFINANCE($B$18,""close"",GS$2,TODAY()),2,2))"),"")</f>
        <v/>
      </c>
      <c r="GT18" s="1" t="str">
        <f ca="1">IFERROR(__xludf.DUMMYFUNCTION("if(GT$2="""","""", index(GOOGLEFINANCE($B$18,""close"",GT$2,TODAY()),2,2))"),"")</f>
        <v/>
      </c>
      <c r="GU18" s="1" t="str">
        <f ca="1">IFERROR(__xludf.DUMMYFUNCTION("if(GU$2="""","""", index(GOOGLEFINANCE($B$18,""close"",GU$2,TODAY()),2,2))"),"")</f>
        <v/>
      </c>
      <c r="GV18" s="1" t="str">
        <f ca="1">IFERROR(__xludf.DUMMYFUNCTION("if(GV$2="""","""", index(GOOGLEFINANCE($B$18,""close"",GV$2,TODAY()),2,2))"),"")</f>
        <v/>
      </c>
      <c r="GW18" s="1" t="str">
        <f ca="1">IFERROR(__xludf.DUMMYFUNCTION("if(GW$2="""","""", index(GOOGLEFINANCE($B$18,""close"",GW$2,TODAY()),2,2))"),"")</f>
        <v/>
      </c>
      <c r="GX18" s="1" t="str">
        <f ca="1">IFERROR(__xludf.DUMMYFUNCTION("if(GX$2="""","""", index(GOOGLEFINANCE($B$18,""close"",GX$2,TODAY()),2,2))"),"")</f>
        <v/>
      </c>
      <c r="GY18" s="1" t="str">
        <f ca="1">IFERROR(__xludf.DUMMYFUNCTION("if(GY$2="""","""", index(GOOGLEFINANCE($B$18,""close"",GY$2,TODAY()),2,2))"),"")</f>
        <v/>
      </c>
      <c r="GZ18" s="1" t="str">
        <f ca="1">IFERROR(__xludf.DUMMYFUNCTION("if(GZ$2="""","""", index(GOOGLEFINANCE($B$18,""close"",GZ$2,TODAY()),2,2))"),"")</f>
        <v/>
      </c>
      <c r="HA18" s="1" t="str">
        <f ca="1">IFERROR(__xludf.DUMMYFUNCTION("if(HA$2="""","""", index(GOOGLEFINANCE($B$18,""close"",HA$2,TODAY()),2,2))"),"")</f>
        <v/>
      </c>
      <c r="HB18" s="1" t="str">
        <f ca="1">IFERROR(__xludf.DUMMYFUNCTION("if(HB$2="""","""", index(GOOGLEFINANCE($B$18,""close"",HB$2,TODAY()),2,2))"),"")</f>
        <v/>
      </c>
      <c r="HC18" s="1" t="str">
        <f ca="1">IFERROR(__xludf.DUMMYFUNCTION("if(HC$2="""","""", index(GOOGLEFINANCE($B$18,""close"",HC$2,TODAY()),2,2))"),"")</f>
        <v/>
      </c>
      <c r="HD18" s="1" t="str">
        <f ca="1">IFERROR(__xludf.DUMMYFUNCTION("if(HD$2="""","""", index(GOOGLEFINANCE($B$18,""close"",HD$2,TODAY()),2,2))"),"")</f>
        <v/>
      </c>
      <c r="HE18" s="1" t="str">
        <f ca="1">IFERROR(__xludf.DUMMYFUNCTION("if(HE$2="""","""", index(GOOGLEFINANCE($B$18,""close"",HE$2,TODAY()),2,2))"),"")</f>
        <v/>
      </c>
      <c r="HF18" s="1" t="str">
        <f ca="1">IFERROR(__xludf.DUMMYFUNCTION("if(HF$2="""","""", index(GOOGLEFINANCE($B$18,""close"",HF$2,TODAY()),2,2))"),"")</f>
        <v/>
      </c>
      <c r="HG18" s="1" t="str">
        <f ca="1">IFERROR(__xludf.DUMMYFUNCTION("if(HG$2="""","""", index(GOOGLEFINANCE($B$18,""close"",HG$2,TODAY()),2,2))"),"")</f>
        <v/>
      </c>
      <c r="HH18" s="1" t="str">
        <f ca="1">IFERROR(__xludf.DUMMYFUNCTION("if(HH$2="""","""", index(GOOGLEFINANCE($B$18,""close"",HH$2,TODAY()),2,2))"),"")</f>
        <v/>
      </c>
      <c r="HI18" s="1" t="str">
        <f ca="1">IFERROR(__xludf.DUMMYFUNCTION("if(HI$2="""","""", index(GOOGLEFINANCE($B$18,""close"",HI$2,TODAY()),2,2))"),"")</f>
        <v/>
      </c>
      <c r="HJ18" s="1" t="str">
        <f ca="1">IFERROR(__xludf.DUMMYFUNCTION("if(HJ$2="""","""", index(GOOGLEFINANCE($B$18,""close"",HJ$2,TODAY()),2,2))"),"")</f>
        <v/>
      </c>
      <c r="HK18" s="1" t="str">
        <f ca="1">IFERROR(__xludf.DUMMYFUNCTION("if(HK$2="""","""", index(GOOGLEFINANCE($B$18,""close"",HK$2,TODAY()),2,2))"),"")</f>
        <v/>
      </c>
      <c r="HL18" s="1" t="str">
        <f ca="1">IFERROR(__xludf.DUMMYFUNCTION("if(HL$2="""","""", index(GOOGLEFINANCE($B$18,""close"",HL$2,TODAY()),2,2))"),"")</f>
        <v/>
      </c>
      <c r="HM18" s="1" t="str">
        <f ca="1">IFERROR(__xludf.DUMMYFUNCTION("if(HM$2="""","""", index(GOOGLEFINANCE($B$18,""close"",HM$2,TODAY()),2,2))"),"")</f>
        <v/>
      </c>
      <c r="HN18" s="1" t="str">
        <f ca="1">IFERROR(__xludf.DUMMYFUNCTION("if(HN$2="""","""", index(GOOGLEFINANCE($B$18,""close"",HN$2,TODAY()),2,2))"),"")</f>
        <v/>
      </c>
      <c r="HO18" s="1" t="str">
        <f ca="1">IFERROR(__xludf.DUMMYFUNCTION("if(HO$2="""","""", index(GOOGLEFINANCE($B$18,""close"",HO$2,TODAY()),2,2))"),"")</f>
        <v/>
      </c>
      <c r="HP18" s="1" t="str">
        <f ca="1">IFERROR(__xludf.DUMMYFUNCTION("if(HP$2="""","""", index(GOOGLEFINANCE($B$18,""close"",HP$2,TODAY()),2,2))"),"")</f>
        <v/>
      </c>
      <c r="HQ18" s="1" t="str">
        <f ca="1">IFERROR(__xludf.DUMMYFUNCTION("if(HQ$2="""","""", index(GOOGLEFINANCE($B$18,""close"",HQ$2,TODAY()),2,2))"),"")</f>
        <v/>
      </c>
      <c r="HR18" s="1" t="str">
        <f ca="1">IFERROR(__xludf.DUMMYFUNCTION("if(HR$2="""","""", index(GOOGLEFINANCE($B$18,""close"",HR$2,TODAY()),2,2))"),"")</f>
        <v/>
      </c>
      <c r="HS18" s="1" t="str">
        <f ca="1">IFERROR(__xludf.DUMMYFUNCTION("if(HS$2="""","""", index(GOOGLEFINANCE($B$18,""close"",HS$2,TODAY()),2,2))"),"")</f>
        <v/>
      </c>
      <c r="HT18" s="1" t="str">
        <f ca="1">IFERROR(__xludf.DUMMYFUNCTION("if(HT$2="""","""", index(GOOGLEFINANCE($B$18,""close"",HT$2,TODAY()),2,2))"),"")</f>
        <v/>
      </c>
      <c r="HU18" s="1" t="str">
        <f ca="1">IFERROR(__xludf.DUMMYFUNCTION("if(HU$2="""","""", index(GOOGLEFINANCE($B$18,""close"",HU$2,TODAY()),2,2))"),"")</f>
        <v/>
      </c>
      <c r="HV18" s="1" t="str">
        <f ca="1">IFERROR(__xludf.DUMMYFUNCTION("if(HV$2="""","""", index(GOOGLEFINANCE($B$18,""close"",HV$2,TODAY()),2,2))"),"")</f>
        <v/>
      </c>
      <c r="HW18" s="1" t="str">
        <f ca="1">IFERROR(__xludf.DUMMYFUNCTION("if(HW$2="""","""", index(GOOGLEFINANCE($B$18,""close"",HW$2,TODAY()),2,2))"),"")</f>
        <v/>
      </c>
      <c r="HX18" s="1" t="str">
        <f ca="1">IFERROR(__xludf.DUMMYFUNCTION("if(HX$2="""","""", index(GOOGLEFINANCE($B$18,""close"",HX$2,TODAY()),2,2))"),"")</f>
        <v/>
      </c>
      <c r="HY18" s="1" t="str">
        <f ca="1">IFERROR(__xludf.DUMMYFUNCTION("if(HY$2="""","""", index(GOOGLEFINANCE($B$18,""close"",HY$2,TODAY()),2,2))"),"")</f>
        <v/>
      </c>
      <c r="HZ18" s="1" t="str">
        <f ca="1">IFERROR(__xludf.DUMMYFUNCTION("if(HZ$2="""","""", index(GOOGLEFINANCE($B$18,""close"",HZ$2,TODAY()),2,2))"),"")</f>
        <v/>
      </c>
      <c r="IA18" s="1" t="str">
        <f ca="1">IFERROR(__xludf.DUMMYFUNCTION("if(IA$2="""","""", index(GOOGLEFINANCE($B$18,""close"",IA$2,TODAY()),2,2))"),"")</f>
        <v/>
      </c>
      <c r="IB18" s="1" t="str">
        <f ca="1">IFERROR(__xludf.DUMMYFUNCTION("if(IB$2="""","""", index(GOOGLEFINANCE($B$18,""close"",IB$2,TODAY()),2,2))"),"")</f>
        <v/>
      </c>
      <c r="IC18" s="1" t="str">
        <f ca="1">IFERROR(__xludf.DUMMYFUNCTION("if(IC$2="""","""", index(GOOGLEFINANCE($B$18,""close"",IC$2,TODAY()),2,2))"),"")</f>
        <v/>
      </c>
      <c r="ID18" s="1" t="str">
        <f ca="1">IFERROR(__xludf.DUMMYFUNCTION("if(ID$2="""","""", index(GOOGLEFINANCE($B$18,""close"",ID$2,TODAY()),2,2))"),"")</f>
        <v/>
      </c>
      <c r="IE18" s="1" t="str">
        <f ca="1">IFERROR(__xludf.DUMMYFUNCTION("if(IE$2="""","""", index(GOOGLEFINANCE($B$18,""close"",IE$2,TODAY()),2,2))"),"")</f>
        <v/>
      </c>
      <c r="IF18" s="1" t="str">
        <f ca="1">IFERROR(__xludf.DUMMYFUNCTION("if(IF$2="""","""", index(GOOGLEFINANCE($B$18,""close"",IF$2,TODAY()),2,2))"),"")</f>
        <v/>
      </c>
      <c r="IG18" s="1" t="str">
        <f ca="1">IFERROR(__xludf.DUMMYFUNCTION("if(IG$2="""","""", index(GOOGLEFINANCE($B$18,""close"",IG$2,TODAY()),2,2))"),"")</f>
        <v/>
      </c>
      <c r="IH18" s="1" t="str">
        <f ca="1">IFERROR(__xludf.DUMMYFUNCTION("if(IH$2="""","""", index(GOOGLEFINANCE($B$18,""close"",IH$2,TODAY()),2,2))"),"")</f>
        <v/>
      </c>
      <c r="II18" s="1" t="str">
        <f ca="1">IFERROR(__xludf.DUMMYFUNCTION("if(II$2="""","""", index(GOOGLEFINANCE($B$18,""close"",II$2,TODAY()),2,2))"),"")</f>
        <v/>
      </c>
      <c r="IJ18" s="1" t="str">
        <f ca="1">IFERROR(__xludf.DUMMYFUNCTION("if(IJ$2="""","""", index(GOOGLEFINANCE($B$18,""close"",IJ$2,TODAY()),2,2))"),"")</f>
        <v/>
      </c>
      <c r="IK18" s="1" t="str">
        <f ca="1">IFERROR(__xludf.DUMMYFUNCTION("if(IK$2="""","""", index(GOOGLEFINANCE($B$18,""close"",IK$2,TODAY()),2,2))"),"")</f>
        <v/>
      </c>
      <c r="IL18" s="1" t="str">
        <f ca="1">IFERROR(__xludf.DUMMYFUNCTION("if(IL$2="""","""", index(GOOGLEFINANCE($B$18,""close"",IL$2,TODAY()),2,2))"),"")</f>
        <v/>
      </c>
      <c r="IM18" s="1" t="str">
        <f ca="1">IFERROR(__xludf.DUMMYFUNCTION("if(IM$2="""","""", index(GOOGLEFINANCE($B$18,""close"",IM$2,TODAY()),2,2))"),"")</f>
        <v/>
      </c>
      <c r="IN18" s="1" t="str">
        <f ca="1">IFERROR(__xludf.DUMMYFUNCTION("if(IN$2="""","""", index(GOOGLEFINANCE($B$18,""close"",IN$2,TODAY()),2,2))"),"")</f>
        <v/>
      </c>
      <c r="IO18" s="1" t="str">
        <f ca="1">IFERROR(__xludf.DUMMYFUNCTION("if(IO$2="""","""", index(GOOGLEFINANCE($B$18,""close"",IO$2,TODAY()),2,2))"),"")</f>
        <v/>
      </c>
      <c r="IP18" s="1" t="str">
        <f ca="1">IFERROR(__xludf.DUMMYFUNCTION("if(IP$2="""","""", index(GOOGLEFINANCE($B$18,""close"",IP$2,TODAY()),2,2))"),"")</f>
        <v/>
      </c>
      <c r="IQ18" s="1" t="str">
        <f ca="1">IFERROR(__xludf.DUMMYFUNCTION("if(IQ$2="""","""", index(GOOGLEFINANCE($B$18,""close"",IQ$2,TODAY()),2,2))"),"")</f>
        <v/>
      </c>
      <c r="IR18" s="1" t="str">
        <f ca="1">IFERROR(__xludf.DUMMYFUNCTION("if(IR$2="""","""", index(GOOGLEFINANCE($B$18,""close"",IR$2,TODAY()),2,2))"),"")</f>
        <v/>
      </c>
      <c r="IS18" s="1" t="str">
        <f ca="1">IFERROR(__xludf.DUMMYFUNCTION("if(IS$2="""","""", index(GOOGLEFINANCE($B$18,""close"",IS$2,TODAY()),2,2))"),"")</f>
        <v/>
      </c>
      <c r="IT18" s="1" t="str">
        <f ca="1">IFERROR(__xludf.DUMMYFUNCTION("if(IT$2="""","""", index(GOOGLEFINANCE($B$18,""close"",IT$2,TODAY()),2,2))"),"")</f>
        <v/>
      </c>
      <c r="IU18" s="1" t="str">
        <f ca="1">IFERROR(__xludf.DUMMYFUNCTION("if(IU$2="""","""", index(GOOGLEFINANCE($B$18,""close"",IU$2,TODAY()),2,2))"),"")</f>
        <v/>
      </c>
      <c r="IV18" s="1" t="str">
        <f ca="1">IFERROR(__xludf.DUMMYFUNCTION("if(IV$2="""","""", index(GOOGLEFINANCE($B$18,""close"",IV$2,TODAY()),2,2))"),"")</f>
        <v/>
      </c>
      <c r="IW18" s="1" t="str">
        <f ca="1">IFERROR(__xludf.DUMMYFUNCTION("if(IW$2="""","""", index(GOOGLEFINANCE($B$18,""close"",IW$2,TODAY()),2,2))"),"")</f>
        <v/>
      </c>
      <c r="IX18" s="1" t="str">
        <f ca="1">IFERROR(__xludf.DUMMYFUNCTION("if(IX$2="""","""", index(GOOGLEFINANCE($B$18,""close"",IX$2,TODAY()),2,2))"),"")</f>
        <v/>
      </c>
      <c r="IY18" s="1" t="str">
        <f ca="1">IFERROR(__xludf.DUMMYFUNCTION("if(IY$2="""","""", index(GOOGLEFINANCE($B$18,""close"",IY$2,TODAY()),2,2))"),"")</f>
        <v/>
      </c>
      <c r="IZ18" s="1" t="str">
        <f ca="1">IFERROR(__xludf.DUMMYFUNCTION("if(IZ$2="""","""", index(GOOGLEFINANCE($B$18,""close"",IZ$2,TODAY()),2,2))"),"")</f>
        <v/>
      </c>
      <c r="JA18" s="1" t="str">
        <f ca="1">IFERROR(__xludf.DUMMYFUNCTION("if(JA$2="""","""", index(GOOGLEFINANCE($B$18,""close"",JA$2,TODAY()),2,2))"),"")</f>
        <v/>
      </c>
      <c r="JB18" s="1" t="str">
        <f ca="1">IFERROR(__xludf.DUMMYFUNCTION("if(JB$2="""","""", index(GOOGLEFINANCE($B$18,""close"",JB$2,TODAY()),2,2))"),"")</f>
        <v/>
      </c>
      <c r="JC18" s="1" t="str">
        <f ca="1">IFERROR(__xludf.DUMMYFUNCTION("if(JC$2="""","""", index(GOOGLEFINANCE($B$18,""close"",JC$2,TODAY()),2,2))"),"")</f>
        <v/>
      </c>
      <c r="JD18" s="1" t="str">
        <f ca="1">IFERROR(__xludf.DUMMYFUNCTION("if(JD$2="""","""", index(GOOGLEFINANCE($B$18,""close"",JD$2,TODAY()),2,2))"),"")</f>
        <v/>
      </c>
      <c r="JE18" s="1" t="str">
        <f ca="1">IFERROR(__xludf.DUMMYFUNCTION("if(JE$2="""","""", index(GOOGLEFINANCE($B$18,""close"",JE$2,TODAY()),2,2))"),"")</f>
        <v/>
      </c>
      <c r="JF18" s="1" t="str">
        <f ca="1">IFERROR(__xludf.DUMMYFUNCTION("if(JF$2="""","""", index(GOOGLEFINANCE($B$18,""close"",JF$2,TODAY()),2,2))"),"")</f>
        <v/>
      </c>
      <c r="JG18" s="1" t="str">
        <f ca="1">IFERROR(__xludf.DUMMYFUNCTION("if(JG$2="""","""", index(GOOGLEFINANCE($B$18,""close"",JG$2,TODAY()),2,2))"),"")</f>
        <v/>
      </c>
      <c r="JH18" s="1" t="str">
        <f ca="1">IFERROR(__xludf.DUMMYFUNCTION("if(JH$2="""","""", index(GOOGLEFINANCE($B$18,""close"",JH$2,TODAY()),2,2))"),"")</f>
        <v/>
      </c>
      <c r="JI18" s="1" t="str">
        <f ca="1">IFERROR(__xludf.DUMMYFUNCTION("if(JI$2="""","""", index(GOOGLEFINANCE($B$18,""close"",JI$2,TODAY()),2,2))"),"")</f>
        <v/>
      </c>
      <c r="JJ18" s="1" t="str">
        <f ca="1">IFERROR(__xludf.DUMMYFUNCTION("if(JJ$2="""","""", index(GOOGLEFINANCE($B$18,""close"",JJ$2,TODAY()),2,2))"),"")</f>
        <v/>
      </c>
      <c r="JK18" s="1" t="str">
        <f ca="1">IFERROR(__xludf.DUMMYFUNCTION("if(JK$2="""","""", index(GOOGLEFINANCE($B$18,""close"",JK$2,TODAY()),2,2))"),"")</f>
        <v/>
      </c>
      <c r="JL18" s="1" t="str">
        <f ca="1">IFERROR(__xludf.DUMMYFUNCTION("if(JL$2="""","""", index(GOOGLEFINANCE($B$18,""close"",JL$2,TODAY()),2,2))"),"")</f>
        <v/>
      </c>
      <c r="JM18" s="1" t="str">
        <f ca="1">IFERROR(__xludf.DUMMYFUNCTION("if(JM$2="""","""", index(GOOGLEFINANCE($B$18,""close"",JM$2,TODAY()),2,2))"),"")</f>
        <v/>
      </c>
      <c r="JN18" s="1" t="str">
        <f ca="1">IFERROR(__xludf.DUMMYFUNCTION("if(JN$2="""","""", index(GOOGLEFINANCE($B$18,""close"",JN$2,TODAY()),2,2))"),"")</f>
        <v/>
      </c>
      <c r="JO18" s="1" t="str">
        <f ca="1">IFERROR(__xludf.DUMMYFUNCTION("if(JO$2="""","""", index(GOOGLEFINANCE($B$18,""close"",JO$2,TODAY()),2,2))"),"")</f>
        <v/>
      </c>
      <c r="JP18" s="1" t="str">
        <f ca="1">IFERROR(__xludf.DUMMYFUNCTION("if(JP$2="""","""", index(GOOGLEFINANCE($B$18,""close"",JP$2,TODAY()),2,2))"),"")</f>
        <v/>
      </c>
      <c r="JQ18" s="1" t="str">
        <f ca="1">IFERROR(__xludf.DUMMYFUNCTION("if(JQ$2="""","""", index(GOOGLEFINANCE($B$18,""close"",JQ$2,TODAY()),2,2))"),"")</f>
        <v/>
      </c>
      <c r="JR18" s="1" t="str">
        <f ca="1">IFERROR(__xludf.DUMMYFUNCTION("if(JR$2="""","""", index(GOOGLEFINANCE($B$18,""close"",JR$2,TODAY()),2,2))"),"")</f>
        <v/>
      </c>
      <c r="JS18" s="1" t="str">
        <f ca="1">IFERROR(__xludf.DUMMYFUNCTION("if(JS$2="""","""", index(GOOGLEFINANCE($B$18,""close"",JS$2,TODAY()),2,2))"),"")</f>
        <v/>
      </c>
      <c r="JT18" s="1" t="str">
        <f ca="1">IFERROR(__xludf.DUMMYFUNCTION("if(JT$2="""","""", index(GOOGLEFINANCE($B$18,""close"",JT$2,TODAY()),2,2))"),"")</f>
        <v/>
      </c>
      <c r="JU18" s="1" t="str">
        <f ca="1">IFERROR(__xludf.DUMMYFUNCTION("if(JU$2="""","""", index(GOOGLEFINANCE($B$18,""close"",JU$2,TODAY()),2,2))"),"")</f>
        <v/>
      </c>
      <c r="JV18" s="1" t="str">
        <f ca="1">IFERROR(__xludf.DUMMYFUNCTION("if(JV$2="""","""", index(GOOGLEFINANCE($B$18,""close"",JV$2,TODAY()),2,2))"),"")</f>
        <v/>
      </c>
      <c r="JW18" s="1" t="str">
        <f ca="1">IFERROR(__xludf.DUMMYFUNCTION("if(JW$2="""","""", index(GOOGLEFINANCE($B$18,""close"",JW$2,TODAY()),2,2))"),"")</f>
        <v/>
      </c>
      <c r="JX18" s="1" t="str">
        <f ca="1">IFERROR(__xludf.DUMMYFUNCTION("if(JX$2="""","""", index(GOOGLEFINANCE($B$18,""close"",JX$2,TODAY()),2,2))"),"")</f>
        <v/>
      </c>
      <c r="JY18" s="1" t="str">
        <f ca="1">IFERROR(__xludf.DUMMYFUNCTION("if(JY$2="""","""", index(GOOGLEFINANCE($B$18,""close"",JY$2,TODAY()),2,2))"),"")</f>
        <v/>
      </c>
      <c r="JZ18" s="1" t="str">
        <f ca="1">IFERROR(__xludf.DUMMYFUNCTION("if(JZ$2="""","""", index(GOOGLEFINANCE($B$18,""close"",JZ$2,TODAY()),2,2))"),"")</f>
        <v/>
      </c>
      <c r="KA18" s="1" t="str">
        <f ca="1">IFERROR(__xludf.DUMMYFUNCTION("if(KA$2="""","""", index(GOOGLEFINANCE($B$18,""close"",KA$2,TODAY()),2,2))"),"")</f>
        <v/>
      </c>
      <c r="KB18" s="1" t="str">
        <f ca="1">IFERROR(__xludf.DUMMYFUNCTION("if(KB$2="""","""", index(GOOGLEFINANCE($B$18,""close"",KB$2,TODAY()),2,2))"),"")</f>
        <v/>
      </c>
      <c r="KC18" s="1" t="str">
        <f ca="1">IFERROR(__xludf.DUMMYFUNCTION("if(KC$2="""","""", index(GOOGLEFINANCE($B$18,""close"",KC$2,TODAY()),2,2))"),"")</f>
        <v/>
      </c>
      <c r="KD18" s="1" t="str">
        <f ca="1">IFERROR(__xludf.DUMMYFUNCTION("if(KD$2="""","""", index(GOOGLEFINANCE($B$18,""close"",KD$2,TODAY()),2,2))"),"")</f>
        <v/>
      </c>
      <c r="KE18" s="1" t="str">
        <f ca="1">IFERROR(__xludf.DUMMYFUNCTION("if(KE$2="""","""", index(GOOGLEFINANCE($B$18,""close"",KE$2,TODAY()),2,2))"),"")</f>
        <v/>
      </c>
      <c r="KF18" s="1" t="str">
        <f ca="1">IFERROR(__xludf.DUMMYFUNCTION("if(KF$2="""","""", index(GOOGLEFINANCE($B$18,""close"",KF$2,TODAY()),2,2))"),"")</f>
        <v/>
      </c>
      <c r="KG18" s="1" t="str">
        <f ca="1">IFERROR(__xludf.DUMMYFUNCTION("if(KG$2="""","""", index(GOOGLEFINANCE($B$18,""close"",KG$2,TODAY()),2,2))"),"")</f>
        <v/>
      </c>
    </row>
    <row r="19" spans="1:293" ht="15.75" customHeight="1">
      <c r="A19" s="18" t="s">
        <v>30</v>
      </c>
      <c r="B19" s="6" t="s">
        <v>63</v>
      </c>
      <c r="C19" s="1">
        <f ca="1">IFERROR(__xludf.DUMMYFUNCTION("if(C$2="""","""", index(GOOGLEFINANCE($B$19,""close"",C$2,TODAY()),2,2))"),101.71)</f>
        <v>101.71</v>
      </c>
      <c r="D19" s="1">
        <f ca="1">IFERROR(__xludf.DUMMYFUNCTION("if(D$2="""","""", index(GOOGLEFINANCE($B$19,""close"",D$2,TODAY()),2,2))"),104.24)</f>
        <v>104.24</v>
      </c>
      <c r="E19" s="1">
        <f ca="1">IFERROR(__xludf.DUMMYFUNCTION("if(E$2="""","""", index(GOOGLEFINANCE($B$19,""close"",E$2,TODAY()),2,2))"),102.22)</f>
        <v>102.22</v>
      </c>
      <c r="F19" s="1">
        <f ca="1">IFERROR(__xludf.DUMMYFUNCTION("if(F$2="""","""", index(GOOGLEFINANCE($B$19,""close"",F$2,TODAY()),2,2))"),102.17)</f>
        <v>102.17</v>
      </c>
      <c r="G19" s="1">
        <f ca="1">IFERROR(__xludf.DUMMYFUNCTION("if(G$2="""","""", index(GOOGLEFINANCE($B$19,""close"",G$2,TODAY()),2,2))"),100.57)</f>
        <v>100.57</v>
      </c>
      <c r="H19" s="1">
        <f ca="1">IFERROR(__xludf.DUMMYFUNCTION("if(H$2="""","""", index(GOOGLEFINANCE($B$19,""close"",H$2,TODAY()),2,2))"),98.94)</f>
        <v>98.94</v>
      </c>
      <c r="I19" s="1">
        <f ca="1">IFERROR(__xludf.DUMMYFUNCTION("if(I$2="""","""", index(GOOGLEFINANCE($B$19,""close"",I$2,TODAY()),2,2))"),99.54)</f>
        <v>99.54</v>
      </c>
      <c r="J19" s="1">
        <f ca="1">IFERROR(__xludf.DUMMYFUNCTION("if(J$2="""","""", index(GOOGLEFINANCE($B$19,""close"",J$2,TODAY()),2,2))"),100.47)</f>
        <v>100.47</v>
      </c>
      <c r="K19" s="1">
        <f ca="1">IFERROR(__xludf.DUMMYFUNCTION("if(K$2="""","""", index(GOOGLEFINANCE($B$19,""close"",K$2,TODAY()),2,2))"),100.59)</f>
        <v>100.59</v>
      </c>
      <c r="L19" s="1">
        <f ca="1">IFERROR(__xludf.DUMMYFUNCTION("if(L$2="""","""", index(GOOGLEFINANCE($B$19,""close"",L$2,TODAY()),2,2))"),99.55)</f>
        <v>99.55</v>
      </c>
      <c r="M19" s="1">
        <f ca="1">IFERROR(__xludf.DUMMYFUNCTION("if(M$2="""","""", index(GOOGLEFINANCE($B$19,""close"",M$2,TODAY()),2,2))"),97.98)</f>
        <v>97.98</v>
      </c>
      <c r="N19" s="1">
        <f ca="1">IFERROR(__xludf.DUMMYFUNCTION("if(N$2="""","""", index(GOOGLEFINANCE($B$19,""close"",N$2,TODAY()),2,2))"),96.96)</f>
        <v>96.96</v>
      </c>
      <c r="O19" s="1">
        <f ca="1">IFERROR(__xludf.DUMMYFUNCTION("if(O$2="""","""", index(GOOGLEFINANCE($B$19,""close"",O$2,TODAY()),2,2))"),95.63)</f>
        <v>95.63</v>
      </c>
      <c r="P19" s="1">
        <f ca="1">IFERROR(__xludf.DUMMYFUNCTION("if(P$2="""","""", index(GOOGLEFINANCE($B$19,""close"",P$2,TODAY()),2,2))"),93.82)</f>
        <v>93.82</v>
      </c>
      <c r="Q19" s="1">
        <f ca="1">IFERROR(__xludf.DUMMYFUNCTION("if(Q$2="""","""", index(GOOGLEFINANCE($B$19,""close"",Q$2,TODAY()),2,2))"),95)</f>
        <v>95</v>
      </c>
      <c r="R19" s="1">
        <f ca="1">IFERROR(__xludf.DUMMYFUNCTION("if(R$2="""","""", index(GOOGLEFINANCE($B$19,""close"",R$2,TODAY()),2,2))"),92.85)</f>
        <v>92.85</v>
      </c>
      <c r="S19" s="1">
        <f ca="1">IFERROR(__xludf.DUMMYFUNCTION("if(S$2="""","""", index(GOOGLEFINANCE($B$19,""close"",S$2,TODAY()),2,2))"),92.46)</f>
        <v>92.46</v>
      </c>
      <c r="T19" s="1">
        <f ca="1">IFERROR(__xludf.DUMMYFUNCTION("if(T$2="""","""", index(GOOGLEFINANCE($B$19,""close"",T$2,TODAY()),2,2))"),90.14)</f>
        <v>90.14</v>
      </c>
      <c r="U19" s="1">
        <f ca="1">IFERROR(__xludf.DUMMYFUNCTION("if(U$2="""","""", index(GOOGLEFINANCE($B$19,""close"",U$2,TODAY()),2,2))"),90.6)</f>
        <v>90.6</v>
      </c>
      <c r="V19" s="1">
        <f ca="1">IFERROR(__xludf.DUMMYFUNCTION("if(V$2="""","""", index(GOOGLEFINANCE($B$19,""close"",V$2,TODAY()),2,2))"),91.92)</f>
        <v>91.92</v>
      </c>
      <c r="W19" s="1">
        <f ca="1">IFERROR(__xludf.DUMMYFUNCTION("if(W$2="""","""", index(GOOGLEFINANCE($B$19,""close"",W$2,TODAY()),2,2))"),92.79)</f>
        <v>92.79</v>
      </c>
      <c r="X19" s="1">
        <f ca="1">IFERROR(__xludf.DUMMYFUNCTION("if(X$2="""","""", index(GOOGLEFINANCE($B$19,""close"",X$2,TODAY()),2,2))"),93.37)</f>
        <v>93.37</v>
      </c>
      <c r="Y19" s="1">
        <f ca="1">IFERROR(__xludf.DUMMYFUNCTION("if(Y$2="""","""", index(GOOGLEFINANCE($B$19,""close"",Y$2,TODAY()),2,2))"),92.52)</f>
        <v>92.52</v>
      </c>
      <c r="Z19" s="1">
        <f ca="1">IFERROR(__xludf.DUMMYFUNCTION("if(Z$2="""","""", index(GOOGLEFINANCE($B$19,""close"",Z$2,TODAY()),2,2))"),92)</f>
        <v>92</v>
      </c>
      <c r="AA19" s="1">
        <f ca="1">IFERROR(__xludf.DUMMYFUNCTION("if(AA$2="""","""", index(GOOGLEFINANCE($B$19,""close"",AA$2,TODAY()),2,2))"),92.79)</f>
        <v>92.79</v>
      </c>
      <c r="AB19" s="1">
        <f ca="1">IFERROR(__xludf.DUMMYFUNCTION("if(AB$2="""","""", index(GOOGLEFINANCE($B$19,""close"",AB$2,TODAY()),2,2))"),94.09)</f>
        <v>94.09</v>
      </c>
      <c r="AC19" s="1">
        <f ca="1">IFERROR(__xludf.DUMMYFUNCTION("if(AC$2="""","""", index(GOOGLEFINANCE($B$19,""close"",AC$2,TODAY()),2,2))"),95.05)</f>
        <v>95.05</v>
      </c>
      <c r="AD19" s="1">
        <f ca="1">IFERROR(__xludf.DUMMYFUNCTION("if(AD$2="""","""", index(GOOGLEFINANCE($B$19,""close"",AD$2,TODAY()),2,2))"),91.22)</f>
        <v>91.22</v>
      </c>
      <c r="AE19" s="1">
        <f ca="1">IFERROR(__xludf.DUMMYFUNCTION("if(AE$2="""","""", index(GOOGLEFINANCE($B$19,""close"",AE$2,TODAY()),2,2))"),87.04)</f>
        <v>87.04</v>
      </c>
      <c r="AF19" s="1">
        <f ca="1">IFERROR(__xludf.DUMMYFUNCTION("if(AF$2="""","""", index(GOOGLEFINANCE($B$19,""close"",AF$2,TODAY()),2,2))"),87)</f>
        <v>87</v>
      </c>
      <c r="AG19" s="1">
        <f ca="1">IFERROR(__xludf.DUMMYFUNCTION("if(AG$2="""","""", index(GOOGLEFINANCE($B$19,""close"",AG$2,TODAY()),2,2))"),88.41)</f>
        <v>88.41</v>
      </c>
      <c r="AH19" s="1">
        <f ca="1">IFERROR(__xludf.DUMMYFUNCTION("if(AH$2="""","""", index(GOOGLEFINANCE($B$19,""close"",AH$2,TODAY()),2,2))"),89.11)</f>
        <v>89.11</v>
      </c>
      <c r="AI19" s="1">
        <f ca="1">IFERROR(__xludf.DUMMYFUNCTION("if(AI$2="""","""", index(GOOGLEFINANCE($B$19,""close"",AI$2,TODAY()),2,2))"),88.22)</f>
        <v>88.22</v>
      </c>
      <c r="AJ19" s="1">
        <f ca="1">IFERROR(__xludf.DUMMYFUNCTION("if(AJ$2="""","""", index(GOOGLEFINANCE($B$19,""close"",AJ$2,TODAY()),2,2))"),87.37)</f>
        <v>87.37</v>
      </c>
      <c r="AK19" s="1">
        <f ca="1">IFERROR(__xludf.DUMMYFUNCTION("if(AK$2="""","""", index(GOOGLEFINANCE($B$19,""close"",AK$2,TODAY()),2,2))"),86.66)</f>
        <v>86.66</v>
      </c>
      <c r="AL19" s="1">
        <f ca="1">IFERROR(__xludf.DUMMYFUNCTION("if(AL$2="""","""", index(GOOGLEFINANCE($B$19,""close"",AL$2,TODAY()),2,2))"),84.98)</f>
        <v>84.98</v>
      </c>
      <c r="AM19" s="1">
        <f ca="1">IFERROR(__xludf.DUMMYFUNCTION("if(AM$2="""","""", index(GOOGLEFINANCE($B$19,""close"",AM$2,TODAY()),2,2))"),85.9)</f>
        <v>85.9</v>
      </c>
      <c r="AN19" s="1">
        <f ca="1">IFERROR(__xludf.DUMMYFUNCTION("if(AN$2="""","""", index(GOOGLEFINANCE($B$19,""close"",AN$2,TODAY()),2,2))"),88.52)</f>
        <v>88.52</v>
      </c>
      <c r="AO19" s="1">
        <f ca="1">IFERROR(__xludf.DUMMYFUNCTION("if(AO$2="""","""", index(GOOGLEFINANCE($B$19,""close"",AO$2,TODAY()),2,2))"),87.87)</f>
        <v>87.87</v>
      </c>
      <c r="AP19" s="1">
        <f ca="1">IFERROR(__xludf.DUMMYFUNCTION("if(AP$2="""","""", index(GOOGLEFINANCE($B$19,""close"",AP$2,TODAY()),2,2))"),83.98)</f>
        <v>83.98</v>
      </c>
      <c r="AQ19" s="1">
        <f ca="1">IFERROR(__xludf.DUMMYFUNCTION("if(AQ$2="""","""", index(GOOGLEFINANCE($B$19,""close"",AQ$2,TODAY()),2,2))"),85.65)</f>
        <v>85.65</v>
      </c>
      <c r="AR19" s="1">
        <f ca="1">IFERROR(__xludf.DUMMYFUNCTION("if(AR$2="""","""", index(GOOGLEFINANCE($B$19,""close"",AR$2,TODAY()),2,2))"),85.11)</f>
        <v>85.11</v>
      </c>
      <c r="AS19" s="1">
        <f ca="1">IFERROR(__xludf.DUMMYFUNCTION("if(AS$2="""","""", index(GOOGLEFINANCE($B$19,""close"",AS$2,TODAY()),2,2))"),79.89)</f>
        <v>79.89</v>
      </c>
      <c r="AT19" s="1">
        <f ca="1">IFERROR(__xludf.DUMMYFUNCTION("if(AT$2="""","""", index(GOOGLEFINANCE($B$19,""close"",AT$2,TODAY()),2,2))"),75.92)</f>
        <v>75.92</v>
      </c>
      <c r="AU19" s="1">
        <f ca="1">IFERROR(__xludf.DUMMYFUNCTION("if(AU$2="""","""", index(GOOGLEFINANCE($B$19,""close"",AU$2,TODAY()),2,2))"),76.78)</f>
        <v>76.78</v>
      </c>
      <c r="AV19" s="1">
        <f ca="1">IFERROR(__xludf.DUMMYFUNCTION("if(AV$2="""","""", index(GOOGLEFINANCE($B$19,""close"",AV$2,TODAY()),2,2))"),79.01)</f>
        <v>79.010000000000005</v>
      </c>
      <c r="AW19" s="1">
        <f ca="1">IFERROR(__xludf.DUMMYFUNCTION("if(AW$2="""","""", index(GOOGLEFINANCE($B$19,""close"",AW$2,TODAY()),2,2))"),78.26)</f>
        <v>78.260000000000005</v>
      </c>
      <c r="AX19" s="1">
        <f ca="1">IFERROR(__xludf.DUMMYFUNCTION("if(AX$2="""","""", index(GOOGLEFINANCE($B$19,""close"",AX$2,TODAY()),2,2))"),76.3)</f>
        <v>76.3</v>
      </c>
      <c r="AY19" s="1">
        <f ca="1">IFERROR(__xludf.DUMMYFUNCTION("if(AY$2="""","""", index(GOOGLEFINANCE($B$19,""close"",AY$2,TODAY()),2,2))"),75.84)</f>
        <v>75.84</v>
      </c>
      <c r="AZ19" s="1">
        <f ca="1">IFERROR(__xludf.DUMMYFUNCTION("if(AZ$2="""","""", index(GOOGLEFINANCE($B$19,""close"",AZ$2,TODAY()),2,2))"),76.7)</f>
        <v>76.7</v>
      </c>
      <c r="BA19" s="1">
        <f ca="1">IFERROR(__xludf.DUMMYFUNCTION("if(BA$2="""","""", index(GOOGLEFINANCE($B$19,""close"",BA$2,TODAY()),2,2))"),79.65)</f>
        <v>79.650000000000006</v>
      </c>
      <c r="BB19" s="1">
        <f ca="1">IFERROR(__xludf.DUMMYFUNCTION("if(BB$2="""","""", index(GOOGLEFINANCE($B$19,""close"",BB$2,TODAY()),2,2))"),80.18)</f>
        <v>80.180000000000007</v>
      </c>
      <c r="BC19" s="1">
        <f ca="1">IFERROR(__xludf.DUMMYFUNCTION("if(BC$2="""","""", index(GOOGLEFINANCE($B$19,""close"",BC$2,TODAY()),2,2))"),81.37)</f>
        <v>81.37</v>
      </c>
      <c r="BD19" s="1">
        <f ca="1">IFERROR(__xludf.DUMMYFUNCTION("if(BD$2="""","""", index(GOOGLEFINANCE($B$19,""close"",BD$2,TODAY()),2,2))"),80.67)</f>
        <v>80.67</v>
      </c>
      <c r="BE19" s="1">
        <f ca="1">IFERROR(__xludf.DUMMYFUNCTION("if(BE$2="""","""", index(GOOGLEFINANCE($B$19,""close"",BE$2,TODAY()),2,2))"),80.47)</f>
        <v>80.47</v>
      </c>
      <c r="BF19" s="1">
        <f ca="1">IFERROR(__xludf.DUMMYFUNCTION("if(BF$2="""","""", index(GOOGLEFINANCE($B$19,""close"",BF$2,TODAY()),2,2))"),78.5)</f>
        <v>78.5</v>
      </c>
      <c r="BG19" s="1">
        <f ca="1">IFERROR(__xludf.DUMMYFUNCTION("if(BG$2="""","""", index(GOOGLEFINANCE($B$19,""close"",BG$2,TODAY()),2,2))"),78.2)</f>
        <v>78.2</v>
      </c>
      <c r="BH19" s="1">
        <f ca="1">IFERROR(__xludf.DUMMYFUNCTION("if(BH$2="""","""", index(GOOGLEFINANCE($B$19,""close"",BH$2,TODAY()),2,2))"),77.77)</f>
        <v>77.77</v>
      </c>
      <c r="BI19" s="1">
        <f ca="1">IFERROR(__xludf.DUMMYFUNCTION("if(BI$2="""","""", index(GOOGLEFINANCE($B$19,""close"",BI$2,TODAY()),2,2))"),76.69)</f>
        <v>76.69</v>
      </c>
      <c r="BJ19" s="1">
        <f ca="1">IFERROR(__xludf.DUMMYFUNCTION("if(BJ$2="""","""", index(GOOGLEFINANCE($B$19,""close"",BJ$2,TODAY()),2,2))"),79.72)</f>
        <v>79.72</v>
      </c>
      <c r="BK19" s="1">
        <f ca="1">IFERROR(__xludf.DUMMYFUNCTION("if(BK$2="""","""", index(GOOGLEFINANCE($B$19,""close"",BK$2,TODAY()),2,2))"),77.4)</f>
        <v>77.400000000000006</v>
      </c>
      <c r="BL19" s="1">
        <f ca="1">IFERROR(__xludf.DUMMYFUNCTION("if(BL$2="""","""", index(GOOGLEFINANCE($B$19,""close"",BL$2,TODAY()),2,2))"),75.21)</f>
        <v>75.209999999999994</v>
      </c>
      <c r="BM19" s="1">
        <f ca="1">IFERROR(__xludf.DUMMYFUNCTION("if(BM$2="""","""", index(GOOGLEFINANCE($B$19,""close"",BM$2,TODAY()),2,2))"),76.05)</f>
        <v>76.05</v>
      </c>
      <c r="BN19" s="1">
        <f ca="1">IFERROR(__xludf.DUMMYFUNCTION("if(BN$2="""","""", index(GOOGLEFINANCE($B$19,""close"",BN$2,TODAY()),2,2))"),76.25)</f>
        <v>76.25</v>
      </c>
      <c r="BO19" s="1">
        <f ca="1">IFERROR(__xludf.DUMMYFUNCTION("if(BO$2="""","""", index(GOOGLEFINANCE($B$19,""close"",BO$2,TODAY()),2,2))"),74.35)</f>
        <v>74.349999999999994</v>
      </c>
      <c r="BP19" s="1">
        <f ca="1">IFERROR(__xludf.DUMMYFUNCTION("if(BP$2="""","""", index(GOOGLEFINANCE($B$19,""close"",BP$2,TODAY()),2,2))"),72.43)</f>
        <v>72.430000000000007</v>
      </c>
      <c r="BQ19" s="1">
        <f ca="1">IFERROR(__xludf.DUMMYFUNCTION("if(BQ$2="""","""", index(GOOGLEFINANCE($B$19,""close"",BQ$2,TODAY()),2,2))"),71.52)</f>
        <v>71.52</v>
      </c>
      <c r="BR19" s="1">
        <f ca="1">IFERROR(__xludf.DUMMYFUNCTION("if(BR$2="""","""", index(GOOGLEFINANCE($B$19,""close"",BR$2,TODAY()),2,2))"),71.74)</f>
        <v>71.739999999999995</v>
      </c>
      <c r="BS19" s="1">
        <f ca="1">IFERROR(__xludf.DUMMYFUNCTION("if(BS$2="""","""", index(GOOGLEFINANCE($B$19,""close"",BS$2,TODAY()),2,2))"),70.99)</f>
        <v>70.989999999999995</v>
      </c>
      <c r="BT19" s="1">
        <f ca="1">IFERROR(__xludf.DUMMYFUNCTION("if(BT$2="""","""", index(GOOGLEFINANCE($B$19,""close"",BT$2,TODAY()),2,2))"),70.63)</f>
        <v>70.63</v>
      </c>
      <c r="BU19" s="1">
        <f ca="1">IFERROR(__xludf.DUMMYFUNCTION("if(BU$2="""","""", index(GOOGLEFINANCE($B$19,""close"",BU$2,TODAY()),2,2))"),72.23)</f>
        <v>72.23</v>
      </c>
      <c r="BV19" s="1">
        <f ca="1">IFERROR(__xludf.DUMMYFUNCTION("if(BV$2="""","""", index(GOOGLEFINANCE($B$19,""close"",BV$2,TODAY()),2,2))"),72.23)</f>
        <v>72.23</v>
      </c>
      <c r="BW19" s="1">
        <f ca="1">IFERROR(__xludf.DUMMYFUNCTION("if(BW$2="""","""", index(GOOGLEFINANCE($B$19,""close"",BW$2,TODAY()),2,2))"),71.47)</f>
        <v>71.47</v>
      </c>
      <c r="BX19" s="1">
        <f ca="1">IFERROR(__xludf.DUMMYFUNCTION("if(BX$2="""","""", index(GOOGLEFINANCE($B$19,""close"",BX$2,TODAY()),2,2))"),73.73)</f>
        <v>73.73</v>
      </c>
      <c r="BY19" s="1">
        <f ca="1">IFERROR(__xludf.DUMMYFUNCTION("if(BY$2="""","""", index(GOOGLEFINANCE($B$19,""close"",BY$2,TODAY()),2,2))"),74.94)</f>
        <v>74.94</v>
      </c>
      <c r="BZ19" s="1">
        <f ca="1">IFERROR(__xludf.DUMMYFUNCTION("if(BZ$2="""","""", index(GOOGLEFINANCE($B$19,""close"",BZ$2,TODAY()),2,2))"),74.31)</f>
        <v>74.31</v>
      </c>
      <c r="CA19" s="1">
        <f ca="1">IFERROR(__xludf.DUMMYFUNCTION("if(CA$2="""","""", index(GOOGLEFINANCE($B$19,""close"",CA$2,TODAY()),2,2))"),72.61)</f>
        <v>72.61</v>
      </c>
      <c r="CB19" s="1">
        <f ca="1">IFERROR(__xludf.DUMMYFUNCTION("if(CB$2="""","""", index(GOOGLEFINANCE($B$19,""close"",CB$2,TODAY()),2,2))"),73.1)</f>
        <v>73.099999999999994</v>
      </c>
      <c r="CC19" s="1">
        <f ca="1">IFERROR(__xludf.DUMMYFUNCTION("if(CC$2="""","""", index(GOOGLEFINANCE($B$19,""close"",CC$2,TODAY()),2,2))"),70.14)</f>
        <v>70.14</v>
      </c>
      <c r="CD19" s="1">
        <f ca="1">IFERROR(__xludf.DUMMYFUNCTION("if(CD$2="""","""", index(GOOGLEFINANCE($B$19,""close"",CD$2,TODAY()),2,2))"),69.3)</f>
        <v>69.3</v>
      </c>
      <c r="CE19" s="1">
        <f ca="1">IFERROR(__xludf.DUMMYFUNCTION("if(CE$2="""","""", index(GOOGLEFINANCE($B$19,""close"",CE$2,TODAY()),2,2))"),71.7)</f>
        <v>71.7</v>
      </c>
      <c r="CF19" s="1">
        <f ca="1">IFERROR(__xludf.DUMMYFUNCTION("if(CF$2="""","""", index(GOOGLEFINANCE($B$19,""close"",CF$2,TODAY()),2,2))"),70.22)</f>
        <v>70.22</v>
      </c>
      <c r="CG19" s="1">
        <f ca="1">IFERROR(__xludf.DUMMYFUNCTION("if(CG$2="""","""", index(GOOGLEFINANCE($B$19,""close"",CG$2,TODAY()),2,2))"),71.45)</f>
        <v>71.45</v>
      </c>
      <c r="CH19" s="1">
        <f ca="1">IFERROR(__xludf.DUMMYFUNCTION("if(CH$2="""","""", index(GOOGLEFINANCE($B$19,""close"",CH$2,TODAY()),2,2))"),72.92)</f>
        <v>72.92</v>
      </c>
      <c r="CI19" s="1">
        <f ca="1">IFERROR(__xludf.DUMMYFUNCTION("if(CI$2="""","""", index(GOOGLEFINANCE($B$19,""close"",CI$2,TODAY()),2,2))"),76.21)</f>
        <v>76.209999999999994</v>
      </c>
      <c r="CJ19" s="1" t="str">
        <f ca="1">IFERROR(__xludf.DUMMYFUNCTION("if(CJ$2="""","""", index(GOOGLEFINANCE($B$19,""close"",CJ$2,TODAY()),2,2))"),"")</f>
        <v/>
      </c>
      <c r="CK19" s="1" t="str">
        <f ca="1">IFERROR(__xludf.DUMMYFUNCTION("if(CK$2="""","""", index(GOOGLEFINANCE($B$19,""close"",CK$2,TODAY()),2,2))"),"")</f>
        <v/>
      </c>
      <c r="CL19" s="1" t="str">
        <f ca="1">IFERROR(__xludf.DUMMYFUNCTION("if(CL$2="""","""", index(GOOGLEFINANCE($B$19,""close"",CL$2,TODAY()),2,2))"),"")</f>
        <v/>
      </c>
      <c r="CM19" s="1" t="str">
        <f ca="1">IFERROR(__xludf.DUMMYFUNCTION("if(CM$2="""","""", index(GOOGLEFINANCE($B$19,""close"",CM$2,TODAY()),2,2))"),"")</f>
        <v/>
      </c>
      <c r="CN19" s="1" t="str">
        <f ca="1">IFERROR(__xludf.DUMMYFUNCTION("if(CN$2="""","""", index(GOOGLEFINANCE($B$19,""close"",CN$2,TODAY()),2,2))"),"")</f>
        <v/>
      </c>
      <c r="CO19" s="1" t="str">
        <f ca="1">IFERROR(__xludf.DUMMYFUNCTION("if(CO$2="""","""", index(GOOGLEFINANCE($B$19,""close"",CO$2,TODAY()),2,2))"),"")</f>
        <v/>
      </c>
      <c r="CP19" s="1" t="str">
        <f ca="1">IFERROR(__xludf.DUMMYFUNCTION("if(CP$2="""","""", index(GOOGLEFINANCE($B$19,""close"",CP$2,TODAY()),2,2))"),"")</f>
        <v/>
      </c>
      <c r="CQ19" s="1" t="str">
        <f ca="1">IFERROR(__xludf.DUMMYFUNCTION("if(CQ$2="""","""", index(GOOGLEFINANCE($B$19,""close"",CQ$2,TODAY()),2,2))"),"")</f>
        <v/>
      </c>
      <c r="CR19" s="1" t="str">
        <f ca="1">IFERROR(__xludf.DUMMYFUNCTION("if(CR$2="""","""", index(GOOGLEFINANCE($B$19,""close"",CR$2,TODAY()),2,2))"),"")</f>
        <v/>
      </c>
      <c r="CS19" s="1" t="str">
        <f ca="1">IFERROR(__xludf.DUMMYFUNCTION("if(CS$2="""","""", index(GOOGLEFINANCE($B$19,""close"",CS$2,TODAY()),2,2))"),"")</f>
        <v/>
      </c>
      <c r="CT19" s="1" t="str">
        <f ca="1">IFERROR(__xludf.DUMMYFUNCTION("if(CT$2="""","""", index(GOOGLEFINANCE($B$19,""close"",CT$2,TODAY()),2,2))"),"")</f>
        <v/>
      </c>
      <c r="CU19" s="1" t="str">
        <f ca="1">IFERROR(__xludf.DUMMYFUNCTION("if(CU$2="""","""", index(GOOGLEFINANCE($B$19,""close"",CU$2,TODAY()),2,2))"),"")</f>
        <v/>
      </c>
      <c r="CV19" s="1" t="str">
        <f ca="1">IFERROR(__xludf.DUMMYFUNCTION("if(CV$2="""","""", index(GOOGLEFINANCE($B$19,""close"",CV$2,TODAY()),2,2))"),"")</f>
        <v/>
      </c>
      <c r="CW19" s="1" t="str">
        <f ca="1">IFERROR(__xludf.DUMMYFUNCTION("if(CW$2="""","""", index(GOOGLEFINANCE($B$19,""close"",CW$2,TODAY()),2,2))"),"")</f>
        <v/>
      </c>
      <c r="CX19" s="1" t="str">
        <f ca="1">IFERROR(__xludf.DUMMYFUNCTION("if(CX$2="""","""", index(GOOGLEFINANCE($B$19,""close"",CX$2,TODAY()),2,2))"),"")</f>
        <v/>
      </c>
      <c r="CY19" s="1" t="str">
        <f ca="1">IFERROR(__xludf.DUMMYFUNCTION("if(CY$2="""","""", index(GOOGLEFINANCE($B$19,""close"",CY$2,TODAY()),2,2))"),"")</f>
        <v/>
      </c>
      <c r="CZ19" s="1" t="str">
        <f ca="1">IFERROR(__xludf.DUMMYFUNCTION("if(CZ$2="""","""", index(GOOGLEFINANCE($B$19,""close"",CZ$2,TODAY()),2,2))"),"")</f>
        <v/>
      </c>
      <c r="DA19" s="1" t="str">
        <f ca="1">IFERROR(__xludf.DUMMYFUNCTION("if(DA$2="""","""", index(GOOGLEFINANCE($B$19,""close"",DA$2,TODAY()),2,2))"),"")</f>
        <v/>
      </c>
      <c r="DB19" s="1" t="str">
        <f ca="1">IFERROR(__xludf.DUMMYFUNCTION("if(DB$2="""","""", index(GOOGLEFINANCE($B$19,""close"",DB$2,TODAY()),2,2))"),"")</f>
        <v/>
      </c>
      <c r="DC19" s="1" t="str">
        <f ca="1">IFERROR(__xludf.DUMMYFUNCTION("if(DC$2="""","""", index(GOOGLEFINANCE($B$19,""close"",DC$2,TODAY()),2,2))"),"")</f>
        <v/>
      </c>
      <c r="DD19" s="1" t="str">
        <f ca="1">IFERROR(__xludf.DUMMYFUNCTION("if(DD$2="""","""", index(GOOGLEFINANCE($B$19,""close"",DD$2,TODAY()),2,2))"),"")</f>
        <v/>
      </c>
      <c r="DE19" s="1" t="str">
        <f ca="1">IFERROR(__xludf.DUMMYFUNCTION("if(DE$2="""","""", index(GOOGLEFINANCE($B$19,""close"",DE$2,TODAY()),2,2))"),"")</f>
        <v/>
      </c>
      <c r="DF19" s="1" t="str">
        <f ca="1">IFERROR(__xludf.DUMMYFUNCTION("if(DF$2="""","""", index(GOOGLEFINANCE($B$19,""close"",DF$2,TODAY()),2,2))"),"")</f>
        <v/>
      </c>
      <c r="DG19" s="1" t="str">
        <f ca="1">IFERROR(__xludf.DUMMYFUNCTION("if(DG$2="""","""", index(GOOGLEFINANCE($B$19,""close"",DG$2,TODAY()),2,2))"),"")</f>
        <v/>
      </c>
      <c r="DH19" s="1" t="str">
        <f ca="1">IFERROR(__xludf.DUMMYFUNCTION("if(DH$2="""","""", index(GOOGLEFINANCE($B$19,""close"",DH$2,TODAY()),2,2))"),"")</f>
        <v/>
      </c>
      <c r="DI19" s="1" t="str">
        <f ca="1">IFERROR(__xludf.DUMMYFUNCTION("if(DI$2="""","""", index(GOOGLEFINANCE($B$19,""close"",DI$2,TODAY()),2,2))"),"")</f>
        <v/>
      </c>
      <c r="DJ19" s="1" t="str">
        <f ca="1">IFERROR(__xludf.DUMMYFUNCTION("if(DJ$2="""","""", index(GOOGLEFINANCE($B$19,""close"",DJ$2,TODAY()),2,2))"),"")</f>
        <v/>
      </c>
      <c r="DK19" s="1" t="str">
        <f ca="1">IFERROR(__xludf.DUMMYFUNCTION("if(DK$2="""","""", index(GOOGLEFINANCE($B$19,""close"",DK$2,TODAY()),2,2))"),"")</f>
        <v/>
      </c>
      <c r="DL19" s="1" t="str">
        <f ca="1">IFERROR(__xludf.DUMMYFUNCTION("if(DL$2="""","""", index(GOOGLEFINANCE($B$19,""close"",DL$2,TODAY()),2,2))"),"")</f>
        <v/>
      </c>
      <c r="DM19" s="1" t="str">
        <f ca="1">IFERROR(__xludf.DUMMYFUNCTION("if(DM$2="""","""", index(GOOGLEFINANCE($B$19,""close"",DM$2,TODAY()),2,2))"),"")</f>
        <v/>
      </c>
      <c r="DN19" s="1" t="str">
        <f ca="1">IFERROR(__xludf.DUMMYFUNCTION("if(DN$2="""","""", index(GOOGLEFINANCE($B$19,""close"",DN$2,TODAY()),2,2))"),"")</f>
        <v/>
      </c>
      <c r="DO19" s="1" t="str">
        <f ca="1">IFERROR(__xludf.DUMMYFUNCTION("if(DO$2="""","""", index(GOOGLEFINANCE($B$19,""close"",DO$2,TODAY()),2,2))"),"")</f>
        <v/>
      </c>
      <c r="DP19" s="1" t="str">
        <f ca="1">IFERROR(__xludf.DUMMYFUNCTION("if(DP$2="""","""", index(GOOGLEFINANCE($B$19,""close"",DP$2,TODAY()),2,2))"),"")</f>
        <v/>
      </c>
      <c r="DQ19" s="1" t="str">
        <f ca="1">IFERROR(__xludf.DUMMYFUNCTION("if(DQ$2="""","""", index(GOOGLEFINANCE($B$19,""close"",DQ$2,TODAY()),2,2))"),"")</f>
        <v/>
      </c>
      <c r="DR19" s="1" t="str">
        <f ca="1">IFERROR(__xludf.DUMMYFUNCTION("if(DR$2="""","""", index(GOOGLEFINANCE($B$19,""close"",DR$2,TODAY()),2,2))"),"")</f>
        <v/>
      </c>
      <c r="DS19" s="1" t="str">
        <f ca="1">IFERROR(__xludf.DUMMYFUNCTION("if(DS$2="""","""", index(GOOGLEFINANCE($B$19,""close"",DS$2,TODAY()),2,2))"),"")</f>
        <v/>
      </c>
      <c r="DT19" s="1" t="str">
        <f ca="1">IFERROR(__xludf.DUMMYFUNCTION("if(DT$2="""","""", index(GOOGLEFINANCE($B$19,""close"",DT$2,TODAY()),2,2))"),"")</f>
        <v/>
      </c>
      <c r="DU19" s="1" t="str">
        <f ca="1">IFERROR(__xludf.DUMMYFUNCTION("if(DU$2="""","""", index(GOOGLEFINANCE($B$19,""close"",DU$2,TODAY()),2,2))"),"")</f>
        <v/>
      </c>
      <c r="DV19" s="1" t="str">
        <f ca="1">IFERROR(__xludf.DUMMYFUNCTION("if(DV$2="""","""", index(GOOGLEFINANCE($B$19,""close"",DV$2,TODAY()),2,2))"),"")</f>
        <v/>
      </c>
      <c r="DW19" s="1" t="str">
        <f ca="1">IFERROR(__xludf.DUMMYFUNCTION("if(DW$2="""","""", index(GOOGLEFINANCE($B$19,""close"",DW$2,TODAY()),2,2))"),"")</f>
        <v/>
      </c>
      <c r="DX19" s="1" t="str">
        <f ca="1">IFERROR(__xludf.DUMMYFUNCTION("if(DX$2="""","""", index(GOOGLEFINANCE($B$19,""close"",DX$2,TODAY()),2,2))"),"")</f>
        <v/>
      </c>
      <c r="DY19" s="1" t="str">
        <f ca="1">IFERROR(__xludf.DUMMYFUNCTION("if(DY$2="""","""", index(GOOGLEFINANCE($B$19,""close"",DY$2,TODAY()),2,2))"),"")</f>
        <v/>
      </c>
      <c r="DZ19" s="1" t="str">
        <f ca="1">IFERROR(__xludf.DUMMYFUNCTION("if(DZ$2="""","""", index(GOOGLEFINANCE($B$19,""close"",DZ$2,TODAY()),2,2))"),"")</f>
        <v/>
      </c>
      <c r="EA19" s="1" t="str">
        <f ca="1">IFERROR(__xludf.DUMMYFUNCTION("if(EA$2="""","""", index(GOOGLEFINANCE($B$19,""close"",EA$2,TODAY()),2,2))"),"")</f>
        <v/>
      </c>
      <c r="EB19" s="1" t="str">
        <f ca="1">IFERROR(__xludf.DUMMYFUNCTION("if(EB$2="""","""", index(GOOGLEFINANCE($B$19,""close"",EB$2,TODAY()),2,2))"),"")</f>
        <v/>
      </c>
      <c r="EC19" s="1" t="str">
        <f ca="1">IFERROR(__xludf.DUMMYFUNCTION("if(EC$2="""","""", index(GOOGLEFINANCE($B$19,""close"",EC$2,TODAY()),2,2))"),"")</f>
        <v/>
      </c>
      <c r="ED19" s="1" t="str">
        <f ca="1">IFERROR(__xludf.DUMMYFUNCTION("if(ED$2="""","""", index(GOOGLEFINANCE($B$19,""close"",ED$2,TODAY()),2,2))"),"")</f>
        <v/>
      </c>
      <c r="EE19" s="1" t="str">
        <f ca="1">IFERROR(__xludf.DUMMYFUNCTION("if(EE$2="""","""", index(GOOGLEFINANCE($B$19,""close"",EE$2,TODAY()),2,2))"),"")</f>
        <v/>
      </c>
      <c r="EF19" s="1" t="str">
        <f ca="1">IFERROR(__xludf.DUMMYFUNCTION("if(EF$2="""","""", index(GOOGLEFINANCE($B$19,""close"",EF$2,TODAY()),2,2))"),"")</f>
        <v/>
      </c>
      <c r="EG19" s="1" t="str">
        <f ca="1">IFERROR(__xludf.DUMMYFUNCTION("if(EG$2="""","""", index(GOOGLEFINANCE($B$19,""close"",EG$2,TODAY()),2,2))"),"")</f>
        <v/>
      </c>
      <c r="EH19" s="1" t="str">
        <f ca="1">IFERROR(__xludf.DUMMYFUNCTION("if(EH$2="""","""", index(GOOGLEFINANCE($B$19,""close"",EH$2,TODAY()),2,2))"),"")</f>
        <v/>
      </c>
      <c r="EI19" s="1" t="str">
        <f ca="1">IFERROR(__xludf.DUMMYFUNCTION("if(EI$2="""","""", index(GOOGLEFINANCE($B$19,""close"",EI$2,TODAY()),2,2))"),"")</f>
        <v/>
      </c>
      <c r="EJ19" s="1" t="str">
        <f ca="1">IFERROR(__xludf.DUMMYFUNCTION("if(EJ$2="""","""", index(GOOGLEFINANCE($B$19,""close"",EJ$2,TODAY()),2,2))"),"")</f>
        <v/>
      </c>
      <c r="EK19" s="1" t="str">
        <f ca="1">IFERROR(__xludf.DUMMYFUNCTION("if(EK$2="""","""", index(GOOGLEFINANCE($B$19,""close"",EK$2,TODAY()),2,2))"),"")</f>
        <v/>
      </c>
      <c r="EL19" s="1" t="str">
        <f ca="1">IFERROR(__xludf.DUMMYFUNCTION("if(EL$2="""","""", index(GOOGLEFINANCE($B$19,""close"",EL$2,TODAY()),2,2))"),"")</f>
        <v/>
      </c>
      <c r="EM19" s="1" t="str">
        <f ca="1">IFERROR(__xludf.DUMMYFUNCTION("if(EM$2="""","""", index(GOOGLEFINANCE($B$19,""close"",EM$2,TODAY()),2,2))"),"")</f>
        <v/>
      </c>
      <c r="EN19" s="1" t="str">
        <f ca="1">IFERROR(__xludf.DUMMYFUNCTION("if(EN$2="""","""", index(GOOGLEFINANCE($B$19,""close"",EN$2,TODAY()),2,2))"),"")</f>
        <v/>
      </c>
      <c r="EO19" s="1" t="str">
        <f ca="1">IFERROR(__xludf.DUMMYFUNCTION("if(EO$2="""","""", index(GOOGLEFINANCE($B$19,""close"",EO$2,TODAY()),2,2))"),"")</f>
        <v/>
      </c>
      <c r="EP19" s="1" t="str">
        <f ca="1">IFERROR(__xludf.DUMMYFUNCTION("if(EP$2="""","""", index(GOOGLEFINANCE($B$19,""close"",EP$2,TODAY()),2,2))"),"")</f>
        <v/>
      </c>
      <c r="EQ19" s="1" t="str">
        <f ca="1">IFERROR(__xludf.DUMMYFUNCTION("if(EQ$2="""","""", index(GOOGLEFINANCE($B$19,""close"",EQ$2,TODAY()),2,2))"),"")</f>
        <v/>
      </c>
      <c r="ER19" s="1" t="str">
        <f ca="1">IFERROR(__xludf.DUMMYFUNCTION("if(ER$2="""","""", index(GOOGLEFINANCE($B$19,""close"",ER$2,TODAY()),2,2))"),"")</f>
        <v/>
      </c>
      <c r="ES19" s="1" t="str">
        <f ca="1">IFERROR(__xludf.DUMMYFUNCTION("if(ES$2="""","""", index(GOOGLEFINANCE($B$19,""close"",ES$2,TODAY()),2,2))"),"")</f>
        <v/>
      </c>
      <c r="ET19" s="1" t="str">
        <f ca="1">IFERROR(__xludf.DUMMYFUNCTION("if(ET$2="""","""", index(GOOGLEFINANCE($B$19,""close"",ET$2,TODAY()),2,2))"),"")</f>
        <v/>
      </c>
      <c r="EU19" s="1" t="str">
        <f ca="1">IFERROR(__xludf.DUMMYFUNCTION("if(EU$2="""","""", index(GOOGLEFINANCE($B$19,""close"",EU$2,TODAY()),2,2))"),"")</f>
        <v/>
      </c>
      <c r="EV19" s="1" t="str">
        <f ca="1">IFERROR(__xludf.DUMMYFUNCTION("if(EV$2="""","""", index(GOOGLEFINANCE($B$19,""close"",EV$2,TODAY()),2,2))"),"")</f>
        <v/>
      </c>
      <c r="EW19" s="1" t="str">
        <f ca="1">IFERROR(__xludf.DUMMYFUNCTION("if(EW$2="""","""", index(GOOGLEFINANCE($B$19,""close"",EW$2,TODAY()),2,2))"),"")</f>
        <v/>
      </c>
      <c r="EX19" s="1" t="str">
        <f ca="1">IFERROR(__xludf.DUMMYFUNCTION("if(EX$2="""","""", index(GOOGLEFINANCE($B$19,""close"",EX$2,TODAY()),2,2))"),"")</f>
        <v/>
      </c>
      <c r="EY19" s="1" t="str">
        <f ca="1">IFERROR(__xludf.DUMMYFUNCTION("if(EY$2="""","""", index(GOOGLEFINANCE($B$19,""close"",EY$2,TODAY()),2,2))"),"")</f>
        <v/>
      </c>
      <c r="EZ19" s="1" t="str">
        <f ca="1">IFERROR(__xludf.DUMMYFUNCTION("if(EZ$2="""","""", index(GOOGLEFINANCE($B$19,""close"",EZ$2,TODAY()),2,2))"),"")</f>
        <v/>
      </c>
      <c r="FA19" s="1" t="str">
        <f ca="1">IFERROR(__xludf.DUMMYFUNCTION("if(FA$2="""","""", index(GOOGLEFINANCE($B$19,""close"",FA$2,TODAY()),2,2))"),"")</f>
        <v/>
      </c>
      <c r="FB19" s="1" t="str">
        <f ca="1">IFERROR(__xludf.DUMMYFUNCTION("if(FB$2="""","""", index(GOOGLEFINANCE($B$19,""close"",FB$2,TODAY()),2,2))"),"")</f>
        <v/>
      </c>
      <c r="FC19" s="1" t="str">
        <f ca="1">IFERROR(__xludf.DUMMYFUNCTION("if(FC$2="""","""", index(GOOGLEFINANCE($B$19,""close"",FC$2,TODAY()),2,2))"),"")</f>
        <v/>
      </c>
      <c r="FD19" s="1" t="str">
        <f ca="1">IFERROR(__xludf.DUMMYFUNCTION("if(FD$2="""","""", index(GOOGLEFINANCE($B$19,""close"",FD$2,TODAY()),2,2))"),"")</f>
        <v/>
      </c>
      <c r="FE19" s="1" t="str">
        <f ca="1">IFERROR(__xludf.DUMMYFUNCTION("if(FE$2="""","""", index(GOOGLEFINANCE($B$19,""close"",FE$2,TODAY()),2,2))"),"")</f>
        <v/>
      </c>
      <c r="FF19" s="1" t="str">
        <f ca="1">IFERROR(__xludf.DUMMYFUNCTION("if(FF$2="""","""", index(GOOGLEFINANCE($B$19,""close"",FF$2,TODAY()),2,2))"),"")</f>
        <v/>
      </c>
      <c r="FG19" s="1" t="str">
        <f ca="1">IFERROR(__xludf.DUMMYFUNCTION("if(FG$2="""","""", index(GOOGLEFINANCE($B$19,""close"",FG$2,TODAY()),2,2))"),"")</f>
        <v/>
      </c>
      <c r="FH19" s="1" t="str">
        <f ca="1">IFERROR(__xludf.DUMMYFUNCTION("if(FH$2="""","""", index(GOOGLEFINANCE($B$19,""close"",FH$2,TODAY()),2,2))"),"")</f>
        <v/>
      </c>
      <c r="FI19" s="1" t="str">
        <f ca="1">IFERROR(__xludf.DUMMYFUNCTION("if(FI$2="""","""", index(GOOGLEFINANCE($B$19,""close"",FI$2,TODAY()),2,2))"),"")</f>
        <v/>
      </c>
      <c r="FJ19" s="1" t="str">
        <f ca="1">IFERROR(__xludf.DUMMYFUNCTION("if(FJ$2="""","""", index(GOOGLEFINANCE($B$19,""close"",FJ$2,TODAY()),2,2))"),"")</f>
        <v/>
      </c>
      <c r="FK19" s="1" t="str">
        <f ca="1">IFERROR(__xludf.DUMMYFUNCTION("if(FK$2="""","""", index(GOOGLEFINANCE($B$19,""close"",FK$2,TODAY()),2,2))"),"")</f>
        <v/>
      </c>
      <c r="FL19" s="1" t="str">
        <f ca="1">IFERROR(__xludf.DUMMYFUNCTION("if(FL$2="""","""", index(GOOGLEFINANCE($B$19,""close"",FL$2,TODAY()),2,2))"),"")</f>
        <v/>
      </c>
      <c r="FM19" s="1" t="str">
        <f ca="1">IFERROR(__xludf.DUMMYFUNCTION("if(FM$2="""","""", index(GOOGLEFINANCE($B$19,""close"",FM$2,TODAY()),2,2))"),"")</f>
        <v/>
      </c>
      <c r="FN19" s="1" t="str">
        <f ca="1">IFERROR(__xludf.DUMMYFUNCTION("if(FN$2="""","""", index(GOOGLEFINANCE($B$19,""close"",FN$2,TODAY()),2,2))"),"")</f>
        <v/>
      </c>
      <c r="FO19" s="1" t="str">
        <f ca="1">IFERROR(__xludf.DUMMYFUNCTION("if(FO$2="""","""", index(GOOGLEFINANCE($B$19,""close"",FO$2,TODAY()),2,2))"),"")</f>
        <v/>
      </c>
      <c r="FP19" s="1" t="str">
        <f ca="1">IFERROR(__xludf.DUMMYFUNCTION("if(FP$2="""","""", index(GOOGLEFINANCE($B$19,""close"",FP$2,TODAY()),2,2))"),"")</f>
        <v/>
      </c>
      <c r="FQ19" s="1" t="str">
        <f ca="1">IFERROR(__xludf.DUMMYFUNCTION("if(FQ$2="""","""", index(GOOGLEFINANCE($B$19,""close"",FQ$2,TODAY()),2,2))"),"")</f>
        <v/>
      </c>
      <c r="FR19" s="1" t="str">
        <f ca="1">IFERROR(__xludf.DUMMYFUNCTION("if(FR$2="""","""", index(GOOGLEFINANCE($B$19,""close"",FR$2,TODAY()),2,2))"),"")</f>
        <v/>
      </c>
      <c r="FS19" s="1" t="str">
        <f ca="1">IFERROR(__xludf.DUMMYFUNCTION("if(FS$2="""","""", index(GOOGLEFINANCE($B$19,""close"",FS$2,TODAY()),2,2))"),"")</f>
        <v/>
      </c>
      <c r="FT19" s="1" t="str">
        <f ca="1">IFERROR(__xludf.DUMMYFUNCTION("if(FT$2="""","""", index(GOOGLEFINANCE($B$19,""close"",FT$2,TODAY()),2,2))"),"")</f>
        <v/>
      </c>
      <c r="FU19" s="1" t="str">
        <f ca="1">IFERROR(__xludf.DUMMYFUNCTION("if(FU$2="""","""", index(GOOGLEFINANCE($B$19,""close"",FU$2,TODAY()),2,2))"),"")</f>
        <v/>
      </c>
      <c r="FV19" s="1" t="str">
        <f ca="1">IFERROR(__xludf.DUMMYFUNCTION("if(FV$2="""","""", index(GOOGLEFINANCE($B$19,""close"",FV$2,TODAY()),2,2))"),"")</f>
        <v/>
      </c>
      <c r="FW19" s="1" t="str">
        <f ca="1">IFERROR(__xludf.DUMMYFUNCTION("if(FW$2="""","""", index(GOOGLEFINANCE($B$19,""close"",FW$2,TODAY()),2,2))"),"")</f>
        <v/>
      </c>
      <c r="FX19" s="1" t="str">
        <f ca="1">IFERROR(__xludf.DUMMYFUNCTION("if(FX$2="""","""", index(GOOGLEFINANCE($B$19,""close"",FX$2,TODAY()),2,2))"),"")</f>
        <v/>
      </c>
      <c r="FY19" s="1" t="str">
        <f ca="1">IFERROR(__xludf.DUMMYFUNCTION("if(FY$2="""","""", index(GOOGLEFINANCE($B$19,""close"",FY$2,TODAY()),2,2))"),"")</f>
        <v/>
      </c>
      <c r="FZ19" s="1" t="str">
        <f ca="1">IFERROR(__xludf.DUMMYFUNCTION("if(FZ$2="""","""", index(GOOGLEFINANCE($B$19,""close"",FZ$2,TODAY()),2,2))"),"")</f>
        <v/>
      </c>
      <c r="GA19" s="1" t="str">
        <f ca="1">IFERROR(__xludf.DUMMYFUNCTION("if(GA$2="""","""", index(GOOGLEFINANCE($B$19,""close"",GA$2,TODAY()),2,2))"),"")</f>
        <v/>
      </c>
      <c r="GB19" s="1" t="str">
        <f ca="1">IFERROR(__xludf.DUMMYFUNCTION("if(GB$2="""","""", index(GOOGLEFINANCE($B$19,""close"",GB$2,TODAY()),2,2))"),"")</f>
        <v/>
      </c>
      <c r="GC19" s="1" t="str">
        <f ca="1">IFERROR(__xludf.DUMMYFUNCTION("if(GC$2="""","""", index(GOOGLEFINANCE($B$19,""close"",GC$2,TODAY()),2,2))"),"")</f>
        <v/>
      </c>
      <c r="GD19" s="1" t="str">
        <f ca="1">IFERROR(__xludf.DUMMYFUNCTION("if(GD$2="""","""", index(GOOGLEFINANCE($B$19,""close"",GD$2,TODAY()),2,2))"),"")</f>
        <v/>
      </c>
      <c r="GE19" s="1" t="str">
        <f ca="1">IFERROR(__xludf.DUMMYFUNCTION("if(GE$2="""","""", index(GOOGLEFINANCE($B$19,""close"",GE$2,TODAY()),2,2))"),"")</f>
        <v/>
      </c>
      <c r="GF19" s="1" t="str">
        <f ca="1">IFERROR(__xludf.DUMMYFUNCTION("if(GF$2="""","""", index(GOOGLEFINANCE($B$19,""close"",GF$2,TODAY()),2,2))"),"")</f>
        <v/>
      </c>
      <c r="GG19" s="1" t="str">
        <f ca="1">IFERROR(__xludf.DUMMYFUNCTION("if(GG$2="""","""", index(GOOGLEFINANCE($B$19,""close"",GG$2,TODAY()),2,2))"),"")</f>
        <v/>
      </c>
      <c r="GH19" s="1" t="str">
        <f ca="1">IFERROR(__xludf.DUMMYFUNCTION("if(GH$2="""","""", index(GOOGLEFINANCE($B$19,""close"",GH$2,TODAY()),2,2))"),"")</f>
        <v/>
      </c>
      <c r="GI19" s="1" t="str">
        <f ca="1">IFERROR(__xludf.DUMMYFUNCTION("if(GI$2="""","""", index(GOOGLEFINANCE($B$19,""close"",GI$2,TODAY()),2,2))"),"")</f>
        <v/>
      </c>
      <c r="GJ19" s="1" t="str">
        <f ca="1">IFERROR(__xludf.DUMMYFUNCTION("if(GJ$2="""","""", index(GOOGLEFINANCE($B$19,""close"",GJ$2,TODAY()),2,2))"),"")</f>
        <v/>
      </c>
      <c r="GK19" s="1" t="str">
        <f ca="1">IFERROR(__xludf.DUMMYFUNCTION("if(GK$2="""","""", index(GOOGLEFINANCE($B$19,""close"",GK$2,TODAY()),2,2))"),"")</f>
        <v/>
      </c>
      <c r="GL19" s="1" t="str">
        <f ca="1">IFERROR(__xludf.DUMMYFUNCTION("if(GL$2="""","""", index(GOOGLEFINANCE($B$19,""close"",GL$2,TODAY()),2,2))"),"")</f>
        <v/>
      </c>
      <c r="GM19" s="1" t="str">
        <f ca="1">IFERROR(__xludf.DUMMYFUNCTION("if(GM$2="""","""", index(GOOGLEFINANCE($B$19,""close"",GM$2,TODAY()),2,2))"),"")</f>
        <v/>
      </c>
      <c r="GN19" s="1" t="str">
        <f ca="1">IFERROR(__xludf.DUMMYFUNCTION("if(GN$2="""","""", index(GOOGLEFINANCE($B$19,""close"",GN$2,TODAY()),2,2))"),"")</f>
        <v/>
      </c>
      <c r="GO19" s="1" t="str">
        <f ca="1">IFERROR(__xludf.DUMMYFUNCTION("if(GO$2="""","""", index(GOOGLEFINANCE($B$19,""close"",GO$2,TODAY()),2,2))"),"")</f>
        <v/>
      </c>
      <c r="GP19" s="1" t="str">
        <f ca="1">IFERROR(__xludf.DUMMYFUNCTION("if(GP$2="""","""", index(GOOGLEFINANCE($B$19,""close"",GP$2,TODAY()),2,2))"),"")</f>
        <v/>
      </c>
      <c r="GQ19" s="1" t="str">
        <f ca="1">IFERROR(__xludf.DUMMYFUNCTION("if(GQ$2="""","""", index(GOOGLEFINANCE($B$19,""close"",GQ$2,TODAY()),2,2))"),"")</f>
        <v/>
      </c>
      <c r="GR19" s="1" t="str">
        <f ca="1">IFERROR(__xludf.DUMMYFUNCTION("if(GR$2="""","""", index(GOOGLEFINANCE($B$19,""close"",GR$2,TODAY()),2,2))"),"")</f>
        <v/>
      </c>
      <c r="GS19" s="1" t="str">
        <f ca="1">IFERROR(__xludf.DUMMYFUNCTION("if(GS$2="""","""", index(GOOGLEFINANCE($B$19,""close"",GS$2,TODAY()),2,2))"),"")</f>
        <v/>
      </c>
      <c r="GT19" s="1" t="str">
        <f ca="1">IFERROR(__xludf.DUMMYFUNCTION("if(GT$2="""","""", index(GOOGLEFINANCE($B$19,""close"",GT$2,TODAY()),2,2))"),"")</f>
        <v/>
      </c>
      <c r="GU19" s="1" t="str">
        <f ca="1">IFERROR(__xludf.DUMMYFUNCTION("if(GU$2="""","""", index(GOOGLEFINANCE($B$19,""close"",GU$2,TODAY()),2,2))"),"")</f>
        <v/>
      </c>
      <c r="GV19" s="1" t="str">
        <f ca="1">IFERROR(__xludf.DUMMYFUNCTION("if(GV$2="""","""", index(GOOGLEFINANCE($B$19,""close"",GV$2,TODAY()),2,2))"),"")</f>
        <v/>
      </c>
      <c r="GW19" s="1" t="str">
        <f ca="1">IFERROR(__xludf.DUMMYFUNCTION("if(GW$2="""","""", index(GOOGLEFINANCE($B$19,""close"",GW$2,TODAY()),2,2))"),"")</f>
        <v/>
      </c>
      <c r="GX19" s="1" t="str">
        <f ca="1">IFERROR(__xludf.DUMMYFUNCTION("if(GX$2="""","""", index(GOOGLEFINANCE($B$19,""close"",GX$2,TODAY()),2,2))"),"")</f>
        <v/>
      </c>
      <c r="GY19" s="1" t="str">
        <f ca="1">IFERROR(__xludf.DUMMYFUNCTION("if(GY$2="""","""", index(GOOGLEFINANCE($B$19,""close"",GY$2,TODAY()),2,2))"),"")</f>
        <v/>
      </c>
      <c r="GZ19" s="1" t="str">
        <f ca="1">IFERROR(__xludf.DUMMYFUNCTION("if(GZ$2="""","""", index(GOOGLEFINANCE($B$19,""close"",GZ$2,TODAY()),2,2))"),"")</f>
        <v/>
      </c>
      <c r="HA19" s="1" t="str">
        <f ca="1">IFERROR(__xludf.DUMMYFUNCTION("if(HA$2="""","""", index(GOOGLEFINANCE($B$19,""close"",HA$2,TODAY()),2,2))"),"")</f>
        <v/>
      </c>
      <c r="HB19" s="1" t="str">
        <f ca="1">IFERROR(__xludf.DUMMYFUNCTION("if(HB$2="""","""", index(GOOGLEFINANCE($B$19,""close"",HB$2,TODAY()),2,2))"),"")</f>
        <v/>
      </c>
      <c r="HC19" s="1" t="str">
        <f ca="1">IFERROR(__xludf.DUMMYFUNCTION("if(HC$2="""","""", index(GOOGLEFINANCE($B$19,""close"",HC$2,TODAY()),2,2))"),"")</f>
        <v/>
      </c>
      <c r="HD19" s="1" t="str">
        <f ca="1">IFERROR(__xludf.DUMMYFUNCTION("if(HD$2="""","""", index(GOOGLEFINANCE($B$19,""close"",HD$2,TODAY()),2,2))"),"")</f>
        <v/>
      </c>
      <c r="HE19" s="1" t="str">
        <f ca="1">IFERROR(__xludf.DUMMYFUNCTION("if(HE$2="""","""", index(GOOGLEFINANCE($B$19,""close"",HE$2,TODAY()),2,2))"),"")</f>
        <v/>
      </c>
      <c r="HF19" s="1" t="str">
        <f ca="1">IFERROR(__xludf.DUMMYFUNCTION("if(HF$2="""","""", index(GOOGLEFINANCE($B$19,""close"",HF$2,TODAY()),2,2))"),"")</f>
        <v/>
      </c>
      <c r="HG19" s="1" t="str">
        <f ca="1">IFERROR(__xludf.DUMMYFUNCTION("if(HG$2="""","""", index(GOOGLEFINANCE($B$19,""close"",HG$2,TODAY()),2,2))"),"")</f>
        <v/>
      </c>
      <c r="HH19" s="1" t="str">
        <f ca="1">IFERROR(__xludf.DUMMYFUNCTION("if(HH$2="""","""", index(GOOGLEFINANCE($B$19,""close"",HH$2,TODAY()),2,2))"),"")</f>
        <v/>
      </c>
      <c r="HI19" s="1" t="str">
        <f ca="1">IFERROR(__xludf.DUMMYFUNCTION("if(HI$2="""","""", index(GOOGLEFINANCE($B$19,""close"",HI$2,TODAY()),2,2))"),"")</f>
        <v/>
      </c>
      <c r="HJ19" s="1" t="str">
        <f ca="1">IFERROR(__xludf.DUMMYFUNCTION("if(HJ$2="""","""", index(GOOGLEFINANCE($B$19,""close"",HJ$2,TODAY()),2,2))"),"")</f>
        <v/>
      </c>
      <c r="HK19" s="1" t="str">
        <f ca="1">IFERROR(__xludf.DUMMYFUNCTION("if(HK$2="""","""", index(GOOGLEFINANCE($B$19,""close"",HK$2,TODAY()),2,2))"),"")</f>
        <v/>
      </c>
      <c r="HL19" s="1" t="str">
        <f ca="1">IFERROR(__xludf.DUMMYFUNCTION("if(HL$2="""","""", index(GOOGLEFINANCE($B$19,""close"",HL$2,TODAY()),2,2))"),"")</f>
        <v/>
      </c>
      <c r="HM19" s="1" t="str">
        <f ca="1">IFERROR(__xludf.DUMMYFUNCTION("if(HM$2="""","""", index(GOOGLEFINANCE($B$19,""close"",HM$2,TODAY()),2,2))"),"")</f>
        <v/>
      </c>
      <c r="HN19" s="1" t="str">
        <f ca="1">IFERROR(__xludf.DUMMYFUNCTION("if(HN$2="""","""", index(GOOGLEFINANCE($B$19,""close"",HN$2,TODAY()),2,2))"),"")</f>
        <v/>
      </c>
      <c r="HO19" s="1" t="str">
        <f ca="1">IFERROR(__xludf.DUMMYFUNCTION("if(HO$2="""","""", index(GOOGLEFINANCE($B$19,""close"",HO$2,TODAY()),2,2))"),"")</f>
        <v/>
      </c>
      <c r="HP19" s="1" t="str">
        <f ca="1">IFERROR(__xludf.DUMMYFUNCTION("if(HP$2="""","""", index(GOOGLEFINANCE($B$19,""close"",HP$2,TODAY()),2,2))"),"")</f>
        <v/>
      </c>
      <c r="HQ19" s="1" t="str">
        <f ca="1">IFERROR(__xludf.DUMMYFUNCTION("if(HQ$2="""","""", index(GOOGLEFINANCE($B$19,""close"",HQ$2,TODAY()),2,2))"),"")</f>
        <v/>
      </c>
      <c r="HR19" s="1" t="str">
        <f ca="1">IFERROR(__xludf.DUMMYFUNCTION("if(HR$2="""","""", index(GOOGLEFINANCE($B$19,""close"",HR$2,TODAY()),2,2))"),"")</f>
        <v/>
      </c>
      <c r="HS19" s="1" t="str">
        <f ca="1">IFERROR(__xludf.DUMMYFUNCTION("if(HS$2="""","""", index(GOOGLEFINANCE($B$19,""close"",HS$2,TODAY()),2,2))"),"")</f>
        <v/>
      </c>
      <c r="HT19" s="1" t="str">
        <f ca="1">IFERROR(__xludf.DUMMYFUNCTION("if(HT$2="""","""", index(GOOGLEFINANCE($B$19,""close"",HT$2,TODAY()),2,2))"),"")</f>
        <v/>
      </c>
      <c r="HU19" s="1" t="str">
        <f ca="1">IFERROR(__xludf.DUMMYFUNCTION("if(HU$2="""","""", index(GOOGLEFINANCE($B$19,""close"",HU$2,TODAY()),2,2))"),"")</f>
        <v/>
      </c>
      <c r="HV19" s="1" t="str">
        <f ca="1">IFERROR(__xludf.DUMMYFUNCTION("if(HV$2="""","""", index(GOOGLEFINANCE($B$19,""close"",HV$2,TODAY()),2,2))"),"")</f>
        <v/>
      </c>
      <c r="HW19" s="1" t="str">
        <f ca="1">IFERROR(__xludf.DUMMYFUNCTION("if(HW$2="""","""", index(GOOGLEFINANCE($B$19,""close"",HW$2,TODAY()),2,2))"),"")</f>
        <v/>
      </c>
      <c r="HX19" s="1" t="str">
        <f ca="1">IFERROR(__xludf.DUMMYFUNCTION("if(HX$2="""","""", index(GOOGLEFINANCE($B$19,""close"",HX$2,TODAY()),2,2))"),"")</f>
        <v/>
      </c>
      <c r="HY19" s="1" t="str">
        <f ca="1">IFERROR(__xludf.DUMMYFUNCTION("if(HY$2="""","""", index(GOOGLEFINANCE($B$19,""close"",HY$2,TODAY()),2,2))"),"")</f>
        <v/>
      </c>
      <c r="HZ19" s="1" t="str">
        <f ca="1">IFERROR(__xludf.DUMMYFUNCTION("if(HZ$2="""","""", index(GOOGLEFINANCE($B$19,""close"",HZ$2,TODAY()),2,2))"),"")</f>
        <v/>
      </c>
      <c r="IA19" s="1" t="str">
        <f ca="1">IFERROR(__xludf.DUMMYFUNCTION("if(IA$2="""","""", index(GOOGLEFINANCE($B$19,""close"",IA$2,TODAY()),2,2))"),"")</f>
        <v/>
      </c>
      <c r="IB19" s="1" t="str">
        <f ca="1">IFERROR(__xludf.DUMMYFUNCTION("if(IB$2="""","""", index(GOOGLEFINANCE($B$19,""close"",IB$2,TODAY()),2,2))"),"")</f>
        <v/>
      </c>
      <c r="IC19" s="1" t="str">
        <f ca="1">IFERROR(__xludf.DUMMYFUNCTION("if(IC$2="""","""", index(GOOGLEFINANCE($B$19,""close"",IC$2,TODAY()),2,2))"),"")</f>
        <v/>
      </c>
      <c r="ID19" s="1" t="str">
        <f ca="1">IFERROR(__xludf.DUMMYFUNCTION("if(ID$2="""","""", index(GOOGLEFINANCE($B$19,""close"",ID$2,TODAY()),2,2))"),"")</f>
        <v/>
      </c>
      <c r="IE19" s="1" t="str">
        <f ca="1">IFERROR(__xludf.DUMMYFUNCTION("if(IE$2="""","""", index(GOOGLEFINANCE($B$19,""close"",IE$2,TODAY()),2,2))"),"")</f>
        <v/>
      </c>
      <c r="IF19" s="1" t="str">
        <f ca="1">IFERROR(__xludf.DUMMYFUNCTION("if(IF$2="""","""", index(GOOGLEFINANCE($B$19,""close"",IF$2,TODAY()),2,2))"),"")</f>
        <v/>
      </c>
      <c r="IG19" s="1" t="str">
        <f ca="1">IFERROR(__xludf.DUMMYFUNCTION("if(IG$2="""","""", index(GOOGLEFINANCE($B$19,""close"",IG$2,TODAY()),2,2))"),"")</f>
        <v/>
      </c>
      <c r="IH19" s="1" t="str">
        <f ca="1">IFERROR(__xludf.DUMMYFUNCTION("if(IH$2="""","""", index(GOOGLEFINANCE($B$19,""close"",IH$2,TODAY()),2,2))"),"")</f>
        <v/>
      </c>
      <c r="II19" s="1" t="str">
        <f ca="1">IFERROR(__xludf.DUMMYFUNCTION("if(II$2="""","""", index(GOOGLEFINANCE($B$19,""close"",II$2,TODAY()),2,2))"),"")</f>
        <v/>
      </c>
      <c r="IJ19" s="1" t="str">
        <f ca="1">IFERROR(__xludf.DUMMYFUNCTION("if(IJ$2="""","""", index(GOOGLEFINANCE($B$19,""close"",IJ$2,TODAY()),2,2))"),"")</f>
        <v/>
      </c>
      <c r="IK19" s="1" t="str">
        <f ca="1">IFERROR(__xludf.DUMMYFUNCTION("if(IK$2="""","""", index(GOOGLEFINANCE($B$19,""close"",IK$2,TODAY()),2,2))"),"")</f>
        <v/>
      </c>
      <c r="IL19" s="1" t="str">
        <f ca="1">IFERROR(__xludf.DUMMYFUNCTION("if(IL$2="""","""", index(GOOGLEFINANCE($B$19,""close"",IL$2,TODAY()),2,2))"),"")</f>
        <v/>
      </c>
      <c r="IM19" s="1" t="str">
        <f ca="1">IFERROR(__xludf.DUMMYFUNCTION("if(IM$2="""","""", index(GOOGLEFINANCE($B$19,""close"",IM$2,TODAY()),2,2))"),"")</f>
        <v/>
      </c>
      <c r="IN19" s="1" t="str">
        <f ca="1">IFERROR(__xludf.DUMMYFUNCTION("if(IN$2="""","""", index(GOOGLEFINANCE($B$19,""close"",IN$2,TODAY()),2,2))"),"")</f>
        <v/>
      </c>
      <c r="IO19" s="1" t="str">
        <f ca="1">IFERROR(__xludf.DUMMYFUNCTION("if(IO$2="""","""", index(GOOGLEFINANCE($B$19,""close"",IO$2,TODAY()),2,2))"),"")</f>
        <v/>
      </c>
      <c r="IP19" s="1" t="str">
        <f ca="1">IFERROR(__xludf.DUMMYFUNCTION("if(IP$2="""","""", index(GOOGLEFINANCE($B$19,""close"",IP$2,TODAY()),2,2))"),"")</f>
        <v/>
      </c>
      <c r="IQ19" s="1" t="str">
        <f ca="1">IFERROR(__xludf.DUMMYFUNCTION("if(IQ$2="""","""", index(GOOGLEFINANCE($B$19,""close"",IQ$2,TODAY()),2,2))"),"")</f>
        <v/>
      </c>
      <c r="IR19" s="1" t="str">
        <f ca="1">IFERROR(__xludf.DUMMYFUNCTION("if(IR$2="""","""", index(GOOGLEFINANCE($B$19,""close"",IR$2,TODAY()),2,2))"),"")</f>
        <v/>
      </c>
      <c r="IS19" s="1" t="str">
        <f ca="1">IFERROR(__xludf.DUMMYFUNCTION("if(IS$2="""","""", index(GOOGLEFINANCE($B$19,""close"",IS$2,TODAY()),2,2))"),"")</f>
        <v/>
      </c>
      <c r="IT19" s="1" t="str">
        <f ca="1">IFERROR(__xludf.DUMMYFUNCTION("if(IT$2="""","""", index(GOOGLEFINANCE($B$19,""close"",IT$2,TODAY()),2,2))"),"")</f>
        <v/>
      </c>
      <c r="IU19" s="1" t="str">
        <f ca="1">IFERROR(__xludf.DUMMYFUNCTION("if(IU$2="""","""", index(GOOGLEFINANCE($B$19,""close"",IU$2,TODAY()),2,2))"),"")</f>
        <v/>
      </c>
      <c r="IV19" s="1" t="str">
        <f ca="1">IFERROR(__xludf.DUMMYFUNCTION("if(IV$2="""","""", index(GOOGLEFINANCE($B$19,""close"",IV$2,TODAY()),2,2))"),"")</f>
        <v/>
      </c>
      <c r="IW19" s="1" t="str">
        <f ca="1">IFERROR(__xludf.DUMMYFUNCTION("if(IW$2="""","""", index(GOOGLEFINANCE($B$19,""close"",IW$2,TODAY()),2,2))"),"")</f>
        <v/>
      </c>
      <c r="IX19" s="1" t="str">
        <f ca="1">IFERROR(__xludf.DUMMYFUNCTION("if(IX$2="""","""", index(GOOGLEFINANCE($B$19,""close"",IX$2,TODAY()),2,2))"),"")</f>
        <v/>
      </c>
      <c r="IY19" s="1" t="str">
        <f ca="1">IFERROR(__xludf.DUMMYFUNCTION("if(IY$2="""","""", index(GOOGLEFINANCE($B$19,""close"",IY$2,TODAY()),2,2))"),"")</f>
        <v/>
      </c>
      <c r="IZ19" s="1" t="str">
        <f ca="1">IFERROR(__xludf.DUMMYFUNCTION("if(IZ$2="""","""", index(GOOGLEFINANCE($B$19,""close"",IZ$2,TODAY()),2,2))"),"")</f>
        <v/>
      </c>
      <c r="JA19" s="1" t="str">
        <f ca="1">IFERROR(__xludf.DUMMYFUNCTION("if(JA$2="""","""", index(GOOGLEFINANCE($B$19,""close"",JA$2,TODAY()),2,2))"),"")</f>
        <v/>
      </c>
      <c r="JB19" s="1" t="str">
        <f ca="1">IFERROR(__xludf.DUMMYFUNCTION("if(JB$2="""","""", index(GOOGLEFINANCE($B$19,""close"",JB$2,TODAY()),2,2))"),"")</f>
        <v/>
      </c>
      <c r="JC19" s="1" t="str">
        <f ca="1">IFERROR(__xludf.DUMMYFUNCTION("if(JC$2="""","""", index(GOOGLEFINANCE($B$19,""close"",JC$2,TODAY()),2,2))"),"")</f>
        <v/>
      </c>
      <c r="JD19" s="1" t="str">
        <f ca="1">IFERROR(__xludf.DUMMYFUNCTION("if(JD$2="""","""", index(GOOGLEFINANCE($B$19,""close"",JD$2,TODAY()),2,2))"),"")</f>
        <v/>
      </c>
      <c r="JE19" s="1" t="str">
        <f ca="1">IFERROR(__xludf.DUMMYFUNCTION("if(JE$2="""","""", index(GOOGLEFINANCE($B$19,""close"",JE$2,TODAY()),2,2))"),"")</f>
        <v/>
      </c>
      <c r="JF19" s="1" t="str">
        <f ca="1">IFERROR(__xludf.DUMMYFUNCTION("if(JF$2="""","""", index(GOOGLEFINANCE($B$19,""close"",JF$2,TODAY()),2,2))"),"")</f>
        <v/>
      </c>
      <c r="JG19" s="1" t="str">
        <f ca="1">IFERROR(__xludf.DUMMYFUNCTION("if(JG$2="""","""", index(GOOGLEFINANCE($B$19,""close"",JG$2,TODAY()),2,2))"),"")</f>
        <v/>
      </c>
      <c r="JH19" s="1" t="str">
        <f ca="1">IFERROR(__xludf.DUMMYFUNCTION("if(JH$2="""","""", index(GOOGLEFINANCE($B$19,""close"",JH$2,TODAY()),2,2))"),"")</f>
        <v/>
      </c>
      <c r="JI19" s="1" t="str">
        <f ca="1">IFERROR(__xludf.DUMMYFUNCTION("if(JI$2="""","""", index(GOOGLEFINANCE($B$19,""close"",JI$2,TODAY()),2,2))"),"")</f>
        <v/>
      </c>
      <c r="JJ19" s="1" t="str">
        <f ca="1">IFERROR(__xludf.DUMMYFUNCTION("if(JJ$2="""","""", index(GOOGLEFINANCE($B$19,""close"",JJ$2,TODAY()),2,2))"),"")</f>
        <v/>
      </c>
      <c r="JK19" s="1" t="str">
        <f ca="1">IFERROR(__xludf.DUMMYFUNCTION("if(JK$2="""","""", index(GOOGLEFINANCE($B$19,""close"",JK$2,TODAY()),2,2))"),"")</f>
        <v/>
      </c>
      <c r="JL19" s="1" t="str">
        <f ca="1">IFERROR(__xludf.DUMMYFUNCTION("if(JL$2="""","""", index(GOOGLEFINANCE($B$19,""close"",JL$2,TODAY()),2,2))"),"")</f>
        <v/>
      </c>
      <c r="JM19" s="1" t="str">
        <f ca="1">IFERROR(__xludf.DUMMYFUNCTION("if(JM$2="""","""", index(GOOGLEFINANCE($B$19,""close"",JM$2,TODAY()),2,2))"),"")</f>
        <v/>
      </c>
      <c r="JN19" s="1" t="str">
        <f ca="1">IFERROR(__xludf.DUMMYFUNCTION("if(JN$2="""","""", index(GOOGLEFINANCE($B$19,""close"",JN$2,TODAY()),2,2))"),"")</f>
        <v/>
      </c>
      <c r="JO19" s="1" t="str">
        <f ca="1">IFERROR(__xludf.DUMMYFUNCTION("if(JO$2="""","""", index(GOOGLEFINANCE($B$19,""close"",JO$2,TODAY()),2,2))"),"")</f>
        <v/>
      </c>
      <c r="JP19" s="1" t="str">
        <f ca="1">IFERROR(__xludf.DUMMYFUNCTION("if(JP$2="""","""", index(GOOGLEFINANCE($B$19,""close"",JP$2,TODAY()),2,2))"),"")</f>
        <v/>
      </c>
      <c r="JQ19" s="1" t="str">
        <f ca="1">IFERROR(__xludf.DUMMYFUNCTION("if(JQ$2="""","""", index(GOOGLEFINANCE($B$19,""close"",JQ$2,TODAY()),2,2))"),"")</f>
        <v/>
      </c>
      <c r="JR19" s="1" t="str">
        <f ca="1">IFERROR(__xludf.DUMMYFUNCTION("if(JR$2="""","""", index(GOOGLEFINANCE($B$19,""close"",JR$2,TODAY()),2,2))"),"")</f>
        <v/>
      </c>
      <c r="JS19" s="1" t="str">
        <f ca="1">IFERROR(__xludf.DUMMYFUNCTION("if(JS$2="""","""", index(GOOGLEFINANCE($B$19,""close"",JS$2,TODAY()),2,2))"),"")</f>
        <v/>
      </c>
      <c r="JT19" s="1" t="str">
        <f ca="1">IFERROR(__xludf.DUMMYFUNCTION("if(JT$2="""","""", index(GOOGLEFINANCE($B$19,""close"",JT$2,TODAY()),2,2))"),"")</f>
        <v/>
      </c>
      <c r="JU19" s="1" t="str">
        <f ca="1">IFERROR(__xludf.DUMMYFUNCTION("if(JU$2="""","""", index(GOOGLEFINANCE($B$19,""close"",JU$2,TODAY()),2,2))"),"")</f>
        <v/>
      </c>
      <c r="JV19" s="1" t="str">
        <f ca="1">IFERROR(__xludf.DUMMYFUNCTION("if(JV$2="""","""", index(GOOGLEFINANCE($B$19,""close"",JV$2,TODAY()),2,2))"),"")</f>
        <v/>
      </c>
      <c r="JW19" s="1" t="str">
        <f ca="1">IFERROR(__xludf.DUMMYFUNCTION("if(JW$2="""","""", index(GOOGLEFINANCE($B$19,""close"",JW$2,TODAY()),2,2))"),"")</f>
        <v/>
      </c>
      <c r="JX19" s="1" t="str">
        <f ca="1">IFERROR(__xludf.DUMMYFUNCTION("if(JX$2="""","""", index(GOOGLEFINANCE($B$19,""close"",JX$2,TODAY()),2,2))"),"")</f>
        <v/>
      </c>
      <c r="JY19" s="1" t="str">
        <f ca="1">IFERROR(__xludf.DUMMYFUNCTION("if(JY$2="""","""", index(GOOGLEFINANCE($B$19,""close"",JY$2,TODAY()),2,2))"),"")</f>
        <v/>
      </c>
      <c r="JZ19" s="1" t="str">
        <f ca="1">IFERROR(__xludf.DUMMYFUNCTION("if(JZ$2="""","""", index(GOOGLEFINANCE($B$19,""close"",JZ$2,TODAY()),2,2))"),"")</f>
        <v/>
      </c>
      <c r="KA19" s="1" t="str">
        <f ca="1">IFERROR(__xludf.DUMMYFUNCTION("if(KA$2="""","""", index(GOOGLEFINANCE($B$19,""close"",KA$2,TODAY()),2,2))"),"")</f>
        <v/>
      </c>
      <c r="KB19" s="1" t="str">
        <f ca="1">IFERROR(__xludf.DUMMYFUNCTION("if(KB$2="""","""", index(GOOGLEFINANCE($B$19,""close"",KB$2,TODAY()),2,2))"),"")</f>
        <v/>
      </c>
      <c r="KC19" s="1" t="str">
        <f ca="1">IFERROR(__xludf.DUMMYFUNCTION("if(KC$2="""","""", index(GOOGLEFINANCE($B$19,""close"",KC$2,TODAY()),2,2))"),"")</f>
        <v/>
      </c>
      <c r="KD19" s="1" t="str">
        <f ca="1">IFERROR(__xludf.DUMMYFUNCTION("if(KD$2="""","""", index(GOOGLEFINANCE($B$19,""close"",KD$2,TODAY()),2,2))"),"")</f>
        <v/>
      </c>
      <c r="KE19" s="1" t="str">
        <f ca="1">IFERROR(__xludf.DUMMYFUNCTION("if(KE$2="""","""", index(GOOGLEFINANCE($B$19,""close"",KE$2,TODAY()),2,2))"),"")</f>
        <v/>
      </c>
      <c r="KF19" s="1" t="str">
        <f ca="1">IFERROR(__xludf.DUMMYFUNCTION("if(KF$2="""","""", index(GOOGLEFINANCE($B$19,""close"",KF$2,TODAY()),2,2))"),"")</f>
        <v/>
      </c>
      <c r="KG19" s="1" t="str">
        <f ca="1">IFERROR(__xludf.DUMMYFUNCTION("if(KG$2="""","""", index(GOOGLEFINANCE($B$19,""close"",KG$2,TODAY()),2,2))"),"")</f>
        <v/>
      </c>
    </row>
    <row r="20" spans="1:293" ht="15.75" customHeight="1">
      <c r="A20" s="18" t="s">
        <v>30</v>
      </c>
      <c r="B20" s="6" t="s">
        <v>64</v>
      </c>
      <c r="C20" s="1">
        <f ca="1">IFERROR(__xludf.DUMMYFUNCTION("if(C$2="""","""", index(GOOGLEFINANCE($B$20,""close"",C$2,TODAY()),2,2))"),114)</f>
        <v>114</v>
      </c>
      <c r="D20" s="1">
        <f ca="1">IFERROR(__xludf.DUMMYFUNCTION("if(D$2="""","""", index(GOOGLEFINANCE($B$20,""close"",D$2,TODAY()),2,2))"),119.85)</f>
        <v>119.85</v>
      </c>
      <c r="E20" s="1">
        <f ca="1">IFERROR(__xludf.DUMMYFUNCTION("if(E$2="""","""", index(GOOGLEFINANCE($B$20,""close"",E$2,TODAY()),2,2))"),118.69)</f>
        <v>118.69</v>
      </c>
      <c r="F20" s="1">
        <f ca="1">IFERROR(__xludf.DUMMYFUNCTION("if(F$2="""","""", index(GOOGLEFINANCE($B$20,""close"",F$2,TODAY()),2,2))"),120.34)</f>
        <v>120.34</v>
      </c>
      <c r="G20" s="1">
        <f ca="1">IFERROR(__xludf.DUMMYFUNCTION("if(G$2="""","""", index(GOOGLEFINANCE($B$20,""close"",G$2,TODAY()),2,2))"),119.77)</f>
        <v>119.77</v>
      </c>
      <c r="H20" s="1">
        <f ca="1">IFERROR(__xludf.DUMMYFUNCTION("if(H$2="""","""", index(GOOGLEFINANCE($B$20,""close"",H$2,TODAY()),2,2))"),119.61)</f>
        <v>119.61</v>
      </c>
      <c r="I20" s="1">
        <f ca="1">IFERROR(__xludf.DUMMYFUNCTION("if(I$2="""","""", index(GOOGLEFINANCE($B$20,""close"",I$2,TODAY()),2,2))"),119.98)</f>
        <v>119.98</v>
      </c>
      <c r="J20" s="1">
        <f ca="1">IFERROR(__xludf.DUMMYFUNCTION("if(J$2="""","""", index(GOOGLEFINANCE($B$20,""close"",J$2,TODAY()),2,2))"),118.95)</f>
        <v>118.95</v>
      </c>
      <c r="K20" s="1">
        <f ca="1">IFERROR(__xludf.DUMMYFUNCTION("if(K$2="""","""", index(GOOGLEFINANCE($B$20,""close"",K$2,TODAY()),2,2))"),122.88)</f>
        <v>122.88</v>
      </c>
      <c r="L20" s="1">
        <f ca="1">IFERROR(__xludf.DUMMYFUNCTION("if(L$2="""","""", index(GOOGLEFINANCE($B$20,""close"",L$2,TODAY()),2,2))"),124.13)</f>
        <v>124.13</v>
      </c>
      <c r="M20" s="1">
        <f ca="1">IFERROR(__xludf.DUMMYFUNCTION("if(M$2="""","""", index(GOOGLEFINANCE($B$20,""close"",M$2,TODAY()),2,2))"),124.5)</f>
        <v>124.5</v>
      </c>
      <c r="N20" s="1">
        <f ca="1">IFERROR(__xludf.DUMMYFUNCTION("if(N$2="""","""", index(GOOGLEFINANCE($B$20,""close"",N$2,TODAY()),2,2))"),120.2)</f>
        <v>120.2</v>
      </c>
      <c r="O20" s="1">
        <f ca="1">IFERROR(__xludf.DUMMYFUNCTION("if(O$2="""","""", index(GOOGLEFINANCE($B$20,""close"",O$2,TODAY()),2,2))"),117.65)</f>
        <v>117.65</v>
      </c>
      <c r="P20" s="1">
        <f ca="1">IFERROR(__xludf.DUMMYFUNCTION("if(P$2="""","""", index(GOOGLEFINANCE($B$20,""close"",P$2,TODAY()),2,2))"),115.61)</f>
        <v>115.61</v>
      </c>
      <c r="Q20" s="1">
        <f ca="1">IFERROR(__xludf.DUMMYFUNCTION("if(Q$2="""","""", index(GOOGLEFINANCE($B$20,""close"",Q$2,TODAY()),2,2))"),116.76)</f>
        <v>116.76</v>
      </c>
      <c r="R20" s="1">
        <f ca="1">IFERROR(__xludf.DUMMYFUNCTION("if(R$2="""","""", index(GOOGLEFINANCE($B$20,""close"",R$2,TODAY()),2,2))"),116.77)</f>
        <v>116.77</v>
      </c>
      <c r="S20" s="1">
        <f ca="1">IFERROR(__xludf.DUMMYFUNCTION("if(S$2="""","""", index(GOOGLEFINANCE($B$20,""close"",S$2,TODAY()),2,2))"),116.01)</f>
        <v>116.01</v>
      </c>
      <c r="T20" s="1">
        <f ca="1">IFERROR(__xludf.DUMMYFUNCTION("if(T$2="""","""", index(GOOGLEFINANCE($B$20,""close"",T$2,TODAY()),2,2))"),112.49)</f>
        <v>112.49</v>
      </c>
      <c r="U20" s="1">
        <f ca="1">IFERROR(__xludf.DUMMYFUNCTION("if(U$2="""","""", index(GOOGLEFINANCE($B$20,""close"",U$2,TODAY()),2,2))"),111.87)</f>
        <v>111.87</v>
      </c>
      <c r="V20" s="1">
        <f ca="1">IFERROR(__xludf.DUMMYFUNCTION("if(V$2="""","""", index(GOOGLEFINANCE($B$20,""close"",V$2,TODAY()),2,2))"),113.81)</f>
        <v>113.81</v>
      </c>
      <c r="W20" s="1">
        <f ca="1">IFERROR(__xludf.DUMMYFUNCTION("if(W$2="""","""", index(GOOGLEFINANCE($B$20,""close"",W$2,TODAY()),2,2))"),115.92)</f>
        <v>115.92</v>
      </c>
      <c r="X20" s="1">
        <f ca="1">IFERROR(__xludf.DUMMYFUNCTION("if(X$2="""","""", index(GOOGLEFINANCE($B$20,""close"",X$2,TODAY()),2,2))"),113.7)</f>
        <v>113.7</v>
      </c>
      <c r="Y20" s="1">
        <f ca="1">IFERROR(__xludf.DUMMYFUNCTION("if(Y$2="""","""", index(GOOGLEFINANCE($B$20,""close"",Y$2,TODAY()),2,2))"),112.53)</f>
        <v>112.53</v>
      </c>
      <c r="Z20" s="1">
        <f ca="1">IFERROR(__xludf.DUMMYFUNCTION("if(Z$2="""","""", index(GOOGLEFINANCE($B$20,""close"",Z$2,TODAY()),2,2))"),114.15)</f>
        <v>114.15</v>
      </c>
      <c r="AA20" s="1">
        <f ca="1">IFERROR(__xludf.DUMMYFUNCTION("if(AA$2="""","""", index(GOOGLEFINANCE($B$20,""close"",AA$2,TODAY()),2,2))"),112.21)</f>
        <v>112.21</v>
      </c>
      <c r="AB20" s="1">
        <f ca="1">IFERROR(__xludf.DUMMYFUNCTION("if(AB$2="""","""", index(GOOGLEFINANCE($B$20,""close"",AB$2,TODAY()),2,2))"),114.05)</f>
        <v>114.05</v>
      </c>
      <c r="AC20" s="1">
        <f ca="1">IFERROR(__xludf.DUMMYFUNCTION("if(AC$2="""","""", index(GOOGLEFINANCE($B$20,""close"",AC$2,TODAY()),2,2))"),115.55)</f>
        <v>115.55</v>
      </c>
      <c r="AD20" s="1">
        <f ca="1">IFERROR(__xludf.DUMMYFUNCTION("if(AD$2="""","""", index(GOOGLEFINANCE($B$20,""close"",AD$2,TODAY()),2,2))"),115.83)</f>
        <v>115.83</v>
      </c>
      <c r="AE20" s="1">
        <f ca="1">IFERROR(__xludf.DUMMYFUNCTION("if(AE$2="""","""", index(GOOGLEFINANCE($B$20,""close"",AE$2,TODAY()),2,2))"),115.29)</f>
        <v>115.29</v>
      </c>
      <c r="AF20" s="1">
        <f ca="1">IFERROR(__xludf.DUMMYFUNCTION("if(AF$2="""","""", index(GOOGLEFINANCE($B$20,""close"",AF$2,TODAY()),2,2))"),113.72)</f>
        <v>113.72</v>
      </c>
      <c r="AG20" s="1">
        <f ca="1">IFERROR(__xludf.DUMMYFUNCTION("if(AG$2="""","""", index(GOOGLEFINANCE($B$20,""close"",AG$2,TODAY()),2,2))"),115.42)</f>
        <v>115.42</v>
      </c>
      <c r="AH20" s="1">
        <f ca="1">IFERROR(__xludf.DUMMYFUNCTION("if(AH$2="""","""", index(GOOGLEFINANCE($B$20,""close"",AH$2,TODAY()),2,2))"),116.3)</f>
        <v>116.3</v>
      </c>
      <c r="AI20" s="1">
        <f ca="1">IFERROR(__xludf.DUMMYFUNCTION("if(AI$2="""","""", index(GOOGLEFINANCE($B$20,""close"",AI$2,TODAY()),2,2))"),113.16)</f>
        <v>113.16</v>
      </c>
      <c r="AJ20" s="1">
        <f ca="1">IFERROR(__xludf.DUMMYFUNCTION("if(AJ$2="""","""", index(GOOGLEFINANCE($B$20,""close"",AJ$2,TODAY()),2,2))"),111.16)</f>
        <v>111.16</v>
      </c>
      <c r="AK20" s="1">
        <f ca="1">IFERROR(__xludf.DUMMYFUNCTION("if(AK$2="""","""", index(GOOGLEFINANCE($B$20,""close"",AK$2,TODAY()),2,2))"),108.24)</f>
        <v>108.24</v>
      </c>
      <c r="AL20" s="1">
        <f ca="1">IFERROR(__xludf.DUMMYFUNCTION("if(AL$2="""","""", index(GOOGLEFINANCE($B$20,""close"",AL$2,TODAY()),2,2))"),105.32)</f>
        <v>105.32</v>
      </c>
      <c r="AM20" s="1">
        <f ca="1">IFERROR(__xludf.DUMMYFUNCTION("if(AM$2="""","""", index(GOOGLEFINANCE($B$20,""close"",AM$2,TODAY()),2,2))"),105.23)</f>
        <v>105.23</v>
      </c>
      <c r="AN20" s="1">
        <f ca="1">IFERROR(__xludf.DUMMYFUNCTION("if(AN$2="""","""", index(GOOGLEFINANCE($B$20,""close"",AN$2,TODAY()),2,2))"),108.32)</f>
        <v>108.32</v>
      </c>
      <c r="AO20" s="1">
        <f ca="1">IFERROR(__xludf.DUMMYFUNCTION("if(AO$2="""","""", index(GOOGLEFINANCE($B$20,""close"",AO$2,TODAY()),2,2))"),111.04)</f>
        <v>111.04</v>
      </c>
      <c r="AP20" s="1">
        <f ca="1">IFERROR(__xludf.DUMMYFUNCTION("if(AP$2="""","""", index(GOOGLEFINANCE($B$20,""close"",AP$2,TODAY()),2,2))"),106.82)</f>
        <v>106.82</v>
      </c>
      <c r="AQ20" s="1">
        <f ca="1">IFERROR(__xludf.DUMMYFUNCTION("if(AQ$2="""","""", index(GOOGLEFINANCE($B$20,""close"",AQ$2,TODAY()),2,2))"),109.92)</f>
        <v>109.92</v>
      </c>
      <c r="AR20" s="1">
        <f ca="1">IFERROR(__xludf.DUMMYFUNCTION("if(AR$2="""","""", index(GOOGLEFINANCE($B$20,""close"",AR$2,TODAY()),2,2))"),109.69)</f>
        <v>109.69</v>
      </c>
      <c r="AS20" s="1">
        <f ca="1">IFERROR(__xludf.DUMMYFUNCTION("if(AS$2="""","""", index(GOOGLEFINANCE($B$20,""close"",AS$2,TODAY()),2,2))"),106.3)</f>
        <v>106.3</v>
      </c>
      <c r="AT20" s="1">
        <f ca="1">IFERROR(__xludf.DUMMYFUNCTION("if(AT$2="""","""", index(GOOGLEFINANCE($B$20,""close"",AT$2,TODAY()),2,2))"),102.53)</f>
        <v>102.53</v>
      </c>
      <c r="AU20" s="1">
        <f ca="1">IFERROR(__xludf.DUMMYFUNCTION("if(AU$2="""","""", index(GOOGLEFINANCE($B$20,""close"",AU$2,TODAY()),2,2))"),105.15)</f>
        <v>105.15</v>
      </c>
      <c r="AV20" s="1">
        <f ca="1">IFERROR(__xludf.DUMMYFUNCTION("if(AV$2="""","""", index(GOOGLEFINANCE($B$20,""close"",AV$2,TODAY()),2,2))"),107.25)</f>
        <v>107.25</v>
      </c>
      <c r="AW20" s="1">
        <f ca="1">IFERROR(__xludf.DUMMYFUNCTION("if(AW$2="""","""", index(GOOGLEFINANCE($B$20,""close"",AW$2,TODAY()),2,2))"),107.6)</f>
        <v>107.6</v>
      </c>
      <c r="AX20" s="1">
        <f ca="1">IFERROR(__xludf.DUMMYFUNCTION("if(AX$2="""","""", index(GOOGLEFINANCE($B$20,""close"",AX$2,TODAY()),2,2))"),106.85)</f>
        <v>106.85</v>
      </c>
      <c r="AY20" s="1">
        <f ca="1">IFERROR(__xludf.DUMMYFUNCTION("if(AY$2="""","""", index(GOOGLEFINANCE($B$20,""close"",AY$2,TODAY()),2,2))"),106.23)</f>
        <v>106.23</v>
      </c>
      <c r="AZ20" s="1">
        <f ca="1">IFERROR(__xludf.DUMMYFUNCTION("if(AZ$2="""","""", index(GOOGLEFINANCE($B$20,""close"",AZ$2,TODAY()),2,2))"),108.52)</f>
        <v>108.52</v>
      </c>
      <c r="BA20" s="1">
        <f ca="1">IFERROR(__xludf.DUMMYFUNCTION("if(BA$2="""","""", index(GOOGLEFINANCE($B$20,""close"",BA$2,TODAY()),2,2))"),109.35)</f>
        <v>109.35</v>
      </c>
      <c r="BB20" s="1">
        <f ca="1">IFERROR(__xludf.DUMMYFUNCTION("if(BB$2="""","""", index(GOOGLEFINANCE($B$20,""close"",BB$2,TODAY()),2,2))"),109.15)</f>
        <v>109.15</v>
      </c>
      <c r="BC20" s="1">
        <f ca="1">IFERROR(__xludf.DUMMYFUNCTION("if(BC$2="""","""", index(GOOGLEFINANCE($B$20,""close"",BC$2,TODAY()),2,2))"),109.46)</f>
        <v>109.46</v>
      </c>
      <c r="BD20" s="1">
        <f ca="1">IFERROR(__xludf.DUMMYFUNCTION("if(BD$2="""","""", index(GOOGLEFINANCE($B$20,""close"",BD$2,TODAY()),2,2))"),109.16)</f>
        <v>109.16</v>
      </c>
      <c r="BE20" s="1">
        <f ca="1">IFERROR(__xludf.DUMMYFUNCTION("if(BE$2="""","""", index(GOOGLEFINANCE($B$20,""close"",BE$2,TODAY()),2,2))"),107.84)</f>
        <v>107.84</v>
      </c>
      <c r="BF20" s="1">
        <f ca="1">IFERROR(__xludf.DUMMYFUNCTION("if(BF$2="""","""", index(GOOGLEFINANCE($B$20,""close"",BF$2,TODAY()),2,2))"),106.19)</f>
        <v>106.19</v>
      </c>
      <c r="BG20" s="1">
        <f ca="1">IFERROR(__xludf.DUMMYFUNCTION("if(BG$2="""","""", index(GOOGLEFINANCE($B$20,""close"",BG$2,TODAY()),2,2))"),107.23)</f>
        <v>107.23</v>
      </c>
      <c r="BH20" s="1">
        <f ca="1">IFERROR(__xludf.DUMMYFUNCTION("if(BH$2="""","""", index(GOOGLEFINANCE($B$20,""close"",BH$2,TODAY()),2,2))"),107.54)</f>
        <v>107.54</v>
      </c>
      <c r="BI20" s="1">
        <f ca="1">IFERROR(__xludf.DUMMYFUNCTION("if(BI$2="""","""", index(GOOGLEFINANCE($B$20,""close"",BI$2,TODAY()),2,2))"),106.05)</f>
        <v>106.05</v>
      </c>
      <c r="BJ20" s="1">
        <f ca="1">IFERROR(__xludf.DUMMYFUNCTION("if(BJ$2="""","""", index(GOOGLEFINANCE($B$20,""close"",BJ$2,TODAY()),2,2))"),108.81)</f>
        <v>108.81</v>
      </c>
      <c r="BK20" s="1">
        <f ca="1">IFERROR(__xludf.DUMMYFUNCTION("if(BK$2="""","""", index(GOOGLEFINANCE($B$20,""close"",BK$2,TODAY()),2,2))"),106.52)</f>
        <v>106.52</v>
      </c>
      <c r="BL20" s="1">
        <f ca="1">IFERROR(__xludf.DUMMYFUNCTION("if(BL$2="""","""", index(GOOGLEFINANCE($B$20,""close"",BL$2,TODAY()),2,2))"),100.65)</f>
        <v>100.65</v>
      </c>
      <c r="BM20" s="1">
        <f ca="1">IFERROR(__xludf.DUMMYFUNCTION("if(BM$2="""","""", index(GOOGLEFINANCE($B$20,""close"",BM$2,TODAY()),2,2))"),99.43)</f>
        <v>99.43</v>
      </c>
      <c r="BN20" s="1">
        <f ca="1">IFERROR(__xludf.DUMMYFUNCTION("if(BN$2="""","""", index(GOOGLEFINANCE($B$20,""close"",BN$2,TODAY()),2,2))"),101.47)</f>
        <v>101.47</v>
      </c>
      <c r="BO20" s="1">
        <f ca="1">IFERROR(__xludf.DUMMYFUNCTION("if(BO$2="""","""", index(GOOGLEFINANCE($B$20,""close"",BO$2,TODAY()),2,2))"),98.79)</f>
        <v>98.79</v>
      </c>
      <c r="BP20" s="1">
        <f ca="1">IFERROR(__xludf.DUMMYFUNCTION("if(BP$2="""","""", index(GOOGLEFINANCE($B$20,""close"",BP$2,TODAY()),2,2))"),96.74)</f>
        <v>96.74</v>
      </c>
      <c r="BQ20" s="1">
        <f ca="1">IFERROR(__xludf.DUMMYFUNCTION("if(BQ$2="""","""", index(GOOGLEFINANCE($B$20,""close"",BQ$2,TODAY()),2,2))"),95.5)</f>
        <v>95.5</v>
      </c>
      <c r="BR20" s="1">
        <f ca="1">IFERROR(__xludf.DUMMYFUNCTION("if(BR$2="""","""", index(GOOGLEFINANCE($B$20,""close"",BR$2,TODAY()),2,2))"),93.88)</f>
        <v>93.88</v>
      </c>
      <c r="BS20" s="1">
        <f ca="1">IFERROR(__xludf.DUMMYFUNCTION("if(BS$2="""","""", index(GOOGLEFINANCE($B$20,""close"",BS$2,TODAY()),2,2))"),94.49)</f>
        <v>94.49</v>
      </c>
      <c r="BT20" s="1">
        <f ca="1">IFERROR(__xludf.DUMMYFUNCTION("if(BT$2="""","""", index(GOOGLEFINANCE($B$20,""close"",BT$2,TODAY()),2,2))"),94.33)</f>
        <v>94.33</v>
      </c>
      <c r="BU20" s="1">
        <f ca="1">IFERROR(__xludf.DUMMYFUNCTION("if(BU$2="""","""", index(GOOGLEFINANCE($B$20,""close"",BU$2,TODAY()),2,2))"),96.86)</f>
        <v>96.86</v>
      </c>
      <c r="BV20" s="1">
        <f ca="1">IFERROR(__xludf.DUMMYFUNCTION("if(BV$2="""","""", index(GOOGLEFINANCE($B$20,""close"",BV$2,TODAY()),2,2))"),97.47)</f>
        <v>97.47</v>
      </c>
      <c r="BW20" s="1">
        <f ca="1">IFERROR(__xludf.DUMMYFUNCTION("if(BW$2="""","""", index(GOOGLEFINANCE($B$20,""close"",BW$2,TODAY()),2,2))"),96.83)</f>
        <v>96.83</v>
      </c>
      <c r="BX20" s="1">
        <f ca="1">IFERROR(__xludf.DUMMYFUNCTION("if(BX$2="""","""", index(GOOGLEFINANCE($B$20,""close"",BX$2,TODAY()),2,2))"),99.5)</f>
        <v>99.5</v>
      </c>
      <c r="BY20" s="1">
        <f ca="1">IFERROR(__xludf.DUMMYFUNCTION("if(BY$2="""","""", index(GOOGLEFINANCE($B$20,""close"",BY$2,TODAY()),2,2))"),99.66)</f>
        <v>99.66</v>
      </c>
      <c r="BZ20" s="1">
        <f ca="1">IFERROR(__xludf.DUMMYFUNCTION("if(BZ$2="""","""", index(GOOGLEFINANCE($B$20,""close"",BZ$2,TODAY()),2,2))"),99.21)</f>
        <v>99.21</v>
      </c>
      <c r="CA20" s="1">
        <f ca="1">IFERROR(__xludf.DUMMYFUNCTION("if(CA$2="""","""", index(GOOGLEFINANCE($B$20,""close"",CA$2,TODAY()),2,2))"),97.38)</f>
        <v>97.38</v>
      </c>
      <c r="CB20" s="1">
        <f ca="1">IFERROR(__xludf.DUMMYFUNCTION("if(CB$2="""","""", index(GOOGLEFINANCE($B$20,""close"",CB$2,TODAY()),2,2))"),98.4)</f>
        <v>98.4</v>
      </c>
      <c r="CC20" s="1">
        <f ca="1">IFERROR(__xludf.DUMMYFUNCTION("if(CC$2="""","""", index(GOOGLEFINANCE($B$20,""close"",CC$2,TODAY()),2,2))"),94.36)</f>
        <v>94.36</v>
      </c>
      <c r="CD20" s="1">
        <f ca="1">IFERROR(__xludf.DUMMYFUNCTION("if(CD$2="""","""", index(GOOGLEFINANCE($B$20,""close"",CD$2,TODAY()),2,2))"),94.28)</f>
        <v>94.28</v>
      </c>
      <c r="CE20" s="1">
        <f ca="1">IFERROR(__xludf.DUMMYFUNCTION("if(CE$2="""","""", index(GOOGLEFINANCE($B$20,""close"",CE$2,TODAY()),2,2))"),94.09)</f>
        <v>94.09</v>
      </c>
      <c r="CF20" s="1">
        <f ca="1">IFERROR(__xludf.DUMMYFUNCTION("if(CF$2="""","""", index(GOOGLEFINANCE($B$20,""close"",CF$2,TODAY()),2,2))"),92.44)</f>
        <v>92.44</v>
      </c>
      <c r="CG20" s="1">
        <f ca="1">IFERROR(__xludf.DUMMYFUNCTION("if(CG$2="""","""", index(GOOGLEFINANCE($B$20,""close"",CG$2,TODAY()),2,2))"),93.99)</f>
        <v>93.99</v>
      </c>
      <c r="CH20" s="1">
        <f ca="1">IFERROR(__xludf.DUMMYFUNCTION("if(CH$2="""","""", index(GOOGLEFINANCE($B$20,""close"",CH$2,TODAY()),2,2))"),94.56)</f>
        <v>94.56</v>
      </c>
      <c r="CI20" s="1">
        <f ca="1">IFERROR(__xludf.DUMMYFUNCTION("if(CI$2="""","""", index(GOOGLEFINANCE($B$20,""close"",CI$2,TODAY()),2,2))"),97.89)</f>
        <v>97.89</v>
      </c>
      <c r="CJ20" s="1" t="str">
        <f ca="1">IFERROR(__xludf.DUMMYFUNCTION("if(CJ$2="""","""", index(GOOGLEFINANCE($B$20,""close"",CJ$2,TODAY()),2,2))"),"")</f>
        <v/>
      </c>
      <c r="CK20" s="1" t="str">
        <f ca="1">IFERROR(__xludf.DUMMYFUNCTION("if(CK$2="""","""", index(GOOGLEFINANCE($B$20,""close"",CK$2,TODAY()),2,2))"),"")</f>
        <v/>
      </c>
      <c r="CL20" s="1" t="str">
        <f ca="1">IFERROR(__xludf.DUMMYFUNCTION("if(CL$2="""","""", index(GOOGLEFINANCE($B$20,""close"",CL$2,TODAY()),2,2))"),"")</f>
        <v/>
      </c>
      <c r="CM20" s="1" t="str">
        <f ca="1">IFERROR(__xludf.DUMMYFUNCTION("if(CM$2="""","""", index(GOOGLEFINANCE($B$20,""close"",CM$2,TODAY()),2,2))"),"")</f>
        <v/>
      </c>
      <c r="CN20" s="1" t="str">
        <f ca="1">IFERROR(__xludf.DUMMYFUNCTION("if(CN$2="""","""", index(GOOGLEFINANCE($B$20,""close"",CN$2,TODAY()),2,2))"),"")</f>
        <v/>
      </c>
      <c r="CO20" s="1" t="str">
        <f ca="1">IFERROR(__xludf.DUMMYFUNCTION("if(CO$2="""","""", index(GOOGLEFINANCE($B$20,""close"",CO$2,TODAY()),2,2))"),"")</f>
        <v/>
      </c>
      <c r="CP20" s="1" t="str">
        <f ca="1">IFERROR(__xludf.DUMMYFUNCTION("if(CP$2="""","""", index(GOOGLEFINANCE($B$20,""close"",CP$2,TODAY()),2,2))"),"")</f>
        <v/>
      </c>
      <c r="CQ20" s="1" t="str">
        <f ca="1">IFERROR(__xludf.DUMMYFUNCTION("if(CQ$2="""","""", index(GOOGLEFINANCE($B$20,""close"",CQ$2,TODAY()),2,2))"),"")</f>
        <v/>
      </c>
      <c r="CR20" s="1" t="str">
        <f ca="1">IFERROR(__xludf.DUMMYFUNCTION("if(CR$2="""","""", index(GOOGLEFINANCE($B$20,""close"",CR$2,TODAY()),2,2))"),"")</f>
        <v/>
      </c>
      <c r="CS20" s="1" t="str">
        <f ca="1">IFERROR(__xludf.DUMMYFUNCTION("if(CS$2="""","""", index(GOOGLEFINANCE($B$20,""close"",CS$2,TODAY()),2,2))"),"")</f>
        <v/>
      </c>
      <c r="CT20" s="1" t="str">
        <f ca="1">IFERROR(__xludf.DUMMYFUNCTION("if(CT$2="""","""", index(GOOGLEFINANCE($B$20,""close"",CT$2,TODAY()),2,2))"),"")</f>
        <v/>
      </c>
      <c r="CU20" s="1" t="str">
        <f ca="1">IFERROR(__xludf.DUMMYFUNCTION("if(CU$2="""","""", index(GOOGLEFINANCE($B$20,""close"",CU$2,TODAY()),2,2))"),"")</f>
        <v/>
      </c>
      <c r="CV20" s="1" t="str">
        <f ca="1">IFERROR(__xludf.DUMMYFUNCTION("if(CV$2="""","""", index(GOOGLEFINANCE($B$20,""close"",CV$2,TODAY()),2,2))"),"")</f>
        <v/>
      </c>
      <c r="CW20" s="1" t="str">
        <f ca="1">IFERROR(__xludf.DUMMYFUNCTION("if(CW$2="""","""", index(GOOGLEFINANCE($B$20,""close"",CW$2,TODAY()),2,2))"),"")</f>
        <v/>
      </c>
      <c r="CX20" s="1" t="str">
        <f ca="1">IFERROR(__xludf.DUMMYFUNCTION("if(CX$2="""","""", index(GOOGLEFINANCE($B$20,""close"",CX$2,TODAY()),2,2))"),"")</f>
        <v/>
      </c>
      <c r="CY20" s="1" t="str">
        <f ca="1">IFERROR(__xludf.DUMMYFUNCTION("if(CY$2="""","""", index(GOOGLEFINANCE($B$20,""close"",CY$2,TODAY()),2,2))"),"")</f>
        <v/>
      </c>
      <c r="CZ20" s="1" t="str">
        <f ca="1">IFERROR(__xludf.DUMMYFUNCTION("if(CZ$2="""","""", index(GOOGLEFINANCE($B$20,""close"",CZ$2,TODAY()),2,2))"),"")</f>
        <v/>
      </c>
      <c r="DA20" s="1" t="str">
        <f ca="1">IFERROR(__xludf.DUMMYFUNCTION("if(DA$2="""","""", index(GOOGLEFINANCE($B$20,""close"",DA$2,TODAY()),2,2))"),"")</f>
        <v/>
      </c>
      <c r="DB20" s="1" t="str">
        <f ca="1">IFERROR(__xludf.DUMMYFUNCTION("if(DB$2="""","""", index(GOOGLEFINANCE($B$20,""close"",DB$2,TODAY()),2,2))"),"")</f>
        <v/>
      </c>
      <c r="DC20" s="1" t="str">
        <f ca="1">IFERROR(__xludf.DUMMYFUNCTION("if(DC$2="""","""", index(GOOGLEFINANCE($B$20,""close"",DC$2,TODAY()),2,2))"),"")</f>
        <v/>
      </c>
      <c r="DD20" s="1" t="str">
        <f ca="1">IFERROR(__xludf.DUMMYFUNCTION("if(DD$2="""","""", index(GOOGLEFINANCE($B$20,""close"",DD$2,TODAY()),2,2))"),"")</f>
        <v/>
      </c>
      <c r="DE20" s="1" t="str">
        <f ca="1">IFERROR(__xludf.DUMMYFUNCTION("if(DE$2="""","""", index(GOOGLEFINANCE($B$20,""close"",DE$2,TODAY()),2,2))"),"")</f>
        <v/>
      </c>
      <c r="DF20" s="1" t="str">
        <f ca="1">IFERROR(__xludf.DUMMYFUNCTION("if(DF$2="""","""", index(GOOGLEFINANCE($B$20,""close"",DF$2,TODAY()),2,2))"),"")</f>
        <v/>
      </c>
      <c r="DG20" s="1" t="str">
        <f ca="1">IFERROR(__xludf.DUMMYFUNCTION("if(DG$2="""","""", index(GOOGLEFINANCE($B$20,""close"",DG$2,TODAY()),2,2))"),"")</f>
        <v/>
      </c>
      <c r="DH20" s="1" t="str">
        <f ca="1">IFERROR(__xludf.DUMMYFUNCTION("if(DH$2="""","""", index(GOOGLEFINANCE($B$20,""close"",DH$2,TODAY()),2,2))"),"")</f>
        <v/>
      </c>
      <c r="DI20" s="1" t="str">
        <f ca="1">IFERROR(__xludf.DUMMYFUNCTION("if(DI$2="""","""", index(GOOGLEFINANCE($B$20,""close"",DI$2,TODAY()),2,2))"),"")</f>
        <v/>
      </c>
      <c r="DJ20" s="1" t="str">
        <f ca="1">IFERROR(__xludf.DUMMYFUNCTION("if(DJ$2="""","""", index(GOOGLEFINANCE($B$20,""close"",DJ$2,TODAY()),2,2))"),"")</f>
        <v/>
      </c>
      <c r="DK20" s="1" t="str">
        <f ca="1">IFERROR(__xludf.DUMMYFUNCTION("if(DK$2="""","""", index(GOOGLEFINANCE($B$20,""close"",DK$2,TODAY()),2,2))"),"")</f>
        <v/>
      </c>
      <c r="DL20" s="1" t="str">
        <f ca="1">IFERROR(__xludf.DUMMYFUNCTION("if(DL$2="""","""", index(GOOGLEFINANCE($B$20,""close"",DL$2,TODAY()),2,2))"),"")</f>
        <v/>
      </c>
      <c r="DM20" s="1" t="str">
        <f ca="1">IFERROR(__xludf.DUMMYFUNCTION("if(DM$2="""","""", index(GOOGLEFINANCE($B$20,""close"",DM$2,TODAY()),2,2))"),"")</f>
        <v/>
      </c>
      <c r="DN20" s="1" t="str">
        <f ca="1">IFERROR(__xludf.DUMMYFUNCTION("if(DN$2="""","""", index(GOOGLEFINANCE($B$20,""close"",DN$2,TODAY()),2,2))"),"")</f>
        <v/>
      </c>
      <c r="DO20" s="1" t="str">
        <f ca="1">IFERROR(__xludf.DUMMYFUNCTION("if(DO$2="""","""", index(GOOGLEFINANCE($B$20,""close"",DO$2,TODAY()),2,2))"),"")</f>
        <v/>
      </c>
      <c r="DP20" s="1" t="str">
        <f ca="1">IFERROR(__xludf.DUMMYFUNCTION("if(DP$2="""","""", index(GOOGLEFINANCE($B$20,""close"",DP$2,TODAY()),2,2))"),"")</f>
        <v/>
      </c>
      <c r="DQ20" s="1" t="str">
        <f ca="1">IFERROR(__xludf.DUMMYFUNCTION("if(DQ$2="""","""", index(GOOGLEFINANCE($B$20,""close"",DQ$2,TODAY()),2,2))"),"")</f>
        <v/>
      </c>
      <c r="DR20" s="1" t="str">
        <f ca="1">IFERROR(__xludf.DUMMYFUNCTION("if(DR$2="""","""", index(GOOGLEFINANCE($B$20,""close"",DR$2,TODAY()),2,2))"),"")</f>
        <v/>
      </c>
      <c r="DS20" s="1" t="str">
        <f ca="1">IFERROR(__xludf.DUMMYFUNCTION("if(DS$2="""","""", index(GOOGLEFINANCE($B$20,""close"",DS$2,TODAY()),2,2))"),"")</f>
        <v/>
      </c>
      <c r="DT20" s="1" t="str">
        <f ca="1">IFERROR(__xludf.DUMMYFUNCTION("if(DT$2="""","""", index(GOOGLEFINANCE($B$20,""close"",DT$2,TODAY()),2,2))"),"")</f>
        <v/>
      </c>
      <c r="DU20" s="1" t="str">
        <f ca="1">IFERROR(__xludf.DUMMYFUNCTION("if(DU$2="""","""", index(GOOGLEFINANCE($B$20,""close"",DU$2,TODAY()),2,2))"),"")</f>
        <v/>
      </c>
      <c r="DV20" s="1" t="str">
        <f ca="1">IFERROR(__xludf.DUMMYFUNCTION("if(DV$2="""","""", index(GOOGLEFINANCE($B$20,""close"",DV$2,TODAY()),2,2))"),"")</f>
        <v/>
      </c>
      <c r="DW20" s="1" t="str">
        <f ca="1">IFERROR(__xludf.DUMMYFUNCTION("if(DW$2="""","""", index(GOOGLEFINANCE($B$20,""close"",DW$2,TODAY()),2,2))"),"")</f>
        <v/>
      </c>
      <c r="DX20" s="1" t="str">
        <f ca="1">IFERROR(__xludf.DUMMYFUNCTION("if(DX$2="""","""", index(GOOGLEFINANCE($B$20,""close"",DX$2,TODAY()),2,2))"),"")</f>
        <v/>
      </c>
      <c r="DY20" s="1" t="str">
        <f ca="1">IFERROR(__xludf.DUMMYFUNCTION("if(DY$2="""","""", index(GOOGLEFINANCE($B$20,""close"",DY$2,TODAY()),2,2))"),"")</f>
        <v/>
      </c>
      <c r="DZ20" s="1" t="str">
        <f ca="1">IFERROR(__xludf.DUMMYFUNCTION("if(DZ$2="""","""", index(GOOGLEFINANCE($B$20,""close"",DZ$2,TODAY()),2,2))"),"")</f>
        <v/>
      </c>
      <c r="EA20" s="1" t="str">
        <f ca="1">IFERROR(__xludf.DUMMYFUNCTION("if(EA$2="""","""", index(GOOGLEFINANCE($B$20,""close"",EA$2,TODAY()),2,2))"),"")</f>
        <v/>
      </c>
      <c r="EB20" s="1" t="str">
        <f ca="1">IFERROR(__xludf.DUMMYFUNCTION("if(EB$2="""","""", index(GOOGLEFINANCE($B$20,""close"",EB$2,TODAY()),2,2))"),"")</f>
        <v/>
      </c>
      <c r="EC20" s="1" t="str">
        <f ca="1">IFERROR(__xludf.DUMMYFUNCTION("if(EC$2="""","""", index(GOOGLEFINANCE($B$20,""close"",EC$2,TODAY()),2,2))"),"")</f>
        <v/>
      </c>
      <c r="ED20" s="1" t="str">
        <f ca="1">IFERROR(__xludf.DUMMYFUNCTION("if(ED$2="""","""", index(GOOGLEFINANCE($B$20,""close"",ED$2,TODAY()),2,2))"),"")</f>
        <v/>
      </c>
      <c r="EE20" s="1" t="str">
        <f ca="1">IFERROR(__xludf.DUMMYFUNCTION("if(EE$2="""","""", index(GOOGLEFINANCE($B$20,""close"",EE$2,TODAY()),2,2))"),"")</f>
        <v/>
      </c>
      <c r="EF20" s="1" t="str">
        <f ca="1">IFERROR(__xludf.DUMMYFUNCTION("if(EF$2="""","""", index(GOOGLEFINANCE($B$20,""close"",EF$2,TODAY()),2,2))"),"")</f>
        <v/>
      </c>
      <c r="EG20" s="1" t="str">
        <f ca="1">IFERROR(__xludf.DUMMYFUNCTION("if(EG$2="""","""", index(GOOGLEFINANCE($B$20,""close"",EG$2,TODAY()),2,2))"),"")</f>
        <v/>
      </c>
      <c r="EH20" s="1" t="str">
        <f ca="1">IFERROR(__xludf.DUMMYFUNCTION("if(EH$2="""","""", index(GOOGLEFINANCE($B$20,""close"",EH$2,TODAY()),2,2))"),"")</f>
        <v/>
      </c>
      <c r="EI20" s="1" t="str">
        <f ca="1">IFERROR(__xludf.DUMMYFUNCTION("if(EI$2="""","""", index(GOOGLEFINANCE($B$20,""close"",EI$2,TODAY()),2,2))"),"")</f>
        <v/>
      </c>
      <c r="EJ20" s="1" t="str">
        <f ca="1">IFERROR(__xludf.DUMMYFUNCTION("if(EJ$2="""","""", index(GOOGLEFINANCE($B$20,""close"",EJ$2,TODAY()),2,2))"),"")</f>
        <v/>
      </c>
      <c r="EK20" s="1" t="str">
        <f ca="1">IFERROR(__xludf.DUMMYFUNCTION("if(EK$2="""","""", index(GOOGLEFINANCE($B$20,""close"",EK$2,TODAY()),2,2))"),"")</f>
        <v/>
      </c>
      <c r="EL20" s="1" t="str">
        <f ca="1">IFERROR(__xludf.DUMMYFUNCTION("if(EL$2="""","""", index(GOOGLEFINANCE($B$20,""close"",EL$2,TODAY()),2,2))"),"")</f>
        <v/>
      </c>
      <c r="EM20" s="1" t="str">
        <f ca="1">IFERROR(__xludf.DUMMYFUNCTION("if(EM$2="""","""", index(GOOGLEFINANCE($B$20,""close"",EM$2,TODAY()),2,2))"),"")</f>
        <v/>
      </c>
      <c r="EN20" s="1" t="str">
        <f ca="1">IFERROR(__xludf.DUMMYFUNCTION("if(EN$2="""","""", index(GOOGLEFINANCE($B$20,""close"",EN$2,TODAY()),2,2))"),"")</f>
        <v/>
      </c>
      <c r="EO20" s="1" t="str">
        <f ca="1">IFERROR(__xludf.DUMMYFUNCTION("if(EO$2="""","""", index(GOOGLEFINANCE($B$20,""close"",EO$2,TODAY()),2,2))"),"")</f>
        <v/>
      </c>
      <c r="EP20" s="1" t="str">
        <f ca="1">IFERROR(__xludf.DUMMYFUNCTION("if(EP$2="""","""", index(GOOGLEFINANCE($B$20,""close"",EP$2,TODAY()),2,2))"),"")</f>
        <v/>
      </c>
      <c r="EQ20" s="1" t="str">
        <f ca="1">IFERROR(__xludf.DUMMYFUNCTION("if(EQ$2="""","""", index(GOOGLEFINANCE($B$20,""close"",EQ$2,TODAY()),2,2))"),"")</f>
        <v/>
      </c>
      <c r="ER20" s="1" t="str">
        <f ca="1">IFERROR(__xludf.DUMMYFUNCTION("if(ER$2="""","""", index(GOOGLEFINANCE($B$20,""close"",ER$2,TODAY()),2,2))"),"")</f>
        <v/>
      </c>
      <c r="ES20" s="1" t="str">
        <f ca="1">IFERROR(__xludf.DUMMYFUNCTION("if(ES$2="""","""", index(GOOGLEFINANCE($B$20,""close"",ES$2,TODAY()),2,2))"),"")</f>
        <v/>
      </c>
      <c r="ET20" s="1" t="str">
        <f ca="1">IFERROR(__xludf.DUMMYFUNCTION("if(ET$2="""","""", index(GOOGLEFINANCE($B$20,""close"",ET$2,TODAY()),2,2))"),"")</f>
        <v/>
      </c>
      <c r="EU20" s="1" t="str">
        <f ca="1">IFERROR(__xludf.DUMMYFUNCTION("if(EU$2="""","""", index(GOOGLEFINANCE($B$20,""close"",EU$2,TODAY()),2,2))"),"")</f>
        <v/>
      </c>
      <c r="EV20" s="1" t="str">
        <f ca="1">IFERROR(__xludf.DUMMYFUNCTION("if(EV$2="""","""", index(GOOGLEFINANCE($B$20,""close"",EV$2,TODAY()),2,2))"),"")</f>
        <v/>
      </c>
      <c r="EW20" s="1" t="str">
        <f ca="1">IFERROR(__xludf.DUMMYFUNCTION("if(EW$2="""","""", index(GOOGLEFINANCE($B$20,""close"",EW$2,TODAY()),2,2))"),"")</f>
        <v/>
      </c>
      <c r="EX20" s="1" t="str">
        <f ca="1">IFERROR(__xludf.DUMMYFUNCTION("if(EX$2="""","""", index(GOOGLEFINANCE($B$20,""close"",EX$2,TODAY()),2,2))"),"")</f>
        <v/>
      </c>
      <c r="EY20" s="1" t="str">
        <f ca="1">IFERROR(__xludf.DUMMYFUNCTION("if(EY$2="""","""", index(GOOGLEFINANCE($B$20,""close"",EY$2,TODAY()),2,2))"),"")</f>
        <v/>
      </c>
      <c r="EZ20" s="1" t="str">
        <f ca="1">IFERROR(__xludf.DUMMYFUNCTION("if(EZ$2="""","""", index(GOOGLEFINANCE($B$20,""close"",EZ$2,TODAY()),2,2))"),"")</f>
        <v/>
      </c>
      <c r="FA20" s="1" t="str">
        <f ca="1">IFERROR(__xludf.DUMMYFUNCTION("if(FA$2="""","""", index(GOOGLEFINANCE($B$20,""close"",FA$2,TODAY()),2,2))"),"")</f>
        <v/>
      </c>
      <c r="FB20" s="1" t="str">
        <f ca="1">IFERROR(__xludf.DUMMYFUNCTION("if(FB$2="""","""", index(GOOGLEFINANCE($B$20,""close"",FB$2,TODAY()),2,2))"),"")</f>
        <v/>
      </c>
      <c r="FC20" s="1" t="str">
        <f ca="1">IFERROR(__xludf.DUMMYFUNCTION("if(FC$2="""","""", index(GOOGLEFINANCE($B$20,""close"",FC$2,TODAY()),2,2))"),"")</f>
        <v/>
      </c>
      <c r="FD20" s="1" t="str">
        <f ca="1">IFERROR(__xludf.DUMMYFUNCTION("if(FD$2="""","""", index(GOOGLEFINANCE($B$20,""close"",FD$2,TODAY()),2,2))"),"")</f>
        <v/>
      </c>
      <c r="FE20" s="1" t="str">
        <f ca="1">IFERROR(__xludf.DUMMYFUNCTION("if(FE$2="""","""", index(GOOGLEFINANCE($B$20,""close"",FE$2,TODAY()),2,2))"),"")</f>
        <v/>
      </c>
      <c r="FF20" s="1" t="str">
        <f ca="1">IFERROR(__xludf.DUMMYFUNCTION("if(FF$2="""","""", index(GOOGLEFINANCE($B$20,""close"",FF$2,TODAY()),2,2))"),"")</f>
        <v/>
      </c>
      <c r="FG20" s="1" t="str">
        <f ca="1">IFERROR(__xludf.DUMMYFUNCTION("if(FG$2="""","""", index(GOOGLEFINANCE($B$20,""close"",FG$2,TODAY()),2,2))"),"")</f>
        <v/>
      </c>
      <c r="FH20" s="1" t="str">
        <f ca="1">IFERROR(__xludf.DUMMYFUNCTION("if(FH$2="""","""", index(GOOGLEFINANCE($B$20,""close"",FH$2,TODAY()),2,2))"),"")</f>
        <v/>
      </c>
      <c r="FI20" s="1" t="str">
        <f ca="1">IFERROR(__xludf.DUMMYFUNCTION("if(FI$2="""","""", index(GOOGLEFINANCE($B$20,""close"",FI$2,TODAY()),2,2))"),"")</f>
        <v/>
      </c>
      <c r="FJ20" s="1" t="str">
        <f ca="1">IFERROR(__xludf.DUMMYFUNCTION("if(FJ$2="""","""", index(GOOGLEFINANCE($B$20,""close"",FJ$2,TODAY()),2,2))"),"")</f>
        <v/>
      </c>
      <c r="FK20" s="1" t="str">
        <f ca="1">IFERROR(__xludf.DUMMYFUNCTION("if(FK$2="""","""", index(GOOGLEFINANCE($B$20,""close"",FK$2,TODAY()),2,2))"),"")</f>
        <v/>
      </c>
      <c r="FL20" s="1" t="str">
        <f ca="1">IFERROR(__xludf.DUMMYFUNCTION("if(FL$2="""","""", index(GOOGLEFINANCE($B$20,""close"",FL$2,TODAY()),2,2))"),"")</f>
        <v/>
      </c>
      <c r="FM20" s="1" t="str">
        <f ca="1">IFERROR(__xludf.DUMMYFUNCTION("if(FM$2="""","""", index(GOOGLEFINANCE($B$20,""close"",FM$2,TODAY()),2,2))"),"")</f>
        <v/>
      </c>
      <c r="FN20" s="1" t="str">
        <f ca="1">IFERROR(__xludf.DUMMYFUNCTION("if(FN$2="""","""", index(GOOGLEFINANCE($B$20,""close"",FN$2,TODAY()),2,2))"),"")</f>
        <v/>
      </c>
      <c r="FO20" s="1" t="str">
        <f ca="1">IFERROR(__xludf.DUMMYFUNCTION("if(FO$2="""","""", index(GOOGLEFINANCE($B$20,""close"",FO$2,TODAY()),2,2))"),"")</f>
        <v/>
      </c>
      <c r="FP20" s="1" t="str">
        <f ca="1">IFERROR(__xludf.DUMMYFUNCTION("if(FP$2="""","""", index(GOOGLEFINANCE($B$20,""close"",FP$2,TODAY()),2,2))"),"")</f>
        <v/>
      </c>
      <c r="FQ20" s="1" t="str">
        <f ca="1">IFERROR(__xludf.DUMMYFUNCTION("if(FQ$2="""","""", index(GOOGLEFINANCE($B$20,""close"",FQ$2,TODAY()),2,2))"),"")</f>
        <v/>
      </c>
      <c r="FR20" s="1" t="str">
        <f ca="1">IFERROR(__xludf.DUMMYFUNCTION("if(FR$2="""","""", index(GOOGLEFINANCE($B$20,""close"",FR$2,TODAY()),2,2))"),"")</f>
        <v/>
      </c>
      <c r="FS20" s="1" t="str">
        <f ca="1">IFERROR(__xludf.DUMMYFUNCTION("if(FS$2="""","""", index(GOOGLEFINANCE($B$20,""close"",FS$2,TODAY()),2,2))"),"")</f>
        <v/>
      </c>
      <c r="FT20" s="1" t="str">
        <f ca="1">IFERROR(__xludf.DUMMYFUNCTION("if(FT$2="""","""", index(GOOGLEFINANCE($B$20,""close"",FT$2,TODAY()),2,2))"),"")</f>
        <v/>
      </c>
      <c r="FU20" s="1" t="str">
        <f ca="1">IFERROR(__xludf.DUMMYFUNCTION("if(FU$2="""","""", index(GOOGLEFINANCE($B$20,""close"",FU$2,TODAY()),2,2))"),"")</f>
        <v/>
      </c>
      <c r="FV20" s="1" t="str">
        <f ca="1">IFERROR(__xludf.DUMMYFUNCTION("if(FV$2="""","""", index(GOOGLEFINANCE($B$20,""close"",FV$2,TODAY()),2,2))"),"")</f>
        <v/>
      </c>
      <c r="FW20" s="1" t="str">
        <f ca="1">IFERROR(__xludf.DUMMYFUNCTION("if(FW$2="""","""", index(GOOGLEFINANCE($B$20,""close"",FW$2,TODAY()),2,2))"),"")</f>
        <v/>
      </c>
      <c r="FX20" s="1" t="str">
        <f ca="1">IFERROR(__xludf.DUMMYFUNCTION("if(FX$2="""","""", index(GOOGLEFINANCE($B$20,""close"",FX$2,TODAY()),2,2))"),"")</f>
        <v/>
      </c>
      <c r="FY20" s="1" t="str">
        <f ca="1">IFERROR(__xludf.DUMMYFUNCTION("if(FY$2="""","""", index(GOOGLEFINANCE($B$20,""close"",FY$2,TODAY()),2,2))"),"")</f>
        <v/>
      </c>
      <c r="FZ20" s="1" t="str">
        <f ca="1">IFERROR(__xludf.DUMMYFUNCTION("if(FZ$2="""","""", index(GOOGLEFINANCE($B$20,""close"",FZ$2,TODAY()),2,2))"),"")</f>
        <v/>
      </c>
      <c r="GA20" s="1" t="str">
        <f ca="1">IFERROR(__xludf.DUMMYFUNCTION("if(GA$2="""","""", index(GOOGLEFINANCE($B$20,""close"",GA$2,TODAY()),2,2))"),"")</f>
        <v/>
      </c>
      <c r="GB20" s="1" t="str">
        <f ca="1">IFERROR(__xludf.DUMMYFUNCTION("if(GB$2="""","""", index(GOOGLEFINANCE($B$20,""close"",GB$2,TODAY()),2,2))"),"")</f>
        <v/>
      </c>
      <c r="GC20" s="1" t="str">
        <f ca="1">IFERROR(__xludf.DUMMYFUNCTION("if(GC$2="""","""", index(GOOGLEFINANCE($B$20,""close"",GC$2,TODAY()),2,2))"),"")</f>
        <v/>
      </c>
      <c r="GD20" s="1" t="str">
        <f ca="1">IFERROR(__xludf.DUMMYFUNCTION("if(GD$2="""","""", index(GOOGLEFINANCE($B$20,""close"",GD$2,TODAY()),2,2))"),"")</f>
        <v/>
      </c>
      <c r="GE20" s="1" t="str">
        <f ca="1">IFERROR(__xludf.DUMMYFUNCTION("if(GE$2="""","""", index(GOOGLEFINANCE($B$20,""close"",GE$2,TODAY()),2,2))"),"")</f>
        <v/>
      </c>
      <c r="GF20" s="1" t="str">
        <f ca="1">IFERROR(__xludf.DUMMYFUNCTION("if(GF$2="""","""", index(GOOGLEFINANCE($B$20,""close"",GF$2,TODAY()),2,2))"),"")</f>
        <v/>
      </c>
      <c r="GG20" s="1" t="str">
        <f ca="1">IFERROR(__xludf.DUMMYFUNCTION("if(GG$2="""","""", index(GOOGLEFINANCE($B$20,""close"",GG$2,TODAY()),2,2))"),"")</f>
        <v/>
      </c>
      <c r="GH20" s="1" t="str">
        <f ca="1">IFERROR(__xludf.DUMMYFUNCTION("if(GH$2="""","""", index(GOOGLEFINANCE($B$20,""close"",GH$2,TODAY()),2,2))"),"")</f>
        <v/>
      </c>
      <c r="GI20" s="1" t="str">
        <f ca="1">IFERROR(__xludf.DUMMYFUNCTION("if(GI$2="""","""", index(GOOGLEFINANCE($B$20,""close"",GI$2,TODAY()),2,2))"),"")</f>
        <v/>
      </c>
      <c r="GJ20" s="1" t="str">
        <f ca="1">IFERROR(__xludf.DUMMYFUNCTION("if(GJ$2="""","""", index(GOOGLEFINANCE($B$20,""close"",GJ$2,TODAY()),2,2))"),"")</f>
        <v/>
      </c>
      <c r="GK20" s="1" t="str">
        <f ca="1">IFERROR(__xludf.DUMMYFUNCTION("if(GK$2="""","""", index(GOOGLEFINANCE($B$20,""close"",GK$2,TODAY()),2,2))"),"")</f>
        <v/>
      </c>
      <c r="GL20" s="1" t="str">
        <f ca="1">IFERROR(__xludf.DUMMYFUNCTION("if(GL$2="""","""", index(GOOGLEFINANCE($B$20,""close"",GL$2,TODAY()),2,2))"),"")</f>
        <v/>
      </c>
      <c r="GM20" s="1" t="str">
        <f ca="1">IFERROR(__xludf.DUMMYFUNCTION("if(GM$2="""","""", index(GOOGLEFINANCE($B$20,""close"",GM$2,TODAY()),2,2))"),"")</f>
        <v/>
      </c>
      <c r="GN20" s="1" t="str">
        <f ca="1">IFERROR(__xludf.DUMMYFUNCTION("if(GN$2="""","""", index(GOOGLEFINANCE($B$20,""close"",GN$2,TODAY()),2,2))"),"")</f>
        <v/>
      </c>
      <c r="GO20" s="1" t="str">
        <f ca="1">IFERROR(__xludf.DUMMYFUNCTION("if(GO$2="""","""", index(GOOGLEFINANCE($B$20,""close"",GO$2,TODAY()),2,2))"),"")</f>
        <v/>
      </c>
      <c r="GP20" s="1" t="str">
        <f ca="1">IFERROR(__xludf.DUMMYFUNCTION("if(GP$2="""","""", index(GOOGLEFINANCE($B$20,""close"",GP$2,TODAY()),2,2))"),"")</f>
        <v/>
      </c>
      <c r="GQ20" s="1" t="str">
        <f ca="1">IFERROR(__xludf.DUMMYFUNCTION("if(GQ$2="""","""", index(GOOGLEFINANCE($B$20,""close"",GQ$2,TODAY()),2,2))"),"")</f>
        <v/>
      </c>
      <c r="GR20" s="1" t="str">
        <f ca="1">IFERROR(__xludf.DUMMYFUNCTION("if(GR$2="""","""", index(GOOGLEFINANCE($B$20,""close"",GR$2,TODAY()),2,2))"),"")</f>
        <v/>
      </c>
      <c r="GS20" s="1" t="str">
        <f ca="1">IFERROR(__xludf.DUMMYFUNCTION("if(GS$2="""","""", index(GOOGLEFINANCE($B$20,""close"",GS$2,TODAY()),2,2))"),"")</f>
        <v/>
      </c>
      <c r="GT20" s="1" t="str">
        <f ca="1">IFERROR(__xludf.DUMMYFUNCTION("if(GT$2="""","""", index(GOOGLEFINANCE($B$20,""close"",GT$2,TODAY()),2,2))"),"")</f>
        <v/>
      </c>
      <c r="GU20" s="1" t="str">
        <f ca="1">IFERROR(__xludf.DUMMYFUNCTION("if(GU$2="""","""", index(GOOGLEFINANCE($B$20,""close"",GU$2,TODAY()),2,2))"),"")</f>
        <v/>
      </c>
      <c r="GV20" s="1" t="str">
        <f ca="1">IFERROR(__xludf.DUMMYFUNCTION("if(GV$2="""","""", index(GOOGLEFINANCE($B$20,""close"",GV$2,TODAY()),2,2))"),"")</f>
        <v/>
      </c>
      <c r="GW20" s="1" t="str">
        <f ca="1">IFERROR(__xludf.DUMMYFUNCTION("if(GW$2="""","""", index(GOOGLEFINANCE($B$20,""close"",GW$2,TODAY()),2,2))"),"")</f>
        <v/>
      </c>
      <c r="GX20" s="1" t="str">
        <f ca="1">IFERROR(__xludf.DUMMYFUNCTION("if(GX$2="""","""", index(GOOGLEFINANCE($B$20,""close"",GX$2,TODAY()),2,2))"),"")</f>
        <v/>
      </c>
      <c r="GY20" s="1" t="str">
        <f ca="1">IFERROR(__xludf.DUMMYFUNCTION("if(GY$2="""","""", index(GOOGLEFINANCE($B$20,""close"",GY$2,TODAY()),2,2))"),"")</f>
        <v/>
      </c>
      <c r="GZ20" s="1" t="str">
        <f ca="1">IFERROR(__xludf.DUMMYFUNCTION("if(GZ$2="""","""", index(GOOGLEFINANCE($B$20,""close"",GZ$2,TODAY()),2,2))"),"")</f>
        <v/>
      </c>
      <c r="HA20" s="1" t="str">
        <f ca="1">IFERROR(__xludf.DUMMYFUNCTION("if(HA$2="""","""", index(GOOGLEFINANCE($B$20,""close"",HA$2,TODAY()),2,2))"),"")</f>
        <v/>
      </c>
      <c r="HB20" s="1" t="str">
        <f ca="1">IFERROR(__xludf.DUMMYFUNCTION("if(HB$2="""","""", index(GOOGLEFINANCE($B$20,""close"",HB$2,TODAY()),2,2))"),"")</f>
        <v/>
      </c>
      <c r="HC20" s="1" t="str">
        <f ca="1">IFERROR(__xludf.DUMMYFUNCTION("if(HC$2="""","""", index(GOOGLEFINANCE($B$20,""close"",HC$2,TODAY()),2,2))"),"")</f>
        <v/>
      </c>
      <c r="HD20" s="1" t="str">
        <f ca="1">IFERROR(__xludf.DUMMYFUNCTION("if(HD$2="""","""", index(GOOGLEFINANCE($B$20,""close"",HD$2,TODAY()),2,2))"),"")</f>
        <v/>
      </c>
      <c r="HE20" s="1" t="str">
        <f ca="1">IFERROR(__xludf.DUMMYFUNCTION("if(HE$2="""","""", index(GOOGLEFINANCE($B$20,""close"",HE$2,TODAY()),2,2))"),"")</f>
        <v/>
      </c>
      <c r="HF20" s="1" t="str">
        <f ca="1">IFERROR(__xludf.DUMMYFUNCTION("if(HF$2="""","""", index(GOOGLEFINANCE($B$20,""close"",HF$2,TODAY()),2,2))"),"")</f>
        <v/>
      </c>
      <c r="HG20" s="1" t="str">
        <f ca="1">IFERROR(__xludf.DUMMYFUNCTION("if(HG$2="""","""", index(GOOGLEFINANCE($B$20,""close"",HG$2,TODAY()),2,2))"),"")</f>
        <v/>
      </c>
      <c r="HH20" s="1" t="str">
        <f ca="1">IFERROR(__xludf.DUMMYFUNCTION("if(HH$2="""","""", index(GOOGLEFINANCE($B$20,""close"",HH$2,TODAY()),2,2))"),"")</f>
        <v/>
      </c>
      <c r="HI20" s="1" t="str">
        <f ca="1">IFERROR(__xludf.DUMMYFUNCTION("if(HI$2="""","""", index(GOOGLEFINANCE($B$20,""close"",HI$2,TODAY()),2,2))"),"")</f>
        <v/>
      </c>
      <c r="HJ20" s="1" t="str">
        <f ca="1">IFERROR(__xludf.DUMMYFUNCTION("if(HJ$2="""","""", index(GOOGLEFINANCE($B$20,""close"",HJ$2,TODAY()),2,2))"),"")</f>
        <v/>
      </c>
      <c r="HK20" s="1" t="str">
        <f ca="1">IFERROR(__xludf.DUMMYFUNCTION("if(HK$2="""","""", index(GOOGLEFINANCE($B$20,""close"",HK$2,TODAY()),2,2))"),"")</f>
        <v/>
      </c>
      <c r="HL20" s="1" t="str">
        <f ca="1">IFERROR(__xludf.DUMMYFUNCTION("if(HL$2="""","""", index(GOOGLEFINANCE($B$20,""close"",HL$2,TODAY()),2,2))"),"")</f>
        <v/>
      </c>
      <c r="HM20" s="1" t="str">
        <f ca="1">IFERROR(__xludf.DUMMYFUNCTION("if(HM$2="""","""", index(GOOGLEFINANCE($B$20,""close"",HM$2,TODAY()),2,2))"),"")</f>
        <v/>
      </c>
      <c r="HN20" s="1" t="str">
        <f ca="1">IFERROR(__xludf.DUMMYFUNCTION("if(HN$2="""","""", index(GOOGLEFINANCE($B$20,""close"",HN$2,TODAY()),2,2))"),"")</f>
        <v/>
      </c>
      <c r="HO20" s="1" t="str">
        <f ca="1">IFERROR(__xludf.DUMMYFUNCTION("if(HO$2="""","""", index(GOOGLEFINANCE($B$20,""close"",HO$2,TODAY()),2,2))"),"")</f>
        <v/>
      </c>
      <c r="HP20" s="1" t="str">
        <f ca="1">IFERROR(__xludf.DUMMYFUNCTION("if(HP$2="""","""", index(GOOGLEFINANCE($B$20,""close"",HP$2,TODAY()),2,2))"),"")</f>
        <v/>
      </c>
      <c r="HQ20" s="1" t="str">
        <f ca="1">IFERROR(__xludf.DUMMYFUNCTION("if(HQ$2="""","""", index(GOOGLEFINANCE($B$20,""close"",HQ$2,TODAY()),2,2))"),"")</f>
        <v/>
      </c>
      <c r="HR20" s="1" t="str">
        <f ca="1">IFERROR(__xludf.DUMMYFUNCTION("if(HR$2="""","""", index(GOOGLEFINANCE($B$20,""close"",HR$2,TODAY()),2,2))"),"")</f>
        <v/>
      </c>
      <c r="HS20" s="1" t="str">
        <f ca="1">IFERROR(__xludf.DUMMYFUNCTION("if(HS$2="""","""", index(GOOGLEFINANCE($B$20,""close"",HS$2,TODAY()),2,2))"),"")</f>
        <v/>
      </c>
      <c r="HT20" s="1" t="str">
        <f ca="1">IFERROR(__xludf.DUMMYFUNCTION("if(HT$2="""","""", index(GOOGLEFINANCE($B$20,""close"",HT$2,TODAY()),2,2))"),"")</f>
        <v/>
      </c>
      <c r="HU20" s="1" t="str">
        <f ca="1">IFERROR(__xludf.DUMMYFUNCTION("if(HU$2="""","""", index(GOOGLEFINANCE($B$20,""close"",HU$2,TODAY()),2,2))"),"")</f>
        <v/>
      </c>
      <c r="HV20" s="1" t="str">
        <f ca="1">IFERROR(__xludf.DUMMYFUNCTION("if(HV$2="""","""", index(GOOGLEFINANCE($B$20,""close"",HV$2,TODAY()),2,2))"),"")</f>
        <v/>
      </c>
      <c r="HW20" s="1" t="str">
        <f ca="1">IFERROR(__xludf.DUMMYFUNCTION("if(HW$2="""","""", index(GOOGLEFINANCE($B$20,""close"",HW$2,TODAY()),2,2))"),"")</f>
        <v/>
      </c>
      <c r="HX20" s="1" t="str">
        <f ca="1">IFERROR(__xludf.DUMMYFUNCTION("if(HX$2="""","""", index(GOOGLEFINANCE($B$20,""close"",HX$2,TODAY()),2,2))"),"")</f>
        <v/>
      </c>
      <c r="HY20" s="1" t="str">
        <f ca="1">IFERROR(__xludf.DUMMYFUNCTION("if(HY$2="""","""", index(GOOGLEFINANCE($B$20,""close"",HY$2,TODAY()),2,2))"),"")</f>
        <v/>
      </c>
      <c r="HZ20" s="1" t="str">
        <f ca="1">IFERROR(__xludf.DUMMYFUNCTION("if(HZ$2="""","""", index(GOOGLEFINANCE($B$20,""close"",HZ$2,TODAY()),2,2))"),"")</f>
        <v/>
      </c>
      <c r="IA20" s="1" t="str">
        <f ca="1">IFERROR(__xludf.DUMMYFUNCTION("if(IA$2="""","""", index(GOOGLEFINANCE($B$20,""close"",IA$2,TODAY()),2,2))"),"")</f>
        <v/>
      </c>
      <c r="IB20" s="1" t="str">
        <f ca="1">IFERROR(__xludf.DUMMYFUNCTION("if(IB$2="""","""", index(GOOGLEFINANCE($B$20,""close"",IB$2,TODAY()),2,2))"),"")</f>
        <v/>
      </c>
      <c r="IC20" s="1" t="str">
        <f ca="1">IFERROR(__xludf.DUMMYFUNCTION("if(IC$2="""","""", index(GOOGLEFINANCE($B$20,""close"",IC$2,TODAY()),2,2))"),"")</f>
        <v/>
      </c>
      <c r="ID20" s="1" t="str">
        <f ca="1">IFERROR(__xludf.DUMMYFUNCTION("if(ID$2="""","""", index(GOOGLEFINANCE($B$20,""close"",ID$2,TODAY()),2,2))"),"")</f>
        <v/>
      </c>
      <c r="IE20" s="1" t="str">
        <f ca="1">IFERROR(__xludf.DUMMYFUNCTION("if(IE$2="""","""", index(GOOGLEFINANCE($B$20,""close"",IE$2,TODAY()),2,2))"),"")</f>
        <v/>
      </c>
      <c r="IF20" s="1" t="str">
        <f ca="1">IFERROR(__xludf.DUMMYFUNCTION("if(IF$2="""","""", index(GOOGLEFINANCE($B$20,""close"",IF$2,TODAY()),2,2))"),"")</f>
        <v/>
      </c>
      <c r="IG20" s="1" t="str">
        <f ca="1">IFERROR(__xludf.DUMMYFUNCTION("if(IG$2="""","""", index(GOOGLEFINANCE($B$20,""close"",IG$2,TODAY()),2,2))"),"")</f>
        <v/>
      </c>
      <c r="IH20" s="1" t="str">
        <f ca="1">IFERROR(__xludf.DUMMYFUNCTION("if(IH$2="""","""", index(GOOGLEFINANCE($B$20,""close"",IH$2,TODAY()),2,2))"),"")</f>
        <v/>
      </c>
      <c r="II20" s="1" t="str">
        <f ca="1">IFERROR(__xludf.DUMMYFUNCTION("if(II$2="""","""", index(GOOGLEFINANCE($B$20,""close"",II$2,TODAY()),2,2))"),"")</f>
        <v/>
      </c>
      <c r="IJ20" s="1" t="str">
        <f ca="1">IFERROR(__xludf.DUMMYFUNCTION("if(IJ$2="""","""", index(GOOGLEFINANCE($B$20,""close"",IJ$2,TODAY()),2,2))"),"")</f>
        <v/>
      </c>
      <c r="IK20" s="1" t="str">
        <f ca="1">IFERROR(__xludf.DUMMYFUNCTION("if(IK$2="""","""", index(GOOGLEFINANCE($B$20,""close"",IK$2,TODAY()),2,2))"),"")</f>
        <v/>
      </c>
      <c r="IL20" s="1" t="str">
        <f ca="1">IFERROR(__xludf.DUMMYFUNCTION("if(IL$2="""","""", index(GOOGLEFINANCE($B$20,""close"",IL$2,TODAY()),2,2))"),"")</f>
        <v/>
      </c>
      <c r="IM20" s="1" t="str">
        <f ca="1">IFERROR(__xludf.DUMMYFUNCTION("if(IM$2="""","""", index(GOOGLEFINANCE($B$20,""close"",IM$2,TODAY()),2,2))"),"")</f>
        <v/>
      </c>
      <c r="IN20" s="1" t="str">
        <f ca="1">IFERROR(__xludf.DUMMYFUNCTION("if(IN$2="""","""", index(GOOGLEFINANCE($B$20,""close"",IN$2,TODAY()),2,2))"),"")</f>
        <v/>
      </c>
      <c r="IO20" s="1" t="str">
        <f ca="1">IFERROR(__xludf.DUMMYFUNCTION("if(IO$2="""","""", index(GOOGLEFINANCE($B$20,""close"",IO$2,TODAY()),2,2))"),"")</f>
        <v/>
      </c>
      <c r="IP20" s="1" t="str">
        <f ca="1">IFERROR(__xludf.DUMMYFUNCTION("if(IP$2="""","""", index(GOOGLEFINANCE($B$20,""close"",IP$2,TODAY()),2,2))"),"")</f>
        <v/>
      </c>
      <c r="IQ20" s="1" t="str">
        <f ca="1">IFERROR(__xludf.DUMMYFUNCTION("if(IQ$2="""","""", index(GOOGLEFINANCE($B$20,""close"",IQ$2,TODAY()),2,2))"),"")</f>
        <v/>
      </c>
      <c r="IR20" s="1" t="str">
        <f ca="1">IFERROR(__xludf.DUMMYFUNCTION("if(IR$2="""","""", index(GOOGLEFINANCE($B$20,""close"",IR$2,TODAY()),2,2))"),"")</f>
        <v/>
      </c>
      <c r="IS20" s="1" t="str">
        <f ca="1">IFERROR(__xludf.DUMMYFUNCTION("if(IS$2="""","""", index(GOOGLEFINANCE($B$20,""close"",IS$2,TODAY()),2,2))"),"")</f>
        <v/>
      </c>
      <c r="IT20" s="1" t="str">
        <f ca="1">IFERROR(__xludf.DUMMYFUNCTION("if(IT$2="""","""", index(GOOGLEFINANCE($B$20,""close"",IT$2,TODAY()),2,2))"),"")</f>
        <v/>
      </c>
      <c r="IU20" s="1" t="str">
        <f ca="1">IFERROR(__xludf.DUMMYFUNCTION("if(IU$2="""","""", index(GOOGLEFINANCE($B$20,""close"",IU$2,TODAY()),2,2))"),"")</f>
        <v/>
      </c>
      <c r="IV20" s="1" t="str">
        <f ca="1">IFERROR(__xludf.DUMMYFUNCTION("if(IV$2="""","""", index(GOOGLEFINANCE($B$20,""close"",IV$2,TODAY()),2,2))"),"")</f>
        <v/>
      </c>
      <c r="IW20" s="1" t="str">
        <f ca="1">IFERROR(__xludf.DUMMYFUNCTION("if(IW$2="""","""", index(GOOGLEFINANCE($B$20,""close"",IW$2,TODAY()),2,2))"),"")</f>
        <v/>
      </c>
      <c r="IX20" s="1" t="str">
        <f ca="1">IFERROR(__xludf.DUMMYFUNCTION("if(IX$2="""","""", index(GOOGLEFINANCE($B$20,""close"",IX$2,TODAY()),2,2))"),"")</f>
        <v/>
      </c>
      <c r="IY20" s="1" t="str">
        <f ca="1">IFERROR(__xludf.DUMMYFUNCTION("if(IY$2="""","""", index(GOOGLEFINANCE($B$20,""close"",IY$2,TODAY()),2,2))"),"")</f>
        <v/>
      </c>
      <c r="IZ20" s="1" t="str">
        <f ca="1">IFERROR(__xludf.DUMMYFUNCTION("if(IZ$2="""","""", index(GOOGLEFINANCE($B$20,""close"",IZ$2,TODAY()),2,2))"),"")</f>
        <v/>
      </c>
      <c r="JA20" s="1" t="str">
        <f ca="1">IFERROR(__xludf.DUMMYFUNCTION("if(JA$2="""","""", index(GOOGLEFINANCE($B$20,""close"",JA$2,TODAY()),2,2))"),"")</f>
        <v/>
      </c>
      <c r="JB20" s="1" t="str">
        <f ca="1">IFERROR(__xludf.DUMMYFUNCTION("if(JB$2="""","""", index(GOOGLEFINANCE($B$20,""close"",JB$2,TODAY()),2,2))"),"")</f>
        <v/>
      </c>
      <c r="JC20" s="1" t="str">
        <f ca="1">IFERROR(__xludf.DUMMYFUNCTION("if(JC$2="""","""", index(GOOGLEFINANCE($B$20,""close"",JC$2,TODAY()),2,2))"),"")</f>
        <v/>
      </c>
      <c r="JD20" s="1" t="str">
        <f ca="1">IFERROR(__xludf.DUMMYFUNCTION("if(JD$2="""","""", index(GOOGLEFINANCE($B$20,""close"",JD$2,TODAY()),2,2))"),"")</f>
        <v/>
      </c>
      <c r="JE20" s="1" t="str">
        <f ca="1">IFERROR(__xludf.DUMMYFUNCTION("if(JE$2="""","""", index(GOOGLEFINANCE($B$20,""close"",JE$2,TODAY()),2,2))"),"")</f>
        <v/>
      </c>
      <c r="JF20" s="1" t="str">
        <f ca="1">IFERROR(__xludf.DUMMYFUNCTION("if(JF$2="""","""", index(GOOGLEFINANCE($B$20,""close"",JF$2,TODAY()),2,2))"),"")</f>
        <v/>
      </c>
      <c r="JG20" s="1" t="str">
        <f ca="1">IFERROR(__xludf.DUMMYFUNCTION("if(JG$2="""","""", index(GOOGLEFINANCE($B$20,""close"",JG$2,TODAY()),2,2))"),"")</f>
        <v/>
      </c>
      <c r="JH20" s="1" t="str">
        <f ca="1">IFERROR(__xludf.DUMMYFUNCTION("if(JH$2="""","""", index(GOOGLEFINANCE($B$20,""close"",JH$2,TODAY()),2,2))"),"")</f>
        <v/>
      </c>
      <c r="JI20" s="1" t="str">
        <f ca="1">IFERROR(__xludf.DUMMYFUNCTION("if(JI$2="""","""", index(GOOGLEFINANCE($B$20,""close"",JI$2,TODAY()),2,2))"),"")</f>
        <v/>
      </c>
      <c r="JJ20" s="1" t="str">
        <f ca="1">IFERROR(__xludf.DUMMYFUNCTION("if(JJ$2="""","""", index(GOOGLEFINANCE($B$20,""close"",JJ$2,TODAY()),2,2))"),"")</f>
        <v/>
      </c>
      <c r="JK20" s="1" t="str">
        <f ca="1">IFERROR(__xludf.DUMMYFUNCTION("if(JK$2="""","""", index(GOOGLEFINANCE($B$20,""close"",JK$2,TODAY()),2,2))"),"")</f>
        <v/>
      </c>
      <c r="JL20" s="1" t="str">
        <f ca="1">IFERROR(__xludf.DUMMYFUNCTION("if(JL$2="""","""", index(GOOGLEFINANCE($B$20,""close"",JL$2,TODAY()),2,2))"),"")</f>
        <v/>
      </c>
      <c r="JM20" s="1" t="str">
        <f ca="1">IFERROR(__xludf.DUMMYFUNCTION("if(JM$2="""","""", index(GOOGLEFINANCE($B$20,""close"",JM$2,TODAY()),2,2))"),"")</f>
        <v/>
      </c>
      <c r="JN20" s="1" t="str">
        <f ca="1">IFERROR(__xludf.DUMMYFUNCTION("if(JN$2="""","""", index(GOOGLEFINANCE($B$20,""close"",JN$2,TODAY()),2,2))"),"")</f>
        <v/>
      </c>
      <c r="JO20" s="1" t="str">
        <f ca="1">IFERROR(__xludf.DUMMYFUNCTION("if(JO$2="""","""", index(GOOGLEFINANCE($B$20,""close"",JO$2,TODAY()),2,2))"),"")</f>
        <v/>
      </c>
      <c r="JP20" s="1" t="str">
        <f ca="1">IFERROR(__xludf.DUMMYFUNCTION("if(JP$2="""","""", index(GOOGLEFINANCE($B$20,""close"",JP$2,TODAY()),2,2))"),"")</f>
        <v/>
      </c>
      <c r="JQ20" s="1" t="str">
        <f ca="1">IFERROR(__xludf.DUMMYFUNCTION("if(JQ$2="""","""", index(GOOGLEFINANCE($B$20,""close"",JQ$2,TODAY()),2,2))"),"")</f>
        <v/>
      </c>
      <c r="JR20" s="1" t="str">
        <f ca="1">IFERROR(__xludf.DUMMYFUNCTION("if(JR$2="""","""", index(GOOGLEFINANCE($B$20,""close"",JR$2,TODAY()),2,2))"),"")</f>
        <v/>
      </c>
      <c r="JS20" s="1" t="str">
        <f ca="1">IFERROR(__xludf.DUMMYFUNCTION("if(JS$2="""","""", index(GOOGLEFINANCE($B$20,""close"",JS$2,TODAY()),2,2))"),"")</f>
        <v/>
      </c>
      <c r="JT20" s="1" t="str">
        <f ca="1">IFERROR(__xludf.DUMMYFUNCTION("if(JT$2="""","""", index(GOOGLEFINANCE($B$20,""close"",JT$2,TODAY()),2,2))"),"")</f>
        <v/>
      </c>
      <c r="JU20" s="1" t="str">
        <f ca="1">IFERROR(__xludf.DUMMYFUNCTION("if(JU$2="""","""", index(GOOGLEFINANCE($B$20,""close"",JU$2,TODAY()),2,2))"),"")</f>
        <v/>
      </c>
      <c r="JV20" s="1" t="str">
        <f ca="1">IFERROR(__xludf.DUMMYFUNCTION("if(JV$2="""","""", index(GOOGLEFINANCE($B$20,""close"",JV$2,TODAY()),2,2))"),"")</f>
        <v/>
      </c>
      <c r="JW20" s="1" t="str">
        <f ca="1">IFERROR(__xludf.DUMMYFUNCTION("if(JW$2="""","""", index(GOOGLEFINANCE($B$20,""close"",JW$2,TODAY()),2,2))"),"")</f>
        <v/>
      </c>
      <c r="JX20" s="1" t="str">
        <f ca="1">IFERROR(__xludf.DUMMYFUNCTION("if(JX$2="""","""", index(GOOGLEFINANCE($B$20,""close"",JX$2,TODAY()),2,2))"),"")</f>
        <v/>
      </c>
      <c r="JY20" s="1" t="str">
        <f ca="1">IFERROR(__xludf.DUMMYFUNCTION("if(JY$2="""","""", index(GOOGLEFINANCE($B$20,""close"",JY$2,TODAY()),2,2))"),"")</f>
        <v/>
      </c>
      <c r="JZ20" s="1" t="str">
        <f ca="1">IFERROR(__xludf.DUMMYFUNCTION("if(JZ$2="""","""", index(GOOGLEFINANCE($B$20,""close"",JZ$2,TODAY()),2,2))"),"")</f>
        <v/>
      </c>
      <c r="KA20" s="1" t="str">
        <f ca="1">IFERROR(__xludf.DUMMYFUNCTION("if(KA$2="""","""", index(GOOGLEFINANCE($B$20,""close"",KA$2,TODAY()),2,2))"),"")</f>
        <v/>
      </c>
      <c r="KB20" s="1" t="str">
        <f ca="1">IFERROR(__xludf.DUMMYFUNCTION("if(KB$2="""","""", index(GOOGLEFINANCE($B$20,""close"",KB$2,TODAY()),2,2))"),"")</f>
        <v/>
      </c>
      <c r="KC20" s="1" t="str">
        <f ca="1">IFERROR(__xludf.DUMMYFUNCTION("if(KC$2="""","""", index(GOOGLEFINANCE($B$20,""close"",KC$2,TODAY()),2,2))"),"")</f>
        <v/>
      </c>
      <c r="KD20" s="1" t="str">
        <f ca="1">IFERROR(__xludf.DUMMYFUNCTION("if(KD$2="""","""", index(GOOGLEFINANCE($B$20,""close"",KD$2,TODAY()),2,2))"),"")</f>
        <v/>
      </c>
      <c r="KE20" s="1" t="str">
        <f ca="1">IFERROR(__xludf.DUMMYFUNCTION("if(KE$2="""","""", index(GOOGLEFINANCE($B$20,""close"",KE$2,TODAY()),2,2))"),"")</f>
        <v/>
      </c>
      <c r="KF20" s="1" t="str">
        <f ca="1">IFERROR(__xludf.DUMMYFUNCTION("if(KF$2="""","""", index(GOOGLEFINANCE($B$20,""close"",KF$2,TODAY()),2,2))"),"")</f>
        <v/>
      </c>
      <c r="KG20" s="1" t="str">
        <f ca="1">IFERROR(__xludf.DUMMYFUNCTION("if(KG$2="""","""", index(GOOGLEFINANCE($B$20,""close"",KG$2,TODAY()),2,2))"),"")</f>
        <v/>
      </c>
    </row>
    <row r="21" spans="1:293" ht="15.75" customHeight="1">
      <c r="A21" s="18" t="s">
        <v>30</v>
      </c>
      <c r="B21" s="6" t="s">
        <v>65</v>
      </c>
      <c r="C21" s="1">
        <f ca="1">IFERROR(__xludf.DUMMYFUNCTION("if(C$2="""","""", index(GOOGLEFINANCE($B$21,""close"",C$2,TODAY()),2,2))"),45.05)</f>
        <v>45.05</v>
      </c>
      <c r="D21" s="1">
        <f ca="1">IFERROR(__xludf.DUMMYFUNCTION("if(D$2="""","""", index(GOOGLEFINANCE($B$21,""close"",D$2,TODAY()),2,2))"),45.48)</f>
        <v>45.48</v>
      </c>
      <c r="E21" s="1">
        <f ca="1">IFERROR(__xludf.DUMMYFUNCTION("if(E$2="""","""", index(GOOGLEFINANCE($B$21,""close"",E$2,TODAY()),2,2))"),45.12)</f>
        <v>45.12</v>
      </c>
      <c r="F21" s="1">
        <f ca="1">IFERROR(__xludf.DUMMYFUNCTION("if(F$2="""","""", index(GOOGLEFINANCE($B$21,""close"",F$2,TODAY()),2,2))"),45.79)</f>
        <v>45.79</v>
      </c>
      <c r="G21" s="1">
        <f ca="1">IFERROR(__xludf.DUMMYFUNCTION("if(G$2="""","""", index(GOOGLEFINANCE($B$21,""close"",G$2,TODAY()),2,2))"),46.19)</f>
        <v>46.19</v>
      </c>
      <c r="H21" s="1">
        <f ca="1">IFERROR(__xludf.DUMMYFUNCTION("if(H$2="""","""", index(GOOGLEFINANCE($B$21,""close"",H$2,TODAY()),2,2))"),46.35)</f>
        <v>46.35</v>
      </c>
      <c r="I21" s="1">
        <f ca="1">IFERROR(__xludf.DUMMYFUNCTION("if(I$2="""","""", index(GOOGLEFINANCE($B$21,""close"",I$2,TODAY()),2,2))"),45.77)</f>
        <v>45.77</v>
      </c>
      <c r="J21" s="1">
        <f ca="1">IFERROR(__xludf.DUMMYFUNCTION("if(J$2="""","""", index(GOOGLEFINANCE($B$21,""close"",J$2,TODAY()),2,2))"),45.54)</f>
        <v>45.54</v>
      </c>
      <c r="K21" s="1">
        <f ca="1">IFERROR(__xludf.DUMMYFUNCTION("if(K$2="""","""", index(GOOGLEFINANCE($B$21,""close"",K$2,TODAY()),2,2))"),44.76)</f>
        <v>44.76</v>
      </c>
      <c r="L21" s="1">
        <f ca="1">IFERROR(__xludf.DUMMYFUNCTION("if(L$2="""","""", index(GOOGLEFINANCE($B$21,""close"",L$2,TODAY()),2,2))"),44.5)</f>
        <v>44.5</v>
      </c>
      <c r="M21" s="1">
        <f ca="1">IFERROR(__xludf.DUMMYFUNCTION("if(M$2="""","""", index(GOOGLEFINANCE($B$21,""close"",M$2,TODAY()),2,2))"),43.8)</f>
        <v>43.8</v>
      </c>
      <c r="N21" s="1">
        <f ca="1">IFERROR(__xludf.DUMMYFUNCTION("if(N$2="""","""", index(GOOGLEFINANCE($B$21,""close"",N$2,TODAY()),2,2))"),42.8)</f>
        <v>42.8</v>
      </c>
      <c r="O21" s="1">
        <f ca="1">IFERROR(__xludf.DUMMYFUNCTION("if(O$2="""","""", index(GOOGLEFINANCE($B$21,""close"",O$2,TODAY()),2,2))"),41.95)</f>
        <v>41.95</v>
      </c>
      <c r="P21" s="1">
        <f ca="1">IFERROR(__xludf.DUMMYFUNCTION("if(P$2="""","""", index(GOOGLEFINANCE($B$21,""close"",P$2,TODAY()),2,2))"),40.68)</f>
        <v>40.68</v>
      </c>
      <c r="Q21" s="1">
        <f ca="1">IFERROR(__xludf.DUMMYFUNCTION("if(Q$2="""","""", index(GOOGLEFINANCE($B$21,""close"",Q$2,TODAY()),2,2))"),40.81)</f>
        <v>40.81</v>
      </c>
      <c r="R21" s="1">
        <f ca="1">IFERROR(__xludf.DUMMYFUNCTION("if(R$2="""","""", index(GOOGLEFINANCE($B$21,""close"",R$2,TODAY()),2,2))"),39.79)</f>
        <v>39.79</v>
      </c>
      <c r="S21" s="1">
        <f ca="1">IFERROR(__xludf.DUMMYFUNCTION("if(S$2="""","""", index(GOOGLEFINANCE($B$21,""close"",S$2,TODAY()),2,2))"),39.24)</f>
        <v>39.24</v>
      </c>
      <c r="T21" s="1">
        <f ca="1">IFERROR(__xludf.DUMMYFUNCTION("if(T$2="""","""", index(GOOGLEFINANCE($B$21,""close"",T$2,TODAY()),2,2))"),38.5)</f>
        <v>38.5</v>
      </c>
      <c r="U21" s="1">
        <f ca="1">IFERROR(__xludf.DUMMYFUNCTION("if(U$2="""","""", index(GOOGLEFINANCE($B$21,""close"",U$2,TODAY()),2,2))"),39.02)</f>
        <v>39.020000000000003</v>
      </c>
      <c r="V21" s="1">
        <f ca="1">IFERROR(__xludf.DUMMYFUNCTION("if(V$2="""","""", index(GOOGLEFINANCE($B$21,""close"",V$2,TODAY()),2,2))"),39.81)</f>
        <v>39.81</v>
      </c>
      <c r="W21" s="1">
        <f ca="1">IFERROR(__xludf.DUMMYFUNCTION("if(W$2="""","""", index(GOOGLEFINANCE($B$21,""close"",W$2,TODAY()),2,2))"),40.38)</f>
        <v>40.380000000000003</v>
      </c>
      <c r="X21" s="1">
        <f ca="1">IFERROR(__xludf.DUMMYFUNCTION("if(X$2="""","""", index(GOOGLEFINANCE($B$21,""close"",X$2,TODAY()),2,2))"),40.14)</f>
        <v>40.14</v>
      </c>
      <c r="Y21" s="1">
        <f ca="1">IFERROR(__xludf.DUMMYFUNCTION("if(Y$2="""","""", index(GOOGLEFINANCE($B$21,""close"",Y$2,TODAY()),2,2))"),39.1)</f>
        <v>39.1</v>
      </c>
      <c r="Z21" s="1">
        <f ca="1">IFERROR(__xludf.DUMMYFUNCTION("if(Z$2="""","""", index(GOOGLEFINANCE($B$21,""close"",Z$2,TODAY()),2,2))"),39.21)</f>
        <v>39.21</v>
      </c>
      <c r="AA21" s="1">
        <f ca="1">IFERROR(__xludf.DUMMYFUNCTION("if(AA$2="""","""", index(GOOGLEFINANCE($B$21,""close"",AA$2,TODAY()),2,2))"),39.72)</f>
        <v>39.72</v>
      </c>
      <c r="AB21" s="1">
        <f ca="1">IFERROR(__xludf.DUMMYFUNCTION("if(AB$2="""","""", index(GOOGLEFINANCE($B$21,""close"",AB$2,TODAY()),2,2))"),41.42)</f>
        <v>41.42</v>
      </c>
      <c r="AC21" s="1">
        <f ca="1">IFERROR(__xludf.DUMMYFUNCTION("if(AC$2="""","""", index(GOOGLEFINANCE($B$21,""close"",AC$2,TODAY()),2,2))"),42.5)</f>
        <v>42.5</v>
      </c>
      <c r="AD21" s="1">
        <f ca="1">IFERROR(__xludf.DUMMYFUNCTION("if(AD$2="""","""", index(GOOGLEFINANCE($B$21,""close"",AD$2,TODAY()),2,2))"),42.23)</f>
        <v>42.23</v>
      </c>
      <c r="AE21" s="1">
        <f ca="1">IFERROR(__xludf.DUMMYFUNCTION("if(AE$2="""","""", index(GOOGLEFINANCE($B$21,""close"",AE$2,TODAY()),2,2))"),41.23)</f>
        <v>41.23</v>
      </c>
      <c r="AF21" s="1">
        <f ca="1">IFERROR(__xludf.DUMMYFUNCTION("if(AF$2="""","""", index(GOOGLEFINANCE($B$21,""close"",AF$2,TODAY()),2,2))"),41.4)</f>
        <v>41.4</v>
      </c>
      <c r="AG21" s="1">
        <f ca="1">IFERROR(__xludf.DUMMYFUNCTION("if(AG$2="""","""", index(GOOGLEFINANCE($B$21,""close"",AG$2,TODAY()),2,2))"),43.4)</f>
        <v>43.4</v>
      </c>
      <c r="AH21" s="1">
        <f ca="1">IFERROR(__xludf.DUMMYFUNCTION("if(AH$2="""","""", index(GOOGLEFINANCE($B$21,""close"",AH$2,TODAY()),2,2))"),43.89)</f>
        <v>43.89</v>
      </c>
      <c r="AI21" s="1">
        <f ca="1">IFERROR(__xludf.DUMMYFUNCTION("if(AI$2="""","""", index(GOOGLEFINANCE($B$21,""close"",AI$2,TODAY()),2,2))"),42.74)</f>
        <v>42.74</v>
      </c>
      <c r="AJ21" s="1">
        <f ca="1">IFERROR(__xludf.DUMMYFUNCTION("if(AJ$2="""","""", index(GOOGLEFINANCE($B$21,""close"",AJ$2,TODAY()),2,2))"),45)</f>
        <v>45</v>
      </c>
      <c r="AK21" s="1">
        <f ca="1">IFERROR(__xludf.DUMMYFUNCTION("if(AK$2="""","""", index(GOOGLEFINANCE($B$21,""close"",AK$2,TODAY()),2,2))"),44.79)</f>
        <v>44.79</v>
      </c>
      <c r="AL21" s="1">
        <f ca="1">IFERROR(__xludf.DUMMYFUNCTION("if(AL$2="""","""", index(GOOGLEFINANCE($B$21,""close"",AL$2,TODAY()),2,2))"),44.31)</f>
        <v>44.31</v>
      </c>
      <c r="AM21" s="1">
        <f ca="1">IFERROR(__xludf.DUMMYFUNCTION("if(AM$2="""","""", index(GOOGLEFINANCE($B$21,""close"",AM$2,TODAY()),2,2))"),43.85)</f>
        <v>43.85</v>
      </c>
      <c r="AN21" s="1">
        <f ca="1">IFERROR(__xludf.DUMMYFUNCTION("if(AN$2="""","""", index(GOOGLEFINANCE($B$21,""close"",AN$2,TODAY()),2,2))"),45.01)</f>
        <v>45.01</v>
      </c>
      <c r="AO21" s="1">
        <f ca="1">IFERROR(__xludf.DUMMYFUNCTION("if(AO$2="""","""", index(GOOGLEFINANCE($B$21,""close"",AO$2,TODAY()),2,2))"),41.76)</f>
        <v>41.76</v>
      </c>
      <c r="AP21" s="1">
        <f ca="1">IFERROR(__xludf.DUMMYFUNCTION("if(AP$2="""","""", index(GOOGLEFINANCE($B$21,""close"",AP$2,TODAY()),2,2))"),39.16)</f>
        <v>39.159999999999997</v>
      </c>
      <c r="AQ21" s="1">
        <f ca="1">IFERROR(__xludf.DUMMYFUNCTION("if(AQ$2="""","""", index(GOOGLEFINANCE($B$21,""close"",AQ$2,TODAY()),2,2))"),40.84)</f>
        <v>40.840000000000003</v>
      </c>
      <c r="AR21" s="1">
        <f ca="1">IFERROR(__xludf.DUMMYFUNCTION("if(AR$2="""","""", index(GOOGLEFINANCE($B$21,""close"",AR$2,TODAY()),2,2))"),39.11)</f>
        <v>39.11</v>
      </c>
      <c r="AS21" s="1">
        <f ca="1">IFERROR(__xludf.DUMMYFUNCTION("if(AS$2="""","""", index(GOOGLEFINANCE($B$21,""close"",AS$2,TODAY()),2,2))"),36.55)</f>
        <v>36.549999999999997</v>
      </c>
      <c r="AT21" s="1">
        <f ca="1">IFERROR(__xludf.DUMMYFUNCTION("if(AT$2="""","""", index(GOOGLEFINANCE($B$21,""close"",AT$2,TODAY()),2,2))"),33.6)</f>
        <v>33.6</v>
      </c>
      <c r="AU21" s="1">
        <f ca="1">IFERROR(__xludf.DUMMYFUNCTION("if(AU$2="""","""", index(GOOGLEFINANCE($B$21,""close"",AU$2,TODAY()),2,2))"),35.63)</f>
        <v>35.630000000000003</v>
      </c>
      <c r="AV21" s="1">
        <f ca="1">IFERROR(__xludf.DUMMYFUNCTION("if(AV$2="""","""", index(GOOGLEFINANCE($B$21,""close"",AV$2,TODAY()),2,2))"),35.92)</f>
        <v>35.92</v>
      </c>
      <c r="AW21" s="1">
        <f ca="1">IFERROR(__xludf.DUMMYFUNCTION("if(AW$2="""","""", index(GOOGLEFINANCE($B$21,""close"",AW$2,TODAY()),2,2))"),35.91)</f>
        <v>35.909999999999997</v>
      </c>
      <c r="AX21" s="1">
        <f ca="1">IFERROR(__xludf.DUMMYFUNCTION("if(AX$2="""","""", index(GOOGLEFINANCE($B$21,""close"",AX$2,TODAY()),2,2))"),37.43)</f>
        <v>37.43</v>
      </c>
      <c r="AY21" s="1">
        <f ca="1">IFERROR(__xludf.DUMMYFUNCTION("if(AY$2="""","""", index(GOOGLEFINANCE($B$21,""close"",AY$2,TODAY()),2,2))"),38.42)</f>
        <v>38.42</v>
      </c>
      <c r="AZ21" s="1">
        <f ca="1">IFERROR(__xludf.DUMMYFUNCTION("if(AZ$2="""","""", index(GOOGLEFINANCE($B$21,""close"",AZ$2,TODAY()),2,2))"),39.89)</f>
        <v>39.89</v>
      </c>
      <c r="BA21" s="1">
        <f ca="1">IFERROR(__xludf.DUMMYFUNCTION("if(BA$2="""","""", index(GOOGLEFINANCE($B$21,""close"",BA$2,TODAY()),2,2))"),41.38)</f>
        <v>41.38</v>
      </c>
      <c r="BB21" s="1">
        <f ca="1">IFERROR(__xludf.DUMMYFUNCTION("if(BB$2="""","""", index(GOOGLEFINANCE($B$21,""close"",BB$2,TODAY()),2,2))"),41.53)</f>
        <v>41.53</v>
      </c>
      <c r="BC21" s="1">
        <f ca="1">IFERROR(__xludf.DUMMYFUNCTION("if(BC$2="""","""", index(GOOGLEFINANCE($B$21,""close"",BC$2,TODAY()),2,2))"),42.13)</f>
        <v>42.13</v>
      </c>
      <c r="BD21" s="1">
        <f ca="1">IFERROR(__xludf.DUMMYFUNCTION("if(BD$2="""","""", index(GOOGLEFINANCE($B$21,""close"",BD$2,TODAY()),2,2))"),42.11)</f>
        <v>42.11</v>
      </c>
      <c r="BE21" s="1">
        <f ca="1">IFERROR(__xludf.DUMMYFUNCTION("if(BE$2="""","""", index(GOOGLEFINANCE($B$21,""close"",BE$2,TODAY()),2,2))"),43.27)</f>
        <v>43.27</v>
      </c>
      <c r="BF21" s="1">
        <f ca="1">IFERROR(__xludf.DUMMYFUNCTION("if(BF$2="""","""", index(GOOGLEFINANCE($B$21,""close"",BF$2,TODAY()),2,2))"),42.98)</f>
        <v>42.98</v>
      </c>
      <c r="BG21" s="1">
        <f ca="1">IFERROR(__xludf.DUMMYFUNCTION("if(BG$2="""","""", index(GOOGLEFINANCE($B$21,""close"",BG$2,TODAY()),2,2))"),43.82)</f>
        <v>43.82</v>
      </c>
      <c r="BH21" s="1">
        <f ca="1">IFERROR(__xludf.DUMMYFUNCTION("if(BH$2="""","""", index(GOOGLEFINANCE($B$21,""close"",BH$2,TODAY()),2,2))"),44.7)</f>
        <v>44.7</v>
      </c>
      <c r="BI21" s="1">
        <f ca="1">IFERROR(__xludf.DUMMYFUNCTION("if(BI$2="""","""", index(GOOGLEFINANCE($B$21,""close"",BI$2,TODAY()),2,2))"),45.06)</f>
        <v>45.06</v>
      </c>
      <c r="BJ21" s="1">
        <f ca="1">IFERROR(__xludf.DUMMYFUNCTION("if(BJ$2="""","""", index(GOOGLEFINANCE($B$21,""close"",BJ$2,TODAY()),2,2))"),45.21)</f>
        <v>45.21</v>
      </c>
      <c r="BK21" s="1">
        <f ca="1">IFERROR(__xludf.DUMMYFUNCTION("if(BK$2="""","""", index(GOOGLEFINANCE($B$21,""close"",BK$2,TODAY()),2,2))"),44.51)</f>
        <v>44.51</v>
      </c>
      <c r="BL21" s="1">
        <f ca="1">IFERROR(__xludf.DUMMYFUNCTION("if(BL$2="""","""", index(GOOGLEFINANCE($B$21,""close"",BL$2,TODAY()),2,2))"),44.65)</f>
        <v>44.65</v>
      </c>
      <c r="BM21" s="1">
        <f ca="1">IFERROR(__xludf.DUMMYFUNCTION("if(BM$2="""","""", index(GOOGLEFINANCE($B$21,""close"",BM$2,TODAY()),2,2))"),44.37)</f>
        <v>44.37</v>
      </c>
      <c r="BN21" s="1">
        <f ca="1">IFERROR(__xludf.DUMMYFUNCTION("if(BN$2="""","""", index(GOOGLEFINANCE($B$21,""close"",BN$2,TODAY()),2,2))"),44)</f>
        <v>44</v>
      </c>
      <c r="BO21" s="1">
        <f ca="1">IFERROR(__xludf.DUMMYFUNCTION("if(BO$2="""","""", index(GOOGLEFINANCE($B$21,""close"",BO$2,TODAY()),2,2))"),43.06)</f>
        <v>43.06</v>
      </c>
      <c r="BP21" s="1">
        <f ca="1">IFERROR(__xludf.DUMMYFUNCTION("if(BP$2="""","""", index(GOOGLEFINANCE($B$21,""close"",BP$2,TODAY()),2,2))"),42.54)</f>
        <v>42.54</v>
      </c>
      <c r="BQ21" s="1">
        <f ca="1">IFERROR(__xludf.DUMMYFUNCTION("if(BQ$2="""","""", index(GOOGLEFINANCE($B$21,""close"",BQ$2,TODAY()),2,2))"),42.24)</f>
        <v>42.24</v>
      </c>
      <c r="BR21" s="1">
        <f ca="1">IFERROR(__xludf.DUMMYFUNCTION("if(BR$2="""","""", index(GOOGLEFINANCE($B$21,""close"",BR$2,TODAY()),2,2))"),41.77)</f>
        <v>41.77</v>
      </c>
      <c r="BS21" s="1">
        <f ca="1">IFERROR(__xludf.DUMMYFUNCTION("if(BS$2="""","""", index(GOOGLEFINANCE($B$21,""close"",BS$2,TODAY()),2,2))"),41.99)</f>
        <v>41.99</v>
      </c>
      <c r="BT21" s="1">
        <f ca="1">IFERROR(__xludf.DUMMYFUNCTION("if(BT$2="""","""", index(GOOGLEFINANCE($B$21,""close"",BT$2,TODAY()),2,2))"),41.61)</f>
        <v>41.61</v>
      </c>
      <c r="BU21" s="1">
        <f ca="1">IFERROR(__xludf.DUMMYFUNCTION("if(BU$2="""","""", index(GOOGLEFINANCE($B$21,""close"",BU$2,TODAY()),2,2))"),42.82)</f>
        <v>42.82</v>
      </c>
      <c r="BV21" s="1">
        <f ca="1">IFERROR(__xludf.DUMMYFUNCTION("if(BV$2="""","""", index(GOOGLEFINANCE($B$21,""close"",BV$2,TODAY()),2,2))"),43.32)</f>
        <v>43.32</v>
      </c>
      <c r="BW21" s="1">
        <f ca="1">IFERROR(__xludf.DUMMYFUNCTION("if(BW$2="""","""", index(GOOGLEFINANCE($B$21,""close"",BW$2,TODAY()),2,2))"),43.5)</f>
        <v>43.5</v>
      </c>
      <c r="BX21" s="1">
        <f ca="1">IFERROR(__xludf.DUMMYFUNCTION("if(BX$2="""","""", index(GOOGLEFINANCE($B$21,""close"",BX$2,TODAY()),2,2))"),45.32)</f>
        <v>45.32</v>
      </c>
      <c r="BY21" s="1">
        <f ca="1">IFERROR(__xludf.DUMMYFUNCTION("if(BY$2="""","""", index(GOOGLEFINANCE($B$21,""close"",BY$2,TODAY()),2,2))"),45.53)</f>
        <v>45.53</v>
      </c>
      <c r="BZ21" s="1">
        <f ca="1">IFERROR(__xludf.DUMMYFUNCTION("if(BZ$2="""","""", index(GOOGLEFINANCE($B$21,""close"",BZ$2,TODAY()),2,2))"),45.28)</f>
        <v>45.28</v>
      </c>
      <c r="CA21" s="1">
        <f ca="1">IFERROR(__xludf.DUMMYFUNCTION("if(CA$2="""","""", index(GOOGLEFINANCE($B$21,""close"",CA$2,TODAY()),2,2))"),44.34)</f>
        <v>44.34</v>
      </c>
      <c r="CB21" s="1">
        <f ca="1">IFERROR(__xludf.DUMMYFUNCTION("if(CB$2="""","""", index(GOOGLEFINANCE($B$21,""close"",CB$2,TODAY()),2,2))"),43.76)</f>
        <v>43.76</v>
      </c>
      <c r="CC21" s="1">
        <f ca="1">IFERROR(__xludf.DUMMYFUNCTION("if(CC$2="""","""", index(GOOGLEFINANCE($B$21,""close"",CC$2,TODAY()),2,2))"),41.55)</f>
        <v>41.55</v>
      </c>
      <c r="CD21" s="1">
        <f ca="1">IFERROR(__xludf.DUMMYFUNCTION("if(CD$2="""","""", index(GOOGLEFINANCE($B$21,""close"",CD$2,TODAY()),2,2))"),40.87)</f>
        <v>40.869999999999997</v>
      </c>
      <c r="CE21" s="1">
        <f ca="1">IFERROR(__xludf.DUMMYFUNCTION("if(CE$2="""","""", index(GOOGLEFINANCE($B$21,""close"",CE$2,TODAY()),2,2))"),41.7)</f>
        <v>41.7</v>
      </c>
      <c r="CF21" s="1">
        <f ca="1">IFERROR(__xludf.DUMMYFUNCTION("if(CF$2="""","""", index(GOOGLEFINANCE($B$21,""close"",CF$2,TODAY()),2,2))"),40.28)</f>
        <v>40.28</v>
      </c>
      <c r="CG21" s="1">
        <f ca="1">IFERROR(__xludf.DUMMYFUNCTION("if(CG$2="""","""", index(GOOGLEFINANCE($B$21,""close"",CG$2,TODAY()),2,2))"),40.02)</f>
        <v>40.020000000000003</v>
      </c>
      <c r="CH21" s="1">
        <f ca="1">IFERROR(__xludf.DUMMYFUNCTION("if(CH$2="""","""", index(GOOGLEFINANCE($B$21,""close"",CH$2,TODAY()),2,2))"),40.59)</f>
        <v>40.590000000000003</v>
      </c>
      <c r="CI21" s="1">
        <f ca="1">IFERROR(__xludf.DUMMYFUNCTION("if(CI$2="""","""", index(GOOGLEFINANCE($B$21,""close"",CI$2,TODAY()),2,2))"),41.15)</f>
        <v>41.15</v>
      </c>
      <c r="CJ21" s="1" t="str">
        <f ca="1">IFERROR(__xludf.DUMMYFUNCTION("if(CJ$2="""","""", index(GOOGLEFINANCE($B$21,""close"",CJ$2,TODAY()),2,2))"),"")</f>
        <v/>
      </c>
      <c r="CK21" s="1" t="str">
        <f ca="1">IFERROR(__xludf.DUMMYFUNCTION("if(CK$2="""","""", index(GOOGLEFINANCE($B$21,""close"",CK$2,TODAY()),2,2))"),"")</f>
        <v/>
      </c>
      <c r="CL21" s="1" t="str">
        <f ca="1">IFERROR(__xludf.DUMMYFUNCTION("if(CL$2="""","""", index(GOOGLEFINANCE($B$21,""close"",CL$2,TODAY()),2,2))"),"")</f>
        <v/>
      </c>
      <c r="CM21" s="1" t="str">
        <f ca="1">IFERROR(__xludf.DUMMYFUNCTION("if(CM$2="""","""", index(GOOGLEFINANCE($B$21,""close"",CM$2,TODAY()),2,2))"),"")</f>
        <v/>
      </c>
      <c r="CN21" s="1" t="str">
        <f ca="1">IFERROR(__xludf.DUMMYFUNCTION("if(CN$2="""","""", index(GOOGLEFINANCE($B$21,""close"",CN$2,TODAY()),2,2))"),"")</f>
        <v/>
      </c>
      <c r="CO21" s="1" t="str">
        <f ca="1">IFERROR(__xludf.DUMMYFUNCTION("if(CO$2="""","""", index(GOOGLEFINANCE($B$21,""close"",CO$2,TODAY()),2,2))"),"")</f>
        <v/>
      </c>
      <c r="CP21" s="1" t="str">
        <f ca="1">IFERROR(__xludf.DUMMYFUNCTION("if(CP$2="""","""", index(GOOGLEFINANCE($B$21,""close"",CP$2,TODAY()),2,2))"),"")</f>
        <v/>
      </c>
      <c r="CQ21" s="1" t="str">
        <f ca="1">IFERROR(__xludf.DUMMYFUNCTION("if(CQ$2="""","""", index(GOOGLEFINANCE($B$21,""close"",CQ$2,TODAY()),2,2))"),"")</f>
        <v/>
      </c>
      <c r="CR21" s="1" t="str">
        <f ca="1">IFERROR(__xludf.DUMMYFUNCTION("if(CR$2="""","""", index(GOOGLEFINANCE($B$21,""close"",CR$2,TODAY()),2,2))"),"")</f>
        <v/>
      </c>
      <c r="CS21" s="1" t="str">
        <f ca="1">IFERROR(__xludf.DUMMYFUNCTION("if(CS$2="""","""", index(GOOGLEFINANCE($B$21,""close"",CS$2,TODAY()),2,2))"),"")</f>
        <v/>
      </c>
      <c r="CT21" s="1" t="str">
        <f ca="1">IFERROR(__xludf.DUMMYFUNCTION("if(CT$2="""","""", index(GOOGLEFINANCE($B$21,""close"",CT$2,TODAY()),2,2))"),"")</f>
        <v/>
      </c>
      <c r="CU21" s="1" t="str">
        <f ca="1">IFERROR(__xludf.DUMMYFUNCTION("if(CU$2="""","""", index(GOOGLEFINANCE($B$21,""close"",CU$2,TODAY()),2,2))"),"")</f>
        <v/>
      </c>
      <c r="CV21" s="1" t="str">
        <f ca="1">IFERROR(__xludf.DUMMYFUNCTION("if(CV$2="""","""", index(GOOGLEFINANCE($B$21,""close"",CV$2,TODAY()),2,2))"),"")</f>
        <v/>
      </c>
      <c r="CW21" s="1" t="str">
        <f ca="1">IFERROR(__xludf.DUMMYFUNCTION("if(CW$2="""","""", index(GOOGLEFINANCE($B$21,""close"",CW$2,TODAY()),2,2))"),"")</f>
        <v/>
      </c>
      <c r="CX21" s="1" t="str">
        <f ca="1">IFERROR(__xludf.DUMMYFUNCTION("if(CX$2="""","""", index(GOOGLEFINANCE($B$21,""close"",CX$2,TODAY()),2,2))"),"")</f>
        <v/>
      </c>
      <c r="CY21" s="1" t="str">
        <f ca="1">IFERROR(__xludf.DUMMYFUNCTION("if(CY$2="""","""", index(GOOGLEFINANCE($B$21,""close"",CY$2,TODAY()),2,2))"),"")</f>
        <v/>
      </c>
      <c r="CZ21" s="1" t="str">
        <f ca="1">IFERROR(__xludf.DUMMYFUNCTION("if(CZ$2="""","""", index(GOOGLEFINANCE($B$21,""close"",CZ$2,TODAY()),2,2))"),"")</f>
        <v/>
      </c>
      <c r="DA21" s="1" t="str">
        <f ca="1">IFERROR(__xludf.DUMMYFUNCTION("if(DA$2="""","""", index(GOOGLEFINANCE($B$21,""close"",DA$2,TODAY()),2,2))"),"")</f>
        <v/>
      </c>
      <c r="DB21" s="1" t="str">
        <f ca="1">IFERROR(__xludf.DUMMYFUNCTION("if(DB$2="""","""", index(GOOGLEFINANCE($B$21,""close"",DB$2,TODAY()),2,2))"),"")</f>
        <v/>
      </c>
      <c r="DC21" s="1" t="str">
        <f ca="1">IFERROR(__xludf.DUMMYFUNCTION("if(DC$2="""","""", index(GOOGLEFINANCE($B$21,""close"",DC$2,TODAY()),2,2))"),"")</f>
        <v/>
      </c>
      <c r="DD21" s="1" t="str">
        <f ca="1">IFERROR(__xludf.DUMMYFUNCTION("if(DD$2="""","""", index(GOOGLEFINANCE($B$21,""close"",DD$2,TODAY()),2,2))"),"")</f>
        <v/>
      </c>
      <c r="DE21" s="1" t="str">
        <f ca="1">IFERROR(__xludf.DUMMYFUNCTION("if(DE$2="""","""", index(GOOGLEFINANCE($B$21,""close"",DE$2,TODAY()),2,2))"),"")</f>
        <v/>
      </c>
      <c r="DF21" s="1" t="str">
        <f ca="1">IFERROR(__xludf.DUMMYFUNCTION("if(DF$2="""","""", index(GOOGLEFINANCE($B$21,""close"",DF$2,TODAY()),2,2))"),"")</f>
        <v/>
      </c>
      <c r="DG21" s="1" t="str">
        <f ca="1">IFERROR(__xludf.DUMMYFUNCTION("if(DG$2="""","""", index(GOOGLEFINANCE($B$21,""close"",DG$2,TODAY()),2,2))"),"")</f>
        <v/>
      </c>
      <c r="DH21" s="1" t="str">
        <f ca="1">IFERROR(__xludf.DUMMYFUNCTION("if(DH$2="""","""", index(GOOGLEFINANCE($B$21,""close"",DH$2,TODAY()),2,2))"),"")</f>
        <v/>
      </c>
      <c r="DI21" s="1" t="str">
        <f ca="1">IFERROR(__xludf.DUMMYFUNCTION("if(DI$2="""","""", index(GOOGLEFINANCE($B$21,""close"",DI$2,TODAY()),2,2))"),"")</f>
        <v/>
      </c>
      <c r="DJ21" s="1" t="str">
        <f ca="1">IFERROR(__xludf.DUMMYFUNCTION("if(DJ$2="""","""", index(GOOGLEFINANCE($B$21,""close"",DJ$2,TODAY()),2,2))"),"")</f>
        <v/>
      </c>
      <c r="DK21" s="1" t="str">
        <f ca="1">IFERROR(__xludf.DUMMYFUNCTION("if(DK$2="""","""", index(GOOGLEFINANCE($B$21,""close"",DK$2,TODAY()),2,2))"),"")</f>
        <v/>
      </c>
      <c r="DL21" s="1" t="str">
        <f ca="1">IFERROR(__xludf.DUMMYFUNCTION("if(DL$2="""","""", index(GOOGLEFINANCE($B$21,""close"",DL$2,TODAY()),2,2))"),"")</f>
        <v/>
      </c>
      <c r="DM21" s="1" t="str">
        <f ca="1">IFERROR(__xludf.DUMMYFUNCTION("if(DM$2="""","""", index(GOOGLEFINANCE($B$21,""close"",DM$2,TODAY()),2,2))"),"")</f>
        <v/>
      </c>
      <c r="DN21" s="1" t="str">
        <f ca="1">IFERROR(__xludf.DUMMYFUNCTION("if(DN$2="""","""", index(GOOGLEFINANCE($B$21,""close"",DN$2,TODAY()),2,2))"),"")</f>
        <v/>
      </c>
      <c r="DO21" s="1" t="str">
        <f ca="1">IFERROR(__xludf.DUMMYFUNCTION("if(DO$2="""","""", index(GOOGLEFINANCE($B$21,""close"",DO$2,TODAY()),2,2))"),"")</f>
        <v/>
      </c>
      <c r="DP21" s="1" t="str">
        <f ca="1">IFERROR(__xludf.DUMMYFUNCTION("if(DP$2="""","""", index(GOOGLEFINANCE($B$21,""close"",DP$2,TODAY()),2,2))"),"")</f>
        <v/>
      </c>
      <c r="DQ21" s="1" t="str">
        <f ca="1">IFERROR(__xludf.DUMMYFUNCTION("if(DQ$2="""","""", index(GOOGLEFINANCE($B$21,""close"",DQ$2,TODAY()),2,2))"),"")</f>
        <v/>
      </c>
      <c r="DR21" s="1" t="str">
        <f ca="1">IFERROR(__xludf.DUMMYFUNCTION("if(DR$2="""","""", index(GOOGLEFINANCE($B$21,""close"",DR$2,TODAY()),2,2))"),"")</f>
        <v/>
      </c>
      <c r="DS21" s="1" t="str">
        <f ca="1">IFERROR(__xludf.DUMMYFUNCTION("if(DS$2="""","""", index(GOOGLEFINANCE($B$21,""close"",DS$2,TODAY()),2,2))"),"")</f>
        <v/>
      </c>
      <c r="DT21" s="1" t="str">
        <f ca="1">IFERROR(__xludf.DUMMYFUNCTION("if(DT$2="""","""", index(GOOGLEFINANCE($B$21,""close"",DT$2,TODAY()),2,2))"),"")</f>
        <v/>
      </c>
      <c r="DU21" s="1" t="str">
        <f ca="1">IFERROR(__xludf.DUMMYFUNCTION("if(DU$2="""","""", index(GOOGLEFINANCE($B$21,""close"",DU$2,TODAY()),2,2))"),"")</f>
        <v/>
      </c>
      <c r="DV21" s="1" t="str">
        <f ca="1">IFERROR(__xludf.DUMMYFUNCTION("if(DV$2="""","""", index(GOOGLEFINANCE($B$21,""close"",DV$2,TODAY()),2,2))"),"")</f>
        <v/>
      </c>
      <c r="DW21" s="1" t="str">
        <f ca="1">IFERROR(__xludf.DUMMYFUNCTION("if(DW$2="""","""", index(GOOGLEFINANCE($B$21,""close"",DW$2,TODAY()),2,2))"),"")</f>
        <v/>
      </c>
      <c r="DX21" s="1" t="str">
        <f ca="1">IFERROR(__xludf.DUMMYFUNCTION("if(DX$2="""","""", index(GOOGLEFINANCE($B$21,""close"",DX$2,TODAY()),2,2))"),"")</f>
        <v/>
      </c>
      <c r="DY21" s="1" t="str">
        <f ca="1">IFERROR(__xludf.DUMMYFUNCTION("if(DY$2="""","""", index(GOOGLEFINANCE($B$21,""close"",DY$2,TODAY()),2,2))"),"")</f>
        <v/>
      </c>
      <c r="DZ21" s="1" t="str">
        <f ca="1">IFERROR(__xludf.DUMMYFUNCTION("if(DZ$2="""","""", index(GOOGLEFINANCE($B$21,""close"",DZ$2,TODAY()),2,2))"),"")</f>
        <v/>
      </c>
      <c r="EA21" s="1" t="str">
        <f ca="1">IFERROR(__xludf.DUMMYFUNCTION("if(EA$2="""","""", index(GOOGLEFINANCE($B$21,""close"",EA$2,TODAY()),2,2))"),"")</f>
        <v/>
      </c>
      <c r="EB21" s="1" t="str">
        <f ca="1">IFERROR(__xludf.DUMMYFUNCTION("if(EB$2="""","""", index(GOOGLEFINANCE($B$21,""close"",EB$2,TODAY()),2,2))"),"")</f>
        <v/>
      </c>
      <c r="EC21" s="1" t="str">
        <f ca="1">IFERROR(__xludf.DUMMYFUNCTION("if(EC$2="""","""", index(GOOGLEFINANCE($B$21,""close"",EC$2,TODAY()),2,2))"),"")</f>
        <v/>
      </c>
      <c r="ED21" s="1" t="str">
        <f ca="1">IFERROR(__xludf.DUMMYFUNCTION("if(ED$2="""","""", index(GOOGLEFINANCE($B$21,""close"",ED$2,TODAY()),2,2))"),"")</f>
        <v/>
      </c>
      <c r="EE21" s="1" t="str">
        <f ca="1">IFERROR(__xludf.DUMMYFUNCTION("if(EE$2="""","""", index(GOOGLEFINANCE($B$21,""close"",EE$2,TODAY()),2,2))"),"")</f>
        <v/>
      </c>
      <c r="EF21" s="1" t="str">
        <f ca="1">IFERROR(__xludf.DUMMYFUNCTION("if(EF$2="""","""", index(GOOGLEFINANCE($B$21,""close"",EF$2,TODAY()),2,2))"),"")</f>
        <v/>
      </c>
      <c r="EG21" s="1" t="str">
        <f ca="1">IFERROR(__xludf.DUMMYFUNCTION("if(EG$2="""","""", index(GOOGLEFINANCE($B$21,""close"",EG$2,TODAY()),2,2))"),"")</f>
        <v/>
      </c>
      <c r="EH21" s="1" t="str">
        <f ca="1">IFERROR(__xludf.DUMMYFUNCTION("if(EH$2="""","""", index(GOOGLEFINANCE($B$21,""close"",EH$2,TODAY()),2,2))"),"")</f>
        <v/>
      </c>
      <c r="EI21" s="1" t="str">
        <f ca="1">IFERROR(__xludf.DUMMYFUNCTION("if(EI$2="""","""", index(GOOGLEFINANCE($B$21,""close"",EI$2,TODAY()),2,2))"),"")</f>
        <v/>
      </c>
      <c r="EJ21" s="1" t="str">
        <f ca="1">IFERROR(__xludf.DUMMYFUNCTION("if(EJ$2="""","""", index(GOOGLEFINANCE($B$21,""close"",EJ$2,TODAY()),2,2))"),"")</f>
        <v/>
      </c>
      <c r="EK21" s="1" t="str">
        <f ca="1">IFERROR(__xludf.DUMMYFUNCTION("if(EK$2="""","""", index(GOOGLEFINANCE($B$21,""close"",EK$2,TODAY()),2,2))"),"")</f>
        <v/>
      </c>
      <c r="EL21" s="1" t="str">
        <f ca="1">IFERROR(__xludf.DUMMYFUNCTION("if(EL$2="""","""", index(GOOGLEFINANCE($B$21,""close"",EL$2,TODAY()),2,2))"),"")</f>
        <v/>
      </c>
      <c r="EM21" s="1" t="str">
        <f ca="1">IFERROR(__xludf.DUMMYFUNCTION("if(EM$2="""","""", index(GOOGLEFINANCE($B$21,""close"",EM$2,TODAY()),2,2))"),"")</f>
        <v/>
      </c>
      <c r="EN21" s="1" t="str">
        <f ca="1">IFERROR(__xludf.DUMMYFUNCTION("if(EN$2="""","""", index(GOOGLEFINANCE($B$21,""close"",EN$2,TODAY()),2,2))"),"")</f>
        <v/>
      </c>
      <c r="EO21" s="1" t="str">
        <f ca="1">IFERROR(__xludf.DUMMYFUNCTION("if(EO$2="""","""", index(GOOGLEFINANCE($B$21,""close"",EO$2,TODAY()),2,2))"),"")</f>
        <v/>
      </c>
      <c r="EP21" s="1" t="str">
        <f ca="1">IFERROR(__xludf.DUMMYFUNCTION("if(EP$2="""","""", index(GOOGLEFINANCE($B$21,""close"",EP$2,TODAY()),2,2))"),"")</f>
        <v/>
      </c>
      <c r="EQ21" s="1" t="str">
        <f ca="1">IFERROR(__xludf.DUMMYFUNCTION("if(EQ$2="""","""", index(GOOGLEFINANCE($B$21,""close"",EQ$2,TODAY()),2,2))"),"")</f>
        <v/>
      </c>
      <c r="ER21" s="1" t="str">
        <f ca="1">IFERROR(__xludf.DUMMYFUNCTION("if(ER$2="""","""", index(GOOGLEFINANCE($B$21,""close"",ER$2,TODAY()),2,2))"),"")</f>
        <v/>
      </c>
      <c r="ES21" s="1" t="str">
        <f ca="1">IFERROR(__xludf.DUMMYFUNCTION("if(ES$2="""","""", index(GOOGLEFINANCE($B$21,""close"",ES$2,TODAY()),2,2))"),"")</f>
        <v/>
      </c>
      <c r="ET21" s="1" t="str">
        <f ca="1">IFERROR(__xludf.DUMMYFUNCTION("if(ET$2="""","""", index(GOOGLEFINANCE($B$21,""close"",ET$2,TODAY()),2,2))"),"")</f>
        <v/>
      </c>
      <c r="EU21" s="1" t="str">
        <f ca="1">IFERROR(__xludf.DUMMYFUNCTION("if(EU$2="""","""", index(GOOGLEFINANCE($B$21,""close"",EU$2,TODAY()),2,2))"),"")</f>
        <v/>
      </c>
      <c r="EV21" s="1" t="str">
        <f ca="1">IFERROR(__xludf.DUMMYFUNCTION("if(EV$2="""","""", index(GOOGLEFINANCE($B$21,""close"",EV$2,TODAY()),2,2))"),"")</f>
        <v/>
      </c>
      <c r="EW21" s="1" t="str">
        <f ca="1">IFERROR(__xludf.DUMMYFUNCTION("if(EW$2="""","""", index(GOOGLEFINANCE($B$21,""close"",EW$2,TODAY()),2,2))"),"")</f>
        <v/>
      </c>
      <c r="EX21" s="1" t="str">
        <f ca="1">IFERROR(__xludf.DUMMYFUNCTION("if(EX$2="""","""", index(GOOGLEFINANCE($B$21,""close"",EX$2,TODAY()),2,2))"),"")</f>
        <v/>
      </c>
      <c r="EY21" s="1" t="str">
        <f ca="1">IFERROR(__xludf.DUMMYFUNCTION("if(EY$2="""","""", index(GOOGLEFINANCE($B$21,""close"",EY$2,TODAY()),2,2))"),"")</f>
        <v/>
      </c>
      <c r="EZ21" s="1" t="str">
        <f ca="1">IFERROR(__xludf.DUMMYFUNCTION("if(EZ$2="""","""", index(GOOGLEFINANCE($B$21,""close"",EZ$2,TODAY()),2,2))"),"")</f>
        <v/>
      </c>
      <c r="FA21" s="1" t="str">
        <f ca="1">IFERROR(__xludf.DUMMYFUNCTION("if(FA$2="""","""", index(GOOGLEFINANCE($B$21,""close"",FA$2,TODAY()),2,2))"),"")</f>
        <v/>
      </c>
      <c r="FB21" s="1" t="str">
        <f ca="1">IFERROR(__xludf.DUMMYFUNCTION("if(FB$2="""","""", index(GOOGLEFINANCE($B$21,""close"",FB$2,TODAY()),2,2))"),"")</f>
        <v/>
      </c>
      <c r="FC21" s="1" t="str">
        <f ca="1">IFERROR(__xludf.DUMMYFUNCTION("if(FC$2="""","""", index(GOOGLEFINANCE($B$21,""close"",FC$2,TODAY()),2,2))"),"")</f>
        <v/>
      </c>
      <c r="FD21" s="1" t="str">
        <f ca="1">IFERROR(__xludf.DUMMYFUNCTION("if(FD$2="""","""", index(GOOGLEFINANCE($B$21,""close"",FD$2,TODAY()),2,2))"),"")</f>
        <v/>
      </c>
      <c r="FE21" s="1" t="str">
        <f ca="1">IFERROR(__xludf.DUMMYFUNCTION("if(FE$2="""","""", index(GOOGLEFINANCE($B$21,""close"",FE$2,TODAY()),2,2))"),"")</f>
        <v/>
      </c>
      <c r="FF21" s="1" t="str">
        <f ca="1">IFERROR(__xludf.DUMMYFUNCTION("if(FF$2="""","""", index(GOOGLEFINANCE($B$21,""close"",FF$2,TODAY()),2,2))"),"")</f>
        <v/>
      </c>
      <c r="FG21" s="1" t="str">
        <f ca="1">IFERROR(__xludf.DUMMYFUNCTION("if(FG$2="""","""", index(GOOGLEFINANCE($B$21,""close"",FG$2,TODAY()),2,2))"),"")</f>
        <v/>
      </c>
      <c r="FH21" s="1" t="str">
        <f ca="1">IFERROR(__xludf.DUMMYFUNCTION("if(FH$2="""","""", index(GOOGLEFINANCE($B$21,""close"",FH$2,TODAY()),2,2))"),"")</f>
        <v/>
      </c>
      <c r="FI21" s="1" t="str">
        <f ca="1">IFERROR(__xludf.DUMMYFUNCTION("if(FI$2="""","""", index(GOOGLEFINANCE($B$21,""close"",FI$2,TODAY()),2,2))"),"")</f>
        <v/>
      </c>
      <c r="FJ21" s="1" t="str">
        <f ca="1">IFERROR(__xludf.DUMMYFUNCTION("if(FJ$2="""","""", index(GOOGLEFINANCE($B$21,""close"",FJ$2,TODAY()),2,2))"),"")</f>
        <v/>
      </c>
      <c r="FK21" s="1" t="str">
        <f ca="1">IFERROR(__xludf.DUMMYFUNCTION("if(FK$2="""","""", index(GOOGLEFINANCE($B$21,""close"",FK$2,TODAY()),2,2))"),"")</f>
        <v/>
      </c>
      <c r="FL21" s="1" t="str">
        <f ca="1">IFERROR(__xludf.DUMMYFUNCTION("if(FL$2="""","""", index(GOOGLEFINANCE($B$21,""close"",FL$2,TODAY()),2,2))"),"")</f>
        <v/>
      </c>
      <c r="FM21" s="1" t="str">
        <f ca="1">IFERROR(__xludf.DUMMYFUNCTION("if(FM$2="""","""", index(GOOGLEFINANCE($B$21,""close"",FM$2,TODAY()),2,2))"),"")</f>
        <v/>
      </c>
      <c r="FN21" s="1" t="str">
        <f ca="1">IFERROR(__xludf.DUMMYFUNCTION("if(FN$2="""","""", index(GOOGLEFINANCE($B$21,""close"",FN$2,TODAY()),2,2))"),"")</f>
        <v/>
      </c>
      <c r="FO21" s="1" t="str">
        <f ca="1">IFERROR(__xludf.DUMMYFUNCTION("if(FO$2="""","""", index(GOOGLEFINANCE($B$21,""close"",FO$2,TODAY()),2,2))"),"")</f>
        <v/>
      </c>
      <c r="FP21" s="1" t="str">
        <f ca="1">IFERROR(__xludf.DUMMYFUNCTION("if(FP$2="""","""", index(GOOGLEFINANCE($B$21,""close"",FP$2,TODAY()),2,2))"),"")</f>
        <v/>
      </c>
      <c r="FQ21" s="1" t="str">
        <f ca="1">IFERROR(__xludf.DUMMYFUNCTION("if(FQ$2="""","""", index(GOOGLEFINANCE($B$21,""close"",FQ$2,TODAY()),2,2))"),"")</f>
        <v/>
      </c>
      <c r="FR21" s="1" t="str">
        <f ca="1">IFERROR(__xludf.DUMMYFUNCTION("if(FR$2="""","""", index(GOOGLEFINANCE($B$21,""close"",FR$2,TODAY()),2,2))"),"")</f>
        <v/>
      </c>
      <c r="FS21" s="1" t="str">
        <f ca="1">IFERROR(__xludf.DUMMYFUNCTION("if(FS$2="""","""", index(GOOGLEFINANCE($B$21,""close"",FS$2,TODAY()),2,2))"),"")</f>
        <v/>
      </c>
      <c r="FT21" s="1" t="str">
        <f ca="1">IFERROR(__xludf.DUMMYFUNCTION("if(FT$2="""","""", index(GOOGLEFINANCE($B$21,""close"",FT$2,TODAY()),2,2))"),"")</f>
        <v/>
      </c>
      <c r="FU21" s="1" t="str">
        <f ca="1">IFERROR(__xludf.DUMMYFUNCTION("if(FU$2="""","""", index(GOOGLEFINANCE($B$21,""close"",FU$2,TODAY()),2,2))"),"")</f>
        <v/>
      </c>
      <c r="FV21" s="1" t="str">
        <f ca="1">IFERROR(__xludf.DUMMYFUNCTION("if(FV$2="""","""", index(GOOGLEFINANCE($B$21,""close"",FV$2,TODAY()),2,2))"),"")</f>
        <v/>
      </c>
      <c r="FW21" s="1" t="str">
        <f ca="1">IFERROR(__xludf.DUMMYFUNCTION("if(FW$2="""","""", index(GOOGLEFINANCE($B$21,""close"",FW$2,TODAY()),2,2))"),"")</f>
        <v/>
      </c>
      <c r="FX21" s="1" t="str">
        <f ca="1">IFERROR(__xludf.DUMMYFUNCTION("if(FX$2="""","""", index(GOOGLEFINANCE($B$21,""close"",FX$2,TODAY()),2,2))"),"")</f>
        <v/>
      </c>
      <c r="FY21" s="1" t="str">
        <f ca="1">IFERROR(__xludf.DUMMYFUNCTION("if(FY$2="""","""", index(GOOGLEFINANCE($B$21,""close"",FY$2,TODAY()),2,2))"),"")</f>
        <v/>
      </c>
      <c r="FZ21" s="1" t="str">
        <f ca="1">IFERROR(__xludf.DUMMYFUNCTION("if(FZ$2="""","""", index(GOOGLEFINANCE($B$21,""close"",FZ$2,TODAY()),2,2))"),"")</f>
        <v/>
      </c>
      <c r="GA21" s="1" t="str">
        <f ca="1">IFERROR(__xludf.DUMMYFUNCTION("if(GA$2="""","""", index(GOOGLEFINANCE($B$21,""close"",GA$2,TODAY()),2,2))"),"")</f>
        <v/>
      </c>
      <c r="GB21" s="1" t="str">
        <f ca="1">IFERROR(__xludf.DUMMYFUNCTION("if(GB$2="""","""", index(GOOGLEFINANCE($B$21,""close"",GB$2,TODAY()),2,2))"),"")</f>
        <v/>
      </c>
      <c r="GC21" s="1" t="str">
        <f ca="1">IFERROR(__xludf.DUMMYFUNCTION("if(GC$2="""","""", index(GOOGLEFINANCE($B$21,""close"",GC$2,TODAY()),2,2))"),"")</f>
        <v/>
      </c>
      <c r="GD21" s="1" t="str">
        <f ca="1">IFERROR(__xludf.DUMMYFUNCTION("if(GD$2="""","""", index(GOOGLEFINANCE($B$21,""close"",GD$2,TODAY()),2,2))"),"")</f>
        <v/>
      </c>
      <c r="GE21" s="1" t="str">
        <f ca="1">IFERROR(__xludf.DUMMYFUNCTION("if(GE$2="""","""", index(GOOGLEFINANCE($B$21,""close"",GE$2,TODAY()),2,2))"),"")</f>
        <v/>
      </c>
      <c r="GF21" s="1" t="str">
        <f ca="1">IFERROR(__xludf.DUMMYFUNCTION("if(GF$2="""","""", index(GOOGLEFINANCE($B$21,""close"",GF$2,TODAY()),2,2))"),"")</f>
        <v/>
      </c>
      <c r="GG21" s="1" t="str">
        <f ca="1">IFERROR(__xludf.DUMMYFUNCTION("if(GG$2="""","""", index(GOOGLEFINANCE($B$21,""close"",GG$2,TODAY()),2,2))"),"")</f>
        <v/>
      </c>
      <c r="GH21" s="1" t="str">
        <f ca="1">IFERROR(__xludf.DUMMYFUNCTION("if(GH$2="""","""", index(GOOGLEFINANCE($B$21,""close"",GH$2,TODAY()),2,2))"),"")</f>
        <v/>
      </c>
      <c r="GI21" s="1" t="str">
        <f ca="1">IFERROR(__xludf.DUMMYFUNCTION("if(GI$2="""","""", index(GOOGLEFINANCE($B$21,""close"",GI$2,TODAY()),2,2))"),"")</f>
        <v/>
      </c>
      <c r="GJ21" s="1" t="str">
        <f ca="1">IFERROR(__xludf.DUMMYFUNCTION("if(GJ$2="""","""", index(GOOGLEFINANCE($B$21,""close"",GJ$2,TODAY()),2,2))"),"")</f>
        <v/>
      </c>
      <c r="GK21" s="1" t="str">
        <f ca="1">IFERROR(__xludf.DUMMYFUNCTION("if(GK$2="""","""", index(GOOGLEFINANCE($B$21,""close"",GK$2,TODAY()),2,2))"),"")</f>
        <v/>
      </c>
      <c r="GL21" s="1" t="str">
        <f ca="1">IFERROR(__xludf.DUMMYFUNCTION("if(GL$2="""","""", index(GOOGLEFINANCE($B$21,""close"",GL$2,TODAY()),2,2))"),"")</f>
        <v/>
      </c>
      <c r="GM21" s="1" t="str">
        <f ca="1">IFERROR(__xludf.DUMMYFUNCTION("if(GM$2="""","""", index(GOOGLEFINANCE($B$21,""close"",GM$2,TODAY()),2,2))"),"")</f>
        <v/>
      </c>
      <c r="GN21" s="1" t="str">
        <f ca="1">IFERROR(__xludf.DUMMYFUNCTION("if(GN$2="""","""", index(GOOGLEFINANCE($B$21,""close"",GN$2,TODAY()),2,2))"),"")</f>
        <v/>
      </c>
      <c r="GO21" s="1" t="str">
        <f ca="1">IFERROR(__xludf.DUMMYFUNCTION("if(GO$2="""","""", index(GOOGLEFINANCE($B$21,""close"",GO$2,TODAY()),2,2))"),"")</f>
        <v/>
      </c>
      <c r="GP21" s="1" t="str">
        <f ca="1">IFERROR(__xludf.DUMMYFUNCTION("if(GP$2="""","""", index(GOOGLEFINANCE($B$21,""close"",GP$2,TODAY()),2,2))"),"")</f>
        <v/>
      </c>
      <c r="GQ21" s="1" t="str">
        <f ca="1">IFERROR(__xludf.DUMMYFUNCTION("if(GQ$2="""","""", index(GOOGLEFINANCE($B$21,""close"",GQ$2,TODAY()),2,2))"),"")</f>
        <v/>
      </c>
      <c r="GR21" s="1" t="str">
        <f ca="1">IFERROR(__xludf.DUMMYFUNCTION("if(GR$2="""","""", index(GOOGLEFINANCE($B$21,""close"",GR$2,TODAY()),2,2))"),"")</f>
        <v/>
      </c>
      <c r="GS21" s="1" t="str">
        <f ca="1">IFERROR(__xludf.DUMMYFUNCTION("if(GS$2="""","""", index(GOOGLEFINANCE($B$21,""close"",GS$2,TODAY()),2,2))"),"")</f>
        <v/>
      </c>
      <c r="GT21" s="1" t="str">
        <f ca="1">IFERROR(__xludf.DUMMYFUNCTION("if(GT$2="""","""", index(GOOGLEFINANCE($B$21,""close"",GT$2,TODAY()),2,2))"),"")</f>
        <v/>
      </c>
      <c r="GU21" s="1" t="str">
        <f ca="1">IFERROR(__xludf.DUMMYFUNCTION("if(GU$2="""","""", index(GOOGLEFINANCE($B$21,""close"",GU$2,TODAY()),2,2))"),"")</f>
        <v/>
      </c>
      <c r="GV21" s="1" t="str">
        <f ca="1">IFERROR(__xludf.DUMMYFUNCTION("if(GV$2="""","""", index(GOOGLEFINANCE($B$21,""close"",GV$2,TODAY()),2,2))"),"")</f>
        <v/>
      </c>
      <c r="GW21" s="1" t="str">
        <f ca="1">IFERROR(__xludf.DUMMYFUNCTION("if(GW$2="""","""", index(GOOGLEFINANCE($B$21,""close"",GW$2,TODAY()),2,2))"),"")</f>
        <v/>
      </c>
      <c r="GX21" s="1" t="str">
        <f ca="1">IFERROR(__xludf.DUMMYFUNCTION("if(GX$2="""","""", index(GOOGLEFINANCE($B$21,""close"",GX$2,TODAY()),2,2))"),"")</f>
        <v/>
      </c>
      <c r="GY21" s="1" t="str">
        <f ca="1">IFERROR(__xludf.DUMMYFUNCTION("if(GY$2="""","""", index(GOOGLEFINANCE($B$21,""close"",GY$2,TODAY()),2,2))"),"")</f>
        <v/>
      </c>
      <c r="GZ21" s="1" t="str">
        <f ca="1">IFERROR(__xludf.DUMMYFUNCTION("if(GZ$2="""","""", index(GOOGLEFINANCE($B$21,""close"",GZ$2,TODAY()),2,2))"),"")</f>
        <v/>
      </c>
      <c r="HA21" s="1" t="str">
        <f ca="1">IFERROR(__xludf.DUMMYFUNCTION("if(HA$2="""","""", index(GOOGLEFINANCE($B$21,""close"",HA$2,TODAY()),2,2))"),"")</f>
        <v/>
      </c>
      <c r="HB21" s="1" t="str">
        <f ca="1">IFERROR(__xludf.DUMMYFUNCTION("if(HB$2="""","""", index(GOOGLEFINANCE($B$21,""close"",HB$2,TODAY()),2,2))"),"")</f>
        <v/>
      </c>
      <c r="HC21" s="1" t="str">
        <f ca="1">IFERROR(__xludf.DUMMYFUNCTION("if(HC$2="""","""", index(GOOGLEFINANCE($B$21,""close"",HC$2,TODAY()),2,2))"),"")</f>
        <v/>
      </c>
      <c r="HD21" s="1" t="str">
        <f ca="1">IFERROR(__xludf.DUMMYFUNCTION("if(HD$2="""","""", index(GOOGLEFINANCE($B$21,""close"",HD$2,TODAY()),2,2))"),"")</f>
        <v/>
      </c>
      <c r="HE21" s="1" t="str">
        <f ca="1">IFERROR(__xludf.DUMMYFUNCTION("if(HE$2="""","""", index(GOOGLEFINANCE($B$21,""close"",HE$2,TODAY()),2,2))"),"")</f>
        <v/>
      </c>
      <c r="HF21" s="1" t="str">
        <f ca="1">IFERROR(__xludf.DUMMYFUNCTION("if(HF$2="""","""", index(GOOGLEFINANCE($B$21,""close"",HF$2,TODAY()),2,2))"),"")</f>
        <v/>
      </c>
      <c r="HG21" s="1" t="str">
        <f ca="1">IFERROR(__xludf.DUMMYFUNCTION("if(HG$2="""","""", index(GOOGLEFINANCE($B$21,""close"",HG$2,TODAY()),2,2))"),"")</f>
        <v/>
      </c>
      <c r="HH21" s="1" t="str">
        <f ca="1">IFERROR(__xludf.DUMMYFUNCTION("if(HH$2="""","""", index(GOOGLEFINANCE($B$21,""close"",HH$2,TODAY()),2,2))"),"")</f>
        <v/>
      </c>
      <c r="HI21" s="1" t="str">
        <f ca="1">IFERROR(__xludf.DUMMYFUNCTION("if(HI$2="""","""", index(GOOGLEFINANCE($B$21,""close"",HI$2,TODAY()),2,2))"),"")</f>
        <v/>
      </c>
      <c r="HJ21" s="1" t="str">
        <f ca="1">IFERROR(__xludf.DUMMYFUNCTION("if(HJ$2="""","""", index(GOOGLEFINANCE($B$21,""close"",HJ$2,TODAY()),2,2))"),"")</f>
        <v/>
      </c>
      <c r="HK21" s="1" t="str">
        <f ca="1">IFERROR(__xludf.DUMMYFUNCTION("if(HK$2="""","""", index(GOOGLEFINANCE($B$21,""close"",HK$2,TODAY()),2,2))"),"")</f>
        <v/>
      </c>
      <c r="HL21" s="1" t="str">
        <f ca="1">IFERROR(__xludf.DUMMYFUNCTION("if(HL$2="""","""", index(GOOGLEFINANCE($B$21,""close"",HL$2,TODAY()),2,2))"),"")</f>
        <v/>
      </c>
      <c r="HM21" s="1" t="str">
        <f ca="1">IFERROR(__xludf.DUMMYFUNCTION("if(HM$2="""","""", index(GOOGLEFINANCE($B$21,""close"",HM$2,TODAY()),2,2))"),"")</f>
        <v/>
      </c>
      <c r="HN21" s="1" t="str">
        <f ca="1">IFERROR(__xludf.DUMMYFUNCTION("if(HN$2="""","""", index(GOOGLEFINANCE($B$21,""close"",HN$2,TODAY()),2,2))"),"")</f>
        <v/>
      </c>
      <c r="HO21" s="1" t="str">
        <f ca="1">IFERROR(__xludf.DUMMYFUNCTION("if(HO$2="""","""", index(GOOGLEFINANCE($B$21,""close"",HO$2,TODAY()),2,2))"),"")</f>
        <v/>
      </c>
      <c r="HP21" s="1" t="str">
        <f ca="1">IFERROR(__xludf.DUMMYFUNCTION("if(HP$2="""","""", index(GOOGLEFINANCE($B$21,""close"",HP$2,TODAY()),2,2))"),"")</f>
        <v/>
      </c>
      <c r="HQ21" s="1" t="str">
        <f ca="1">IFERROR(__xludf.DUMMYFUNCTION("if(HQ$2="""","""", index(GOOGLEFINANCE($B$21,""close"",HQ$2,TODAY()),2,2))"),"")</f>
        <v/>
      </c>
      <c r="HR21" s="1" t="str">
        <f ca="1">IFERROR(__xludf.DUMMYFUNCTION("if(HR$2="""","""", index(GOOGLEFINANCE($B$21,""close"",HR$2,TODAY()),2,2))"),"")</f>
        <v/>
      </c>
      <c r="HS21" s="1" t="str">
        <f ca="1">IFERROR(__xludf.DUMMYFUNCTION("if(HS$2="""","""", index(GOOGLEFINANCE($B$21,""close"",HS$2,TODAY()),2,2))"),"")</f>
        <v/>
      </c>
      <c r="HT21" s="1" t="str">
        <f ca="1">IFERROR(__xludf.DUMMYFUNCTION("if(HT$2="""","""", index(GOOGLEFINANCE($B$21,""close"",HT$2,TODAY()),2,2))"),"")</f>
        <v/>
      </c>
      <c r="HU21" s="1" t="str">
        <f ca="1">IFERROR(__xludf.DUMMYFUNCTION("if(HU$2="""","""", index(GOOGLEFINANCE($B$21,""close"",HU$2,TODAY()),2,2))"),"")</f>
        <v/>
      </c>
      <c r="HV21" s="1" t="str">
        <f ca="1">IFERROR(__xludf.DUMMYFUNCTION("if(HV$2="""","""", index(GOOGLEFINANCE($B$21,""close"",HV$2,TODAY()),2,2))"),"")</f>
        <v/>
      </c>
      <c r="HW21" s="1" t="str">
        <f ca="1">IFERROR(__xludf.DUMMYFUNCTION("if(HW$2="""","""", index(GOOGLEFINANCE($B$21,""close"",HW$2,TODAY()),2,2))"),"")</f>
        <v/>
      </c>
      <c r="HX21" s="1" t="str">
        <f ca="1">IFERROR(__xludf.DUMMYFUNCTION("if(HX$2="""","""", index(GOOGLEFINANCE($B$21,""close"",HX$2,TODAY()),2,2))"),"")</f>
        <v/>
      </c>
      <c r="HY21" s="1" t="str">
        <f ca="1">IFERROR(__xludf.DUMMYFUNCTION("if(HY$2="""","""", index(GOOGLEFINANCE($B$21,""close"",HY$2,TODAY()),2,2))"),"")</f>
        <v/>
      </c>
      <c r="HZ21" s="1" t="str">
        <f ca="1">IFERROR(__xludf.DUMMYFUNCTION("if(HZ$2="""","""", index(GOOGLEFINANCE($B$21,""close"",HZ$2,TODAY()),2,2))"),"")</f>
        <v/>
      </c>
      <c r="IA21" s="1" t="str">
        <f ca="1">IFERROR(__xludf.DUMMYFUNCTION("if(IA$2="""","""", index(GOOGLEFINANCE($B$21,""close"",IA$2,TODAY()),2,2))"),"")</f>
        <v/>
      </c>
      <c r="IB21" s="1" t="str">
        <f ca="1">IFERROR(__xludf.DUMMYFUNCTION("if(IB$2="""","""", index(GOOGLEFINANCE($B$21,""close"",IB$2,TODAY()),2,2))"),"")</f>
        <v/>
      </c>
      <c r="IC21" s="1" t="str">
        <f ca="1">IFERROR(__xludf.DUMMYFUNCTION("if(IC$2="""","""", index(GOOGLEFINANCE($B$21,""close"",IC$2,TODAY()),2,2))"),"")</f>
        <v/>
      </c>
      <c r="ID21" s="1" t="str">
        <f ca="1">IFERROR(__xludf.DUMMYFUNCTION("if(ID$2="""","""", index(GOOGLEFINANCE($B$21,""close"",ID$2,TODAY()),2,2))"),"")</f>
        <v/>
      </c>
      <c r="IE21" s="1" t="str">
        <f ca="1">IFERROR(__xludf.DUMMYFUNCTION("if(IE$2="""","""", index(GOOGLEFINANCE($B$21,""close"",IE$2,TODAY()),2,2))"),"")</f>
        <v/>
      </c>
      <c r="IF21" s="1" t="str">
        <f ca="1">IFERROR(__xludf.DUMMYFUNCTION("if(IF$2="""","""", index(GOOGLEFINANCE($B$21,""close"",IF$2,TODAY()),2,2))"),"")</f>
        <v/>
      </c>
      <c r="IG21" s="1" t="str">
        <f ca="1">IFERROR(__xludf.DUMMYFUNCTION("if(IG$2="""","""", index(GOOGLEFINANCE($B$21,""close"",IG$2,TODAY()),2,2))"),"")</f>
        <v/>
      </c>
      <c r="IH21" s="1" t="str">
        <f ca="1">IFERROR(__xludf.DUMMYFUNCTION("if(IH$2="""","""", index(GOOGLEFINANCE($B$21,""close"",IH$2,TODAY()),2,2))"),"")</f>
        <v/>
      </c>
      <c r="II21" s="1" t="str">
        <f ca="1">IFERROR(__xludf.DUMMYFUNCTION("if(II$2="""","""", index(GOOGLEFINANCE($B$21,""close"",II$2,TODAY()),2,2))"),"")</f>
        <v/>
      </c>
      <c r="IJ21" s="1" t="str">
        <f ca="1">IFERROR(__xludf.DUMMYFUNCTION("if(IJ$2="""","""", index(GOOGLEFINANCE($B$21,""close"",IJ$2,TODAY()),2,2))"),"")</f>
        <v/>
      </c>
      <c r="IK21" s="1" t="str">
        <f ca="1">IFERROR(__xludf.DUMMYFUNCTION("if(IK$2="""","""", index(GOOGLEFINANCE($B$21,""close"",IK$2,TODAY()),2,2))"),"")</f>
        <v/>
      </c>
      <c r="IL21" s="1" t="str">
        <f ca="1">IFERROR(__xludf.DUMMYFUNCTION("if(IL$2="""","""", index(GOOGLEFINANCE($B$21,""close"",IL$2,TODAY()),2,2))"),"")</f>
        <v/>
      </c>
      <c r="IM21" s="1" t="str">
        <f ca="1">IFERROR(__xludf.DUMMYFUNCTION("if(IM$2="""","""", index(GOOGLEFINANCE($B$21,""close"",IM$2,TODAY()),2,2))"),"")</f>
        <v/>
      </c>
      <c r="IN21" s="1" t="str">
        <f ca="1">IFERROR(__xludf.DUMMYFUNCTION("if(IN$2="""","""", index(GOOGLEFINANCE($B$21,""close"",IN$2,TODAY()),2,2))"),"")</f>
        <v/>
      </c>
      <c r="IO21" s="1" t="str">
        <f ca="1">IFERROR(__xludf.DUMMYFUNCTION("if(IO$2="""","""", index(GOOGLEFINANCE($B$21,""close"",IO$2,TODAY()),2,2))"),"")</f>
        <v/>
      </c>
      <c r="IP21" s="1" t="str">
        <f ca="1">IFERROR(__xludf.DUMMYFUNCTION("if(IP$2="""","""", index(GOOGLEFINANCE($B$21,""close"",IP$2,TODAY()),2,2))"),"")</f>
        <v/>
      </c>
      <c r="IQ21" s="1" t="str">
        <f ca="1">IFERROR(__xludf.DUMMYFUNCTION("if(IQ$2="""","""", index(GOOGLEFINANCE($B$21,""close"",IQ$2,TODAY()),2,2))"),"")</f>
        <v/>
      </c>
      <c r="IR21" s="1" t="str">
        <f ca="1">IFERROR(__xludf.DUMMYFUNCTION("if(IR$2="""","""", index(GOOGLEFINANCE($B$21,""close"",IR$2,TODAY()),2,2))"),"")</f>
        <v/>
      </c>
      <c r="IS21" s="1" t="str">
        <f ca="1">IFERROR(__xludf.DUMMYFUNCTION("if(IS$2="""","""", index(GOOGLEFINANCE($B$21,""close"",IS$2,TODAY()),2,2))"),"")</f>
        <v/>
      </c>
      <c r="IT21" s="1" t="str">
        <f ca="1">IFERROR(__xludf.DUMMYFUNCTION("if(IT$2="""","""", index(GOOGLEFINANCE($B$21,""close"",IT$2,TODAY()),2,2))"),"")</f>
        <v/>
      </c>
      <c r="IU21" s="1" t="str">
        <f ca="1">IFERROR(__xludf.DUMMYFUNCTION("if(IU$2="""","""", index(GOOGLEFINANCE($B$21,""close"",IU$2,TODAY()),2,2))"),"")</f>
        <v/>
      </c>
      <c r="IV21" s="1" t="str">
        <f ca="1">IFERROR(__xludf.DUMMYFUNCTION("if(IV$2="""","""", index(GOOGLEFINANCE($B$21,""close"",IV$2,TODAY()),2,2))"),"")</f>
        <v/>
      </c>
      <c r="IW21" s="1" t="str">
        <f ca="1">IFERROR(__xludf.DUMMYFUNCTION("if(IW$2="""","""", index(GOOGLEFINANCE($B$21,""close"",IW$2,TODAY()),2,2))"),"")</f>
        <v/>
      </c>
      <c r="IX21" s="1" t="str">
        <f ca="1">IFERROR(__xludf.DUMMYFUNCTION("if(IX$2="""","""", index(GOOGLEFINANCE($B$21,""close"",IX$2,TODAY()),2,2))"),"")</f>
        <v/>
      </c>
      <c r="IY21" s="1" t="str">
        <f ca="1">IFERROR(__xludf.DUMMYFUNCTION("if(IY$2="""","""", index(GOOGLEFINANCE($B$21,""close"",IY$2,TODAY()),2,2))"),"")</f>
        <v/>
      </c>
      <c r="IZ21" s="1" t="str">
        <f ca="1">IFERROR(__xludf.DUMMYFUNCTION("if(IZ$2="""","""", index(GOOGLEFINANCE($B$21,""close"",IZ$2,TODAY()),2,2))"),"")</f>
        <v/>
      </c>
      <c r="JA21" s="1" t="str">
        <f ca="1">IFERROR(__xludf.DUMMYFUNCTION("if(JA$2="""","""", index(GOOGLEFINANCE($B$21,""close"",JA$2,TODAY()),2,2))"),"")</f>
        <v/>
      </c>
      <c r="JB21" s="1" t="str">
        <f ca="1">IFERROR(__xludf.DUMMYFUNCTION("if(JB$2="""","""", index(GOOGLEFINANCE($B$21,""close"",JB$2,TODAY()),2,2))"),"")</f>
        <v/>
      </c>
      <c r="JC21" s="1" t="str">
        <f ca="1">IFERROR(__xludf.DUMMYFUNCTION("if(JC$2="""","""", index(GOOGLEFINANCE($B$21,""close"",JC$2,TODAY()),2,2))"),"")</f>
        <v/>
      </c>
      <c r="JD21" s="1" t="str">
        <f ca="1">IFERROR(__xludf.DUMMYFUNCTION("if(JD$2="""","""", index(GOOGLEFINANCE($B$21,""close"",JD$2,TODAY()),2,2))"),"")</f>
        <v/>
      </c>
      <c r="JE21" s="1" t="str">
        <f ca="1">IFERROR(__xludf.DUMMYFUNCTION("if(JE$2="""","""", index(GOOGLEFINANCE($B$21,""close"",JE$2,TODAY()),2,2))"),"")</f>
        <v/>
      </c>
      <c r="JF21" s="1" t="str">
        <f ca="1">IFERROR(__xludf.DUMMYFUNCTION("if(JF$2="""","""", index(GOOGLEFINANCE($B$21,""close"",JF$2,TODAY()),2,2))"),"")</f>
        <v/>
      </c>
      <c r="JG21" s="1" t="str">
        <f ca="1">IFERROR(__xludf.DUMMYFUNCTION("if(JG$2="""","""", index(GOOGLEFINANCE($B$21,""close"",JG$2,TODAY()),2,2))"),"")</f>
        <v/>
      </c>
      <c r="JH21" s="1" t="str">
        <f ca="1">IFERROR(__xludf.DUMMYFUNCTION("if(JH$2="""","""", index(GOOGLEFINANCE($B$21,""close"",JH$2,TODAY()),2,2))"),"")</f>
        <v/>
      </c>
      <c r="JI21" s="1" t="str">
        <f ca="1">IFERROR(__xludf.DUMMYFUNCTION("if(JI$2="""","""", index(GOOGLEFINANCE($B$21,""close"",JI$2,TODAY()),2,2))"),"")</f>
        <v/>
      </c>
      <c r="JJ21" s="1" t="str">
        <f ca="1">IFERROR(__xludf.DUMMYFUNCTION("if(JJ$2="""","""", index(GOOGLEFINANCE($B$21,""close"",JJ$2,TODAY()),2,2))"),"")</f>
        <v/>
      </c>
      <c r="JK21" s="1" t="str">
        <f ca="1">IFERROR(__xludf.DUMMYFUNCTION("if(JK$2="""","""", index(GOOGLEFINANCE($B$21,""close"",JK$2,TODAY()),2,2))"),"")</f>
        <v/>
      </c>
      <c r="JL21" s="1" t="str">
        <f ca="1">IFERROR(__xludf.DUMMYFUNCTION("if(JL$2="""","""", index(GOOGLEFINANCE($B$21,""close"",JL$2,TODAY()),2,2))"),"")</f>
        <v/>
      </c>
      <c r="JM21" s="1" t="str">
        <f ca="1">IFERROR(__xludf.DUMMYFUNCTION("if(JM$2="""","""", index(GOOGLEFINANCE($B$21,""close"",JM$2,TODAY()),2,2))"),"")</f>
        <v/>
      </c>
      <c r="JN21" s="1" t="str">
        <f ca="1">IFERROR(__xludf.DUMMYFUNCTION("if(JN$2="""","""", index(GOOGLEFINANCE($B$21,""close"",JN$2,TODAY()),2,2))"),"")</f>
        <v/>
      </c>
      <c r="JO21" s="1" t="str">
        <f ca="1">IFERROR(__xludf.DUMMYFUNCTION("if(JO$2="""","""", index(GOOGLEFINANCE($B$21,""close"",JO$2,TODAY()),2,2))"),"")</f>
        <v/>
      </c>
      <c r="JP21" s="1" t="str">
        <f ca="1">IFERROR(__xludf.DUMMYFUNCTION("if(JP$2="""","""", index(GOOGLEFINANCE($B$21,""close"",JP$2,TODAY()),2,2))"),"")</f>
        <v/>
      </c>
      <c r="JQ21" s="1" t="str">
        <f ca="1">IFERROR(__xludf.DUMMYFUNCTION("if(JQ$2="""","""", index(GOOGLEFINANCE($B$21,""close"",JQ$2,TODAY()),2,2))"),"")</f>
        <v/>
      </c>
      <c r="JR21" s="1" t="str">
        <f ca="1">IFERROR(__xludf.DUMMYFUNCTION("if(JR$2="""","""", index(GOOGLEFINANCE($B$21,""close"",JR$2,TODAY()),2,2))"),"")</f>
        <v/>
      </c>
      <c r="JS21" s="1" t="str">
        <f ca="1">IFERROR(__xludf.DUMMYFUNCTION("if(JS$2="""","""", index(GOOGLEFINANCE($B$21,""close"",JS$2,TODAY()),2,2))"),"")</f>
        <v/>
      </c>
      <c r="JT21" s="1" t="str">
        <f ca="1">IFERROR(__xludf.DUMMYFUNCTION("if(JT$2="""","""", index(GOOGLEFINANCE($B$21,""close"",JT$2,TODAY()),2,2))"),"")</f>
        <v/>
      </c>
      <c r="JU21" s="1" t="str">
        <f ca="1">IFERROR(__xludf.DUMMYFUNCTION("if(JU$2="""","""", index(GOOGLEFINANCE($B$21,""close"",JU$2,TODAY()),2,2))"),"")</f>
        <v/>
      </c>
      <c r="JV21" s="1" t="str">
        <f ca="1">IFERROR(__xludf.DUMMYFUNCTION("if(JV$2="""","""", index(GOOGLEFINANCE($B$21,""close"",JV$2,TODAY()),2,2))"),"")</f>
        <v/>
      </c>
      <c r="JW21" s="1" t="str">
        <f ca="1">IFERROR(__xludf.DUMMYFUNCTION("if(JW$2="""","""", index(GOOGLEFINANCE($B$21,""close"",JW$2,TODAY()),2,2))"),"")</f>
        <v/>
      </c>
      <c r="JX21" s="1" t="str">
        <f ca="1">IFERROR(__xludf.DUMMYFUNCTION("if(JX$2="""","""", index(GOOGLEFINANCE($B$21,""close"",JX$2,TODAY()),2,2))"),"")</f>
        <v/>
      </c>
      <c r="JY21" s="1" t="str">
        <f ca="1">IFERROR(__xludf.DUMMYFUNCTION("if(JY$2="""","""", index(GOOGLEFINANCE($B$21,""close"",JY$2,TODAY()),2,2))"),"")</f>
        <v/>
      </c>
      <c r="JZ21" s="1" t="str">
        <f ca="1">IFERROR(__xludf.DUMMYFUNCTION("if(JZ$2="""","""", index(GOOGLEFINANCE($B$21,""close"",JZ$2,TODAY()),2,2))"),"")</f>
        <v/>
      </c>
      <c r="KA21" s="1" t="str">
        <f ca="1">IFERROR(__xludf.DUMMYFUNCTION("if(KA$2="""","""", index(GOOGLEFINANCE($B$21,""close"",KA$2,TODAY()),2,2))"),"")</f>
        <v/>
      </c>
      <c r="KB21" s="1" t="str">
        <f ca="1">IFERROR(__xludf.DUMMYFUNCTION("if(KB$2="""","""", index(GOOGLEFINANCE($B$21,""close"",KB$2,TODAY()),2,2))"),"")</f>
        <v/>
      </c>
      <c r="KC21" s="1" t="str">
        <f ca="1">IFERROR(__xludf.DUMMYFUNCTION("if(KC$2="""","""", index(GOOGLEFINANCE($B$21,""close"",KC$2,TODAY()),2,2))"),"")</f>
        <v/>
      </c>
      <c r="KD21" s="1" t="str">
        <f ca="1">IFERROR(__xludf.DUMMYFUNCTION("if(KD$2="""","""", index(GOOGLEFINANCE($B$21,""close"",KD$2,TODAY()),2,2))"),"")</f>
        <v/>
      </c>
      <c r="KE21" s="1" t="str">
        <f ca="1">IFERROR(__xludf.DUMMYFUNCTION("if(KE$2="""","""", index(GOOGLEFINANCE($B$21,""close"",KE$2,TODAY()),2,2))"),"")</f>
        <v/>
      </c>
      <c r="KF21" s="1" t="str">
        <f ca="1">IFERROR(__xludf.DUMMYFUNCTION("if(KF$2="""","""", index(GOOGLEFINANCE($B$21,""close"",KF$2,TODAY()),2,2))"),"")</f>
        <v/>
      </c>
      <c r="KG21" s="1" t="str">
        <f ca="1">IFERROR(__xludf.DUMMYFUNCTION("if(KG$2="""","""", index(GOOGLEFINANCE($B$21,""close"",KG$2,TODAY()),2,2))"),"")</f>
        <v/>
      </c>
    </row>
    <row r="22" spans="1:293" ht="15.75" customHeight="1">
      <c r="A22" s="18" t="s">
        <v>30</v>
      </c>
      <c r="B22" s="6" t="s">
        <v>66</v>
      </c>
      <c r="C22" s="1">
        <f ca="1">IFERROR(__xludf.DUMMYFUNCTION("if(C$2="""","""", index(GOOGLEFINANCE($B$22,""close"",C$2,TODAY()),2,2))"),34.95)</f>
        <v>34.950000000000003</v>
      </c>
      <c r="D22" s="1">
        <f ca="1">IFERROR(__xludf.DUMMYFUNCTION("if(D$2="""","""", index(GOOGLEFINANCE($B$22,""close"",D$2,TODAY()),2,2))"),35.42)</f>
        <v>35.42</v>
      </c>
      <c r="E22" s="1">
        <f ca="1">IFERROR(__xludf.DUMMYFUNCTION("if(E$2="""","""", index(GOOGLEFINANCE($B$22,""close"",E$2,TODAY()),2,2))"),34.76)</f>
        <v>34.76</v>
      </c>
      <c r="F22" s="1">
        <f ca="1">IFERROR(__xludf.DUMMYFUNCTION("if(F$2="""","""", index(GOOGLEFINANCE($B$22,""close"",F$2,TODAY()),2,2))"),34.61)</f>
        <v>34.61</v>
      </c>
      <c r="G22" s="1">
        <f ca="1">IFERROR(__xludf.DUMMYFUNCTION("if(G$2="""","""", index(GOOGLEFINANCE($B$22,""close"",G$2,TODAY()),2,2))"),34.06)</f>
        <v>34.06</v>
      </c>
      <c r="H22" s="1">
        <f ca="1">IFERROR(__xludf.DUMMYFUNCTION("if(H$2="""","""", index(GOOGLEFINANCE($B$22,""close"",H$2,TODAY()),2,2))"),34.53)</f>
        <v>34.53</v>
      </c>
      <c r="I22" s="1">
        <f ca="1">IFERROR(__xludf.DUMMYFUNCTION("if(I$2="""","""", index(GOOGLEFINANCE($B$22,""close"",I$2,TODAY()),2,2))"),35.25)</f>
        <v>35.25</v>
      </c>
      <c r="J22" s="1">
        <f ca="1">IFERROR(__xludf.DUMMYFUNCTION("if(J$2="""","""", index(GOOGLEFINANCE($B$22,""close"",J$2,TODAY()),2,2))"),34.87)</f>
        <v>34.869999999999997</v>
      </c>
      <c r="K22" s="1">
        <f ca="1">IFERROR(__xludf.DUMMYFUNCTION("if(K$2="""","""", index(GOOGLEFINANCE($B$22,""close"",K$2,TODAY()),2,2))"),34.74)</f>
        <v>34.74</v>
      </c>
      <c r="L22" s="1">
        <f ca="1">IFERROR(__xludf.DUMMYFUNCTION("if(L$2="""","""", index(GOOGLEFINANCE($B$22,""close"",L$2,TODAY()),2,2))"),34.55)</f>
        <v>34.549999999999997</v>
      </c>
      <c r="M22" s="1">
        <f ca="1">IFERROR(__xludf.DUMMYFUNCTION("if(M$2="""","""", index(GOOGLEFINANCE($B$22,""close"",M$2,TODAY()),2,2))"),33.45)</f>
        <v>33.450000000000003</v>
      </c>
      <c r="N22" s="1">
        <f ca="1">IFERROR(__xludf.DUMMYFUNCTION("if(N$2="""","""", index(GOOGLEFINANCE($B$22,""close"",N$2,TODAY()),2,2))"),33.44)</f>
        <v>33.44</v>
      </c>
      <c r="O22" s="1">
        <f ca="1">IFERROR(__xludf.DUMMYFUNCTION("if(O$2="""","""", index(GOOGLEFINANCE($B$22,""close"",O$2,TODAY()),2,2))"),33.17)</f>
        <v>33.17</v>
      </c>
      <c r="P22" s="1">
        <f ca="1">IFERROR(__xludf.DUMMYFUNCTION("if(P$2="""","""", index(GOOGLEFINANCE($B$22,""close"",P$2,TODAY()),2,2))"),33.28)</f>
        <v>33.28</v>
      </c>
      <c r="Q22" s="1">
        <f ca="1">IFERROR(__xludf.DUMMYFUNCTION("if(Q$2="""","""", index(GOOGLEFINANCE($B$22,""close"",Q$2,TODAY()),2,2))"),33.87)</f>
        <v>33.869999999999997</v>
      </c>
      <c r="R22" s="1">
        <f ca="1">IFERROR(__xludf.DUMMYFUNCTION("if(R$2="""","""", index(GOOGLEFINANCE($B$22,""close"",R$2,TODAY()),2,2))"),32.61)</f>
        <v>32.61</v>
      </c>
      <c r="S22" s="1">
        <f ca="1">IFERROR(__xludf.DUMMYFUNCTION("if(S$2="""","""", index(GOOGLEFINANCE($B$22,""close"",S$2,TODAY()),2,2))"),32.23)</f>
        <v>32.229999999999997</v>
      </c>
      <c r="T22" s="1">
        <f ca="1">IFERROR(__xludf.DUMMYFUNCTION("if(T$2="""","""", index(GOOGLEFINANCE($B$22,""close"",T$2,TODAY()),2,2))"),32.3)</f>
        <v>32.299999999999997</v>
      </c>
      <c r="U22" s="1">
        <f ca="1">IFERROR(__xludf.DUMMYFUNCTION("if(U$2="""","""", index(GOOGLEFINANCE($B$22,""close"",U$2,TODAY()),2,2))"),34.36)</f>
        <v>34.36</v>
      </c>
      <c r="V22" s="1">
        <f ca="1">IFERROR(__xludf.DUMMYFUNCTION("if(V$2="""","""", index(GOOGLEFINANCE($B$22,""close"",V$2,TODAY()),2,2))"),34.37)</f>
        <v>34.369999999999997</v>
      </c>
      <c r="W22" s="1">
        <f ca="1">IFERROR(__xludf.DUMMYFUNCTION("if(W$2="""","""", index(GOOGLEFINANCE($B$22,""close"",W$2,TODAY()),2,2))"),34.45)</f>
        <v>34.450000000000003</v>
      </c>
      <c r="X22" s="1">
        <f ca="1">IFERROR(__xludf.DUMMYFUNCTION("if(X$2="""","""", index(GOOGLEFINANCE($B$22,""close"",X$2,TODAY()),2,2))"),34.05)</f>
        <v>34.049999999999997</v>
      </c>
      <c r="Y22" s="1">
        <f ca="1">IFERROR(__xludf.DUMMYFUNCTION("if(Y$2="""","""", index(GOOGLEFINANCE($B$22,""close"",Y$2,TODAY()),2,2))"),33.09)</f>
        <v>33.090000000000003</v>
      </c>
      <c r="Z22" s="1">
        <f ca="1">IFERROR(__xludf.DUMMYFUNCTION("if(Z$2="""","""", index(GOOGLEFINANCE($B$22,""close"",Z$2,TODAY()),2,2))"),33.12)</f>
        <v>33.119999999999997</v>
      </c>
      <c r="AA22" s="1">
        <f ca="1">IFERROR(__xludf.DUMMYFUNCTION("if(AA$2="""","""", index(GOOGLEFINANCE($B$22,""close"",AA$2,TODAY()),2,2))"),33.61)</f>
        <v>33.61</v>
      </c>
      <c r="AB22" s="1">
        <f ca="1">IFERROR(__xludf.DUMMYFUNCTION("if(AB$2="""","""", index(GOOGLEFINANCE($B$22,""close"",AB$2,TODAY()),2,2))"),33.74)</f>
        <v>33.74</v>
      </c>
      <c r="AC22" s="1">
        <f ca="1">IFERROR(__xludf.DUMMYFUNCTION("if(AC$2="""","""", index(GOOGLEFINANCE($B$22,""close"",AC$2,TODAY()),2,2))"),34.5)</f>
        <v>34.5</v>
      </c>
      <c r="AD22" s="1">
        <f ca="1">IFERROR(__xludf.DUMMYFUNCTION("if(AD$2="""","""", index(GOOGLEFINANCE($B$22,""close"",AD$2,TODAY()),2,2))"),34.03)</f>
        <v>34.03</v>
      </c>
      <c r="AE22" s="1">
        <f ca="1">IFERROR(__xludf.DUMMYFUNCTION("if(AE$2="""","""", index(GOOGLEFINANCE($B$22,""close"",AE$2,TODAY()),2,2))"),33.73)</f>
        <v>33.729999999999997</v>
      </c>
      <c r="AF22" s="1">
        <f ca="1">IFERROR(__xludf.DUMMYFUNCTION("if(AF$2="""","""", index(GOOGLEFINANCE($B$22,""close"",AF$2,TODAY()),2,2))"),33.76)</f>
        <v>33.76</v>
      </c>
      <c r="AG22" s="1">
        <f ca="1">IFERROR(__xludf.DUMMYFUNCTION("if(AG$2="""","""", index(GOOGLEFINANCE($B$22,""close"",AG$2,TODAY()),2,2))"),34.84)</f>
        <v>34.840000000000003</v>
      </c>
      <c r="AH22" s="1">
        <f ca="1">IFERROR(__xludf.DUMMYFUNCTION("if(AH$2="""","""", index(GOOGLEFINANCE($B$22,""close"",AH$2,TODAY()),2,2))"),35.12)</f>
        <v>35.119999999999997</v>
      </c>
      <c r="AI22" s="1">
        <f ca="1">IFERROR(__xludf.DUMMYFUNCTION("if(AI$2="""","""", index(GOOGLEFINANCE($B$22,""close"",AI$2,TODAY()),2,2))"),33.85)</f>
        <v>33.85</v>
      </c>
      <c r="AJ22" s="1">
        <f ca="1">IFERROR(__xludf.DUMMYFUNCTION("if(AJ$2="""","""", index(GOOGLEFINANCE($B$22,""close"",AJ$2,TODAY()),2,2))"),33.06)</f>
        <v>33.06</v>
      </c>
      <c r="AK22" s="1">
        <f ca="1">IFERROR(__xludf.DUMMYFUNCTION("if(AK$2="""","""", index(GOOGLEFINANCE($B$22,""close"",AK$2,TODAY()),2,2))"),33.2)</f>
        <v>33.200000000000003</v>
      </c>
      <c r="AL22" s="1">
        <f ca="1">IFERROR(__xludf.DUMMYFUNCTION("if(AL$2="""","""", index(GOOGLEFINANCE($B$22,""close"",AL$2,TODAY()),2,2))"),32.66)</f>
        <v>32.659999999999997</v>
      </c>
      <c r="AM22" s="1">
        <f ca="1">IFERROR(__xludf.DUMMYFUNCTION("if(AM$2="""","""", index(GOOGLEFINANCE($B$22,""close"",AM$2,TODAY()),2,2))"),33.58)</f>
        <v>33.58</v>
      </c>
      <c r="AN22" s="1">
        <f ca="1">IFERROR(__xludf.DUMMYFUNCTION("if(AN$2="""","""", index(GOOGLEFINANCE($B$22,""close"",AN$2,TODAY()),2,2))"),34.29)</f>
        <v>34.29</v>
      </c>
      <c r="AO22" s="1">
        <f ca="1">IFERROR(__xludf.DUMMYFUNCTION("if(AO$2="""","""", index(GOOGLEFINANCE($B$22,""close"",AO$2,TODAY()),2,2))"),33.52)</f>
        <v>33.520000000000003</v>
      </c>
      <c r="AP22" s="1">
        <f ca="1">IFERROR(__xludf.DUMMYFUNCTION("if(AP$2="""","""", index(GOOGLEFINANCE($B$22,""close"",AP$2,TODAY()),2,2))"),31.69)</f>
        <v>31.69</v>
      </c>
      <c r="AQ22" s="1">
        <f ca="1">IFERROR(__xludf.DUMMYFUNCTION("if(AQ$2="""","""", index(GOOGLEFINANCE($B$22,""close"",AQ$2,TODAY()),2,2))"),32.55)</f>
        <v>32.549999999999997</v>
      </c>
      <c r="AR22" s="1">
        <f ca="1">IFERROR(__xludf.DUMMYFUNCTION("if(AR$2="""","""", index(GOOGLEFINANCE($B$22,""close"",AR$2,TODAY()),2,2))"),32.78)</f>
        <v>32.78</v>
      </c>
      <c r="AS22" s="1">
        <f ca="1">IFERROR(__xludf.DUMMYFUNCTION("if(AS$2="""","""", index(GOOGLEFINANCE($B$22,""close"",AS$2,TODAY()),2,2))"),32.09)</f>
        <v>32.090000000000003</v>
      </c>
      <c r="AT22" s="1">
        <f ca="1">IFERROR(__xludf.DUMMYFUNCTION("if(AT$2="""","""", index(GOOGLEFINANCE($B$22,""close"",AT$2,TODAY()),2,2))"),31.52)</f>
        <v>31.52</v>
      </c>
      <c r="AU22" s="1">
        <f ca="1">IFERROR(__xludf.DUMMYFUNCTION("if(AU$2="""","""", index(GOOGLEFINANCE($B$22,""close"",AU$2,TODAY()),2,2))"),31.58)</f>
        <v>31.58</v>
      </c>
      <c r="AV22" s="1">
        <f ca="1">IFERROR(__xludf.DUMMYFUNCTION("if(AV$2="""","""", index(GOOGLEFINANCE($B$22,""close"",AV$2,TODAY()),2,2))"),32.66)</f>
        <v>32.659999999999997</v>
      </c>
      <c r="AW22" s="1">
        <f ca="1">IFERROR(__xludf.DUMMYFUNCTION("if(AW$2="""","""", index(GOOGLEFINANCE($B$22,""close"",AW$2,TODAY()),2,2))"),32.14)</f>
        <v>32.14</v>
      </c>
      <c r="AX22" s="1">
        <f ca="1">IFERROR(__xludf.DUMMYFUNCTION("if(AX$2="""","""", index(GOOGLEFINANCE($B$22,""close"",AX$2,TODAY()),2,2))"),31.61)</f>
        <v>31.61</v>
      </c>
      <c r="AY22" s="1">
        <f ca="1">IFERROR(__xludf.DUMMYFUNCTION("if(AY$2="""","""", index(GOOGLEFINANCE($B$22,""close"",AY$2,TODAY()),2,2))"),31.5)</f>
        <v>31.5</v>
      </c>
      <c r="AZ22" s="1">
        <f ca="1">IFERROR(__xludf.DUMMYFUNCTION("if(AZ$2="""","""", index(GOOGLEFINANCE($B$22,""close"",AZ$2,TODAY()),2,2))"),31.99)</f>
        <v>31.99</v>
      </c>
      <c r="BA22" s="1">
        <f ca="1">IFERROR(__xludf.DUMMYFUNCTION("if(BA$2="""","""", index(GOOGLEFINANCE($B$22,""close"",BA$2,TODAY()),2,2))"),32.83)</f>
        <v>32.83</v>
      </c>
      <c r="BB22" s="1">
        <f ca="1">IFERROR(__xludf.DUMMYFUNCTION("if(BB$2="""","""", index(GOOGLEFINANCE($B$22,""close"",BB$2,TODAY()),2,2))"),32.95)</f>
        <v>32.950000000000003</v>
      </c>
      <c r="BC22" s="1">
        <f ca="1">IFERROR(__xludf.DUMMYFUNCTION("if(BC$2="""","""", index(GOOGLEFINANCE($B$22,""close"",BC$2,TODAY()),2,2))"),33.26)</f>
        <v>33.26</v>
      </c>
      <c r="BD22" s="1">
        <f ca="1">IFERROR(__xludf.DUMMYFUNCTION("if(BD$2="""","""", index(GOOGLEFINANCE($B$22,""close"",BD$2,TODAY()),2,2))"),33.61)</f>
        <v>33.61</v>
      </c>
      <c r="BE22" s="1">
        <f ca="1">IFERROR(__xludf.DUMMYFUNCTION("if(BE$2="""","""", index(GOOGLEFINANCE($B$22,""close"",BE$2,TODAY()),2,2))"),33.47)</f>
        <v>33.47</v>
      </c>
      <c r="BF22" s="1">
        <f ca="1">IFERROR(__xludf.DUMMYFUNCTION("if(BF$2="""","""", index(GOOGLEFINANCE($B$22,""close"",BF$2,TODAY()),2,2))"),32.59)</f>
        <v>32.590000000000003</v>
      </c>
      <c r="BG22" s="1">
        <f ca="1">IFERROR(__xludf.DUMMYFUNCTION("if(BG$2="""","""", index(GOOGLEFINANCE($B$22,""close"",BG$2,TODAY()),2,2))"),32.63)</f>
        <v>32.630000000000003</v>
      </c>
      <c r="BH22" s="1">
        <f ca="1">IFERROR(__xludf.DUMMYFUNCTION("if(BH$2="""","""", index(GOOGLEFINANCE($B$22,""close"",BH$2,TODAY()),2,2))"),32.56)</f>
        <v>32.56</v>
      </c>
      <c r="BI22" s="1">
        <f ca="1">IFERROR(__xludf.DUMMYFUNCTION("if(BI$2="""","""", index(GOOGLEFINANCE($B$22,""close"",BI$2,TODAY()),2,2))"),32.51)</f>
        <v>32.51</v>
      </c>
      <c r="BJ22" s="1">
        <f ca="1">IFERROR(__xludf.DUMMYFUNCTION("if(BJ$2="""","""", index(GOOGLEFINANCE($B$22,""close"",BJ$2,TODAY()),2,2))"),33.26)</f>
        <v>33.26</v>
      </c>
      <c r="BK22" s="1">
        <f ca="1">IFERROR(__xludf.DUMMYFUNCTION("if(BK$2="""","""", index(GOOGLEFINANCE($B$22,""close"",BK$2,TODAY()),2,2))"),32.29)</f>
        <v>32.29</v>
      </c>
      <c r="BL22" s="1">
        <f ca="1">IFERROR(__xludf.DUMMYFUNCTION("if(BL$2="""","""", index(GOOGLEFINANCE($B$22,""close"",BL$2,TODAY()),2,2))"),31.49)</f>
        <v>31.49</v>
      </c>
      <c r="BM22" s="1">
        <f ca="1">IFERROR(__xludf.DUMMYFUNCTION("if(BM$2="""","""", index(GOOGLEFINANCE($B$22,""close"",BM$2,TODAY()),2,2))"),30.05)</f>
        <v>30.05</v>
      </c>
      <c r="BN22" s="1">
        <f ca="1">IFERROR(__xludf.DUMMYFUNCTION("if(BN$2="""","""", index(GOOGLEFINANCE($B$22,""close"",BN$2,TODAY()),2,2))"),29.62)</f>
        <v>29.62</v>
      </c>
      <c r="BO22" s="1">
        <f ca="1">IFERROR(__xludf.DUMMYFUNCTION("if(BO$2="""","""", index(GOOGLEFINANCE($B$22,""close"",BO$2,TODAY()),2,2))"),28.74)</f>
        <v>28.74</v>
      </c>
      <c r="BP22" s="1">
        <f ca="1">IFERROR(__xludf.DUMMYFUNCTION("if(BP$2="""","""", index(GOOGLEFINANCE($B$22,""close"",BP$2,TODAY()),2,2))"),27.37)</f>
        <v>27.37</v>
      </c>
      <c r="BQ22" s="1">
        <f ca="1">IFERROR(__xludf.DUMMYFUNCTION("if(BQ$2="""","""", index(GOOGLEFINANCE($B$22,""close"",BQ$2,TODAY()),2,2))"),26.67)</f>
        <v>26.67</v>
      </c>
      <c r="BR22" s="1">
        <f ca="1">IFERROR(__xludf.DUMMYFUNCTION("if(BR$2="""","""", index(GOOGLEFINANCE($B$22,""close"",BR$2,TODAY()),2,2))"),26.74)</f>
        <v>26.74</v>
      </c>
      <c r="BS22" s="1">
        <f ca="1">IFERROR(__xludf.DUMMYFUNCTION("if(BS$2="""","""", index(GOOGLEFINANCE($B$22,""close"",BS$2,TODAY()),2,2))"),27.6)</f>
        <v>27.6</v>
      </c>
      <c r="BT22" s="1">
        <f ca="1">IFERROR(__xludf.DUMMYFUNCTION("if(BT$2="""","""", index(GOOGLEFINANCE($B$22,""close"",BT$2,TODAY()),2,2))"),27.14)</f>
        <v>27.14</v>
      </c>
      <c r="BU22" s="1">
        <f ca="1">IFERROR(__xludf.DUMMYFUNCTION("if(BU$2="""","""", index(GOOGLEFINANCE($B$22,""close"",BU$2,TODAY()),2,2))"),27.31)</f>
        <v>27.31</v>
      </c>
      <c r="BV22" s="1">
        <f ca="1">IFERROR(__xludf.DUMMYFUNCTION("if(BV$2="""","""", index(GOOGLEFINANCE($B$22,""close"",BV$2,TODAY()),2,2))"),27.49)</f>
        <v>27.49</v>
      </c>
      <c r="BW22" s="1">
        <f ca="1">IFERROR(__xludf.DUMMYFUNCTION("if(BW$2="""","""", index(GOOGLEFINANCE($B$22,""close"",BW$2,TODAY()),2,2))"),27.82)</f>
        <v>27.82</v>
      </c>
      <c r="BX22" s="1">
        <f ca="1">IFERROR(__xludf.DUMMYFUNCTION("if(BX$2="""","""", index(GOOGLEFINANCE($B$22,""close"",BX$2,TODAY()),2,2))"),28.56)</f>
        <v>28.56</v>
      </c>
      <c r="BY22" s="1">
        <f ca="1">IFERROR(__xludf.DUMMYFUNCTION("if(BY$2="""","""", index(GOOGLEFINANCE($B$22,""close"",BY$2,TODAY()),2,2))"),29.03)</f>
        <v>29.03</v>
      </c>
      <c r="BZ22" s="1">
        <f ca="1">IFERROR(__xludf.DUMMYFUNCTION("if(BZ$2="""","""", index(GOOGLEFINANCE($B$22,""close"",BZ$2,TODAY()),2,2))"),28.54)</f>
        <v>28.54</v>
      </c>
      <c r="CA22" s="1">
        <f ca="1">IFERROR(__xludf.DUMMYFUNCTION("if(CA$2="""","""", index(GOOGLEFINANCE($B$22,""close"",CA$2,TODAY()),2,2))"),28.35)</f>
        <v>28.35</v>
      </c>
      <c r="CB22" s="1">
        <f ca="1">IFERROR(__xludf.DUMMYFUNCTION("if(CB$2="""","""", index(GOOGLEFINANCE($B$22,""close"",CB$2,TODAY()),2,2))"),28.4)</f>
        <v>28.4</v>
      </c>
      <c r="CC22" s="1">
        <f ca="1">IFERROR(__xludf.DUMMYFUNCTION("if(CC$2="""","""", index(GOOGLEFINANCE($B$22,""close"",CC$2,TODAY()),2,2))"),27.11)</f>
        <v>27.11</v>
      </c>
      <c r="CD22" s="1">
        <f ca="1">IFERROR(__xludf.DUMMYFUNCTION("if(CD$2="""","""", index(GOOGLEFINANCE($B$22,""close"",CD$2,TODAY()),2,2))"),26.9)</f>
        <v>26.9</v>
      </c>
      <c r="CE22" s="1">
        <f ca="1">IFERROR(__xludf.DUMMYFUNCTION("if(CE$2="""","""", index(GOOGLEFINANCE($B$22,""close"",CE$2,TODAY()),2,2))"),27.89)</f>
        <v>27.89</v>
      </c>
      <c r="CF22" s="1">
        <f ca="1">IFERROR(__xludf.DUMMYFUNCTION("if(CF$2="""","""", index(GOOGLEFINANCE($B$22,""close"",CF$2,TODAY()),2,2))"),27.62)</f>
        <v>27.62</v>
      </c>
      <c r="CG22" s="1">
        <f ca="1">IFERROR(__xludf.DUMMYFUNCTION("if(CG$2="""","""", index(GOOGLEFINANCE($B$22,""close"",CG$2,TODAY()),2,2))"),27.63)</f>
        <v>27.63</v>
      </c>
      <c r="CH22" s="1">
        <f ca="1">IFERROR(__xludf.DUMMYFUNCTION("if(CH$2="""","""", index(GOOGLEFINANCE($B$22,""close"",CH$2,TODAY()),2,2))"),27.75)</f>
        <v>27.75</v>
      </c>
      <c r="CI22" s="1">
        <f ca="1">IFERROR(__xludf.DUMMYFUNCTION("if(CI$2="""","""", index(GOOGLEFINANCE($B$22,""close"",CI$2,TODAY()),2,2))"),28.48)</f>
        <v>28.48</v>
      </c>
      <c r="CJ22" s="1" t="str">
        <f ca="1">IFERROR(__xludf.DUMMYFUNCTION("if(CJ$2="""","""", index(GOOGLEFINANCE($B$22,""close"",CJ$2,TODAY()),2,2))"),"")</f>
        <v/>
      </c>
      <c r="CK22" s="1" t="str">
        <f ca="1">IFERROR(__xludf.DUMMYFUNCTION("if(CK$2="""","""", index(GOOGLEFINANCE($B$22,""close"",CK$2,TODAY()),2,2))"),"")</f>
        <v/>
      </c>
      <c r="CL22" s="1" t="str">
        <f ca="1">IFERROR(__xludf.DUMMYFUNCTION("if(CL$2="""","""", index(GOOGLEFINANCE($B$22,""close"",CL$2,TODAY()),2,2))"),"")</f>
        <v/>
      </c>
      <c r="CM22" s="1" t="str">
        <f ca="1">IFERROR(__xludf.DUMMYFUNCTION("if(CM$2="""","""", index(GOOGLEFINANCE($B$22,""close"",CM$2,TODAY()),2,2))"),"")</f>
        <v/>
      </c>
      <c r="CN22" s="1" t="str">
        <f ca="1">IFERROR(__xludf.DUMMYFUNCTION("if(CN$2="""","""", index(GOOGLEFINANCE($B$22,""close"",CN$2,TODAY()),2,2))"),"")</f>
        <v/>
      </c>
      <c r="CO22" s="1" t="str">
        <f ca="1">IFERROR(__xludf.DUMMYFUNCTION("if(CO$2="""","""", index(GOOGLEFINANCE($B$22,""close"",CO$2,TODAY()),2,2))"),"")</f>
        <v/>
      </c>
      <c r="CP22" s="1" t="str">
        <f ca="1">IFERROR(__xludf.DUMMYFUNCTION("if(CP$2="""","""", index(GOOGLEFINANCE($B$22,""close"",CP$2,TODAY()),2,2))"),"")</f>
        <v/>
      </c>
      <c r="CQ22" s="1" t="str">
        <f ca="1">IFERROR(__xludf.DUMMYFUNCTION("if(CQ$2="""","""", index(GOOGLEFINANCE($B$22,""close"",CQ$2,TODAY()),2,2))"),"")</f>
        <v/>
      </c>
      <c r="CR22" s="1" t="str">
        <f ca="1">IFERROR(__xludf.DUMMYFUNCTION("if(CR$2="""","""", index(GOOGLEFINANCE($B$22,""close"",CR$2,TODAY()),2,2))"),"")</f>
        <v/>
      </c>
      <c r="CS22" s="1" t="str">
        <f ca="1">IFERROR(__xludf.DUMMYFUNCTION("if(CS$2="""","""", index(GOOGLEFINANCE($B$22,""close"",CS$2,TODAY()),2,2))"),"")</f>
        <v/>
      </c>
      <c r="CT22" s="1" t="str">
        <f ca="1">IFERROR(__xludf.DUMMYFUNCTION("if(CT$2="""","""", index(GOOGLEFINANCE($B$22,""close"",CT$2,TODAY()),2,2))"),"")</f>
        <v/>
      </c>
      <c r="CU22" s="1" t="str">
        <f ca="1">IFERROR(__xludf.DUMMYFUNCTION("if(CU$2="""","""", index(GOOGLEFINANCE($B$22,""close"",CU$2,TODAY()),2,2))"),"")</f>
        <v/>
      </c>
      <c r="CV22" s="1" t="str">
        <f ca="1">IFERROR(__xludf.DUMMYFUNCTION("if(CV$2="""","""", index(GOOGLEFINANCE($B$22,""close"",CV$2,TODAY()),2,2))"),"")</f>
        <v/>
      </c>
      <c r="CW22" s="1" t="str">
        <f ca="1">IFERROR(__xludf.DUMMYFUNCTION("if(CW$2="""","""", index(GOOGLEFINANCE($B$22,""close"",CW$2,TODAY()),2,2))"),"")</f>
        <v/>
      </c>
      <c r="CX22" s="1" t="str">
        <f ca="1">IFERROR(__xludf.DUMMYFUNCTION("if(CX$2="""","""", index(GOOGLEFINANCE($B$22,""close"",CX$2,TODAY()),2,2))"),"")</f>
        <v/>
      </c>
      <c r="CY22" s="1" t="str">
        <f ca="1">IFERROR(__xludf.DUMMYFUNCTION("if(CY$2="""","""", index(GOOGLEFINANCE($B$22,""close"",CY$2,TODAY()),2,2))"),"")</f>
        <v/>
      </c>
      <c r="CZ22" s="1" t="str">
        <f ca="1">IFERROR(__xludf.DUMMYFUNCTION("if(CZ$2="""","""", index(GOOGLEFINANCE($B$22,""close"",CZ$2,TODAY()),2,2))"),"")</f>
        <v/>
      </c>
      <c r="DA22" s="1" t="str">
        <f ca="1">IFERROR(__xludf.DUMMYFUNCTION("if(DA$2="""","""", index(GOOGLEFINANCE($B$22,""close"",DA$2,TODAY()),2,2))"),"")</f>
        <v/>
      </c>
      <c r="DB22" s="1" t="str">
        <f ca="1">IFERROR(__xludf.DUMMYFUNCTION("if(DB$2="""","""", index(GOOGLEFINANCE($B$22,""close"",DB$2,TODAY()),2,2))"),"")</f>
        <v/>
      </c>
      <c r="DC22" s="1" t="str">
        <f ca="1">IFERROR(__xludf.DUMMYFUNCTION("if(DC$2="""","""", index(GOOGLEFINANCE($B$22,""close"",DC$2,TODAY()),2,2))"),"")</f>
        <v/>
      </c>
      <c r="DD22" s="1" t="str">
        <f ca="1">IFERROR(__xludf.DUMMYFUNCTION("if(DD$2="""","""", index(GOOGLEFINANCE($B$22,""close"",DD$2,TODAY()),2,2))"),"")</f>
        <v/>
      </c>
      <c r="DE22" s="1" t="str">
        <f ca="1">IFERROR(__xludf.DUMMYFUNCTION("if(DE$2="""","""", index(GOOGLEFINANCE($B$22,""close"",DE$2,TODAY()),2,2))"),"")</f>
        <v/>
      </c>
      <c r="DF22" s="1" t="str">
        <f ca="1">IFERROR(__xludf.DUMMYFUNCTION("if(DF$2="""","""", index(GOOGLEFINANCE($B$22,""close"",DF$2,TODAY()),2,2))"),"")</f>
        <v/>
      </c>
      <c r="DG22" s="1" t="str">
        <f ca="1">IFERROR(__xludf.DUMMYFUNCTION("if(DG$2="""","""", index(GOOGLEFINANCE($B$22,""close"",DG$2,TODAY()),2,2))"),"")</f>
        <v/>
      </c>
      <c r="DH22" s="1" t="str">
        <f ca="1">IFERROR(__xludf.DUMMYFUNCTION("if(DH$2="""","""", index(GOOGLEFINANCE($B$22,""close"",DH$2,TODAY()),2,2))"),"")</f>
        <v/>
      </c>
      <c r="DI22" s="1" t="str">
        <f ca="1">IFERROR(__xludf.DUMMYFUNCTION("if(DI$2="""","""", index(GOOGLEFINANCE($B$22,""close"",DI$2,TODAY()),2,2))"),"")</f>
        <v/>
      </c>
      <c r="DJ22" s="1" t="str">
        <f ca="1">IFERROR(__xludf.DUMMYFUNCTION("if(DJ$2="""","""", index(GOOGLEFINANCE($B$22,""close"",DJ$2,TODAY()),2,2))"),"")</f>
        <v/>
      </c>
      <c r="DK22" s="1" t="str">
        <f ca="1">IFERROR(__xludf.DUMMYFUNCTION("if(DK$2="""","""", index(GOOGLEFINANCE($B$22,""close"",DK$2,TODAY()),2,2))"),"")</f>
        <v/>
      </c>
      <c r="DL22" s="1" t="str">
        <f ca="1">IFERROR(__xludf.DUMMYFUNCTION("if(DL$2="""","""", index(GOOGLEFINANCE($B$22,""close"",DL$2,TODAY()),2,2))"),"")</f>
        <v/>
      </c>
      <c r="DM22" s="1" t="str">
        <f ca="1">IFERROR(__xludf.DUMMYFUNCTION("if(DM$2="""","""", index(GOOGLEFINANCE($B$22,""close"",DM$2,TODAY()),2,2))"),"")</f>
        <v/>
      </c>
      <c r="DN22" s="1" t="str">
        <f ca="1">IFERROR(__xludf.DUMMYFUNCTION("if(DN$2="""","""", index(GOOGLEFINANCE($B$22,""close"",DN$2,TODAY()),2,2))"),"")</f>
        <v/>
      </c>
      <c r="DO22" s="1" t="str">
        <f ca="1">IFERROR(__xludf.DUMMYFUNCTION("if(DO$2="""","""", index(GOOGLEFINANCE($B$22,""close"",DO$2,TODAY()),2,2))"),"")</f>
        <v/>
      </c>
      <c r="DP22" s="1" t="str">
        <f ca="1">IFERROR(__xludf.DUMMYFUNCTION("if(DP$2="""","""", index(GOOGLEFINANCE($B$22,""close"",DP$2,TODAY()),2,2))"),"")</f>
        <v/>
      </c>
      <c r="DQ22" s="1" t="str">
        <f ca="1">IFERROR(__xludf.DUMMYFUNCTION("if(DQ$2="""","""", index(GOOGLEFINANCE($B$22,""close"",DQ$2,TODAY()),2,2))"),"")</f>
        <v/>
      </c>
      <c r="DR22" s="1" t="str">
        <f ca="1">IFERROR(__xludf.DUMMYFUNCTION("if(DR$2="""","""", index(GOOGLEFINANCE($B$22,""close"",DR$2,TODAY()),2,2))"),"")</f>
        <v/>
      </c>
      <c r="DS22" s="1" t="str">
        <f ca="1">IFERROR(__xludf.DUMMYFUNCTION("if(DS$2="""","""", index(GOOGLEFINANCE($B$22,""close"",DS$2,TODAY()),2,2))"),"")</f>
        <v/>
      </c>
      <c r="DT22" s="1" t="str">
        <f ca="1">IFERROR(__xludf.DUMMYFUNCTION("if(DT$2="""","""", index(GOOGLEFINANCE($B$22,""close"",DT$2,TODAY()),2,2))"),"")</f>
        <v/>
      </c>
      <c r="DU22" s="1" t="str">
        <f ca="1">IFERROR(__xludf.DUMMYFUNCTION("if(DU$2="""","""", index(GOOGLEFINANCE($B$22,""close"",DU$2,TODAY()),2,2))"),"")</f>
        <v/>
      </c>
      <c r="DV22" s="1" t="str">
        <f ca="1">IFERROR(__xludf.DUMMYFUNCTION("if(DV$2="""","""", index(GOOGLEFINANCE($B$22,""close"",DV$2,TODAY()),2,2))"),"")</f>
        <v/>
      </c>
      <c r="DW22" s="1" t="str">
        <f ca="1">IFERROR(__xludf.DUMMYFUNCTION("if(DW$2="""","""", index(GOOGLEFINANCE($B$22,""close"",DW$2,TODAY()),2,2))"),"")</f>
        <v/>
      </c>
      <c r="DX22" s="1" t="str">
        <f ca="1">IFERROR(__xludf.DUMMYFUNCTION("if(DX$2="""","""", index(GOOGLEFINANCE($B$22,""close"",DX$2,TODAY()),2,2))"),"")</f>
        <v/>
      </c>
      <c r="DY22" s="1" t="str">
        <f ca="1">IFERROR(__xludf.DUMMYFUNCTION("if(DY$2="""","""", index(GOOGLEFINANCE($B$22,""close"",DY$2,TODAY()),2,2))"),"")</f>
        <v/>
      </c>
      <c r="DZ22" s="1" t="str">
        <f ca="1">IFERROR(__xludf.DUMMYFUNCTION("if(DZ$2="""","""", index(GOOGLEFINANCE($B$22,""close"",DZ$2,TODAY()),2,2))"),"")</f>
        <v/>
      </c>
      <c r="EA22" s="1" t="str">
        <f ca="1">IFERROR(__xludf.DUMMYFUNCTION("if(EA$2="""","""", index(GOOGLEFINANCE($B$22,""close"",EA$2,TODAY()),2,2))"),"")</f>
        <v/>
      </c>
      <c r="EB22" s="1" t="str">
        <f ca="1">IFERROR(__xludf.DUMMYFUNCTION("if(EB$2="""","""", index(GOOGLEFINANCE($B$22,""close"",EB$2,TODAY()),2,2))"),"")</f>
        <v/>
      </c>
      <c r="EC22" s="1" t="str">
        <f ca="1">IFERROR(__xludf.DUMMYFUNCTION("if(EC$2="""","""", index(GOOGLEFINANCE($B$22,""close"",EC$2,TODAY()),2,2))"),"")</f>
        <v/>
      </c>
      <c r="ED22" s="1" t="str">
        <f ca="1">IFERROR(__xludf.DUMMYFUNCTION("if(ED$2="""","""", index(GOOGLEFINANCE($B$22,""close"",ED$2,TODAY()),2,2))"),"")</f>
        <v/>
      </c>
      <c r="EE22" s="1" t="str">
        <f ca="1">IFERROR(__xludf.DUMMYFUNCTION("if(EE$2="""","""", index(GOOGLEFINANCE($B$22,""close"",EE$2,TODAY()),2,2))"),"")</f>
        <v/>
      </c>
      <c r="EF22" s="1" t="str">
        <f ca="1">IFERROR(__xludf.DUMMYFUNCTION("if(EF$2="""","""", index(GOOGLEFINANCE($B$22,""close"",EF$2,TODAY()),2,2))"),"")</f>
        <v/>
      </c>
      <c r="EG22" s="1" t="str">
        <f ca="1">IFERROR(__xludf.DUMMYFUNCTION("if(EG$2="""","""", index(GOOGLEFINANCE($B$22,""close"",EG$2,TODAY()),2,2))"),"")</f>
        <v/>
      </c>
      <c r="EH22" s="1" t="str">
        <f ca="1">IFERROR(__xludf.DUMMYFUNCTION("if(EH$2="""","""", index(GOOGLEFINANCE($B$22,""close"",EH$2,TODAY()),2,2))"),"")</f>
        <v/>
      </c>
      <c r="EI22" s="1" t="str">
        <f ca="1">IFERROR(__xludf.DUMMYFUNCTION("if(EI$2="""","""", index(GOOGLEFINANCE($B$22,""close"",EI$2,TODAY()),2,2))"),"")</f>
        <v/>
      </c>
      <c r="EJ22" s="1" t="str">
        <f ca="1">IFERROR(__xludf.DUMMYFUNCTION("if(EJ$2="""","""", index(GOOGLEFINANCE($B$22,""close"",EJ$2,TODAY()),2,2))"),"")</f>
        <v/>
      </c>
      <c r="EK22" s="1" t="str">
        <f ca="1">IFERROR(__xludf.DUMMYFUNCTION("if(EK$2="""","""", index(GOOGLEFINANCE($B$22,""close"",EK$2,TODAY()),2,2))"),"")</f>
        <v/>
      </c>
      <c r="EL22" s="1" t="str">
        <f ca="1">IFERROR(__xludf.DUMMYFUNCTION("if(EL$2="""","""", index(GOOGLEFINANCE($B$22,""close"",EL$2,TODAY()),2,2))"),"")</f>
        <v/>
      </c>
      <c r="EM22" s="1" t="str">
        <f ca="1">IFERROR(__xludf.DUMMYFUNCTION("if(EM$2="""","""", index(GOOGLEFINANCE($B$22,""close"",EM$2,TODAY()),2,2))"),"")</f>
        <v/>
      </c>
      <c r="EN22" s="1" t="str">
        <f ca="1">IFERROR(__xludf.DUMMYFUNCTION("if(EN$2="""","""", index(GOOGLEFINANCE($B$22,""close"",EN$2,TODAY()),2,2))"),"")</f>
        <v/>
      </c>
      <c r="EO22" s="1" t="str">
        <f ca="1">IFERROR(__xludf.DUMMYFUNCTION("if(EO$2="""","""", index(GOOGLEFINANCE($B$22,""close"",EO$2,TODAY()),2,2))"),"")</f>
        <v/>
      </c>
      <c r="EP22" s="1" t="str">
        <f ca="1">IFERROR(__xludf.DUMMYFUNCTION("if(EP$2="""","""", index(GOOGLEFINANCE($B$22,""close"",EP$2,TODAY()),2,2))"),"")</f>
        <v/>
      </c>
      <c r="EQ22" s="1" t="str">
        <f ca="1">IFERROR(__xludf.DUMMYFUNCTION("if(EQ$2="""","""", index(GOOGLEFINANCE($B$22,""close"",EQ$2,TODAY()),2,2))"),"")</f>
        <v/>
      </c>
      <c r="ER22" s="1" t="str">
        <f ca="1">IFERROR(__xludf.DUMMYFUNCTION("if(ER$2="""","""", index(GOOGLEFINANCE($B$22,""close"",ER$2,TODAY()),2,2))"),"")</f>
        <v/>
      </c>
      <c r="ES22" s="1" t="str">
        <f ca="1">IFERROR(__xludf.DUMMYFUNCTION("if(ES$2="""","""", index(GOOGLEFINANCE($B$22,""close"",ES$2,TODAY()),2,2))"),"")</f>
        <v/>
      </c>
      <c r="ET22" s="1" t="str">
        <f ca="1">IFERROR(__xludf.DUMMYFUNCTION("if(ET$2="""","""", index(GOOGLEFINANCE($B$22,""close"",ET$2,TODAY()),2,2))"),"")</f>
        <v/>
      </c>
      <c r="EU22" s="1" t="str">
        <f ca="1">IFERROR(__xludf.DUMMYFUNCTION("if(EU$2="""","""", index(GOOGLEFINANCE($B$22,""close"",EU$2,TODAY()),2,2))"),"")</f>
        <v/>
      </c>
      <c r="EV22" s="1" t="str">
        <f ca="1">IFERROR(__xludf.DUMMYFUNCTION("if(EV$2="""","""", index(GOOGLEFINANCE($B$22,""close"",EV$2,TODAY()),2,2))"),"")</f>
        <v/>
      </c>
      <c r="EW22" s="1" t="str">
        <f ca="1">IFERROR(__xludf.DUMMYFUNCTION("if(EW$2="""","""", index(GOOGLEFINANCE($B$22,""close"",EW$2,TODAY()),2,2))"),"")</f>
        <v/>
      </c>
      <c r="EX22" s="1" t="str">
        <f ca="1">IFERROR(__xludf.DUMMYFUNCTION("if(EX$2="""","""", index(GOOGLEFINANCE($B$22,""close"",EX$2,TODAY()),2,2))"),"")</f>
        <v/>
      </c>
      <c r="EY22" s="1" t="str">
        <f ca="1">IFERROR(__xludf.DUMMYFUNCTION("if(EY$2="""","""", index(GOOGLEFINANCE($B$22,""close"",EY$2,TODAY()),2,2))"),"")</f>
        <v/>
      </c>
      <c r="EZ22" s="1" t="str">
        <f ca="1">IFERROR(__xludf.DUMMYFUNCTION("if(EZ$2="""","""", index(GOOGLEFINANCE($B$22,""close"",EZ$2,TODAY()),2,2))"),"")</f>
        <v/>
      </c>
      <c r="FA22" s="1" t="str">
        <f ca="1">IFERROR(__xludf.DUMMYFUNCTION("if(FA$2="""","""", index(GOOGLEFINANCE($B$22,""close"",FA$2,TODAY()),2,2))"),"")</f>
        <v/>
      </c>
      <c r="FB22" s="1" t="str">
        <f ca="1">IFERROR(__xludf.DUMMYFUNCTION("if(FB$2="""","""", index(GOOGLEFINANCE($B$22,""close"",FB$2,TODAY()),2,2))"),"")</f>
        <v/>
      </c>
      <c r="FC22" s="1" t="str">
        <f ca="1">IFERROR(__xludf.DUMMYFUNCTION("if(FC$2="""","""", index(GOOGLEFINANCE($B$22,""close"",FC$2,TODAY()),2,2))"),"")</f>
        <v/>
      </c>
      <c r="FD22" s="1" t="str">
        <f ca="1">IFERROR(__xludf.DUMMYFUNCTION("if(FD$2="""","""", index(GOOGLEFINANCE($B$22,""close"",FD$2,TODAY()),2,2))"),"")</f>
        <v/>
      </c>
      <c r="FE22" s="1" t="str">
        <f ca="1">IFERROR(__xludf.DUMMYFUNCTION("if(FE$2="""","""", index(GOOGLEFINANCE($B$22,""close"",FE$2,TODAY()),2,2))"),"")</f>
        <v/>
      </c>
      <c r="FF22" s="1" t="str">
        <f ca="1">IFERROR(__xludf.DUMMYFUNCTION("if(FF$2="""","""", index(GOOGLEFINANCE($B$22,""close"",FF$2,TODAY()),2,2))"),"")</f>
        <v/>
      </c>
      <c r="FG22" s="1" t="str">
        <f ca="1">IFERROR(__xludf.DUMMYFUNCTION("if(FG$2="""","""", index(GOOGLEFINANCE($B$22,""close"",FG$2,TODAY()),2,2))"),"")</f>
        <v/>
      </c>
      <c r="FH22" s="1" t="str">
        <f ca="1">IFERROR(__xludf.DUMMYFUNCTION("if(FH$2="""","""", index(GOOGLEFINANCE($B$22,""close"",FH$2,TODAY()),2,2))"),"")</f>
        <v/>
      </c>
      <c r="FI22" s="1" t="str">
        <f ca="1">IFERROR(__xludf.DUMMYFUNCTION("if(FI$2="""","""", index(GOOGLEFINANCE($B$22,""close"",FI$2,TODAY()),2,2))"),"")</f>
        <v/>
      </c>
      <c r="FJ22" s="1" t="str">
        <f ca="1">IFERROR(__xludf.DUMMYFUNCTION("if(FJ$2="""","""", index(GOOGLEFINANCE($B$22,""close"",FJ$2,TODAY()),2,2))"),"")</f>
        <v/>
      </c>
      <c r="FK22" s="1" t="str">
        <f ca="1">IFERROR(__xludf.DUMMYFUNCTION("if(FK$2="""","""", index(GOOGLEFINANCE($B$22,""close"",FK$2,TODAY()),2,2))"),"")</f>
        <v/>
      </c>
      <c r="FL22" s="1" t="str">
        <f ca="1">IFERROR(__xludf.DUMMYFUNCTION("if(FL$2="""","""", index(GOOGLEFINANCE($B$22,""close"",FL$2,TODAY()),2,2))"),"")</f>
        <v/>
      </c>
      <c r="FM22" s="1" t="str">
        <f ca="1">IFERROR(__xludf.DUMMYFUNCTION("if(FM$2="""","""", index(GOOGLEFINANCE($B$22,""close"",FM$2,TODAY()),2,2))"),"")</f>
        <v/>
      </c>
      <c r="FN22" s="1" t="str">
        <f ca="1">IFERROR(__xludf.DUMMYFUNCTION("if(FN$2="""","""", index(GOOGLEFINANCE($B$22,""close"",FN$2,TODAY()),2,2))"),"")</f>
        <v/>
      </c>
      <c r="FO22" s="1" t="str">
        <f ca="1">IFERROR(__xludf.DUMMYFUNCTION("if(FO$2="""","""", index(GOOGLEFINANCE($B$22,""close"",FO$2,TODAY()),2,2))"),"")</f>
        <v/>
      </c>
      <c r="FP22" s="1" t="str">
        <f ca="1">IFERROR(__xludf.DUMMYFUNCTION("if(FP$2="""","""", index(GOOGLEFINANCE($B$22,""close"",FP$2,TODAY()),2,2))"),"")</f>
        <v/>
      </c>
      <c r="FQ22" s="1" t="str">
        <f ca="1">IFERROR(__xludf.DUMMYFUNCTION("if(FQ$2="""","""", index(GOOGLEFINANCE($B$22,""close"",FQ$2,TODAY()),2,2))"),"")</f>
        <v/>
      </c>
      <c r="FR22" s="1" t="str">
        <f ca="1">IFERROR(__xludf.DUMMYFUNCTION("if(FR$2="""","""", index(GOOGLEFINANCE($B$22,""close"",FR$2,TODAY()),2,2))"),"")</f>
        <v/>
      </c>
      <c r="FS22" s="1" t="str">
        <f ca="1">IFERROR(__xludf.DUMMYFUNCTION("if(FS$2="""","""", index(GOOGLEFINANCE($B$22,""close"",FS$2,TODAY()),2,2))"),"")</f>
        <v/>
      </c>
      <c r="FT22" s="1" t="str">
        <f ca="1">IFERROR(__xludf.DUMMYFUNCTION("if(FT$2="""","""", index(GOOGLEFINANCE($B$22,""close"",FT$2,TODAY()),2,2))"),"")</f>
        <v/>
      </c>
      <c r="FU22" s="1" t="str">
        <f ca="1">IFERROR(__xludf.DUMMYFUNCTION("if(FU$2="""","""", index(GOOGLEFINANCE($B$22,""close"",FU$2,TODAY()),2,2))"),"")</f>
        <v/>
      </c>
      <c r="FV22" s="1" t="str">
        <f ca="1">IFERROR(__xludf.DUMMYFUNCTION("if(FV$2="""","""", index(GOOGLEFINANCE($B$22,""close"",FV$2,TODAY()),2,2))"),"")</f>
        <v/>
      </c>
      <c r="FW22" s="1" t="str">
        <f ca="1">IFERROR(__xludf.DUMMYFUNCTION("if(FW$2="""","""", index(GOOGLEFINANCE($B$22,""close"",FW$2,TODAY()),2,2))"),"")</f>
        <v/>
      </c>
      <c r="FX22" s="1" t="str">
        <f ca="1">IFERROR(__xludf.DUMMYFUNCTION("if(FX$2="""","""", index(GOOGLEFINANCE($B$22,""close"",FX$2,TODAY()),2,2))"),"")</f>
        <v/>
      </c>
      <c r="FY22" s="1" t="str">
        <f ca="1">IFERROR(__xludf.DUMMYFUNCTION("if(FY$2="""","""", index(GOOGLEFINANCE($B$22,""close"",FY$2,TODAY()),2,2))"),"")</f>
        <v/>
      </c>
      <c r="FZ22" s="1" t="str">
        <f ca="1">IFERROR(__xludf.DUMMYFUNCTION("if(FZ$2="""","""", index(GOOGLEFINANCE($B$22,""close"",FZ$2,TODAY()),2,2))"),"")</f>
        <v/>
      </c>
      <c r="GA22" s="1" t="str">
        <f ca="1">IFERROR(__xludf.DUMMYFUNCTION("if(GA$2="""","""", index(GOOGLEFINANCE($B$22,""close"",GA$2,TODAY()),2,2))"),"")</f>
        <v/>
      </c>
      <c r="GB22" s="1" t="str">
        <f ca="1">IFERROR(__xludf.DUMMYFUNCTION("if(GB$2="""","""", index(GOOGLEFINANCE($B$22,""close"",GB$2,TODAY()),2,2))"),"")</f>
        <v/>
      </c>
      <c r="GC22" s="1" t="str">
        <f ca="1">IFERROR(__xludf.DUMMYFUNCTION("if(GC$2="""","""", index(GOOGLEFINANCE($B$22,""close"",GC$2,TODAY()),2,2))"),"")</f>
        <v/>
      </c>
      <c r="GD22" s="1" t="str">
        <f ca="1">IFERROR(__xludf.DUMMYFUNCTION("if(GD$2="""","""", index(GOOGLEFINANCE($B$22,""close"",GD$2,TODAY()),2,2))"),"")</f>
        <v/>
      </c>
      <c r="GE22" s="1" t="str">
        <f ca="1">IFERROR(__xludf.DUMMYFUNCTION("if(GE$2="""","""", index(GOOGLEFINANCE($B$22,""close"",GE$2,TODAY()),2,2))"),"")</f>
        <v/>
      </c>
      <c r="GF22" s="1" t="str">
        <f ca="1">IFERROR(__xludf.DUMMYFUNCTION("if(GF$2="""","""", index(GOOGLEFINANCE($B$22,""close"",GF$2,TODAY()),2,2))"),"")</f>
        <v/>
      </c>
      <c r="GG22" s="1" t="str">
        <f ca="1">IFERROR(__xludf.DUMMYFUNCTION("if(GG$2="""","""", index(GOOGLEFINANCE($B$22,""close"",GG$2,TODAY()),2,2))"),"")</f>
        <v/>
      </c>
      <c r="GH22" s="1" t="str">
        <f ca="1">IFERROR(__xludf.DUMMYFUNCTION("if(GH$2="""","""", index(GOOGLEFINANCE($B$22,""close"",GH$2,TODAY()),2,2))"),"")</f>
        <v/>
      </c>
      <c r="GI22" s="1" t="str">
        <f ca="1">IFERROR(__xludf.DUMMYFUNCTION("if(GI$2="""","""", index(GOOGLEFINANCE($B$22,""close"",GI$2,TODAY()),2,2))"),"")</f>
        <v/>
      </c>
      <c r="GJ22" s="1" t="str">
        <f ca="1">IFERROR(__xludf.DUMMYFUNCTION("if(GJ$2="""","""", index(GOOGLEFINANCE($B$22,""close"",GJ$2,TODAY()),2,2))"),"")</f>
        <v/>
      </c>
      <c r="GK22" s="1" t="str">
        <f ca="1">IFERROR(__xludf.DUMMYFUNCTION("if(GK$2="""","""", index(GOOGLEFINANCE($B$22,""close"",GK$2,TODAY()),2,2))"),"")</f>
        <v/>
      </c>
      <c r="GL22" s="1" t="str">
        <f ca="1">IFERROR(__xludf.DUMMYFUNCTION("if(GL$2="""","""", index(GOOGLEFINANCE($B$22,""close"",GL$2,TODAY()),2,2))"),"")</f>
        <v/>
      </c>
      <c r="GM22" s="1" t="str">
        <f ca="1">IFERROR(__xludf.DUMMYFUNCTION("if(GM$2="""","""", index(GOOGLEFINANCE($B$22,""close"",GM$2,TODAY()),2,2))"),"")</f>
        <v/>
      </c>
      <c r="GN22" s="1" t="str">
        <f ca="1">IFERROR(__xludf.DUMMYFUNCTION("if(GN$2="""","""", index(GOOGLEFINANCE($B$22,""close"",GN$2,TODAY()),2,2))"),"")</f>
        <v/>
      </c>
      <c r="GO22" s="1" t="str">
        <f ca="1">IFERROR(__xludf.DUMMYFUNCTION("if(GO$2="""","""", index(GOOGLEFINANCE($B$22,""close"",GO$2,TODAY()),2,2))"),"")</f>
        <v/>
      </c>
      <c r="GP22" s="1" t="str">
        <f ca="1">IFERROR(__xludf.DUMMYFUNCTION("if(GP$2="""","""", index(GOOGLEFINANCE($B$22,""close"",GP$2,TODAY()),2,2))"),"")</f>
        <v/>
      </c>
      <c r="GQ22" s="1" t="str">
        <f ca="1">IFERROR(__xludf.DUMMYFUNCTION("if(GQ$2="""","""", index(GOOGLEFINANCE($B$22,""close"",GQ$2,TODAY()),2,2))"),"")</f>
        <v/>
      </c>
      <c r="GR22" s="1" t="str">
        <f ca="1">IFERROR(__xludf.DUMMYFUNCTION("if(GR$2="""","""", index(GOOGLEFINANCE($B$22,""close"",GR$2,TODAY()),2,2))"),"")</f>
        <v/>
      </c>
      <c r="GS22" s="1" t="str">
        <f ca="1">IFERROR(__xludf.DUMMYFUNCTION("if(GS$2="""","""", index(GOOGLEFINANCE($B$22,""close"",GS$2,TODAY()),2,2))"),"")</f>
        <v/>
      </c>
      <c r="GT22" s="1" t="str">
        <f ca="1">IFERROR(__xludf.DUMMYFUNCTION("if(GT$2="""","""", index(GOOGLEFINANCE($B$22,""close"",GT$2,TODAY()),2,2))"),"")</f>
        <v/>
      </c>
      <c r="GU22" s="1" t="str">
        <f ca="1">IFERROR(__xludf.DUMMYFUNCTION("if(GU$2="""","""", index(GOOGLEFINANCE($B$22,""close"",GU$2,TODAY()),2,2))"),"")</f>
        <v/>
      </c>
      <c r="GV22" s="1" t="str">
        <f ca="1">IFERROR(__xludf.DUMMYFUNCTION("if(GV$2="""","""", index(GOOGLEFINANCE($B$22,""close"",GV$2,TODAY()),2,2))"),"")</f>
        <v/>
      </c>
      <c r="GW22" s="1" t="str">
        <f ca="1">IFERROR(__xludf.DUMMYFUNCTION("if(GW$2="""","""", index(GOOGLEFINANCE($B$22,""close"",GW$2,TODAY()),2,2))"),"")</f>
        <v/>
      </c>
      <c r="GX22" s="1" t="str">
        <f ca="1">IFERROR(__xludf.DUMMYFUNCTION("if(GX$2="""","""", index(GOOGLEFINANCE($B$22,""close"",GX$2,TODAY()),2,2))"),"")</f>
        <v/>
      </c>
      <c r="GY22" s="1" t="str">
        <f ca="1">IFERROR(__xludf.DUMMYFUNCTION("if(GY$2="""","""", index(GOOGLEFINANCE($B$22,""close"",GY$2,TODAY()),2,2))"),"")</f>
        <v/>
      </c>
      <c r="GZ22" s="1" t="str">
        <f ca="1">IFERROR(__xludf.DUMMYFUNCTION("if(GZ$2="""","""", index(GOOGLEFINANCE($B$22,""close"",GZ$2,TODAY()),2,2))"),"")</f>
        <v/>
      </c>
      <c r="HA22" s="1" t="str">
        <f ca="1">IFERROR(__xludf.DUMMYFUNCTION("if(HA$2="""","""", index(GOOGLEFINANCE($B$22,""close"",HA$2,TODAY()),2,2))"),"")</f>
        <v/>
      </c>
      <c r="HB22" s="1" t="str">
        <f ca="1">IFERROR(__xludf.DUMMYFUNCTION("if(HB$2="""","""", index(GOOGLEFINANCE($B$22,""close"",HB$2,TODAY()),2,2))"),"")</f>
        <v/>
      </c>
      <c r="HC22" s="1" t="str">
        <f ca="1">IFERROR(__xludf.DUMMYFUNCTION("if(HC$2="""","""", index(GOOGLEFINANCE($B$22,""close"",HC$2,TODAY()),2,2))"),"")</f>
        <v/>
      </c>
      <c r="HD22" s="1" t="str">
        <f ca="1">IFERROR(__xludf.DUMMYFUNCTION("if(HD$2="""","""", index(GOOGLEFINANCE($B$22,""close"",HD$2,TODAY()),2,2))"),"")</f>
        <v/>
      </c>
      <c r="HE22" s="1" t="str">
        <f ca="1">IFERROR(__xludf.DUMMYFUNCTION("if(HE$2="""","""", index(GOOGLEFINANCE($B$22,""close"",HE$2,TODAY()),2,2))"),"")</f>
        <v/>
      </c>
      <c r="HF22" s="1" t="str">
        <f ca="1">IFERROR(__xludf.DUMMYFUNCTION("if(HF$2="""","""", index(GOOGLEFINANCE($B$22,""close"",HF$2,TODAY()),2,2))"),"")</f>
        <v/>
      </c>
      <c r="HG22" s="1" t="str">
        <f ca="1">IFERROR(__xludf.DUMMYFUNCTION("if(HG$2="""","""", index(GOOGLEFINANCE($B$22,""close"",HG$2,TODAY()),2,2))"),"")</f>
        <v/>
      </c>
      <c r="HH22" s="1" t="str">
        <f ca="1">IFERROR(__xludf.DUMMYFUNCTION("if(HH$2="""","""", index(GOOGLEFINANCE($B$22,""close"",HH$2,TODAY()),2,2))"),"")</f>
        <v/>
      </c>
      <c r="HI22" s="1" t="str">
        <f ca="1">IFERROR(__xludf.DUMMYFUNCTION("if(HI$2="""","""", index(GOOGLEFINANCE($B$22,""close"",HI$2,TODAY()),2,2))"),"")</f>
        <v/>
      </c>
      <c r="HJ22" s="1" t="str">
        <f ca="1">IFERROR(__xludf.DUMMYFUNCTION("if(HJ$2="""","""", index(GOOGLEFINANCE($B$22,""close"",HJ$2,TODAY()),2,2))"),"")</f>
        <v/>
      </c>
      <c r="HK22" s="1" t="str">
        <f ca="1">IFERROR(__xludf.DUMMYFUNCTION("if(HK$2="""","""", index(GOOGLEFINANCE($B$22,""close"",HK$2,TODAY()),2,2))"),"")</f>
        <v/>
      </c>
      <c r="HL22" s="1" t="str">
        <f ca="1">IFERROR(__xludf.DUMMYFUNCTION("if(HL$2="""","""", index(GOOGLEFINANCE($B$22,""close"",HL$2,TODAY()),2,2))"),"")</f>
        <v/>
      </c>
      <c r="HM22" s="1" t="str">
        <f ca="1">IFERROR(__xludf.DUMMYFUNCTION("if(HM$2="""","""", index(GOOGLEFINANCE($B$22,""close"",HM$2,TODAY()),2,2))"),"")</f>
        <v/>
      </c>
      <c r="HN22" s="1" t="str">
        <f ca="1">IFERROR(__xludf.DUMMYFUNCTION("if(HN$2="""","""", index(GOOGLEFINANCE($B$22,""close"",HN$2,TODAY()),2,2))"),"")</f>
        <v/>
      </c>
      <c r="HO22" s="1" t="str">
        <f ca="1">IFERROR(__xludf.DUMMYFUNCTION("if(HO$2="""","""", index(GOOGLEFINANCE($B$22,""close"",HO$2,TODAY()),2,2))"),"")</f>
        <v/>
      </c>
      <c r="HP22" s="1" t="str">
        <f ca="1">IFERROR(__xludf.DUMMYFUNCTION("if(HP$2="""","""", index(GOOGLEFINANCE($B$22,""close"",HP$2,TODAY()),2,2))"),"")</f>
        <v/>
      </c>
      <c r="HQ22" s="1" t="str">
        <f ca="1">IFERROR(__xludf.DUMMYFUNCTION("if(HQ$2="""","""", index(GOOGLEFINANCE($B$22,""close"",HQ$2,TODAY()),2,2))"),"")</f>
        <v/>
      </c>
      <c r="HR22" s="1" t="str">
        <f ca="1">IFERROR(__xludf.DUMMYFUNCTION("if(HR$2="""","""", index(GOOGLEFINANCE($B$22,""close"",HR$2,TODAY()),2,2))"),"")</f>
        <v/>
      </c>
      <c r="HS22" s="1" t="str">
        <f ca="1">IFERROR(__xludf.DUMMYFUNCTION("if(HS$2="""","""", index(GOOGLEFINANCE($B$22,""close"",HS$2,TODAY()),2,2))"),"")</f>
        <v/>
      </c>
      <c r="HT22" s="1" t="str">
        <f ca="1">IFERROR(__xludf.DUMMYFUNCTION("if(HT$2="""","""", index(GOOGLEFINANCE($B$22,""close"",HT$2,TODAY()),2,2))"),"")</f>
        <v/>
      </c>
      <c r="HU22" s="1" t="str">
        <f ca="1">IFERROR(__xludf.DUMMYFUNCTION("if(HU$2="""","""", index(GOOGLEFINANCE($B$22,""close"",HU$2,TODAY()),2,2))"),"")</f>
        <v/>
      </c>
      <c r="HV22" s="1" t="str">
        <f ca="1">IFERROR(__xludf.DUMMYFUNCTION("if(HV$2="""","""", index(GOOGLEFINANCE($B$22,""close"",HV$2,TODAY()),2,2))"),"")</f>
        <v/>
      </c>
      <c r="HW22" s="1" t="str">
        <f ca="1">IFERROR(__xludf.DUMMYFUNCTION("if(HW$2="""","""", index(GOOGLEFINANCE($B$22,""close"",HW$2,TODAY()),2,2))"),"")</f>
        <v/>
      </c>
      <c r="HX22" s="1" t="str">
        <f ca="1">IFERROR(__xludf.DUMMYFUNCTION("if(HX$2="""","""", index(GOOGLEFINANCE($B$22,""close"",HX$2,TODAY()),2,2))"),"")</f>
        <v/>
      </c>
      <c r="HY22" s="1" t="str">
        <f ca="1">IFERROR(__xludf.DUMMYFUNCTION("if(HY$2="""","""", index(GOOGLEFINANCE($B$22,""close"",HY$2,TODAY()),2,2))"),"")</f>
        <v/>
      </c>
      <c r="HZ22" s="1" t="str">
        <f ca="1">IFERROR(__xludf.DUMMYFUNCTION("if(HZ$2="""","""", index(GOOGLEFINANCE($B$22,""close"",HZ$2,TODAY()),2,2))"),"")</f>
        <v/>
      </c>
      <c r="IA22" s="1" t="str">
        <f ca="1">IFERROR(__xludf.DUMMYFUNCTION("if(IA$2="""","""", index(GOOGLEFINANCE($B$22,""close"",IA$2,TODAY()),2,2))"),"")</f>
        <v/>
      </c>
      <c r="IB22" s="1" t="str">
        <f ca="1">IFERROR(__xludf.DUMMYFUNCTION("if(IB$2="""","""", index(GOOGLEFINANCE($B$22,""close"",IB$2,TODAY()),2,2))"),"")</f>
        <v/>
      </c>
      <c r="IC22" s="1" t="str">
        <f ca="1">IFERROR(__xludf.DUMMYFUNCTION("if(IC$2="""","""", index(GOOGLEFINANCE($B$22,""close"",IC$2,TODAY()),2,2))"),"")</f>
        <v/>
      </c>
      <c r="ID22" s="1" t="str">
        <f ca="1">IFERROR(__xludf.DUMMYFUNCTION("if(ID$2="""","""", index(GOOGLEFINANCE($B$22,""close"",ID$2,TODAY()),2,2))"),"")</f>
        <v/>
      </c>
      <c r="IE22" s="1" t="str">
        <f ca="1">IFERROR(__xludf.DUMMYFUNCTION("if(IE$2="""","""", index(GOOGLEFINANCE($B$22,""close"",IE$2,TODAY()),2,2))"),"")</f>
        <v/>
      </c>
      <c r="IF22" s="1" t="str">
        <f ca="1">IFERROR(__xludf.DUMMYFUNCTION("if(IF$2="""","""", index(GOOGLEFINANCE($B$22,""close"",IF$2,TODAY()),2,2))"),"")</f>
        <v/>
      </c>
      <c r="IG22" s="1" t="str">
        <f ca="1">IFERROR(__xludf.DUMMYFUNCTION("if(IG$2="""","""", index(GOOGLEFINANCE($B$22,""close"",IG$2,TODAY()),2,2))"),"")</f>
        <v/>
      </c>
      <c r="IH22" s="1" t="str">
        <f ca="1">IFERROR(__xludf.DUMMYFUNCTION("if(IH$2="""","""", index(GOOGLEFINANCE($B$22,""close"",IH$2,TODAY()),2,2))"),"")</f>
        <v/>
      </c>
      <c r="II22" s="1" t="str">
        <f ca="1">IFERROR(__xludf.DUMMYFUNCTION("if(II$2="""","""", index(GOOGLEFINANCE($B$22,""close"",II$2,TODAY()),2,2))"),"")</f>
        <v/>
      </c>
      <c r="IJ22" s="1" t="str">
        <f ca="1">IFERROR(__xludf.DUMMYFUNCTION("if(IJ$2="""","""", index(GOOGLEFINANCE($B$22,""close"",IJ$2,TODAY()),2,2))"),"")</f>
        <v/>
      </c>
      <c r="IK22" s="1" t="str">
        <f ca="1">IFERROR(__xludf.DUMMYFUNCTION("if(IK$2="""","""", index(GOOGLEFINANCE($B$22,""close"",IK$2,TODAY()),2,2))"),"")</f>
        <v/>
      </c>
      <c r="IL22" s="1" t="str">
        <f ca="1">IFERROR(__xludf.DUMMYFUNCTION("if(IL$2="""","""", index(GOOGLEFINANCE($B$22,""close"",IL$2,TODAY()),2,2))"),"")</f>
        <v/>
      </c>
      <c r="IM22" s="1" t="str">
        <f ca="1">IFERROR(__xludf.DUMMYFUNCTION("if(IM$2="""","""", index(GOOGLEFINANCE($B$22,""close"",IM$2,TODAY()),2,2))"),"")</f>
        <v/>
      </c>
      <c r="IN22" s="1" t="str">
        <f ca="1">IFERROR(__xludf.DUMMYFUNCTION("if(IN$2="""","""", index(GOOGLEFINANCE($B$22,""close"",IN$2,TODAY()),2,2))"),"")</f>
        <v/>
      </c>
      <c r="IO22" s="1" t="str">
        <f ca="1">IFERROR(__xludf.DUMMYFUNCTION("if(IO$2="""","""", index(GOOGLEFINANCE($B$22,""close"",IO$2,TODAY()),2,2))"),"")</f>
        <v/>
      </c>
      <c r="IP22" s="1" t="str">
        <f ca="1">IFERROR(__xludf.DUMMYFUNCTION("if(IP$2="""","""", index(GOOGLEFINANCE($B$22,""close"",IP$2,TODAY()),2,2))"),"")</f>
        <v/>
      </c>
      <c r="IQ22" s="1" t="str">
        <f ca="1">IFERROR(__xludf.DUMMYFUNCTION("if(IQ$2="""","""", index(GOOGLEFINANCE($B$22,""close"",IQ$2,TODAY()),2,2))"),"")</f>
        <v/>
      </c>
      <c r="IR22" s="1" t="str">
        <f ca="1">IFERROR(__xludf.DUMMYFUNCTION("if(IR$2="""","""", index(GOOGLEFINANCE($B$22,""close"",IR$2,TODAY()),2,2))"),"")</f>
        <v/>
      </c>
      <c r="IS22" s="1" t="str">
        <f ca="1">IFERROR(__xludf.DUMMYFUNCTION("if(IS$2="""","""", index(GOOGLEFINANCE($B$22,""close"",IS$2,TODAY()),2,2))"),"")</f>
        <v/>
      </c>
      <c r="IT22" s="1" t="str">
        <f ca="1">IFERROR(__xludf.DUMMYFUNCTION("if(IT$2="""","""", index(GOOGLEFINANCE($B$22,""close"",IT$2,TODAY()),2,2))"),"")</f>
        <v/>
      </c>
      <c r="IU22" s="1" t="str">
        <f ca="1">IFERROR(__xludf.DUMMYFUNCTION("if(IU$2="""","""", index(GOOGLEFINANCE($B$22,""close"",IU$2,TODAY()),2,2))"),"")</f>
        <v/>
      </c>
      <c r="IV22" s="1" t="str">
        <f ca="1">IFERROR(__xludf.DUMMYFUNCTION("if(IV$2="""","""", index(GOOGLEFINANCE($B$22,""close"",IV$2,TODAY()),2,2))"),"")</f>
        <v/>
      </c>
      <c r="IW22" s="1" t="str">
        <f ca="1">IFERROR(__xludf.DUMMYFUNCTION("if(IW$2="""","""", index(GOOGLEFINANCE($B$22,""close"",IW$2,TODAY()),2,2))"),"")</f>
        <v/>
      </c>
      <c r="IX22" s="1" t="str">
        <f ca="1">IFERROR(__xludf.DUMMYFUNCTION("if(IX$2="""","""", index(GOOGLEFINANCE($B$22,""close"",IX$2,TODAY()),2,2))"),"")</f>
        <v/>
      </c>
      <c r="IY22" s="1" t="str">
        <f ca="1">IFERROR(__xludf.DUMMYFUNCTION("if(IY$2="""","""", index(GOOGLEFINANCE($B$22,""close"",IY$2,TODAY()),2,2))"),"")</f>
        <v/>
      </c>
      <c r="IZ22" s="1" t="str">
        <f ca="1">IFERROR(__xludf.DUMMYFUNCTION("if(IZ$2="""","""", index(GOOGLEFINANCE($B$22,""close"",IZ$2,TODAY()),2,2))"),"")</f>
        <v/>
      </c>
      <c r="JA22" s="1" t="str">
        <f ca="1">IFERROR(__xludf.DUMMYFUNCTION("if(JA$2="""","""", index(GOOGLEFINANCE($B$22,""close"",JA$2,TODAY()),2,2))"),"")</f>
        <v/>
      </c>
      <c r="JB22" s="1" t="str">
        <f ca="1">IFERROR(__xludf.DUMMYFUNCTION("if(JB$2="""","""", index(GOOGLEFINANCE($B$22,""close"",JB$2,TODAY()),2,2))"),"")</f>
        <v/>
      </c>
      <c r="JC22" s="1" t="str">
        <f ca="1">IFERROR(__xludf.DUMMYFUNCTION("if(JC$2="""","""", index(GOOGLEFINANCE($B$22,""close"",JC$2,TODAY()),2,2))"),"")</f>
        <v/>
      </c>
      <c r="JD22" s="1" t="str">
        <f ca="1">IFERROR(__xludf.DUMMYFUNCTION("if(JD$2="""","""", index(GOOGLEFINANCE($B$22,""close"",JD$2,TODAY()),2,2))"),"")</f>
        <v/>
      </c>
      <c r="JE22" s="1" t="str">
        <f ca="1">IFERROR(__xludf.DUMMYFUNCTION("if(JE$2="""","""", index(GOOGLEFINANCE($B$22,""close"",JE$2,TODAY()),2,2))"),"")</f>
        <v/>
      </c>
      <c r="JF22" s="1" t="str">
        <f ca="1">IFERROR(__xludf.DUMMYFUNCTION("if(JF$2="""","""", index(GOOGLEFINANCE($B$22,""close"",JF$2,TODAY()),2,2))"),"")</f>
        <v/>
      </c>
      <c r="JG22" s="1" t="str">
        <f ca="1">IFERROR(__xludf.DUMMYFUNCTION("if(JG$2="""","""", index(GOOGLEFINANCE($B$22,""close"",JG$2,TODAY()),2,2))"),"")</f>
        <v/>
      </c>
      <c r="JH22" s="1" t="str">
        <f ca="1">IFERROR(__xludf.DUMMYFUNCTION("if(JH$2="""","""", index(GOOGLEFINANCE($B$22,""close"",JH$2,TODAY()),2,2))"),"")</f>
        <v/>
      </c>
      <c r="JI22" s="1" t="str">
        <f ca="1">IFERROR(__xludf.DUMMYFUNCTION("if(JI$2="""","""", index(GOOGLEFINANCE($B$22,""close"",JI$2,TODAY()),2,2))"),"")</f>
        <v/>
      </c>
      <c r="JJ22" s="1" t="str">
        <f ca="1">IFERROR(__xludf.DUMMYFUNCTION("if(JJ$2="""","""", index(GOOGLEFINANCE($B$22,""close"",JJ$2,TODAY()),2,2))"),"")</f>
        <v/>
      </c>
      <c r="JK22" s="1" t="str">
        <f ca="1">IFERROR(__xludf.DUMMYFUNCTION("if(JK$2="""","""", index(GOOGLEFINANCE($B$22,""close"",JK$2,TODAY()),2,2))"),"")</f>
        <v/>
      </c>
      <c r="JL22" s="1" t="str">
        <f ca="1">IFERROR(__xludf.DUMMYFUNCTION("if(JL$2="""","""", index(GOOGLEFINANCE($B$22,""close"",JL$2,TODAY()),2,2))"),"")</f>
        <v/>
      </c>
      <c r="JM22" s="1" t="str">
        <f ca="1">IFERROR(__xludf.DUMMYFUNCTION("if(JM$2="""","""", index(GOOGLEFINANCE($B$22,""close"",JM$2,TODAY()),2,2))"),"")</f>
        <v/>
      </c>
      <c r="JN22" s="1" t="str">
        <f ca="1">IFERROR(__xludf.DUMMYFUNCTION("if(JN$2="""","""", index(GOOGLEFINANCE($B$22,""close"",JN$2,TODAY()),2,2))"),"")</f>
        <v/>
      </c>
      <c r="JO22" s="1" t="str">
        <f ca="1">IFERROR(__xludf.DUMMYFUNCTION("if(JO$2="""","""", index(GOOGLEFINANCE($B$22,""close"",JO$2,TODAY()),2,2))"),"")</f>
        <v/>
      </c>
      <c r="JP22" s="1" t="str">
        <f ca="1">IFERROR(__xludf.DUMMYFUNCTION("if(JP$2="""","""", index(GOOGLEFINANCE($B$22,""close"",JP$2,TODAY()),2,2))"),"")</f>
        <v/>
      </c>
      <c r="JQ22" s="1" t="str">
        <f ca="1">IFERROR(__xludf.DUMMYFUNCTION("if(JQ$2="""","""", index(GOOGLEFINANCE($B$22,""close"",JQ$2,TODAY()),2,2))"),"")</f>
        <v/>
      </c>
      <c r="JR22" s="1" t="str">
        <f ca="1">IFERROR(__xludf.DUMMYFUNCTION("if(JR$2="""","""", index(GOOGLEFINANCE($B$22,""close"",JR$2,TODAY()),2,2))"),"")</f>
        <v/>
      </c>
      <c r="JS22" s="1" t="str">
        <f ca="1">IFERROR(__xludf.DUMMYFUNCTION("if(JS$2="""","""", index(GOOGLEFINANCE($B$22,""close"",JS$2,TODAY()),2,2))"),"")</f>
        <v/>
      </c>
      <c r="JT22" s="1" t="str">
        <f ca="1">IFERROR(__xludf.DUMMYFUNCTION("if(JT$2="""","""", index(GOOGLEFINANCE($B$22,""close"",JT$2,TODAY()),2,2))"),"")</f>
        <v/>
      </c>
      <c r="JU22" s="1" t="str">
        <f ca="1">IFERROR(__xludf.DUMMYFUNCTION("if(JU$2="""","""", index(GOOGLEFINANCE($B$22,""close"",JU$2,TODAY()),2,2))"),"")</f>
        <v/>
      </c>
      <c r="JV22" s="1" t="str">
        <f ca="1">IFERROR(__xludf.DUMMYFUNCTION("if(JV$2="""","""", index(GOOGLEFINANCE($B$22,""close"",JV$2,TODAY()),2,2))"),"")</f>
        <v/>
      </c>
      <c r="JW22" s="1" t="str">
        <f ca="1">IFERROR(__xludf.DUMMYFUNCTION("if(JW$2="""","""", index(GOOGLEFINANCE($B$22,""close"",JW$2,TODAY()),2,2))"),"")</f>
        <v/>
      </c>
      <c r="JX22" s="1" t="str">
        <f ca="1">IFERROR(__xludf.DUMMYFUNCTION("if(JX$2="""","""", index(GOOGLEFINANCE($B$22,""close"",JX$2,TODAY()),2,2))"),"")</f>
        <v/>
      </c>
      <c r="JY22" s="1" t="str">
        <f ca="1">IFERROR(__xludf.DUMMYFUNCTION("if(JY$2="""","""", index(GOOGLEFINANCE($B$22,""close"",JY$2,TODAY()),2,2))"),"")</f>
        <v/>
      </c>
      <c r="JZ22" s="1" t="str">
        <f ca="1">IFERROR(__xludf.DUMMYFUNCTION("if(JZ$2="""","""", index(GOOGLEFINANCE($B$22,""close"",JZ$2,TODAY()),2,2))"),"")</f>
        <v/>
      </c>
      <c r="KA22" s="1" t="str">
        <f ca="1">IFERROR(__xludf.DUMMYFUNCTION("if(KA$2="""","""", index(GOOGLEFINANCE($B$22,""close"",KA$2,TODAY()),2,2))"),"")</f>
        <v/>
      </c>
      <c r="KB22" s="1" t="str">
        <f ca="1">IFERROR(__xludf.DUMMYFUNCTION("if(KB$2="""","""", index(GOOGLEFINANCE($B$22,""close"",KB$2,TODAY()),2,2))"),"")</f>
        <v/>
      </c>
      <c r="KC22" s="1" t="str">
        <f ca="1">IFERROR(__xludf.DUMMYFUNCTION("if(KC$2="""","""", index(GOOGLEFINANCE($B$22,""close"",KC$2,TODAY()),2,2))"),"")</f>
        <v/>
      </c>
      <c r="KD22" s="1" t="str">
        <f ca="1">IFERROR(__xludf.DUMMYFUNCTION("if(KD$2="""","""", index(GOOGLEFINANCE($B$22,""close"",KD$2,TODAY()),2,2))"),"")</f>
        <v/>
      </c>
      <c r="KE22" s="1" t="str">
        <f ca="1">IFERROR(__xludf.DUMMYFUNCTION("if(KE$2="""","""", index(GOOGLEFINANCE($B$22,""close"",KE$2,TODAY()),2,2))"),"")</f>
        <v/>
      </c>
      <c r="KF22" s="1" t="str">
        <f ca="1">IFERROR(__xludf.DUMMYFUNCTION("if(KF$2="""","""", index(GOOGLEFINANCE($B$22,""close"",KF$2,TODAY()),2,2))"),"")</f>
        <v/>
      </c>
      <c r="KG22" s="1" t="str">
        <f ca="1">IFERROR(__xludf.DUMMYFUNCTION("if(KG$2="""","""", index(GOOGLEFINANCE($B$22,""close"",KG$2,TODAY()),2,2))"),"")</f>
        <v/>
      </c>
    </row>
    <row r="23" spans="1:293" ht="15.75" customHeight="1">
      <c r="A23" s="18" t="s">
        <v>30</v>
      </c>
      <c r="B23" s="6" t="s">
        <v>31</v>
      </c>
      <c r="C23" s="1">
        <f ca="1">IFERROR(__xludf.DUMMYFUNCTION("if(C$2="""","""", index(GOOGLEFINANCE($B$23,""close"",C$2,TODAY()),2,2))"),35.55)</f>
        <v>35.549999999999997</v>
      </c>
      <c r="D23" s="1">
        <f ca="1">IFERROR(__xludf.DUMMYFUNCTION("if(D$2="""","""", index(GOOGLEFINANCE($B$23,""close"",D$2,TODAY()),2,2))"),34.24)</f>
        <v>34.24</v>
      </c>
      <c r="E23" s="1">
        <f ca="1">IFERROR(__xludf.DUMMYFUNCTION("if(E$2="""","""", index(GOOGLEFINANCE($B$23,""close"",E$2,TODAY()),2,2))"),32.44)</f>
        <v>32.44</v>
      </c>
      <c r="F23" s="1">
        <f ca="1">IFERROR(__xludf.DUMMYFUNCTION("if(F$2="""","""", index(GOOGLEFINANCE($B$23,""close"",F$2,TODAY()),2,2))"),32.79)</f>
        <v>32.79</v>
      </c>
      <c r="G23" s="1">
        <f ca="1">IFERROR(__xludf.DUMMYFUNCTION("if(G$2="""","""", index(GOOGLEFINANCE($B$23,""close"",G$2,TODAY()),2,2))"),32.46)</f>
        <v>32.46</v>
      </c>
      <c r="H23" s="1">
        <f ca="1">IFERROR(__xludf.DUMMYFUNCTION("if(H$2="""","""", index(GOOGLEFINANCE($B$23,""close"",H$2,TODAY()),2,2))"),33.17)</f>
        <v>33.17</v>
      </c>
      <c r="I23" s="1">
        <f ca="1">IFERROR(__xludf.DUMMYFUNCTION("if(I$2="""","""", index(GOOGLEFINANCE($B$23,""close"",I$2,TODAY()),2,2))"),33.69)</f>
        <v>33.69</v>
      </c>
      <c r="J23" s="1">
        <f ca="1">IFERROR(__xludf.DUMMYFUNCTION("if(J$2="""","""", index(GOOGLEFINANCE($B$23,""close"",J$2,TODAY()),2,2))"),33.37)</f>
        <v>33.369999999999997</v>
      </c>
      <c r="K23" s="1">
        <f ca="1">IFERROR(__xludf.DUMMYFUNCTION("if(K$2="""","""", index(GOOGLEFINANCE($B$23,""close"",K$2,TODAY()),2,2))"),33.01)</f>
        <v>33.01</v>
      </c>
      <c r="L23" s="1">
        <f ca="1">IFERROR(__xludf.DUMMYFUNCTION("if(L$2="""","""", index(GOOGLEFINANCE($B$23,""close"",L$2,TODAY()),2,2))"),33.43)</f>
        <v>33.43</v>
      </c>
      <c r="M23" s="1">
        <f ca="1">IFERROR(__xludf.DUMMYFUNCTION("if(M$2="""","""", index(GOOGLEFINANCE($B$23,""close"",M$2,TODAY()),2,2))"),31.85)</f>
        <v>31.85</v>
      </c>
      <c r="N23" s="1">
        <f ca="1">IFERROR(__xludf.DUMMYFUNCTION("if(N$2="""","""", index(GOOGLEFINANCE($B$23,""close"",N$2,TODAY()),2,2))"),31.19)</f>
        <v>31.19</v>
      </c>
      <c r="O23" s="1">
        <f ca="1">IFERROR(__xludf.DUMMYFUNCTION("if(O$2="""","""", index(GOOGLEFINANCE($B$23,""close"",O$2,TODAY()),2,2))"),30.9)</f>
        <v>30.9</v>
      </c>
      <c r="P23" s="1">
        <f ca="1">IFERROR(__xludf.DUMMYFUNCTION("if(P$2="""","""", index(GOOGLEFINANCE($B$23,""close"",P$2,TODAY()),2,2))"),29.61)</f>
        <v>29.61</v>
      </c>
      <c r="Q23" s="1">
        <f ca="1">IFERROR(__xludf.DUMMYFUNCTION("if(Q$2="""","""", index(GOOGLEFINANCE($B$23,""close"",Q$2,TODAY()),2,2))"),30.52)</f>
        <v>30.52</v>
      </c>
      <c r="R23" s="1">
        <f ca="1">IFERROR(__xludf.DUMMYFUNCTION("if(R$2="""","""", index(GOOGLEFINANCE($B$23,""close"",R$2,TODAY()),2,2))"),28.44)</f>
        <v>28.44</v>
      </c>
      <c r="S23" s="1">
        <f ca="1">IFERROR(__xludf.DUMMYFUNCTION("if(S$2="""","""", index(GOOGLEFINANCE($B$23,""close"",S$2,TODAY()),2,2))"),27.63)</f>
        <v>27.63</v>
      </c>
      <c r="T23" s="1">
        <f ca="1">IFERROR(__xludf.DUMMYFUNCTION("if(T$2="""","""", index(GOOGLEFINANCE($B$23,""close"",T$2,TODAY()),2,2))"),25.89)</f>
        <v>25.89</v>
      </c>
      <c r="U23" s="1">
        <f ca="1">IFERROR(__xludf.DUMMYFUNCTION("if(U$2="""","""", index(GOOGLEFINANCE($B$23,""close"",U$2,TODAY()),2,2))"),26.65)</f>
        <v>26.65</v>
      </c>
      <c r="V23" s="1">
        <f ca="1">IFERROR(__xludf.DUMMYFUNCTION("if(V$2="""","""", index(GOOGLEFINANCE($B$23,""close"",V$2,TODAY()),2,2))"),29.87)</f>
        <v>29.87</v>
      </c>
      <c r="W23" s="1">
        <f ca="1">IFERROR(__xludf.DUMMYFUNCTION("if(W$2="""","""", index(GOOGLEFINANCE($B$23,""close"",W$2,TODAY()),2,2))"),28.43)</f>
        <v>28.43</v>
      </c>
      <c r="X23" s="1">
        <f ca="1">IFERROR(__xludf.DUMMYFUNCTION("if(X$2="""","""", index(GOOGLEFINANCE($B$23,""close"",X$2,TODAY()),2,2))"),27.26)</f>
        <v>27.26</v>
      </c>
      <c r="Y23" s="1">
        <f ca="1">IFERROR(__xludf.DUMMYFUNCTION("if(Y$2="""","""", index(GOOGLEFINANCE($B$23,""close"",Y$2,TODAY()),2,2))"),25.09)</f>
        <v>25.09</v>
      </c>
      <c r="Z23" s="1">
        <f ca="1">IFERROR(__xludf.DUMMYFUNCTION("if(Z$2="""","""", index(GOOGLEFINANCE($B$23,""close"",Z$2,TODAY()),2,2))"),26.92)</f>
        <v>26.92</v>
      </c>
      <c r="AA23" s="1">
        <f ca="1">IFERROR(__xludf.DUMMYFUNCTION("if(AA$2="""","""", index(GOOGLEFINANCE($B$23,""close"",AA$2,TODAY()),2,2))"),26.81)</f>
        <v>26.81</v>
      </c>
      <c r="AB23" s="1">
        <f ca="1">IFERROR(__xludf.DUMMYFUNCTION("if(AB$2="""","""", index(GOOGLEFINANCE($B$23,""close"",AB$2,TODAY()),2,2))"),27.67)</f>
        <v>27.67</v>
      </c>
      <c r="AC23" s="1">
        <f ca="1">IFERROR(__xludf.DUMMYFUNCTION("if(AC$2="""","""", index(GOOGLEFINANCE($B$23,""close"",AC$2,TODAY()),2,2))"),28.73)</f>
        <v>28.73</v>
      </c>
      <c r="AD23" s="1">
        <f ca="1">IFERROR(__xludf.DUMMYFUNCTION("if(AD$2="""","""", index(GOOGLEFINANCE($B$23,""close"",AD$2,TODAY()),2,2))"),28.69)</f>
        <v>28.69</v>
      </c>
      <c r="AE23" s="1">
        <f ca="1">IFERROR(__xludf.DUMMYFUNCTION("if(AE$2="""","""", index(GOOGLEFINANCE($B$23,""close"",AE$2,TODAY()),2,2))"),28.19)</f>
        <v>28.19</v>
      </c>
      <c r="AF23" s="1">
        <f ca="1">IFERROR(__xludf.DUMMYFUNCTION("if(AF$2="""","""", index(GOOGLEFINANCE($B$23,""close"",AF$2,TODAY()),2,2))"),29.15)</f>
        <v>29.15</v>
      </c>
      <c r="AG23" s="1">
        <f ca="1">IFERROR(__xludf.DUMMYFUNCTION("if(AG$2="""","""", index(GOOGLEFINANCE($B$23,""close"",AG$2,TODAY()),2,2))"),29.32)</f>
        <v>29.32</v>
      </c>
      <c r="AH23" s="1">
        <f ca="1">IFERROR(__xludf.DUMMYFUNCTION("if(AH$2="""","""", index(GOOGLEFINANCE($B$23,""close"",AH$2,TODAY()),2,2))"),28.65)</f>
        <v>28.65</v>
      </c>
      <c r="AI23" s="1">
        <f ca="1">IFERROR(__xludf.DUMMYFUNCTION("if(AI$2="""","""", index(GOOGLEFINANCE($B$23,""close"",AI$2,TODAY()),2,2))"),26.9)</f>
        <v>26.9</v>
      </c>
      <c r="AJ23" s="1">
        <f ca="1">IFERROR(__xludf.DUMMYFUNCTION("if(AJ$2="""","""", index(GOOGLEFINANCE($B$23,""close"",AJ$2,TODAY()),2,2))"),24.59)</f>
        <v>24.59</v>
      </c>
      <c r="AK23" s="1">
        <f ca="1">IFERROR(__xludf.DUMMYFUNCTION("if(AK$2="""","""", index(GOOGLEFINANCE($B$23,""close"",AK$2,TODAY()),2,2))"),24.48)</f>
        <v>24.48</v>
      </c>
      <c r="AL23" s="1">
        <f ca="1">IFERROR(__xludf.DUMMYFUNCTION("if(AL$2="""","""", index(GOOGLEFINANCE($B$23,""close"",AL$2,TODAY()),2,2))"),22.83)</f>
        <v>22.83</v>
      </c>
      <c r="AM23" s="1">
        <f ca="1">IFERROR(__xludf.DUMMYFUNCTION("if(AM$2="""","""", index(GOOGLEFINANCE($B$23,""close"",AM$2,TODAY()),2,2))"),24.34)</f>
        <v>24.34</v>
      </c>
      <c r="AN23" s="1">
        <f ca="1">IFERROR(__xludf.DUMMYFUNCTION("if(AN$2="""","""", index(GOOGLEFINANCE($B$23,""close"",AN$2,TODAY()),2,2))"),18.1)</f>
        <v>18.100000000000001</v>
      </c>
      <c r="AO23" s="1">
        <f ca="1">IFERROR(__xludf.DUMMYFUNCTION("if(AO$2="""","""", index(GOOGLEFINANCE($B$23,""close"",AO$2,TODAY()),2,2))"),20.28)</f>
        <v>20.28</v>
      </c>
      <c r="AP23" s="1">
        <f ca="1">IFERROR(__xludf.DUMMYFUNCTION("if(AP$2="""","""", index(GOOGLEFINANCE($B$23,""close"",AP$2,TODAY()),2,2))"),23.52)</f>
        <v>23.52</v>
      </c>
      <c r="AQ23" s="1">
        <f ca="1">IFERROR(__xludf.DUMMYFUNCTION("if(AQ$2="""","""", index(GOOGLEFINANCE($B$23,""close"",AQ$2,TODAY()),2,2))"),23.48)</f>
        <v>23.48</v>
      </c>
      <c r="AR23" s="1">
        <f ca="1">IFERROR(__xludf.DUMMYFUNCTION("if(AR$2="""","""", index(GOOGLEFINANCE($B$23,""close"",AR$2,TODAY()),2,2))"),23.01)</f>
        <v>23.01</v>
      </c>
      <c r="AS23" s="1">
        <f ca="1">IFERROR(__xludf.DUMMYFUNCTION("if(AS$2="""","""", index(GOOGLEFINANCE($B$23,""close"",AS$2,TODAY()),2,2))"),22)</f>
        <v>22</v>
      </c>
      <c r="AT23" s="1">
        <f ca="1">IFERROR(__xludf.DUMMYFUNCTION("if(AT$2="""","""", index(GOOGLEFINANCE($B$23,""close"",AT$2,TODAY()),2,2))"),21.61)</f>
        <v>21.61</v>
      </c>
      <c r="AU23" s="1">
        <f ca="1">IFERROR(__xludf.DUMMYFUNCTION("if(AU$2="""","""", index(GOOGLEFINANCE($B$23,""close"",AU$2,TODAY()),2,2))"),23.13)</f>
        <v>23.13</v>
      </c>
      <c r="AV23" s="1">
        <f ca="1">IFERROR(__xludf.DUMMYFUNCTION("if(AV$2="""","""", index(GOOGLEFINANCE($B$23,""close"",AV$2,TODAY()),2,2))"),24.88)</f>
        <v>24.88</v>
      </c>
      <c r="AW23" s="1">
        <f ca="1">IFERROR(__xludf.DUMMYFUNCTION("if(AW$2="""","""", index(GOOGLEFINANCE($B$23,""close"",AW$2,TODAY()),2,2))"),24.16)</f>
        <v>24.16</v>
      </c>
      <c r="AX23" s="1">
        <f ca="1">IFERROR(__xludf.DUMMYFUNCTION("if(AX$2="""","""", index(GOOGLEFINANCE($B$23,""close"",AX$2,TODAY()),2,2))"),22.82)</f>
        <v>22.82</v>
      </c>
      <c r="AY23" s="1">
        <f ca="1">IFERROR(__xludf.DUMMYFUNCTION("if(AY$2="""","""", index(GOOGLEFINANCE($B$23,""close"",AY$2,TODAY()),2,2))"),21.24)</f>
        <v>21.24</v>
      </c>
      <c r="AZ23" s="1">
        <f ca="1">IFERROR(__xludf.DUMMYFUNCTION("if(AZ$2="""","""", index(GOOGLEFINANCE($B$23,""close"",AZ$2,TODAY()),2,2))"),20.71)</f>
        <v>20.71</v>
      </c>
      <c r="BA23" s="1">
        <f ca="1">IFERROR(__xludf.DUMMYFUNCTION("if(BA$2="""","""", index(GOOGLEFINANCE($B$23,""close"",BA$2,TODAY()),2,2))"),23.98)</f>
        <v>23.98</v>
      </c>
      <c r="BB23" s="1">
        <f ca="1">IFERROR(__xludf.DUMMYFUNCTION("if(BB$2="""","""", index(GOOGLEFINANCE($B$23,""close"",BB$2,TODAY()),2,2))"),24.57)</f>
        <v>24.57</v>
      </c>
      <c r="BC23" s="1">
        <f ca="1">IFERROR(__xludf.DUMMYFUNCTION("if(BC$2="""","""", index(GOOGLEFINANCE($B$23,""close"",BC$2,TODAY()),2,2))"),25.12)</f>
        <v>25.12</v>
      </c>
      <c r="BD23" s="1">
        <f ca="1">IFERROR(__xludf.DUMMYFUNCTION("if(BD$2="""","""", index(GOOGLEFINANCE($B$23,""close"",BD$2,TODAY()),2,2))"),24.47)</f>
        <v>24.47</v>
      </c>
      <c r="BE23" s="1">
        <f ca="1">IFERROR(__xludf.DUMMYFUNCTION("if(BE$2="""","""", index(GOOGLEFINANCE($B$23,""close"",BE$2,TODAY()),2,2))"),25.32)</f>
        <v>25.32</v>
      </c>
      <c r="BF23" s="1">
        <f ca="1">IFERROR(__xludf.DUMMYFUNCTION("if(BF$2="""","""", index(GOOGLEFINANCE($B$23,""close"",BF$2,TODAY()),2,2))"),24.86)</f>
        <v>24.86</v>
      </c>
      <c r="BG23" s="1">
        <f ca="1">IFERROR(__xludf.DUMMYFUNCTION("if(BG$2="""","""", index(GOOGLEFINANCE($B$23,""close"",BG$2,TODAY()),2,2))"),24.99)</f>
        <v>24.99</v>
      </c>
      <c r="BH23" s="1">
        <f ca="1">IFERROR(__xludf.DUMMYFUNCTION("if(BH$2="""","""", index(GOOGLEFINANCE($B$23,""close"",BH$2,TODAY()),2,2))"),23.9)</f>
        <v>23.9</v>
      </c>
      <c r="BI23" s="1">
        <f ca="1">IFERROR(__xludf.DUMMYFUNCTION("if(BI$2="""","""", index(GOOGLEFINANCE($B$23,""close"",BI$2,TODAY()),2,2))"),24.19)</f>
        <v>24.19</v>
      </c>
      <c r="BJ23" s="1">
        <f ca="1">IFERROR(__xludf.DUMMYFUNCTION("if(BJ$2="""","""", index(GOOGLEFINANCE($B$23,""close"",BJ$2,TODAY()),2,2))"),25.89)</f>
        <v>25.89</v>
      </c>
      <c r="BK23" s="1">
        <f ca="1">IFERROR(__xludf.DUMMYFUNCTION("if(BK$2="""","""", index(GOOGLEFINANCE($B$23,""close"",BK$2,TODAY()),2,2))"),24.79)</f>
        <v>24.79</v>
      </c>
      <c r="BL23" s="1">
        <f ca="1">IFERROR(__xludf.DUMMYFUNCTION("if(BL$2="""","""", index(GOOGLEFINANCE($B$23,""close"",BL$2,TODAY()),2,2))"),24.42)</f>
        <v>24.42</v>
      </c>
      <c r="BM23" s="1">
        <f ca="1">IFERROR(__xludf.DUMMYFUNCTION("if(BM$2="""","""", index(GOOGLEFINANCE($B$23,""close"",BM$2,TODAY()),2,2))"),24.87)</f>
        <v>24.87</v>
      </c>
      <c r="BN23" s="1">
        <f ca="1">IFERROR(__xludf.DUMMYFUNCTION("if(BN$2="""","""", index(GOOGLEFINANCE($B$23,""close"",BN$2,TODAY()),2,2))"),26.12)</f>
        <v>26.12</v>
      </c>
      <c r="BO23" s="1">
        <f ca="1">IFERROR(__xludf.DUMMYFUNCTION("if(BO$2="""","""", index(GOOGLEFINANCE($B$23,""close"",BO$2,TODAY()),2,2))"),25.8)</f>
        <v>25.8</v>
      </c>
      <c r="BP23" s="1">
        <f ca="1">IFERROR(__xludf.DUMMYFUNCTION("if(BP$2="""","""", index(GOOGLEFINANCE($B$23,""close"",BP$2,TODAY()),2,2))"),24.77)</f>
        <v>24.77</v>
      </c>
      <c r="BQ23" s="1">
        <f ca="1">IFERROR(__xludf.DUMMYFUNCTION("if(BQ$2="""","""", index(GOOGLEFINANCE($B$23,""close"",BQ$2,TODAY()),2,2))"),25)</f>
        <v>25</v>
      </c>
      <c r="BR23" s="1">
        <f ca="1">IFERROR(__xludf.DUMMYFUNCTION("if(BR$2="""","""", index(GOOGLEFINANCE($B$23,""close"",BR$2,TODAY()),2,2))"),25.52)</f>
        <v>25.52</v>
      </c>
      <c r="BS23" s="1">
        <f ca="1">IFERROR(__xludf.DUMMYFUNCTION("if(BS$2="""","""", index(GOOGLEFINANCE($B$23,""close"",BS$2,TODAY()),2,2))"),25.4)</f>
        <v>25.4</v>
      </c>
      <c r="BT23" s="1">
        <f ca="1">IFERROR(__xludf.DUMMYFUNCTION("if(BT$2="""","""", index(GOOGLEFINANCE($B$23,""close"",BT$2,TODAY()),2,2))"),26.11)</f>
        <v>26.11</v>
      </c>
      <c r="BU23" s="1">
        <f ca="1">IFERROR(__xludf.DUMMYFUNCTION("if(BU$2="""","""", index(GOOGLEFINANCE($B$23,""close"",BU$2,TODAY()),2,2))"),26.18)</f>
        <v>26.18</v>
      </c>
      <c r="BV23" s="1">
        <f ca="1">IFERROR(__xludf.DUMMYFUNCTION("if(BV$2="""","""", index(GOOGLEFINANCE($B$23,""close"",BV$2,TODAY()),2,2))"),25.22)</f>
        <v>25.22</v>
      </c>
      <c r="BW23" s="1">
        <f ca="1">IFERROR(__xludf.DUMMYFUNCTION("if(BW$2="""","""", index(GOOGLEFINANCE($B$23,""close"",BW$2,TODAY()),2,2))"),24.34)</f>
        <v>24.34</v>
      </c>
      <c r="BX23" s="1">
        <f ca="1">IFERROR(__xludf.DUMMYFUNCTION("if(BX$2="""","""", index(GOOGLEFINANCE($B$23,""close"",BX$2,TODAY()),2,2))"),25.29)</f>
        <v>25.29</v>
      </c>
      <c r="BY23" s="1">
        <f ca="1">IFERROR(__xludf.DUMMYFUNCTION("if(BY$2="""","""", index(GOOGLEFINANCE($B$23,""close"",BY$2,TODAY()),2,2))"),24.35)</f>
        <v>24.35</v>
      </c>
      <c r="BZ23" s="1">
        <f ca="1">IFERROR(__xludf.DUMMYFUNCTION("if(BZ$2="""","""", index(GOOGLEFINANCE($B$23,""close"",BZ$2,TODAY()),2,2))"),23.81)</f>
        <v>23.81</v>
      </c>
      <c r="CA23" s="1">
        <f ca="1">IFERROR(__xludf.DUMMYFUNCTION("if(CA$2="""","""", index(GOOGLEFINANCE($B$23,""close"",CA$2,TODAY()),2,2))"),23.51)</f>
        <v>23.51</v>
      </c>
      <c r="CB23" s="1">
        <f ca="1">IFERROR(__xludf.DUMMYFUNCTION("if(CB$2="""","""", index(GOOGLEFINANCE($B$23,""close"",CB$2,TODAY()),2,2))"),23.84)</f>
        <v>23.84</v>
      </c>
      <c r="CC23" s="1">
        <f ca="1">IFERROR(__xludf.DUMMYFUNCTION("if(CC$2="""","""", index(GOOGLEFINANCE($B$23,""close"",CC$2,TODAY()),2,2))"),21.8)</f>
        <v>21.8</v>
      </c>
      <c r="CD23" s="1">
        <f ca="1">IFERROR(__xludf.DUMMYFUNCTION("if(CD$2="""","""", index(GOOGLEFINANCE($B$23,""close"",CD$2,TODAY()),2,2))"),21.12)</f>
        <v>21.12</v>
      </c>
      <c r="CE23" s="1">
        <f ca="1">IFERROR(__xludf.DUMMYFUNCTION("if(CE$2="""","""", index(GOOGLEFINANCE($B$23,""close"",CE$2,TODAY()),2,2))"),22.4)</f>
        <v>22.4</v>
      </c>
      <c r="CF23" s="1">
        <f ca="1">IFERROR(__xludf.DUMMYFUNCTION("if(CF$2="""","""", index(GOOGLEFINANCE($B$23,""close"",CF$2,TODAY()),2,2))"),22.62)</f>
        <v>22.62</v>
      </c>
      <c r="CG23" s="1">
        <f ca="1">IFERROR(__xludf.DUMMYFUNCTION("if(CG$2="""","""", index(GOOGLEFINANCE($B$23,""close"",CG$2,TODAY()),2,2))"),23.33)</f>
        <v>23.33</v>
      </c>
      <c r="CH23" s="1">
        <f ca="1">IFERROR(__xludf.DUMMYFUNCTION("if(CH$2="""","""", index(GOOGLEFINANCE($B$23,""close"",CH$2,TODAY()),2,2))"),21.84)</f>
        <v>21.84</v>
      </c>
      <c r="CI23" s="1">
        <f ca="1">IFERROR(__xludf.DUMMYFUNCTION("if(CI$2="""","""", index(GOOGLEFINANCE($B$23,""close"",CI$2,TODAY()),2,2))"),22.15)</f>
        <v>22.15</v>
      </c>
      <c r="CJ23" s="1" t="str">
        <f ca="1">IFERROR(__xludf.DUMMYFUNCTION("if(CJ$2="""","""", index(GOOGLEFINANCE($B$23,""close"",CJ$2,TODAY()),2,2))"),"")</f>
        <v/>
      </c>
      <c r="CK23" s="1" t="str">
        <f ca="1">IFERROR(__xludf.DUMMYFUNCTION("if(CK$2="""","""", index(GOOGLEFINANCE($B$23,""close"",CK$2,TODAY()),2,2))"),"")</f>
        <v/>
      </c>
      <c r="CL23" s="1" t="str">
        <f ca="1">IFERROR(__xludf.DUMMYFUNCTION("if(CL$2="""","""", index(GOOGLEFINANCE($B$23,""close"",CL$2,TODAY()),2,2))"),"")</f>
        <v/>
      </c>
      <c r="CM23" s="1" t="str">
        <f ca="1">IFERROR(__xludf.DUMMYFUNCTION("if(CM$2="""","""", index(GOOGLEFINANCE($B$23,""close"",CM$2,TODAY()),2,2))"),"")</f>
        <v/>
      </c>
      <c r="CN23" s="1" t="str">
        <f ca="1">IFERROR(__xludf.DUMMYFUNCTION("if(CN$2="""","""", index(GOOGLEFINANCE($B$23,""close"",CN$2,TODAY()),2,2))"),"")</f>
        <v/>
      </c>
      <c r="CO23" s="1" t="str">
        <f ca="1">IFERROR(__xludf.DUMMYFUNCTION("if(CO$2="""","""", index(GOOGLEFINANCE($B$23,""close"",CO$2,TODAY()),2,2))"),"")</f>
        <v/>
      </c>
      <c r="CP23" s="1" t="str">
        <f ca="1">IFERROR(__xludf.DUMMYFUNCTION("if(CP$2="""","""", index(GOOGLEFINANCE($B$23,""close"",CP$2,TODAY()),2,2))"),"")</f>
        <v/>
      </c>
      <c r="CQ23" s="1" t="str">
        <f ca="1">IFERROR(__xludf.DUMMYFUNCTION("if(CQ$2="""","""", index(GOOGLEFINANCE($B$23,""close"",CQ$2,TODAY()),2,2))"),"")</f>
        <v/>
      </c>
      <c r="CR23" s="1" t="str">
        <f ca="1">IFERROR(__xludf.DUMMYFUNCTION("if(CR$2="""","""", index(GOOGLEFINANCE($B$23,""close"",CR$2,TODAY()),2,2))"),"")</f>
        <v/>
      </c>
      <c r="CS23" s="1" t="str">
        <f ca="1">IFERROR(__xludf.DUMMYFUNCTION("if(CS$2="""","""", index(GOOGLEFINANCE($B$23,""close"",CS$2,TODAY()),2,2))"),"")</f>
        <v/>
      </c>
      <c r="CT23" s="1" t="str">
        <f ca="1">IFERROR(__xludf.DUMMYFUNCTION("if(CT$2="""","""", index(GOOGLEFINANCE($B$23,""close"",CT$2,TODAY()),2,2))"),"")</f>
        <v/>
      </c>
      <c r="CU23" s="1" t="str">
        <f ca="1">IFERROR(__xludf.DUMMYFUNCTION("if(CU$2="""","""", index(GOOGLEFINANCE($B$23,""close"",CU$2,TODAY()),2,2))"),"")</f>
        <v/>
      </c>
      <c r="CV23" s="1" t="str">
        <f ca="1">IFERROR(__xludf.DUMMYFUNCTION("if(CV$2="""","""", index(GOOGLEFINANCE($B$23,""close"",CV$2,TODAY()),2,2))"),"")</f>
        <v/>
      </c>
      <c r="CW23" s="1" t="str">
        <f ca="1">IFERROR(__xludf.DUMMYFUNCTION("if(CW$2="""","""", index(GOOGLEFINANCE($B$23,""close"",CW$2,TODAY()),2,2))"),"")</f>
        <v/>
      </c>
      <c r="CX23" s="1" t="str">
        <f ca="1">IFERROR(__xludf.DUMMYFUNCTION("if(CX$2="""","""", index(GOOGLEFINANCE($B$23,""close"",CX$2,TODAY()),2,2))"),"")</f>
        <v/>
      </c>
      <c r="CY23" s="1" t="str">
        <f ca="1">IFERROR(__xludf.DUMMYFUNCTION("if(CY$2="""","""", index(GOOGLEFINANCE($B$23,""close"",CY$2,TODAY()),2,2))"),"")</f>
        <v/>
      </c>
      <c r="CZ23" s="1" t="str">
        <f ca="1">IFERROR(__xludf.DUMMYFUNCTION("if(CZ$2="""","""", index(GOOGLEFINANCE($B$23,""close"",CZ$2,TODAY()),2,2))"),"")</f>
        <v/>
      </c>
      <c r="DA23" s="1" t="str">
        <f ca="1">IFERROR(__xludf.DUMMYFUNCTION("if(DA$2="""","""", index(GOOGLEFINANCE($B$23,""close"",DA$2,TODAY()),2,2))"),"")</f>
        <v/>
      </c>
      <c r="DB23" s="1" t="str">
        <f ca="1">IFERROR(__xludf.DUMMYFUNCTION("if(DB$2="""","""", index(GOOGLEFINANCE($B$23,""close"",DB$2,TODAY()),2,2))"),"")</f>
        <v/>
      </c>
      <c r="DC23" s="1" t="str">
        <f ca="1">IFERROR(__xludf.DUMMYFUNCTION("if(DC$2="""","""", index(GOOGLEFINANCE($B$23,""close"",DC$2,TODAY()),2,2))"),"")</f>
        <v/>
      </c>
      <c r="DD23" s="1" t="str">
        <f ca="1">IFERROR(__xludf.DUMMYFUNCTION("if(DD$2="""","""", index(GOOGLEFINANCE($B$23,""close"",DD$2,TODAY()),2,2))"),"")</f>
        <v/>
      </c>
      <c r="DE23" s="1" t="str">
        <f ca="1">IFERROR(__xludf.DUMMYFUNCTION("if(DE$2="""","""", index(GOOGLEFINANCE($B$23,""close"",DE$2,TODAY()),2,2))"),"")</f>
        <v/>
      </c>
      <c r="DF23" s="1" t="str">
        <f ca="1">IFERROR(__xludf.DUMMYFUNCTION("if(DF$2="""","""", index(GOOGLEFINANCE($B$23,""close"",DF$2,TODAY()),2,2))"),"")</f>
        <v/>
      </c>
      <c r="DG23" s="1" t="str">
        <f ca="1">IFERROR(__xludf.DUMMYFUNCTION("if(DG$2="""","""", index(GOOGLEFINANCE($B$23,""close"",DG$2,TODAY()),2,2))"),"")</f>
        <v/>
      </c>
      <c r="DH23" s="1" t="str">
        <f ca="1">IFERROR(__xludf.DUMMYFUNCTION("if(DH$2="""","""", index(GOOGLEFINANCE($B$23,""close"",DH$2,TODAY()),2,2))"),"")</f>
        <v/>
      </c>
      <c r="DI23" s="1" t="str">
        <f ca="1">IFERROR(__xludf.DUMMYFUNCTION("if(DI$2="""","""", index(GOOGLEFINANCE($B$23,""close"",DI$2,TODAY()),2,2))"),"")</f>
        <v/>
      </c>
      <c r="DJ23" s="1" t="str">
        <f ca="1">IFERROR(__xludf.DUMMYFUNCTION("if(DJ$2="""","""", index(GOOGLEFINANCE($B$23,""close"",DJ$2,TODAY()),2,2))"),"")</f>
        <v/>
      </c>
      <c r="DK23" s="1" t="str">
        <f ca="1">IFERROR(__xludf.DUMMYFUNCTION("if(DK$2="""","""", index(GOOGLEFINANCE($B$23,""close"",DK$2,TODAY()),2,2))"),"")</f>
        <v/>
      </c>
      <c r="DL23" s="1" t="str">
        <f ca="1">IFERROR(__xludf.DUMMYFUNCTION("if(DL$2="""","""", index(GOOGLEFINANCE($B$23,""close"",DL$2,TODAY()),2,2))"),"")</f>
        <v/>
      </c>
      <c r="DM23" s="1" t="str">
        <f ca="1">IFERROR(__xludf.DUMMYFUNCTION("if(DM$2="""","""", index(GOOGLEFINANCE($B$23,""close"",DM$2,TODAY()),2,2))"),"")</f>
        <v/>
      </c>
      <c r="DN23" s="1" t="str">
        <f ca="1">IFERROR(__xludf.DUMMYFUNCTION("if(DN$2="""","""", index(GOOGLEFINANCE($B$23,""close"",DN$2,TODAY()),2,2))"),"")</f>
        <v/>
      </c>
      <c r="DO23" s="1" t="str">
        <f ca="1">IFERROR(__xludf.DUMMYFUNCTION("if(DO$2="""","""", index(GOOGLEFINANCE($B$23,""close"",DO$2,TODAY()),2,2))"),"")</f>
        <v/>
      </c>
      <c r="DP23" s="1" t="str">
        <f ca="1">IFERROR(__xludf.DUMMYFUNCTION("if(DP$2="""","""", index(GOOGLEFINANCE($B$23,""close"",DP$2,TODAY()),2,2))"),"")</f>
        <v/>
      </c>
      <c r="DQ23" s="1" t="str">
        <f ca="1">IFERROR(__xludf.DUMMYFUNCTION("if(DQ$2="""","""", index(GOOGLEFINANCE($B$23,""close"",DQ$2,TODAY()),2,2))"),"")</f>
        <v/>
      </c>
      <c r="DR23" s="1" t="str">
        <f ca="1">IFERROR(__xludf.DUMMYFUNCTION("if(DR$2="""","""", index(GOOGLEFINANCE($B$23,""close"",DR$2,TODAY()),2,2))"),"")</f>
        <v/>
      </c>
      <c r="DS23" s="1" t="str">
        <f ca="1">IFERROR(__xludf.DUMMYFUNCTION("if(DS$2="""","""", index(GOOGLEFINANCE($B$23,""close"",DS$2,TODAY()),2,2))"),"")</f>
        <v/>
      </c>
      <c r="DT23" s="1" t="str">
        <f ca="1">IFERROR(__xludf.DUMMYFUNCTION("if(DT$2="""","""", index(GOOGLEFINANCE($B$23,""close"",DT$2,TODAY()),2,2))"),"")</f>
        <v/>
      </c>
      <c r="DU23" s="1" t="str">
        <f ca="1">IFERROR(__xludf.DUMMYFUNCTION("if(DU$2="""","""", index(GOOGLEFINANCE($B$23,""close"",DU$2,TODAY()),2,2))"),"")</f>
        <v/>
      </c>
      <c r="DV23" s="1" t="str">
        <f ca="1">IFERROR(__xludf.DUMMYFUNCTION("if(DV$2="""","""", index(GOOGLEFINANCE($B$23,""close"",DV$2,TODAY()),2,2))"),"")</f>
        <v/>
      </c>
      <c r="DW23" s="1" t="str">
        <f ca="1">IFERROR(__xludf.DUMMYFUNCTION("if(DW$2="""","""", index(GOOGLEFINANCE($B$23,""close"",DW$2,TODAY()),2,2))"),"")</f>
        <v/>
      </c>
      <c r="DX23" s="1" t="str">
        <f ca="1">IFERROR(__xludf.DUMMYFUNCTION("if(DX$2="""","""", index(GOOGLEFINANCE($B$23,""close"",DX$2,TODAY()),2,2))"),"")</f>
        <v/>
      </c>
      <c r="DY23" s="1" t="str">
        <f ca="1">IFERROR(__xludf.DUMMYFUNCTION("if(DY$2="""","""", index(GOOGLEFINANCE($B$23,""close"",DY$2,TODAY()),2,2))"),"")</f>
        <v/>
      </c>
      <c r="DZ23" s="1" t="str">
        <f ca="1">IFERROR(__xludf.DUMMYFUNCTION("if(DZ$2="""","""", index(GOOGLEFINANCE($B$23,""close"",DZ$2,TODAY()),2,2))"),"")</f>
        <v/>
      </c>
      <c r="EA23" s="1" t="str">
        <f ca="1">IFERROR(__xludf.DUMMYFUNCTION("if(EA$2="""","""", index(GOOGLEFINANCE($B$23,""close"",EA$2,TODAY()),2,2))"),"")</f>
        <v/>
      </c>
      <c r="EB23" s="1" t="str">
        <f ca="1">IFERROR(__xludf.DUMMYFUNCTION("if(EB$2="""","""", index(GOOGLEFINANCE($B$23,""close"",EB$2,TODAY()),2,2))"),"")</f>
        <v/>
      </c>
      <c r="EC23" s="1" t="str">
        <f ca="1">IFERROR(__xludf.DUMMYFUNCTION("if(EC$2="""","""", index(GOOGLEFINANCE($B$23,""close"",EC$2,TODAY()),2,2))"),"")</f>
        <v/>
      </c>
      <c r="ED23" s="1" t="str">
        <f ca="1">IFERROR(__xludf.DUMMYFUNCTION("if(ED$2="""","""", index(GOOGLEFINANCE($B$23,""close"",ED$2,TODAY()),2,2))"),"")</f>
        <v/>
      </c>
      <c r="EE23" s="1" t="str">
        <f ca="1">IFERROR(__xludf.DUMMYFUNCTION("if(EE$2="""","""", index(GOOGLEFINANCE($B$23,""close"",EE$2,TODAY()),2,2))"),"")</f>
        <v/>
      </c>
      <c r="EF23" s="1" t="str">
        <f ca="1">IFERROR(__xludf.DUMMYFUNCTION("if(EF$2="""","""", index(GOOGLEFINANCE($B$23,""close"",EF$2,TODAY()),2,2))"),"")</f>
        <v/>
      </c>
      <c r="EG23" s="1" t="str">
        <f ca="1">IFERROR(__xludf.DUMMYFUNCTION("if(EG$2="""","""", index(GOOGLEFINANCE($B$23,""close"",EG$2,TODAY()),2,2))"),"")</f>
        <v/>
      </c>
      <c r="EH23" s="1" t="str">
        <f ca="1">IFERROR(__xludf.DUMMYFUNCTION("if(EH$2="""","""", index(GOOGLEFINANCE($B$23,""close"",EH$2,TODAY()),2,2))"),"")</f>
        <v/>
      </c>
      <c r="EI23" s="1" t="str">
        <f ca="1">IFERROR(__xludf.DUMMYFUNCTION("if(EI$2="""","""", index(GOOGLEFINANCE($B$23,""close"",EI$2,TODAY()),2,2))"),"")</f>
        <v/>
      </c>
      <c r="EJ23" s="1" t="str">
        <f ca="1">IFERROR(__xludf.DUMMYFUNCTION("if(EJ$2="""","""", index(GOOGLEFINANCE($B$23,""close"",EJ$2,TODAY()),2,2))"),"")</f>
        <v/>
      </c>
      <c r="EK23" s="1" t="str">
        <f ca="1">IFERROR(__xludf.DUMMYFUNCTION("if(EK$2="""","""", index(GOOGLEFINANCE($B$23,""close"",EK$2,TODAY()),2,2))"),"")</f>
        <v/>
      </c>
      <c r="EL23" s="1" t="str">
        <f ca="1">IFERROR(__xludf.DUMMYFUNCTION("if(EL$2="""","""", index(GOOGLEFINANCE($B$23,""close"",EL$2,TODAY()),2,2))"),"")</f>
        <v/>
      </c>
      <c r="EM23" s="1" t="str">
        <f ca="1">IFERROR(__xludf.DUMMYFUNCTION("if(EM$2="""","""", index(GOOGLEFINANCE($B$23,""close"",EM$2,TODAY()),2,2))"),"")</f>
        <v/>
      </c>
      <c r="EN23" s="1" t="str">
        <f ca="1">IFERROR(__xludf.DUMMYFUNCTION("if(EN$2="""","""", index(GOOGLEFINANCE($B$23,""close"",EN$2,TODAY()),2,2))"),"")</f>
        <v/>
      </c>
      <c r="EO23" s="1" t="str">
        <f ca="1">IFERROR(__xludf.DUMMYFUNCTION("if(EO$2="""","""", index(GOOGLEFINANCE($B$23,""close"",EO$2,TODAY()),2,2))"),"")</f>
        <v/>
      </c>
      <c r="EP23" s="1" t="str">
        <f ca="1">IFERROR(__xludf.DUMMYFUNCTION("if(EP$2="""","""", index(GOOGLEFINANCE($B$23,""close"",EP$2,TODAY()),2,2))"),"")</f>
        <v/>
      </c>
      <c r="EQ23" s="1" t="str">
        <f ca="1">IFERROR(__xludf.DUMMYFUNCTION("if(EQ$2="""","""", index(GOOGLEFINANCE($B$23,""close"",EQ$2,TODAY()),2,2))"),"")</f>
        <v/>
      </c>
      <c r="ER23" s="1" t="str">
        <f ca="1">IFERROR(__xludf.DUMMYFUNCTION("if(ER$2="""","""", index(GOOGLEFINANCE($B$23,""close"",ER$2,TODAY()),2,2))"),"")</f>
        <v/>
      </c>
      <c r="ES23" s="1" t="str">
        <f ca="1">IFERROR(__xludf.DUMMYFUNCTION("if(ES$2="""","""", index(GOOGLEFINANCE($B$23,""close"",ES$2,TODAY()),2,2))"),"")</f>
        <v/>
      </c>
      <c r="ET23" s="1" t="str">
        <f ca="1">IFERROR(__xludf.DUMMYFUNCTION("if(ET$2="""","""", index(GOOGLEFINANCE($B$23,""close"",ET$2,TODAY()),2,2))"),"")</f>
        <v/>
      </c>
      <c r="EU23" s="1" t="str">
        <f ca="1">IFERROR(__xludf.DUMMYFUNCTION("if(EU$2="""","""", index(GOOGLEFINANCE($B$23,""close"",EU$2,TODAY()),2,2))"),"")</f>
        <v/>
      </c>
      <c r="EV23" s="1" t="str">
        <f ca="1">IFERROR(__xludf.DUMMYFUNCTION("if(EV$2="""","""", index(GOOGLEFINANCE($B$23,""close"",EV$2,TODAY()),2,2))"),"")</f>
        <v/>
      </c>
      <c r="EW23" s="1" t="str">
        <f ca="1">IFERROR(__xludf.DUMMYFUNCTION("if(EW$2="""","""", index(GOOGLEFINANCE($B$23,""close"",EW$2,TODAY()),2,2))"),"")</f>
        <v/>
      </c>
      <c r="EX23" s="1" t="str">
        <f ca="1">IFERROR(__xludf.DUMMYFUNCTION("if(EX$2="""","""", index(GOOGLEFINANCE($B$23,""close"",EX$2,TODAY()),2,2))"),"")</f>
        <v/>
      </c>
      <c r="EY23" s="1" t="str">
        <f ca="1">IFERROR(__xludf.DUMMYFUNCTION("if(EY$2="""","""", index(GOOGLEFINANCE($B$23,""close"",EY$2,TODAY()),2,2))"),"")</f>
        <v/>
      </c>
      <c r="EZ23" s="1" t="str">
        <f ca="1">IFERROR(__xludf.DUMMYFUNCTION("if(EZ$2="""","""", index(GOOGLEFINANCE($B$23,""close"",EZ$2,TODAY()),2,2))"),"")</f>
        <v/>
      </c>
      <c r="FA23" s="1" t="str">
        <f ca="1">IFERROR(__xludf.DUMMYFUNCTION("if(FA$2="""","""", index(GOOGLEFINANCE($B$23,""close"",FA$2,TODAY()),2,2))"),"")</f>
        <v/>
      </c>
      <c r="FB23" s="1" t="str">
        <f ca="1">IFERROR(__xludf.DUMMYFUNCTION("if(FB$2="""","""", index(GOOGLEFINANCE($B$23,""close"",FB$2,TODAY()),2,2))"),"")</f>
        <v/>
      </c>
      <c r="FC23" s="1" t="str">
        <f ca="1">IFERROR(__xludf.DUMMYFUNCTION("if(FC$2="""","""", index(GOOGLEFINANCE($B$23,""close"",FC$2,TODAY()),2,2))"),"")</f>
        <v/>
      </c>
      <c r="FD23" s="1" t="str">
        <f ca="1">IFERROR(__xludf.DUMMYFUNCTION("if(FD$2="""","""", index(GOOGLEFINANCE($B$23,""close"",FD$2,TODAY()),2,2))"),"")</f>
        <v/>
      </c>
      <c r="FE23" s="1" t="str">
        <f ca="1">IFERROR(__xludf.DUMMYFUNCTION("if(FE$2="""","""", index(GOOGLEFINANCE($B$23,""close"",FE$2,TODAY()),2,2))"),"")</f>
        <v/>
      </c>
      <c r="FF23" s="1" t="str">
        <f ca="1">IFERROR(__xludf.DUMMYFUNCTION("if(FF$2="""","""", index(GOOGLEFINANCE($B$23,""close"",FF$2,TODAY()),2,2))"),"")</f>
        <v/>
      </c>
      <c r="FG23" s="1" t="str">
        <f ca="1">IFERROR(__xludf.DUMMYFUNCTION("if(FG$2="""","""", index(GOOGLEFINANCE($B$23,""close"",FG$2,TODAY()),2,2))"),"")</f>
        <v/>
      </c>
      <c r="FH23" s="1" t="str">
        <f ca="1">IFERROR(__xludf.DUMMYFUNCTION("if(FH$2="""","""", index(GOOGLEFINANCE($B$23,""close"",FH$2,TODAY()),2,2))"),"")</f>
        <v/>
      </c>
      <c r="FI23" s="1" t="str">
        <f ca="1">IFERROR(__xludf.DUMMYFUNCTION("if(FI$2="""","""", index(GOOGLEFINANCE($B$23,""close"",FI$2,TODAY()),2,2))"),"")</f>
        <v/>
      </c>
      <c r="FJ23" s="1" t="str">
        <f ca="1">IFERROR(__xludf.DUMMYFUNCTION("if(FJ$2="""","""", index(GOOGLEFINANCE($B$23,""close"",FJ$2,TODAY()),2,2))"),"")</f>
        <v/>
      </c>
      <c r="FK23" s="1" t="str">
        <f ca="1">IFERROR(__xludf.DUMMYFUNCTION("if(FK$2="""","""", index(GOOGLEFINANCE($B$23,""close"",FK$2,TODAY()),2,2))"),"")</f>
        <v/>
      </c>
      <c r="FL23" s="1" t="str">
        <f ca="1">IFERROR(__xludf.DUMMYFUNCTION("if(FL$2="""","""", index(GOOGLEFINANCE($B$23,""close"",FL$2,TODAY()),2,2))"),"")</f>
        <v/>
      </c>
      <c r="FM23" s="1" t="str">
        <f ca="1">IFERROR(__xludf.DUMMYFUNCTION("if(FM$2="""","""", index(GOOGLEFINANCE($B$23,""close"",FM$2,TODAY()),2,2))"),"")</f>
        <v/>
      </c>
      <c r="FN23" s="1" t="str">
        <f ca="1">IFERROR(__xludf.DUMMYFUNCTION("if(FN$2="""","""", index(GOOGLEFINANCE($B$23,""close"",FN$2,TODAY()),2,2))"),"")</f>
        <v/>
      </c>
      <c r="FO23" s="1" t="str">
        <f ca="1">IFERROR(__xludf.DUMMYFUNCTION("if(FO$2="""","""", index(GOOGLEFINANCE($B$23,""close"",FO$2,TODAY()),2,2))"),"")</f>
        <v/>
      </c>
      <c r="FP23" s="1" t="str">
        <f ca="1">IFERROR(__xludf.DUMMYFUNCTION("if(FP$2="""","""", index(GOOGLEFINANCE($B$23,""close"",FP$2,TODAY()),2,2))"),"")</f>
        <v/>
      </c>
      <c r="FQ23" s="1" t="str">
        <f ca="1">IFERROR(__xludf.DUMMYFUNCTION("if(FQ$2="""","""", index(GOOGLEFINANCE($B$23,""close"",FQ$2,TODAY()),2,2))"),"")</f>
        <v/>
      </c>
      <c r="FR23" s="1" t="str">
        <f ca="1">IFERROR(__xludf.DUMMYFUNCTION("if(FR$2="""","""", index(GOOGLEFINANCE($B$23,""close"",FR$2,TODAY()),2,2))"),"")</f>
        <v/>
      </c>
      <c r="FS23" s="1" t="str">
        <f ca="1">IFERROR(__xludf.DUMMYFUNCTION("if(FS$2="""","""", index(GOOGLEFINANCE($B$23,""close"",FS$2,TODAY()),2,2))"),"")</f>
        <v/>
      </c>
      <c r="FT23" s="1" t="str">
        <f ca="1">IFERROR(__xludf.DUMMYFUNCTION("if(FT$2="""","""", index(GOOGLEFINANCE($B$23,""close"",FT$2,TODAY()),2,2))"),"")</f>
        <v/>
      </c>
      <c r="FU23" s="1" t="str">
        <f ca="1">IFERROR(__xludf.DUMMYFUNCTION("if(FU$2="""","""", index(GOOGLEFINANCE($B$23,""close"",FU$2,TODAY()),2,2))"),"")</f>
        <v/>
      </c>
      <c r="FV23" s="1" t="str">
        <f ca="1">IFERROR(__xludf.DUMMYFUNCTION("if(FV$2="""","""", index(GOOGLEFINANCE($B$23,""close"",FV$2,TODAY()),2,2))"),"")</f>
        <v/>
      </c>
      <c r="FW23" s="1" t="str">
        <f ca="1">IFERROR(__xludf.DUMMYFUNCTION("if(FW$2="""","""", index(GOOGLEFINANCE($B$23,""close"",FW$2,TODAY()),2,2))"),"")</f>
        <v/>
      </c>
      <c r="FX23" s="1" t="str">
        <f ca="1">IFERROR(__xludf.DUMMYFUNCTION("if(FX$2="""","""", index(GOOGLEFINANCE($B$23,""close"",FX$2,TODAY()),2,2))"),"")</f>
        <v/>
      </c>
      <c r="FY23" s="1" t="str">
        <f ca="1">IFERROR(__xludf.DUMMYFUNCTION("if(FY$2="""","""", index(GOOGLEFINANCE($B$23,""close"",FY$2,TODAY()),2,2))"),"")</f>
        <v/>
      </c>
      <c r="FZ23" s="1" t="str">
        <f ca="1">IFERROR(__xludf.DUMMYFUNCTION("if(FZ$2="""","""", index(GOOGLEFINANCE($B$23,""close"",FZ$2,TODAY()),2,2))"),"")</f>
        <v/>
      </c>
      <c r="GA23" s="1" t="str">
        <f ca="1">IFERROR(__xludf.DUMMYFUNCTION("if(GA$2="""","""", index(GOOGLEFINANCE($B$23,""close"",GA$2,TODAY()),2,2))"),"")</f>
        <v/>
      </c>
      <c r="GB23" s="1" t="str">
        <f ca="1">IFERROR(__xludf.DUMMYFUNCTION("if(GB$2="""","""", index(GOOGLEFINANCE($B$23,""close"",GB$2,TODAY()),2,2))"),"")</f>
        <v/>
      </c>
      <c r="GC23" s="1" t="str">
        <f ca="1">IFERROR(__xludf.DUMMYFUNCTION("if(GC$2="""","""", index(GOOGLEFINANCE($B$23,""close"",GC$2,TODAY()),2,2))"),"")</f>
        <v/>
      </c>
      <c r="GD23" s="1" t="str">
        <f ca="1">IFERROR(__xludf.DUMMYFUNCTION("if(GD$2="""","""", index(GOOGLEFINANCE($B$23,""close"",GD$2,TODAY()),2,2))"),"")</f>
        <v/>
      </c>
      <c r="GE23" s="1" t="str">
        <f ca="1">IFERROR(__xludf.DUMMYFUNCTION("if(GE$2="""","""", index(GOOGLEFINANCE($B$23,""close"",GE$2,TODAY()),2,2))"),"")</f>
        <v/>
      </c>
      <c r="GF23" s="1" t="str">
        <f ca="1">IFERROR(__xludf.DUMMYFUNCTION("if(GF$2="""","""", index(GOOGLEFINANCE($B$23,""close"",GF$2,TODAY()),2,2))"),"")</f>
        <v/>
      </c>
      <c r="GG23" s="1" t="str">
        <f ca="1">IFERROR(__xludf.DUMMYFUNCTION("if(GG$2="""","""", index(GOOGLEFINANCE($B$23,""close"",GG$2,TODAY()),2,2))"),"")</f>
        <v/>
      </c>
      <c r="GH23" s="1" t="str">
        <f ca="1">IFERROR(__xludf.DUMMYFUNCTION("if(GH$2="""","""", index(GOOGLEFINANCE($B$23,""close"",GH$2,TODAY()),2,2))"),"")</f>
        <v/>
      </c>
      <c r="GI23" s="1" t="str">
        <f ca="1">IFERROR(__xludf.DUMMYFUNCTION("if(GI$2="""","""", index(GOOGLEFINANCE($B$23,""close"",GI$2,TODAY()),2,2))"),"")</f>
        <v/>
      </c>
      <c r="GJ23" s="1" t="str">
        <f ca="1">IFERROR(__xludf.DUMMYFUNCTION("if(GJ$2="""","""", index(GOOGLEFINANCE($B$23,""close"",GJ$2,TODAY()),2,2))"),"")</f>
        <v/>
      </c>
      <c r="GK23" s="1" t="str">
        <f ca="1">IFERROR(__xludf.DUMMYFUNCTION("if(GK$2="""","""", index(GOOGLEFINANCE($B$23,""close"",GK$2,TODAY()),2,2))"),"")</f>
        <v/>
      </c>
      <c r="GL23" s="1" t="str">
        <f ca="1">IFERROR(__xludf.DUMMYFUNCTION("if(GL$2="""","""", index(GOOGLEFINANCE($B$23,""close"",GL$2,TODAY()),2,2))"),"")</f>
        <v/>
      </c>
      <c r="GM23" s="1" t="str">
        <f ca="1">IFERROR(__xludf.DUMMYFUNCTION("if(GM$2="""","""", index(GOOGLEFINANCE($B$23,""close"",GM$2,TODAY()),2,2))"),"")</f>
        <v/>
      </c>
      <c r="GN23" s="1" t="str">
        <f ca="1">IFERROR(__xludf.DUMMYFUNCTION("if(GN$2="""","""", index(GOOGLEFINANCE($B$23,""close"",GN$2,TODAY()),2,2))"),"")</f>
        <v/>
      </c>
      <c r="GO23" s="1" t="str">
        <f ca="1">IFERROR(__xludf.DUMMYFUNCTION("if(GO$2="""","""", index(GOOGLEFINANCE($B$23,""close"",GO$2,TODAY()),2,2))"),"")</f>
        <v/>
      </c>
      <c r="GP23" s="1" t="str">
        <f ca="1">IFERROR(__xludf.DUMMYFUNCTION("if(GP$2="""","""", index(GOOGLEFINANCE($B$23,""close"",GP$2,TODAY()),2,2))"),"")</f>
        <v/>
      </c>
      <c r="GQ23" s="1" t="str">
        <f ca="1">IFERROR(__xludf.DUMMYFUNCTION("if(GQ$2="""","""", index(GOOGLEFINANCE($B$23,""close"",GQ$2,TODAY()),2,2))"),"")</f>
        <v/>
      </c>
      <c r="GR23" s="1" t="str">
        <f ca="1">IFERROR(__xludf.DUMMYFUNCTION("if(GR$2="""","""", index(GOOGLEFINANCE($B$23,""close"",GR$2,TODAY()),2,2))"),"")</f>
        <v/>
      </c>
      <c r="GS23" s="1" t="str">
        <f ca="1">IFERROR(__xludf.DUMMYFUNCTION("if(GS$2="""","""", index(GOOGLEFINANCE($B$23,""close"",GS$2,TODAY()),2,2))"),"")</f>
        <v/>
      </c>
      <c r="GT23" s="1" t="str">
        <f ca="1">IFERROR(__xludf.DUMMYFUNCTION("if(GT$2="""","""", index(GOOGLEFINANCE($B$23,""close"",GT$2,TODAY()),2,2))"),"")</f>
        <v/>
      </c>
      <c r="GU23" s="1" t="str">
        <f ca="1">IFERROR(__xludf.DUMMYFUNCTION("if(GU$2="""","""", index(GOOGLEFINANCE($B$23,""close"",GU$2,TODAY()),2,2))"),"")</f>
        <v/>
      </c>
      <c r="GV23" s="1" t="str">
        <f ca="1">IFERROR(__xludf.DUMMYFUNCTION("if(GV$2="""","""", index(GOOGLEFINANCE($B$23,""close"",GV$2,TODAY()),2,2))"),"")</f>
        <v/>
      </c>
      <c r="GW23" s="1" t="str">
        <f ca="1">IFERROR(__xludf.DUMMYFUNCTION("if(GW$2="""","""", index(GOOGLEFINANCE($B$23,""close"",GW$2,TODAY()),2,2))"),"")</f>
        <v/>
      </c>
      <c r="GX23" s="1" t="str">
        <f ca="1">IFERROR(__xludf.DUMMYFUNCTION("if(GX$2="""","""", index(GOOGLEFINANCE($B$23,""close"",GX$2,TODAY()),2,2))"),"")</f>
        <v/>
      </c>
      <c r="GY23" s="1" t="str">
        <f ca="1">IFERROR(__xludf.DUMMYFUNCTION("if(GY$2="""","""", index(GOOGLEFINANCE($B$23,""close"",GY$2,TODAY()),2,2))"),"")</f>
        <v/>
      </c>
      <c r="GZ23" s="1" t="str">
        <f ca="1">IFERROR(__xludf.DUMMYFUNCTION("if(GZ$2="""","""", index(GOOGLEFINANCE($B$23,""close"",GZ$2,TODAY()),2,2))"),"")</f>
        <v/>
      </c>
      <c r="HA23" s="1" t="str">
        <f ca="1">IFERROR(__xludf.DUMMYFUNCTION("if(HA$2="""","""", index(GOOGLEFINANCE($B$23,""close"",HA$2,TODAY()),2,2))"),"")</f>
        <v/>
      </c>
      <c r="HB23" s="1" t="str">
        <f ca="1">IFERROR(__xludf.DUMMYFUNCTION("if(HB$2="""","""", index(GOOGLEFINANCE($B$23,""close"",HB$2,TODAY()),2,2))"),"")</f>
        <v/>
      </c>
      <c r="HC23" s="1" t="str">
        <f ca="1">IFERROR(__xludf.DUMMYFUNCTION("if(HC$2="""","""", index(GOOGLEFINANCE($B$23,""close"",HC$2,TODAY()),2,2))"),"")</f>
        <v/>
      </c>
      <c r="HD23" s="1" t="str">
        <f ca="1">IFERROR(__xludf.DUMMYFUNCTION("if(HD$2="""","""", index(GOOGLEFINANCE($B$23,""close"",HD$2,TODAY()),2,2))"),"")</f>
        <v/>
      </c>
      <c r="HE23" s="1" t="str">
        <f ca="1">IFERROR(__xludf.DUMMYFUNCTION("if(HE$2="""","""", index(GOOGLEFINANCE($B$23,""close"",HE$2,TODAY()),2,2))"),"")</f>
        <v/>
      </c>
      <c r="HF23" s="1" t="str">
        <f ca="1">IFERROR(__xludf.DUMMYFUNCTION("if(HF$2="""","""", index(GOOGLEFINANCE($B$23,""close"",HF$2,TODAY()),2,2))"),"")</f>
        <v/>
      </c>
      <c r="HG23" s="1" t="str">
        <f ca="1">IFERROR(__xludf.DUMMYFUNCTION("if(HG$2="""","""", index(GOOGLEFINANCE($B$23,""close"",HG$2,TODAY()),2,2))"),"")</f>
        <v/>
      </c>
      <c r="HH23" s="1" t="str">
        <f ca="1">IFERROR(__xludf.DUMMYFUNCTION("if(HH$2="""","""", index(GOOGLEFINANCE($B$23,""close"",HH$2,TODAY()),2,2))"),"")</f>
        <v/>
      </c>
      <c r="HI23" s="1" t="str">
        <f ca="1">IFERROR(__xludf.DUMMYFUNCTION("if(HI$2="""","""", index(GOOGLEFINANCE($B$23,""close"",HI$2,TODAY()),2,2))"),"")</f>
        <v/>
      </c>
      <c r="HJ23" s="1" t="str">
        <f ca="1">IFERROR(__xludf.DUMMYFUNCTION("if(HJ$2="""","""", index(GOOGLEFINANCE($B$23,""close"",HJ$2,TODAY()),2,2))"),"")</f>
        <v/>
      </c>
      <c r="HK23" s="1" t="str">
        <f ca="1">IFERROR(__xludf.DUMMYFUNCTION("if(HK$2="""","""", index(GOOGLEFINANCE($B$23,""close"",HK$2,TODAY()),2,2))"),"")</f>
        <v/>
      </c>
      <c r="HL23" s="1" t="str">
        <f ca="1">IFERROR(__xludf.DUMMYFUNCTION("if(HL$2="""","""", index(GOOGLEFINANCE($B$23,""close"",HL$2,TODAY()),2,2))"),"")</f>
        <v/>
      </c>
      <c r="HM23" s="1" t="str">
        <f ca="1">IFERROR(__xludf.DUMMYFUNCTION("if(HM$2="""","""", index(GOOGLEFINANCE($B$23,""close"",HM$2,TODAY()),2,2))"),"")</f>
        <v/>
      </c>
      <c r="HN23" s="1" t="str">
        <f ca="1">IFERROR(__xludf.DUMMYFUNCTION("if(HN$2="""","""", index(GOOGLEFINANCE($B$23,""close"",HN$2,TODAY()),2,2))"),"")</f>
        <v/>
      </c>
      <c r="HO23" s="1" t="str">
        <f ca="1">IFERROR(__xludf.DUMMYFUNCTION("if(HO$2="""","""", index(GOOGLEFINANCE($B$23,""close"",HO$2,TODAY()),2,2))"),"")</f>
        <v/>
      </c>
      <c r="HP23" s="1" t="str">
        <f ca="1">IFERROR(__xludf.DUMMYFUNCTION("if(HP$2="""","""", index(GOOGLEFINANCE($B$23,""close"",HP$2,TODAY()),2,2))"),"")</f>
        <v/>
      </c>
      <c r="HQ23" s="1" t="str">
        <f ca="1">IFERROR(__xludf.DUMMYFUNCTION("if(HQ$2="""","""", index(GOOGLEFINANCE($B$23,""close"",HQ$2,TODAY()),2,2))"),"")</f>
        <v/>
      </c>
      <c r="HR23" s="1" t="str">
        <f ca="1">IFERROR(__xludf.DUMMYFUNCTION("if(HR$2="""","""", index(GOOGLEFINANCE($B$23,""close"",HR$2,TODAY()),2,2))"),"")</f>
        <v/>
      </c>
      <c r="HS23" s="1" t="str">
        <f ca="1">IFERROR(__xludf.DUMMYFUNCTION("if(HS$2="""","""", index(GOOGLEFINANCE($B$23,""close"",HS$2,TODAY()),2,2))"),"")</f>
        <v/>
      </c>
      <c r="HT23" s="1" t="str">
        <f ca="1">IFERROR(__xludf.DUMMYFUNCTION("if(HT$2="""","""", index(GOOGLEFINANCE($B$23,""close"",HT$2,TODAY()),2,2))"),"")</f>
        <v/>
      </c>
      <c r="HU23" s="1" t="str">
        <f ca="1">IFERROR(__xludf.DUMMYFUNCTION("if(HU$2="""","""", index(GOOGLEFINANCE($B$23,""close"",HU$2,TODAY()),2,2))"),"")</f>
        <v/>
      </c>
      <c r="HV23" s="1" t="str">
        <f ca="1">IFERROR(__xludf.DUMMYFUNCTION("if(HV$2="""","""", index(GOOGLEFINANCE($B$23,""close"",HV$2,TODAY()),2,2))"),"")</f>
        <v/>
      </c>
      <c r="HW23" s="1" t="str">
        <f ca="1">IFERROR(__xludf.DUMMYFUNCTION("if(HW$2="""","""", index(GOOGLEFINANCE($B$23,""close"",HW$2,TODAY()),2,2))"),"")</f>
        <v/>
      </c>
      <c r="HX23" s="1" t="str">
        <f ca="1">IFERROR(__xludf.DUMMYFUNCTION("if(HX$2="""","""", index(GOOGLEFINANCE($B$23,""close"",HX$2,TODAY()),2,2))"),"")</f>
        <v/>
      </c>
      <c r="HY23" s="1" t="str">
        <f ca="1">IFERROR(__xludf.DUMMYFUNCTION("if(HY$2="""","""", index(GOOGLEFINANCE($B$23,""close"",HY$2,TODAY()),2,2))"),"")</f>
        <v/>
      </c>
      <c r="HZ23" s="1" t="str">
        <f ca="1">IFERROR(__xludf.DUMMYFUNCTION("if(HZ$2="""","""", index(GOOGLEFINANCE($B$23,""close"",HZ$2,TODAY()),2,2))"),"")</f>
        <v/>
      </c>
      <c r="IA23" s="1" t="str">
        <f ca="1">IFERROR(__xludf.DUMMYFUNCTION("if(IA$2="""","""", index(GOOGLEFINANCE($B$23,""close"",IA$2,TODAY()),2,2))"),"")</f>
        <v/>
      </c>
      <c r="IB23" s="1" t="str">
        <f ca="1">IFERROR(__xludf.DUMMYFUNCTION("if(IB$2="""","""", index(GOOGLEFINANCE($B$23,""close"",IB$2,TODAY()),2,2))"),"")</f>
        <v/>
      </c>
      <c r="IC23" s="1" t="str">
        <f ca="1">IFERROR(__xludf.DUMMYFUNCTION("if(IC$2="""","""", index(GOOGLEFINANCE($B$23,""close"",IC$2,TODAY()),2,2))"),"")</f>
        <v/>
      </c>
      <c r="ID23" s="1" t="str">
        <f ca="1">IFERROR(__xludf.DUMMYFUNCTION("if(ID$2="""","""", index(GOOGLEFINANCE($B$23,""close"",ID$2,TODAY()),2,2))"),"")</f>
        <v/>
      </c>
      <c r="IE23" s="1" t="str">
        <f ca="1">IFERROR(__xludf.DUMMYFUNCTION("if(IE$2="""","""", index(GOOGLEFINANCE($B$23,""close"",IE$2,TODAY()),2,2))"),"")</f>
        <v/>
      </c>
      <c r="IF23" s="1" t="str">
        <f ca="1">IFERROR(__xludf.DUMMYFUNCTION("if(IF$2="""","""", index(GOOGLEFINANCE($B$23,""close"",IF$2,TODAY()),2,2))"),"")</f>
        <v/>
      </c>
      <c r="IG23" s="1" t="str">
        <f ca="1">IFERROR(__xludf.DUMMYFUNCTION("if(IG$2="""","""", index(GOOGLEFINANCE($B$23,""close"",IG$2,TODAY()),2,2))"),"")</f>
        <v/>
      </c>
      <c r="IH23" s="1" t="str">
        <f ca="1">IFERROR(__xludf.DUMMYFUNCTION("if(IH$2="""","""", index(GOOGLEFINANCE($B$23,""close"",IH$2,TODAY()),2,2))"),"")</f>
        <v/>
      </c>
      <c r="II23" s="1" t="str">
        <f ca="1">IFERROR(__xludf.DUMMYFUNCTION("if(II$2="""","""", index(GOOGLEFINANCE($B$23,""close"",II$2,TODAY()),2,2))"),"")</f>
        <v/>
      </c>
      <c r="IJ23" s="1" t="str">
        <f ca="1">IFERROR(__xludf.DUMMYFUNCTION("if(IJ$2="""","""", index(GOOGLEFINANCE($B$23,""close"",IJ$2,TODAY()),2,2))"),"")</f>
        <v/>
      </c>
      <c r="IK23" s="1" t="str">
        <f ca="1">IFERROR(__xludf.DUMMYFUNCTION("if(IK$2="""","""", index(GOOGLEFINANCE($B$23,""close"",IK$2,TODAY()),2,2))"),"")</f>
        <v/>
      </c>
      <c r="IL23" s="1" t="str">
        <f ca="1">IFERROR(__xludf.DUMMYFUNCTION("if(IL$2="""","""", index(GOOGLEFINANCE($B$23,""close"",IL$2,TODAY()),2,2))"),"")</f>
        <v/>
      </c>
      <c r="IM23" s="1" t="str">
        <f ca="1">IFERROR(__xludf.DUMMYFUNCTION("if(IM$2="""","""", index(GOOGLEFINANCE($B$23,""close"",IM$2,TODAY()),2,2))"),"")</f>
        <v/>
      </c>
      <c r="IN23" s="1" t="str">
        <f ca="1">IFERROR(__xludf.DUMMYFUNCTION("if(IN$2="""","""", index(GOOGLEFINANCE($B$23,""close"",IN$2,TODAY()),2,2))"),"")</f>
        <v/>
      </c>
      <c r="IO23" s="1" t="str">
        <f ca="1">IFERROR(__xludf.DUMMYFUNCTION("if(IO$2="""","""", index(GOOGLEFINANCE($B$23,""close"",IO$2,TODAY()),2,2))"),"")</f>
        <v/>
      </c>
      <c r="IP23" s="1" t="str">
        <f ca="1">IFERROR(__xludf.DUMMYFUNCTION("if(IP$2="""","""", index(GOOGLEFINANCE($B$23,""close"",IP$2,TODAY()),2,2))"),"")</f>
        <v/>
      </c>
      <c r="IQ23" s="1" t="str">
        <f ca="1">IFERROR(__xludf.DUMMYFUNCTION("if(IQ$2="""","""", index(GOOGLEFINANCE($B$23,""close"",IQ$2,TODAY()),2,2))"),"")</f>
        <v/>
      </c>
      <c r="IR23" s="1" t="str">
        <f ca="1">IFERROR(__xludf.DUMMYFUNCTION("if(IR$2="""","""", index(GOOGLEFINANCE($B$23,""close"",IR$2,TODAY()),2,2))"),"")</f>
        <v/>
      </c>
      <c r="IS23" s="1" t="str">
        <f ca="1">IFERROR(__xludf.DUMMYFUNCTION("if(IS$2="""","""", index(GOOGLEFINANCE($B$23,""close"",IS$2,TODAY()),2,2))"),"")</f>
        <v/>
      </c>
      <c r="IT23" s="1" t="str">
        <f ca="1">IFERROR(__xludf.DUMMYFUNCTION("if(IT$2="""","""", index(GOOGLEFINANCE($B$23,""close"",IT$2,TODAY()),2,2))"),"")</f>
        <v/>
      </c>
      <c r="IU23" s="1" t="str">
        <f ca="1">IFERROR(__xludf.DUMMYFUNCTION("if(IU$2="""","""", index(GOOGLEFINANCE($B$23,""close"",IU$2,TODAY()),2,2))"),"")</f>
        <v/>
      </c>
      <c r="IV23" s="1" t="str">
        <f ca="1">IFERROR(__xludf.DUMMYFUNCTION("if(IV$2="""","""", index(GOOGLEFINANCE($B$23,""close"",IV$2,TODAY()),2,2))"),"")</f>
        <v/>
      </c>
      <c r="IW23" s="1" t="str">
        <f ca="1">IFERROR(__xludf.DUMMYFUNCTION("if(IW$2="""","""", index(GOOGLEFINANCE($B$23,""close"",IW$2,TODAY()),2,2))"),"")</f>
        <v/>
      </c>
      <c r="IX23" s="1" t="str">
        <f ca="1">IFERROR(__xludf.DUMMYFUNCTION("if(IX$2="""","""", index(GOOGLEFINANCE($B$23,""close"",IX$2,TODAY()),2,2))"),"")</f>
        <v/>
      </c>
      <c r="IY23" s="1" t="str">
        <f ca="1">IFERROR(__xludf.DUMMYFUNCTION("if(IY$2="""","""", index(GOOGLEFINANCE($B$23,""close"",IY$2,TODAY()),2,2))"),"")</f>
        <v/>
      </c>
      <c r="IZ23" s="1" t="str">
        <f ca="1">IFERROR(__xludf.DUMMYFUNCTION("if(IZ$2="""","""", index(GOOGLEFINANCE($B$23,""close"",IZ$2,TODAY()),2,2))"),"")</f>
        <v/>
      </c>
      <c r="JA23" s="1" t="str">
        <f ca="1">IFERROR(__xludf.DUMMYFUNCTION("if(JA$2="""","""", index(GOOGLEFINANCE($B$23,""close"",JA$2,TODAY()),2,2))"),"")</f>
        <v/>
      </c>
      <c r="JB23" s="1" t="str">
        <f ca="1">IFERROR(__xludf.DUMMYFUNCTION("if(JB$2="""","""", index(GOOGLEFINANCE($B$23,""close"",JB$2,TODAY()),2,2))"),"")</f>
        <v/>
      </c>
      <c r="JC23" s="1" t="str">
        <f ca="1">IFERROR(__xludf.DUMMYFUNCTION("if(JC$2="""","""", index(GOOGLEFINANCE($B$23,""close"",JC$2,TODAY()),2,2))"),"")</f>
        <v/>
      </c>
      <c r="JD23" s="1" t="str">
        <f ca="1">IFERROR(__xludf.DUMMYFUNCTION("if(JD$2="""","""", index(GOOGLEFINANCE($B$23,""close"",JD$2,TODAY()),2,2))"),"")</f>
        <v/>
      </c>
      <c r="JE23" s="1" t="str">
        <f ca="1">IFERROR(__xludf.DUMMYFUNCTION("if(JE$2="""","""", index(GOOGLEFINANCE($B$23,""close"",JE$2,TODAY()),2,2))"),"")</f>
        <v/>
      </c>
      <c r="JF23" s="1" t="str">
        <f ca="1">IFERROR(__xludf.DUMMYFUNCTION("if(JF$2="""","""", index(GOOGLEFINANCE($B$23,""close"",JF$2,TODAY()),2,2))"),"")</f>
        <v/>
      </c>
      <c r="JG23" s="1" t="str">
        <f ca="1">IFERROR(__xludf.DUMMYFUNCTION("if(JG$2="""","""", index(GOOGLEFINANCE($B$23,""close"",JG$2,TODAY()),2,2))"),"")</f>
        <v/>
      </c>
      <c r="JH23" s="1" t="str">
        <f ca="1">IFERROR(__xludf.DUMMYFUNCTION("if(JH$2="""","""", index(GOOGLEFINANCE($B$23,""close"",JH$2,TODAY()),2,2))"),"")</f>
        <v/>
      </c>
      <c r="JI23" s="1" t="str">
        <f ca="1">IFERROR(__xludf.DUMMYFUNCTION("if(JI$2="""","""", index(GOOGLEFINANCE($B$23,""close"",JI$2,TODAY()),2,2))"),"")</f>
        <v/>
      </c>
      <c r="JJ23" s="1" t="str">
        <f ca="1">IFERROR(__xludf.DUMMYFUNCTION("if(JJ$2="""","""", index(GOOGLEFINANCE($B$23,""close"",JJ$2,TODAY()),2,2))"),"")</f>
        <v/>
      </c>
      <c r="JK23" s="1" t="str">
        <f ca="1">IFERROR(__xludf.DUMMYFUNCTION("if(JK$2="""","""", index(GOOGLEFINANCE($B$23,""close"",JK$2,TODAY()),2,2))"),"")</f>
        <v/>
      </c>
      <c r="JL23" s="1" t="str">
        <f ca="1">IFERROR(__xludf.DUMMYFUNCTION("if(JL$2="""","""", index(GOOGLEFINANCE($B$23,""close"",JL$2,TODAY()),2,2))"),"")</f>
        <v/>
      </c>
      <c r="JM23" s="1" t="str">
        <f ca="1">IFERROR(__xludf.DUMMYFUNCTION("if(JM$2="""","""", index(GOOGLEFINANCE($B$23,""close"",JM$2,TODAY()),2,2))"),"")</f>
        <v/>
      </c>
      <c r="JN23" s="1" t="str">
        <f ca="1">IFERROR(__xludf.DUMMYFUNCTION("if(JN$2="""","""", index(GOOGLEFINANCE($B$23,""close"",JN$2,TODAY()),2,2))"),"")</f>
        <v/>
      </c>
      <c r="JO23" s="1" t="str">
        <f ca="1">IFERROR(__xludf.DUMMYFUNCTION("if(JO$2="""","""", index(GOOGLEFINANCE($B$23,""close"",JO$2,TODAY()),2,2))"),"")</f>
        <v/>
      </c>
      <c r="JP23" s="1" t="str">
        <f ca="1">IFERROR(__xludf.DUMMYFUNCTION("if(JP$2="""","""", index(GOOGLEFINANCE($B$23,""close"",JP$2,TODAY()),2,2))"),"")</f>
        <v/>
      </c>
      <c r="JQ23" s="1" t="str">
        <f ca="1">IFERROR(__xludf.DUMMYFUNCTION("if(JQ$2="""","""", index(GOOGLEFINANCE($B$23,""close"",JQ$2,TODAY()),2,2))"),"")</f>
        <v/>
      </c>
      <c r="JR23" s="1" t="str">
        <f ca="1">IFERROR(__xludf.DUMMYFUNCTION("if(JR$2="""","""", index(GOOGLEFINANCE($B$23,""close"",JR$2,TODAY()),2,2))"),"")</f>
        <v/>
      </c>
      <c r="JS23" s="1" t="str">
        <f ca="1">IFERROR(__xludf.DUMMYFUNCTION("if(JS$2="""","""", index(GOOGLEFINANCE($B$23,""close"",JS$2,TODAY()),2,2))"),"")</f>
        <v/>
      </c>
      <c r="JT23" s="1" t="str">
        <f ca="1">IFERROR(__xludf.DUMMYFUNCTION("if(JT$2="""","""", index(GOOGLEFINANCE($B$23,""close"",JT$2,TODAY()),2,2))"),"")</f>
        <v/>
      </c>
      <c r="JU23" s="1" t="str">
        <f ca="1">IFERROR(__xludf.DUMMYFUNCTION("if(JU$2="""","""", index(GOOGLEFINANCE($B$23,""close"",JU$2,TODAY()),2,2))"),"")</f>
        <v/>
      </c>
      <c r="JV23" s="1" t="str">
        <f ca="1">IFERROR(__xludf.DUMMYFUNCTION("if(JV$2="""","""", index(GOOGLEFINANCE($B$23,""close"",JV$2,TODAY()),2,2))"),"")</f>
        <v/>
      </c>
      <c r="JW23" s="1" t="str">
        <f ca="1">IFERROR(__xludf.DUMMYFUNCTION("if(JW$2="""","""", index(GOOGLEFINANCE($B$23,""close"",JW$2,TODAY()),2,2))"),"")</f>
        <v/>
      </c>
      <c r="JX23" s="1" t="str">
        <f ca="1">IFERROR(__xludf.DUMMYFUNCTION("if(JX$2="""","""", index(GOOGLEFINANCE($B$23,""close"",JX$2,TODAY()),2,2))"),"")</f>
        <v/>
      </c>
      <c r="JY23" s="1" t="str">
        <f ca="1">IFERROR(__xludf.DUMMYFUNCTION("if(JY$2="""","""", index(GOOGLEFINANCE($B$23,""close"",JY$2,TODAY()),2,2))"),"")</f>
        <v/>
      </c>
      <c r="JZ23" s="1" t="str">
        <f ca="1">IFERROR(__xludf.DUMMYFUNCTION("if(JZ$2="""","""", index(GOOGLEFINANCE($B$23,""close"",JZ$2,TODAY()),2,2))"),"")</f>
        <v/>
      </c>
      <c r="KA23" s="1" t="str">
        <f ca="1">IFERROR(__xludf.DUMMYFUNCTION("if(KA$2="""","""", index(GOOGLEFINANCE($B$23,""close"",KA$2,TODAY()),2,2))"),"")</f>
        <v/>
      </c>
      <c r="KB23" s="1" t="str">
        <f ca="1">IFERROR(__xludf.DUMMYFUNCTION("if(KB$2="""","""", index(GOOGLEFINANCE($B$23,""close"",KB$2,TODAY()),2,2))"),"")</f>
        <v/>
      </c>
      <c r="KC23" s="1" t="str">
        <f ca="1">IFERROR(__xludf.DUMMYFUNCTION("if(KC$2="""","""", index(GOOGLEFINANCE($B$23,""close"",KC$2,TODAY()),2,2))"),"")</f>
        <v/>
      </c>
      <c r="KD23" s="1" t="str">
        <f ca="1">IFERROR(__xludf.DUMMYFUNCTION("if(KD$2="""","""", index(GOOGLEFINANCE($B$23,""close"",KD$2,TODAY()),2,2))"),"")</f>
        <v/>
      </c>
      <c r="KE23" s="1" t="str">
        <f ca="1">IFERROR(__xludf.DUMMYFUNCTION("if(KE$2="""","""", index(GOOGLEFINANCE($B$23,""close"",KE$2,TODAY()),2,2))"),"")</f>
        <v/>
      </c>
      <c r="KF23" s="1" t="str">
        <f ca="1">IFERROR(__xludf.DUMMYFUNCTION("if(KF$2="""","""", index(GOOGLEFINANCE($B$23,""close"",KF$2,TODAY()),2,2))"),"")</f>
        <v/>
      </c>
      <c r="KG23" s="1" t="str">
        <f ca="1">IFERROR(__xludf.DUMMYFUNCTION("if(KG$2="""","""", index(GOOGLEFINANCE($B$23,""close"",KG$2,TODAY()),2,2))"),"")</f>
        <v/>
      </c>
    </row>
    <row r="24" spans="1:293" ht="15.75" customHeight="1">
      <c r="A24" s="18" t="s">
        <v>30</v>
      </c>
      <c r="B24" s="6" t="s">
        <v>67</v>
      </c>
      <c r="C24" s="1">
        <f ca="1">IFERROR(__xludf.DUMMYFUNCTION("if(C$2="""","""", index(GOOGLEFINANCE($B$24,""close"",C$2,TODAY()),2,2))"),156.31)</f>
        <v>156.31</v>
      </c>
      <c r="D24" s="1">
        <f ca="1">IFERROR(__xludf.DUMMYFUNCTION("if(D$2="""","""", index(GOOGLEFINANCE($B$24,""close"",D$2,TODAY()),2,2))"),162.29)</f>
        <v>162.29</v>
      </c>
      <c r="E24" s="1">
        <f ca="1">IFERROR(__xludf.DUMMYFUNCTION("if(E$2="""","""", index(GOOGLEFINANCE($B$24,""close"",E$2,TODAY()),2,2))"),158.32)</f>
        <v>158.32</v>
      </c>
      <c r="F24" s="1">
        <f ca="1">IFERROR(__xludf.DUMMYFUNCTION("if(F$2="""","""", index(GOOGLEFINANCE($B$24,""close"",F$2,TODAY()),2,2))"),154.93)</f>
        <v>154.93</v>
      </c>
      <c r="G24" s="1">
        <f ca="1">IFERROR(__xludf.DUMMYFUNCTION("if(G$2="""","""", index(GOOGLEFINANCE($B$24,""close"",G$2,TODAY()),2,2))"),150.08)</f>
        <v>150.08000000000001</v>
      </c>
      <c r="H24" s="1">
        <f ca="1">IFERROR(__xludf.DUMMYFUNCTION("if(H$2="""","""", index(GOOGLEFINANCE($B$24,""close"",H$2,TODAY()),2,2))"),147.15)</f>
        <v>147.15</v>
      </c>
      <c r="I24" s="1">
        <f ca="1">IFERROR(__xludf.DUMMYFUNCTION("if(I$2="""","""", index(GOOGLEFINANCE($B$24,""close"",I$2,TODAY()),2,2))"),151.6)</f>
        <v>151.6</v>
      </c>
      <c r="J24" s="1">
        <f ca="1">IFERROR(__xludf.DUMMYFUNCTION("if(J$2="""","""", index(GOOGLEFINANCE($B$24,""close"",J$2,TODAY()),2,2))"),150.4)</f>
        <v>150.4</v>
      </c>
      <c r="K24" s="1">
        <f ca="1">IFERROR(__xludf.DUMMYFUNCTION("if(K$2="""","""", index(GOOGLEFINANCE($B$24,""close"",K$2,TODAY()),2,2))"),150.53)</f>
        <v>150.53</v>
      </c>
      <c r="L24" s="1">
        <f ca="1">IFERROR(__xludf.DUMMYFUNCTION("if(L$2="""","""", index(GOOGLEFINANCE($B$24,""close"",L$2,TODAY()),2,2))"),149.36)</f>
        <v>149.36000000000001</v>
      </c>
      <c r="M24" s="1">
        <f ca="1">IFERROR(__xludf.DUMMYFUNCTION("if(M$2="""","""", index(GOOGLEFINANCE($B$24,""close"",M$2,TODAY()),2,2))"),146.5)</f>
        <v>146.5</v>
      </c>
      <c r="N24" s="1">
        <f ca="1">IFERROR(__xludf.DUMMYFUNCTION("if(N$2="""","""", index(GOOGLEFINANCE($B$24,""close"",N$2,TODAY()),2,2))"),143.92)</f>
        <v>143.91999999999999</v>
      </c>
      <c r="O24" s="1">
        <f ca="1">IFERROR(__xludf.DUMMYFUNCTION("if(O$2="""","""", index(GOOGLEFINANCE($B$24,""close"",O$2,TODAY()),2,2))"),139.05)</f>
        <v>139.05000000000001</v>
      </c>
      <c r="P24" s="1">
        <f ca="1">IFERROR(__xludf.DUMMYFUNCTION("if(P$2="""","""", index(GOOGLEFINANCE($B$24,""close"",P$2,TODAY()),2,2))"),137.44)</f>
        <v>137.44</v>
      </c>
      <c r="Q24" s="1">
        <f ca="1">IFERROR(__xludf.DUMMYFUNCTION("if(Q$2="""","""", index(GOOGLEFINANCE($B$24,""close"",Q$2,TODAY()),2,2))"),140.9)</f>
        <v>140.9</v>
      </c>
      <c r="R24" s="1">
        <f ca="1">IFERROR(__xludf.DUMMYFUNCTION("if(R$2="""","""", index(GOOGLEFINANCE($B$24,""close"",R$2,TODAY()),2,2))"),136.77)</f>
        <v>136.77000000000001</v>
      </c>
      <c r="S24" s="1">
        <f ca="1">IFERROR(__xludf.DUMMYFUNCTION("if(S$2="""","""", index(GOOGLEFINANCE($B$24,""close"",S$2,TODAY()),2,2))"),133.8)</f>
        <v>133.80000000000001</v>
      </c>
      <c r="T24" s="1">
        <f ca="1">IFERROR(__xludf.DUMMYFUNCTION("if(T$2="""","""", index(GOOGLEFINANCE($B$24,""close"",T$2,TODAY()),2,2))"),131.6)</f>
        <v>131.6</v>
      </c>
      <c r="U24" s="1">
        <f ca="1">IFERROR(__xludf.DUMMYFUNCTION("if(U$2="""","""", index(GOOGLEFINANCE($B$24,""close"",U$2,TODAY()),2,2))"),132.1)</f>
        <v>132.1</v>
      </c>
      <c r="V24" s="1">
        <f ca="1">IFERROR(__xludf.DUMMYFUNCTION("if(V$2="""","""", index(GOOGLEFINANCE($B$24,""close"",V$2,TODAY()),2,2))"),135)</f>
        <v>135</v>
      </c>
      <c r="W24" s="1">
        <f ca="1">IFERROR(__xludf.DUMMYFUNCTION("if(W$2="""","""", index(GOOGLEFINANCE($B$24,""close"",W$2,TODAY()),2,2))"),135.6)</f>
        <v>135.6</v>
      </c>
      <c r="X24" s="1">
        <f ca="1">IFERROR(__xludf.DUMMYFUNCTION("if(X$2="""","""", index(GOOGLEFINANCE($B$24,""close"",X$2,TODAY()),2,2))"),134.94)</f>
        <v>134.94</v>
      </c>
      <c r="Y24" s="1">
        <f ca="1">IFERROR(__xludf.DUMMYFUNCTION("if(Y$2="""","""", index(GOOGLEFINANCE($B$24,""close"",Y$2,TODAY()),2,2))"),131.8)</f>
        <v>131.80000000000001</v>
      </c>
      <c r="Z24" s="1">
        <f ca="1">IFERROR(__xludf.DUMMYFUNCTION("if(Z$2="""","""", index(GOOGLEFINANCE($B$24,""close"",Z$2,TODAY()),2,2))"),130.03)</f>
        <v>130.03</v>
      </c>
      <c r="AA24" s="1">
        <f ca="1">IFERROR(__xludf.DUMMYFUNCTION("if(AA$2="""","""", index(GOOGLEFINANCE($B$24,""close"",AA$2,TODAY()),2,2))"),134.35)</f>
        <v>134.35</v>
      </c>
      <c r="AB24" s="1">
        <f ca="1">IFERROR(__xludf.DUMMYFUNCTION("if(AB$2="""","""", index(GOOGLEFINANCE($B$24,""close"",AB$2,TODAY()),2,2))"),136.78)</f>
        <v>136.78</v>
      </c>
      <c r="AC24" s="1">
        <f ca="1">IFERROR(__xludf.DUMMYFUNCTION("if(AC$2="""","""", index(GOOGLEFINANCE($B$24,""close"",AC$2,TODAY()),2,2))"),137.66)</f>
        <v>137.66</v>
      </c>
      <c r="AD24" s="1">
        <f ca="1">IFERROR(__xludf.DUMMYFUNCTION("if(AD$2="""","""", index(GOOGLEFINANCE($B$24,""close"",AD$2,TODAY()),2,2))"),132.92)</f>
        <v>132.91999999999999</v>
      </c>
      <c r="AE24" s="1">
        <f ca="1">IFERROR(__xludf.DUMMYFUNCTION("if(AE$2="""","""", index(GOOGLEFINANCE($B$24,""close"",AE$2,TODAY()),2,2))"),131.53)</f>
        <v>131.53</v>
      </c>
      <c r="AF24" s="1">
        <f ca="1">IFERROR(__xludf.DUMMYFUNCTION("if(AF$2="""","""", index(GOOGLEFINANCE($B$24,""close"",AF$2,TODAY()),2,2))"),132.39)</f>
        <v>132.38999999999999</v>
      </c>
      <c r="AG24" s="1">
        <f ca="1">IFERROR(__xludf.DUMMYFUNCTION("if(AG$2="""","""", index(GOOGLEFINANCE($B$24,""close"",AG$2,TODAY()),2,2))"),134.2)</f>
        <v>134.19999999999999</v>
      </c>
      <c r="AH24" s="1">
        <f ca="1">IFERROR(__xludf.DUMMYFUNCTION("if(AH$2="""","""", index(GOOGLEFINANCE($B$24,""close"",AH$2,TODAY()),2,2))"),135.37)</f>
        <v>135.37</v>
      </c>
      <c r="AI24" s="1">
        <f ca="1">IFERROR(__xludf.DUMMYFUNCTION("if(AI$2="""","""", index(GOOGLEFINANCE($B$24,""close"",AI$2,TODAY()),2,2))"),132.41)</f>
        <v>132.41</v>
      </c>
      <c r="AJ24" s="1">
        <f ca="1">IFERROR(__xludf.DUMMYFUNCTION("if(AJ$2="""","""", index(GOOGLEFINANCE($B$24,""close"",AJ$2,TODAY()),2,2))"),131.49)</f>
        <v>131.49</v>
      </c>
      <c r="AK24" s="1">
        <f ca="1">IFERROR(__xludf.DUMMYFUNCTION("if(AK$2="""","""", index(GOOGLEFINANCE($B$24,""close"",AK$2,TODAY()),2,2))"),128.72)</f>
        <v>128.72</v>
      </c>
      <c r="AL24" s="1">
        <f ca="1">IFERROR(__xludf.DUMMYFUNCTION("if(AL$2="""","""", index(GOOGLEFINANCE($B$24,""close"",AL$2,TODAY()),2,2))"),103.77)</f>
        <v>103.77</v>
      </c>
      <c r="AM24" s="1">
        <f ca="1">IFERROR(__xludf.DUMMYFUNCTION("if(AM$2="""","""", index(GOOGLEFINANCE($B$24,""close"",AM$2,TODAY()),2,2))"),104.55)</f>
        <v>104.55</v>
      </c>
      <c r="AN24" s="1">
        <f ca="1">IFERROR(__xludf.DUMMYFUNCTION("if(AN$2="""","""", index(GOOGLEFINANCE($B$24,""close"",AN$2,TODAY()),2,2))"),110.95)</f>
        <v>110.95</v>
      </c>
      <c r="AO24" s="1">
        <f ca="1">IFERROR(__xludf.DUMMYFUNCTION("if(AO$2="""","""", index(GOOGLEFINANCE($B$24,""close"",AO$2,TODAY()),2,2))"),113.37)</f>
        <v>113.37</v>
      </c>
      <c r="AP24" s="1">
        <f ca="1">IFERROR(__xludf.DUMMYFUNCTION("if(AP$2="""","""", index(GOOGLEFINANCE($B$24,""close"",AP$2,TODAY()),2,2))"),108.19)</f>
        <v>108.19</v>
      </c>
      <c r="AQ24" s="1">
        <f ca="1">IFERROR(__xludf.DUMMYFUNCTION("if(AQ$2="""","""", index(GOOGLEFINANCE($B$24,""close"",AQ$2,TODAY()),2,2))"),112.89)</f>
        <v>112.89</v>
      </c>
      <c r="AR24" s="1">
        <f ca="1">IFERROR(__xludf.DUMMYFUNCTION("if(AR$2="""","""", index(GOOGLEFINANCE($B$24,""close"",AR$2,TODAY()),2,2))"),112.25)</f>
        <v>112.25</v>
      </c>
      <c r="AS24" s="1">
        <f ca="1">IFERROR(__xludf.DUMMYFUNCTION("if(AS$2="""","""", index(GOOGLEFINANCE($B$24,""close"",AS$2,TODAY()),2,2))"),109.26)</f>
        <v>109.26</v>
      </c>
      <c r="AT24" s="1">
        <f ca="1">IFERROR(__xludf.DUMMYFUNCTION("if(AT$2="""","""", index(GOOGLEFINANCE($B$24,""close"",AT$2,TODAY()),2,2))"),107.1)</f>
        <v>107.1</v>
      </c>
      <c r="AU24" s="1">
        <f ca="1">IFERROR(__xludf.DUMMYFUNCTION("if(AU$2="""","""", index(GOOGLEFINANCE($B$24,""close"",AU$2,TODAY()),2,2))"),108.1)</f>
        <v>108.1</v>
      </c>
      <c r="AV24" s="1">
        <f ca="1">IFERROR(__xludf.DUMMYFUNCTION("if(AV$2="""","""", index(GOOGLEFINANCE($B$24,""close"",AV$2,TODAY()),2,2))"),108.88)</f>
        <v>108.88</v>
      </c>
      <c r="AW24" s="1">
        <f ca="1">IFERROR(__xludf.DUMMYFUNCTION("if(AW$2="""","""", index(GOOGLEFINANCE($B$24,""close"",AW$2,TODAY()),2,2))"),108.06)</f>
        <v>108.06</v>
      </c>
      <c r="AX24" s="1">
        <f ca="1">IFERROR(__xludf.DUMMYFUNCTION("if(AX$2="""","""", index(GOOGLEFINANCE($B$24,""close"",AX$2,TODAY()),2,2))"),108.31)</f>
        <v>108.31</v>
      </c>
      <c r="AY24" s="1">
        <f ca="1">IFERROR(__xludf.DUMMYFUNCTION("if(AY$2="""","""", index(GOOGLEFINANCE($B$24,""close"",AY$2,TODAY()),2,2))"),106.55)</f>
        <v>106.55</v>
      </c>
      <c r="AZ24" s="1">
        <f ca="1">IFERROR(__xludf.DUMMYFUNCTION("if(AZ$2="""","""", index(GOOGLEFINANCE($B$24,""close"",AZ$2,TODAY()),2,2))"),109.99)</f>
        <v>109.99</v>
      </c>
      <c r="BA24" s="1">
        <f ca="1">IFERROR(__xludf.DUMMYFUNCTION("if(BA$2="""","""", index(GOOGLEFINANCE($B$24,""close"",BA$2,TODAY()),2,2))"),114.28)</f>
        <v>114.28</v>
      </c>
      <c r="BB24" s="1">
        <f ca="1">IFERROR(__xludf.DUMMYFUNCTION("if(BB$2="""","""", index(GOOGLEFINANCE($B$24,""close"",BB$2,TODAY()),2,2))"),112.72)</f>
        <v>112.72</v>
      </c>
      <c r="BC24" s="1">
        <f ca="1">IFERROR(__xludf.DUMMYFUNCTION("if(BC$2="""","""", index(GOOGLEFINANCE($B$24,""close"",BC$2,TODAY()),2,2))"),117.32)</f>
        <v>117.32</v>
      </c>
      <c r="BD24" s="1">
        <f ca="1">IFERROR(__xludf.DUMMYFUNCTION("if(BD$2="""","""", index(GOOGLEFINANCE($B$24,""close"",BD$2,TODAY()),2,2))"),114.18)</f>
        <v>114.18</v>
      </c>
      <c r="BE24" s="1">
        <f ca="1">IFERROR(__xludf.DUMMYFUNCTION("if(BE$2="""","""", index(GOOGLEFINANCE($B$24,""close"",BE$2,TODAY()),2,2))"),117.01)</f>
        <v>117.01</v>
      </c>
      <c r="BF24" s="1">
        <f ca="1">IFERROR(__xludf.DUMMYFUNCTION("if(BF$2="""","""", index(GOOGLEFINANCE($B$24,""close"",BF$2,TODAY()),2,2))"),115.36)</f>
        <v>115.36</v>
      </c>
      <c r="BG24" s="1">
        <f ca="1">IFERROR(__xludf.DUMMYFUNCTION("if(BG$2="""","""", index(GOOGLEFINANCE($B$24,""close"",BG$2,TODAY()),2,2))"),117.69)</f>
        <v>117.69</v>
      </c>
      <c r="BH24" s="1">
        <f ca="1">IFERROR(__xludf.DUMMYFUNCTION("if(BH$2="""","""", index(GOOGLEFINANCE($B$24,""close"",BH$2,TODAY()),2,2))"),115.38)</f>
        <v>115.38</v>
      </c>
      <c r="BI24" s="1">
        <f ca="1">IFERROR(__xludf.DUMMYFUNCTION("if(BI$2="""","""", index(GOOGLEFINANCE($B$24,""close"",BI$2,TODAY()),2,2))"),114.95)</f>
        <v>114.95</v>
      </c>
      <c r="BJ24" s="1">
        <f ca="1">IFERROR(__xludf.DUMMYFUNCTION("if(BJ$2="""","""", index(GOOGLEFINANCE($B$24,""close"",BJ$2,TODAY()),2,2))"),118.33)</f>
        <v>118.33</v>
      </c>
      <c r="BK24" s="1">
        <f ca="1">IFERROR(__xludf.DUMMYFUNCTION("if(BK$2="""","""", index(GOOGLEFINANCE($B$24,""close"",BK$2,TODAY()),2,2))"),117.86)</f>
        <v>117.86</v>
      </c>
      <c r="BL24" s="1">
        <f ca="1">IFERROR(__xludf.DUMMYFUNCTION("if(BL$2="""","""", index(GOOGLEFINANCE($B$24,""close"",BL$2,TODAY()),2,2))"),118.47)</f>
        <v>118.47</v>
      </c>
      <c r="BM24" s="1">
        <f ca="1">IFERROR(__xludf.DUMMYFUNCTION("if(BM$2="""","""", index(GOOGLEFINANCE($B$24,""close"",BM$2,TODAY()),2,2))"),121.26)</f>
        <v>121.26</v>
      </c>
      <c r="BN24" s="1">
        <f ca="1">IFERROR(__xludf.DUMMYFUNCTION("if(BN$2="""","""", index(GOOGLEFINANCE($B$24,""close"",BN$2,TODAY()),2,2))"),120.42)</f>
        <v>120.42</v>
      </c>
      <c r="BO24" s="1">
        <f ca="1">IFERROR(__xludf.DUMMYFUNCTION("if(BO$2="""","""", index(GOOGLEFINANCE($B$24,""close"",BO$2,TODAY()),2,2))"),115.39)</f>
        <v>115.39</v>
      </c>
      <c r="BP24" s="1">
        <f ca="1">IFERROR(__xludf.DUMMYFUNCTION("if(BP$2="""","""", index(GOOGLEFINANCE($B$24,""close"",BP$2,TODAY()),2,2))"),112.22)</f>
        <v>112.22</v>
      </c>
      <c r="BQ24" s="1">
        <f ca="1">IFERROR(__xludf.DUMMYFUNCTION("if(BQ$2="""","""", index(GOOGLEFINANCE($B$24,""close"",BQ$2,TODAY()),2,2))"),111.1)</f>
        <v>111.1</v>
      </c>
      <c r="BR24" s="1">
        <f ca="1">IFERROR(__xludf.DUMMYFUNCTION("if(BR$2="""","""", index(GOOGLEFINANCE($B$24,""close"",BR$2,TODAY()),2,2))"),108.36)</f>
        <v>108.36</v>
      </c>
      <c r="BS24" s="1">
        <f ca="1">IFERROR(__xludf.DUMMYFUNCTION("if(BS$2="""","""", index(GOOGLEFINANCE($B$24,""close"",BS$2,TODAY()),2,2))"),108.59)</f>
        <v>108.59</v>
      </c>
      <c r="BT24" s="1">
        <f ca="1">IFERROR(__xludf.DUMMYFUNCTION("if(BT$2="""","""", index(GOOGLEFINANCE($B$24,""close"",BT$2,TODAY()),2,2))"),108.35)</f>
        <v>108.35</v>
      </c>
      <c r="BU24" s="1">
        <f ca="1">IFERROR(__xludf.DUMMYFUNCTION("if(BU$2="""","""", index(GOOGLEFINANCE($B$24,""close"",BU$2,TODAY()),2,2))"),109.42)</f>
        <v>109.42</v>
      </c>
      <c r="BV24" s="1">
        <f ca="1">IFERROR(__xludf.DUMMYFUNCTION("if(BV$2="""","""", index(GOOGLEFINANCE($B$24,""close"",BV$2,TODAY()),2,2))"),109)</f>
        <v>109</v>
      </c>
      <c r="BW24" s="1">
        <f ca="1">IFERROR(__xludf.DUMMYFUNCTION("if(BW$2="""","""", index(GOOGLEFINANCE($B$24,""close"",BW$2,TODAY()),2,2))"),108.33)</f>
        <v>108.33</v>
      </c>
      <c r="BX24" s="1">
        <f ca="1">IFERROR(__xludf.DUMMYFUNCTION("if(BX$2="""","""", index(GOOGLEFINANCE($B$24,""close"",BX$2,TODAY()),2,2))"),111.96)</f>
        <v>111.96</v>
      </c>
      <c r="BY24" s="1">
        <f ca="1">IFERROR(__xludf.DUMMYFUNCTION("if(BY$2="""","""", index(GOOGLEFINANCE($B$24,""close"",BY$2,TODAY()),2,2))"),111.52)</f>
        <v>111.52</v>
      </c>
      <c r="BZ24" s="1">
        <f ca="1">IFERROR(__xludf.DUMMYFUNCTION("if(BZ$2="""","""", index(GOOGLEFINANCE($B$24,""close"",BZ$2,TODAY()),2,2))"),110.68)</f>
        <v>110.68</v>
      </c>
      <c r="CA24" s="1">
        <f ca="1">IFERROR(__xludf.DUMMYFUNCTION("if(CA$2="""","""", index(GOOGLEFINANCE($B$24,""close"",CA$2,TODAY()),2,2))"),107.19)</f>
        <v>107.19</v>
      </c>
      <c r="CB24" s="1">
        <f ca="1">IFERROR(__xludf.DUMMYFUNCTION("if(CB$2="""","""", index(GOOGLEFINANCE($B$24,""close"",CB$2,TODAY()),2,2))"),108.75)</f>
        <v>108.75</v>
      </c>
      <c r="CC24" s="1">
        <f ca="1">IFERROR(__xludf.DUMMYFUNCTION("if(CC$2="""","""", index(GOOGLEFINANCE($B$24,""close"",CC$2,TODAY()),2,2))"),102.47)</f>
        <v>102.47</v>
      </c>
      <c r="CD24" s="1">
        <f ca="1">IFERROR(__xludf.DUMMYFUNCTION("if(CD$2="""","""", index(GOOGLEFINANCE($B$24,""close"",CD$2,TODAY()),2,2))"),113.75)</f>
        <v>113.75</v>
      </c>
      <c r="CE24" s="1">
        <f ca="1">IFERROR(__xludf.DUMMYFUNCTION("if(CE$2="""","""", index(GOOGLEFINANCE($B$24,""close"",CE$2,TODAY()),2,2))"),118.88)</f>
        <v>118.88</v>
      </c>
      <c r="CF24" s="1">
        <f ca="1">IFERROR(__xludf.DUMMYFUNCTION("if(CF$2="""","""", index(GOOGLEFINANCE($B$24,""close"",CF$2,TODAY()),2,2))"),117.89)</f>
        <v>117.89</v>
      </c>
      <c r="CG24" s="1">
        <f ca="1">IFERROR(__xludf.DUMMYFUNCTION("if(CG$2="""","""", index(GOOGLEFINANCE($B$24,""close"",CG$2,TODAY()),2,2))"),120.17)</f>
        <v>120.17</v>
      </c>
      <c r="CH24" s="1">
        <f ca="1">IFERROR(__xludf.DUMMYFUNCTION("if(CH$2="""","""", index(GOOGLEFINANCE($B$24,""close"",CH$2,TODAY()),2,2))"),121.3)</f>
        <v>121.3</v>
      </c>
      <c r="CI24" s="1">
        <f ca="1">IFERROR(__xludf.DUMMYFUNCTION("if(CI$2="""","""", index(GOOGLEFINANCE($B$24,""close"",CI$2,TODAY()),2,2))"),125.94)</f>
        <v>125.94</v>
      </c>
      <c r="CJ24" s="1" t="str">
        <f ca="1">IFERROR(__xludf.DUMMYFUNCTION("if(CJ$2="""","""", index(GOOGLEFINANCE($B$24,""close"",CJ$2,TODAY()),2,2))"),"")</f>
        <v/>
      </c>
      <c r="CK24" s="1" t="str">
        <f ca="1">IFERROR(__xludf.DUMMYFUNCTION("if(CK$2="""","""", index(GOOGLEFINANCE($B$24,""close"",CK$2,TODAY()),2,2))"),"")</f>
        <v/>
      </c>
      <c r="CL24" s="1" t="str">
        <f ca="1">IFERROR(__xludf.DUMMYFUNCTION("if(CL$2="""","""", index(GOOGLEFINANCE($B$24,""close"",CL$2,TODAY()),2,2))"),"")</f>
        <v/>
      </c>
      <c r="CM24" s="1" t="str">
        <f ca="1">IFERROR(__xludf.DUMMYFUNCTION("if(CM$2="""","""", index(GOOGLEFINANCE($B$24,""close"",CM$2,TODAY()),2,2))"),"")</f>
        <v/>
      </c>
      <c r="CN24" s="1" t="str">
        <f ca="1">IFERROR(__xludf.DUMMYFUNCTION("if(CN$2="""","""", index(GOOGLEFINANCE($B$24,""close"",CN$2,TODAY()),2,2))"),"")</f>
        <v/>
      </c>
      <c r="CO24" s="1" t="str">
        <f ca="1">IFERROR(__xludf.DUMMYFUNCTION("if(CO$2="""","""", index(GOOGLEFINANCE($B$24,""close"",CO$2,TODAY()),2,2))"),"")</f>
        <v/>
      </c>
      <c r="CP24" s="1" t="str">
        <f ca="1">IFERROR(__xludf.DUMMYFUNCTION("if(CP$2="""","""", index(GOOGLEFINANCE($B$24,""close"",CP$2,TODAY()),2,2))"),"")</f>
        <v/>
      </c>
      <c r="CQ24" s="1" t="str">
        <f ca="1">IFERROR(__xludf.DUMMYFUNCTION("if(CQ$2="""","""", index(GOOGLEFINANCE($B$24,""close"",CQ$2,TODAY()),2,2))"),"")</f>
        <v/>
      </c>
      <c r="CR24" s="1" t="str">
        <f ca="1">IFERROR(__xludf.DUMMYFUNCTION("if(CR$2="""","""", index(GOOGLEFINANCE($B$24,""close"",CR$2,TODAY()),2,2))"),"")</f>
        <v/>
      </c>
      <c r="CS24" s="1" t="str">
        <f ca="1">IFERROR(__xludf.DUMMYFUNCTION("if(CS$2="""","""", index(GOOGLEFINANCE($B$24,""close"",CS$2,TODAY()),2,2))"),"")</f>
        <v/>
      </c>
      <c r="CT24" s="1" t="str">
        <f ca="1">IFERROR(__xludf.DUMMYFUNCTION("if(CT$2="""","""", index(GOOGLEFINANCE($B$24,""close"",CT$2,TODAY()),2,2))"),"")</f>
        <v/>
      </c>
      <c r="CU24" s="1" t="str">
        <f ca="1">IFERROR(__xludf.DUMMYFUNCTION("if(CU$2="""","""", index(GOOGLEFINANCE($B$24,""close"",CU$2,TODAY()),2,2))"),"")</f>
        <v/>
      </c>
      <c r="CV24" s="1" t="str">
        <f ca="1">IFERROR(__xludf.DUMMYFUNCTION("if(CV$2="""","""", index(GOOGLEFINANCE($B$24,""close"",CV$2,TODAY()),2,2))"),"")</f>
        <v/>
      </c>
      <c r="CW24" s="1" t="str">
        <f ca="1">IFERROR(__xludf.DUMMYFUNCTION("if(CW$2="""","""", index(GOOGLEFINANCE($B$24,""close"",CW$2,TODAY()),2,2))"),"")</f>
        <v/>
      </c>
      <c r="CX24" s="1" t="str">
        <f ca="1">IFERROR(__xludf.DUMMYFUNCTION("if(CX$2="""","""", index(GOOGLEFINANCE($B$24,""close"",CX$2,TODAY()),2,2))"),"")</f>
        <v/>
      </c>
      <c r="CY24" s="1" t="str">
        <f ca="1">IFERROR(__xludf.DUMMYFUNCTION("if(CY$2="""","""", index(GOOGLEFINANCE($B$24,""close"",CY$2,TODAY()),2,2))"),"")</f>
        <v/>
      </c>
      <c r="CZ24" s="1" t="str">
        <f ca="1">IFERROR(__xludf.DUMMYFUNCTION("if(CZ$2="""","""", index(GOOGLEFINANCE($B$24,""close"",CZ$2,TODAY()),2,2))"),"")</f>
        <v/>
      </c>
      <c r="DA24" s="1" t="str">
        <f ca="1">IFERROR(__xludf.DUMMYFUNCTION("if(DA$2="""","""", index(GOOGLEFINANCE($B$24,""close"",DA$2,TODAY()),2,2))"),"")</f>
        <v/>
      </c>
      <c r="DB24" s="1" t="str">
        <f ca="1">IFERROR(__xludf.DUMMYFUNCTION("if(DB$2="""","""", index(GOOGLEFINANCE($B$24,""close"",DB$2,TODAY()),2,2))"),"")</f>
        <v/>
      </c>
      <c r="DC24" s="1" t="str">
        <f ca="1">IFERROR(__xludf.DUMMYFUNCTION("if(DC$2="""","""", index(GOOGLEFINANCE($B$24,""close"",DC$2,TODAY()),2,2))"),"")</f>
        <v/>
      </c>
      <c r="DD24" s="1" t="str">
        <f ca="1">IFERROR(__xludf.DUMMYFUNCTION("if(DD$2="""","""", index(GOOGLEFINANCE($B$24,""close"",DD$2,TODAY()),2,2))"),"")</f>
        <v/>
      </c>
      <c r="DE24" s="1" t="str">
        <f ca="1">IFERROR(__xludf.DUMMYFUNCTION("if(DE$2="""","""", index(GOOGLEFINANCE($B$24,""close"",DE$2,TODAY()),2,2))"),"")</f>
        <v/>
      </c>
      <c r="DF24" s="1" t="str">
        <f ca="1">IFERROR(__xludf.DUMMYFUNCTION("if(DF$2="""","""", index(GOOGLEFINANCE($B$24,""close"",DF$2,TODAY()),2,2))"),"")</f>
        <v/>
      </c>
      <c r="DG24" s="1" t="str">
        <f ca="1">IFERROR(__xludf.DUMMYFUNCTION("if(DG$2="""","""", index(GOOGLEFINANCE($B$24,""close"",DG$2,TODAY()),2,2))"),"")</f>
        <v/>
      </c>
      <c r="DH24" s="1" t="str">
        <f ca="1">IFERROR(__xludf.DUMMYFUNCTION("if(DH$2="""","""", index(GOOGLEFINANCE($B$24,""close"",DH$2,TODAY()),2,2))"),"")</f>
        <v/>
      </c>
      <c r="DI24" s="1" t="str">
        <f ca="1">IFERROR(__xludf.DUMMYFUNCTION("if(DI$2="""","""", index(GOOGLEFINANCE($B$24,""close"",DI$2,TODAY()),2,2))"),"")</f>
        <v/>
      </c>
      <c r="DJ24" s="1" t="str">
        <f ca="1">IFERROR(__xludf.DUMMYFUNCTION("if(DJ$2="""","""", index(GOOGLEFINANCE($B$24,""close"",DJ$2,TODAY()),2,2))"),"")</f>
        <v/>
      </c>
      <c r="DK24" s="1" t="str">
        <f ca="1">IFERROR(__xludf.DUMMYFUNCTION("if(DK$2="""","""", index(GOOGLEFINANCE($B$24,""close"",DK$2,TODAY()),2,2))"),"")</f>
        <v/>
      </c>
      <c r="DL24" s="1" t="str">
        <f ca="1">IFERROR(__xludf.DUMMYFUNCTION("if(DL$2="""","""", index(GOOGLEFINANCE($B$24,""close"",DL$2,TODAY()),2,2))"),"")</f>
        <v/>
      </c>
      <c r="DM24" s="1" t="str">
        <f ca="1">IFERROR(__xludf.DUMMYFUNCTION("if(DM$2="""","""", index(GOOGLEFINANCE($B$24,""close"",DM$2,TODAY()),2,2))"),"")</f>
        <v/>
      </c>
      <c r="DN24" s="1" t="str">
        <f ca="1">IFERROR(__xludf.DUMMYFUNCTION("if(DN$2="""","""", index(GOOGLEFINANCE($B$24,""close"",DN$2,TODAY()),2,2))"),"")</f>
        <v/>
      </c>
      <c r="DO24" s="1" t="str">
        <f ca="1">IFERROR(__xludf.DUMMYFUNCTION("if(DO$2="""","""", index(GOOGLEFINANCE($B$24,""close"",DO$2,TODAY()),2,2))"),"")</f>
        <v/>
      </c>
      <c r="DP24" s="1" t="str">
        <f ca="1">IFERROR(__xludf.DUMMYFUNCTION("if(DP$2="""","""", index(GOOGLEFINANCE($B$24,""close"",DP$2,TODAY()),2,2))"),"")</f>
        <v/>
      </c>
      <c r="DQ24" s="1" t="str">
        <f ca="1">IFERROR(__xludf.DUMMYFUNCTION("if(DQ$2="""","""", index(GOOGLEFINANCE($B$24,""close"",DQ$2,TODAY()),2,2))"),"")</f>
        <v/>
      </c>
      <c r="DR24" s="1" t="str">
        <f ca="1">IFERROR(__xludf.DUMMYFUNCTION("if(DR$2="""","""", index(GOOGLEFINANCE($B$24,""close"",DR$2,TODAY()),2,2))"),"")</f>
        <v/>
      </c>
      <c r="DS24" s="1" t="str">
        <f ca="1">IFERROR(__xludf.DUMMYFUNCTION("if(DS$2="""","""", index(GOOGLEFINANCE($B$24,""close"",DS$2,TODAY()),2,2))"),"")</f>
        <v/>
      </c>
      <c r="DT24" s="1" t="str">
        <f ca="1">IFERROR(__xludf.DUMMYFUNCTION("if(DT$2="""","""", index(GOOGLEFINANCE($B$24,""close"",DT$2,TODAY()),2,2))"),"")</f>
        <v/>
      </c>
      <c r="DU24" s="1" t="str">
        <f ca="1">IFERROR(__xludf.DUMMYFUNCTION("if(DU$2="""","""", index(GOOGLEFINANCE($B$24,""close"",DU$2,TODAY()),2,2))"),"")</f>
        <v/>
      </c>
      <c r="DV24" s="1" t="str">
        <f ca="1">IFERROR(__xludf.DUMMYFUNCTION("if(DV$2="""","""", index(GOOGLEFINANCE($B$24,""close"",DV$2,TODAY()),2,2))"),"")</f>
        <v/>
      </c>
      <c r="DW24" s="1" t="str">
        <f ca="1">IFERROR(__xludf.DUMMYFUNCTION("if(DW$2="""","""", index(GOOGLEFINANCE($B$24,""close"",DW$2,TODAY()),2,2))"),"")</f>
        <v/>
      </c>
      <c r="DX24" s="1" t="str">
        <f ca="1">IFERROR(__xludf.DUMMYFUNCTION("if(DX$2="""","""", index(GOOGLEFINANCE($B$24,""close"",DX$2,TODAY()),2,2))"),"")</f>
        <v/>
      </c>
      <c r="DY24" s="1" t="str">
        <f ca="1">IFERROR(__xludf.DUMMYFUNCTION("if(DY$2="""","""", index(GOOGLEFINANCE($B$24,""close"",DY$2,TODAY()),2,2))"),"")</f>
        <v/>
      </c>
      <c r="DZ24" s="1" t="str">
        <f ca="1">IFERROR(__xludf.DUMMYFUNCTION("if(DZ$2="""","""", index(GOOGLEFINANCE($B$24,""close"",DZ$2,TODAY()),2,2))"),"")</f>
        <v/>
      </c>
      <c r="EA24" s="1" t="str">
        <f ca="1">IFERROR(__xludf.DUMMYFUNCTION("if(EA$2="""","""", index(GOOGLEFINANCE($B$24,""close"",EA$2,TODAY()),2,2))"),"")</f>
        <v/>
      </c>
      <c r="EB24" s="1" t="str">
        <f ca="1">IFERROR(__xludf.DUMMYFUNCTION("if(EB$2="""","""", index(GOOGLEFINANCE($B$24,""close"",EB$2,TODAY()),2,2))"),"")</f>
        <v/>
      </c>
      <c r="EC24" s="1" t="str">
        <f ca="1">IFERROR(__xludf.DUMMYFUNCTION("if(EC$2="""","""", index(GOOGLEFINANCE($B$24,""close"",EC$2,TODAY()),2,2))"),"")</f>
        <v/>
      </c>
      <c r="ED24" s="1" t="str">
        <f ca="1">IFERROR(__xludf.DUMMYFUNCTION("if(ED$2="""","""", index(GOOGLEFINANCE($B$24,""close"",ED$2,TODAY()),2,2))"),"")</f>
        <v/>
      </c>
      <c r="EE24" s="1" t="str">
        <f ca="1">IFERROR(__xludf.DUMMYFUNCTION("if(EE$2="""","""", index(GOOGLEFINANCE($B$24,""close"",EE$2,TODAY()),2,2))"),"")</f>
        <v/>
      </c>
      <c r="EF24" s="1" t="str">
        <f ca="1">IFERROR(__xludf.DUMMYFUNCTION("if(EF$2="""","""", index(GOOGLEFINANCE($B$24,""close"",EF$2,TODAY()),2,2))"),"")</f>
        <v/>
      </c>
      <c r="EG24" s="1" t="str">
        <f ca="1">IFERROR(__xludf.DUMMYFUNCTION("if(EG$2="""","""", index(GOOGLEFINANCE($B$24,""close"",EG$2,TODAY()),2,2))"),"")</f>
        <v/>
      </c>
      <c r="EH24" s="1" t="str">
        <f ca="1">IFERROR(__xludf.DUMMYFUNCTION("if(EH$2="""","""", index(GOOGLEFINANCE($B$24,""close"",EH$2,TODAY()),2,2))"),"")</f>
        <v/>
      </c>
      <c r="EI24" s="1" t="str">
        <f ca="1">IFERROR(__xludf.DUMMYFUNCTION("if(EI$2="""","""", index(GOOGLEFINANCE($B$24,""close"",EI$2,TODAY()),2,2))"),"")</f>
        <v/>
      </c>
      <c r="EJ24" s="1" t="str">
        <f ca="1">IFERROR(__xludf.DUMMYFUNCTION("if(EJ$2="""","""", index(GOOGLEFINANCE($B$24,""close"",EJ$2,TODAY()),2,2))"),"")</f>
        <v/>
      </c>
      <c r="EK24" s="1" t="str">
        <f ca="1">IFERROR(__xludf.DUMMYFUNCTION("if(EK$2="""","""", index(GOOGLEFINANCE($B$24,""close"",EK$2,TODAY()),2,2))"),"")</f>
        <v/>
      </c>
      <c r="EL24" s="1" t="str">
        <f ca="1">IFERROR(__xludf.DUMMYFUNCTION("if(EL$2="""","""", index(GOOGLEFINANCE($B$24,""close"",EL$2,TODAY()),2,2))"),"")</f>
        <v/>
      </c>
      <c r="EM24" s="1" t="str">
        <f ca="1">IFERROR(__xludf.DUMMYFUNCTION("if(EM$2="""","""", index(GOOGLEFINANCE($B$24,""close"",EM$2,TODAY()),2,2))"),"")</f>
        <v/>
      </c>
      <c r="EN24" s="1" t="str">
        <f ca="1">IFERROR(__xludf.DUMMYFUNCTION("if(EN$2="""","""", index(GOOGLEFINANCE($B$24,""close"",EN$2,TODAY()),2,2))"),"")</f>
        <v/>
      </c>
      <c r="EO24" s="1" t="str">
        <f ca="1">IFERROR(__xludf.DUMMYFUNCTION("if(EO$2="""","""", index(GOOGLEFINANCE($B$24,""close"",EO$2,TODAY()),2,2))"),"")</f>
        <v/>
      </c>
      <c r="EP24" s="1" t="str">
        <f ca="1">IFERROR(__xludf.DUMMYFUNCTION("if(EP$2="""","""", index(GOOGLEFINANCE($B$24,""close"",EP$2,TODAY()),2,2))"),"")</f>
        <v/>
      </c>
      <c r="EQ24" s="1" t="str">
        <f ca="1">IFERROR(__xludf.DUMMYFUNCTION("if(EQ$2="""","""", index(GOOGLEFINANCE($B$24,""close"",EQ$2,TODAY()),2,2))"),"")</f>
        <v/>
      </c>
      <c r="ER24" s="1" t="str">
        <f ca="1">IFERROR(__xludf.DUMMYFUNCTION("if(ER$2="""","""", index(GOOGLEFINANCE($B$24,""close"",ER$2,TODAY()),2,2))"),"")</f>
        <v/>
      </c>
      <c r="ES24" s="1" t="str">
        <f ca="1">IFERROR(__xludf.DUMMYFUNCTION("if(ES$2="""","""", index(GOOGLEFINANCE($B$24,""close"",ES$2,TODAY()),2,2))"),"")</f>
        <v/>
      </c>
      <c r="ET24" s="1" t="str">
        <f ca="1">IFERROR(__xludf.DUMMYFUNCTION("if(ET$2="""","""", index(GOOGLEFINANCE($B$24,""close"",ET$2,TODAY()),2,2))"),"")</f>
        <v/>
      </c>
      <c r="EU24" s="1" t="str">
        <f ca="1">IFERROR(__xludf.DUMMYFUNCTION("if(EU$2="""","""", index(GOOGLEFINANCE($B$24,""close"",EU$2,TODAY()),2,2))"),"")</f>
        <v/>
      </c>
      <c r="EV24" s="1" t="str">
        <f ca="1">IFERROR(__xludf.DUMMYFUNCTION("if(EV$2="""","""", index(GOOGLEFINANCE($B$24,""close"",EV$2,TODAY()),2,2))"),"")</f>
        <v/>
      </c>
      <c r="EW24" s="1" t="str">
        <f ca="1">IFERROR(__xludf.DUMMYFUNCTION("if(EW$2="""","""", index(GOOGLEFINANCE($B$24,""close"",EW$2,TODAY()),2,2))"),"")</f>
        <v/>
      </c>
      <c r="EX24" s="1" t="str">
        <f ca="1">IFERROR(__xludf.DUMMYFUNCTION("if(EX$2="""","""", index(GOOGLEFINANCE($B$24,""close"",EX$2,TODAY()),2,2))"),"")</f>
        <v/>
      </c>
      <c r="EY24" s="1" t="str">
        <f ca="1">IFERROR(__xludf.DUMMYFUNCTION("if(EY$2="""","""", index(GOOGLEFINANCE($B$24,""close"",EY$2,TODAY()),2,2))"),"")</f>
        <v/>
      </c>
      <c r="EZ24" s="1" t="str">
        <f ca="1">IFERROR(__xludf.DUMMYFUNCTION("if(EZ$2="""","""", index(GOOGLEFINANCE($B$24,""close"",EZ$2,TODAY()),2,2))"),"")</f>
        <v/>
      </c>
      <c r="FA24" s="1" t="str">
        <f ca="1">IFERROR(__xludf.DUMMYFUNCTION("if(FA$2="""","""", index(GOOGLEFINANCE($B$24,""close"",FA$2,TODAY()),2,2))"),"")</f>
        <v/>
      </c>
      <c r="FB24" s="1" t="str">
        <f ca="1">IFERROR(__xludf.DUMMYFUNCTION("if(FB$2="""","""", index(GOOGLEFINANCE($B$24,""close"",FB$2,TODAY()),2,2))"),"")</f>
        <v/>
      </c>
      <c r="FC24" s="1" t="str">
        <f ca="1">IFERROR(__xludf.DUMMYFUNCTION("if(FC$2="""","""", index(GOOGLEFINANCE($B$24,""close"",FC$2,TODAY()),2,2))"),"")</f>
        <v/>
      </c>
      <c r="FD24" s="1" t="str">
        <f ca="1">IFERROR(__xludf.DUMMYFUNCTION("if(FD$2="""","""", index(GOOGLEFINANCE($B$24,""close"",FD$2,TODAY()),2,2))"),"")</f>
        <v/>
      </c>
      <c r="FE24" s="1" t="str">
        <f ca="1">IFERROR(__xludf.DUMMYFUNCTION("if(FE$2="""","""", index(GOOGLEFINANCE($B$24,""close"",FE$2,TODAY()),2,2))"),"")</f>
        <v/>
      </c>
      <c r="FF24" s="1" t="str">
        <f ca="1">IFERROR(__xludf.DUMMYFUNCTION("if(FF$2="""","""", index(GOOGLEFINANCE($B$24,""close"",FF$2,TODAY()),2,2))"),"")</f>
        <v/>
      </c>
      <c r="FG24" s="1" t="str">
        <f ca="1">IFERROR(__xludf.DUMMYFUNCTION("if(FG$2="""","""", index(GOOGLEFINANCE($B$24,""close"",FG$2,TODAY()),2,2))"),"")</f>
        <v/>
      </c>
      <c r="FH24" s="1" t="str">
        <f ca="1">IFERROR(__xludf.DUMMYFUNCTION("if(FH$2="""","""", index(GOOGLEFINANCE($B$24,""close"",FH$2,TODAY()),2,2))"),"")</f>
        <v/>
      </c>
      <c r="FI24" s="1" t="str">
        <f ca="1">IFERROR(__xludf.DUMMYFUNCTION("if(FI$2="""","""", index(GOOGLEFINANCE($B$24,""close"",FI$2,TODAY()),2,2))"),"")</f>
        <v/>
      </c>
      <c r="FJ24" s="1" t="str">
        <f ca="1">IFERROR(__xludf.DUMMYFUNCTION("if(FJ$2="""","""", index(GOOGLEFINANCE($B$24,""close"",FJ$2,TODAY()),2,2))"),"")</f>
        <v/>
      </c>
      <c r="FK24" s="1" t="str">
        <f ca="1">IFERROR(__xludf.DUMMYFUNCTION("if(FK$2="""","""", index(GOOGLEFINANCE($B$24,""close"",FK$2,TODAY()),2,2))"),"")</f>
        <v/>
      </c>
      <c r="FL24" s="1" t="str">
        <f ca="1">IFERROR(__xludf.DUMMYFUNCTION("if(FL$2="""","""", index(GOOGLEFINANCE($B$24,""close"",FL$2,TODAY()),2,2))"),"")</f>
        <v/>
      </c>
      <c r="FM24" s="1" t="str">
        <f ca="1">IFERROR(__xludf.DUMMYFUNCTION("if(FM$2="""","""", index(GOOGLEFINANCE($B$24,""close"",FM$2,TODAY()),2,2))"),"")</f>
        <v/>
      </c>
      <c r="FN24" s="1" t="str">
        <f ca="1">IFERROR(__xludf.DUMMYFUNCTION("if(FN$2="""","""", index(GOOGLEFINANCE($B$24,""close"",FN$2,TODAY()),2,2))"),"")</f>
        <v/>
      </c>
      <c r="FO24" s="1" t="str">
        <f ca="1">IFERROR(__xludf.DUMMYFUNCTION("if(FO$2="""","""", index(GOOGLEFINANCE($B$24,""close"",FO$2,TODAY()),2,2))"),"")</f>
        <v/>
      </c>
      <c r="FP24" s="1" t="str">
        <f ca="1">IFERROR(__xludf.DUMMYFUNCTION("if(FP$2="""","""", index(GOOGLEFINANCE($B$24,""close"",FP$2,TODAY()),2,2))"),"")</f>
        <v/>
      </c>
      <c r="FQ24" s="1" t="str">
        <f ca="1">IFERROR(__xludf.DUMMYFUNCTION("if(FQ$2="""","""", index(GOOGLEFINANCE($B$24,""close"",FQ$2,TODAY()),2,2))"),"")</f>
        <v/>
      </c>
      <c r="FR24" s="1" t="str">
        <f ca="1">IFERROR(__xludf.DUMMYFUNCTION("if(FR$2="""","""", index(GOOGLEFINANCE($B$24,""close"",FR$2,TODAY()),2,2))"),"")</f>
        <v/>
      </c>
      <c r="FS24" s="1" t="str">
        <f ca="1">IFERROR(__xludf.DUMMYFUNCTION("if(FS$2="""","""", index(GOOGLEFINANCE($B$24,""close"",FS$2,TODAY()),2,2))"),"")</f>
        <v/>
      </c>
      <c r="FT24" s="1" t="str">
        <f ca="1">IFERROR(__xludf.DUMMYFUNCTION("if(FT$2="""","""", index(GOOGLEFINANCE($B$24,""close"",FT$2,TODAY()),2,2))"),"")</f>
        <v/>
      </c>
      <c r="FU24" s="1" t="str">
        <f ca="1">IFERROR(__xludf.DUMMYFUNCTION("if(FU$2="""","""", index(GOOGLEFINANCE($B$24,""close"",FU$2,TODAY()),2,2))"),"")</f>
        <v/>
      </c>
      <c r="FV24" s="1" t="str">
        <f ca="1">IFERROR(__xludf.DUMMYFUNCTION("if(FV$2="""","""", index(GOOGLEFINANCE($B$24,""close"",FV$2,TODAY()),2,2))"),"")</f>
        <v/>
      </c>
      <c r="FW24" s="1" t="str">
        <f ca="1">IFERROR(__xludf.DUMMYFUNCTION("if(FW$2="""","""", index(GOOGLEFINANCE($B$24,""close"",FW$2,TODAY()),2,2))"),"")</f>
        <v/>
      </c>
      <c r="FX24" s="1" t="str">
        <f ca="1">IFERROR(__xludf.DUMMYFUNCTION("if(FX$2="""","""", index(GOOGLEFINANCE($B$24,""close"",FX$2,TODAY()),2,2))"),"")</f>
        <v/>
      </c>
      <c r="FY24" s="1" t="str">
        <f ca="1">IFERROR(__xludf.DUMMYFUNCTION("if(FY$2="""","""", index(GOOGLEFINANCE($B$24,""close"",FY$2,TODAY()),2,2))"),"")</f>
        <v/>
      </c>
      <c r="FZ24" s="1" t="str">
        <f ca="1">IFERROR(__xludf.DUMMYFUNCTION("if(FZ$2="""","""", index(GOOGLEFINANCE($B$24,""close"",FZ$2,TODAY()),2,2))"),"")</f>
        <v/>
      </c>
      <c r="GA24" s="1" t="str">
        <f ca="1">IFERROR(__xludf.DUMMYFUNCTION("if(GA$2="""","""", index(GOOGLEFINANCE($B$24,""close"",GA$2,TODAY()),2,2))"),"")</f>
        <v/>
      </c>
      <c r="GB24" s="1" t="str">
        <f ca="1">IFERROR(__xludf.DUMMYFUNCTION("if(GB$2="""","""", index(GOOGLEFINANCE($B$24,""close"",GB$2,TODAY()),2,2))"),"")</f>
        <v/>
      </c>
      <c r="GC24" s="1" t="str">
        <f ca="1">IFERROR(__xludf.DUMMYFUNCTION("if(GC$2="""","""", index(GOOGLEFINANCE($B$24,""close"",GC$2,TODAY()),2,2))"),"")</f>
        <v/>
      </c>
      <c r="GD24" s="1" t="str">
        <f ca="1">IFERROR(__xludf.DUMMYFUNCTION("if(GD$2="""","""", index(GOOGLEFINANCE($B$24,""close"",GD$2,TODAY()),2,2))"),"")</f>
        <v/>
      </c>
      <c r="GE24" s="1" t="str">
        <f ca="1">IFERROR(__xludf.DUMMYFUNCTION("if(GE$2="""","""", index(GOOGLEFINANCE($B$24,""close"",GE$2,TODAY()),2,2))"),"")</f>
        <v/>
      </c>
      <c r="GF24" s="1" t="str">
        <f ca="1">IFERROR(__xludf.DUMMYFUNCTION("if(GF$2="""","""", index(GOOGLEFINANCE($B$24,""close"",GF$2,TODAY()),2,2))"),"")</f>
        <v/>
      </c>
      <c r="GG24" s="1" t="str">
        <f ca="1">IFERROR(__xludf.DUMMYFUNCTION("if(GG$2="""","""", index(GOOGLEFINANCE($B$24,""close"",GG$2,TODAY()),2,2))"),"")</f>
        <v/>
      </c>
      <c r="GH24" s="1" t="str">
        <f ca="1">IFERROR(__xludf.DUMMYFUNCTION("if(GH$2="""","""", index(GOOGLEFINANCE($B$24,""close"",GH$2,TODAY()),2,2))"),"")</f>
        <v/>
      </c>
      <c r="GI24" s="1" t="str">
        <f ca="1">IFERROR(__xludf.DUMMYFUNCTION("if(GI$2="""","""", index(GOOGLEFINANCE($B$24,""close"",GI$2,TODAY()),2,2))"),"")</f>
        <v/>
      </c>
      <c r="GJ24" s="1" t="str">
        <f ca="1">IFERROR(__xludf.DUMMYFUNCTION("if(GJ$2="""","""", index(GOOGLEFINANCE($B$24,""close"",GJ$2,TODAY()),2,2))"),"")</f>
        <v/>
      </c>
      <c r="GK24" s="1" t="str">
        <f ca="1">IFERROR(__xludf.DUMMYFUNCTION("if(GK$2="""","""", index(GOOGLEFINANCE($B$24,""close"",GK$2,TODAY()),2,2))"),"")</f>
        <v/>
      </c>
      <c r="GL24" s="1" t="str">
        <f ca="1">IFERROR(__xludf.DUMMYFUNCTION("if(GL$2="""","""", index(GOOGLEFINANCE($B$24,""close"",GL$2,TODAY()),2,2))"),"")</f>
        <v/>
      </c>
      <c r="GM24" s="1" t="str">
        <f ca="1">IFERROR(__xludf.DUMMYFUNCTION("if(GM$2="""","""", index(GOOGLEFINANCE($B$24,""close"",GM$2,TODAY()),2,2))"),"")</f>
        <v/>
      </c>
      <c r="GN24" s="1" t="str">
        <f ca="1">IFERROR(__xludf.DUMMYFUNCTION("if(GN$2="""","""", index(GOOGLEFINANCE($B$24,""close"",GN$2,TODAY()),2,2))"),"")</f>
        <v/>
      </c>
      <c r="GO24" s="1" t="str">
        <f ca="1">IFERROR(__xludf.DUMMYFUNCTION("if(GO$2="""","""", index(GOOGLEFINANCE($B$24,""close"",GO$2,TODAY()),2,2))"),"")</f>
        <v/>
      </c>
      <c r="GP24" s="1" t="str">
        <f ca="1">IFERROR(__xludf.DUMMYFUNCTION("if(GP$2="""","""", index(GOOGLEFINANCE($B$24,""close"",GP$2,TODAY()),2,2))"),"")</f>
        <v/>
      </c>
      <c r="GQ24" s="1" t="str">
        <f ca="1">IFERROR(__xludf.DUMMYFUNCTION("if(GQ$2="""","""", index(GOOGLEFINANCE($B$24,""close"",GQ$2,TODAY()),2,2))"),"")</f>
        <v/>
      </c>
      <c r="GR24" s="1" t="str">
        <f ca="1">IFERROR(__xludf.DUMMYFUNCTION("if(GR$2="""","""", index(GOOGLEFINANCE($B$24,""close"",GR$2,TODAY()),2,2))"),"")</f>
        <v/>
      </c>
      <c r="GS24" s="1" t="str">
        <f ca="1">IFERROR(__xludf.DUMMYFUNCTION("if(GS$2="""","""", index(GOOGLEFINANCE($B$24,""close"",GS$2,TODAY()),2,2))"),"")</f>
        <v/>
      </c>
      <c r="GT24" s="1" t="str">
        <f ca="1">IFERROR(__xludf.DUMMYFUNCTION("if(GT$2="""","""", index(GOOGLEFINANCE($B$24,""close"",GT$2,TODAY()),2,2))"),"")</f>
        <v/>
      </c>
      <c r="GU24" s="1" t="str">
        <f ca="1">IFERROR(__xludf.DUMMYFUNCTION("if(GU$2="""","""", index(GOOGLEFINANCE($B$24,""close"",GU$2,TODAY()),2,2))"),"")</f>
        <v/>
      </c>
      <c r="GV24" s="1" t="str">
        <f ca="1">IFERROR(__xludf.DUMMYFUNCTION("if(GV$2="""","""", index(GOOGLEFINANCE($B$24,""close"",GV$2,TODAY()),2,2))"),"")</f>
        <v/>
      </c>
      <c r="GW24" s="1" t="str">
        <f ca="1">IFERROR(__xludf.DUMMYFUNCTION("if(GW$2="""","""", index(GOOGLEFINANCE($B$24,""close"",GW$2,TODAY()),2,2))"),"")</f>
        <v/>
      </c>
      <c r="GX24" s="1" t="str">
        <f ca="1">IFERROR(__xludf.DUMMYFUNCTION("if(GX$2="""","""", index(GOOGLEFINANCE($B$24,""close"",GX$2,TODAY()),2,2))"),"")</f>
        <v/>
      </c>
      <c r="GY24" s="1" t="str">
        <f ca="1">IFERROR(__xludf.DUMMYFUNCTION("if(GY$2="""","""", index(GOOGLEFINANCE($B$24,""close"",GY$2,TODAY()),2,2))"),"")</f>
        <v/>
      </c>
      <c r="GZ24" s="1" t="str">
        <f ca="1">IFERROR(__xludf.DUMMYFUNCTION("if(GZ$2="""","""", index(GOOGLEFINANCE($B$24,""close"",GZ$2,TODAY()),2,2))"),"")</f>
        <v/>
      </c>
      <c r="HA24" s="1" t="str">
        <f ca="1">IFERROR(__xludf.DUMMYFUNCTION("if(HA$2="""","""", index(GOOGLEFINANCE($B$24,""close"",HA$2,TODAY()),2,2))"),"")</f>
        <v/>
      </c>
      <c r="HB24" s="1" t="str">
        <f ca="1">IFERROR(__xludf.DUMMYFUNCTION("if(HB$2="""","""", index(GOOGLEFINANCE($B$24,""close"",HB$2,TODAY()),2,2))"),"")</f>
        <v/>
      </c>
      <c r="HC24" s="1" t="str">
        <f ca="1">IFERROR(__xludf.DUMMYFUNCTION("if(HC$2="""","""", index(GOOGLEFINANCE($B$24,""close"",HC$2,TODAY()),2,2))"),"")</f>
        <v/>
      </c>
      <c r="HD24" s="1" t="str">
        <f ca="1">IFERROR(__xludf.DUMMYFUNCTION("if(HD$2="""","""", index(GOOGLEFINANCE($B$24,""close"",HD$2,TODAY()),2,2))"),"")</f>
        <v/>
      </c>
      <c r="HE24" s="1" t="str">
        <f ca="1">IFERROR(__xludf.DUMMYFUNCTION("if(HE$2="""","""", index(GOOGLEFINANCE($B$24,""close"",HE$2,TODAY()),2,2))"),"")</f>
        <v/>
      </c>
      <c r="HF24" s="1" t="str">
        <f ca="1">IFERROR(__xludf.DUMMYFUNCTION("if(HF$2="""","""", index(GOOGLEFINANCE($B$24,""close"",HF$2,TODAY()),2,2))"),"")</f>
        <v/>
      </c>
      <c r="HG24" s="1" t="str">
        <f ca="1">IFERROR(__xludf.DUMMYFUNCTION("if(HG$2="""","""", index(GOOGLEFINANCE($B$24,""close"",HG$2,TODAY()),2,2))"),"")</f>
        <v/>
      </c>
      <c r="HH24" s="1" t="str">
        <f ca="1">IFERROR(__xludf.DUMMYFUNCTION("if(HH$2="""","""", index(GOOGLEFINANCE($B$24,""close"",HH$2,TODAY()),2,2))"),"")</f>
        <v/>
      </c>
      <c r="HI24" s="1" t="str">
        <f ca="1">IFERROR(__xludf.DUMMYFUNCTION("if(HI$2="""","""", index(GOOGLEFINANCE($B$24,""close"",HI$2,TODAY()),2,2))"),"")</f>
        <v/>
      </c>
      <c r="HJ24" s="1" t="str">
        <f ca="1">IFERROR(__xludf.DUMMYFUNCTION("if(HJ$2="""","""", index(GOOGLEFINANCE($B$24,""close"",HJ$2,TODAY()),2,2))"),"")</f>
        <v/>
      </c>
      <c r="HK24" s="1" t="str">
        <f ca="1">IFERROR(__xludf.DUMMYFUNCTION("if(HK$2="""","""", index(GOOGLEFINANCE($B$24,""close"",HK$2,TODAY()),2,2))"),"")</f>
        <v/>
      </c>
      <c r="HL24" s="1" t="str">
        <f ca="1">IFERROR(__xludf.DUMMYFUNCTION("if(HL$2="""","""", index(GOOGLEFINANCE($B$24,""close"",HL$2,TODAY()),2,2))"),"")</f>
        <v/>
      </c>
      <c r="HM24" s="1" t="str">
        <f ca="1">IFERROR(__xludf.DUMMYFUNCTION("if(HM$2="""","""", index(GOOGLEFINANCE($B$24,""close"",HM$2,TODAY()),2,2))"),"")</f>
        <v/>
      </c>
      <c r="HN24" s="1" t="str">
        <f ca="1">IFERROR(__xludf.DUMMYFUNCTION("if(HN$2="""","""", index(GOOGLEFINANCE($B$24,""close"",HN$2,TODAY()),2,2))"),"")</f>
        <v/>
      </c>
      <c r="HO24" s="1" t="str">
        <f ca="1">IFERROR(__xludf.DUMMYFUNCTION("if(HO$2="""","""", index(GOOGLEFINANCE($B$24,""close"",HO$2,TODAY()),2,2))"),"")</f>
        <v/>
      </c>
      <c r="HP24" s="1" t="str">
        <f ca="1">IFERROR(__xludf.DUMMYFUNCTION("if(HP$2="""","""", index(GOOGLEFINANCE($B$24,""close"",HP$2,TODAY()),2,2))"),"")</f>
        <v/>
      </c>
      <c r="HQ24" s="1" t="str">
        <f ca="1">IFERROR(__xludf.DUMMYFUNCTION("if(HQ$2="""","""", index(GOOGLEFINANCE($B$24,""close"",HQ$2,TODAY()),2,2))"),"")</f>
        <v/>
      </c>
      <c r="HR24" s="1" t="str">
        <f ca="1">IFERROR(__xludf.DUMMYFUNCTION("if(HR$2="""","""", index(GOOGLEFINANCE($B$24,""close"",HR$2,TODAY()),2,2))"),"")</f>
        <v/>
      </c>
      <c r="HS24" s="1" t="str">
        <f ca="1">IFERROR(__xludf.DUMMYFUNCTION("if(HS$2="""","""", index(GOOGLEFINANCE($B$24,""close"",HS$2,TODAY()),2,2))"),"")</f>
        <v/>
      </c>
      <c r="HT24" s="1" t="str">
        <f ca="1">IFERROR(__xludf.DUMMYFUNCTION("if(HT$2="""","""", index(GOOGLEFINANCE($B$24,""close"",HT$2,TODAY()),2,2))"),"")</f>
        <v/>
      </c>
      <c r="HU24" s="1" t="str">
        <f ca="1">IFERROR(__xludf.DUMMYFUNCTION("if(HU$2="""","""", index(GOOGLEFINANCE($B$24,""close"",HU$2,TODAY()),2,2))"),"")</f>
        <v/>
      </c>
      <c r="HV24" s="1" t="str">
        <f ca="1">IFERROR(__xludf.DUMMYFUNCTION("if(HV$2="""","""", index(GOOGLEFINANCE($B$24,""close"",HV$2,TODAY()),2,2))"),"")</f>
        <v/>
      </c>
      <c r="HW24" s="1" t="str">
        <f ca="1">IFERROR(__xludf.DUMMYFUNCTION("if(HW$2="""","""", index(GOOGLEFINANCE($B$24,""close"",HW$2,TODAY()),2,2))"),"")</f>
        <v/>
      </c>
      <c r="HX24" s="1" t="str">
        <f ca="1">IFERROR(__xludf.DUMMYFUNCTION("if(HX$2="""","""", index(GOOGLEFINANCE($B$24,""close"",HX$2,TODAY()),2,2))"),"")</f>
        <v/>
      </c>
      <c r="HY24" s="1" t="str">
        <f ca="1">IFERROR(__xludf.DUMMYFUNCTION("if(HY$2="""","""", index(GOOGLEFINANCE($B$24,""close"",HY$2,TODAY()),2,2))"),"")</f>
        <v/>
      </c>
      <c r="HZ24" s="1" t="str">
        <f ca="1">IFERROR(__xludf.DUMMYFUNCTION("if(HZ$2="""","""", index(GOOGLEFINANCE($B$24,""close"",HZ$2,TODAY()),2,2))"),"")</f>
        <v/>
      </c>
      <c r="IA24" s="1" t="str">
        <f ca="1">IFERROR(__xludf.DUMMYFUNCTION("if(IA$2="""","""", index(GOOGLEFINANCE($B$24,""close"",IA$2,TODAY()),2,2))"),"")</f>
        <v/>
      </c>
      <c r="IB24" s="1" t="str">
        <f ca="1">IFERROR(__xludf.DUMMYFUNCTION("if(IB$2="""","""", index(GOOGLEFINANCE($B$24,""close"",IB$2,TODAY()),2,2))"),"")</f>
        <v/>
      </c>
      <c r="IC24" s="1" t="str">
        <f ca="1">IFERROR(__xludf.DUMMYFUNCTION("if(IC$2="""","""", index(GOOGLEFINANCE($B$24,""close"",IC$2,TODAY()),2,2))"),"")</f>
        <v/>
      </c>
      <c r="ID24" s="1" t="str">
        <f ca="1">IFERROR(__xludf.DUMMYFUNCTION("if(ID$2="""","""", index(GOOGLEFINANCE($B$24,""close"",ID$2,TODAY()),2,2))"),"")</f>
        <v/>
      </c>
      <c r="IE24" s="1" t="str">
        <f ca="1">IFERROR(__xludf.DUMMYFUNCTION("if(IE$2="""","""", index(GOOGLEFINANCE($B$24,""close"",IE$2,TODAY()),2,2))"),"")</f>
        <v/>
      </c>
      <c r="IF24" s="1" t="str">
        <f ca="1">IFERROR(__xludf.DUMMYFUNCTION("if(IF$2="""","""", index(GOOGLEFINANCE($B$24,""close"",IF$2,TODAY()),2,2))"),"")</f>
        <v/>
      </c>
      <c r="IG24" s="1" t="str">
        <f ca="1">IFERROR(__xludf.DUMMYFUNCTION("if(IG$2="""","""", index(GOOGLEFINANCE($B$24,""close"",IG$2,TODAY()),2,2))"),"")</f>
        <v/>
      </c>
      <c r="IH24" s="1" t="str">
        <f ca="1">IFERROR(__xludf.DUMMYFUNCTION("if(IH$2="""","""", index(GOOGLEFINANCE($B$24,""close"",IH$2,TODAY()),2,2))"),"")</f>
        <v/>
      </c>
      <c r="II24" s="1" t="str">
        <f ca="1">IFERROR(__xludf.DUMMYFUNCTION("if(II$2="""","""", index(GOOGLEFINANCE($B$24,""close"",II$2,TODAY()),2,2))"),"")</f>
        <v/>
      </c>
      <c r="IJ24" s="1" t="str">
        <f ca="1">IFERROR(__xludf.DUMMYFUNCTION("if(IJ$2="""","""", index(GOOGLEFINANCE($B$24,""close"",IJ$2,TODAY()),2,2))"),"")</f>
        <v/>
      </c>
      <c r="IK24" s="1" t="str">
        <f ca="1">IFERROR(__xludf.DUMMYFUNCTION("if(IK$2="""","""", index(GOOGLEFINANCE($B$24,""close"",IK$2,TODAY()),2,2))"),"")</f>
        <v/>
      </c>
      <c r="IL24" s="1" t="str">
        <f ca="1">IFERROR(__xludf.DUMMYFUNCTION("if(IL$2="""","""", index(GOOGLEFINANCE($B$24,""close"",IL$2,TODAY()),2,2))"),"")</f>
        <v/>
      </c>
      <c r="IM24" s="1" t="str">
        <f ca="1">IFERROR(__xludf.DUMMYFUNCTION("if(IM$2="""","""", index(GOOGLEFINANCE($B$24,""close"",IM$2,TODAY()),2,2))"),"")</f>
        <v/>
      </c>
      <c r="IN24" s="1" t="str">
        <f ca="1">IFERROR(__xludf.DUMMYFUNCTION("if(IN$2="""","""", index(GOOGLEFINANCE($B$24,""close"",IN$2,TODAY()),2,2))"),"")</f>
        <v/>
      </c>
      <c r="IO24" s="1" t="str">
        <f ca="1">IFERROR(__xludf.DUMMYFUNCTION("if(IO$2="""","""", index(GOOGLEFINANCE($B$24,""close"",IO$2,TODAY()),2,2))"),"")</f>
        <v/>
      </c>
      <c r="IP24" s="1" t="str">
        <f ca="1">IFERROR(__xludf.DUMMYFUNCTION("if(IP$2="""","""", index(GOOGLEFINANCE($B$24,""close"",IP$2,TODAY()),2,2))"),"")</f>
        <v/>
      </c>
      <c r="IQ24" s="1" t="str">
        <f ca="1">IFERROR(__xludf.DUMMYFUNCTION("if(IQ$2="""","""", index(GOOGLEFINANCE($B$24,""close"",IQ$2,TODAY()),2,2))"),"")</f>
        <v/>
      </c>
      <c r="IR24" s="1" t="str">
        <f ca="1">IFERROR(__xludf.DUMMYFUNCTION("if(IR$2="""","""", index(GOOGLEFINANCE($B$24,""close"",IR$2,TODAY()),2,2))"),"")</f>
        <v/>
      </c>
      <c r="IS24" s="1" t="str">
        <f ca="1">IFERROR(__xludf.DUMMYFUNCTION("if(IS$2="""","""", index(GOOGLEFINANCE($B$24,""close"",IS$2,TODAY()),2,2))"),"")</f>
        <v/>
      </c>
      <c r="IT24" s="1" t="str">
        <f ca="1">IFERROR(__xludf.DUMMYFUNCTION("if(IT$2="""","""", index(GOOGLEFINANCE($B$24,""close"",IT$2,TODAY()),2,2))"),"")</f>
        <v/>
      </c>
      <c r="IU24" s="1" t="str">
        <f ca="1">IFERROR(__xludf.DUMMYFUNCTION("if(IU$2="""","""", index(GOOGLEFINANCE($B$24,""close"",IU$2,TODAY()),2,2))"),"")</f>
        <v/>
      </c>
      <c r="IV24" s="1" t="str">
        <f ca="1">IFERROR(__xludf.DUMMYFUNCTION("if(IV$2="""","""", index(GOOGLEFINANCE($B$24,""close"",IV$2,TODAY()),2,2))"),"")</f>
        <v/>
      </c>
      <c r="IW24" s="1" t="str">
        <f ca="1">IFERROR(__xludf.DUMMYFUNCTION("if(IW$2="""","""", index(GOOGLEFINANCE($B$24,""close"",IW$2,TODAY()),2,2))"),"")</f>
        <v/>
      </c>
      <c r="IX24" s="1" t="str">
        <f ca="1">IFERROR(__xludf.DUMMYFUNCTION("if(IX$2="""","""", index(GOOGLEFINANCE($B$24,""close"",IX$2,TODAY()),2,2))"),"")</f>
        <v/>
      </c>
      <c r="IY24" s="1" t="str">
        <f ca="1">IFERROR(__xludf.DUMMYFUNCTION("if(IY$2="""","""", index(GOOGLEFINANCE($B$24,""close"",IY$2,TODAY()),2,2))"),"")</f>
        <v/>
      </c>
      <c r="IZ24" s="1" t="str">
        <f ca="1">IFERROR(__xludf.DUMMYFUNCTION("if(IZ$2="""","""", index(GOOGLEFINANCE($B$24,""close"",IZ$2,TODAY()),2,2))"),"")</f>
        <v/>
      </c>
      <c r="JA24" s="1" t="str">
        <f ca="1">IFERROR(__xludf.DUMMYFUNCTION("if(JA$2="""","""", index(GOOGLEFINANCE($B$24,""close"",JA$2,TODAY()),2,2))"),"")</f>
        <v/>
      </c>
      <c r="JB24" s="1" t="str">
        <f ca="1">IFERROR(__xludf.DUMMYFUNCTION("if(JB$2="""","""", index(GOOGLEFINANCE($B$24,""close"",JB$2,TODAY()),2,2))"),"")</f>
        <v/>
      </c>
      <c r="JC24" s="1" t="str">
        <f ca="1">IFERROR(__xludf.DUMMYFUNCTION("if(JC$2="""","""", index(GOOGLEFINANCE($B$24,""close"",JC$2,TODAY()),2,2))"),"")</f>
        <v/>
      </c>
      <c r="JD24" s="1" t="str">
        <f ca="1">IFERROR(__xludf.DUMMYFUNCTION("if(JD$2="""","""", index(GOOGLEFINANCE($B$24,""close"",JD$2,TODAY()),2,2))"),"")</f>
        <v/>
      </c>
      <c r="JE24" s="1" t="str">
        <f ca="1">IFERROR(__xludf.DUMMYFUNCTION("if(JE$2="""","""", index(GOOGLEFINANCE($B$24,""close"",JE$2,TODAY()),2,2))"),"")</f>
        <v/>
      </c>
      <c r="JF24" s="1" t="str">
        <f ca="1">IFERROR(__xludf.DUMMYFUNCTION("if(JF$2="""","""", index(GOOGLEFINANCE($B$24,""close"",JF$2,TODAY()),2,2))"),"")</f>
        <v/>
      </c>
      <c r="JG24" s="1" t="str">
        <f ca="1">IFERROR(__xludf.DUMMYFUNCTION("if(JG$2="""","""", index(GOOGLEFINANCE($B$24,""close"",JG$2,TODAY()),2,2))"),"")</f>
        <v/>
      </c>
      <c r="JH24" s="1" t="str">
        <f ca="1">IFERROR(__xludf.DUMMYFUNCTION("if(JH$2="""","""", index(GOOGLEFINANCE($B$24,""close"",JH$2,TODAY()),2,2))"),"")</f>
        <v/>
      </c>
      <c r="JI24" s="1" t="str">
        <f ca="1">IFERROR(__xludf.DUMMYFUNCTION("if(JI$2="""","""", index(GOOGLEFINANCE($B$24,""close"",JI$2,TODAY()),2,2))"),"")</f>
        <v/>
      </c>
      <c r="JJ24" s="1" t="str">
        <f ca="1">IFERROR(__xludf.DUMMYFUNCTION("if(JJ$2="""","""", index(GOOGLEFINANCE($B$24,""close"",JJ$2,TODAY()),2,2))"),"")</f>
        <v/>
      </c>
      <c r="JK24" s="1" t="str">
        <f ca="1">IFERROR(__xludf.DUMMYFUNCTION("if(JK$2="""","""", index(GOOGLEFINANCE($B$24,""close"",JK$2,TODAY()),2,2))"),"")</f>
        <v/>
      </c>
      <c r="JL24" s="1" t="str">
        <f ca="1">IFERROR(__xludf.DUMMYFUNCTION("if(JL$2="""","""", index(GOOGLEFINANCE($B$24,""close"",JL$2,TODAY()),2,2))"),"")</f>
        <v/>
      </c>
      <c r="JM24" s="1" t="str">
        <f ca="1">IFERROR(__xludf.DUMMYFUNCTION("if(JM$2="""","""", index(GOOGLEFINANCE($B$24,""close"",JM$2,TODAY()),2,2))"),"")</f>
        <v/>
      </c>
      <c r="JN24" s="1" t="str">
        <f ca="1">IFERROR(__xludf.DUMMYFUNCTION("if(JN$2="""","""", index(GOOGLEFINANCE($B$24,""close"",JN$2,TODAY()),2,2))"),"")</f>
        <v/>
      </c>
      <c r="JO24" s="1" t="str">
        <f ca="1">IFERROR(__xludf.DUMMYFUNCTION("if(JO$2="""","""", index(GOOGLEFINANCE($B$24,""close"",JO$2,TODAY()),2,2))"),"")</f>
        <v/>
      </c>
      <c r="JP24" s="1" t="str">
        <f ca="1">IFERROR(__xludf.DUMMYFUNCTION("if(JP$2="""","""", index(GOOGLEFINANCE($B$24,""close"",JP$2,TODAY()),2,2))"),"")</f>
        <v/>
      </c>
      <c r="JQ24" s="1" t="str">
        <f ca="1">IFERROR(__xludf.DUMMYFUNCTION("if(JQ$2="""","""", index(GOOGLEFINANCE($B$24,""close"",JQ$2,TODAY()),2,2))"),"")</f>
        <v/>
      </c>
      <c r="JR24" s="1" t="str">
        <f ca="1">IFERROR(__xludf.DUMMYFUNCTION("if(JR$2="""","""", index(GOOGLEFINANCE($B$24,""close"",JR$2,TODAY()),2,2))"),"")</f>
        <v/>
      </c>
      <c r="JS24" s="1" t="str">
        <f ca="1">IFERROR(__xludf.DUMMYFUNCTION("if(JS$2="""","""", index(GOOGLEFINANCE($B$24,""close"",JS$2,TODAY()),2,2))"),"")</f>
        <v/>
      </c>
      <c r="JT24" s="1" t="str">
        <f ca="1">IFERROR(__xludf.DUMMYFUNCTION("if(JT$2="""","""", index(GOOGLEFINANCE($B$24,""close"",JT$2,TODAY()),2,2))"),"")</f>
        <v/>
      </c>
      <c r="JU24" s="1" t="str">
        <f ca="1">IFERROR(__xludf.DUMMYFUNCTION("if(JU$2="""","""", index(GOOGLEFINANCE($B$24,""close"",JU$2,TODAY()),2,2))"),"")</f>
        <v/>
      </c>
      <c r="JV24" s="1" t="str">
        <f ca="1">IFERROR(__xludf.DUMMYFUNCTION("if(JV$2="""","""", index(GOOGLEFINANCE($B$24,""close"",JV$2,TODAY()),2,2))"),"")</f>
        <v/>
      </c>
      <c r="JW24" s="1" t="str">
        <f ca="1">IFERROR(__xludf.DUMMYFUNCTION("if(JW$2="""","""", index(GOOGLEFINANCE($B$24,""close"",JW$2,TODAY()),2,2))"),"")</f>
        <v/>
      </c>
      <c r="JX24" s="1" t="str">
        <f ca="1">IFERROR(__xludf.DUMMYFUNCTION("if(JX$2="""","""", index(GOOGLEFINANCE($B$24,""close"",JX$2,TODAY()),2,2))"),"")</f>
        <v/>
      </c>
      <c r="JY24" s="1" t="str">
        <f ca="1">IFERROR(__xludf.DUMMYFUNCTION("if(JY$2="""","""", index(GOOGLEFINANCE($B$24,""close"",JY$2,TODAY()),2,2))"),"")</f>
        <v/>
      </c>
      <c r="JZ24" s="1" t="str">
        <f ca="1">IFERROR(__xludf.DUMMYFUNCTION("if(JZ$2="""","""", index(GOOGLEFINANCE($B$24,""close"",JZ$2,TODAY()),2,2))"),"")</f>
        <v/>
      </c>
      <c r="KA24" s="1" t="str">
        <f ca="1">IFERROR(__xludf.DUMMYFUNCTION("if(KA$2="""","""", index(GOOGLEFINANCE($B$24,""close"",KA$2,TODAY()),2,2))"),"")</f>
        <v/>
      </c>
      <c r="KB24" s="1" t="str">
        <f ca="1">IFERROR(__xludf.DUMMYFUNCTION("if(KB$2="""","""", index(GOOGLEFINANCE($B$24,""close"",KB$2,TODAY()),2,2))"),"")</f>
        <v/>
      </c>
      <c r="KC24" s="1" t="str">
        <f ca="1">IFERROR(__xludf.DUMMYFUNCTION("if(KC$2="""","""", index(GOOGLEFINANCE($B$24,""close"",KC$2,TODAY()),2,2))"),"")</f>
        <v/>
      </c>
      <c r="KD24" s="1" t="str">
        <f ca="1">IFERROR(__xludf.DUMMYFUNCTION("if(KD$2="""","""", index(GOOGLEFINANCE($B$24,""close"",KD$2,TODAY()),2,2))"),"")</f>
        <v/>
      </c>
      <c r="KE24" s="1" t="str">
        <f ca="1">IFERROR(__xludf.DUMMYFUNCTION("if(KE$2="""","""", index(GOOGLEFINANCE($B$24,""close"",KE$2,TODAY()),2,2))"),"")</f>
        <v/>
      </c>
      <c r="KF24" s="1" t="str">
        <f ca="1">IFERROR(__xludf.DUMMYFUNCTION("if(KF$2="""","""", index(GOOGLEFINANCE($B$24,""close"",KF$2,TODAY()),2,2))"),"")</f>
        <v/>
      </c>
      <c r="KG24" s="1" t="str">
        <f ca="1">IFERROR(__xludf.DUMMYFUNCTION("if(KG$2="""","""", index(GOOGLEFINANCE($B$24,""close"",KG$2,TODAY()),2,2))"),"")</f>
        <v/>
      </c>
    </row>
    <row r="25" spans="1:293" ht="15.75" customHeight="1">
      <c r="A25" s="18" t="s">
        <v>30</v>
      </c>
      <c r="B25" s="6" t="s">
        <v>68</v>
      </c>
      <c r="C25" s="1">
        <f ca="1">IFERROR(__xludf.DUMMYFUNCTION("if(C$2="""","""", index(GOOGLEFINANCE($B$25,""close"",C$2,TODAY()),2,2))"),17.83)</f>
        <v>17.829999999999998</v>
      </c>
      <c r="D25" s="1">
        <f ca="1">IFERROR(__xludf.DUMMYFUNCTION("if(D$2="""","""", index(GOOGLEFINANCE($B$25,""close"",D$2,TODAY()),2,2))"),16.94)</f>
        <v>16.940000000000001</v>
      </c>
      <c r="E25" s="1">
        <f ca="1">IFERROR(__xludf.DUMMYFUNCTION("if(E$2="""","""", index(GOOGLEFINANCE($B$25,""close"",E$2,TODAY()),2,2))"),15.7)</f>
        <v>15.7</v>
      </c>
      <c r="F25" s="1">
        <f ca="1">IFERROR(__xludf.DUMMYFUNCTION("if(F$2="""","""", index(GOOGLEFINANCE($B$25,""close"",F$2,TODAY()),2,2))"),15.67)</f>
        <v>15.67</v>
      </c>
      <c r="G25" s="1">
        <f ca="1">IFERROR(__xludf.DUMMYFUNCTION("if(G$2="""","""", index(GOOGLEFINANCE($B$25,""close"",G$2,TODAY()),2,2))"),15.41)</f>
        <v>15.41</v>
      </c>
      <c r="H25" s="1">
        <f ca="1">IFERROR(__xludf.DUMMYFUNCTION("if(H$2="""","""", index(GOOGLEFINANCE($B$25,""close"",H$2,TODAY()),2,2))"),15.4)</f>
        <v>15.4</v>
      </c>
      <c r="I25" s="1">
        <f ca="1">IFERROR(__xludf.DUMMYFUNCTION("if(I$2="""","""", index(GOOGLEFINANCE($B$25,""close"",I$2,TODAY()),2,2))"),16.49)</f>
        <v>16.489999999999998</v>
      </c>
      <c r="J25" s="1">
        <f ca="1">IFERROR(__xludf.DUMMYFUNCTION("if(J$2="""","""", index(GOOGLEFINANCE($B$25,""close"",J$2,TODAY()),2,2))"),15.6)</f>
        <v>15.6</v>
      </c>
      <c r="K25" s="1">
        <f ca="1">IFERROR(__xludf.DUMMYFUNCTION("if(K$2="""","""", index(GOOGLEFINANCE($B$25,""close"",K$2,TODAY()),2,2))"),15.14)</f>
        <v>15.14</v>
      </c>
      <c r="L25" s="1">
        <f ca="1">IFERROR(__xludf.DUMMYFUNCTION("if(L$2="""","""", index(GOOGLEFINANCE($B$25,""close"",L$2,TODAY()),2,2))"),15.11)</f>
        <v>15.11</v>
      </c>
      <c r="M25" s="1">
        <f ca="1">IFERROR(__xludf.DUMMYFUNCTION("if(M$2="""","""", index(GOOGLEFINANCE($B$25,""close"",M$2,TODAY()),2,2))"),14.09)</f>
        <v>14.09</v>
      </c>
      <c r="N25" s="1">
        <f ca="1">IFERROR(__xludf.DUMMYFUNCTION("if(N$2="""","""", index(GOOGLEFINANCE($B$25,""close"",N$2,TODAY()),2,2))"),13.73)</f>
        <v>13.73</v>
      </c>
      <c r="O25" s="1">
        <f ca="1">IFERROR(__xludf.DUMMYFUNCTION("if(O$2="""","""", index(GOOGLEFINANCE($B$25,""close"",O$2,TODAY()),2,2))"),13.51)</f>
        <v>13.51</v>
      </c>
      <c r="P25" s="1">
        <f ca="1">IFERROR(__xludf.DUMMYFUNCTION("if(P$2="""","""", index(GOOGLEFINANCE($B$25,""close"",P$2,TODAY()),2,2))"),12.71)</f>
        <v>12.71</v>
      </c>
      <c r="Q25" s="1">
        <f ca="1">IFERROR(__xludf.DUMMYFUNCTION("if(Q$2="""","""", index(GOOGLEFINANCE($B$25,""close"",Q$2,TODAY()),2,2))"),13.05)</f>
        <v>13.05</v>
      </c>
      <c r="R25" s="1">
        <f ca="1">IFERROR(__xludf.DUMMYFUNCTION("if(R$2="""","""", index(GOOGLEFINANCE($B$25,""close"",R$2,TODAY()),2,2))"),12.54)</f>
        <v>12.54</v>
      </c>
      <c r="S25" s="1">
        <f ca="1">IFERROR(__xludf.DUMMYFUNCTION("if(S$2="""","""", index(GOOGLEFINANCE($B$25,""close"",S$2,TODAY()),2,2))"),12.37)</f>
        <v>12.37</v>
      </c>
      <c r="T25" s="1">
        <f ca="1">IFERROR(__xludf.DUMMYFUNCTION("if(T$2="""","""", index(GOOGLEFINANCE($B$25,""close"",T$2,TODAY()),2,2))"),11.89)</f>
        <v>11.89</v>
      </c>
      <c r="U25" s="1">
        <f ca="1">IFERROR(__xludf.DUMMYFUNCTION("if(U$2="""","""", index(GOOGLEFINANCE($B$25,""close"",U$2,TODAY()),2,2))"),12.47)</f>
        <v>12.47</v>
      </c>
      <c r="V25" s="1">
        <f ca="1">IFERROR(__xludf.DUMMYFUNCTION("if(V$2="""","""", index(GOOGLEFINANCE($B$25,""close"",V$2,TODAY()),2,2))"),13.57)</f>
        <v>13.57</v>
      </c>
      <c r="W25" s="1">
        <f ca="1">IFERROR(__xludf.DUMMYFUNCTION("if(W$2="""","""", index(GOOGLEFINANCE($B$25,""close"",W$2,TODAY()),2,2))"),13.9)</f>
        <v>13.9</v>
      </c>
      <c r="X25" s="1">
        <f ca="1">IFERROR(__xludf.DUMMYFUNCTION("if(X$2="""","""", index(GOOGLEFINANCE($B$25,""close"",X$2,TODAY()),2,2))"),13.22)</f>
        <v>13.22</v>
      </c>
      <c r="Y25" s="1">
        <f ca="1">IFERROR(__xludf.DUMMYFUNCTION("if(Y$2="""","""", index(GOOGLEFINANCE($B$25,""close"",Y$2,TODAY()),2,2))"),11.95)</f>
        <v>11.95</v>
      </c>
      <c r="Z25" s="1">
        <f ca="1">IFERROR(__xludf.DUMMYFUNCTION("if(Z$2="""","""", index(GOOGLEFINANCE($B$25,""close"",Z$2,TODAY()),2,2))"),13.89)</f>
        <v>13.89</v>
      </c>
      <c r="AA25" s="1">
        <f ca="1">IFERROR(__xludf.DUMMYFUNCTION("if(AA$2="""","""", index(GOOGLEFINANCE($B$25,""close"",AA$2,TODAY()),2,2))"),13.72)</f>
        <v>13.72</v>
      </c>
      <c r="AB25" s="1">
        <f ca="1">IFERROR(__xludf.DUMMYFUNCTION("if(AB$2="""","""", index(GOOGLEFINANCE($B$25,""close"",AB$2,TODAY()),2,2))"),14.2)</f>
        <v>14.2</v>
      </c>
      <c r="AC25" s="1">
        <f ca="1">IFERROR(__xludf.DUMMYFUNCTION("if(AC$2="""","""", index(GOOGLEFINANCE($B$25,""close"",AC$2,TODAY()),2,2))"),14.53)</f>
        <v>14.53</v>
      </c>
      <c r="AD25" s="1">
        <f ca="1">IFERROR(__xludf.DUMMYFUNCTION("if(AD$2="""","""", index(GOOGLEFINANCE($B$25,""close"",AD$2,TODAY()),2,2))"),13.99)</f>
        <v>13.99</v>
      </c>
      <c r="AE25" s="1">
        <f ca="1">IFERROR(__xludf.DUMMYFUNCTION("if(AE$2="""","""", index(GOOGLEFINANCE($B$25,""close"",AE$2,TODAY()),2,2))"),13.3)</f>
        <v>13.3</v>
      </c>
      <c r="AF25" s="1">
        <f ca="1">IFERROR(__xludf.DUMMYFUNCTION("if(AF$2="""","""", index(GOOGLEFINANCE($B$25,""close"",AF$2,TODAY()),2,2))"),13.3)</f>
        <v>13.3</v>
      </c>
      <c r="AG25" s="1">
        <f ca="1">IFERROR(__xludf.DUMMYFUNCTION("if(AG$2="""","""", index(GOOGLEFINANCE($B$25,""close"",AG$2,TODAY()),2,2))"),13.95)</f>
        <v>13.95</v>
      </c>
      <c r="AH25" s="1">
        <f ca="1">IFERROR(__xludf.DUMMYFUNCTION("if(AH$2="""","""", index(GOOGLEFINANCE($B$25,""close"",AH$2,TODAY()),2,2))"),13.06)</f>
        <v>13.06</v>
      </c>
      <c r="AI25" s="1">
        <f ca="1">IFERROR(__xludf.DUMMYFUNCTION("if(AI$2="""","""", index(GOOGLEFINANCE($B$25,""close"",AI$2,TODAY()),2,2))"),12.56)</f>
        <v>12.56</v>
      </c>
      <c r="AJ25" s="1">
        <f ca="1">IFERROR(__xludf.DUMMYFUNCTION("if(AJ$2="""","""", index(GOOGLEFINANCE($B$25,""close"",AJ$2,TODAY()),2,2))"),11.22)</f>
        <v>11.22</v>
      </c>
      <c r="AK25" s="1">
        <f ca="1">IFERROR(__xludf.DUMMYFUNCTION("if(AK$2="""","""", index(GOOGLEFINANCE($B$25,""close"",AK$2,TODAY()),2,2))"),11.71)</f>
        <v>11.71</v>
      </c>
      <c r="AL25" s="1">
        <f ca="1">IFERROR(__xludf.DUMMYFUNCTION("if(AL$2="""","""", index(GOOGLEFINANCE($B$25,""close"",AL$2,TODAY()),2,2))"),11.34)</f>
        <v>11.34</v>
      </c>
      <c r="AM25" s="1">
        <f ca="1">IFERROR(__xludf.DUMMYFUNCTION("if(AM$2="""","""", index(GOOGLEFINANCE($B$25,""close"",AM$2,TODAY()),2,2))"),13.43)</f>
        <v>13.43</v>
      </c>
      <c r="AN25" s="1">
        <f ca="1">IFERROR(__xludf.DUMMYFUNCTION("if(AN$2="""","""", index(GOOGLEFINANCE($B$25,""close"",AN$2,TODAY()),2,2))"),14.15)</f>
        <v>14.15</v>
      </c>
      <c r="AO25" s="1">
        <f ca="1">IFERROR(__xludf.DUMMYFUNCTION("if(AO$2="""","""", index(GOOGLEFINANCE($B$25,""close"",AO$2,TODAY()),2,2))"),14.58)</f>
        <v>14.58</v>
      </c>
      <c r="AP25" s="1">
        <f ca="1">IFERROR(__xludf.DUMMYFUNCTION("if(AP$2="""","""", index(GOOGLEFINANCE($B$25,""close"",AP$2,TODAY()),2,2))"),13.74)</f>
        <v>13.74</v>
      </c>
      <c r="AQ25" s="1">
        <f ca="1">IFERROR(__xludf.DUMMYFUNCTION("if(AQ$2="""","""", index(GOOGLEFINANCE($B$25,""close"",AQ$2,TODAY()),2,2))"),13.71)</f>
        <v>13.71</v>
      </c>
      <c r="AR25" s="1">
        <f ca="1">IFERROR(__xludf.DUMMYFUNCTION("if(AR$2="""","""", index(GOOGLEFINANCE($B$25,""close"",AR$2,TODAY()),2,2))"),12.89)</f>
        <v>12.89</v>
      </c>
      <c r="AS25" s="1">
        <f ca="1">IFERROR(__xludf.DUMMYFUNCTION("if(AS$2="""","""", index(GOOGLEFINANCE($B$25,""close"",AS$2,TODAY()),2,2))"),12.65)</f>
        <v>12.65</v>
      </c>
      <c r="AT25" s="1">
        <f ca="1">IFERROR(__xludf.DUMMYFUNCTION("if(AT$2="""","""", index(GOOGLEFINANCE($B$25,""close"",AT$2,TODAY()),2,2))"),11.77)</f>
        <v>11.77</v>
      </c>
      <c r="AU25" s="1">
        <f ca="1">IFERROR(__xludf.DUMMYFUNCTION("if(AU$2="""","""", index(GOOGLEFINANCE($B$25,""close"",AU$2,TODAY()),2,2))"),12)</f>
        <v>12</v>
      </c>
      <c r="AV25" s="1">
        <f ca="1">IFERROR(__xludf.DUMMYFUNCTION("if(AV$2="""","""", index(GOOGLEFINANCE($B$25,""close"",AV$2,TODAY()),2,2))"),12.44)</f>
        <v>12.44</v>
      </c>
      <c r="AW25" s="1">
        <f ca="1">IFERROR(__xludf.DUMMYFUNCTION("if(AW$2="""","""", index(GOOGLEFINANCE($B$25,""close"",AW$2,TODAY()),2,2))"),11.95)</f>
        <v>11.95</v>
      </c>
      <c r="AX25" s="1">
        <f ca="1">IFERROR(__xludf.DUMMYFUNCTION("if(AX$2="""","""", index(GOOGLEFINANCE($B$25,""close"",AX$2,TODAY()),2,2))"),11.04)</f>
        <v>11.04</v>
      </c>
      <c r="AY25" s="1">
        <f ca="1">IFERROR(__xludf.DUMMYFUNCTION("if(AY$2="""","""", index(GOOGLEFINANCE($B$25,""close"",AY$2,TODAY()),2,2))"),10.53)</f>
        <v>10.53</v>
      </c>
      <c r="AZ25" s="1">
        <f ca="1">IFERROR(__xludf.DUMMYFUNCTION("if(AZ$2="""","""", index(GOOGLEFINANCE($B$25,""close"",AZ$2,TODAY()),2,2))"),10.92)</f>
        <v>10.92</v>
      </c>
      <c r="BA25" s="1">
        <f ca="1">IFERROR(__xludf.DUMMYFUNCTION("if(BA$2="""","""", index(GOOGLEFINANCE($B$25,""close"",BA$2,TODAY()),2,2))"),12.26)</f>
        <v>12.26</v>
      </c>
      <c r="BB25" s="1">
        <f ca="1">IFERROR(__xludf.DUMMYFUNCTION("if(BB$2="""","""", index(GOOGLEFINANCE($B$25,""close"",BB$2,TODAY()),2,2))"),12.95)</f>
        <v>12.95</v>
      </c>
      <c r="BC25" s="1">
        <f ca="1">IFERROR(__xludf.DUMMYFUNCTION("if(BC$2="""","""", index(GOOGLEFINANCE($B$25,""close"",BC$2,TODAY()),2,2))"),13.42)</f>
        <v>13.42</v>
      </c>
      <c r="BD25" s="1">
        <f ca="1">IFERROR(__xludf.DUMMYFUNCTION("if(BD$2="""","""", index(GOOGLEFINANCE($B$25,""close"",BD$2,TODAY()),2,2))"),13.18)</f>
        <v>13.18</v>
      </c>
      <c r="BE25" s="1">
        <f ca="1">IFERROR(__xludf.DUMMYFUNCTION("if(BE$2="""","""", index(GOOGLEFINANCE($B$25,""close"",BE$2,TODAY()),2,2))"),13.53)</f>
        <v>13.53</v>
      </c>
      <c r="BF25" s="1">
        <f ca="1">IFERROR(__xludf.DUMMYFUNCTION("if(BF$2="""","""", index(GOOGLEFINANCE($B$25,""close"",BF$2,TODAY()),2,2))"),13.18)</f>
        <v>13.18</v>
      </c>
      <c r="BG25" s="1">
        <f ca="1">IFERROR(__xludf.DUMMYFUNCTION("if(BG$2="""","""", index(GOOGLEFINANCE($B$25,""close"",BG$2,TODAY()),2,2))"),13.57)</f>
        <v>13.57</v>
      </c>
      <c r="BH25" s="1">
        <f ca="1">IFERROR(__xludf.DUMMYFUNCTION("if(BH$2="""","""", index(GOOGLEFINANCE($B$25,""close"",BH$2,TODAY()),2,2))"),13.39)</f>
        <v>13.39</v>
      </c>
      <c r="BI25" s="1">
        <f ca="1">IFERROR(__xludf.DUMMYFUNCTION("if(BI$2="""","""", index(GOOGLEFINANCE($B$25,""close"",BI$2,TODAY()),2,2))"),13.82)</f>
        <v>13.82</v>
      </c>
      <c r="BJ25" s="1">
        <f ca="1">IFERROR(__xludf.DUMMYFUNCTION("if(BJ$2="""","""", index(GOOGLEFINANCE($B$25,""close"",BJ$2,TODAY()),2,2))"),14.74)</f>
        <v>14.74</v>
      </c>
      <c r="BK25" s="1">
        <f ca="1">IFERROR(__xludf.DUMMYFUNCTION("if(BK$2="""","""", index(GOOGLEFINANCE($B$25,""close"",BK$2,TODAY()),2,2))"),13.98)</f>
        <v>13.98</v>
      </c>
      <c r="BL25" s="1">
        <f ca="1">IFERROR(__xludf.DUMMYFUNCTION("if(BL$2="""","""", index(GOOGLEFINANCE($B$25,""close"",BL$2,TODAY()),2,2))"),13.21)</f>
        <v>13.21</v>
      </c>
      <c r="BM25" s="1">
        <f ca="1">IFERROR(__xludf.DUMMYFUNCTION("if(BM$2="""","""", index(GOOGLEFINANCE($B$25,""close"",BM$2,TODAY()),2,2))"),13.49)</f>
        <v>13.49</v>
      </c>
      <c r="BN25" s="1">
        <f ca="1">IFERROR(__xludf.DUMMYFUNCTION("if(BN$2="""","""", index(GOOGLEFINANCE($B$25,""close"",BN$2,TODAY()),2,2))"),14.22)</f>
        <v>14.22</v>
      </c>
      <c r="BO25" s="1">
        <f ca="1">IFERROR(__xludf.DUMMYFUNCTION("if(BO$2="""","""", index(GOOGLEFINANCE($B$25,""close"",BO$2,TODAY()),2,2))"),13.78)</f>
        <v>13.78</v>
      </c>
      <c r="BP25" s="1">
        <f ca="1">IFERROR(__xludf.DUMMYFUNCTION("if(BP$2="""","""", index(GOOGLEFINANCE($B$25,""close"",BP$2,TODAY()),2,2))"),12.85)</f>
        <v>12.85</v>
      </c>
      <c r="BQ25" s="1">
        <f ca="1">IFERROR(__xludf.DUMMYFUNCTION("if(BQ$2="""","""", index(GOOGLEFINANCE($B$25,""close"",BQ$2,TODAY()),2,2))"),12.64)</f>
        <v>12.64</v>
      </c>
      <c r="BR25" s="1">
        <f ca="1">IFERROR(__xludf.DUMMYFUNCTION("if(BR$2="""","""", index(GOOGLEFINANCE($B$25,""close"",BR$2,TODAY()),2,2))"),12.05)</f>
        <v>12.05</v>
      </c>
      <c r="BS25" s="1">
        <f ca="1">IFERROR(__xludf.DUMMYFUNCTION("if(BS$2="""","""", index(GOOGLEFINANCE($B$25,""close"",BS$2,TODAY()),2,2))"),12)</f>
        <v>12</v>
      </c>
      <c r="BT25" s="1">
        <f ca="1">IFERROR(__xludf.DUMMYFUNCTION("if(BT$2="""","""", index(GOOGLEFINANCE($B$25,""close"",BT$2,TODAY()),2,2))"),11.84)</f>
        <v>11.84</v>
      </c>
      <c r="BU25" s="1">
        <f ca="1">IFERROR(__xludf.DUMMYFUNCTION("if(BU$2="""","""", index(GOOGLEFINANCE($B$25,""close"",BU$2,TODAY()),2,2))"),11.71)</f>
        <v>11.71</v>
      </c>
      <c r="BV25" s="1">
        <f ca="1">IFERROR(__xludf.DUMMYFUNCTION("if(BV$2="""","""", index(GOOGLEFINANCE($B$25,""close"",BV$2,TODAY()),2,2))"),11.2)</f>
        <v>11.2</v>
      </c>
      <c r="BW25" s="1">
        <f ca="1">IFERROR(__xludf.DUMMYFUNCTION("if(BW$2="""","""", index(GOOGLEFINANCE($B$25,""close"",BW$2,TODAY()),2,2))"),11.04)</f>
        <v>11.04</v>
      </c>
      <c r="BX25" s="1">
        <f ca="1">IFERROR(__xludf.DUMMYFUNCTION("if(BX$2="""","""", index(GOOGLEFINANCE($B$25,""close"",BX$2,TODAY()),2,2))"),11.68)</f>
        <v>11.68</v>
      </c>
      <c r="BY25" s="1">
        <f ca="1">IFERROR(__xludf.DUMMYFUNCTION("if(BY$2="""","""", index(GOOGLEFINANCE($B$25,""close"",BY$2,TODAY()),2,2))"),12.36)</f>
        <v>12.36</v>
      </c>
      <c r="BZ25" s="1">
        <f ca="1">IFERROR(__xludf.DUMMYFUNCTION("if(BZ$2="""","""", index(GOOGLEFINANCE($B$25,""close"",BZ$2,TODAY()),2,2))"),11.58)</f>
        <v>11.58</v>
      </c>
      <c r="CA25" s="1">
        <f ca="1">IFERROR(__xludf.DUMMYFUNCTION("if(CA$2="""","""", index(GOOGLEFINANCE($B$25,""close"",CA$2,TODAY()),2,2))"),10.96)</f>
        <v>10.96</v>
      </c>
      <c r="CB25" s="1">
        <f ca="1">IFERROR(__xludf.DUMMYFUNCTION("if(CB$2="""","""", index(GOOGLEFINANCE($B$25,""close"",CB$2,TODAY()),2,2))"),11.17)</f>
        <v>11.17</v>
      </c>
      <c r="CC25" s="1">
        <f ca="1">IFERROR(__xludf.DUMMYFUNCTION("if(CC$2="""","""", index(GOOGLEFINANCE($B$25,""close"",CC$2,TODAY()),2,2))"),10.33)</f>
        <v>10.33</v>
      </c>
      <c r="CD25" s="1">
        <f ca="1">IFERROR(__xludf.DUMMYFUNCTION("if(CD$2="""","""", index(GOOGLEFINANCE($B$25,""close"",CD$2,TODAY()),2,2))"),9.86)</f>
        <v>9.86</v>
      </c>
      <c r="CE25" s="1">
        <f ca="1">IFERROR(__xludf.DUMMYFUNCTION("if(CE$2="""","""", index(GOOGLEFINANCE($B$25,""close"",CE$2,TODAY()),2,2))"),10.25)</f>
        <v>10.25</v>
      </c>
      <c r="CF25" s="1">
        <f ca="1">IFERROR(__xludf.DUMMYFUNCTION("if(CF$2="""","""", index(GOOGLEFINANCE($B$25,""close"",CF$2,TODAY()),2,2))"),9.65)</f>
        <v>9.65</v>
      </c>
      <c r="CG25" s="1">
        <f ca="1">IFERROR(__xludf.DUMMYFUNCTION("if(CG$2="""","""", index(GOOGLEFINANCE($B$25,""close"",CG$2,TODAY()),2,2))"),10.25)</f>
        <v>10.25</v>
      </c>
      <c r="CH25" s="1">
        <f ca="1">IFERROR(__xludf.DUMMYFUNCTION("if(CH$2="""","""", index(GOOGLEFINANCE($B$25,""close"",CH$2,TODAY()),2,2))"),10.11)</f>
        <v>10.11</v>
      </c>
      <c r="CI25" s="1">
        <f ca="1">IFERROR(__xludf.DUMMYFUNCTION("if(CI$2="""","""", index(GOOGLEFINANCE($B$25,""close"",CI$2,TODAY()),2,2))"),10.62)</f>
        <v>10.62</v>
      </c>
      <c r="CJ25" s="1" t="str">
        <f ca="1">IFERROR(__xludf.DUMMYFUNCTION("if(CJ$2="""","""", index(GOOGLEFINANCE($B$25,""close"",CJ$2,TODAY()),2,2))"),"")</f>
        <v/>
      </c>
      <c r="CK25" s="1" t="str">
        <f ca="1">IFERROR(__xludf.DUMMYFUNCTION("if(CK$2="""","""", index(GOOGLEFINANCE($B$25,""close"",CK$2,TODAY()),2,2))"),"")</f>
        <v/>
      </c>
      <c r="CL25" s="1" t="str">
        <f ca="1">IFERROR(__xludf.DUMMYFUNCTION("if(CL$2="""","""", index(GOOGLEFINANCE($B$25,""close"",CL$2,TODAY()),2,2))"),"")</f>
        <v/>
      </c>
      <c r="CM25" s="1" t="str">
        <f ca="1">IFERROR(__xludf.DUMMYFUNCTION("if(CM$2="""","""", index(GOOGLEFINANCE($B$25,""close"",CM$2,TODAY()),2,2))"),"")</f>
        <v/>
      </c>
      <c r="CN25" s="1" t="str">
        <f ca="1">IFERROR(__xludf.DUMMYFUNCTION("if(CN$2="""","""", index(GOOGLEFINANCE($B$25,""close"",CN$2,TODAY()),2,2))"),"")</f>
        <v/>
      </c>
      <c r="CO25" s="1" t="str">
        <f ca="1">IFERROR(__xludf.DUMMYFUNCTION("if(CO$2="""","""", index(GOOGLEFINANCE($B$25,""close"",CO$2,TODAY()),2,2))"),"")</f>
        <v/>
      </c>
      <c r="CP25" s="1" t="str">
        <f ca="1">IFERROR(__xludf.DUMMYFUNCTION("if(CP$2="""","""", index(GOOGLEFINANCE($B$25,""close"",CP$2,TODAY()),2,2))"),"")</f>
        <v/>
      </c>
      <c r="CQ25" s="1" t="str">
        <f ca="1">IFERROR(__xludf.DUMMYFUNCTION("if(CQ$2="""","""", index(GOOGLEFINANCE($B$25,""close"",CQ$2,TODAY()),2,2))"),"")</f>
        <v/>
      </c>
      <c r="CR25" s="1" t="str">
        <f ca="1">IFERROR(__xludf.DUMMYFUNCTION("if(CR$2="""","""", index(GOOGLEFINANCE($B$25,""close"",CR$2,TODAY()),2,2))"),"")</f>
        <v/>
      </c>
      <c r="CS25" s="1" t="str">
        <f ca="1">IFERROR(__xludf.DUMMYFUNCTION("if(CS$2="""","""", index(GOOGLEFINANCE($B$25,""close"",CS$2,TODAY()),2,2))"),"")</f>
        <v/>
      </c>
      <c r="CT25" s="1" t="str">
        <f ca="1">IFERROR(__xludf.DUMMYFUNCTION("if(CT$2="""","""", index(GOOGLEFINANCE($B$25,""close"",CT$2,TODAY()),2,2))"),"")</f>
        <v/>
      </c>
      <c r="CU25" s="1" t="str">
        <f ca="1">IFERROR(__xludf.DUMMYFUNCTION("if(CU$2="""","""", index(GOOGLEFINANCE($B$25,""close"",CU$2,TODAY()),2,2))"),"")</f>
        <v/>
      </c>
      <c r="CV25" s="1" t="str">
        <f ca="1">IFERROR(__xludf.DUMMYFUNCTION("if(CV$2="""","""", index(GOOGLEFINANCE($B$25,""close"",CV$2,TODAY()),2,2))"),"")</f>
        <v/>
      </c>
      <c r="CW25" s="1" t="str">
        <f ca="1">IFERROR(__xludf.DUMMYFUNCTION("if(CW$2="""","""", index(GOOGLEFINANCE($B$25,""close"",CW$2,TODAY()),2,2))"),"")</f>
        <v/>
      </c>
      <c r="CX25" s="1" t="str">
        <f ca="1">IFERROR(__xludf.DUMMYFUNCTION("if(CX$2="""","""", index(GOOGLEFINANCE($B$25,""close"",CX$2,TODAY()),2,2))"),"")</f>
        <v/>
      </c>
      <c r="CY25" s="1" t="str">
        <f ca="1">IFERROR(__xludf.DUMMYFUNCTION("if(CY$2="""","""", index(GOOGLEFINANCE($B$25,""close"",CY$2,TODAY()),2,2))"),"")</f>
        <v/>
      </c>
      <c r="CZ25" s="1" t="str">
        <f ca="1">IFERROR(__xludf.DUMMYFUNCTION("if(CZ$2="""","""", index(GOOGLEFINANCE($B$25,""close"",CZ$2,TODAY()),2,2))"),"")</f>
        <v/>
      </c>
      <c r="DA25" s="1" t="str">
        <f ca="1">IFERROR(__xludf.DUMMYFUNCTION("if(DA$2="""","""", index(GOOGLEFINANCE($B$25,""close"",DA$2,TODAY()),2,2))"),"")</f>
        <v/>
      </c>
      <c r="DB25" s="1" t="str">
        <f ca="1">IFERROR(__xludf.DUMMYFUNCTION("if(DB$2="""","""", index(GOOGLEFINANCE($B$25,""close"",DB$2,TODAY()),2,2))"),"")</f>
        <v/>
      </c>
      <c r="DC25" s="1" t="str">
        <f ca="1">IFERROR(__xludf.DUMMYFUNCTION("if(DC$2="""","""", index(GOOGLEFINANCE($B$25,""close"",DC$2,TODAY()),2,2))"),"")</f>
        <v/>
      </c>
      <c r="DD25" s="1" t="str">
        <f ca="1">IFERROR(__xludf.DUMMYFUNCTION("if(DD$2="""","""", index(GOOGLEFINANCE($B$25,""close"",DD$2,TODAY()),2,2))"),"")</f>
        <v/>
      </c>
      <c r="DE25" s="1" t="str">
        <f ca="1">IFERROR(__xludf.DUMMYFUNCTION("if(DE$2="""","""", index(GOOGLEFINANCE($B$25,""close"",DE$2,TODAY()),2,2))"),"")</f>
        <v/>
      </c>
      <c r="DF25" s="1" t="str">
        <f ca="1">IFERROR(__xludf.DUMMYFUNCTION("if(DF$2="""","""", index(GOOGLEFINANCE($B$25,""close"",DF$2,TODAY()),2,2))"),"")</f>
        <v/>
      </c>
      <c r="DG25" s="1" t="str">
        <f ca="1">IFERROR(__xludf.DUMMYFUNCTION("if(DG$2="""","""", index(GOOGLEFINANCE($B$25,""close"",DG$2,TODAY()),2,2))"),"")</f>
        <v/>
      </c>
      <c r="DH25" s="1" t="str">
        <f ca="1">IFERROR(__xludf.DUMMYFUNCTION("if(DH$2="""","""", index(GOOGLEFINANCE($B$25,""close"",DH$2,TODAY()),2,2))"),"")</f>
        <v/>
      </c>
      <c r="DI25" s="1" t="str">
        <f ca="1">IFERROR(__xludf.DUMMYFUNCTION("if(DI$2="""","""", index(GOOGLEFINANCE($B$25,""close"",DI$2,TODAY()),2,2))"),"")</f>
        <v/>
      </c>
      <c r="DJ25" s="1" t="str">
        <f ca="1">IFERROR(__xludf.DUMMYFUNCTION("if(DJ$2="""","""", index(GOOGLEFINANCE($B$25,""close"",DJ$2,TODAY()),2,2))"),"")</f>
        <v/>
      </c>
      <c r="DK25" s="1" t="str">
        <f ca="1">IFERROR(__xludf.DUMMYFUNCTION("if(DK$2="""","""", index(GOOGLEFINANCE($B$25,""close"",DK$2,TODAY()),2,2))"),"")</f>
        <v/>
      </c>
      <c r="DL25" s="1" t="str">
        <f ca="1">IFERROR(__xludf.DUMMYFUNCTION("if(DL$2="""","""", index(GOOGLEFINANCE($B$25,""close"",DL$2,TODAY()),2,2))"),"")</f>
        <v/>
      </c>
      <c r="DM25" s="1" t="str">
        <f ca="1">IFERROR(__xludf.DUMMYFUNCTION("if(DM$2="""","""", index(GOOGLEFINANCE($B$25,""close"",DM$2,TODAY()),2,2))"),"")</f>
        <v/>
      </c>
      <c r="DN25" s="1" t="str">
        <f ca="1">IFERROR(__xludf.DUMMYFUNCTION("if(DN$2="""","""", index(GOOGLEFINANCE($B$25,""close"",DN$2,TODAY()),2,2))"),"")</f>
        <v/>
      </c>
      <c r="DO25" s="1" t="str">
        <f ca="1">IFERROR(__xludf.DUMMYFUNCTION("if(DO$2="""","""", index(GOOGLEFINANCE($B$25,""close"",DO$2,TODAY()),2,2))"),"")</f>
        <v/>
      </c>
      <c r="DP25" s="1" t="str">
        <f ca="1">IFERROR(__xludf.DUMMYFUNCTION("if(DP$2="""","""", index(GOOGLEFINANCE($B$25,""close"",DP$2,TODAY()),2,2))"),"")</f>
        <v/>
      </c>
      <c r="DQ25" s="1" t="str">
        <f ca="1">IFERROR(__xludf.DUMMYFUNCTION("if(DQ$2="""","""", index(GOOGLEFINANCE($B$25,""close"",DQ$2,TODAY()),2,2))"),"")</f>
        <v/>
      </c>
      <c r="DR25" s="1" t="str">
        <f ca="1">IFERROR(__xludf.DUMMYFUNCTION("if(DR$2="""","""", index(GOOGLEFINANCE($B$25,""close"",DR$2,TODAY()),2,2))"),"")</f>
        <v/>
      </c>
      <c r="DS25" s="1" t="str">
        <f ca="1">IFERROR(__xludf.DUMMYFUNCTION("if(DS$2="""","""", index(GOOGLEFINANCE($B$25,""close"",DS$2,TODAY()),2,2))"),"")</f>
        <v/>
      </c>
      <c r="DT25" s="1" t="str">
        <f ca="1">IFERROR(__xludf.DUMMYFUNCTION("if(DT$2="""","""", index(GOOGLEFINANCE($B$25,""close"",DT$2,TODAY()),2,2))"),"")</f>
        <v/>
      </c>
      <c r="DU25" s="1" t="str">
        <f ca="1">IFERROR(__xludf.DUMMYFUNCTION("if(DU$2="""","""", index(GOOGLEFINANCE($B$25,""close"",DU$2,TODAY()),2,2))"),"")</f>
        <v/>
      </c>
      <c r="DV25" s="1" t="str">
        <f ca="1">IFERROR(__xludf.DUMMYFUNCTION("if(DV$2="""","""", index(GOOGLEFINANCE($B$25,""close"",DV$2,TODAY()),2,2))"),"")</f>
        <v/>
      </c>
      <c r="DW25" s="1" t="str">
        <f ca="1">IFERROR(__xludf.DUMMYFUNCTION("if(DW$2="""","""", index(GOOGLEFINANCE($B$25,""close"",DW$2,TODAY()),2,2))"),"")</f>
        <v/>
      </c>
      <c r="DX25" s="1" t="str">
        <f ca="1">IFERROR(__xludf.DUMMYFUNCTION("if(DX$2="""","""", index(GOOGLEFINANCE($B$25,""close"",DX$2,TODAY()),2,2))"),"")</f>
        <v/>
      </c>
      <c r="DY25" s="1" t="str">
        <f ca="1">IFERROR(__xludf.DUMMYFUNCTION("if(DY$2="""","""", index(GOOGLEFINANCE($B$25,""close"",DY$2,TODAY()),2,2))"),"")</f>
        <v/>
      </c>
      <c r="DZ25" s="1" t="str">
        <f ca="1">IFERROR(__xludf.DUMMYFUNCTION("if(DZ$2="""","""", index(GOOGLEFINANCE($B$25,""close"",DZ$2,TODAY()),2,2))"),"")</f>
        <v/>
      </c>
      <c r="EA25" s="1" t="str">
        <f ca="1">IFERROR(__xludf.DUMMYFUNCTION("if(EA$2="""","""", index(GOOGLEFINANCE($B$25,""close"",EA$2,TODAY()),2,2))"),"")</f>
        <v/>
      </c>
      <c r="EB25" s="1" t="str">
        <f ca="1">IFERROR(__xludf.DUMMYFUNCTION("if(EB$2="""","""", index(GOOGLEFINANCE($B$25,""close"",EB$2,TODAY()),2,2))"),"")</f>
        <v/>
      </c>
      <c r="EC25" s="1" t="str">
        <f ca="1">IFERROR(__xludf.DUMMYFUNCTION("if(EC$2="""","""", index(GOOGLEFINANCE($B$25,""close"",EC$2,TODAY()),2,2))"),"")</f>
        <v/>
      </c>
      <c r="ED25" s="1" t="str">
        <f ca="1">IFERROR(__xludf.DUMMYFUNCTION("if(ED$2="""","""", index(GOOGLEFINANCE($B$25,""close"",ED$2,TODAY()),2,2))"),"")</f>
        <v/>
      </c>
      <c r="EE25" s="1" t="str">
        <f ca="1">IFERROR(__xludf.DUMMYFUNCTION("if(EE$2="""","""", index(GOOGLEFINANCE($B$25,""close"",EE$2,TODAY()),2,2))"),"")</f>
        <v/>
      </c>
      <c r="EF25" s="1" t="str">
        <f ca="1">IFERROR(__xludf.DUMMYFUNCTION("if(EF$2="""","""", index(GOOGLEFINANCE($B$25,""close"",EF$2,TODAY()),2,2))"),"")</f>
        <v/>
      </c>
      <c r="EG25" s="1" t="str">
        <f ca="1">IFERROR(__xludf.DUMMYFUNCTION("if(EG$2="""","""", index(GOOGLEFINANCE($B$25,""close"",EG$2,TODAY()),2,2))"),"")</f>
        <v/>
      </c>
      <c r="EH25" s="1" t="str">
        <f ca="1">IFERROR(__xludf.DUMMYFUNCTION("if(EH$2="""","""", index(GOOGLEFINANCE($B$25,""close"",EH$2,TODAY()),2,2))"),"")</f>
        <v/>
      </c>
      <c r="EI25" s="1" t="str">
        <f ca="1">IFERROR(__xludf.DUMMYFUNCTION("if(EI$2="""","""", index(GOOGLEFINANCE($B$25,""close"",EI$2,TODAY()),2,2))"),"")</f>
        <v/>
      </c>
      <c r="EJ25" s="1" t="str">
        <f ca="1">IFERROR(__xludf.DUMMYFUNCTION("if(EJ$2="""","""", index(GOOGLEFINANCE($B$25,""close"",EJ$2,TODAY()),2,2))"),"")</f>
        <v/>
      </c>
      <c r="EK25" s="1" t="str">
        <f ca="1">IFERROR(__xludf.DUMMYFUNCTION("if(EK$2="""","""", index(GOOGLEFINANCE($B$25,""close"",EK$2,TODAY()),2,2))"),"")</f>
        <v/>
      </c>
      <c r="EL25" s="1" t="str">
        <f ca="1">IFERROR(__xludf.DUMMYFUNCTION("if(EL$2="""","""", index(GOOGLEFINANCE($B$25,""close"",EL$2,TODAY()),2,2))"),"")</f>
        <v/>
      </c>
      <c r="EM25" s="1" t="str">
        <f ca="1">IFERROR(__xludf.DUMMYFUNCTION("if(EM$2="""","""", index(GOOGLEFINANCE($B$25,""close"",EM$2,TODAY()),2,2))"),"")</f>
        <v/>
      </c>
      <c r="EN25" s="1" t="str">
        <f ca="1">IFERROR(__xludf.DUMMYFUNCTION("if(EN$2="""","""", index(GOOGLEFINANCE($B$25,""close"",EN$2,TODAY()),2,2))"),"")</f>
        <v/>
      </c>
      <c r="EO25" s="1" t="str">
        <f ca="1">IFERROR(__xludf.DUMMYFUNCTION("if(EO$2="""","""", index(GOOGLEFINANCE($B$25,""close"",EO$2,TODAY()),2,2))"),"")</f>
        <v/>
      </c>
      <c r="EP25" s="1" t="str">
        <f ca="1">IFERROR(__xludf.DUMMYFUNCTION("if(EP$2="""","""", index(GOOGLEFINANCE($B$25,""close"",EP$2,TODAY()),2,2))"),"")</f>
        <v/>
      </c>
      <c r="EQ25" s="1" t="str">
        <f ca="1">IFERROR(__xludf.DUMMYFUNCTION("if(EQ$2="""","""", index(GOOGLEFINANCE($B$25,""close"",EQ$2,TODAY()),2,2))"),"")</f>
        <v/>
      </c>
      <c r="ER25" s="1" t="str">
        <f ca="1">IFERROR(__xludf.DUMMYFUNCTION("if(ER$2="""","""", index(GOOGLEFINANCE($B$25,""close"",ER$2,TODAY()),2,2))"),"")</f>
        <v/>
      </c>
      <c r="ES25" s="1" t="str">
        <f ca="1">IFERROR(__xludf.DUMMYFUNCTION("if(ES$2="""","""", index(GOOGLEFINANCE($B$25,""close"",ES$2,TODAY()),2,2))"),"")</f>
        <v/>
      </c>
      <c r="ET25" s="1" t="str">
        <f ca="1">IFERROR(__xludf.DUMMYFUNCTION("if(ET$2="""","""", index(GOOGLEFINANCE($B$25,""close"",ET$2,TODAY()),2,2))"),"")</f>
        <v/>
      </c>
      <c r="EU25" s="1" t="str">
        <f ca="1">IFERROR(__xludf.DUMMYFUNCTION("if(EU$2="""","""", index(GOOGLEFINANCE($B$25,""close"",EU$2,TODAY()),2,2))"),"")</f>
        <v/>
      </c>
      <c r="EV25" s="1" t="str">
        <f ca="1">IFERROR(__xludf.DUMMYFUNCTION("if(EV$2="""","""", index(GOOGLEFINANCE($B$25,""close"",EV$2,TODAY()),2,2))"),"")</f>
        <v/>
      </c>
      <c r="EW25" s="1" t="str">
        <f ca="1">IFERROR(__xludf.DUMMYFUNCTION("if(EW$2="""","""", index(GOOGLEFINANCE($B$25,""close"",EW$2,TODAY()),2,2))"),"")</f>
        <v/>
      </c>
      <c r="EX25" s="1" t="str">
        <f ca="1">IFERROR(__xludf.DUMMYFUNCTION("if(EX$2="""","""", index(GOOGLEFINANCE($B$25,""close"",EX$2,TODAY()),2,2))"),"")</f>
        <v/>
      </c>
      <c r="EY25" s="1" t="str">
        <f ca="1">IFERROR(__xludf.DUMMYFUNCTION("if(EY$2="""","""", index(GOOGLEFINANCE($B$25,""close"",EY$2,TODAY()),2,2))"),"")</f>
        <v/>
      </c>
      <c r="EZ25" s="1" t="str">
        <f ca="1">IFERROR(__xludf.DUMMYFUNCTION("if(EZ$2="""","""", index(GOOGLEFINANCE($B$25,""close"",EZ$2,TODAY()),2,2))"),"")</f>
        <v/>
      </c>
      <c r="FA25" s="1" t="str">
        <f ca="1">IFERROR(__xludf.DUMMYFUNCTION("if(FA$2="""","""", index(GOOGLEFINANCE($B$25,""close"",FA$2,TODAY()),2,2))"),"")</f>
        <v/>
      </c>
      <c r="FB25" s="1" t="str">
        <f ca="1">IFERROR(__xludf.DUMMYFUNCTION("if(FB$2="""","""", index(GOOGLEFINANCE($B$25,""close"",FB$2,TODAY()),2,2))"),"")</f>
        <v/>
      </c>
      <c r="FC25" s="1" t="str">
        <f ca="1">IFERROR(__xludf.DUMMYFUNCTION("if(FC$2="""","""", index(GOOGLEFINANCE($B$25,""close"",FC$2,TODAY()),2,2))"),"")</f>
        <v/>
      </c>
      <c r="FD25" s="1" t="str">
        <f ca="1">IFERROR(__xludf.DUMMYFUNCTION("if(FD$2="""","""", index(GOOGLEFINANCE($B$25,""close"",FD$2,TODAY()),2,2))"),"")</f>
        <v/>
      </c>
      <c r="FE25" s="1" t="str">
        <f ca="1">IFERROR(__xludf.DUMMYFUNCTION("if(FE$2="""","""", index(GOOGLEFINANCE($B$25,""close"",FE$2,TODAY()),2,2))"),"")</f>
        <v/>
      </c>
      <c r="FF25" s="1" t="str">
        <f ca="1">IFERROR(__xludf.DUMMYFUNCTION("if(FF$2="""","""", index(GOOGLEFINANCE($B$25,""close"",FF$2,TODAY()),2,2))"),"")</f>
        <v/>
      </c>
      <c r="FG25" s="1" t="str">
        <f ca="1">IFERROR(__xludf.DUMMYFUNCTION("if(FG$2="""","""", index(GOOGLEFINANCE($B$25,""close"",FG$2,TODAY()),2,2))"),"")</f>
        <v/>
      </c>
      <c r="FH25" s="1" t="str">
        <f ca="1">IFERROR(__xludf.DUMMYFUNCTION("if(FH$2="""","""", index(GOOGLEFINANCE($B$25,""close"",FH$2,TODAY()),2,2))"),"")</f>
        <v/>
      </c>
      <c r="FI25" s="1" t="str">
        <f ca="1">IFERROR(__xludf.DUMMYFUNCTION("if(FI$2="""","""", index(GOOGLEFINANCE($B$25,""close"",FI$2,TODAY()),2,2))"),"")</f>
        <v/>
      </c>
      <c r="FJ25" s="1" t="str">
        <f ca="1">IFERROR(__xludf.DUMMYFUNCTION("if(FJ$2="""","""", index(GOOGLEFINANCE($B$25,""close"",FJ$2,TODAY()),2,2))"),"")</f>
        <v/>
      </c>
      <c r="FK25" s="1" t="str">
        <f ca="1">IFERROR(__xludf.DUMMYFUNCTION("if(FK$2="""","""", index(GOOGLEFINANCE($B$25,""close"",FK$2,TODAY()),2,2))"),"")</f>
        <v/>
      </c>
      <c r="FL25" s="1" t="str">
        <f ca="1">IFERROR(__xludf.DUMMYFUNCTION("if(FL$2="""","""", index(GOOGLEFINANCE($B$25,""close"",FL$2,TODAY()),2,2))"),"")</f>
        <v/>
      </c>
      <c r="FM25" s="1" t="str">
        <f ca="1">IFERROR(__xludf.DUMMYFUNCTION("if(FM$2="""","""", index(GOOGLEFINANCE($B$25,""close"",FM$2,TODAY()),2,2))"),"")</f>
        <v/>
      </c>
      <c r="FN25" s="1" t="str">
        <f ca="1">IFERROR(__xludf.DUMMYFUNCTION("if(FN$2="""","""", index(GOOGLEFINANCE($B$25,""close"",FN$2,TODAY()),2,2))"),"")</f>
        <v/>
      </c>
      <c r="FO25" s="1" t="str">
        <f ca="1">IFERROR(__xludf.DUMMYFUNCTION("if(FO$2="""","""", index(GOOGLEFINANCE($B$25,""close"",FO$2,TODAY()),2,2))"),"")</f>
        <v/>
      </c>
      <c r="FP25" s="1" t="str">
        <f ca="1">IFERROR(__xludf.DUMMYFUNCTION("if(FP$2="""","""", index(GOOGLEFINANCE($B$25,""close"",FP$2,TODAY()),2,2))"),"")</f>
        <v/>
      </c>
      <c r="FQ25" s="1" t="str">
        <f ca="1">IFERROR(__xludf.DUMMYFUNCTION("if(FQ$2="""","""", index(GOOGLEFINANCE($B$25,""close"",FQ$2,TODAY()),2,2))"),"")</f>
        <v/>
      </c>
      <c r="FR25" s="1" t="str">
        <f ca="1">IFERROR(__xludf.DUMMYFUNCTION("if(FR$2="""","""", index(GOOGLEFINANCE($B$25,""close"",FR$2,TODAY()),2,2))"),"")</f>
        <v/>
      </c>
      <c r="FS25" s="1" t="str">
        <f ca="1">IFERROR(__xludf.DUMMYFUNCTION("if(FS$2="""","""", index(GOOGLEFINANCE($B$25,""close"",FS$2,TODAY()),2,2))"),"")</f>
        <v/>
      </c>
      <c r="FT25" s="1" t="str">
        <f ca="1">IFERROR(__xludf.DUMMYFUNCTION("if(FT$2="""","""", index(GOOGLEFINANCE($B$25,""close"",FT$2,TODAY()),2,2))"),"")</f>
        <v/>
      </c>
      <c r="FU25" s="1" t="str">
        <f ca="1">IFERROR(__xludf.DUMMYFUNCTION("if(FU$2="""","""", index(GOOGLEFINANCE($B$25,""close"",FU$2,TODAY()),2,2))"),"")</f>
        <v/>
      </c>
      <c r="FV25" s="1" t="str">
        <f ca="1">IFERROR(__xludf.DUMMYFUNCTION("if(FV$2="""","""", index(GOOGLEFINANCE($B$25,""close"",FV$2,TODAY()),2,2))"),"")</f>
        <v/>
      </c>
      <c r="FW25" s="1" t="str">
        <f ca="1">IFERROR(__xludf.DUMMYFUNCTION("if(FW$2="""","""", index(GOOGLEFINANCE($B$25,""close"",FW$2,TODAY()),2,2))"),"")</f>
        <v/>
      </c>
      <c r="FX25" s="1" t="str">
        <f ca="1">IFERROR(__xludf.DUMMYFUNCTION("if(FX$2="""","""", index(GOOGLEFINANCE($B$25,""close"",FX$2,TODAY()),2,2))"),"")</f>
        <v/>
      </c>
      <c r="FY25" s="1" t="str">
        <f ca="1">IFERROR(__xludf.DUMMYFUNCTION("if(FY$2="""","""", index(GOOGLEFINANCE($B$25,""close"",FY$2,TODAY()),2,2))"),"")</f>
        <v/>
      </c>
      <c r="FZ25" s="1" t="str">
        <f ca="1">IFERROR(__xludf.DUMMYFUNCTION("if(FZ$2="""","""", index(GOOGLEFINANCE($B$25,""close"",FZ$2,TODAY()),2,2))"),"")</f>
        <v/>
      </c>
      <c r="GA25" s="1" t="str">
        <f ca="1">IFERROR(__xludf.DUMMYFUNCTION("if(GA$2="""","""", index(GOOGLEFINANCE($B$25,""close"",GA$2,TODAY()),2,2))"),"")</f>
        <v/>
      </c>
      <c r="GB25" s="1" t="str">
        <f ca="1">IFERROR(__xludf.DUMMYFUNCTION("if(GB$2="""","""", index(GOOGLEFINANCE($B$25,""close"",GB$2,TODAY()),2,2))"),"")</f>
        <v/>
      </c>
      <c r="GC25" s="1" t="str">
        <f ca="1">IFERROR(__xludf.DUMMYFUNCTION("if(GC$2="""","""", index(GOOGLEFINANCE($B$25,""close"",GC$2,TODAY()),2,2))"),"")</f>
        <v/>
      </c>
      <c r="GD25" s="1" t="str">
        <f ca="1">IFERROR(__xludf.DUMMYFUNCTION("if(GD$2="""","""", index(GOOGLEFINANCE($B$25,""close"",GD$2,TODAY()),2,2))"),"")</f>
        <v/>
      </c>
      <c r="GE25" s="1" t="str">
        <f ca="1">IFERROR(__xludf.DUMMYFUNCTION("if(GE$2="""","""", index(GOOGLEFINANCE($B$25,""close"",GE$2,TODAY()),2,2))"),"")</f>
        <v/>
      </c>
      <c r="GF25" s="1" t="str">
        <f ca="1">IFERROR(__xludf.DUMMYFUNCTION("if(GF$2="""","""", index(GOOGLEFINANCE($B$25,""close"",GF$2,TODAY()),2,2))"),"")</f>
        <v/>
      </c>
      <c r="GG25" s="1" t="str">
        <f ca="1">IFERROR(__xludf.DUMMYFUNCTION("if(GG$2="""","""", index(GOOGLEFINANCE($B$25,""close"",GG$2,TODAY()),2,2))"),"")</f>
        <v/>
      </c>
      <c r="GH25" s="1" t="str">
        <f ca="1">IFERROR(__xludf.DUMMYFUNCTION("if(GH$2="""","""", index(GOOGLEFINANCE($B$25,""close"",GH$2,TODAY()),2,2))"),"")</f>
        <v/>
      </c>
      <c r="GI25" s="1" t="str">
        <f ca="1">IFERROR(__xludf.DUMMYFUNCTION("if(GI$2="""","""", index(GOOGLEFINANCE($B$25,""close"",GI$2,TODAY()),2,2))"),"")</f>
        <v/>
      </c>
      <c r="GJ25" s="1" t="str">
        <f ca="1">IFERROR(__xludf.DUMMYFUNCTION("if(GJ$2="""","""", index(GOOGLEFINANCE($B$25,""close"",GJ$2,TODAY()),2,2))"),"")</f>
        <v/>
      </c>
      <c r="GK25" s="1" t="str">
        <f ca="1">IFERROR(__xludf.DUMMYFUNCTION("if(GK$2="""","""", index(GOOGLEFINANCE($B$25,""close"",GK$2,TODAY()),2,2))"),"")</f>
        <v/>
      </c>
      <c r="GL25" s="1" t="str">
        <f ca="1">IFERROR(__xludf.DUMMYFUNCTION("if(GL$2="""","""", index(GOOGLEFINANCE($B$25,""close"",GL$2,TODAY()),2,2))"),"")</f>
        <v/>
      </c>
      <c r="GM25" s="1" t="str">
        <f ca="1">IFERROR(__xludf.DUMMYFUNCTION("if(GM$2="""","""", index(GOOGLEFINANCE($B$25,""close"",GM$2,TODAY()),2,2))"),"")</f>
        <v/>
      </c>
      <c r="GN25" s="1" t="str">
        <f ca="1">IFERROR(__xludf.DUMMYFUNCTION("if(GN$2="""","""", index(GOOGLEFINANCE($B$25,""close"",GN$2,TODAY()),2,2))"),"")</f>
        <v/>
      </c>
      <c r="GO25" s="1" t="str">
        <f ca="1">IFERROR(__xludf.DUMMYFUNCTION("if(GO$2="""","""", index(GOOGLEFINANCE($B$25,""close"",GO$2,TODAY()),2,2))"),"")</f>
        <v/>
      </c>
      <c r="GP25" s="1" t="str">
        <f ca="1">IFERROR(__xludf.DUMMYFUNCTION("if(GP$2="""","""", index(GOOGLEFINANCE($B$25,""close"",GP$2,TODAY()),2,2))"),"")</f>
        <v/>
      </c>
      <c r="GQ25" s="1" t="str">
        <f ca="1">IFERROR(__xludf.DUMMYFUNCTION("if(GQ$2="""","""", index(GOOGLEFINANCE($B$25,""close"",GQ$2,TODAY()),2,2))"),"")</f>
        <v/>
      </c>
      <c r="GR25" s="1" t="str">
        <f ca="1">IFERROR(__xludf.DUMMYFUNCTION("if(GR$2="""","""", index(GOOGLEFINANCE($B$25,""close"",GR$2,TODAY()),2,2))"),"")</f>
        <v/>
      </c>
      <c r="GS25" s="1" t="str">
        <f ca="1">IFERROR(__xludf.DUMMYFUNCTION("if(GS$2="""","""", index(GOOGLEFINANCE($B$25,""close"",GS$2,TODAY()),2,2))"),"")</f>
        <v/>
      </c>
      <c r="GT25" s="1" t="str">
        <f ca="1">IFERROR(__xludf.DUMMYFUNCTION("if(GT$2="""","""", index(GOOGLEFINANCE($B$25,""close"",GT$2,TODAY()),2,2))"),"")</f>
        <v/>
      </c>
      <c r="GU25" s="1" t="str">
        <f ca="1">IFERROR(__xludf.DUMMYFUNCTION("if(GU$2="""","""", index(GOOGLEFINANCE($B$25,""close"",GU$2,TODAY()),2,2))"),"")</f>
        <v/>
      </c>
      <c r="GV25" s="1" t="str">
        <f ca="1">IFERROR(__xludf.DUMMYFUNCTION("if(GV$2="""","""", index(GOOGLEFINANCE($B$25,""close"",GV$2,TODAY()),2,2))"),"")</f>
        <v/>
      </c>
      <c r="GW25" s="1" t="str">
        <f ca="1">IFERROR(__xludf.DUMMYFUNCTION("if(GW$2="""","""", index(GOOGLEFINANCE($B$25,""close"",GW$2,TODAY()),2,2))"),"")</f>
        <v/>
      </c>
      <c r="GX25" s="1" t="str">
        <f ca="1">IFERROR(__xludf.DUMMYFUNCTION("if(GX$2="""","""", index(GOOGLEFINANCE($B$25,""close"",GX$2,TODAY()),2,2))"),"")</f>
        <v/>
      </c>
      <c r="GY25" s="1" t="str">
        <f ca="1">IFERROR(__xludf.DUMMYFUNCTION("if(GY$2="""","""", index(GOOGLEFINANCE($B$25,""close"",GY$2,TODAY()),2,2))"),"")</f>
        <v/>
      </c>
      <c r="GZ25" s="1" t="str">
        <f ca="1">IFERROR(__xludf.DUMMYFUNCTION("if(GZ$2="""","""", index(GOOGLEFINANCE($B$25,""close"",GZ$2,TODAY()),2,2))"),"")</f>
        <v/>
      </c>
      <c r="HA25" s="1" t="str">
        <f ca="1">IFERROR(__xludf.DUMMYFUNCTION("if(HA$2="""","""", index(GOOGLEFINANCE($B$25,""close"",HA$2,TODAY()),2,2))"),"")</f>
        <v/>
      </c>
      <c r="HB25" s="1" t="str">
        <f ca="1">IFERROR(__xludf.DUMMYFUNCTION("if(HB$2="""","""", index(GOOGLEFINANCE($B$25,""close"",HB$2,TODAY()),2,2))"),"")</f>
        <v/>
      </c>
      <c r="HC25" s="1" t="str">
        <f ca="1">IFERROR(__xludf.DUMMYFUNCTION("if(HC$2="""","""", index(GOOGLEFINANCE($B$25,""close"",HC$2,TODAY()),2,2))"),"")</f>
        <v/>
      </c>
      <c r="HD25" s="1" t="str">
        <f ca="1">IFERROR(__xludf.DUMMYFUNCTION("if(HD$2="""","""", index(GOOGLEFINANCE($B$25,""close"",HD$2,TODAY()),2,2))"),"")</f>
        <v/>
      </c>
      <c r="HE25" s="1" t="str">
        <f ca="1">IFERROR(__xludf.DUMMYFUNCTION("if(HE$2="""","""", index(GOOGLEFINANCE($B$25,""close"",HE$2,TODAY()),2,2))"),"")</f>
        <v/>
      </c>
      <c r="HF25" s="1" t="str">
        <f ca="1">IFERROR(__xludf.DUMMYFUNCTION("if(HF$2="""","""", index(GOOGLEFINANCE($B$25,""close"",HF$2,TODAY()),2,2))"),"")</f>
        <v/>
      </c>
      <c r="HG25" s="1" t="str">
        <f ca="1">IFERROR(__xludf.DUMMYFUNCTION("if(HG$2="""","""", index(GOOGLEFINANCE($B$25,""close"",HG$2,TODAY()),2,2))"),"")</f>
        <v/>
      </c>
      <c r="HH25" s="1" t="str">
        <f ca="1">IFERROR(__xludf.DUMMYFUNCTION("if(HH$2="""","""", index(GOOGLEFINANCE($B$25,""close"",HH$2,TODAY()),2,2))"),"")</f>
        <v/>
      </c>
      <c r="HI25" s="1" t="str">
        <f ca="1">IFERROR(__xludf.DUMMYFUNCTION("if(HI$2="""","""", index(GOOGLEFINANCE($B$25,""close"",HI$2,TODAY()),2,2))"),"")</f>
        <v/>
      </c>
      <c r="HJ25" s="1" t="str">
        <f ca="1">IFERROR(__xludf.DUMMYFUNCTION("if(HJ$2="""","""", index(GOOGLEFINANCE($B$25,""close"",HJ$2,TODAY()),2,2))"),"")</f>
        <v/>
      </c>
      <c r="HK25" s="1" t="str">
        <f ca="1">IFERROR(__xludf.DUMMYFUNCTION("if(HK$2="""","""", index(GOOGLEFINANCE($B$25,""close"",HK$2,TODAY()),2,2))"),"")</f>
        <v/>
      </c>
      <c r="HL25" s="1" t="str">
        <f ca="1">IFERROR(__xludf.DUMMYFUNCTION("if(HL$2="""","""", index(GOOGLEFINANCE($B$25,""close"",HL$2,TODAY()),2,2))"),"")</f>
        <v/>
      </c>
      <c r="HM25" s="1" t="str">
        <f ca="1">IFERROR(__xludf.DUMMYFUNCTION("if(HM$2="""","""", index(GOOGLEFINANCE($B$25,""close"",HM$2,TODAY()),2,2))"),"")</f>
        <v/>
      </c>
      <c r="HN25" s="1" t="str">
        <f ca="1">IFERROR(__xludf.DUMMYFUNCTION("if(HN$2="""","""", index(GOOGLEFINANCE($B$25,""close"",HN$2,TODAY()),2,2))"),"")</f>
        <v/>
      </c>
      <c r="HO25" s="1" t="str">
        <f ca="1">IFERROR(__xludf.DUMMYFUNCTION("if(HO$2="""","""", index(GOOGLEFINANCE($B$25,""close"",HO$2,TODAY()),2,2))"),"")</f>
        <v/>
      </c>
      <c r="HP25" s="1" t="str">
        <f ca="1">IFERROR(__xludf.DUMMYFUNCTION("if(HP$2="""","""", index(GOOGLEFINANCE($B$25,""close"",HP$2,TODAY()),2,2))"),"")</f>
        <v/>
      </c>
      <c r="HQ25" s="1" t="str">
        <f ca="1">IFERROR(__xludf.DUMMYFUNCTION("if(HQ$2="""","""", index(GOOGLEFINANCE($B$25,""close"",HQ$2,TODAY()),2,2))"),"")</f>
        <v/>
      </c>
      <c r="HR25" s="1" t="str">
        <f ca="1">IFERROR(__xludf.DUMMYFUNCTION("if(HR$2="""","""", index(GOOGLEFINANCE($B$25,""close"",HR$2,TODAY()),2,2))"),"")</f>
        <v/>
      </c>
      <c r="HS25" s="1" t="str">
        <f ca="1">IFERROR(__xludf.DUMMYFUNCTION("if(HS$2="""","""", index(GOOGLEFINANCE($B$25,""close"",HS$2,TODAY()),2,2))"),"")</f>
        <v/>
      </c>
      <c r="HT25" s="1" t="str">
        <f ca="1">IFERROR(__xludf.DUMMYFUNCTION("if(HT$2="""","""", index(GOOGLEFINANCE($B$25,""close"",HT$2,TODAY()),2,2))"),"")</f>
        <v/>
      </c>
      <c r="HU25" s="1" t="str">
        <f ca="1">IFERROR(__xludf.DUMMYFUNCTION("if(HU$2="""","""", index(GOOGLEFINANCE($B$25,""close"",HU$2,TODAY()),2,2))"),"")</f>
        <v/>
      </c>
      <c r="HV25" s="1" t="str">
        <f ca="1">IFERROR(__xludf.DUMMYFUNCTION("if(HV$2="""","""", index(GOOGLEFINANCE($B$25,""close"",HV$2,TODAY()),2,2))"),"")</f>
        <v/>
      </c>
      <c r="HW25" s="1" t="str">
        <f ca="1">IFERROR(__xludf.DUMMYFUNCTION("if(HW$2="""","""", index(GOOGLEFINANCE($B$25,""close"",HW$2,TODAY()),2,2))"),"")</f>
        <v/>
      </c>
      <c r="HX25" s="1" t="str">
        <f ca="1">IFERROR(__xludf.DUMMYFUNCTION("if(HX$2="""","""", index(GOOGLEFINANCE($B$25,""close"",HX$2,TODAY()),2,2))"),"")</f>
        <v/>
      </c>
      <c r="HY25" s="1" t="str">
        <f ca="1">IFERROR(__xludf.DUMMYFUNCTION("if(HY$2="""","""", index(GOOGLEFINANCE($B$25,""close"",HY$2,TODAY()),2,2))"),"")</f>
        <v/>
      </c>
      <c r="HZ25" s="1" t="str">
        <f ca="1">IFERROR(__xludf.DUMMYFUNCTION("if(HZ$2="""","""", index(GOOGLEFINANCE($B$25,""close"",HZ$2,TODAY()),2,2))"),"")</f>
        <v/>
      </c>
      <c r="IA25" s="1" t="str">
        <f ca="1">IFERROR(__xludf.DUMMYFUNCTION("if(IA$2="""","""", index(GOOGLEFINANCE($B$25,""close"",IA$2,TODAY()),2,2))"),"")</f>
        <v/>
      </c>
      <c r="IB25" s="1" t="str">
        <f ca="1">IFERROR(__xludf.DUMMYFUNCTION("if(IB$2="""","""", index(GOOGLEFINANCE($B$25,""close"",IB$2,TODAY()),2,2))"),"")</f>
        <v/>
      </c>
      <c r="IC25" s="1" t="str">
        <f ca="1">IFERROR(__xludf.DUMMYFUNCTION("if(IC$2="""","""", index(GOOGLEFINANCE($B$25,""close"",IC$2,TODAY()),2,2))"),"")</f>
        <v/>
      </c>
      <c r="ID25" s="1" t="str">
        <f ca="1">IFERROR(__xludf.DUMMYFUNCTION("if(ID$2="""","""", index(GOOGLEFINANCE($B$25,""close"",ID$2,TODAY()),2,2))"),"")</f>
        <v/>
      </c>
      <c r="IE25" s="1" t="str">
        <f ca="1">IFERROR(__xludf.DUMMYFUNCTION("if(IE$2="""","""", index(GOOGLEFINANCE($B$25,""close"",IE$2,TODAY()),2,2))"),"")</f>
        <v/>
      </c>
      <c r="IF25" s="1" t="str">
        <f ca="1">IFERROR(__xludf.DUMMYFUNCTION("if(IF$2="""","""", index(GOOGLEFINANCE($B$25,""close"",IF$2,TODAY()),2,2))"),"")</f>
        <v/>
      </c>
      <c r="IG25" s="1" t="str">
        <f ca="1">IFERROR(__xludf.DUMMYFUNCTION("if(IG$2="""","""", index(GOOGLEFINANCE($B$25,""close"",IG$2,TODAY()),2,2))"),"")</f>
        <v/>
      </c>
      <c r="IH25" s="1" t="str">
        <f ca="1">IFERROR(__xludf.DUMMYFUNCTION("if(IH$2="""","""", index(GOOGLEFINANCE($B$25,""close"",IH$2,TODAY()),2,2))"),"")</f>
        <v/>
      </c>
      <c r="II25" s="1" t="str">
        <f ca="1">IFERROR(__xludf.DUMMYFUNCTION("if(II$2="""","""", index(GOOGLEFINANCE($B$25,""close"",II$2,TODAY()),2,2))"),"")</f>
        <v/>
      </c>
      <c r="IJ25" s="1" t="str">
        <f ca="1">IFERROR(__xludf.DUMMYFUNCTION("if(IJ$2="""","""", index(GOOGLEFINANCE($B$25,""close"",IJ$2,TODAY()),2,2))"),"")</f>
        <v/>
      </c>
      <c r="IK25" s="1" t="str">
        <f ca="1">IFERROR(__xludf.DUMMYFUNCTION("if(IK$2="""","""", index(GOOGLEFINANCE($B$25,""close"",IK$2,TODAY()),2,2))"),"")</f>
        <v/>
      </c>
      <c r="IL25" s="1" t="str">
        <f ca="1">IFERROR(__xludf.DUMMYFUNCTION("if(IL$2="""","""", index(GOOGLEFINANCE($B$25,""close"",IL$2,TODAY()),2,2))"),"")</f>
        <v/>
      </c>
      <c r="IM25" s="1" t="str">
        <f ca="1">IFERROR(__xludf.DUMMYFUNCTION("if(IM$2="""","""", index(GOOGLEFINANCE($B$25,""close"",IM$2,TODAY()),2,2))"),"")</f>
        <v/>
      </c>
      <c r="IN25" s="1" t="str">
        <f ca="1">IFERROR(__xludf.DUMMYFUNCTION("if(IN$2="""","""", index(GOOGLEFINANCE($B$25,""close"",IN$2,TODAY()),2,2))"),"")</f>
        <v/>
      </c>
      <c r="IO25" s="1" t="str">
        <f ca="1">IFERROR(__xludf.DUMMYFUNCTION("if(IO$2="""","""", index(GOOGLEFINANCE($B$25,""close"",IO$2,TODAY()),2,2))"),"")</f>
        <v/>
      </c>
      <c r="IP25" s="1" t="str">
        <f ca="1">IFERROR(__xludf.DUMMYFUNCTION("if(IP$2="""","""", index(GOOGLEFINANCE($B$25,""close"",IP$2,TODAY()),2,2))"),"")</f>
        <v/>
      </c>
      <c r="IQ25" s="1" t="str">
        <f ca="1">IFERROR(__xludf.DUMMYFUNCTION("if(IQ$2="""","""", index(GOOGLEFINANCE($B$25,""close"",IQ$2,TODAY()),2,2))"),"")</f>
        <v/>
      </c>
      <c r="IR25" s="1" t="str">
        <f ca="1">IFERROR(__xludf.DUMMYFUNCTION("if(IR$2="""","""", index(GOOGLEFINANCE($B$25,""close"",IR$2,TODAY()),2,2))"),"")</f>
        <v/>
      </c>
      <c r="IS25" s="1" t="str">
        <f ca="1">IFERROR(__xludf.DUMMYFUNCTION("if(IS$2="""","""", index(GOOGLEFINANCE($B$25,""close"",IS$2,TODAY()),2,2))"),"")</f>
        <v/>
      </c>
      <c r="IT25" s="1" t="str">
        <f ca="1">IFERROR(__xludf.DUMMYFUNCTION("if(IT$2="""","""", index(GOOGLEFINANCE($B$25,""close"",IT$2,TODAY()),2,2))"),"")</f>
        <v/>
      </c>
      <c r="IU25" s="1" t="str">
        <f ca="1">IFERROR(__xludf.DUMMYFUNCTION("if(IU$2="""","""", index(GOOGLEFINANCE($B$25,""close"",IU$2,TODAY()),2,2))"),"")</f>
        <v/>
      </c>
      <c r="IV25" s="1" t="str">
        <f ca="1">IFERROR(__xludf.DUMMYFUNCTION("if(IV$2="""","""", index(GOOGLEFINANCE($B$25,""close"",IV$2,TODAY()),2,2))"),"")</f>
        <v/>
      </c>
      <c r="IW25" s="1" t="str">
        <f ca="1">IFERROR(__xludf.DUMMYFUNCTION("if(IW$2="""","""", index(GOOGLEFINANCE($B$25,""close"",IW$2,TODAY()),2,2))"),"")</f>
        <v/>
      </c>
      <c r="IX25" s="1" t="str">
        <f ca="1">IFERROR(__xludf.DUMMYFUNCTION("if(IX$2="""","""", index(GOOGLEFINANCE($B$25,""close"",IX$2,TODAY()),2,2))"),"")</f>
        <v/>
      </c>
      <c r="IY25" s="1" t="str">
        <f ca="1">IFERROR(__xludf.DUMMYFUNCTION("if(IY$2="""","""", index(GOOGLEFINANCE($B$25,""close"",IY$2,TODAY()),2,2))"),"")</f>
        <v/>
      </c>
      <c r="IZ25" s="1" t="str">
        <f ca="1">IFERROR(__xludf.DUMMYFUNCTION("if(IZ$2="""","""", index(GOOGLEFINANCE($B$25,""close"",IZ$2,TODAY()),2,2))"),"")</f>
        <v/>
      </c>
      <c r="JA25" s="1" t="str">
        <f ca="1">IFERROR(__xludf.DUMMYFUNCTION("if(JA$2="""","""", index(GOOGLEFINANCE($B$25,""close"",JA$2,TODAY()),2,2))"),"")</f>
        <v/>
      </c>
      <c r="JB25" s="1" t="str">
        <f ca="1">IFERROR(__xludf.DUMMYFUNCTION("if(JB$2="""","""", index(GOOGLEFINANCE($B$25,""close"",JB$2,TODAY()),2,2))"),"")</f>
        <v/>
      </c>
      <c r="JC25" s="1" t="str">
        <f ca="1">IFERROR(__xludf.DUMMYFUNCTION("if(JC$2="""","""", index(GOOGLEFINANCE($B$25,""close"",JC$2,TODAY()),2,2))"),"")</f>
        <v/>
      </c>
      <c r="JD25" s="1" t="str">
        <f ca="1">IFERROR(__xludf.DUMMYFUNCTION("if(JD$2="""","""", index(GOOGLEFINANCE($B$25,""close"",JD$2,TODAY()),2,2))"),"")</f>
        <v/>
      </c>
      <c r="JE25" s="1" t="str">
        <f ca="1">IFERROR(__xludf.DUMMYFUNCTION("if(JE$2="""","""", index(GOOGLEFINANCE($B$25,""close"",JE$2,TODAY()),2,2))"),"")</f>
        <v/>
      </c>
      <c r="JF25" s="1" t="str">
        <f ca="1">IFERROR(__xludf.DUMMYFUNCTION("if(JF$2="""","""", index(GOOGLEFINANCE($B$25,""close"",JF$2,TODAY()),2,2))"),"")</f>
        <v/>
      </c>
      <c r="JG25" s="1" t="str">
        <f ca="1">IFERROR(__xludf.DUMMYFUNCTION("if(JG$2="""","""", index(GOOGLEFINANCE($B$25,""close"",JG$2,TODAY()),2,2))"),"")</f>
        <v/>
      </c>
      <c r="JH25" s="1" t="str">
        <f ca="1">IFERROR(__xludf.DUMMYFUNCTION("if(JH$2="""","""", index(GOOGLEFINANCE($B$25,""close"",JH$2,TODAY()),2,2))"),"")</f>
        <v/>
      </c>
      <c r="JI25" s="1" t="str">
        <f ca="1">IFERROR(__xludf.DUMMYFUNCTION("if(JI$2="""","""", index(GOOGLEFINANCE($B$25,""close"",JI$2,TODAY()),2,2))"),"")</f>
        <v/>
      </c>
      <c r="JJ25" s="1" t="str">
        <f ca="1">IFERROR(__xludf.DUMMYFUNCTION("if(JJ$2="""","""", index(GOOGLEFINANCE($B$25,""close"",JJ$2,TODAY()),2,2))"),"")</f>
        <v/>
      </c>
      <c r="JK25" s="1" t="str">
        <f ca="1">IFERROR(__xludf.DUMMYFUNCTION("if(JK$2="""","""", index(GOOGLEFINANCE($B$25,""close"",JK$2,TODAY()),2,2))"),"")</f>
        <v/>
      </c>
      <c r="JL25" s="1" t="str">
        <f ca="1">IFERROR(__xludf.DUMMYFUNCTION("if(JL$2="""","""", index(GOOGLEFINANCE($B$25,""close"",JL$2,TODAY()),2,2))"),"")</f>
        <v/>
      </c>
      <c r="JM25" s="1" t="str">
        <f ca="1">IFERROR(__xludf.DUMMYFUNCTION("if(JM$2="""","""", index(GOOGLEFINANCE($B$25,""close"",JM$2,TODAY()),2,2))"),"")</f>
        <v/>
      </c>
      <c r="JN25" s="1" t="str">
        <f ca="1">IFERROR(__xludf.DUMMYFUNCTION("if(JN$2="""","""", index(GOOGLEFINANCE($B$25,""close"",JN$2,TODAY()),2,2))"),"")</f>
        <v/>
      </c>
      <c r="JO25" s="1" t="str">
        <f ca="1">IFERROR(__xludf.DUMMYFUNCTION("if(JO$2="""","""", index(GOOGLEFINANCE($B$25,""close"",JO$2,TODAY()),2,2))"),"")</f>
        <v/>
      </c>
      <c r="JP25" s="1" t="str">
        <f ca="1">IFERROR(__xludf.DUMMYFUNCTION("if(JP$2="""","""", index(GOOGLEFINANCE($B$25,""close"",JP$2,TODAY()),2,2))"),"")</f>
        <v/>
      </c>
      <c r="JQ25" s="1" t="str">
        <f ca="1">IFERROR(__xludf.DUMMYFUNCTION("if(JQ$2="""","""", index(GOOGLEFINANCE($B$25,""close"",JQ$2,TODAY()),2,2))"),"")</f>
        <v/>
      </c>
      <c r="JR25" s="1" t="str">
        <f ca="1">IFERROR(__xludf.DUMMYFUNCTION("if(JR$2="""","""", index(GOOGLEFINANCE($B$25,""close"",JR$2,TODAY()),2,2))"),"")</f>
        <v/>
      </c>
      <c r="JS25" s="1" t="str">
        <f ca="1">IFERROR(__xludf.DUMMYFUNCTION("if(JS$2="""","""", index(GOOGLEFINANCE($B$25,""close"",JS$2,TODAY()),2,2))"),"")</f>
        <v/>
      </c>
      <c r="JT25" s="1" t="str">
        <f ca="1">IFERROR(__xludf.DUMMYFUNCTION("if(JT$2="""","""", index(GOOGLEFINANCE($B$25,""close"",JT$2,TODAY()),2,2))"),"")</f>
        <v/>
      </c>
      <c r="JU25" s="1" t="str">
        <f ca="1">IFERROR(__xludf.DUMMYFUNCTION("if(JU$2="""","""", index(GOOGLEFINANCE($B$25,""close"",JU$2,TODAY()),2,2))"),"")</f>
        <v/>
      </c>
      <c r="JV25" s="1" t="str">
        <f ca="1">IFERROR(__xludf.DUMMYFUNCTION("if(JV$2="""","""", index(GOOGLEFINANCE($B$25,""close"",JV$2,TODAY()),2,2))"),"")</f>
        <v/>
      </c>
      <c r="JW25" s="1" t="str">
        <f ca="1">IFERROR(__xludf.DUMMYFUNCTION("if(JW$2="""","""", index(GOOGLEFINANCE($B$25,""close"",JW$2,TODAY()),2,2))"),"")</f>
        <v/>
      </c>
      <c r="JX25" s="1" t="str">
        <f ca="1">IFERROR(__xludf.DUMMYFUNCTION("if(JX$2="""","""", index(GOOGLEFINANCE($B$25,""close"",JX$2,TODAY()),2,2))"),"")</f>
        <v/>
      </c>
      <c r="JY25" s="1" t="str">
        <f ca="1">IFERROR(__xludf.DUMMYFUNCTION("if(JY$2="""","""", index(GOOGLEFINANCE($B$25,""close"",JY$2,TODAY()),2,2))"),"")</f>
        <v/>
      </c>
      <c r="JZ25" s="1" t="str">
        <f ca="1">IFERROR(__xludf.DUMMYFUNCTION("if(JZ$2="""","""", index(GOOGLEFINANCE($B$25,""close"",JZ$2,TODAY()),2,2))"),"")</f>
        <v/>
      </c>
      <c r="KA25" s="1" t="str">
        <f ca="1">IFERROR(__xludf.DUMMYFUNCTION("if(KA$2="""","""", index(GOOGLEFINANCE($B$25,""close"",KA$2,TODAY()),2,2))"),"")</f>
        <v/>
      </c>
      <c r="KB25" s="1" t="str">
        <f ca="1">IFERROR(__xludf.DUMMYFUNCTION("if(KB$2="""","""", index(GOOGLEFINANCE($B$25,""close"",KB$2,TODAY()),2,2))"),"")</f>
        <v/>
      </c>
      <c r="KC25" s="1" t="str">
        <f ca="1">IFERROR(__xludf.DUMMYFUNCTION("if(KC$2="""","""", index(GOOGLEFINANCE($B$25,""close"",KC$2,TODAY()),2,2))"),"")</f>
        <v/>
      </c>
      <c r="KD25" s="1" t="str">
        <f ca="1">IFERROR(__xludf.DUMMYFUNCTION("if(KD$2="""","""", index(GOOGLEFINANCE($B$25,""close"",KD$2,TODAY()),2,2))"),"")</f>
        <v/>
      </c>
      <c r="KE25" s="1" t="str">
        <f ca="1">IFERROR(__xludf.DUMMYFUNCTION("if(KE$2="""","""", index(GOOGLEFINANCE($B$25,""close"",KE$2,TODAY()),2,2))"),"")</f>
        <v/>
      </c>
      <c r="KF25" s="1" t="str">
        <f ca="1">IFERROR(__xludf.DUMMYFUNCTION("if(KF$2="""","""", index(GOOGLEFINANCE($B$25,""close"",KF$2,TODAY()),2,2))"),"")</f>
        <v/>
      </c>
      <c r="KG25" s="1" t="str">
        <f ca="1">IFERROR(__xludf.DUMMYFUNCTION("if(KG$2="""","""", index(GOOGLEFINANCE($B$25,""close"",KG$2,TODAY()),2,2))"),"")</f>
        <v/>
      </c>
    </row>
    <row r="26" spans="1:293" ht="15.75" customHeight="1">
      <c r="A26" s="18" t="s">
        <v>30</v>
      </c>
      <c r="B26" s="6" t="s">
        <v>69</v>
      </c>
      <c r="C26" s="1">
        <f ca="1">IFERROR(__xludf.DUMMYFUNCTION("if(C$2="""","""", index(GOOGLEFINANCE($B$26,""close"",C$2,TODAY()),2,2))"),81.65)</f>
        <v>81.650000000000006</v>
      </c>
      <c r="D26" s="1">
        <f ca="1">IFERROR(__xludf.DUMMYFUNCTION("if(D$2="""","""", index(GOOGLEFINANCE($B$26,""close"",D$2,TODAY()),2,2))"),84.42)</f>
        <v>84.42</v>
      </c>
      <c r="E26" s="1">
        <f ca="1">IFERROR(__xludf.DUMMYFUNCTION("if(E$2="""","""", index(GOOGLEFINANCE($B$26,""close"",E$2,TODAY()),2,2))"),80.03)</f>
        <v>80.03</v>
      </c>
      <c r="F26" s="1">
        <f ca="1">IFERROR(__xludf.DUMMYFUNCTION("if(F$2="""","""", index(GOOGLEFINANCE($B$26,""close"",F$2,TODAY()),2,2))"),79.34)</f>
        <v>79.34</v>
      </c>
      <c r="G26" s="1">
        <f ca="1">IFERROR(__xludf.DUMMYFUNCTION("if(G$2="""","""", index(GOOGLEFINANCE($B$26,""close"",G$2,TODAY()),2,2))"),78.07)</f>
        <v>78.069999999999993</v>
      </c>
      <c r="H26" s="1">
        <f ca="1">IFERROR(__xludf.DUMMYFUNCTION("if(H$2="""","""", index(GOOGLEFINANCE($B$26,""close"",H$2,TODAY()),2,2))"),77.81)</f>
        <v>77.81</v>
      </c>
      <c r="I26" s="1">
        <f ca="1">IFERROR(__xludf.DUMMYFUNCTION("if(I$2="""","""", index(GOOGLEFINANCE($B$26,""close"",I$2,TODAY()),2,2))"),78.1)</f>
        <v>78.099999999999994</v>
      </c>
      <c r="J26" s="1">
        <f ca="1">IFERROR(__xludf.DUMMYFUNCTION("if(J$2="""","""", index(GOOGLEFINANCE($B$26,""close"",J$2,TODAY()),2,2))"),79.86)</f>
        <v>79.86</v>
      </c>
      <c r="K26" s="1">
        <f ca="1">IFERROR(__xludf.DUMMYFUNCTION("if(K$2="""","""", index(GOOGLEFINANCE($B$26,""close"",K$2,TODAY()),2,2))"),79.5)</f>
        <v>79.5</v>
      </c>
      <c r="L26" s="1">
        <f ca="1">IFERROR(__xludf.DUMMYFUNCTION("if(L$2="""","""", index(GOOGLEFINANCE($B$26,""close"",L$2,TODAY()),2,2))"),78.98)</f>
        <v>78.98</v>
      </c>
      <c r="M26" s="1">
        <f ca="1">IFERROR(__xludf.DUMMYFUNCTION("if(M$2="""","""", index(GOOGLEFINANCE($B$26,""close"",M$2,TODAY()),2,2))"),77.5)</f>
        <v>77.5</v>
      </c>
      <c r="N26" s="1">
        <f ca="1">IFERROR(__xludf.DUMMYFUNCTION("if(N$2="""","""", index(GOOGLEFINANCE($B$26,""close"",N$2,TODAY()),2,2))"),77.13)</f>
        <v>77.13</v>
      </c>
      <c r="O26" s="1">
        <f ca="1">IFERROR(__xludf.DUMMYFUNCTION("if(O$2="""","""", index(GOOGLEFINANCE($B$26,""close"",O$2,TODAY()),2,2))"),76.16)</f>
        <v>76.16</v>
      </c>
      <c r="P26" s="1">
        <f ca="1">IFERROR(__xludf.DUMMYFUNCTION("if(P$2="""","""", index(GOOGLEFINANCE($B$26,""close"",P$2,TODAY()),2,2))"),75)</f>
        <v>75</v>
      </c>
      <c r="Q26" s="1">
        <f ca="1">IFERROR(__xludf.DUMMYFUNCTION("if(Q$2="""","""", index(GOOGLEFINANCE($B$26,""close"",Q$2,TODAY()),2,2))"),75.86)</f>
        <v>75.86</v>
      </c>
      <c r="R26" s="1">
        <f ca="1">IFERROR(__xludf.DUMMYFUNCTION("if(R$2="""","""", index(GOOGLEFINANCE($B$26,""close"",R$2,TODAY()),2,2))"),73.56)</f>
        <v>73.56</v>
      </c>
      <c r="S26" s="1">
        <f ca="1">IFERROR(__xludf.DUMMYFUNCTION("if(S$2="""","""", index(GOOGLEFINANCE($B$26,""close"",S$2,TODAY()),2,2))"),72.1)</f>
        <v>72.099999999999994</v>
      </c>
      <c r="T26" s="1">
        <f ca="1">IFERROR(__xludf.DUMMYFUNCTION("if(T$2="""","""", index(GOOGLEFINANCE($B$26,""close"",T$2,TODAY()),2,2))"),70.66)</f>
        <v>70.66</v>
      </c>
      <c r="U26" s="1">
        <f ca="1">IFERROR(__xludf.DUMMYFUNCTION("if(U$2="""","""", index(GOOGLEFINANCE($B$26,""close"",U$2,TODAY()),2,2))"),72.23)</f>
        <v>72.23</v>
      </c>
      <c r="V26" s="1">
        <f ca="1">IFERROR(__xludf.DUMMYFUNCTION("if(V$2="""","""", index(GOOGLEFINANCE($B$26,""close"",V$2,TODAY()),2,2))"),73.19)</f>
        <v>73.19</v>
      </c>
      <c r="W26" s="1">
        <f ca="1">IFERROR(__xludf.DUMMYFUNCTION("if(W$2="""","""", index(GOOGLEFINANCE($B$26,""close"",W$2,TODAY()),2,2))"),74.09)</f>
        <v>74.09</v>
      </c>
      <c r="X26" s="1">
        <f ca="1">IFERROR(__xludf.DUMMYFUNCTION("if(X$2="""","""", index(GOOGLEFINANCE($B$26,""close"",X$2,TODAY()),2,2))"),74.16)</f>
        <v>74.16</v>
      </c>
      <c r="Y26" s="1">
        <f ca="1">IFERROR(__xludf.DUMMYFUNCTION("if(Y$2="""","""", index(GOOGLEFINANCE($B$26,""close"",Y$2,TODAY()),2,2))"),72.46)</f>
        <v>72.459999999999994</v>
      </c>
      <c r="Z26" s="1">
        <f ca="1">IFERROR(__xludf.DUMMYFUNCTION("if(Z$2="""","""", index(GOOGLEFINANCE($B$26,""close"",Z$2,TODAY()),2,2))"),71.75)</f>
        <v>71.75</v>
      </c>
      <c r="AA26" s="1">
        <f ca="1">IFERROR(__xludf.DUMMYFUNCTION("if(AA$2="""","""", index(GOOGLEFINANCE($B$26,""close"",AA$2,TODAY()),2,2))"),70.94)</f>
        <v>70.94</v>
      </c>
      <c r="AB26" s="1">
        <f ca="1">IFERROR(__xludf.DUMMYFUNCTION("if(AB$2="""","""", index(GOOGLEFINANCE($B$26,""close"",AB$2,TODAY()),2,2))"),72.52)</f>
        <v>72.52</v>
      </c>
      <c r="AC26" s="1">
        <f ca="1">IFERROR(__xludf.DUMMYFUNCTION("if(AC$2="""","""", index(GOOGLEFINANCE($B$26,""close"",AC$2,TODAY()),2,2))"),75.21)</f>
        <v>75.209999999999994</v>
      </c>
      <c r="AD26" s="1">
        <f ca="1">IFERROR(__xludf.DUMMYFUNCTION("if(AD$2="""","""", index(GOOGLEFINANCE($B$26,""close"",AD$2,TODAY()),2,2))"),73.95)</f>
        <v>73.95</v>
      </c>
      <c r="AE26" s="1">
        <f ca="1">IFERROR(__xludf.DUMMYFUNCTION("if(AE$2="""","""", index(GOOGLEFINANCE($B$26,""close"",AE$2,TODAY()),2,2))"),73.59)</f>
        <v>73.59</v>
      </c>
      <c r="AF26" s="1">
        <f ca="1">IFERROR(__xludf.DUMMYFUNCTION("if(AF$2="""","""", index(GOOGLEFINANCE($B$26,""close"",AF$2,TODAY()),2,2))"),74.98)</f>
        <v>74.98</v>
      </c>
      <c r="AG26" s="1">
        <f ca="1">IFERROR(__xludf.DUMMYFUNCTION("if(AG$2="""","""", index(GOOGLEFINANCE($B$26,""close"",AG$2,TODAY()),2,2))"),76.55)</f>
        <v>76.55</v>
      </c>
      <c r="AH26" s="1">
        <f ca="1">IFERROR(__xludf.DUMMYFUNCTION("if(AH$2="""","""", index(GOOGLEFINANCE($B$26,""close"",AH$2,TODAY()),2,2))"),80.68)</f>
        <v>80.680000000000007</v>
      </c>
      <c r="AI26" s="1">
        <f ca="1">IFERROR(__xludf.DUMMYFUNCTION("if(AI$2="""","""", index(GOOGLEFINANCE($B$26,""close"",AI$2,TODAY()),2,2))"),78.63)</f>
        <v>78.63</v>
      </c>
      <c r="AJ26" s="1">
        <f ca="1">IFERROR(__xludf.DUMMYFUNCTION("if(AJ$2="""","""", index(GOOGLEFINANCE($B$26,""close"",AJ$2,TODAY()),2,2))"),78.68)</f>
        <v>78.680000000000007</v>
      </c>
      <c r="AK26" s="1">
        <f ca="1">IFERROR(__xludf.DUMMYFUNCTION("if(AK$2="""","""", index(GOOGLEFINANCE($B$26,""close"",AK$2,TODAY()),2,2))"),76.33)</f>
        <v>76.33</v>
      </c>
      <c r="AL26" s="1">
        <f ca="1">IFERROR(__xludf.DUMMYFUNCTION("if(AL$2="""","""", index(GOOGLEFINANCE($B$26,""close"",AL$2,TODAY()),2,2))"),73.93)</f>
        <v>73.930000000000007</v>
      </c>
      <c r="AM26" s="1">
        <f ca="1">IFERROR(__xludf.DUMMYFUNCTION("if(AM$2="""","""", index(GOOGLEFINANCE($B$26,""close"",AM$2,TODAY()),2,2))"),75.59)</f>
        <v>75.59</v>
      </c>
      <c r="AN26" s="1">
        <f ca="1">IFERROR(__xludf.DUMMYFUNCTION("if(AN$2="""","""", index(GOOGLEFINANCE($B$26,""close"",AN$2,TODAY()),2,2))"),77.58)</f>
        <v>77.58</v>
      </c>
      <c r="AO26" s="1">
        <f ca="1">IFERROR(__xludf.DUMMYFUNCTION("if(AO$2="""","""", index(GOOGLEFINANCE($B$26,""close"",AO$2,TODAY()),2,2))"),78.84)</f>
        <v>78.84</v>
      </c>
      <c r="AP26" s="1">
        <f ca="1">IFERROR(__xludf.DUMMYFUNCTION("if(AP$2="""","""", index(GOOGLEFINANCE($B$26,""close"",AP$2,TODAY()),2,2))"),77.69)</f>
        <v>77.69</v>
      </c>
      <c r="AQ26" s="1">
        <f ca="1">IFERROR(__xludf.DUMMYFUNCTION("if(AQ$2="""","""", index(GOOGLEFINANCE($B$26,""close"",AQ$2,TODAY()),2,2))"),80.67)</f>
        <v>80.67</v>
      </c>
      <c r="AR26" s="1">
        <f ca="1">IFERROR(__xludf.DUMMYFUNCTION("if(AR$2="""","""", index(GOOGLEFINANCE($B$26,""close"",AR$2,TODAY()),2,2))"),80.35)</f>
        <v>80.349999999999994</v>
      </c>
      <c r="AS26" s="1">
        <f ca="1">IFERROR(__xludf.DUMMYFUNCTION("if(AS$2="""","""", index(GOOGLEFINANCE($B$26,""close"",AS$2,TODAY()),2,2))"),79.03)</f>
        <v>79.03</v>
      </c>
      <c r="AT26" s="1">
        <f ca="1">IFERROR(__xludf.DUMMYFUNCTION("if(AT$2="""","""", index(GOOGLEFINANCE($B$26,""close"",AT$2,TODAY()),2,2))"),76.73)</f>
        <v>76.73</v>
      </c>
      <c r="AU26" s="1">
        <f ca="1">IFERROR(__xludf.DUMMYFUNCTION("if(AU$2="""","""", index(GOOGLEFINANCE($B$26,""close"",AU$2,TODAY()),2,2))"),76.26)</f>
        <v>76.260000000000005</v>
      </c>
      <c r="AV26" s="1">
        <f ca="1">IFERROR(__xludf.DUMMYFUNCTION("if(AV$2="""","""", index(GOOGLEFINANCE($B$26,""close"",AV$2,TODAY()),2,2))"),79.61)</f>
        <v>79.61</v>
      </c>
      <c r="AW26" s="1">
        <f ca="1">IFERROR(__xludf.DUMMYFUNCTION("if(AW$2="""","""", index(GOOGLEFINANCE($B$26,""close"",AW$2,TODAY()),2,2))"),78.96)</f>
        <v>78.959999999999994</v>
      </c>
      <c r="AX26" s="1">
        <f ca="1">IFERROR(__xludf.DUMMYFUNCTION("if(AX$2="""","""", index(GOOGLEFINANCE($B$26,""close"",AX$2,TODAY()),2,2))"),79.19)</f>
        <v>79.19</v>
      </c>
      <c r="AY26" s="1">
        <f ca="1">IFERROR(__xludf.DUMMYFUNCTION("if(AY$2="""","""", index(GOOGLEFINANCE($B$26,""close"",AY$2,TODAY()),2,2))"),77.48)</f>
        <v>77.48</v>
      </c>
      <c r="AZ26" s="1">
        <f ca="1">IFERROR(__xludf.DUMMYFUNCTION("if(AZ$2="""","""", index(GOOGLEFINANCE($B$26,""close"",AZ$2,TODAY()),2,2))"),78.59)</f>
        <v>78.59</v>
      </c>
      <c r="BA26" s="1">
        <f ca="1">IFERROR(__xludf.DUMMYFUNCTION("if(BA$2="""","""", index(GOOGLEFINANCE($B$26,""close"",BA$2,TODAY()),2,2))"),82.18)</f>
        <v>82.18</v>
      </c>
      <c r="BB26" s="1">
        <f ca="1">IFERROR(__xludf.DUMMYFUNCTION("if(BB$2="""","""", index(GOOGLEFINANCE($B$26,""close"",BB$2,TODAY()),2,2))"),83.77)</f>
        <v>83.77</v>
      </c>
      <c r="BC26" s="1">
        <f ca="1">IFERROR(__xludf.DUMMYFUNCTION("if(BC$2="""","""", index(GOOGLEFINANCE($B$26,""close"",BC$2,TODAY()),2,2))"),84.26)</f>
        <v>84.26</v>
      </c>
      <c r="BD26" s="1">
        <f ca="1">IFERROR(__xludf.DUMMYFUNCTION("if(BD$2="""","""", index(GOOGLEFINANCE($B$26,""close"",BD$2,TODAY()),2,2))"),84.34)</f>
        <v>84.34</v>
      </c>
      <c r="BE26" s="1">
        <f ca="1">IFERROR(__xludf.DUMMYFUNCTION("if(BE$2="""","""", index(GOOGLEFINANCE($B$26,""close"",BE$2,TODAY()),2,2))"),84.06)</f>
        <v>84.06</v>
      </c>
      <c r="BF26" s="1">
        <f ca="1">IFERROR(__xludf.DUMMYFUNCTION("if(BF$2="""","""", index(GOOGLEFINANCE($B$26,""close"",BF$2,TODAY()),2,2))"),81.44)</f>
        <v>81.44</v>
      </c>
      <c r="BG26" s="1">
        <f ca="1">IFERROR(__xludf.DUMMYFUNCTION("if(BG$2="""","""", index(GOOGLEFINANCE($B$26,""close"",BG$2,TODAY()),2,2))"),81.75)</f>
        <v>81.75</v>
      </c>
      <c r="BH26" s="1">
        <f ca="1">IFERROR(__xludf.DUMMYFUNCTION("if(BH$2="""","""", index(GOOGLEFINANCE($B$26,""close"",BH$2,TODAY()),2,2))"),80.79)</f>
        <v>80.790000000000006</v>
      </c>
      <c r="BI26" s="1">
        <f ca="1">IFERROR(__xludf.DUMMYFUNCTION("if(BI$2="""","""", index(GOOGLEFINANCE($B$26,""close"",BI$2,TODAY()),2,2))"),81.41)</f>
        <v>81.41</v>
      </c>
      <c r="BJ26" s="1">
        <f ca="1">IFERROR(__xludf.DUMMYFUNCTION("if(BJ$2="""","""", index(GOOGLEFINANCE($B$26,""close"",BJ$2,TODAY()),2,2))"),81.99)</f>
        <v>81.99</v>
      </c>
      <c r="BK26" s="1">
        <f ca="1">IFERROR(__xludf.DUMMYFUNCTION("if(BK$2="""","""", index(GOOGLEFINANCE($B$26,""close"",BK$2,TODAY()),2,2))"),81.43)</f>
        <v>81.430000000000007</v>
      </c>
      <c r="BL26" s="1">
        <f ca="1">IFERROR(__xludf.DUMMYFUNCTION("if(BL$2="""","""", index(GOOGLEFINANCE($B$26,""close"",BL$2,TODAY()),2,2))"),79.33)</f>
        <v>79.33</v>
      </c>
      <c r="BM26" s="1">
        <f ca="1">IFERROR(__xludf.DUMMYFUNCTION("if(BM$2="""","""", index(GOOGLEFINANCE($B$26,""close"",BM$2,TODAY()),2,2))"),73.99)</f>
        <v>73.989999999999995</v>
      </c>
      <c r="BN26" s="1">
        <f ca="1">IFERROR(__xludf.DUMMYFUNCTION("if(BN$2="""","""", index(GOOGLEFINANCE($B$26,""close"",BN$2,TODAY()),2,2))"),72.75)</f>
        <v>72.75</v>
      </c>
      <c r="BO26" s="1">
        <f ca="1">IFERROR(__xludf.DUMMYFUNCTION("if(BO$2="""","""", index(GOOGLEFINANCE($B$26,""close"",BO$2,TODAY()),2,2))"),67.72)</f>
        <v>67.72</v>
      </c>
      <c r="BP26" s="1">
        <f ca="1">IFERROR(__xludf.DUMMYFUNCTION("if(BP$2="""","""", index(GOOGLEFINANCE($B$26,""close"",BP$2,TODAY()),2,2))"),65.44)</f>
        <v>65.44</v>
      </c>
      <c r="BQ26" s="1">
        <f ca="1">IFERROR(__xludf.DUMMYFUNCTION("if(BQ$2="""","""", index(GOOGLEFINANCE($B$26,""close"",BQ$2,TODAY()),2,2))"),63.92)</f>
        <v>63.92</v>
      </c>
      <c r="BR26" s="1">
        <f ca="1">IFERROR(__xludf.DUMMYFUNCTION("if(BR$2="""","""", index(GOOGLEFINANCE($B$26,""close"",BR$2,TODAY()),2,2))"),63.11)</f>
        <v>63.11</v>
      </c>
      <c r="BS26" s="1">
        <f ca="1">IFERROR(__xludf.DUMMYFUNCTION("if(BS$2="""","""", index(GOOGLEFINANCE($B$26,""close"",BS$2,TODAY()),2,2))"),62.99)</f>
        <v>62.99</v>
      </c>
      <c r="BT26" s="1">
        <f ca="1">IFERROR(__xludf.DUMMYFUNCTION("if(BT$2="""","""", index(GOOGLEFINANCE($B$26,""close"",BT$2,TODAY()),2,2))"),63.02)</f>
        <v>63.02</v>
      </c>
      <c r="BU26" s="1">
        <f ca="1">IFERROR(__xludf.DUMMYFUNCTION("if(BU$2="""","""", index(GOOGLEFINANCE($B$26,""close"",BU$2,TODAY()),2,2))"),64.86)</f>
        <v>64.86</v>
      </c>
      <c r="BV26" s="1">
        <f ca="1">IFERROR(__xludf.DUMMYFUNCTION("if(BV$2="""","""", index(GOOGLEFINANCE($B$26,""close"",BV$2,TODAY()),2,2))"),64.02)</f>
        <v>64.02</v>
      </c>
      <c r="BW26" s="1">
        <f ca="1">IFERROR(__xludf.DUMMYFUNCTION("if(BW$2="""","""", index(GOOGLEFINANCE($B$26,""close"",BW$2,TODAY()),2,2))"),64.4)</f>
        <v>64.400000000000006</v>
      </c>
      <c r="BX26" s="1">
        <f ca="1">IFERROR(__xludf.DUMMYFUNCTION("if(BX$2="""","""", index(GOOGLEFINANCE($B$26,""close"",BX$2,TODAY()),2,2))"),66.38)</f>
        <v>66.38</v>
      </c>
      <c r="BY26" s="1">
        <f ca="1">IFERROR(__xludf.DUMMYFUNCTION("if(BY$2="""","""", index(GOOGLEFINANCE($B$26,""close"",BY$2,TODAY()),2,2))"),67.64)</f>
        <v>67.64</v>
      </c>
      <c r="BZ26" s="1">
        <f ca="1">IFERROR(__xludf.DUMMYFUNCTION("if(BZ$2="""","""", index(GOOGLEFINANCE($B$26,""close"",BZ$2,TODAY()),2,2))"),68.02)</f>
        <v>68.02</v>
      </c>
      <c r="CA26" s="1">
        <f ca="1">IFERROR(__xludf.DUMMYFUNCTION("if(CA$2="""","""", index(GOOGLEFINANCE($B$26,""close"",CA$2,TODAY()),2,2))"),67.46)</f>
        <v>67.459999999999994</v>
      </c>
      <c r="CB26" s="1">
        <f ca="1">IFERROR(__xludf.DUMMYFUNCTION("if(CB$2="""","""", index(GOOGLEFINANCE($B$26,""close"",CB$2,TODAY()),2,2))"),69.55)</f>
        <v>69.55</v>
      </c>
      <c r="CC26" s="1">
        <f ca="1">IFERROR(__xludf.DUMMYFUNCTION("if(CC$2="""","""", index(GOOGLEFINANCE($B$26,""close"",CC$2,TODAY()),2,2))"),67.96)</f>
        <v>67.959999999999994</v>
      </c>
      <c r="CD26" s="1">
        <f ca="1">IFERROR(__xludf.DUMMYFUNCTION("if(CD$2="""","""", index(GOOGLEFINANCE($B$26,""close"",CD$2,TODAY()),2,2))"),68.25)</f>
        <v>68.25</v>
      </c>
      <c r="CE26" s="1">
        <f ca="1">IFERROR(__xludf.DUMMYFUNCTION("if(CE$2="""","""", index(GOOGLEFINANCE($B$26,""close"",CE$2,TODAY()),2,2))"),70.96)</f>
        <v>70.959999999999994</v>
      </c>
      <c r="CF26" s="1">
        <f ca="1">IFERROR(__xludf.DUMMYFUNCTION("if(CF$2="""","""", index(GOOGLEFINANCE($B$26,""close"",CF$2,TODAY()),2,2))"),69.9)</f>
        <v>69.900000000000006</v>
      </c>
      <c r="CG26" s="1">
        <f ca="1">IFERROR(__xludf.DUMMYFUNCTION("if(CG$2="""","""", index(GOOGLEFINANCE($B$26,""close"",CG$2,TODAY()),2,2))"),71.05)</f>
        <v>71.05</v>
      </c>
      <c r="CH26" s="1">
        <f ca="1">IFERROR(__xludf.DUMMYFUNCTION("if(CH$2="""","""", index(GOOGLEFINANCE($B$26,""close"",CH$2,TODAY()),2,2))"),72.9)</f>
        <v>72.900000000000006</v>
      </c>
      <c r="CI26" s="1">
        <f ca="1">IFERROR(__xludf.DUMMYFUNCTION("if(CI$2="""","""", index(GOOGLEFINANCE($B$26,""close"",CI$2,TODAY()),2,2))"),75.72)</f>
        <v>75.72</v>
      </c>
      <c r="CJ26" s="1" t="str">
        <f ca="1">IFERROR(__xludf.DUMMYFUNCTION("if(CJ$2="""","""", index(GOOGLEFINANCE($B$26,""close"",CJ$2,TODAY()),2,2))"),"")</f>
        <v/>
      </c>
      <c r="CK26" s="1" t="str">
        <f ca="1">IFERROR(__xludf.DUMMYFUNCTION("if(CK$2="""","""", index(GOOGLEFINANCE($B$26,""close"",CK$2,TODAY()),2,2))"),"")</f>
        <v/>
      </c>
      <c r="CL26" s="1" t="str">
        <f ca="1">IFERROR(__xludf.DUMMYFUNCTION("if(CL$2="""","""", index(GOOGLEFINANCE($B$26,""close"",CL$2,TODAY()),2,2))"),"")</f>
        <v/>
      </c>
      <c r="CM26" s="1" t="str">
        <f ca="1">IFERROR(__xludf.DUMMYFUNCTION("if(CM$2="""","""", index(GOOGLEFINANCE($B$26,""close"",CM$2,TODAY()),2,2))"),"")</f>
        <v/>
      </c>
      <c r="CN26" s="1" t="str">
        <f ca="1">IFERROR(__xludf.DUMMYFUNCTION("if(CN$2="""","""", index(GOOGLEFINANCE($B$26,""close"",CN$2,TODAY()),2,2))"),"")</f>
        <v/>
      </c>
      <c r="CO26" s="1" t="str">
        <f ca="1">IFERROR(__xludf.DUMMYFUNCTION("if(CO$2="""","""", index(GOOGLEFINANCE($B$26,""close"",CO$2,TODAY()),2,2))"),"")</f>
        <v/>
      </c>
      <c r="CP26" s="1" t="str">
        <f ca="1">IFERROR(__xludf.DUMMYFUNCTION("if(CP$2="""","""", index(GOOGLEFINANCE($B$26,""close"",CP$2,TODAY()),2,2))"),"")</f>
        <v/>
      </c>
      <c r="CQ26" s="1" t="str">
        <f ca="1">IFERROR(__xludf.DUMMYFUNCTION("if(CQ$2="""","""", index(GOOGLEFINANCE($B$26,""close"",CQ$2,TODAY()),2,2))"),"")</f>
        <v/>
      </c>
      <c r="CR26" s="1" t="str">
        <f ca="1">IFERROR(__xludf.DUMMYFUNCTION("if(CR$2="""","""", index(GOOGLEFINANCE($B$26,""close"",CR$2,TODAY()),2,2))"),"")</f>
        <v/>
      </c>
      <c r="CS26" s="1" t="str">
        <f ca="1">IFERROR(__xludf.DUMMYFUNCTION("if(CS$2="""","""", index(GOOGLEFINANCE($B$26,""close"",CS$2,TODAY()),2,2))"),"")</f>
        <v/>
      </c>
      <c r="CT26" s="1" t="str">
        <f ca="1">IFERROR(__xludf.DUMMYFUNCTION("if(CT$2="""","""", index(GOOGLEFINANCE($B$26,""close"",CT$2,TODAY()),2,2))"),"")</f>
        <v/>
      </c>
      <c r="CU26" s="1" t="str">
        <f ca="1">IFERROR(__xludf.DUMMYFUNCTION("if(CU$2="""","""", index(GOOGLEFINANCE($B$26,""close"",CU$2,TODAY()),2,2))"),"")</f>
        <v/>
      </c>
      <c r="CV26" s="1" t="str">
        <f ca="1">IFERROR(__xludf.DUMMYFUNCTION("if(CV$2="""","""", index(GOOGLEFINANCE($B$26,""close"",CV$2,TODAY()),2,2))"),"")</f>
        <v/>
      </c>
      <c r="CW26" s="1" t="str">
        <f ca="1">IFERROR(__xludf.DUMMYFUNCTION("if(CW$2="""","""", index(GOOGLEFINANCE($B$26,""close"",CW$2,TODAY()),2,2))"),"")</f>
        <v/>
      </c>
      <c r="CX26" s="1" t="str">
        <f ca="1">IFERROR(__xludf.DUMMYFUNCTION("if(CX$2="""","""", index(GOOGLEFINANCE($B$26,""close"",CX$2,TODAY()),2,2))"),"")</f>
        <v/>
      </c>
      <c r="CY26" s="1" t="str">
        <f ca="1">IFERROR(__xludf.DUMMYFUNCTION("if(CY$2="""","""", index(GOOGLEFINANCE($B$26,""close"",CY$2,TODAY()),2,2))"),"")</f>
        <v/>
      </c>
      <c r="CZ26" s="1" t="str">
        <f ca="1">IFERROR(__xludf.DUMMYFUNCTION("if(CZ$2="""","""", index(GOOGLEFINANCE($B$26,""close"",CZ$2,TODAY()),2,2))"),"")</f>
        <v/>
      </c>
      <c r="DA26" s="1" t="str">
        <f ca="1">IFERROR(__xludf.DUMMYFUNCTION("if(DA$2="""","""", index(GOOGLEFINANCE($B$26,""close"",DA$2,TODAY()),2,2))"),"")</f>
        <v/>
      </c>
      <c r="DB26" s="1" t="str">
        <f ca="1">IFERROR(__xludf.DUMMYFUNCTION("if(DB$2="""","""", index(GOOGLEFINANCE($B$26,""close"",DB$2,TODAY()),2,2))"),"")</f>
        <v/>
      </c>
      <c r="DC26" s="1" t="str">
        <f ca="1">IFERROR(__xludf.DUMMYFUNCTION("if(DC$2="""","""", index(GOOGLEFINANCE($B$26,""close"",DC$2,TODAY()),2,2))"),"")</f>
        <v/>
      </c>
      <c r="DD26" s="1" t="str">
        <f ca="1">IFERROR(__xludf.DUMMYFUNCTION("if(DD$2="""","""", index(GOOGLEFINANCE($B$26,""close"",DD$2,TODAY()),2,2))"),"")</f>
        <v/>
      </c>
      <c r="DE26" s="1" t="str">
        <f ca="1">IFERROR(__xludf.DUMMYFUNCTION("if(DE$2="""","""", index(GOOGLEFINANCE($B$26,""close"",DE$2,TODAY()),2,2))"),"")</f>
        <v/>
      </c>
      <c r="DF26" s="1" t="str">
        <f ca="1">IFERROR(__xludf.DUMMYFUNCTION("if(DF$2="""","""", index(GOOGLEFINANCE($B$26,""close"",DF$2,TODAY()),2,2))"),"")</f>
        <v/>
      </c>
      <c r="DG26" s="1" t="str">
        <f ca="1">IFERROR(__xludf.DUMMYFUNCTION("if(DG$2="""","""", index(GOOGLEFINANCE($B$26,""close"",DG$2,TODAY()),2,2))"),"")</f>
        <v/>
      </c>
      <c r="DH26" s="1" t="str">
        <f ca="1">IFERROR(__xludf.DUMMYFUNCTION("if(DH$2="""","""", index(GOOGLEFINANCE($B$26,""close"",DH$2,TODAY()),2,2))"),"")</f>
        <v/>
      </c>
      <c r="DI26" s="1" t="str">
        <f ca="1">IFERROR(__xludf.DUMMYFUNCTION("if(DI$2="""","""", index(GOOGLEFINANCE($B$26,""close"",DI$2,TODAY()),2,2))"),"")</f>
        <v/>
      </c>
      <c r="DJ26" s="1" t="str">
        <f ca="1">IFERROR(__xludf.DUMMYFUNCTION("if(DJ$2="""","""", index(GOOGLEFINANCE($B$26,""close"",DJ$2,TODAY()),2,2))"),"")</f>
        <v/>
      </c>
      <c r="DK26" s="1" t="str">
        <f ca="1">IFERROR(__xludf.DUMMYFUNCTION("if(DK$2="""","""", index(GOOGLEFINANCE($B$26,""close"",DK$2,TODAY()),2,2))"),"")</f>
        <v/>
      </c>
      <c r="DL26" s="1" t="str">
        <f ca="1">IFERROR(__xludf.DUMMYFUNCTION("if(DL$2="""","""", index(GOOGLEFINANCE($B$26,""close"",DL$2,TODAY()),2,2))"),"")</f>
        <v/>
      </c>
      <c r="DM26" s="1" t="str">
        <f ca="1">IFERROR(__xludf.DUMMYFUNCTION("if(DM$2="""","""", index(GOOGLEFINANCE($B$26,""close"",DM$2,TODAY()),2,2))"),"")</f>
        <v/>
      </c>
      <c r="DN26" s="1" t="str">
        <f ca="1">IFERROR(__xludf.DUMMYFUNCTION("if(DN$2="""","""", index(GOOGLEFINANCE($B$26,""close"",DN$2,TODAY()),2,2))"),"")</f>
        <v/>
      </c>
      <c r="DO26" s="1" t="str">
        <f ca="1">IFERROR(__xludf.DUMMYFUNCTION("if(DO$2="""","""", index(GOOGLEFINANCE($B$26,""close"",DO$2,TODAY()),2,2))"),"")</f>
        <v/>
      </c>
      <c r="DP26" s="1" t="str">
        <f ca="1">IFERROR(__xludf.DUMMYFUNCTION("if(DP$2="""","""", index(GOOGLEFINANCE($B$26,""close"",DP$2,TODAY()),2,2))"),"")</f>
        <v/>
      </c>
      <c r="DQ26" s="1" t="str">
        <f ca="1">IFERROR(__xludf.DUMMYFUNCTION("if(DQ$2="""","""", index(GOOGLEFINANCE($B$26,""close"",DQ$2,TODAY()),2,2))"),"")</f>
        <v/>
      </c>
      <c r="DR26" s="1" t="str">
        <f ca="1">IFERROR(__xludf.DUMMYFUNCTION("if(DR$2="""","""", index(GOOGLEFINANCE($B$26,""close"",DR$2,TODAY()),2,2))"),"")</f>
        <v/>
      </c>
      <c r="DS26" s="1" t="str">
        <f ca="1">IFERROR(__xludf.DUMMYFUNCTION("if(DS$2="""","""", index(GOOGLEFINANCE($B$26,""close"",DS$2,TODAY()),2,2))"),"")</f>
        <v/>
      </c>
      <c r="DT26" s="1" t="str">
        <f ca="1">IFERROR(__xludf.DUMMYFUNCTION("if(DT$2="""","""", index(GOOGLEFINANCE($B$26,""close"",DT$2,TODAY()),2,2))"),"")</f>
        <v/>
      </c>
      <c r="DU26" s="1" t="str">
        <f ca="1">IFERROR(__xludf.DUMMYFUNCTION("if(DU$2="""","""", index(GOOGLEFINANCE($B$26,""close"",DU$2,TODAY()),2,2))"),"")</f>
        <v/>
      </c>
      <c r="DV26" s="1" t="str">
        <f ca="1">IFERROR(__xludf.DUMMYFUNCTION("if(DV$2="""","""", index(GOOGLEFINANCE($B$26,""close"",DV$2,TODAY()),2,2))"),"")</f>
        <v/>
      </c>
      <c r="DW26" s="1" t="str">
        <f ca="1">IFERROR(__xludf.DUMMYFUNCTION("if(DW$2="""","""", index(GOOGLEFINANCE($B$26,""close"",DW$2,TODAY()),2,2))"),"")</f>
        <v/>
      </c>
      <c r="DX26" s="1" t="str">
        <f ca="1">IFERROR(__xludf.DUMMYFUNCTION("if(DX$2="""","""", index(GOOGLEFINANCE($B$26,""close"",DX$2,TODAY()),2,2))"),"")</f>
        <v/>
      </c>
      <c r="DY26" s="1" t="str">
        <f ca="1">IFERROR(__xludf.DUMMYFUNCTION("if(DY$2="""","""", index(GOOGLEFINANCE($B$26,""close"",DY$2,TODAY()),2,2))"),"")</f>
        <v/>
      </c>
      <c r="DZ26" s="1" t="str">
        <f ca="1">IFERROR(__xludf.DUMMYFUNCTION("if(DZ$2="""","""", index(GOOGLEFINANCE($B$26,""close"",DZ$2,TODAY()),2,2))"),"")</f>
        <v/>
      </c>
      <c r="EA26" s="1" t="str">
        <f ca="1">IFERROR(__xludf.DUMMYFUNCTION("if(EA$2="""","""", index(GOOGLEFINANCE($B$26,""close"",EA$2,TODAY()),2,2))"),"")</f>
        <v/>
      </c>
      <c r="EB26" s="1" t="str">
        <f ca="1">IFERROR(__xludf.DUMMYFUNCTION("if(EB$2="""","""", index(GOOGLEFINANCE($B$26,""close"",EB$2,TODAY()),2,2))"),"")</f>
        <v/>
      </c>
      <c r="EC26" s="1" t="str">
        <f ca="1">IFERROR(__xludf.DUMMYFUNCTION("if(EC$2="""","""", index(GOOGLEFINANCE($B$26,""close"",EC$2,TODAY()),2,2))"),"")</f>
        <v/>
      </c>
      <c r="ED26" s="1" t="str">
        <f ca="1">IFERROR(__xludf.DUMMYFUNCTION("if(ED$2="""","""", index(GOOGLEFINANCE($B$26,""close"",ED$2,TODAY()),2,2))"),"")</f>
        <v/>
      </c>
      <c r="EE26" s="1" t="str">
        <f ca="1">IFERROR(__xludf.DUMMYFUNCTION("if(EE$2="""","""", index(GOOGLEFINANCE($B$26,""close"",EE$2,TODAY()),2,2))"),"")</f>
        <v/>
      </c>
      <c r="EF26" s="1" t="str">
        <f ca="1">IFERROR(__xludf.DUMMYFUNCTION("if(EF$2="""","""", index(GOOGLEFINANCE($B$26,""close"",EF$2,TODAY()),2,2))"),"")</f>
        <v/>
      </c>
      <c r="EG26" s="1" t="str">
        <f ca="1">IFERROR(__xludf.DUMMYFUNCTION("if(EG$2="""","""", index(GOOGLEFINANCE($B$26,""close"",EG$2,TODAY()),2,2))"),"")</f>
        <v/>
      </c>
      <c r="EH26" s="1" t="str">
        <f ca="1">IFERROR(__xludf.DUMMYFUNCTION("if(EH$2="""","""", index(GOOGLEFINANCE($B$26,""close"",EH$2,TODAY()),2,2))"),"")</f>
        <v/>
      </c>
      <c r="EI26" s="1" t="str">
        <f ca="1">IFERROR(__xludf.DUMMYFUNCTION("if(EI$2="""","""", index(GOOGLEFINANCE($B$26,""close"",EI$2,TODAY()),2,2))"),"")</f>
        <v/>
      </c>
      <c r="EJ26" s="1" t="str">
        <f ca="1">IFERROR(__xludf.DUMMYFUNCTION("if(EJ$2="""","""", index(GOOGLEFINANCE($B$26,""close"",EJ$2,TODAY()),2,2))"),"")</f>
        <v/>
      </c>
      <c r="EK26" s="1" t="str">
        <f ca="1">IFERROR(__xludf.DUMMYFUNCTION("if(EK$2="""","""", index(GOOGLEFINANCE($B$26,""close"",EK$2,TODAY()),2,2))"),"")</f>
        <v/>
      </c>
      <c r="EL26" s="1" t="str">
        <f ca="1">IFERROR(__xludf.DUMMYFUNCTION("if(EL$2="""","""", index(GOOGLEFINANCE($B$26,""close"",EL$2,TODAY()),2,2))"),"")</f>
        <v/>
      </c>
      <c r="EM26" s="1" t="str">
        <f ca="1">IFERROR(__xludf.DUMMYFUNCTION("if(EM$2="""","""", index(GOOGLEFINANCE($B$26,""close"",EM$2,TODAY()),2,2))"),"")</f>
        <v/>
      </c>
      <c r="EN26" s="1" t="str">
        <f ca="1">IFERROR(__xludf.DUMMYFUNCTION("if(EN$2="""","""", index(GOOGLEFINANCE($B$26,""close"",EN$2,TODAY()),2,2))"),"")</f>
        <v/>
      </c>
      <c r="EO26" s="1" t="str">
        <f ca="1">IFERROR(__xludf.DUMMYFUNCTION("if(EO$2="""","""", index(GOOGLEFINANCE($B$26,""close"",EO$2,TODAY()),2,2))"),"")</f>
        <v/>
      </c>
      <c r="EP26" s="1" t="str">
        <f ca="1">IFERROR(__xludf.DUMMYFUNCTION("if(EP$2="""","""", index(GOOGLEFINANCE($B$26,""close"",EP$2,TODAY()),2,2))"),"")</f>
        <v/>
      </c>
      <c r="EQ26" s="1" t="str">
        <f ca="1">IFERROR(__xludf.DUMMYFUNCTION("if(EQ$2="""","""", index(GOOGLEFINANCE($B$26,""close"",EQ$2,TODAY()),2,2))"),"")</f>
        <v/>
      </c>
      <c r="ER26" s="1" t="str">
        <f ca="1">IFERROR(__xludf.DUMMYFUNCTION("if(ER$2="""","""", index(GOOGLEFINANCE($B$26,""close"",ER$2,TODAY()),2,2))"),"")</f>
        <v/>
      </c>
      <c r="ES26" s="1" t="str">
        <f ca="1">IFERROR(__xludf.DUMMYFUNCTION("if(ES$2="""","""", index(GOOGLEFINANCE($B$26,""close"",ES$2,TODAY()),2,2))"),"")</f>
        <v/>
      </c>
      <c r="ET26" s="1" t="str">
        <f ca="1">IFERROR(__xludf.DUMMYFUNCTION("if(ET$2="""","""", index(GOOGLEFINANCE($B$26,""close"",ET$2,TODAY()),2,2))"),"")</f>
        <v/>
      </c>
      <c r="EU26" s="1" t="str">
        <f ca="1">IFERROR(__xludf.DUMMYFUNCTION("if(EU$2="""","""", index(GOOGLEFINANCE($B$26,""close"",EU$2,TODAY()),2,2))"),"")</f>
        <v/>
      </c>
      <c r="EV26" s="1" t="str">
        <f ca="1">IFERROR(__xludf.DUMMYFUNCTION("if(EV$2="""","""", index(GOOGLEFINANCE($B$26,""close"",EV$2,TODAY()),2,2))"),"")</f>
        <v/>
      </c>
      <c r="EW26" s="1" t="str">
        <f ca="1">IFERROR(__xludf.DUMMYFUNCTION("if(EW$2="""","""", index(GOOGLEFINANCE($B$26,""close"",EW$2,TODAY()),2,2))"),"")</f>
        <v/>
      </c>
      <c r="EX26" s="1" t="str">
        <f ca="1">IFERROR(__xludf.DUMMYFUNCTION("if(EX$2="""","""", index(GOOGLEFINANCE($B$26,""close"",EX$2,TODAY()),2,2))"),"")</f>
        <v/>
      </c>
      <c r="EY26" s="1" t="str">
        <f ca="1">IFERROR(__xludf.DUMMYFUNCTION("if(EY$2="""","""", index(GOOGLEFINANCE($B$26,""close"",EY$2,TODAY()),2,2))"),"")</f>
        <v/>
      </c>
      <c r="EZ26" s="1" t="str">
        <f ca="1">IFERROR(__xludf.DUMMYFUNCTION("if(EZ$2="""","""", index(GOOGLEFINANCE($B$26,""close"",EZ$2,TODAY()),2,2))"),"")</f>
        <v/>
      </c>
      <c r="FA26" s="1" t="str">
        <f ca="1">IFERROR(__xludf.DUMMYFUNCTION("if(FA$2="""","""", index(GOOGLEFINANCE($B$26,""close"",FA$2,TODAY()),2,2))"),"")</f>
        <v/>
      </c>
      <c r="FB26" s="1" t="str">
        <f ca="1">IFERROR(__xludf.DUMMYFUNCTION("if(FB$2="""","""", index(GOOGLEFINANCE($B$26,""close"",FB$2,TODAY()),2,2))"),"")</f>
        <v/>
      </c>
      <c r="FC26" s="1" t="str">
        <f ca="1">IFERROR(__xludf.DUMMYFUNCTION("if(FC$2="""","""", index(GOOGLEFINANCE($B$26,""close"",FC$2,TODAY()),2,2))"),"")</f>
        <v/>
      </c>
      <c r="FD26" s="1" t="str">
        <f ca="1">IFERROR(__xludf.DUMMYFUNCTION("if(FD$2="""","""", index(GOOGLEFINANCE($B$26,""close"",FD$2,TODAY()),2,2))"),"")</f>
        <v/>
      </c>
      <c r="FE26" s="1" t="str">
        <f ca="1">IFERROR(__xludf.DUMMYFUNCTION("if(FE$2="""","""", index(GOOGLEFINANCE($B$26,""close"",FE$2,TODAY()),2,2))"),"")</f>
        <v/>
      </c>
      <c r="FF26" s="1" t="str">
        <f ca="1">IFERROR(__xludf.DUMMYFUNCTION("if(FF$2="""","""", index(GOOGLEFINANCE($B$26,""close"",FF$2,TODAY()),2,2))"),"")</f>
        <v/>
      </c>
      <c r="FG26" s="1" t="str">
        <f ca="1">IFERROR(__xludf.DUMMYFUNCTION("if(FG$2="""","""", index(GOOGLEFINANCE($B$26,""close"",FG$2,TODAY()),2,2))"),"")</f>
        <v/>
      </c>
      <c r="FH26" s="1" t="str">
        <f ca="1">IFERROR(__xludf.DUMMYFUNCTION("if(FH$2="""","""", index(GOOGLEFINANCE($B$26,""close"",FH$2,TODAY()),2,2))"),"")</f>
        <v/>
      </c>
      <c r="FI26" s="1" t="str">
        <f ca="1">IFERROR(__xludf.DUMMYFUNCTION("if(FI$2="""","""", index(GOOGLEFINANCE($B$26,""close"",FI$2,TODAY()),2,2))"),"")</f>
        <v/>
      </c>
      <c r="FJ26" s="1" t="str">
        <f ca="1">IFERROR(__xludf.DUMMYFUNCTION("if(FJ$2="""","""", index(GOOGLEFINANCE($B$26,""close"",FJ$2,TODAY()),2,2))"),"")</f>
        <v/>
      </c>
      <c r="FK26" s="1" t="str">
        <f ca="1">IFERROR(__xludf.DUMMYFUNCTION("if(FK$2="""","""", index(GOOGLEFINANCE($B$26,""close"",FK$2,TODAY()),2,2))"),"")</f>
        <v/>
      </c>
      <c r="FL26" s="1" t="str">
        <f ca="1">IFERROR(__xludf.DUMMYFUNCTION("if(FL$2="""","""", index(GOOGLEFINANCE($B$26,""close"",FL$2,TODAY()),2,2))"),"")</f>
        <v/>
      </c>
      <c r="FM26" s="1" t="str">
        <f ca="1">IFERROR(__xludf.DUMMYFUNCTION("if(FM$2="""","""", index(GOOGLEFINANCE($B$26,""close"",FM$2,TODAY()),2,2))"),"")</f>
        <v/>
      </c>
      <c r="FN26" s="1" t="str">
        <f ca="1">IFERROR(__xludf.DUMMYFUNCTION("if(FN$2="""","""", index(GOOGLEFINANCE($B$26,""close"",FN$2,TODAY()),2,2))"),"")</f>
        <v/>
      </c>
      <c r="FO26" s="1" t="str">
        <f ca="1">IFERROR(__xludf.DUMMYFUNCTION("if(FO$2="""","""", index(GOOGLEFINANCE($B$26,""close"",FO$2,TODAY()),2,2))"),"")</f>
        <v/>
      </c>
      <c r="FP26" s="1" t="str">
        <f ca="1">IFERROR(__xludf.DUMMYFUNCTION("if(FP$2="""","""", index(GOOGLEFINANCE($B$26,""close"",FP$2,TODAY()),2,2))"),"")</f>
        <v/>
      </c>
      <c r="FQ26" s="1" t="str">
        <f ca="1">IFERROR(__xludf.DUMMYFUNCTION("if(FQ$2="""","""", index(GOOGLEFINANCE($B$26,""close"",FQ$2,TODAY()),2,2))"),"")</f>
        <v/>
      </c>
      <c r="FR26" s="1" t="str">
        <f ca="1">IFERROR(__xludf.DUMMYFUNCTION("if(FR$2="""","""", index(GOOGLEFINANCE($B$26,""close"",FR$2,TODAY()),2,2))"),"")</f>
        <v/>
      </c>
      <c r="FS26" s="1" t="str">
        <f ca="1">IFERROR(__xludf.DUMMYFUNCTION("if(FS$2="""","""", index(GOOGLEFINANCE($B$26,""close"",FS$2,TODAY()),2,2))"),"")</f>
        <v/>
      </c>
      <c r="FT26" s="1" t="str">
        <f ca="1">IFERROR(__xludf.DUMMYFUNCTION("if(FT$2="""","""", index(GOOGLEFINANCE($B$26,""close"",FT$2,TODAY()),2,2))"),"")</f>
        <v/>
      </c>
      <c r="FU26" s="1" t="str">
        <f ca="1">IFERROR(__xludf.DUMMYFUNCTION("if(FU$2="""","""", index(GOOGLEFINANCE($B$26,""close"",FU$2,TODAY()),2,2))"),"")</f>
        <v/>
      </c>
      <c r="FV26" s="1" t="str">
        <f ca="1">IFERROR(__xludf.DUMMYFUNCTION("if(FV$2="""","""", index(GOOGLEFINANCE($B$26,""close"",FV$2,TODAY()),2,2))"),"")</f>
        <v/>
      </c>
      <c r="FW26" s="1" t="str">
        <f ca="1">IFERROR(__xludf.DUMMYFUNCTION("if(FW$2="""","""", index(GOOGLEFINANCE($B$26,""close"",FW$2,TODAY()),2,2))"),"")</f>
        <v/>
      </c>
      <c r="FX26" s="1" t="str">
        <f ca="1">IFERROR(__xludf.DUMMYFUNCTION("if(FX$2="""","""", index(GOOGLEFINANCE($B$26,""close"",FX$2,TODAY()),2,2))"),"")</f>
        <v/>
      </c>
      <c r="FY26" s="1" t="str">
        <f ca="1">IFERROR(__xludf.DUMMYFUNCTION("if(FY$2="""","""", index(GOOGLEFINANCE($B$26,""close"",FY$2,TODAY()),2,2))"),"")</f>
        <v/>
      </c>
      <c r="FZ26" s="1" t="str">
        <f ca="1">IFERROR(__xludf.DUMMYFUNCTION("if(FZ$2="""","""", index(GOOGLEFINANCE($B$26,""close"",FZ$2,TODAY()),2,2))"),"")</f>
        <v/>
      </c>
      <c r="GA26" s="1" t="str">
        <f ca="1">IFERROR(__xludf.DUMMYFUNCTION("if(GA$2="""","""", index(GOOGLEFINANCE($B$26,""close"",GA$2,TODAY()),2,2))"),"")</f>
        <v/>
      </c>
      <c r="GB26" s="1" t="str">
        <f ca="1">IFERROR(__xludf.DUMMYFUNCTION("if(GB$2="""","""", index(GOOGLEFINANCE($B$26,""close"",GB$2,TODAY()),2,2))"),"")</f>
        <v/>
      </c>
      <c r="GC26" s="1" t="str">
        <f ca="1">IFERROR(__xludf.DUMMYFUNCTION("if(GC$2="""","""", index(GOOGLEFINANCE($B$26,""close"",GC$2,TODAY()),2,2))"),"")</f>
        <v/>
      </c>
      <c r="GD26" s="1" t="str">
        <f ca="1">IFERROR(__xludf.DUMMYFUNCTION("if(GD$2="""","""", index(GOOGLEFINANCE($B$26,""close"",GD$2,TODAY()),2,2))"),"")</f>
        <v/>
      </c>
      <c r="GE26" s="1" t="str">
        <f ca="1">IFERROR(__xludf.DUMMYFUNCTION("if(GE$2="""","""", index(GOOGLEFINANCE($B$26,""close"",GE$2,TODAY()),2,2))"),"")</f>
        <v/>
      </c>
      <c r="GF26" s="1" t="str">
        <f ca="1">IFERROR(__xludf.DUMMYFUNCTION("if(GF$2="""","""", index(GOOGLEFINANCE($B$26,""close"",GF$2,TODAY()),2,2))"),"")</f>
        <v/>
      </c>
      <c r="GG26" s="1" t="str">
        <f ca="1">IFERROR(__xludf.DUMMYFUNCTION("if(GG$2="""","""", index(GOOGLEFINANCE($B$26,""close"",GG$2,TODAY()),2,2))"),"")</f>
        <v/>
      </c>
      <c r="GH26" s="1" t="str">
        <f ca="1">IFERROR(__xludf.DUMMYFUNCTION("if(GH$2="""","""", index(GOOGLEFINANCE($B$26,""close"",GH$2,TODAY()),2,2))"),"")</f>
        <v/>
      </c>
      <c r="GI26" s="1" t="str">
        <f ca="1">IFERROR(__xludf.DUMMYFUNCTION("if(GI$2="""","""", index(GOOGLEFINANCE($B$26,""close"",GI$2,TODAY()),2,2))"),"")</f>
        <v/>
      </c>
      <c r="GJ26" s="1" t="str">
        <f ca="1">IFERROR(__xludf.DUMMYFUNCTION("if(GJ$2="""","""", index(GOOGLEFINANCE($B$26,""close"",GJ$2,TODAY()),2,2))"),"")</f>
        <v/>
      </c>
      <c r="GK26" s="1" t="str">
        <f ca="1">IFERROR(__xludf.DUMMYFUNCTION("if(GK$2="""","""", index(GOOGLEFINANCE($B$26,""close"",GK$2,TODAY()),2,2))"),"")</f>
        <v/>
      </c>
      <c r="GL26" s="1" t="str">
        <f ca="1">IFERROR(__xludf.DUMMYFUNCTION("if(GL$2="""","""", index(GOOGLEFINANCE($B$26,""close"",GL$2,TODAY()),2,2))"),"")</f>
        <v/>
      </c>
      <c r="GM26" s="1" t="str">
        <f ca="1">IFERROR(__xludf.DUMMYFUNCTION("if(GM$2="""","""", index(GOOGLEFINANCE($B$26,""close"",GM$2,TODAY()),2,2))"),"")</f>
        <v/>
      </c>
      <c r="GN26" s="1" t="str">
        <f ca="1">IFERROR(__xludf.DUMMYFUNCTION("if(GN$2="""","""", index(GOOGLEFINANCE($B$26,""close"",GN$2,TODAY()),2,2))"),"")</f>
        <v/>
      </c>
      <c r="GO26" s="1" t="str">
        <f ca="1">IFERROR(__xludf.DUMMYFUNCTION("if(GO$2="""","""", index(GOOGLEFINANCE($B$26,""close"",GO$2,TODAY()),2,2))"),"")</f>
        <v/>
      </c>
      <c r="GP26" s="1" t="str">
        <f ca="1">IFERROR(__xludf.DUMMYFUNCTION("if(GP$2="""","""", index(GOOGLEFINANCE($B$26,""close"",GP$2,TODAY()),2,2))"),"")</f>
        <v/>
      </c>
      <c r="GQ26" s="1" t="str">
        <f ca="1">IFERROR(__xludf.DUMMYFUNCTION("if(GQ$2="""","""", index(GOOGLEFINANCE($B$26,""close"",GQ$2,TODAY()),2,2))"),"")</f>
        <v/>
      </c>
      <c r="GR26" s="1" t="str">
        <f ca="1">IFERROR(__xludf.DUMMYFUNCTION("if(GR$2="""","""", index(GOOGLEFINANCE($B$26,""close"",GR$2,TODAY()),2,2))"),"")</f>
        <v/>
      </c>
      <c r="GS26" s="1" t="str">
        <f ca="1">IFERROR(__xludf.DUMMYFUNCTION("if(GS$2="""","""", index(GOOGLEFINANCE($B$26,""close"",GS$2,TODAY()),2,2))"),"")</f>
        <v/>
      </c>
      <c r="GT26" s="1" t="str">
        <f ca="1">IFERROR(__xludf.DUMMYFUNCTION("if(GT$2="""","""", index(GOOGLEFINANCE($B$26,""close"",GT$2,TODAY()),2,2))"),"")</f>
        <v/>
      </c>
      <c r="GU26" s="1" t="str">
        <f ca="1">IFERROR(__xludf.DUMMYFUNCTION("if(GU$2="""","""", index(GOOGLEFINANCE($B$26,""close"",GU$2,TODAY()),2,2))"),"")</f>
        <v/>
      </c>
      <c r="GV26" s="1" t="str">
        <f ca="1">IFERROR(__xludf.DUMMYFUNCTION("if(GV$2="""","""", index(GOOGLEFINANCE($B$26,""close"",GV$2,TODAY()),2,2))"),"")</f>
        <v/>
      </c>
      <c r="GW26" s="1" t="str">
        <f ca="1">IFERROR(__xludf.DUMMYFUNCTION("if(GW$2="""","""", index(GOOGLEFINANCE($B$26,""close"",GW$2,TODAY()),2,2))"),"")</f>
        <v/>
      </c>
      <c r="GX26" s="1" t="str">
        <f ca="1">IFERROR(__xludf.DUMMYFUNCTION("if(GX$2="""","""", index(GOOGLEFINANCE($B$26,""close"",GX$2,TODAY()),2,2))"),"")</f>
        <v/>
      </c>
      <c r="GY26" s="1" t="str">
        <f ca="1">IFERROR(__xludf.DUMMYFUNCTION("if(GY$2="""","""", index(GOOGLEFINANCE($B$26,""close"",GY$2,TODAY()),2,2))"),"")</f>
        <v/>
      </c>
      <c r="GZ26" s="1" t="str">
        <f ca="1">IFERROR(__xludf.DUMMYFUNCTION("if(GZ$2="""","""", index(GOOGLEFINANCE($B$26,""close"",GZ$2,TODAY()),2,2))"),"")</f>
        <v/>
      </c>
      <c r="HA26" s="1" t="str">
        <f ca="1">IFERROR(__xludf.DUMMYFUNCTION("if(HA$2="""","""", index(GOOGLEFINANCE($B$26,""close"",HA$2,TODAY()),2,2))"),"")</f>
        <v/>
      </c>
      <c r="HB26" s="1" t="str">
        <f ca="1">IFERROR(__xludf.DUMMYFUNCTION("if(HB$2="""","""", index(GOOGLEFINANCE($B$26,""close"",HB$2,TODAY()),2,2))"),"")</f>
        <v/>
      </c>
      <c r="HC26" s="1" t="str">
        <f ca="1">IFERROR(__xludf.DUMMYFUNCTION("if(HC$2="""","""", index(GOOGLEFINANCE($B$26,""close"",HC$2,TODAY()),2,2))"),"")</f>
        <v/>
      </c>
      <c r="HD26" s="1" t="str">
        <f ca="1">IFERROR(__xludf.DUMMYFUNCTION("if(HD$2="""","""", index(GOOGLEFINANCE($B$26,""close"",HD$2,TODAY()),2,2))"),"")</f>
        <v/>
      </c>
      <c r="HE26" s="1" t="str">
        <f ca="1">IFERROR(__xludf.DUMMYFUNCTION("if(HE$2="""","""", index(GOOGLEFINANCE($B$26,""close"",HE$2,TODAY()),2,2))"),"")</f>
        <v/>
      </c>
      <c r="HF26" s="1" t="str">
        <f ca="1">IFERROR(__xludf.DUMMYFUNCTION("if(HF$2="""","""", index(GOOGLEFINANCE($B$26,""close"",HF$2,TODAY()),2,2))"),"")</f>
        <v/>
      </c>
      <c r="HG26" s="1" t="str">
        <f ca="1">IFERROR(__xludf.DUMMYFUNCTION("if(HG$2="""","""", index(GOOGLEFINANCE($B$26,""close"",HG$2,TODAY()),2,2))"),"")</f>
        <v/>
      </c>
      <c r="HH26" s="1" t="str">
        <f ca="1">IFERROR(__xludf.DUMMYFUNCTION("if(HH$2="""","""", index(GOOGLEFINANCE($B$26,""close"",HH$2,TODAY()),2,2))"),"")</f>
        <v/>
      </c>
      <c r="HI26" s="1" t="str">
        <f ca="1">IFERROR(__xludf.DUMMYFUNCTION("if(HI$2="""","""", index(GOOGLEFINANCE($B$26,""close"",HI$2,TODAY()),2,2))"),"")</f>
        <v/>
      </c>
      <c r="HJ26" s="1" t="str">
        <f ca="1">IFERROR(__xludf.DUMMYFUNCTION("if(HJ$2="""","""", index(GOOGLEFINANCE($B$26,""close"",HJ$2,TODAY()),2,2))"),"")</f>
        <v/>
      </c>
      <c r="HK26" s="1" t="str">
        <f ca="1">IFERROR(__xludf.DUMMYFUNCTION("if(HK$2="""","""", index(GOOGLEFINANCE($B$26,""close"",HK$2,TODAY()),2,2))"),"")</f>
        <v/>
      </c>
      <c r="HL26" s="1" t="str">
        <f ca="1">IFERROR(__xludf.DUMMYFUNCTION("if(HL$2="""","""", index(GOOGLEFINANCE($B$26,""close"",HL$2,TODAY()),2,2))"),"")</f>
        <v/>
      </c>
      <c r="HM26" s="1" t="str">
        <f ca="1">IFERROR(__xludf.DUMMYFUNCTION("if(HM$2="""","""", index(GOOGLEFINANCE($B$26,""close"",HM$2,TODAY()),2,2))"),"")</f>
        <v/>
      </c>
      <c r="HN26" s="1" t="str">
        <f ca="1">IFERROR(__xludf.DUMMYFUNCTION("if(HN$2="""","""", index(GOOGLEFINANCE($B$26,""close"",HN$2,TODAY()),2,2))"),"")</f>
        <v/>
      </c>
      <c r="HO26" s="1" t="str">
        <f ca="1">IFERROR(__xludf.DUMMYFUNCTION("if(HO$2="""","""", index(GOOGLEFINANCE($B$26,""close"",HO$2,TODAY()),2,2))"),"")</f>
        <v/>
      </c>
      <c r="HP26" s="1" t="str">
        <f ca="1">IFERROR(__xludf.DUMMYFUNCTION("if(HP$2="""","""", index(GOOGLEFINANCE($B$26,""close"",HP$2,TODAY()),2,2))"),"")</f>
        <v/>
      </c>
      <c r="HQ26" s="1" t="str">
        <f ca="1">IFERROR(__xludf.DUMMYFUNCTION("if(HQ$2="""","""", index(GOOGLEFINANCE($B$26,""close"",HQ$2,TODAY()),2,2))"),"")</f>
        <v/>
      </c>
      <c r="HR26" s="1" t="str">
        <f ca="1">IFERROR(__xludf.DUMMYFUNCTION("if(HR$2="""","""", index(GOOGLEFINANCE($B$26,""close"",HR$2,TODAY()),2,2))"),"")</f>
        <v/>
      </c>
      <c r="HS26" s="1" t="str">
        <f ca="1">IFERROR(__xludf.DUMMYFUNCTION("if(HS$2="""","""", index(GOOGLEFINANCE($B$26,""close"",HS$2,TODAY()),2,2))"),"")</f>
        <v/>
      </c>
      <c r="HT26" s="1" t="str">
        <f ca="1">IFERROR(__xludf.DUMMYFUNCTION("if(HT$2="""","""", index(GOOGLEFINANCE($B$26,""close"",HT$2,TODAY()),2,2))"),"")</f>
        <v/>
      </c>
      <c r="HU26" s="1" t="str">
        <f ca="1">IFERROR(__xludf.DUMMYFUNCTION("if(HU$2="""","""", index(GOOGLEFINANCE($B$26,""close"",HU$2,TODAY()),2,2))"),"")</f>
        <v/>
      </c>
      <c r="HV26" s="1" t="str">
        <f ca="1">IFERROR(__xludf.DUMMYFUNCTION("if(HV$2="""","""", index(GOOGLEFINANCE($B$26,""close"",HV$2,TODAY()),2,2))"),"")</f>
        <v/>
      </c>
      <c r="HW26" s="1" t="str">
        <f ca="1">IFERROR(__xludf.DUMMYFUNCTION("if(HW$2="""","""", index(GOOGLEFINANCE($B$26,""close"",HW$2,TODAY()),2,2))"),"")</f>
        <v/>
      </c>
      <c r="HX26" s="1" t="str">
        <f ca="1">IFERROR(__xludf.DUMMYFUNCTION("if(HX$2="""","""", index(GOOGLEFINANCE($B$26,""close"",HX$2,TODAY()),2,2))"),"")</f>
        <v/>
      </c>
      <c r="HY26" s="1" t="str">
        <f ca="1">IFERROR(__xludf.DUMMYFUNCTION("if(HY$2="""","""", index(GOOGLEFINANCE($B$26,""close"",HY$2,TODAY()),2,2))"),"")</f>
        <v/>
      </c>
      <c r="HZ26" s="1" t="str">
        <f ca="1">IFERROR(__xludf.DUMMYFUNCTION("if(HZ$2="""","""", index(GOOGLEFINANCE($B$26,""close"",HZ$2,TODAY()),2,2))"),"")</f>
        <v/>
      </c>
      <c r="IA26" s="1" t="str">
        <f ca="1">IFERROR(__xludf.DUMMYFUNCTION("if(IA$2="""","""", index(GOOGLEFINANCE($B$26,""close"",IA$2,TODAY()),2,2))"),"")</f>
        <v/>
      </c>
      <c r="IB26" s="1" t="str">
        <f ca="1">IFERROR(__xludf.DUMMYFUNCTION("if(IB$2="""","""", index(GOOGLEFINANCE($B$26,""close"",IB$2,TODAY()),2,2))"),"")</f>
        <v/>
      </c>
      <c r="IC26" s="1" t="str">
        <f ca="1">IFERROR(__xludf.DUMMYFUNCTION("if(IC$2="""","""", index(GOOGLEFINANCE($B$26,""close"",IC$2,TODAY()),2,2))"),"")</f>
        <v/>
      </c>
      <c r="ID26" s="1" t="str">
        <f ca="1">IFERROR(__xludf.DUMMYFUNCTION("if(ID$2="""","""", index(GOOGLEFINANCE($B$26,""close"",ID$2,TODAY()),2,2))"),"")</f>
        <v/>
      </c>
      <c r="IE26" s="1" t="str">
        <f ca="1">IFERROR(__xludf.DUMMYFUNCTION("if(IE$2="""","""", index(GOOGLEFINANCE($B$26,""close"",IE$2,TODAY()),2,2))"),"")</f>
        <v/>
      </c>
      <c r="IF26" s="1" t="str">
        <f ca="1">IFERROR(__xludf.DUMMYFUNCTION("if(IF$2="""","""", index(GOOGLEFINANCE($B$26,""close"",IF$2,TODAY()),2,2))"),"")</f>
        <v/>
      </c>
      <c r="IG26" s="1" t="str">
        <f ca="1">IFERROR(__xludf.DUMMYFUNCTION("if(IG$2="""","""", index(GOOGLEFINANCE($B$26,""close"",IG$2,TODAY()),2,2))"),"")</f>
        <v/>
      </c>
      <c r="IH26" s="1" t="str">
        <f ca="1">IFERROR(__xludf.DUMMYFUNCTION("if(IH$2="""","""", index(GOOGLEFINANCE($B$26,""close"",IH$2,TODAY()),2,2))"),"")</f>
        <v/>
      </c>
      <c r="II26" s="1" t="str">
        <f ca="1">IFERROR(__xludf.DUMMYFUNCTION("if(II$2="""","""", index(GOOGLEFINANCE($B$26,""close"",II$2,TODAY()),2,2))"),"")</f>
        <v/>
      </c>
      <c r="IJ26" s="1" t="str">
        <f ca="1">IFERROR(__xludf.DUMMYFUNCTION("if(IJ$2="""","""", index(GOOGLEFINANCE($B$26,""close"",IJ$2,TODAY()),2,2))"),"")</f>
        <v/>
      </c>
      <c r="IK26" s="1" t="str">
        <f ca="1">IFERROR(__xludf.DUMMYFUNCTION("if(IK$2="""","""", index(GOOGLEFINANCE($B$26,""close"",IK$2,TODAY()),2,2))"),"")</f>
        <v/>
      </c>
      <c r="IL26" s="1" t="str">
        <f ca="1">IFERROR(__xludf.DUMMYFUNCTION("if(IL$2="""","""", index(GOOGLEFINANCE($B$26,""close"",IL$2,TODAY()),2,2))"),"")</f>
        <v/>
      </c>
      <c r="IM26" s="1" t="str">
        <f ca="1">IFERROR(__xludf.DUMMYFUNCTION("if(IM$2="""","""", index(GOOGLEFINANCE($B$26,""close"",IM$2,TODAY()),2,2))"),"")</f>
        <v/>
      </c>
      <c r="IN26" s="1" t="str">
        <f ca="1">IFERROR(__xludf.DUMMYFUNCTION("if(IN$2="""","""", index(GOOGLEFINANCE($B$26,""close"",IN$2,TODAY()),2,2))"),"")</f>
        <v/>
      </c>
      <c r="IO26" s="1" t="str">
        <f ca="1">IFERROR(__xludf.DUMMYFUNCTION("if(IO$2="""","""", index(GOOGLEFINANCE($B$26,""close"",IO$2,TODAY()),2,2))"),"")</f>
        <v/>
      </c>
      <c r="IP26" s="1" t="str">
        <f ca="1">IFERROR(__xludf.DUMMYFUNCTION("if(IP$2="""","""", index(GOOGLEFINANCE($B$26,""close"",IP$2,TODAY()),2,2))"),"")</f>
        <v/>
      </c>
      <c r="IQ26" s="1" t="str">
        <f ca="1">IFERROR(__xludf.DUMMYFUNCTION("if(IQ$2="""","""", index(GOOGLEFINANCE($B$26,""close"",IQ$2,TODAY()),2,2))"),"")</f>
        <v/>
      </c>
      <c r="IR26" s="1" t="str">
        <f ca="1">IFERROR(__xludf.DUMMYFUNCTION("if(IR$2="""","""", index(GOOGLEFINANCE($B$26,""close"",IR$2,TODAY()),2,2))"),"")</f>
        <v/>
      </c>
      <c r="IS26" s="1" t="str">
        <f ca="1">IFERROR(__xludf.DUMMYFUNCTION("if(IS$2="""","""", index(GOOGLEFINANCE($B$26,""close"",IS$2,TODAY()),2,2))"),"")</f>
        <v/>
      </c>
      <c r="IT26" s="1" t="str">
        <f ca="1">IFERROR(__xludf.DUMMYFUNCTION("if(IT$2="""","""", index(GOOGLEFINANCE($B$26,""close"",IT$2,TODAY()),2,2))"),"")</f>
        <v/>
      </c>
      <c r="IU26" s="1" t="str">
        <f ca="1">IFERROR(__xludf.DUMMYFUNCTION("if(IU$2="""","""", index(GOOGLEFINANCE($B$26,""close"",IU$2,TODAY()),2,2))"),"")</f>
        <v/>
      </c>
      <c r="IV26" s="1" t="str">
        <f ca="1">IFERROR(__xludf.DUMMYFUNCTION("if(IV$2="""","""", index(GOOGLEFINANCE($B$26,""close"",IV$2,TODAY()),2,2))"),"")</f>
        <v/>
      </c>
      <c r="IW26" s="1" t="str">
        <f ca="1">IFERROR(__xludf.DUMMYFUNCTION("if(IW$2="""","""", index(GOOGLEFINANCE($B$26,""close"",IW$2,TODAY()),2,2))"),"")</f>
        <v/>
      </c>
      <c r="IX26" s="1" t="str">
        <f ca="1">IFERROR(__xludf.DUMMYFUNCTION("if(IX$2="""","""", index(GOOGLEFINANCE($B$26,""close"",IX$2,TODAY()),2,2))"),"")</f>
        <v/>
      </c>
      <c r="IY26" s="1" t="str">
        <f ca="1">IFERROR(__xludf.DUMMYFUNCTION("if(IY$2="""","""", index(GOOGLEFINANCE($B$26,""close"",IY$2,TODAY()),2,2))"),"")</f>
        <v/>
      </c>
      <c r="IZ26" s="1" t="str">
        <f ca="1">IFERROR(__xludf.DUMMYFUNCTION("if(IZ$2="""","""", index(GOOGLEFINANCE($B$26,""close"",IZ$2,TODAY()),2,2))"),"")</f>
        <v/>
      </c>
      <c r="JA26" s="1" t="str">
        <f ca="1">IFERROR(__xludf.DUMMYFUNCTION("if(JA$2="""","""", index(GOOGLEFINANCE($B$26,""close"",JA$2,TODAY()),2,2))"),"")</f>
        <v/>
      </c>
      <c r="JB26" s="1" t="str">
        <f ca="1">IFERROR(__xludf.DUMMYFUNCTION("if(JB$2="""","""", index(GOOGLEFINANCE($B$26,""close"",JB$2,TODAY()),2,2))"),"")</f>
        <v/>
      </c>
      <c r="JC26" s="1" t="str">
        <f ca="1">IFERROR(__xludf.DUMMYFUNCTION("if(JC$2="""","""", index(GOOGLEFINANCE($B$26,""close"",JC$2,TODAY()),2,2))"),"")</f>
        <v/>
      </c>
      <c r="JD26" s="1" t="str">
        <f ca="1">IFERROR(__xludf.DUMMYFUNCTION("if(JD$2="""","""", index(GOOGLEFINANCE($B$26,""close"",JD$2,TODAY()),2,2))"),"")</f>
        <v/>
      </c>
      <c r="JE26" s="1" t="str">
        <f ca="1">IFERROR(__xludf.DUMMYFUNCTION("if(JE$2="""","""", index(GOOGLEFINANCE($B$26,""close"",JE$2,TODAY()),2,2))"),"")</f>
        <v/>
      </c>
      <c r="JF26" s="1" t="str">
        <f ca="1">IFERROR(__xludf.DUMMYFUNCTION("if(JF$2="""","""", index(GOOGLEFINANCE($B$26,""close"",JF$2,TODAY()),2,2))"),"")</f>
        <v/>
      </c>
      <c r="JG26" s="1" t="str">
        <f ca="1">IFERROR(__xludf.DUMMYFUNCTION("if(JG$2="""","""", index(GOOGLEFINANCE($B$26,""close"",JG$2,TODAY()),2,2))"),"")</f>
        <v/>
      </c>
      <c r="JH26" s="1" t="str">
        <f ca="1">IFERROR(__xludf.DUMMYFUNCTION("if(JH$2="""","""", index(GOOGLEFINANCE($B$26,""close"",JH$2,TODAY()),2,2))"),"")</f>
        <v/>
      </c>
      <c r="JI26" s="1" t="str">
        <f ca="1">IFERROR(__xludf.DUMMYFUNCTION("if(JI$2="""","""", index(GOOGLEFINANCE($B$26,""close"",JI$2,TODAY()),2,2))"),"")</f>
        <v/>
      </c>
      <c r="JJ26" s="1" t="str">
        <f ca="1">IFERROR(__xludf.DUMMYFUNCTION("if(JJ$2="""","""", index(GOOGLEFINANCE($B$26,""close"",JJ$2,TODAY()),2,2))"),"")</f>
        <v/>
      </c>
      <c r="JK26" s="1" t="str">
        <f ca="1">IFERROR(__xludf.DUMMYFUNCTION("if(JK$2="""","""", index(GOOGLEFINANCE($B$26,""close"",JK$2,TODAY()),2,2))"),"")</f>
        <v/>
      </c>
      <c r="JL26" s="1" t="str">
        <f ca="1">IFERROR(__xludf.DUMMYFUNCTION("if(JL$2="""","""", index(GOOGLEFINANCE($B$26,""close"",JL$2,TODAY()),2,2))"),"")</f>
        <v/>
      </c>
      <c r="JM26" s="1" t="str">
        <f ca="1">IFERROR(__xludf.DUMMYFUNCTION("if(JM$2="""","""", index(GOOGLEFINANCE($B$26,""close"",JM$2,TODAY()),2,2))"),"")</f>
        <v/>
      </c>
      <c r="JN26" s="1" t="str">
        <f ca="1">IFERROR(__xludf.DUMMYFUNCTION("if(JN$2="""","""", index(GOOGLEFINANCE($B$26,""close"",JN$2,TODAY()),2,2))"),"")</f>
        <v/>
      </c>
      <c r="JO26" s="1" t="str">
        <f ca="1">IFERROR(__xludf.DUMMYFUNCTION("if(JO$2="""","""", index(GOOGLEFINANCE($B$26,""close"",JO$2,TODAY()),2,2))"),"")</f>
        <v/>
      </c>
      <c r="JP26" s="1" t="str">
        <f ca="1">IFERROR(__xludf.DUMMYFUNCTION("if(JP$2="""","""", index(GOOGLEFINANCE($B$26,""close"",JP$2,TODAY()),2,2))"),"")</f>
        <v/>
      </c>
      <c r="JQ26" s="1" t="str">
        <f ca="1">IFERROR(__xludf.DUMMYFUNCTION("if(JQ$2="""","""", index(GOOGLEFINANCE($B$26,""close"",JQ$2,TODAY()),2,2))"),"")</f>
        <v/>
      </c>
      <c r="JR26" s="1" t="str">
        <f ca="1">IFERROR(__xludf.DUMMYFUNCTION("if(JR$2="""","""", index(GOOGLEFINANCE($B$26,""close"",JR$2,TODAY()),2,2))"),"")</f>
        <v/>
      </c>
      <c r="JS26" s="1" t="str">
        <f ca="1">IFERROR(__xludf.DUMMYFUNCTION("if(JS$2="""","""", index(GOOGLEFINANCE($B$26,""close"",JS$2,TODAY()),2,2))"),"")</f>
        <v/>
      </c>
      <c r="JT26" s="1" t="str">
        <f ca="1">IFERROR(__xludf.DUMMYFUNCTION("if(JT$2="""","""", index(GOOGLEFINANCE($B$26,""close"",JT$2,TODAY()),2,2))"),"")</f>
        <v/>
      </c>
      <c r="JU26" s="1" t="str">
        <f ca="1">IFERROR(__xludf.DUMMYFUNCTION("if(JU$2="""","""", index(GOOGLEFINANCE($B$26,""close"",JU$2,TODAY()),2,2))"),"")</f>
        <v/>
      </c>
      <c r="JV26" s="1" t="str">
        <f ca="1">IFERROR(__xludf.DUMMYFUNCTION("if(JV$2="""","""", index(GOOGLEFINANCE($B$26,""close"",JV$2,TODAY()),2,2))"),"")</f>
        <v/>
      </c>
      <c r="JW26" s="1" t="str">
        <f ca="1">IFERROR(__xludf.DUMMYFUNCTION("if(JW$2="""","""", index(GOOGLEFINANCE($B$26,""close"",JW$2,TODAY()),2,2))"),"")</f>
        <v/>
      </c>
      <c r="JX26" s="1" t="str">
        <f ca="1">IFERROR(__xludf.DUMMYFUNCTION("if(JX$2="""","""", index(GOOGLEFINANCE($B$26,""close"",JX$2,TODAY()),2,2))"),"")</f>
        <v/>
      </c>
      <c r="JY26" s="1" t="str">
        <f ca="1">IFERROR(__xludf.DUMMYFUNCTION("if(JY$2="""","""", index(GOOGLEFINANCE($B$26,""close"",JY$2,TODAY()),2,2))"),"")</f>
        <v/>
      </c>
      <c r="JZ26" s="1" t="str">
        <f ca="1">IFERROR(__xludf.DUMMYFUNCTION("if(JZ$2="""","""", index(GOOGLEFINANCE($B$26,""close"",JZ$2,TODAY()),2,2))"),"")</f>
        <v/>
      </c>
      <c r="KA26" s="1" t="str">
        <f ca="1">IFERROR(__xludf.DUMMYFUNCTION("if(KA$2="""","""", index(GOOGLEFINANCE($B$26,""close"",KA$2,TODAY()),2,2))"),"")</f>
        <v/>
      </c>
      <c r="KB26" s="1" t="str">
        <f ca="1">IFERROR(__xludf.DUMMYFUNCTION("if(KB$2="""","""", index(GOOGLEFINANCE($B$26,""close"",KB$2,TODAY()),2,2))"),"")</f>
        <v/>
      </c>
      <c r="KC26" s="1" t="str">
        <f ca="1">IFERROR(__xludf.DUMMYFUNCTION("if(KC$2="""","""", index(GOOGLEFINANCE($B$26,""close"",KC$2,TODAY()),2,2))"),"")</f>
        <v/>
      </c>
      <c r="KD26" s="1" t="str">
        <f ca="1">IFERROR(__xludf.DUMMYFUNCTION("if(KD$2="""","""", index(GOOGLEFINANCE($B$26,""close"",KD$2,TODAY()),2,2))"),"")</f>
        <v/>
      </c>
      <c r="KE26" s="1" t="str">
        <f ca="1">IFERROR(__xludf.DUMMYFUNCTION("if(KE$2="""","""", index(GOOGLEFINANCE($B$26,""close"",KE$2,TODAY()),2,2))"),"")</f>
        <v/>
      </c>
      <c r="KF26" s="1" t="str">
        <f ca="1">IFERROR(__xludf.DUMMYFUNCTION("if(KF$2="""","""", index(GOOGLEFINANCE($B$26,""close"",KF$2,TODAY()),2,2))"),"")</f>
        <v/>
      </c>
      <c r="KG26" s="1" t="str">
        <f ca="1">IFERROR(__xludf.DUMMYFUNCTION("if(KG$2="""","""", index(GOOGLEFINANCE($B$26,""close"",KG$2,TODAY()),2,2))"),"")</f>
        <v/>
      </c>
    </row>
    <row r="27" spans="1:293" ht="15.75" customHeight="1">
      <c r="A27" s="18" t="s">
        <v>30</v>
      </c>
      <c r="B27" s="6" t="s">
        <v>70</v>
      </c>
      <c r="C27" s="1">
        <f ca="1">IFERROR(__xludf.DUMMYFUNCTION("if(C$2="""","""", index(GOOGLEFINANCE($B$27,""close"",C$2,TODAY()),2,2))"),28.08)</f>
        <v>28.08</v>
      </c>
      <c r="D27" s="1">
        <f ca="1">IFERROR(__xludf.DUMMYFUNCTION("if(D$2="""","""", index(GOOGLEFINANCE($B$27,""close"",D$2,TODAY()),2,2))"),28.69)</f>
        <v>28.69</v>
      </c>
      <c r="E27" s="1">
        <f ca="1">IFERROR(__xludf.DUMMYFUNCTION("if(E$2="""","""", index(GOOGLEFINANCE($B$27,""close"",E$2,TODAY()),2,2))"),28.12)</f>
        <v>28.12</v>
      </c>
      <c r="F27" s="1">
        <f ca="1">IFERROR(__xludf.DUMMYFUNCTION("if(F$2="""","""", index(GOOGLEFINANCE($B$27,""close"",F$2,TODAY()),2,2))"),28.49)</f>
        <v>28.49</v>
      </c>
      <c r="G27" s="1">
        <f ca="1">IFERROR(__xludf.DUMMYFUNCTION("if(G$2="""","""", index(GOOGLEFINANCE($B$27,""close"",G$2,TODAY()),2,2))"),28)</f>
        <v>28</v>
      </c>
      <c r="H27" s="1">
        <f ca="1">IFERROR(__xludf.DUMMYFUNCTION("if(H$2="""","""", index(GOOGLEFINANCE($B$27,""close"",H$2,TODAY()),2,2))"),27.67)</f>
        <v>27.67</v>
      </c>
      <c r="I27" s="1">
        <f ca="1">IFERROR(__xludf.DUMMYFUNCTION("if(I$2="""","""", index(GOOGLEFINANCE($B$27,""close"",I$2,TODAY()),2,2))"),27.8)</f>
        <v>27.8</v>
      </c>
      <c r="J27" s="1">
        <f ca="1">IFERROR(__xludf.DUMMYFUNCTION("if(J$2="""","""", index(GOOGLEFINANCE($B$27,""close"",J$2,TODAY()),2,2))"),27.84)</f>
        <v>27.84</v>
      </c>
      <c r="K27" s="1">
        <f ca="1">IFERROR(__xludf.DUMMYFUNCTION("if(K$2="""","""", index(GOOGLEFINANCE($B$27,""close"",K$2,TODAY()),2,2))"),28.17)</f>
        <v>28.17</v>
      </c>
      <c r="L27" s="1">
        <f ca="1">IFERROR(__xludf.DUMMYFUNCTION("if(L$2="""","""", index(GOOGLEFINANCE($B$27,""close"",L$2,TODAY()),2,2))"),29)</f>
        <v>29</v>
      </c>
      <c r="M27" s="1">
        <f ca="1">IFERROR(__xludf.DUMMYFUNCTION("if(M$2="""","""", index(GOOGLEFINANCE($B$27,""close"",M$2,TODAY()),2,2))"),27.95)</f>
        <v>27.95</v>
      </c>
      <c r="N27" s="1">
        <f ca="1">IFERROR(__xludf.DUMMYFUNCTION("if(N$2="""","""", index(GOOGLEFINANCE($B$27,""close"",N$2,TODAY()),2,2))"),27.28)</f>
        <v>27.28</v>
      </c>
      <c r="O27" s="1">
        <f ca="1">IFERROR(__xludf.DUMMYFUNCTION("if(O$2="""","""", index(GOOGLEFINANCE($B$27,""close"",O$2,TODAY()),2,2))"),27.25)</f>
        <v>27.25</v>
      </c>
      <c r="P27" s="1">
        <f ca="1">IFERROR(__xludf.DUMMYFUNCTION("if(P$2="""","""", index(GOOGLEFINANCE($B$27,""close"",P$2,TODAY()),2,2))"),26.9)</f>
        <v>26.9</v>
      </c>
      <c r="Q27" s="1">
        <f ca="1">IFERROR(__xludf.DUMMYFUNCTION("if(Q$2="""","""", index(GOOGLEFINANCE($B$27,""close"",Q$2,TODAY()),2,2))"),27.18)</f>
        <v>27.18</v>
      </c>
      <c r="R27" s="1">
        <f ca="1">IFERROR(__xludf.DUMMYFUNCTION("if(R$2="""","""", index(GOOGLEFINANCE($B$27,""close"",R$2,TODAY()),2,2))"),26.98)</f>
        <v>26.98</v>
      </c>
      <c r="S27" s="1">
        <f ca="1">IFERROR(__xludf.DUMMYFUNCTION("if(S$2="""","""", index(GOOGLEFINANCE($B$27,""close"",S$2,TODAY()),2,2))"),27.28)</f>
        <v>27.28</v>
      </c>
      <c r="T27" s="1">
        <f ca="1">IFERROR(__xludf.DUMMYFUNCTION("if(T$2="""","""", index(GOOGLEFINANCE($B$27,""close"",T$2,TODAY()),2,2))"),26.58)</f>
        <v>26.58</v>
      </c>
      <c r="U27" s="1">
        <f ca="1">IFERROR(__xludf.DUMMYFUNCTION("if(U$2="""","""", index(GOOGLEFINANCE($B$27,""close"",U$2,TODAY()),2,2))"),26.56)</f>
        <v>26.56</v>
      </c>
      <c r="V27" s="1">
        <f ca="1">IFERROR(__xludf.DUMMYFUNCTION("if(V$2="""","""", index(GOOGLEFINANCE($B$27,""close"",V$2,TODAY()),2,2))"),26.5)</f>
        <v>26.5</v>
      </c>
      <c r="W27" s="1">
        <f ca="1">IFERROR(__xludf.DUMMYFUNCTION("if(W$2="""","""", index(GOOGLEFINANCE($B$27,""close"",W$2,TODAY()),2,2))"),27.81)</f>
        <v>27.81</v>
      </c>
      <c r="X27" s="1">
        <f ca="1">IFERROR(__xludf.DUMMYFUNCTION("if(X$2="""","""", index(GOOGLEFINANCE($B$27,""close"",X$2,TODAY()),2,2))"),27.95)</f>
        <v>27.95</v>
      </c>
      <c r="Y27" s="1">
        <f ca="1">IFERROR(__xludf.DUMMYFUNCTION("if(Y$2="""","""", index(GOOGLEFINANCE($B$27,""close"",Y$2,TODAY()),2,2))"),27.5)</f>
        <v>27.5</v>
      </c>
      <c r="Z27" s="1">
        <f ca="1">IFERROR(__xludf.DUMMYFUNCTION("if(Z$2="""","""", index(GOOGLEFINANCE($B$27,""close"",Z$2,TODAY()),2,2))"),27.31)</f>
        <v>27.31</v>
      </c>
      <c r="AA27" s="1">
        <f ca="1">IFERROR(__xludf.DUMMYFUNCTION("if(AA$2="""","""", index(GOOGLEFINANCE($B$27,""close"",AA$2,TODAY()),2,2))"),27.42)</f>
        <v>27.42</v>
      </c>
      <c r="AB27" s="1">
        <f ca="1">IFERROR(__xludf.DUMMYFUNCTION("if(AB$2="""","""", index(GOOGLEFINANCE($B$27,""close"",AB$2,TODAY()),2,2))"),28.37)</f>
        <v>28.37</v>
      </c>
      <c r="AC27" s="1">
        <f ca="1">IFERROR(__xludf.DUMMYFUNCTION("if(AC$2="""","""", index(GOOGLEFINANCE($B$27,""close"",AC$2,TODAY()),2,2))"),29.23)</f>
        <v>29.23</v>
      </c>
      <c r="AD27" s="1">
        <f ca="1">IFERROR(__xludf.DUMMYFUNCTION("if(AD$2="""","""", index(GOOGLEFINANCE($B$27,""close"",AD$2,TODAY()),2,2))"),29.08)</f>
        <v>29.08</v>
      </c>
      <c r="AE27" s="1">
        <f ca="1">IFERROR(__xludf.DUMMYFUNCTION("if(AE$2="""","""", index(GOOGLEFINANCE($B$27,""close"",AE$2,TODAY()),2,2))"),28.62)</f>
        <v>28.62</v>
      </c>
      <c r="AF27" s="1">
        <f ca="1">IFERROR(__xludf.DUMMYFUNCTION("if(AF$2="""","""", index(GOOGLEFINANCE($B$27,""close"",AF$2,TODAY()),2,2))"),28.3)</f>
        <v>28.3</v>
      </c>
      <c r="AG27" s="1">
        <f ca="1">IFERROR(__xludf.DUMMYFUNCTION("if(AG$2="""","""", index(GOOGLEFINANCE($B$27,""close"",AG$2,TODAY()),2,2))"),29.49)</f>
        <v>29.49</v>
      </c>
      <c r="AH27" s="1">
        <f ca="1">IFERROR(__xludf.DUMMYFUNCTION("if(AH$2="""","""", index(GOOGLEFINANCE($B$27,""close"",AH$2,TODAY()),2,2))"),30.21)</f>
        <v>30.21</v>
      </c>
      <c r="AI27" s="1">
        <f ca="1">IFERROR(__xludf.DUMMYFUNCTION("if(AI$2="""","""", index(GOOGLEFINANCE($B$27,""close"",AI$2,TODAY()),2,2))"),29.65)</f>
        <v>29.65</v>
      </c>
      <c r="AJ27" s="1">
        <f ca="1">IFERROR(__xludf.DUMMYFUNCTION("if(AJ$2="""","""", index(GOOGLEFINANCE($B$27,""close"",AJ$2,TODAY()),2,2))"),29.3)</f>
        <v>29.3</v>
      </c>
      <c r="AK27" s="1">
        <f ca="1">IFERROR(__xludf.DUMMYFUNCTION("if(AK$2="""","""", index(GOOGLEFINANCE($B$27,""close"",AK$2,TODAY()),2,2))"),29.23)</f>
        <v>29.23</v>
      </c>
      <c r="AL27" s="1">
        <f ca="1">IFERROR(__xludf.DUMMYFUNCTION("if(AL$2="""","""", index(GOOGLEFINANCE($B$27,""close"",AL$2,TODAY()),2,2))"),28.52)</f>
        <v>28.52</v>
      </c>
      <c r="AM27" s="1">
        <f ca="1">IFERROR(__xludf.DUMMYFUNCTION("if(AM$2="""","""", index(GOOGLEFINANCE($B$27,""close"",AM$2,TODAY()),2,2))"),28.41)</f>
        <v>28.41</v>
      </c>
      <c r="AN27" s="1">
        <f ca="1">IFERROR(__xludf.DUMMYFUNCTION("if(AN$2="""","""", index(GOOGLEFINANCE($B$27,""close"",AN$2,TODAY()),2,2))"),30.46)</f>
        <v>30.46</v>
      </c>
      <c r="AO27" s="1">
        <f ca="1">IFERROR(__xludf.DUMMYFUNCTION("if(AO$2="""","""", index(GOOGLEFINANCE($B$27,""close"",AO$2,TODAY()),2,2))"),30.71)</f>
        <v>30.71</v>
      </c>
      <c r="AP27" s="1">
        <f ca="1">IFERROR(__xludf.DUMMYFUNCTION("if(AP$2="""","""", index(GOOGLEFINANCE($B$27,""close"",AP$2,TODAY()),2,2))"),29.8)</f>
        <v>29.8</v>
      </c>
      <c r="AQ27" s="1">
        <f ca="1">IFERROR(__xludf.DUMMYFUNCTION("if(AQ$2="""","""", index(GOOGLEFINANCE($B$27,""close"",AQ$2,TODAY()),2,2))"),31.09)</f>
        <v>31.09</v>
      </c>
      <c r="AR27" s="1">
        <f ca="1">IFERROR(__xludf.DUMMYFUNCTION("if(AR$2="""","""", index(GOOGLEFINANCE($B$27,""close"",AR$2,TODAY()),2,2))"),30.89)</f>
        <v>30.89</v>
      </c>
      <c r="AS27" s="1">
        <f ca="1">IFERROR(__xludf.DUMMYFUNCTION("if(AS$2="""","""", index(GOOGLEFINANCE($B$27,""close"",AS$2,TODAY()),2,2))"),29.26)</f>
        <v>29.26</v>
      </c>
      <c r="AT27" s="1">
        <f ca="1">IFERROR(__xludf.DUMMYFUNCTION("if(AT$2="""","""", index(GOOGLEFINANCE($B$27,""close"",AT$2,TODAY()),2,2))"),27.65)</f>
        <v>27.65</v>
      </c>
      <c r="AU27" s="1">
        <f ca="1">IFERROR(__xludf.DUMMYFUNCTION("if(AU$2="""","""", index(GOOGLEFINANCE($B$27,""close"",AU$2,TODAY()),2,2))"),28.04)</f>
        <v>28.04</v>
      </c>
      <c r="AV27" s="1">
        <f ca="1">IFERROR(__xludf.DUMMYFUNCTION("if(AV$2="""","""", index(GOOGLEFINANCE($B$27,""close"",AV$2,TODAY()),2,2))"),29.52)</f>
        <v>29.52</v>
      </c>
      <c r="AW27" s="1">
        <f ca="1">IFERROR(__xludf.DUMMYFUNCTION("if(AW$2="""","""", index(GOOGLEFINANCE($B$27,""close"",AW$2,TODAY()),2,2))"),29.85)</f>
        <v>29.85</v>
      </c>
      <c r="AX27" s="1">
        <f ca="1">IFERROR(__xludf.DUMMYFUNCTION("if(AX$2="""","""", index(GOOGLEFINANCE($B$27,""close"",AX$2,TODAY()),2,2))"),30.65)</f>
        <v>30.65</v>
      </c>
      <c r="AY27" s="1">
        <f ca="1">IFERROR(__xludf.DUMMYFUNCTION("if(AY$2="""","""", index(GOOGLEFINANCE($B$27,""close"",AY$2,TODAY()),2,2))"),31.86)</f>
        <v>31.86</v>
      </c>
      <c r="AZ27" s="1">
        <f ca="1">IFERROR(__xludf.DUMMYFUNCTION("if(AZ$2="""","""", index(GOOGLEFINANCE($B$27,""close"",AZ$2,TODAY()),2,2))"),32.16)</f>
        <v>32.159999999999997</v>
      </c>
      <c r="BA27" s="1">
        <f ca="1">IFERROR(__xludf.DUMMYFUNCTION("if(BA$2="""","""", index(GOOGLEFINANCE($B$27,""close"",BA$2,TODAY()),2,2))"),32.66)</f>
        <v>32.659999999999997</v>
      </c>
      <c r="BB27" s="1">
        <f ca="1">IFERROR(__xludf.DUMMYFUNCTION("if(BB$2="""","""", index(GOOGLEFINANCE($B$27,""close"",BB$2,TODAY()),2,2))"),33.02)</f>
        <v>33.020000000000003</v>
      </c>
      <c r="BC27" s="1">
        <f ca="1">IFERROR(__xludf.DUMMYFUNCTION("if(BC$2="""","""", index(GOOGLEFINANCE($B$27,""close"",BC$2,TODAY()),2,2))"),32.51)</f>
        <v>32.51</v>
      </c>
      <c r="BD27" s="1">
        <f ca="1">IFERROR(__xludf.DUMMYFUNCTION("if(BD$2="""","""", index(GOOGLEFINANCE($B$27,""close"",BD$2,TODAY()),2,2))"),32.47)</f>
        <v>32.47</v>
      </c>
      <c r="BE27" s="1">
        <f ca="1">IFERROR(__xludf.DUMMYFUNCTION("if(BE$2="""","""", index(GOOGLEFINANCE($B$27,""close"",BE$2,TODAY()),2,2))"),33.78)</f>
        <v>33.78</v>
      </c>
      <c r="BF27" s="1">
        <f ca="1">IFERROR(__xludf.DUMMYFUNCTION("if(BF$2="""","""", index(GOOGLEFINANCE($B$27,""close"",BF$2,TODAY()),2,2))"),33.46)</f>
        <v>33.46</v>
      </c>
      <c r="BG27" s="1">
        <f ca="1">IFERROR(__xludf.DUMMYFUNCTION("if(BG$2="""","""", index(GOOGLEFINANCE($B$27,""close"",BG$2,TODAY()),2,2))"),33.51)</f>
        <v>33.51</v>
      </c>
      <c r="BH27" s="1">
        <f ca="1">IFERROR(__xludf.DUMMYFUNCTION("if(BH$2="""","""", index(GOOGLEFINANCE($B$27,""close"",BH$2,TODAY()),2,2))"),33.4)</f>
        <v>33.4</v>
      </c>
      <c r="BI27" s="1">
        <f ca="1">IFERROR(__xludf.DUMMYFUNCTION("if(BI$2="""","""", index(GOOGLEFINANCE($B$27,""close"",BI$2,TODAY()),2,2))"),32.9)</f>
        <v>32.9</v>
      </c>
      <c r="BJ27" s="1">
        <f ca="1">IFERROR(__xludf.DUMMYFUNCTION("if(BJ$2="""","""", index(GOOGLEFINANCE($B$27,""close"",BJ$2,TODAY()),2,2))"),32.95)</f>
        <v>32.950000000000003</v>
      </c>
      <c r="BK27" s="1">
        <f ca="1">IFERROR(__xludf.DUMMYFUNCTION("if(BK$2="""","""", index(GOOGLEFINANCE($B$27,""close"",BK$2,TODAY()),2,2))"),32.28)</f>
        <v>32.28</v>
      </c>
      <c r="BL27" s="1">
        <f ca="1">IFERROR(__xludf.DUMMYFUNCTION("if(BL$2="""","""", index(GOOGLEFINANCE($B$27,""close"",BL$2,TODAY()),2,2))"),32.14)</f>
        <v>32.14</v>
      </c>
      <c r="BM27" s="1">
        <f ca="1">IFERROR(__xludf.DUMMYFUNCTION("if(BM$2="""","""", index(GOOGLEFINANCE($B$27,""close"",BM$2,TODAY()),2,2))"),32.11)</f>
        <v>32.11</v>
      </c>
      <c r="BN27" s="1">
        <f ca="1">IFERROR(__xludf.DUMMYFUNCTION("if(BN$2="""","""", index(GOOGLEFINANCE($B$27,""close"",BN$2,TODAY()),2,2))"),31.92)</f>
        <v>31.92</v>
      </c>
      <c r="BO27" s="1">
        <f ca="1">IFERROR(__xludf.DUMMYFUNCTION("if(BO$2="""","""", index(GOOGLEFINANCE($B$27,""close"",BO$2,TODAY()),2,2))"),31.61)</f>
        <v>31.61</v>
      </c>
      <c r="BP27" s="1">
        <f ca="1">IFERROR(__xludf.DUMMYFUNCTION("if(BP$2="""","""", index(GOOGLEFINANCE($B$27,""close"",BP$2,TODAY()),2,2))"),30.76)</f>
        <v>30.76</v>
      </c>
      <c r="BQ27" s="1">
        <f ca="1">IFERROR(__xludf.DUMMYFUNCTION("if(BQ$2="""","""", index(GOOGLEFINANCE($B$27,""close"",BQ$2,TODAY()),2,2))"),30.37)</f>
        <v>30.37</v>
      </c>
      <c r="BR27" s="1">
        <f ca="1">IFERROR(__xludf.DUMMYFUNCTION("if(BR$2="""","""", index(GOOGLEFINANCE($B$27,""close"",BR$2,TODAY()),2,2))"),30.26)</f>
        <v>30.26</v>
      </c>
      <c r="BS27" s="1">
        <f ca="1">IFERROR(__xludf.DUMMYFUNCTION("if(BS$2="""","""", index(GOOGLEFINANCE($B$27,""close"",BS$2,TODAY()),2,2))"),30.22)</f>
        <v>30.22</v>
      </c>
      <c r="BT27" s="1">
        <f ca="1">IFERROR(__xludf.DUMMYFUNCTION("if(BT$2="""","""", index(GOOGLEFINANCE($B$27,""close"",BT$2,TODAY()),2,2))"),30.09)</f>
        <v>30.09</v>
      </c>
      <c r="BU27" s="1">
        <f ca="1">IFERROR(__xludf.DUMMYFUNCTION("if(BU$2="""","""", index(GOOGLEFINANCE($B$27,""close"",BU$2,TODAY()),2,2))"),31.06)</f>
        <v>31.06</v>
      </c>
      <c r="BV27" s="1">
        <f ca="1">IFERROR(__xludf.DUMMYFUNCTION("if(BV$2="""","""", index(GOOGLEFINANCE($B$27,""close"",BV$2,TODAY()),2,2))"),30.8)</f>
        <v>30.8</v>
      </c>
      <c r="BW27" s="1">
        <f ca="1">IFERROR(__xludf.DUMMYFUNCTION("if(BW$2="""","""", index(GOOGLEFINANCE($B$27,""close"",BW$2,TODAY()),2,2))"),30.59)</f>
        <v>30.59</v>
      </c>
      <c r="BX27" s="1">
        <f ca="1">IFERROR(__xludf.DUMMYFUNCTION("if(BX$2="""","""", index(GOOGLEFINANCE($B$27,""close"",BX$2,TODAY()),2,2))"),31.53)</f>
        <v>31.53</v>
      </c>
      <c r="BY27" s="1">
        <f ca="1">IFERROR(__xludf.DUMMYFUNCTION("if(BY$2="""","""", index(GOOGLEFINANCE($B$27,""close"",BY$2,TODAY()),2,2))"),32.02)</f>
        <v>32.020000000000003</v>
      </c>
      <c r="BZ27" s="1">
        <f ca="1">IFERROR(__xludf.DUMMYFUNCTION("if(BZ$2="""","""", index(GOOGLEFINANCE($B$27,""close"",BZ$2,TODAY()),2,2))"),31.77)</f>
        <v>31.77</v>
      </c>
      <c r="CA27" s="1">
        <f ca="1">IFERROR(__xludf.DUMMYFUNCTION("if(CA$2="""","""", index(GOOGLEFINANCE($B$27,""close"",CA$2,TODAY()),2,2))"),30.59)</f>
        <v>30.59</v>
      </c>
      <c r="CB27" s="1">
        <f ca="1">IFERROR(__xludf.DUMMYFUNCTION("if(CB$2="""","""", index(GOOGLEFINANCE($B$27,""close"",CB$2,TODAY()),2,2))"),30.59)</f>
        <v>30.59</v>
      </c>
      <c r="CC27" s="1">
        <f ca="1">IFERROR(__xludf.DUMMYFUNCTION("if(CC$2="""","""", index(GOOGLEFINANCE($B$27,""close"",CC$2,TODAY()),2,2))"),29.49)</f>
        <v>29.49</v>
      </c>
      <c r="CD27" s="1">
        <f ca="1">IFERROR(__xludf.DUMMYFUNCTION("if(CD$2="""","""", index(GOOGLEFINANCE($B$27,""close"",CD$2,TODAY()),2,2))"),29.73)</f>
        <v>29.73</v>
      </c>
      <c r="CE27" s="1">
        <f ca="1">IFERROR(__xludf.DUMMYFUNCTION("if(CE$2="""","""", index(GOOGLEFINANCE($B$27,""close"",CE$2,TODAY()),2,2))"),29.74)</f>
        <v>29.74</v>
      </c>
      <c r="CF27" s="1">
        <f ca="1">IFERROR(__xludf.DUMMYFUNCTION("if(CF$2="""","""", index(GOOGLEFINANCE($B$27,""close"",CF$2,TODAY()),2,2))"),29.12)</f>
        <v>29.12</v>
      </c>
      <c r="CG27" s="1">
        <f ca="1">IFERROR(__xludf.DUMMYFUNCTION("if(CG$2="""","""", index(GOOGLEFINANCE($B$27,""close"",CG$2,TODAY()),2,2))"),29.4)</f>
        <v>29.4</v>
      </c>
      <c r="CH27" s="1">
        <f ca="1">IFERROR(__xludf.DUMMYFUNCTION("if(CH$2="""","""", index(GOOGLEFINANCE($B$27,""close"",CH$2,TODAY()),2,2))"),30.36)</f>
        <v>30.36</v>
      </c>
      <c r="CI27" s="1">
        <f ca="1">IFERROR(__xludf.DUMMYFUNCTION("if(CI$2="""","""", index(GOOGLEFINANCE($B$27,""close"",CI$2,TODAY()),2,2))"),30.93)</f>
        <v>30.93</v>
      </c>
      <c r="CJ27" s="1" t="str">
        <f ca="1">IFERROR(__xludf.DUMMYFUNCTION("if(CJ$2="""","""", index(GOOGLEFINANCE($B$27,""close"",CJ$2,TODAY()),2,2))"),"")</f>
        <v/>
      </c>
      <c r="CK27" s="1" t="str">
        <f ca="1">IFERROR(__xludf.DUMMYFUNCTION("if(CK$2="""","""", index(GOOGLEFINANCE($B$27,""close"",CK$2,TODAY()),2,2))"),"")</f>
        <v/>
      </c>
      <c r="CL27" s="1" t="str">
        <f ca="1">IFERROR(__xludf.DUMMYFUNCTION("if(CL$2="""","""", index(GOOGLEFINANCE($B$27,""close"",CL$2,TODAY()),2,2))"),"")</f>
        <v/>
      </c>
      <c r="CM27" s="1" t="str">
        <f ca="1">IFERROR(__xludf.DUMMYFUNCTION("if(CM$2="""","""", index(GOOGLEFINANCE($B$27,""close"",CM$2,TODAY()),2,2))"),"")</f>
        <v/>
      </c>
      <c r="CN27" s="1" t="str">
        <f ca="1">IFERROR(__xludf.DUMMYFUNCTION("if(CN$2="""","""", index(GOOGLEFINANCE($B$27,""close"",CN$2,TODAY()),2,2))"),"")</f>
        <v/>
      </c>
      <c r="CO27" s="1" t="str">
        <f ca="1">IFERROR(__xludf.DUMMYFUNCTION("if(CO$2="""","""", index(GOOGLEFINANCE($B$27,""close"",CO$2,TODAY()),2,2))"),"")</f>
        <v/>
      </c>
      <c r="CP27" s="1" t="str">
        <f ca="1">IFERROR(__xludf.DUMMYFUNCTION("if(CP$2="""","""", index(GOOGLEFINANCE($B$27,""close"",CP$2,TODAY()),2,2))"),"")</f>
        <v/>
      </c>
      <c r="CQ27" s="1" t="str">
        <f ca="1">IFERROR(__xludf.DUMMYFUNCTION("if(CQ$2="""","""", index(GOOGLEFINANCE($B$27,""close"",CQ$2,TODAY()),2,2))"),"")</f>
        <v/>
      </c>
      <c r="CR27" s="1" t="str">
        <f ca="1">IFERROR(__xludf.DUMMYFUNCTION("if(CR$2="""","""", index(GOOGLEFINANCE($B$27,""close"",CR$2,TODAY()),2,2))"),"")</f>
        <v/>
      </c>
      <c r="CS27" s="1" t="str">
        <f ca="1">IFERROR(__xludf.DUMMYFUNCTION("if(CS$2="""","""", index(GOOGLEFINANCE($B$27,""close"",CS$2,TODAY()),2,2))"),"")</f>
        <v/>
      </c>
      <c r="CT27" s="1" t="str">
        <f ca="1">IFERROR(__xludf.DUMMYFUNCTION("if(CT$2="""","""", index(GOOGLEFINANCE($B$27,""close"",CT$2,TODAY()),2,2))"),"")</f>
        <v/>
      </c>
      <c r="CU27" s="1" t="str">
        <f ca="1">IFERROR(__xludf.DUMMYFUNCTION("if(CU$2="""","""", index(GOOGLEFINANCE($B$27,""close"",CU$2,TODAY()),2,2))"),"")</f>
        <v/>
      </c>
      <c r="CV27" s="1" t="str">
        <f ca="1">IFERROR(__xludf.DUMMYFUNCTION("if(CV$2="""","""", index(GOOGLEFINANCE($B$27,""close"",CV$2,TODAY()),2,2))"),"")</f>
        <v/>
      </c>
      <c r="CW27" s="1" t="str">
        <f ca="1">IFERROR(__xludf.DUMMYFUNCTION("if(CW$2="""","""", index(GOOGLEFINANCE($B$27,""close"",CW$2,TODAY()),2,2))"),"")</f>
        <v/>
      </c>
      <c r="CX27" s="1" t="str">
        <f ca="1">IFERROR(__xludf.DUMMYFUNCTION("if(CX$2="""","""", index(GOOGLEFINANCE($B$27,""close"",CX$2,TODAY()),2,2))"),"")</f>
        <v/>
      </c>
      <c r="CY27" s="1" t="str">
        <f ca="1">IFERROR(__xludf.DUMMYFUNCTION("if(CY$2="""","""", index(GOOGLEFINANCE($B$27,""close"",CY$2,TODAY()),2,2))"),"")</f>
        <v/>
      </c>
      <c r="CZ27" s="1" t="str">
        <f ca="1">IFERROR(__xludf.DUMMYFUNCTION("if(CZ$2="""","""", index(GOOGLEFINANCE($B$27,""close"",CZ$2,TODAY()),2,2))"),"")</f>
        <v/>
      </c>
      <c r="DA27" s="1" t="str">
        <f ca="1">IFERROR(__xludf.DUMMYFUNCTION("if(DA$2="""","""", index(GOOGLEFINANCE($B$27,""close"",DA$2,TODAY()),2,2))"),"")</f>
        <v/>
      </c>
      <c r="DB27" s="1" t="str">
        <f ca="1">IFERROR(__xludf.DUMMYFUNCTION("if(DB$2="""","""", index(GOOGLEFINANCE($B$27,""close"",DB$2,TODAY()),2,2))"),"")</f>
        <v/>
      </c>
      <c r="DC27" s="1" t="str">
        <f ca="1">IFERROR(__xludf.DUMMYFUNCTION("if(DC$2="""","""", index(GOOGLEFINANCE($B$27,""close"",DC$2,TODAY()),2,2))"),"")</f>
        <v/>
      </c>
      <c r="DD27" s="1" t="str">
        <f ca="1">IFERROR(__xludf.DUMMYFUNCTION("if(DD$2="""","""", index(GOOGLEFINANCE($B$27,""close"",DD$2,TODAY()),2,2))"),"")</f>
        <v/>
      </c>
      <c r="DE27" s="1" t="str">
        <f ca="1">IFERROR(__xludf.DUMMYFUNCTION("if(DE$2="""","""", index(GOOGLEFINANCE($B$27,""close"",DE$2,TODAY()),2,2))"),"")</f>
        <v/>
      </c>
      <c r="DF27" s="1" t="str">
        <f ca="1">IFERROR(__xludf.DUMMYFUNCTION("if(DF$2="""","""", index(GOOGLEFINANCE($B$27,""close"",DF$2,TODAY()),2,2))"),"")</f>
        <v/>
      </c>
      <c r="DG27" s="1" t="str">
        <f ca="1">IFERROR(__xludf.DUMMYFUNCTION("if(DG$2="""","""", index(GOOGLEFINANCE($B$27,""close"",DG$2,TODAY()),2,2))"),"")</f>
        <v/>
      </c>
      <c r="DH27" s="1" t="str">
        <f ca="1">IFERROR(__xludf.DUMMYFUNCTION("if(DH$2="""","""", index(GOOGLEFINANCE($B$27,""close"",DH$2,TODAY()),2,2))"),"")</f>
        <v/>
      </c>
      <c r="DI27" s="1" t="str">
        <f ca="1">IFERROR(__xludf.DUMMYFUNCTION("if(DI$2="""","""", index(GOOGLEFINANCE($B$27,""close"",DI$2,TODAY()),2,2))"),"")</f>
        <v/>
      </c>
      <c r="DJ27" s="1" t="str">
        <f ca="1">IFERROR(__xludf.DUMMYFUNCTION("if(DJ$2="""","""", index(GOOGLEFINANCE($B$27,""close"",DJ$2,TODAY()),2,2))"),"")</f>
        <v/>
      </c>
      <c r="DK27" s="1" t="str">
        <f ca="1">IFERROR(__xludf.DUMMYFUNCTION("if(DK$2="""","""", index(GOOGLEFINANCE($B$27,""close"",DK$2,TODAY()),2,2))"),"")</f>
        <v/>
      </c>
      <c r="DL27" s="1" t="str">
        <f ca="1">IFERROR(__xludf.DUMMYFUNCTION("if(DL$2="""","""", index(GOOGLEFINANCE($B$27,""close"",DL$2,TODAY()),2,2))"),"")</f>
        <v/>
      </c>
      <c r="DM27" s="1" t="str">
        <f ca="1">IFERROR(__xludf.DUMMYFUNCTION("if(DM$2="""","""", index(GOOGLEFINANCE($B$27,""close"",DM$2,TODAY()),2,2))"),"")</f>
        <v/>
      </c>
      <c r="DN27" s="1" t="str">
        <f ca="1">IFERROR(__xludf.DUMMYFUNCTION("if(DN$2="""","""", index(GOOGLEFINANCE($B$27,""close"",DN$2,TODAY()),2,2))"),"")</f>
        <v/>
      </c>
      <c r="DO27" s="1" t="str">
        <f ca="1">IFERROR(__xludf.DUMMYFUNCTION("if(DO$2="""","""", index(GOOGLEFINANCE($B$27,""close"",DO$2,TODAY()),2,2))"),"")</f>
        <v/>
      </c>
      <c r="DP27" s="1" t="str">
        <f ca="1">IFERROR(__xludf.DUMMYFUNCTION("if(DP$2="""","""", index(GOOGLEFINANCE($B$27,""close"",DP$2,TODAY()),2,2))"),"")</f>
        <v/>
      </c>
      <c r="DQ27" s="1" t="str">
        <f ca="1">IFERROR(__xludf.DUMMYFUNCTION("if(DQ$2="""","""", index(GOOGLEFINANCE($B$27,""close"",DQ$2,TODAY()),2,2))"),"")</f>
        <v/>
      </c>
      <c r="DR27" s="1" t="str">
        <f ca="1">IFERROR(__xludf.DUMMYFUNCTION("if(DR$2="""","""", index(GOOGLEFINANCE($B$27,""close"",DR$2,TODAY()),2,2))"),"")</f>
        <v/>
      </c>
      <c r="DS27" s="1" t="str">
        <f ca="1">IFERROR(__xludf.DUMMYFUNCTION("if(DS$2="""","""", index(GOOGLEFINANCE($B$27,""close"",DS$2,TODAY()),2,2))"),"")</f>
        <v/>
      </c>
      <c r="DT27" s="1" t="str">
        <f ca="1">IFERROR(__xludf.DUMMYFUNCTION("if(DT$2="""","""", index(GOOGLEFINANCE($B$27,""close"",DT$2,TODAY()),2,2))"),"")</f>
        <v/>
      </c>
      <c r="DU27" s="1" t="str">
        <f ca="1">IFERROR(__xludf.DUMMYFUNCTION("if(DU$2="""","""", index(GOOGLEFINANCE($B$27,""close"",DU$2,TODAY()),2,2))"),"")</f>
        <v/>
      </c>
      <c r="DV27" s="1" t="str">
        <f ca="1">IFERROR(__xludf.DUMMYFUNCTION("if(DV$2="""","""", index(GOOGLEFINANCE($B$27,""close"",DV$2,TODAY()),2,2))"),"")</f>
        <v/>
      </c>
      <c r="DW27" s="1" t="str">
        <f ca="1">IFERROR(__xludf.DUMMYFUNCTION("if(DW$2="""","""", index(GOOGLEFINANCE($B$27,""close"",DW$2,TODAY()),2,2))"),"")</f>
        <v/>
      </c>
      <c r="DX27" s="1" t="str">
        <f ca="1">IFERROR(__xludf.DUMMYFUNCTION("if(DX$2="""","""", index(GOOGLEFINANCE($B$27,""close"",DX$2,TODAY()),2,2))"),"")</f>
        <v/>
      </c>
      <c r="DY27" s="1" t="str">
        <f ca="1">IFERROR(__xludf.DUMMYFUNCTION("if(DY$2="""","""", index(GOOGLEFINANCE($B$27,""close"",DY$2,TODAY()),2,2))"),"")</f>
        <v/>
      </c>
      <c r="DZ27" s="1" t="str">
        <f ca="1">IFERROR(__xludf.DUMMYFUNCTION("if(DZ$2="""","""", index(GOOGLEFINANCE($B$27,""close"",DZ$2,TODAY()),2,2))"),"")</f>
        <v/>
      </c>
      <c r="EA27" s="1" t="str">
        <f ca="1">IFERROR(__xludf.DUMMYFUNCTION("if(EA$2="""","""", index(GOOGLEFINANCE($B$27,""close"",EA$2,TODAY()),2,2))"),"")</f>
        <v/>
      </c>
      <c r="EB27" s="1" t="str">
        <f ca="1">IFERROR(__xludf.DUMMYFUNCTION("if(EB$2="""","""", index(GOOGLEFINANCE($B$27,""close"",EB$2,TODAY()),2,2))"),"")</f>
        <v/>
      </c>
      <c r="EC27" s="1" t="str">
        <f ca="1">IFERROR(__xludf.DUMMYFUNCTION("if(EC$2="""","""", index(GOOGLEFINANCE($B$27,""close"",EC$2,TODAY()),2,2))"),"")</f>
        <v/>
      </c>
      <c r="ED27" s="1" t="str">
        <f ca="1">IFERROR(__xludf.DUMMYFUNCTION("if(ED$2="""","""", index(GOOGLEFINANCE($B$27,""close"",ED$2,TODAY()),2,2))"),"")</f>
        <v/>
      </c>
      <c r="EE27" s="1" t="str">
        <f ca="1">IFERROR(__xludf.DUMMYFUNCTION("if(EE$2="""","""", index(GOOGLEFINANCE($B$27,""close"",EE$2,TODAY()),2,2))"),"")</f>
        <v/>
      </c>
      <c r="EF27" s="1" t="str">
        <f ca="1">IFERROR(__xludf.DUMMYFUNCTION("if(EF$2="""","""", index(GOOGLEFINANCE($B$27,""close"",EF$2,TODAY()),2,2))"),"")</f>
        <v/>
      </c>
      <c r="EG27" s="1" t="str">
        <f ca="1">IFERROR(__xludf.DUMMYFUNCTION("if(EG$2="""","""", index(GOOGLEFINANCE($B$27,""close"",EG$2,TODAY()),2,2))"),"")</f>
        <v/>
      </c>
      <c r="EH27" s="1" t="str">
        <f ca="1">IFERROR(__xludf.DUMMYFUNCTION("if(EH$2="""","""", index(GOOGLEFINANCE($B$27,""close"",EH$2,TODAY()),2,2))"),"")</f>
        <v/>
      </c>
      <c r="EI27" s="1" t="str">
        <f ca="1">IFERROR(__xludf.DUMMYFUNCTION("if(EI$2="""","""", index(GOOGLEFINANCE($B$27,""close"",EI$2,TODAY()),2,2))"),"")</f>
        <v/>
      </c>
      <c r="EJ27" s="1" t="str">
        <f ca="1">IFERROR(__xludf.DUMMYFUNCTION("if(EJ$2="""","""", index(GOOGLEFINANCE($B$27,""close"",EJ$2,TODAY()),2,2))"),"")</f>
        <v/>
      </c>
      <c r="EK27" s="1" t="str">
        <f ca="1">IFERROR(__xludf.DUMMYFUNCTION("if(EK$2="""","""", index(GOOGLEFINANCE($B$27,""close"",EK$2,TODAY()),2,2))"),"")</f>
        <v/>
      </c>
      <c r="EL27" s="1" t="str">
        <f ca="1">IFERROR(__xludf.DUMMYFUNCTION("if(EL$2="""","""", index(GOOGLEFINANCE($B$27,""close"",EL$2,TODAY()),2,2))"),"")</f>
        <v/>
      </c>
      <c r="EM27" s="1" t="str">
        <f ca="1">IFERROR(__xludf.DUMMYFUNCTION("if(EM$2="""","""", index(GOOGLEFINANCE($B$27,""close"",EM$2,TODAY()),2,2))"),"")</f>
        <v/>
      </c>
      <c r="EN27" s="1" t="str">
        <f ca="1">IFERROR(__xludf.DUMMYFUNCTION("if(EN$2="""","""", index(GOOGLEFINANCE($B$27,""close"",EN$2,TODAY()),2,2))"),"")</f>
        <v/>
      </c>
      <c r="EO27" s="1" t="str">
        <f ca="1">IFERROR(__xludf.DUMMYFUNCTION("if(EO$2="""","""", index(GOOGLEFINANCE($B$27,""close"",EO$2,TODAY()),2,2))"),"")</f>
        <v/>
      </c>
      <c r="EP27" s="1" t="str">
        <f ca="1">IFERROR(__xludf.DUMMYFUNCTION("if(EP$2="""","""", index(GOOGLEFINANCE($B$27,""close"",EP$2,TODAY()),2,2))"),"")</f>
        <v/>
      </c>
      <c r="EQ27" s="1" t="str">
        <f ca="1">IFERROR(__xludf.DUMMYFUNCTION("if(EQ$2="""","""", index(GOOGLEFINANCE($B$27,""close"",EQ$2,TODAY()),2,2))"),"")</f>
        <v/>
      </c>
      <c r="ER27" s="1" t="str">
        <f ca="1">IFERROR(__xludf.DUMMYFUNCTION("if(ER$2="""","""", index(GOOGLEFINANCE($B$27,""close"",ER$2,TODAY()),2,2))"),"")</f>
        <v/>
      </c>
      <c r="ES27" s="1" t="str">
        <f ca="1">IFERROR(__xludf.DUMMYFUNCTION("if(ES$2="""","""", index(GOOGLEFINANCE($B$27,""close"",ES$2,TODAY()),2,2))"),"")</f>
        <v/>
      </c>
      <c r="ET27" s="1" t="str">
        <f ca="1">IFERROR(__xludf.DUMMYFUNCTION("if(ET$2="""","""", index(GOOGLEFINANCE($B$27,""close"",ET$2,TODAY()),2,2))"),"")</f>
        <v/>
      </c>
      <c r="EU27" s="1" t="str">
        <f ca="1">IFERROR(__xludf.DUMMYFUNCTION("if(EU$2="""","""", index(GOOGLEFINANCE($B$27,""close"",EU$2,TODAY()),2,2))"),"")</f>
        <v/>
      </c>
      <c r="EV27" s="1" t="str">
        <f ca="1">IFERROR(__xludf.DUMMYFUNCTION("if(EV$2="""","""", index(GOOGLEFINANCE($B$27,""close"",EV$2,TODAY()),2,2))"),"")</f>
        <v/>
      </c>
      <c r="EW27" s="1" t="str">
        <f ca="1">IFERROR(__xludf.DUMMYFUNCTION("if(EW$2="""","""", index(GOOGLEFINANCE($B$27,""close"",EW$2,TODAY()),2,2))"),"")</f>
        <v/>
      </c>
      <c r="EX27" s="1" t="str">
        <f ca="1">IFERROR(__xludf.DUMMYFUNCTION("if(EX$2="""","""", index(GOOGLEFINANCE($B$27,""close"",EX$2,TODAY()),2,2))"),"")</f>
        <v/>
      </c>
      <c r="EY27" s="1" t="str">
        <f ca="1">IFERROR(__xludf.DUMMYFUNCTION("if(EY$2="""","""", index(GOOGLEFINANCE($B$27,""close"",EY$2,TODAY()),2,2))"),"")</f>
        <v/>
      </c>
      <c r="EZ27" s="1" t="str">
        <f ca="1">IFERROR(__xludf.DUMMYFUNCTION("if(EZ$2="""","""", index(GOOGLEFINANCE($B$27,""close"",EZ$2,TODAY()),2,2))"),"")</f>
        <v/>
      </c>
      <c r="FA27" s="1" t="str">
        <f ca="1">IFERROR(__xludf.DUMMYFUNCTION("if(FA$2="""","""", index(GOOGLEFINANCE($B$27,""close"",FA$2,TODAY()),2,2))"),"")</f>
        <v/>
      </c>
      <c r="FB27" s="1" t="str">
        <f ca="1">IFERROR(__xludf.DUMMYFUNCTION("if(FB$2="""","""", index(GOOGLEFINANCE($B$27,""close"",FB$2,TODAY()),2,2))"),"")</f>
        <v/>
      </c>
      <c r="FC27" s="1" t="str">
        <f ca="1">IFERROR(__xludf.DUMMYFUNCTION("if(FC$2="""","""", index(GOOGLEFINANCE($B$27,""close"",FC$2,TODAY()),2,2))"),"")</f>
        <v/>
      </c>
      <c r="FD27" s="1" t="str">
        <f ca="1">IFERROR(__xludf.DUMMYFUNCTION("if(FD$2="""","""", index(GOOGLEFINANCE($B$27,""close"",FD$2,TODAY()),2,2))"),"")</f>
        <v/>
      </c>
      <c r="FE27" s="1" t="str">
        <f ca="1">IFERROR(__xludf.DUMMYFUNCTION("if(FE$2="""","""", index(GOOGLEFINANCE($B$27,""close"",FE$2,TODAY()),2,2))"),"")</f>
        <v/>
      </c>
      <c r="FF27" s="1" t="str">
        <f ca="1">IFERROR(__xludf.DUMMYFUNCTION("if(FF$2="""","""", index(GOOGLEFINANCE($B$27,""close"",FF$2,TODAY()),2,2))"),"")</f>
        <v/>
      </c>
      <c r="FG27" s="1" t="str">
        <f ca="1">IFERROR(__xludf.DUMMYFUNCTION("if(FG$2="""","""", index(GOOGLEFINANCE($B$27,""close"",FG$2,TODAY()),2,2))"),"")</f>
        <v/>
      </c>
      <c r="FH27" s="1" t="str">
        <f ca="1">IFERROR(__xludf.DUMMYFUNCTION("if(FH$2="""","""", index(GOOGLEFINANCE($B$27,""close"",FH$2,TODAY()),2,2))"),"")</f>
        <v/>
      </c>
      <c r="FI27" s="1" t="str">
        <f ca="1">IFERROR(__xludf.DUMMYFUNCTION("if(FI$2="""","""", index(GOOGLEFINANCE($B$27,""close"",FI$2,TODAY()),2,2))"),"")</f>
        <v/>
      </c>
      <c r="FJ27" s="1" t="str">
        <f ca="1">IFERROR(__xludf.DUMMYFUNCTION("if(FJ$2="""","""", index(GOOGLEFINANCE($B$27,""close"",FJ$2,TODAY()),2,2))"),"")</f>
        <v/>
      </c>
      <c r="FK27" s="1" t="str">
        <f ca="1">IFERROR(__xludf.DUMMYFUNCTION("if(FK$2="""","""", index(GOOGLEFINANCE($B$27,""close"",FK$2,TODAY()),2,2))"),"")</f>
        <v/>
      </c>
      <c r="FL27" s="1" t="str">
        <f ca="1">IFERROR(__xludf.DUMMYFUNCTION("if(FL$2="""","""", index(GOOGLEFINANCE($B$27,""close"",FL$2,TODAY()),2,2))"),"")</f>
        <v/>
      </c>
      <c r="FM27" s="1" t="str">
        <f ca="1">IFERROR(__xludf.DUMMYFUNCTION("if(FM$2="""","""", index(GOOGLEFINANCE($B$27,""close"",FM$2,TODAY()),2,2))"),"")</f>
        <v/>
      </c>
      <c r="FN27" s="1" t="str">
        <f ca="1">IFERROR(__xludf.DUMMYFUNCTION("if(FN$2="""","""", index(GOOGLEFINANCE($B$27,""close"",FN$2,TODAY()),2,2))"),"")</f>
        <v/>
      </c>
      <c r="FO27" s="1" t="str">
        <f ca="1">IFERROR(__xludf.DUMMYFUNCTION("if(FO$2="""","""", index(GOOGLEFINANCE($B$27,""close"",FO$2,TODAY()),2,2))"),"")</f>
        <v/>
      </c>
      <c r="FP27" s="1" t="str">
        <f ca="1">IFERROR(__xludf.DUMMYFUNCTION("if(FP$2="""","""", index(GOOGLEFINANCE($B$27,""close"",FP$2,TODAY()),2,2))"),"")</f>
        <v/>
      </c>
      <c r="FQ27" s="1" t="str">
        <f ca="1">IFERROR(__xludf.DUMMYFUNCTION("if(FQ$2="""","""", index(GOOGLEFINANCE($B$27,""close"",FQ$2,TODAY()),2,2))"),"")</f>
        <v/>
      </c>
      <c r="FR27" s="1" t="str">
        <f ca="1">IFERROR(__xludf.DUMMYFUNCTION("if(FR$2="""","""", index(GOOGLEFINANCE($B$27,""close"",FR$2,TODAY()),2,2))"),"")</f>
        <v/>
      </c>
      <c r="FS27" s="1" t="str">
        <f ca="1">IFERROR(__xludf.DUMMYFUNCTION("if(FS$2="""","""", index(GOOGLEFINANCE($B$27,""close"",FS$2,TODAY()),2,2))"),"")</f>
        <v/>
      </c>
      <c r="FT27" s="1" t="str">
        <f ca="1">IFERROR(__xludf.DUMMYFUNCTION("if(FT$2="""","""", index(GOOGLEFINANCE($B$27,""close"",FT$2,TODAY()),2,2))"),"")</f>
        <v/>
      </c>
      <c r="FU27" s="1" t="str">
        <f ca="1">IFERROR(__xludf.DUMMYFUNCTION("if(FU$2="""","""", index(GOOGLEFINANCE($B$27,""close"",FU$2,TODAY()),2,2))"),"")</f>
        <v/>
      </c>
      <c r="FV27" s="1" t="str">
        <f ca="1">IFERROR(__xludf.DUMMYFUNCTION("if(FV$2="""","""", index(GOOGLEFINANCE($B$27,""close"",FV$2,TODAY()),2,2))"),"")</f>
        <v/>
      </c>
      <c r="FW27" s="1" t="str">
        <f ca="1">IFERROR(__xludf.DUMMYFUNCTION("if(FW$2="""","""", index(GOOGLEFINANCE($B$27,""close"",FW$2,TODAY()),2,2))"),"")</f>
        <v/>
      </c>
      <c r="FX27" s="1" t="str">
        <f ca="1">IFERROR(__xludf.DUMMYFUNCTION("if(FX$2="""","""", index(GOOGLEFINANCE($B$27,""close"",FX$2,TODAY()),2,2))"),"")</f>
        <v/>
      </c>
      <c r="FY27" s="1" t="str">
        <f ca="1">IFERROR(__xludf.DUMMYFUNCTION("if(FY$2="""","""", index(GOOGLEFINANCE($B$27,""close"",FY$2,TODAY()),2,2))"),"")</f>
        <v/>
      </c>
      <c r="FZ27" s="1" t="str">
        <f ca="1">IFERROR(__xludf.DUMMYFUNCTION("if(FZ$2="""","""", index(GOOGLEFINANCE($B$27,""close"",FZ$2,TODAY()),2,2))"),"")</f>
        <v/>
      </c>
      <c r="GA27" s="1" t="str">
        <f ca="1">IFERROR(__xludf.DUMMYFUNCTION("if(GA$2="""","""", index(GOOGLEFINANCE($B$27,""close"",GA$2,TODAY()),2,2))"),"")</f>
        <v/>
      </c>
      <c r="GB27" s="1" t="str">
        <f ca="1">IFERROR(__xludf.DUMMYFUNCTION("if(GB$2="""","""", index(GOOGLEFINANCE($B$27,""close"",GB$2,TODAY()),2,2))"),"")</f>
        <v/>
      </c>
      <c r="GC27" s="1" t="str">
        <f ca="1">IFERROR(__xludf.DUMMYFUNCTION("if(GC$2="""","""", index(GOOGLEFINANCE($B$27,""close"",GC$2,TODAY()),2,2))"),"")</f>
        <v/>
      </c>
      <c r="GD27" s="1" t="str">
        <f ca="1">IFERROR(__xludf.DUMMYFUNCTION("if(GD$2="""","""", index(GOOGLEFINANCE($B$27,""close"",GD$2,TODAY()),2,2))"),"")</f>
        <v/>
      </c>
      <c r="GE27" s="1" t="str">
        <f ca="1">IFERROR(__xludf.DUMMYFUNCTION("if(GE$2="""","""", index(GOOGLEFINANCE($B$27,""close"",GE$2,TODAY()),2,2))"),"")</f>
        <v/>
      </c>
      <c r="GF27" s="1" t="str">
        <f ca="1">IFERROR(__xludf.DUMMYFUNCTION("if(GF$2="""","""", index(GOOGLEFINANCE($B$27,""close"",GF$2,TODAY()),2,2))"),"")</f>
        <v/>
      </c>
      <c r="GG27" s="1" t="str">
        <f ca="1">IFERROR(__xludf.DUMMYFUNCTION("if(GG$2="""","""", index(GOOGLEFINANCE($B$27,""close"",GG$2,TODAY()),2,2))"),"")</f>
        <v/>
      </c>
      <c r="GH27" s="1" t="str">
        <f ca="1">IFERROR(__xludf.DUMMYFUNCTION("if(GH$2="""","""", index(GOOGLEFINANCE($B$27,""close"",GH$2,TODAY()),2,2))"),"")</f>
        <v/>
      </c>
      <c r="GI27" s="1" t="str">
        <f ca="1">IFERROR(__xludf.DUMMYFUNCTION("if(GI$2="""","""", index(GOOGLEFINANCE($B$27,""close"",GI$2,TODAY()),2,2))"),"")</f>
        <v/>
      </c>
      <c r="GJ27" s="1" t="str">
        <f ca="1">IFERROR(__xludf.DUMMYFUNCTION("if(GJ$2="""","""", index(GOOGLEFINANCE($B$27,""close"",GJ$2,TODAY()),2,2))"),"")</f>
        <v/>
      </c>
      <c r="GK27" s="1" t="str">
        <f ca="1">IFERROR(__xludf.DUMMYFUNCTION("if(GK$2="""","""", index(GOOGLEFINANCE($B$27,""close"",GK$2,TODAY()),2,2))"),"")</f>
        <v/>
      </c>
      <c r="GL27" s="1" t="str">
        <f ca="1">IFERROR(__xludf.DUMMYFUNCTION("if(GL$2="""","""", index(GOOGLEFINANCE($B$27,""close"",GL$2,TODAY()),2,2))"),"")</f>
        <v/>
      </c>
      <c r="GM27" s="1" t="str">
        <f ca="1">IFERROR(__xludf.DUMMYFUNCTION("if(GM$2="""","""", index(GOOGLEFINANCE($B$27,""close"",GM$2,TODAY()),2,2))"),"")</f>
        <v/>
      </c>
      <c r="GN27" s="1" t="str">
        <f ca="1">IFERROR(__xludf.DUMMYFUNCTION("if(GN$2="""","""", index(GOOGLEFINANCE($B$27,""close"",GN$2,TODAY()),2,2))"),"")</f>
        <v/>
      </c>
      <c r="GO27" s="1" t="str">
        <f ca="1">IFERROR(__xludf.DUMMYFUNCTION("if(GO$2="""","""", index(GOOGLEFINANCE($B$27,""close"",GO$2,TODAY()),2,2))"),"")</f>
        <v/>
      </c>
      <c r="GP27" s="1" t="str">
        <f ca="1">IFERROR(__xludf.DUMMYFUNCTION("if(GP$2="""","""", index(GOOGLEFINANCE($B$27,""close"",GP$2,TODAY()),2,2))"),"")</f>
        <v/>
      </c>
      <c r="GQ27" s="1" t="str">
        <f ca="1">IFERROR(__xludf.DUMMYFUNCTION("if(GQ$2="""","""", index(GOOGLEFINANCE($B$27,""close"",GQ$2,TODAY()),2,2))"),"")</f>
        <v/>
      </c>
      <c r="GR27" s="1" t="str">
        <f ca="1">IFERROR(__xludf.DUMMYFUNCTION("if(GR$2="""","""", index(GOOGLEFINANCE($B$27,""close"",GR$2,TODAY()),2,2))"),"")</f>
        <v/>
      </c>
      <c r="GS27" s="1" t="str">
        <f ca="1">IFERROR(__xludf.DUMMYFUNCTION("if(GS$2="""","""", index(GOOGLEFINANCE($B$27,""close"",GS$2,TODAY()),2,2))"),"")</f>
        <v/>
      </c>
      <c r="GT27" s="1" t="str">
        <f ca="1">IFERROR(__xludf.DUMMYFUNCTION("if(GT$2="""","""", index(GOOGLEFINANCE($B$27,""close"",GT$2,TODAY()),2,2))"),"")</f>
        <v/>
      </c>
      <c r="GU27" s="1" t="str">
        <f ca="1">IFERROR(__xludf.DUMMYFUNCTION("if(GU$2="""","""", index(GOOGLEFINANCE($B$27,""close"",GU$2,TODAY()),2,2))"),"")</f>
        <v/>
      </c>
      <c r="GV27" s="1" t="str">
        <f ca="1">IFERROR(__xludf.DUMMYFUNCTION("if(GV$2="""","""", index(GOOGLEFINANCE($B$27,""close"",GV$2,TODAY()),2,2))"),"")</f>
        <v/>
      </c>
      <c r="GW27" s="1" t="str">
        <f ca="1">IFERROR(__xludf.DUMMYFUNCTION("if(GW$2="""","""", index(GOOGLEFINANCE($B$27,""close"",GW$2,TODAY()),2,2))"),"")</f>
        <v/>
      </c>
      <c r="GX27" s="1" t="str">
        <f ca="1">IFERROR(__xludf.DUMMYFUNCTION("if(GX$2="""","""", index(GOOGLEFINANCE($B$27,""close"",GX$2,TODAY()),2,2))"),"")</f>
        <v/>
      </c>
      <c r="GY27" s="1" t="str">
        <f ca="1">IFERROR(__xludf.DUMMYFUNCTION("if(GY$2="""","""", index(GOOGLEFINANCE($B$27,""close"",GY$2,TODAY()),2,2))"),"")</f>
        <v/>
      </c>
      <c r="GZ27" s="1" t="str">
        <f ca="1">IFERROR(__xludf.DUMMYFUNCTION("if(GZ$2="""","""", index(GOOGLEFINANCE($B$27,""close"",GZ$2,TODAY()),2,2))"),"")</f>
        <v/>
      </c>
      <c r="HA27" s="1" t="str">
        <f ca="1">IFERROR(__xludf.DUMMYFUNCTION("if(HA$2="""","""", index(GOOGLEFINANCE($B$27,""close"",HA$2,TODAY()),2,2))"),"")</f>
        <v/>
      </c>
      <c r="HB27" s="1" t="str">
        <f ca="1">IFERROR(__xludf.DUMMYFUNCTION("if(HB$2="""","""", index(GOOGLEFINANCE($B$27,""close"",HB$2,TODAY()),2,2))"),"")</f>
        <v/>
      </c>
      <c r="HC27" s="1" t="str">
        <f ca="1">IFERROR(__xludf.DUMMYFUNCTION("if(HC$2="""","""", index(GOOGLEFINANCE($B$27,""close"",HC$2,TODAY()),2,2))"),"")</f>
        <v/>
      </c>
      <c r="HD27" s="1" t="str">
        <f ca="1">IFERROR(__xludf.DUMMYFUNCTION("if(HD$2="""","""", index(GOOGLEFINANCE($B$27,""close"",HD$2,TODAY()),2,2))"),"")</f>
        <v/>
      </c>
      <c r="HE27" s="1" t="str">
        <f ca="1">IFERROR(__xludf.DUMMYFUNCTION("if(HE$2="""","""", index(GOOGLEFINANCE($B$27,""close"",HE$2,TODAY()),2,2))"),"")</f>
        <v/>
      </c>
      <c r="HF27" s="1" t="str">
        <f ca="1">IFERROR(__xludf.DUMMYFUNCTION("if(HF$2="""","""", index(GOOGLEFINANCE($B$27,""close"",HF$2,TODAY()),2,2))"),"")</f>
        <v/>
      </c>
      <c r="HG27" s="1" t="str">
        <f ca="1">IFERROR(__xludf.DUMMYFUNCTION("if(HG$2="""","""", index(GOOGLEFINANCE($B$27,""close"",HG$2,TODAY()),2,2))"),"")</f>
        <v/>
      </c>
      <c r="HH27" s="1" t="str">
        <f ca="1">IFERROR(__xludf.DUMMYFUNCTION("if(HH$2="""","""", index(GOOGLEFINANCE($B$27,""close"",HH$2,TODAY()),2,2))"),"")</f>
        <v/>
      </c>
      <c r="HI27" s="1" t="str">
        <f ca="1">IFERROR(__xludf.DUMMYFUNCTION("if(HI$2="""","""", index(GOOGLEFINANCE($B$27,""close"",HI$2,TODAY()),2,2))"),"")</f>
        <v/>
      </c>
      <c r="HJ27" s="1" t="str">
        <f ca="1">IFERROR(__xludf.DUMMYFUNCTION("if(HJ$2="""","""", index(GOOGLEFINANCE($B$27,""close"",HJ$2,TODAY()),2,2))"),"")</f>
        <v/>
      </c>
      <c r="HK27" s="1" t="str">
        <f ca="1">IFERROR(__xludf.DUMMYFUNCTION("if(HK$2="""","""", index(GOOGLEFINANCE($B$27,""close"",HK$2,TODAY()),2,2))"),"")</f>
        <v/>
      </c>
      <c r="HL27" s="1" t="str">
        <f ca="1">IFERROR(__xludf.DUMMYFUNCTION("if(HL$2="""","""", index(GOOGLEFINANCE($B$27,""close"",HL$2,TODAY()),2,2))"),"")</f>
        <v/>
      </c>
      <c r="HM27" s="1" t="str">
        <f ca="1">IFERROR(__xludf.DUMMYFUNCTION("if(HM$2="""","""", index(GOOGLEFINANCE($B$27,""close"",HM$2,TODAY()),2,2))"),"")</f>
        <v/>
      </c>
      <c r="HN27" s="1" t="str">
        <f ca="1">IFERROR(__xludf.DUMMYFUNCTION("if(HN$2="""","""", index(GOOGLEFINANCE($B$27,""close"",HN$2,TODAY()),2,2))"),"")</f>
        <v/>
      </c>
      <c r="HO27" s="1" t="str">
        <f ca="1">IFERROR(__xludf.DUMMYFUNCTION("if(HO$2="""","""", index(GOOGLEFINANCE($B$27,""close"",HO$2,TODAY()),2,2))"),"")</f>
        <v/>
      </c>
      <c r="HP27" s="1" t="str">
        <f ca="1">IFERROR(__xludf.DUMMYFUNCTION("if(HP$2="""","""", index(GOOGLEFINANCE($B$27,""close"",HP$2,TODAY()),2,2))"),"")</f>
        <v/>
      </c>
      <c r="HQ27" s="1" t="str">
        <f ca="1">IFERROR(__xludf.DUMMYFUNCTION("if(HQ$2="""","""", index(GOOGLEFINANCE($B$27,""close"",HQ$2,TODAY()),2,2))"),"")</f>
        <v/>
      </c>
      <c r="HR27" s="1" t="str">
        <f ca="1">IFERROR(__xludf.DUMMYFUNCTION("if(HR$2="""","""", index(GOOGLEFINANCE($B$27,""close"",HR$2,TODAY()),2,2))"),"")</f>
        <v/>
      </c>
      <c r="HS27" s="1" t="str">
        <f ca="1">IFERROR(__xludf.DUMMYFUNCTION("if(HS$2="""","""", index(GOOGLEFINANCE($B$27,""close"",HS$2,TODAY()),2,2))"),"")</f>
        <v/>
      </c>
      <c r="HT27" s="1" t="str">
        <f ca="1">IFERROR(__xludf.DUMMYFUNCTION("if(HT$2="""","""", index(GOOGLEFINANCE($B$27,""close"",HT$2,TODAY()),2,2))"),"")</f>
        <v/>
      </c>
      <c r="HU27" s="1" t="str">
        <f ca="1">IFERROR(__xludf.DUMMYFUNCTION("if(HU$2="""","""", index(GOOGLEFINANCE($B$27,""close"",HU$2,TODAY()),2,2))"),"")</f>
        <v/>
      </c>
      <c r="HV27" s="1" t="str">
        <f ca="1">IFERROR(__xludf.DUMMYFUNCTION("if(HV$2="""","""", index(GOOGLEFINANCE($B$27,""close"",HV$2,TODAY()),2,2))"),"")</f>
        <v/>
      </c>
      <c r="HW27" s="1" t="str">
        <f ca="1">IFERROR(__xludf.DUMMYFUNCTION("if(HW$2="""","""", index(GOOGLEFINANCE($B$27,""close"",HW$2,TODAY()),2,2))"),"")</f>
        <v/>
      </c>
      <c r="HX27" s="1" t="str">
        <f ca="1">IFERROR(__xludf.DUMMYFUNCTION("if(HX$2="""","""", index(GOOGLEFINANCE($B$27,""close"",HX$2,TODAY()),2,2))"),"")</f>
        <v/>
      </c>
      <c r="HY27" s="1" t="str">
        <f ca="1">IFERROR(__xludf.DUMMYFUNCTION("if(HY$2="""","""", index(GOOGLEFINANCE($B$27,""close"",HY$2,TODAY()),2,2))"),"")</f>
        <v/>
      </c>
      <c r="HZ27" s="1" t="str">
        <f ca="1">IFERROR(__xludf.DUMMYFUNCTION("if(HZ$2="""","""", index(GOOGLEFINANCE($B$27,""close"",HZ$2,TODAY()),2,2))"),"")</f>
        <v/>
      </c>
      <c r="IA27" s="1" t="str">
        <f ca="1">IFERROR(__xludf.DUMMYFUNCTION("if(IA$2="""","""", index(GOOGLEFINANCE($B$27,""close"",IA$2,TODAY()),2,2))"),"")</f>
        <v/>
      </c>
      <c r="IB27" s="1" t="str">
        <f ca="1">IFERROR(__xludf.DUMMYFUNCTION("if(IB$2="""","""", index(GOOGLEFINANCE($B$27,""close"",IB$2,TODAY()),2,2))"),"")</f>
        <v/>
      </c>
      <c r="IC27" s="1" t="str">
        <f ca="1">IFERROR(__xludf.DUMMYFUNCTION("if(IC$2="""","""", index(GOOGLEFINANCE($B$27,""close"",IC$2,TODAY()),2,2))"),"")</f>
        <v/>
      </c>
      <c r="ID27" s="1" t="str">
        <f ca="1">IFERROR(__xludf.DUMMYFUNCTION("if(ID$2="""","""", index(GOOGLEFINANCE($B$27,""close"",ID$2,TODAY()),2,2))"),"")</f>
        <v/>
      </c>
      <c r="IE27" s="1" t="str">
        <f ca="1">IFERROR(__xludf.DUMMYFUNCTION("if(IE$2="""","""", index(GOOGLEFINANCE($B$27,""close"",IE$2,TODAY()),2,2))"),"")</f>
        <v/>
      </c>
      <c r="IF27" s="1" t="str">
        <f ca="1">IFERROR(__xludf.DUMMYFUNCTION("if(IF$2="""","""", index(GOOGLEFINANCE($B$27,""close"",IF$2,TODAY()),2,2))"),"")</f>
        <v/>
      </c>
      <c r="IG27" s="1" t="str">
        <f ca="1">IFERROR(__xludf.DUMMYFUNCTION("if(IG$2="""","""", index(GOOGLEFINANCE($B$27,""close"",IG$2,TODAY()),2,2))"),"")</f>
        <v/>
      </c>
      <c r="IH27" s="1" t="str">
        <f ca="1">IFERROR(__xludf.DUMMYFUNCTION("if(IH$2="""","""", index(GOOGLEFINANCE($B$27,""close"",IH$2,TODAY()),2,2))"),"")</f>
        <v/>
      </c>
      <c r="II27" s="1" t="str">
        <f ca="1">IFERROR(__xludf.DUMMYFUNCTION("if(II$2="""","""", index(GOOGLEFINANCE($B$27,""close"",II$2,TODAY()),2,2))"),"")</f>
        <v/>
      </c>
      <c r="IJ27" s="1" t="str">
        <f ca="1">IFERROR(__xludf.DUMMYFUNCTION("if(IJ$2="""","""", index(GOOGLEFINANCE($B$27,""close"",IJ$2,TODAY()),2,2))"),"")</f>
        <v/>
      </c>
      <c r="IK27" s="1" t="str">
        <f ca="1">IFERROR(__xludf.DUMMYFUNCTION("if(IK$2="""","""", index(GOOGLEFINANCE($B$27,""close"",IK$2,TODAY()),2,2))"),"")</f>
        <v/>
      </c>
      <c r="IL27" s="1" t="str">
        <f ca="1">IFERROR(__xludf.DUMMYFUNCTION("if(IL$2="""","""", index(GOOGLEFINANCE($B$27,""close"",IL$2,TODAY()),2,2))"),"")</f>
        <v/>
      </c>
      <c r="IM27" s="1" t="str">
        <f ca="1">IFERROR(__xludf.DUMMYFUNCTION("if(IM$2="""","""", index(GOOGLEFINANCE($B$27,""close"",IM$2,TODAY()),2,2))"),"")</f>
        <v/>
      </c>
      <c r="IN27" s="1" t="str">
        <f ca="1">IFERROR(__xludf.DUMMYFUNCTION("if(IN$2="""","""", index(GOOGLEFINANCE($B$27,""close"",IN$2,TODAY()),2,2))"),"")</f>
        <v/>
      </c>
      <c r="IO27" s="1" t="str">
        <f ca="1">IFERROR(__xludf.DUMMYFUNCTION("if(IO$2="""","""", index(GOOGLEFINANCE($B$27,""close"",IO$2,TODAY()),2,2))"),"")</f>
        <v/>
      </c>
      <c r="IP27" s="1" t="str">
        <f ca="1">IFERROR(__xludf.DUMMYFUNCTION("if(IP$2="""","""", index(GOOGLEFINANCE($B$27,""close"",IP$2,TODAY()),2,2))"),"")</f>
        <v/>
      </c>
      <c r="IQ27" s="1" t="str">
        <f ca="1">IFERROR(__xludf.DUMMYFUNCTION("if(IQ$2="""","""", index(GOOGLEFINANCE($B$27,""close"",IQ$2,TODAY()),2,2))"),"")</f>
        <v/>
      </c>
      <c r="IR27" s="1" t="str">
        <f ca="1">IFERROR(__xludf.DUMMYFUNCTION("if(IR$2="""","""", index(GOOGLEFINANCE($B$27,""close"",IR$2,TODAY()),2,2))"),"")</f>
        <v/>
      </c>
      <c r="IS27" s="1" t="str">
        <f ca="1">IFERROR(__xludf.DUMMYFUNCTION("if(IS$2="""","""", index(GOOGLEFINANCE($B$27,""close"",IS$2,TODAY()),2,2))"),"")</f>
        <v/>
      </c>
      <c r="IT27" s="1" t="str">
        <f ca="1">IFERROR(__xludf.DUMMYFUNCTION("if(IT$2="""","""", index(GOOGLEFINANCE($B$27,""close"",IT$2,TODAY()),2,2))"),"")</f>
        <v/>
      </c>
      <c r="IU27" s="1" t="str">
        <f ca="1">IFERROR(__xludf.DUMMYFUNCTION("if(IU$2="""","""", index(GOOGLEFINANCE($B$27,""close"",IU$2,TODAY()),2,2))"),"")</f>
        <v/>
      </c>
      <c r="IV27" s="1" t="str">
        <f ca="1">IFERROR(__xludf.DUMMYFUNCTION("if(IV$2="""","""", index(GOOGLEFINANCE($B$27,""close"",IV$2,TODAY()),2,2))"),"")</f>
        <v/>
      </c>
      <c r="IW27" s="1" t="str">
        <f ca="1">IFERROR(__xludf.DUMMYFUNCTION("if(IW$2="""","""", index(GOOGLEFINANCE($B$27,""close"",IW$2,TODAY()),2,2))"),"")</f>
        <v/>
      </c>
      <c r="IX27" s="1" t="str">
        <f ca="1">IFERROR(__xludf.DUMMYFUNCTION("if(IX$2="""","""", index(GOOGLEFINANCE($B$27,""close"",IX$2,TODAY()),2,2))"),"")</f>
        <v/>
      </c>
      <c r="IY27" s="1" t="str">
        <f ca="1">IFERROR(__xludf.DUMMYFUNCTION("if(IY$2="""","""", index(GOOGLEFINANCE($B$27,""close"",IY$2,TODAY()),2,2))"),"")</f>
        <v/>
      </c>
      <c r="IZ27" s="1" t="str">
        <f ca="1">IFERROR(__xludf.DUMMYFUNCTION("if(IZ$2="""","""", index(GOOGLEFINANCE($B$27,""close"",IZ$2,TODAY()),2,2))"),"")</f>
        <v/>
      </c>
      <c r="JA27" s="1" t="str">
        <f ca="1">IFERROR(__xludf.DUMMYFUNCTION("if(JA$2="""","""", index(GOOGLEFINANCE($B$27,""close"",JA$2,TODAY()),2,2))"),"")</f>
        <v/>
      </c>
      <c r="JB27" s="1" t="str">
        <f ca="1">IFERROR(__xludf.DUMMYFUNCTION("if(JB$2="""","""", index(GOOGLEFINANCE($B$27,""close"",JB$2,TODAY()),2,2))"),"")</f>
        <v/>
      </c>
      <c r="JC27" s="1" t="str">
        <f ca="1">IFERROR(__xludf.DUMMYFUNCTION("if(JC$2="""","""", index(GOOGLEFINANCE($B$27,""close"",JC$2,TODAY()),2,2))"),"")</f>
        <v/>
      </c>
      <c r="JD27" s="1" t="str">
        <f ca="1">IFERROR(__xludf.DUMMYFUNCTION("if(JD$2="""","""", index(GOOGLEFINANCE($B$27,""close"",JD$2,TODAY()),2,2))"),"")</f>
        <v/>
      </c>
      <c r="JE27" s="1" t="str">
        <f ca="1">IFERROR(__xludf.DUMMYFUNCTION("if(JE$2="""","""", index(GOOGLEFINANCE($B$27,""close"",JE$2,TODAY()),2,2))"),"")</f>
        <v/>
      </c>
      <c r="JF27" s="1" t="str">
        <f ca="1">IFERROR(__xludf.DUMMYFUNCTION("if(JF$2="""","""", index(GOOGLEFINANCE($B$27,""close"",JF$2,TODAY()),2,2))"),"")</f>
        <v/>
      </c>
      <c r="JG27" s="1" t="str">
        <f ca="1">IFERROR(__xludf.DUMMYFUNCTION("if(JG$2="""","""", index(GOOGLEFINANCE($B$27,""close"",JG$2,TODAY()),2,2))"),"")</f>
        <v/>
      </c>
      <c r="JH27" s="1" t="str">
        <f ca="1">IFERROR(__xludf.DUMMYFUNCTION("if(JH$2="""","""", index(GOOGLEFINANCE($B$27,""close"",JH$2,TODAY()),2,2))"),"")</f>
        <v/>
      </c>
      <c r="JI27" s="1" t="str">
        <f ca="1">IFERROR(__xludf.DUMMYFUNCTION("if(JI$2="""","""", index(GOOGLEFINANCE($B$27,""close"",JI$2,TODAY()),2,2))"),"")</f>
        <v/>
      </c>
      <c r="JJ27" s="1" t="str">
        <f ca="1">IFERROR(__xludf.DUMMYFUNCTION("if(JJ$2="""","""", index(GOOGLEFINANCE($B$27,""close"",JJ$2,TODAY()),2,2))"),"")</f>
        <v/>
      </c>
      <c r="JK27" s="1" t="str">
        <f ca="1">IFERROR(__xludf.DUMMYFUNCTION("if(JK$2="""","""", index(GOOGLEFINANCE($B$27,""close"",JK$2,TODAY()),2,2))"),"")</f>
        <v/>
      </c>
      <c r="JL27" s="1" t="str">
        <f ca="1">IFERROR(__xludf.DUMMYFUNCTION("if(JL$2="""","""", index(GOOGLEFINANCE($B$27,""close"",JL$2,TODAY()),2,2))"),"")</f>
        <v/>
      </c>
      <c r="JM27" s="1" t="str">
        <f ca="1">IFERROR(__xludf.DUMMYFUNCTION("if(JM$2="""","""", index(GOOGLEFINANCE($B$27,""close"",JM$2,TODAY()),2,2))"),"")</f>
        <v/>
      </c>
      <c r="JN27" s="1" t="str">
        <f ca="1">IFERROR(__xludf.DUMMYFUNCTION("if(JN$2="""","""", index(GOOGLEFINANCE($B$27,""close"",JN$2,TODAY()),2,2))"),"")</f>
        <v/>
      </c>
      <c r="JO27" s="1" t="str">
        <f ca="1">IFERROR(__xludf.DUMMYFUNCTION("if(JO$2="""","""", index(GOOGLEFINANCE($B$27,""close"",JO$2,TODAY()),2,2))"),"")</f>
        <v/>
      </c>
      <c r="JP27" s="1" t="str">
        <f ca="1">IFERROR(__xludf.DUMMYFUNCTION("if(JP$2="""","""", index(GOOGLEFINANCE($B$27,""close"",JP$2,TODAY()),2,2))"),"")</f>
        <v/>
      </c>
      <c r="JQ27" s="1" t="str">
        <f ca="1">IFERROR(__xludf.DUMMYFUNCTION("if(JQ$2="""","""", index(GOOGLEFINANCE($B$27,""close"",JQ$2,TODAY()),2,2))"),"")</f>
        <v/>
      </c>
      <c r="JR27" s="1" t="str">
        <f ca="1">IFERROR(__xludf.DUMMYFUNCTION("if(JR$2="""","""", index(GOOGLEFINANCE($B$27,""close"",JR$2,TODAY()),2,2))"),"")</f>
        <v/>
      </c>
      <c r="JS27" s="1" t="str">
        <f ca="1">IFERROR(__xludf.DUMMYFUNCTION("if(JS$2="""","""", index(GOOGLEFINANCE($B$27,""close"",JS$2,TODAY()),2,2))"),"")</f>
        <v/>
      </c>
      <c r="JT27" s="1" t="str">
        <f ca="1">IFERROR(__xludf.DUMMYFUNCTION("if(JT$2="""","""", index(GOOGLEFINANCE($B$27,""close"",JT$2,TODAY()),2,2))"),"")</f>
        <v/>
      </c>
      <c r="JU27" s="1" t="str">
        <f ca="1">IFERROR(__xludf.DUMMYFUNCTION("if(JU$2="""","""", index(GOOGLEFINANCE($B$27,""close"",JU$2,TODAY()),2,2))"),"")</f>
        <v/>
      </c>
      <c r="JV27" s="1" t="str">
        <f ca="1">IFERROR(__xludf.DUMMYFUNCTION("if(JV$2="""","""", index(GOOGLEFINANCE($B$27,""close"",JV$2,TODAY()),2,2))"),"")</f>
        <v/>
      </c>
      <c r="JW27" s="1" t="str">
        <f ca="1">IFERROR(__xludf.DUMMYFUNCTION("if(JW$2="""","""", index(GOOGLEFINANCE($B$27,""close"",JW$2,TODAY()),2,2))"),"")</f>
        <v/>
      </c>
      <c r="JX27" s="1" t="str">
        <f ca="1">IFERROR(__xludf.DUMMYFUNCTION("if(JX$2="""","""", index(GOOGLEFINANCE($B$27,""close"",JX$2,TODAY()),2,2))"),"")</f>
        <v/>
      </c>
      <c r="JY27" s="1" t="str">
        <f ca="1">IFERROR(__xludf.DUMMYFUNCTION("if(JY$2="""","""", index(GOOGLEFINANCE($B$27,""close"",JY$2,TODAY()),2,2))"),"")</f>
        <v/>
      </c>
      <c r="JZ27" s="1" t="str">
        <f ca="1">IFERROR(__xludf.DUMMYFUNCTION("if(JZ$2="""","""", index(GOOGLEFINANCE($B$27,""close"",JZ$2,TODAY()),2,2))"),"")</f>
        <v/>
      </c>
      <c r="KA27" s="1" t="str">
        <f ca="1">IFERROR(__xludf.DUMMYFUNCTION("if(KA$2="""","""", index(GOOGLEFINANCE($B$27,""close"",KA$2,TODAY()),2,2))"),"")</f>
        <v/>
      </c>
      <c r="KB27" s="1" t="str">
        <f ca="1">IFERROR(__xludf.DUMMYFUNCTION("if(KB$2="""","""", index(GOOGLEFINANCE($B$27,""close"",KB$2,TODAY()),2,2))"),"")</f>
        <v/>
      </c>
      <c r="KC27" s="1" t="str">
        <f ca="1">IFERROR(__xludf.DUMMYFUNCTION("if(KC$2="""","""", index(GOOGLEFINANCE($B$27,""close"",KC$2,TODAY()),2,2))"),"")</f>
        <v/>
      </c>
      <c r="KD27" s="1" t="str">
        <f ca="1">IFERROR(__xludf.DUMMYFUNCTION("if(KD$2="""","""", index(GOOGLEFINANCE($B$27,""close"",KD$2,TODAY()),2,2))"),"")</f>
        <v/>
      </c>
      <c r="KE27" s="1" t="str">
        <f ca="1">IFERROR(__xludf.DUMMYFUNCTION("if(KE$2="""","""", index(GOOGLEFINANCE($B$27,""close"",KE$2,TODAY()),2,2))"),"")</f>
        <v/>
      </c>
      <c r="KF27" s="1" t="str">
        <f ca="1">IFERROR(__xludf.DUMMYFUNCTION("if(KF$2="""","""", index(GOOGLEFINANCE($B$27,""close"",KF$2,TODAY()),2,2))"),"")</f>
        <v/>
      </c>
      <c r="KG27" s="1" t="str">
        <f ca="1">IFERROR(__xludf.DUMMYFUNCTION("if(KG$2="""","""", index(GOOGLEFINANCE($B$27,""close"",KG$2,TODAY()),2,2))"),"")</f>
        <v/>
      </c>
    </row>
    <row r="28" spans="1:293" ht="15.75" customHeight="1">
      <c r="A28" s="18" t="s">
        <v>30</v>
      </c>
      <c r="B28" s="6" t="s">
        <v>71</v>
      </c>
      <c r="C28" s="1">
        <f ca="1">IFERROR(__xludf.DUMMYFUNCTION("if(C$2="""","""", index(GOOGLEFINANCE($B$28,""close"",C$2,TODAY()),2,2))"),13.66)</f>
        <v>13.66</v>
      </c>
      <c r="D28" s="1">
        <f ca="1">IFERROR(__xludf.DUMMYFUNCTION("if(D$2="""","""", index(GOOGLEFINANCE($B$28,""close"",D$2,TODAY()),2,2))"),13.72)</f>
        <v>13.72</v>
      </c>
      <c r="E28" s="1">
        <f ca="1">IFERROR(__xludf.DUMMYFUNCTION("if(E$2="""","""", index(GOOGLEFINANCE($B$28,""close"",E$2,TODAY()),2,2))"),12.77)</f>
        <v>12.77</v>
      </c>
      <c r="F28" s="1">
        <f ca="1">IFERROR(__xludf.DUMMYFUNCTION("if(F$2="""","""", index(GOOGLEFINANCE($B$28,""close"",F$2,TODAY()),2,2))"),12.7)</f>
        <v>12.7</v>
      </c>
      <c r="G28" s="1">
        <f ca="1">IFERROR(__xludf.DUMMYFUNCTION("if(G$2="""","""", index(GOOGLEFINANCE($B$28,""close"",G$2,TODAY()),2,2))"),12.68)</f>
        <v>12.68</v>
      </c>
      <c r="H28" s="1">
        <f ca="1">IFERROR(__xludf.DUMMYFUNCTION("if(H$2="""","""", index(GOOGLEFINANCE($B$28,""close"",H$2,TODAY()),2,2))"),12.54)</f>
        <v>12.54</v>
      </c>
      <c r="I28" s="1">
        <f ca="1">IFERROR(__xludf.DUMMYFUNCTION("if(I$2="""","""", index(GOOGLEFINANCE($B$28,""close"",I$2,TODAY()),2,2))"),12.37)</f>
        <v>12.37</v>
      </c>
      <c r="J28" s="1">
        <f ca="1">IFERROR(__xludf.DUMMYFUNCTION("if(J$2="""","""", index(GOOGLEFINANCE($B$28,""close"",J$2,TODAY()),2,2))"),12.28)</f>
        <v>12.28</v>
      </c>
      <c r="K28" s="1">
        <f ca="1">IFERROR(__xludf.DUMMYFUNCTION("if(K$2="""","""", index(GOOGLEFINANCE($B$28,""close"",K$2,TODAY()),2,2))"),12)</f>
        <v>12</v>
      </c>
      <c r="L28" s="1">
        <f ca="1">IFERROR(__xludf.DUMMYFUNCTION("if(L$2="""","""", index(GOOGLEFINANCE($B$28,""close"",L$2,TODAY()),2,2))"),12.1)</f>
        <v>12.1</v>
      </c>
      <c r="M28" s="1">
        <f ca="1">IFERROR(__xludf.DUMMYFUNCTION("if(M$2="""","""", index(GOOGLEFINANCE($B$28,""close"",M$2,TODAY()),2,2))"),11.72)</f>
        <v>11.72</v>
      </c>
      <c r="N28" s="1">
        <f ca="1">IFERROR(__xludf.DUMMYFUNCTION("if(N$2="""","""", index(GOOGLEFINANCE($B$28,""close"",N$2,TODAY()),2,2))"),12.14)</f>
        <v>12.14</v>
      </c>
      <c r="O28" s="1">
        <f ca="1">IFERROR(__xludf.DUMMYFUNCTION("if(O$2="""","""", index(GOOGLEFINANCE($B$28,""close"",O$2,TODAY()),2,2))"),11.78)</f>
        <v>11.78</v>
      </c>
      <c r="P28" s="1">
        <f ca="1">IFERROR(__xludf.DUMMYFUNCTION("if(P$2="""","""", index(GOOGLEFINANCE($B$28,""close"",P$2,TODAY()),2,2))"),10.95)</f>
        <v>10.95</v>
      </c>
      <c r="Q28" s="1">
        <f ca="1">IFERROR(__xludf.DUMMYFUNCTION("if(Q$2="""","""", index(GOOGLEFINANCE($B$28,""close"",Q$2,TODAY()),2,2))"),11.18)</f>
        <v>11.18</v>
      </c>
      <c r="R28" s="1">
        <f ca="1">IFERROR(__xludf.DUMMYFUNCTION("if(R$2="""","""", index(GOOGLEFINANCE($B$28,""close"",R$2,TODAY()),2,2))"),10.9)</f>
        <v>10.9</v>
      </c>
      <c r="S28" s="1">
        <f ca="1">IFERROR(__xludf.DUMMYFUNCTION("if(S$2="""","""", index(GOOGLEFINANCE($B$28,""close"",S$2,TODAY()),2,2))"),10.65)</f>
        <v>10.65</v>
      </c>
      <c r="T28" s="1">
        <f ca="1">IFERROR(__xludf.DUMMYFUNCTION("if(T$2="""","""", index(GOOGLEFINANCE($B$28,""close"",T$2,TODAY()),2,2))"),10.36)</f>
        <v>10.36</v>
      </c>
      <c r="U28" s="1">
        <f ca="1">IFERROR(__xludf.DUMMYFUNCTION("if(U$2="""","""", index(GOOGLEFINANCE($B$28,""close"",U$2,TODAY()),2,2))"),10.65)</f>
        <v>10.65</v>
      </c>
      <c r="V28" s="1">
        <f ca="1">IFERROR(__xludf.DUMMYFUNCTION("if(V$2="""","""", index(GOOGLEFINANCE($B$28,""close"",V$2,TODAY()),2,2))"),11.12)</f>
        <v>11.12</v>
      </c>
      <c r="W28" s="1">
        <f ca="1">IFERROR(__xludf.DUMMYFUNCTION("if(W$2="""","""", index(GOOGLEFINANCE($B$28,""close"",W$2,TODAY()),2,2))"),11.06)</f>
        <v>11.06</v>
      </c>
      <c r="X28" s="1">
        <f ca="1">IFERROR(__xludf.DUMMYFUNCTION("if(X$2="""","""", index(GOOGLEFINANCE($B$28,""close"",X$2,TODAY()),2,2))"),10.51)</f>
        <v>10.51</v>
      </c>
      <c r="Y28" s="1">
        <f ca="1">IFERROR(__xludf.DUMMYFUNCTION("if(Y$2="""","""", index(GOOGLEFINANCE($B$28,""close"",Y$2,TODAY()),2,2))"),9.93)</f>
        <v>9.93</v>
      </c>
      <c r="Z28" s="1">
        <f ca="1">IFERROR(__xludf.DUMMYFUNCTION("if(Z$2="""","""", index(GOOGLEFINANCE($B$28,""close"",Z$2,TODAY()),2,2))"),10.46)</f>
        <v>10.46</v>
      </c>
      <c r="AA28" s="1">
        <f ca="1">IFERROR(__xludf.DUMMYFUNCTION("if(AA$2="""","""", index(GOOGLEFINANCE($B$28,""close"",AA$2,TODAY()),2,2))"),10.58)</f>
        <v>10.58</v>
      </c>
      <c r="AB28" s="1">
        <f ca="1">IFERROR(__xludf.DUMMYFUNCTION("if(AB$2="""","""", index(GOOGLEFINANCE($B$28,""close"",AB$2,TODAY()),2,2))"),10.67)</f>
        <v>10.67</v>
      </c>
      <c r="AC28" s="1">
        <f ca="1">IFERROR(__xludf.DUMMYFUNCTION("if(AC$2="""","""", index(GOOGLEFINANCE($B$28,""close"",AC$2,TODAY()),2,2))"),11.28)</f>
        <v>11.28</v>
      </c>
      <c r="AD28" s="1">
        <f ca="1">IFERROR(__xludf.DUMMYFUNCTION("if(AD$2="""","""", index(GOOGLEFINANCE($B$28,""close"",AD$2,TODAY()),2,2))"),11.05)</f>
        <v>11.05</v>
      </c>
      <c r="AE28" s="1">
        <f ca="1">IFERROR(__xludf.DUMMYFUNCTION("if(AE$2="""","""", index(GOOGLEFINANCE($B$28,""close"",AE$2,TODAY()),2,2))"),10.91)</f>
        <v>10.91</v>
      </c>
      <c r="AF28" s="1">
        <f ca="1">IFERROR(__xludf.DUMMYFUNCTION("if(AF$2="""","""", index(GOOGLEFINANCE($B$28,""close"",AF$2,TODAY()),2,2))"),10.86)</f>
        <v>10.86</v>
      </c>
      <c r="AG28" s="1">
        <f ca="1">IFERROR(__xludf.DUMMYFUNCTION("if(AG$2="""","""", index(GOOGLEFINANCE($B$28,""close"",AG$2,TODAY()),2,2))"),11.18)</f>
        <v>11.18</v>
      </c>
      <c r="AH28" s="1">
        <f ca="1">IFERROR(__xludf.DUMMYFUNCTION("if(AH$2="""","""", index(GOOGLEFINANCE($B$28,""close"",AH$2,TODAY()),2,2))"),11.19)</f>
        <v>11.19</v>
      </c>
      <c r="AI28" s="1">
        <f ca="1">IFERROR(__xludf.DUMMYFUNCTION("if(AI$2="""","""", index(GOOGLEFINANCE($B$28,""close"",AI$2,TODAY()),2,2))"),10.69)</f>
        <v>10.69</v>
      </c>
      <c r="AJ28" s="1">
        <f ca="1">IFERROR(__xludf.DUMMYFUNCTION("if(AJ$2="""","""", index(GOOGLEFINANCE($B$28,""close"",AJ$2,TODAY()),2,2))"),10.55)</f>
        <v>10.55</v>
      </c>
      <c r="AK28" s="1">
        <f ca="1">IFERROR(__xludf.DUMMYFUNCTION("if(AK$2="""","""", index(GOOGLEFINANCE($B$28,""close"",AK$2,TODAY()),2,2))"),10.33)</f>
        <v>10.33</v>
      </c>
      <c r="AL28" s="1">
        <f ca="1">IFERROR(__xludf.DUMMYFUNCTION("if(AL$2="""","""", index(GOOGLEFINANCE($B$28,""close"",AL$2,TODAY()),2,2))"),9.78)</f>
        <v>9.7799999999999994</v>
      </c>
      <c r="AM28" s="1">
        <f ca="1">IFERROR(__xludf.DUMMYFUNCTION("if(AM$2="""","""", index(GOOGLEFINANCE($B$28,""close"",AM$2,TODAY()),2,2))"),10.2)</f>
        <v>10.199999999999999</v>
      </c>
      <c r="AN28" s="1">
        <f ca="1">IFERROR(__xludf.DUMMYFUNCTION("if(AN$2="""","""", index(GOOGLEFINANCE($B$28,""close"",AN$2,TODAY()),2,2))"),9.98)</f>
        <v>9.98</v>
      </c>
      <c r="AO28" s="1">
        <f ca="1">IFERROR(__xludf.DUMMYFUNCTION("if(AO$2="""","""", index(GOOGLEFINANCE($B$28,""close"",AO$2,TODAY()),2,2))"),10.24)</f>
        <v>10.24</v>
      </c>
      <c r="AP28" s="1">
        <f ca="1">IFERROR(__xludf.DUMMYFUNCTION("if(AP$2="""","""", index(GOOGLEFINANCE($B$28,""close"",AP$2,TODAY()),2,2))"),10.98)</f>
        <v>10.98</v>
      </c>
      <c r="AQ28" s="1">
        <f ca="1">IFERROR(__xludf.DUMMYFUNCTION("if(AQ$2="""","""", index(GOOGLEFINANCE($B$28,""close"",AQ$2,TODAY()),2,2))"),10.75)</f>
        <v>10.75</v>
      </c>
      <c r="AR28" s="1">
        <f ca="1">IFERROR(__xludf.DUMMYFUNCTION("if(AR$2="""","""", index(GOOGLEFINANCE($B$28,""close"",AR$2,TODAY()),2,2))"),10.6)</f>
        <v>10.6</v>
      </c>
      <c r="AS28" s="1">
        <f ca="1">IFERROR(__xludf.DUMMYFUNCTION("if(AS$2="""","""", index(GOOGLEFINANCE($B$28,""close"",AS$2,TODAY()),2,2))"),10.5)</f>
        <v>10.5</v>
      </c>
      <c r="AT28" s="1">
        <f ca="1">IFERROR(__xludf.DUMMYFUNCTION("if(AT$2="""","""", index(GOOGLEFINANCE($B$28,""close"",AT$2,TODAY()),2,2))"),10.12)</f>
        <v>10.119999999999999</v>
      </c>
      <c r="AU28" s="1">
        <f ca="1">IFERROR(__xludf.DUMMYFUNCTION("if(AU$2="""","""", index(GOOGLEFINANCE($B$28,""close"",AU$2,TODAY()),2,2))"),10.34)</f>
        <v>10.34</v>
      </c>
      <c r="AV28" s="1">
        <f ca="1">IFERROR(__xludf.DUMMYFUNCTION("if(AV$2="""","""", index(GOOGLEFINANCE($B$28,""close"",AV$2,TODAY()),2,2))"),11.05)</f>
        <v>11.05</v>
      </c>
      <c r="AW28" s="1">
        <f ca="1">IFERROR(__xludf.DUMMYFUNCTION("if(AW$2="""","""", index(GOOGLEFINANCE($B$28,""close"",AW$2,TODAY()),2,2))"),10.93)</f>
        <v>10.93</v>
      </c>
      <c r="AX28" s="1">
        <f ca="1">IFERROR(__xludf.DUMMYFUNCTION("if(AX$2="""","""", index(GOOGLEFINANCE($B$28,""close"",AX$2,TODAY()),2,2))"),10.63)</f>
        <v>10.63</v>
      </c>
      <c r="AY28" s="1">
        <f ca="1">IFERROR(__xludf.DUMMYFUNCTION("if(AY$2="""","""", index(GOOGLEFINANCE($B$28,""close"",AY$2,TODAY()),2,2))"),4.16)</f>
        <v>4.16</v>
      </c>
      <c r="AZ28" s="1">
        <f ca="1">IFERROR(__xludf.DUMMYFUNCTION("if(AZ$2="""","""", index(GOOGLEFINANCE($B$28,""close"",AZ$2,TODAY()),2,2))"),4.48)</f>
        <v>4.4800000000000004</v>
      </c>
      <c r="BA28" s="1">
        <f ca="1">IFERROR(__xludf.DUMMYFUNCTION("if(BA$2="""","""", index(GOOGLEFINANCE($B$28,""close"",BA$2,TODAY()),2,2))"),4.63)</f>
        <v>4.63</v>
      </c>
      <c r="BB28" s="1">
        <f ca="1">IFERROR(__xludf.DUMMYFUNCTION("if(BB$2="""","""", index(GOOGLEFINANCE($B$28,""close"",BB$2,TODAY()),2,2))"),5.54)</f>
        <v>5.54</v>
      </c>
      <c r="BC28" s="1">
        <f ca="1">IFERROR(__xludf.DUMMYFUNCTION("if(BC$2="""","""", index(GOOGLEFINANCE($B$28,""close"",BC$2,TODAY()),2,2))"),5.6)</f>
        <v>5.6</v>
      </c>
      <c r="BD28" s="1">
        <f ca="1">IFERROR(__xludf.DUMMYFUNCTION("if(BD$2="""","""", index(GOOGLEFINANCE($B$28,""close"",BD$2,TODAY()),2,2))"),5.69)</f>
        <v>5.69</v>
      </c>
      <c r="BE28" s="1">
        <f ca="1">IFERROR(__xludf.DUMMYFUNCTION("if(BE$2="""","""", index(GOOGLEFINANCE($B$28,""close"",BE$2,TODAY()),2,2))"),6.08)</f>
        <v>6.08</v>
      </c>
      <c r="BF28" s="1">
        <f ca="1">IFERROR(__xludf.DUMMYFUNCTION("if(BF$2="""","""", index(GOOGLEFINANCE($B$28,""close"",BF$2,TODAY()),2,2))"),6.17)</f>
        <v>6.17</v>
      </c>
      <c r="BG28" s="1">
        <f ca="1">IFERROR(__xludf.DUMMYFUNCTION("if(BG$2="""","""", index(GOOGLEFINANCE($B$28,""close"",BG$2,TODAY()),2,2))"),5.87)</f>
        <v>5.87</v>
      </c>
      <c r="BH28" s="1">
        <f ca="1">IFERROR(__xludf.DUMMYFUNCTION("if(BH$2="""","""", index(GOOGLEFINANCE($B$28,""close"",BH$2,TODAY()),2,2))"),5.62)</f>
        <v>5.62</v>
      </c>
      <c r="BI28" s="1">
        <f ca="1">IFERROR(__xludf.DUMMYFUNCTION("if(BI$2="""","""", index(GOOGLEFINANCE($B$28,""close"",BI$2,TODAY()),2,2))"),5.55)</f>
        <v>5.55</v>
      </c>
      <c r="BJ28" s="1">
        <f ca="1">IFERROR(__xludf.DUMMYFUNCTION("if(BJ$2="""","""", index(GOOGLEFINANCE($B$28,""close"",BJ$2,TODAY()),2,2))"),5.75)</f>
        <v>5.75</v>
      </c>
      <c r="BK28" s="1">
        <f ca="1">IFERROR(__xludf.DUMMYFUNCTION("if(BK$2="""","""", index(GOOGLEFINANCE($B$28,""close"",BK$2,TODAY()),2,2))"),5.57)</f>
        <v>5.57</v>
      </c>
      <c r="BL28" s="1">
        <f ca="1">IFERROR(__xludf.DUMMYFUNCTION("if(BL$2="""","""", index(GOOGLEFINANCE($B$28,""close"",BL$2,TODAY()),2,2))"),5.39)</f>
        <v>5.39</v>
      </c>
      <c r="BM28" s="1">
        <f ca="1">IFERROR(__xludf.DUMMYFUNCTION("if(BM$2="""","""", index(GOOGLEFINANCE($B$28,""close"",BM$2,TODAY()),2,2))"),5.59)</f>
        <v>5.59</v>
      </c>
      <c r="BN28" s="1">
        <f ca="1">IFERROR(__xludf.DUMMYFUNCTION("if(BN$2="""","""", index(GOOGLEFINANCE($B$28,""close"",BN$2,TODAY()),2,2))"),5.73)</f>
        <v>5.73</v>
      </c>
      <c r="BO28" s="1">
        <f ca="1">IFERROR(__xludf.DUMMYFUNCTION("if(BO$2="""","""", index(GOOGLEFINANCE($B$28,""close"",BO$2,TODAY()),2,2))"),5.64)</f>
        <v>5.64</v>
      </c>
      <c r="BP28" s="1">
        <f ca="1">IFERROR(__xludf.DUMMYFUNCTION("if(BP$2="""","""", index(GOOGLEFINANCE($B$28,""close"",BP$2,TODAY()),2,2))"),5.74)</f>
        <v>5.74</v>
      </c>
      <c r="BQ28" s="1">
        <f ca="1">IFERROR(__xludf.DUMMYFUNCTION("if(BQ$2="""","""", index(GOOGLEFINANCE($B$28,""close"",BQ$2,TODAY()),2,2))"),5.77)</f>
        <v>5.77</v>
      </c>
      <c r="BR28" s="1">
        <f ca="1">IFERROR(__xludf.DUMMYFUNCTION("if(BR$2="""","""", index(GOOGLEFINANCE($B$28,""close"",BR$2,TODAY()),2,2))"),5.51)</f>
        <v>5.51</v>
      </c>
      <c r="BS28" s="1">
        <f ca="1">IFERROR(__xludf.DUMMYFUNCTION("if(BS$2="""","""", index(GOOGLEFINANCE($B$28,""close"",BS$2,TODAY()),2,2))"),5.6)</f>
        <v>5.6</v>
      </c>
      <c r="BT28" s="1">
        <f ca="1">IFERROR(__xludf.DUMMYFUNCTION("if(BT$2="""","""", index(GOOGLEFINANCE($B$28,""close"",BT$2,TODAY()),2,2))"),5.71)</f>
        <v>5.71</v>
      </c>
      <c r="BU28" s="1">
        <f ca="1">IFERROR(__xludf.DUMMYFUNCTION("if(BU$2="""","""", index(GOOGLEFINANCE($B$28,""close"",BU$2,TODAY()),2,2))"),6.17)</f>
        <v>6.17</v>
      </c>
      <c r="BV28" s="1">
        <f ca="1">IFERROR(__xludf.DUMMYFUNCTION("if(BV$2="""","""", index(GOOGLEFINANCE($B$28,""close"",BV$2,TODAY()),2,2))"),6.16)</f>
        <v>6.16</v>
      </c>
      <c r="BW28" s="1">
        <f ca="1">IFERROR(__xludf.DUMMYFUNCTION("if(BW$2="""","""", index(GOOGLEFINANCE($B$28,""close"",BW$2,TODAY()),2,2))"),4.74)</f>
        <v>4.74</v>
      </c>
      <c r="BX28" s="1">
        <f ca="1">IFERROR(__xludf.DUMMYFUNCTION("if(BX$2="""","""", index(GOOGLEFINANCE($B$28,""close"",BX$2,TODAY()),2,2))"),4.63)</f>
        <v>4.63</v>
      </c>
      <c r="BY28" s="1">
        <f ca="1">IFERROR(__xludf.DUMMYFUNCTION("if(BY$2="""","""", index(GOOGLEFINANCE($B$28,""close"",BY$2,TODAY()),2,2))"),4.66)</f>
        <v>4.66</v>
      </c>
      <c r="BZ28" s="1">
        <f ca="1">IFERROR(__xludf.DUMMYFUNCTION("if(BZ$2="""","""", index(GOOGLEFINANCE($B$28,""close"",BZ$2,TODAY()),2,2))"),4.5)</f>
        <v>4.5</v>
      </c>
      <c r="CA28" s="1">
        <f ca="1">IFERROR(__xludf.DUMMYFUNCTION("if(CA$2="""","""", index(GOOGLEFINANCE($B$28,""close"",CA$2,TODAY()),2,2))"),4.56)</f>
        <v>4.5599999999999996</v>
      </c>
      <c r="CB28" s="1">
        <f ca="1">IFERROR(__xludf.DUMMYFUNCTION("if(CB$2="""","""", index(GOOGLEFINANCE($B$28,""close"",CB$2,TODAY()),2,2))"),4.72)</f>
        <v>4.72</v>
      </c>
      <c r="CC28" s="1">
        <f ca="1">IFERROR(__xludf.DUMMYFUNCTION("if(CC$2="""","""", index(GOOGLEFINANCE($B$28,""close"",CC$2,TODAY()),2,2))"),4.33)</f>
        <v>4.33</v>
      </c>
      <c r="CD28" s="1">
        <f ca="1">IFERROR(__xludf.DUMMYFUNCTION("if(CD$2="""","""", index(GOOGLEFINANCE($B$28,""close"",CD$2,TODAY()),2,2))"),4.26)</f>
        <v>4.26</v>
      </c>
      <c r="CE28" s="1">
        <f ca="1">IFERROR(__xludf.DUMMYFUNCTION("if(CE$2="""","""", index(GOOGLEFINANCE($B$28,""close"",CE$2,TODAY()),2,2))"),4.21)</f>
        <v>4.21</v>
      </c>
      <c r="CF28" s="1">
        <f ca="1">IFERROR(__xludf.DUMMYFUNCTION("if(CF$2="""","""", index(GOOGLEFINANCE($B$28,""close"",CF$2,TODAY()),2,2))"),4.13)</f>
        <v>4.13</v>
      </c>
      <c r="CG28" s="1">
        <f ca="1">IFERROR(__xludf.DUMMYFUNCTION("if(CG$2="""","""", index(GOOGLEFINANCE($B$28,""close"",CG$2,TODAY()),2,2))"),4.5)</f>
        <v>4.5</v>
      </c>
      <c r="CH28" s="1">
        <f ca="1">IFERROR(__xludf.DUMMYFUNCTION("if(CH$2="""","""", index(GOOGLEFINANCE($B$28,""close"",CH$2,TODAY()),2,2))"),4.51)</f>
        <v>4.51</v>
      </c>
      <c r="CI28" s="1">
        <f ca="1">IFERROR(__xludf.DUMMYFUNCTION("if(CI$2="""","""", index(GOOGLEFINANCE($B$28,""close"",CI$2,TODAY()),2,2))"),4.66)</f>
        <v>4.66</v>
      </c>
      <c r="CJ28" s="1" t="str">
        <f ca="1">IFERROR(__xludf.DUMMYFUNCTION("if(CJ$2="""","""", index(GOOGLEFINANCE($B$28,""close"",CJ$2,TODAY()),2,2))"),"")</f>
        <v/>
      </c>
      <c r="CK28" s="1" t="str">
        <f ca="1">IFERROR(__xludf.DUMMYFUNCTION("if(CK$2="""","""", index(GOOGLEFINANCE($B$28,""close"",CK$2,TODAY()),2,2))"),"")</f>
        <v/>
      </c>
      <c r="CL28" s="1" t="str">
        <f ca="1">IFERROR(__xludf.DUMMYFUNCTION("if(CL$2="""","""", index(GOOGLEFINANCE($B$28,""close"",CL$2,TODAY()),2,2))"),"")</f>
        <v/>
      </c>
      <c r="CM28" s="1" t="str">
        <f ca="1">IFERROR(__xludf.DUMMYFUNCTION("if(CM$2="""","""", index(GOOGLEFINANCE($B$28,""close"",CM$2,TODAY()),2,2))"),"")</f>
        <v/>
      </c>
      <c r="CN28" s="1" t="str">
        <f ca="1">IFERROR(__xludf.DUMMYFUNCTION("if(CN$2="""","""", index(GOOGLEFINANCE($B$28,""close"",CN$2,TODAY()),2,2))"),"")</f>
        <v/>
      </c>
      <c r="CO28" s="1" t="str">
        <f ca="1">IFERROR(__xludf.DUMMYFUNCTION("if(CO$2="""","""", index(GOOGLEFINANCE($B$28,""close"",CO$2,TODAY()),2,2))"),"")</f>
        <v/>
      </c>
      <c r="CP28" s="1" t="str">
        <f ca="1">IFERROR(__xludf.DUMMYFUNCTION("if(CP$2="""","""", index(GOOGLEFINANCE($B$28,""close"",CP$2,TODAY()),2,2))"),"")</f>
        <v/>
      </c>
      <c r="CQ28" s="1" t="str">
        <f ca="1">IFERROR(__xludf.DUMMYFUNCTION("if(CQ$2="""","""", index(GOOGLEFINANCE($B$28,""close"",CQ$2,TODAY()),2,2))"),"")</f>
        <v/>
      </c>
      <c r="CR28" s="1" t="str">
        <f ca="1">IFERROR(__xludf.DUMMYFUNCTION("if(CR$2="""","""", index(GOOGLEFINANCE($B$28,""close"",CR$2,TODAY()),2,2))"),"")</f>
        <v/>
      </c>
      <c r="CS28" s="1" t="str">
        <f ca="1">IFERROR(__xludf.DUMMYFUNCTION("if(CS$2="""","""", index(GOOGLEFINANCE($B$28,""close"",CS$2,TODAY()),2,2))"),"")</f>
        <v/>
      </c>
      <c r="CT28" s="1" t="str">
        <f ca="1">IFERROR(__xludf.DUMMYFUNCTION("if(CT$2="""","""", index(GOOGLEFINANCE($B$28,""close"",CT$2,TODAY()),2,2))"),"")</f>
        <v/>
      </c>
      <c r="CU28" s="1" t="str">
        <f ca="1">IFERROR(__xludf.DUMMYFUNCTION("if(CU$2="""","""", index(GOOGLEFINANCE($B$28,""close"",CU$2,TODAY()),2,2))"),"")</f>
        <v/>
      </c>
      <c r="CV28" s="1" t="str">
        <f ca="1">IFERROR(__xludf.DUMMYFUNCTION("if(CV$2="""","""", index(GOOGLEFINANCE($B$28,""close"",CV$2,TODAY()),2,2))"),"")</f>
        <v/>
      </c>
      <c r="CW28" s="1" t="str">
        <f ca="1">IFERROR(__xludf.DUMMYFUNCTION("if(CW$2="""","""", index(GOOGLEFINANCE($B$28,""close"",CW$2,TODAY()),2,2))"),"")</f>
        <v/>
      </c>
      <c r="CX28" s="1" t="str">
        <f ca="1">IFERROR(__xludf.DUMMYFUNCTION("if(CX$2="""","""", index(GOOGLEFINANCE($B$28,""close"",CX$2,TODAY()),2,2))"),"")</f>
        <v/>
      </c>
      <c r="CY28" s="1" t="str">
        <f ca="1">IFERROR(__xludf.DUMMYFUNCTION("if(CY$2="""","""", index(GOOGLEFINANCE($B$28,""close"",CY$2,TODAY()),2,2))"),"")</f>
        <v/>
      </c>
      <c r="CZ28" s="1" t="str">
        <f ca="1">IFERROR(__xludf.DUMMYFUNCTION("if(CZ$2="""","""", index(GOOGLEFINANCE($B$28,""close"",CZ$2,TODAY()),2,2))"),"")</f>
        <v/>
      </c>
      <c r="DA28" s="1" t="str">
        <f ca="1">IFERROR(__xludf.DUMMYFUNCTION("if(DA$2="""","""", index(GOOGLEFINANCE($B$28,""close"",DA$2,TODAY()),2,2))"),"")</f>
        <v/>
      </c>
      <c r="DB28" s="1" t="str">
        <f ca="1">IFERROR(__xludf.DUMMYFUNCTION("if(DB$2="""","""", index(GOOGLEFINANCE($B$28,""close"",DB$2,TODAY()),2,2))"),"")</f>
        <v/>
      </c>
      <c r="DC28" s="1" t="str">
        <f ca="1">IFERROR(__xludf.DUMMYFUNCTION("if(DC$2="""","""", index(GOOGLEFINANCE($B$28,""close"",DC$2,TODAY()),2,2))"),"")</f>
        <v/>
      </c>
      <c r="DD28" s="1" t="str">
        <f ca="1">IFERROR(__xludf.DUMMYFUNCTION("if(DD$2="""","""", index(GOOGLEFINANCE($B$28,""close"",DD$2,TODAY()),2,2))"),"")</f>
        <v/>
      </c>
      <c r="DE28" s="1" t="str">
        <f ca="1">IFERROR(__xludf.DUMMYFUNCTION("if(DE$2="""","""", index(GOOGLEFINANCE($B$28,""close"",DE$2,TODAY()),2,2))"),"")</f>
        <v/>
      </c>
      <c r="DF28" s="1" t="str">
        <f ca="1">IFERROR(__xludf.DUMMYFUNCTION("if(DF$2="""","""", index(GOOGLEFINANCE($B$28,""close"",DF$2,TODAY()),2,2))"),"")</f>
        <v/>
      </c>
      <c r="DG28" s="1" t="str">
        <f ca="1">IFERROR(__xludf.DUMMYFUNCTION("if(DG$2="""","""", index(GOOGLEFINANCE($B$28,""close"",DG$2,TODAY()),2,2))"),"")</f>
        <v/>
      </c>
      <c r="DH28" s="1" t="str">
        <f ca="1">IFERROR(__xludf.DUMMYFUNCTION("if(DH$2="""","""", index(GOOGLEFINANCE($B$28,""close"",DH$2,TODAY()),2,2))"),"")</f>
        <v/>
      </c>
      <c r="DI28" s="1" t="str">
        <f ca="1">IFERROR(__xludf.DUMMYFUNCTION("if(DI$2="""","""", index(GOOGLEFINANCE($B$28,""close"",DI$2,TODAY()),2,2))"),"")</f>
        <v/>
      </c>
      <c r="DJ28" s="1" t="str">
        <f ca="1">IFERROR(__xludf.DUMMYFUNCTION("if(DJ$2="""","""", index(GOOGLEFINANCE($B$28,""close"",DJ$2,TODAY()),2,2))"),"")</f>
        <v/>
      </c>
      <c r="DK28" s="1" t="str">
        <f ca="1">IFERROR(__xludf.DUMMYFUNCTION("if(DK$2="""","""", index(GOOGLEFINANCE($B$28,""close"",DK$2,TODAY()),2,2))"),"")</f>
        <v/>
      </c>
      <c r="DL28" s="1" t="str">
        <f ca="1">IFERROR(__xludf.DUMMYFUNCTION("if(DL$2="""","""", index(GOOGLEFINANCE($B$28,""close"",DL$2,TODAY()),2,2))"),"")</f>
        <v/>
      </c>
      <c r="DM28" s="1" t="str">
        <f ca="1">IFERROR(__xludf.DUMMYFUNCTION("if(DM$2="""","""", index(GOOGLEFINANCE($B$28,""close"",DM$2,TODAY()),2,2))"),"")</f>
        <v/>
      </c>
      <c r="DN28" s="1" t="str">
        <f ca="1">IFERROR(__xludf.DUMMYFUNCTION("if(DN$2="""","""", index(GOOGLEFINANCE($B$28,""close"",DN$2,TODAY()),2,2))"),"")</f>
        <v/>
      </c>
      <c r="DO28" s="1" t="str">
        <f ca="1">IFERROR(__xludf.DUMMYFUNCTION("if(DO$2="""","""", index(GOOGLEFINANCE($B$28,""close"",DO$2,TODAY()),2,2))"),"")</f>
        <v/>
      </c>
      <c r="DP28" s="1" t="str">
        <f ca="1">IFERROR(__xludf.DUMMYFUNCTION("if(DP$2="""","""", index(GOOGLEFINANCE($B$28,""close"",DP$2,TODAY()),2,2))"),"")</f>
        <v/>
      </c>
      <c r="DQ28" s="1" t="str">
        <f ca="1">IFERROR(__xludf.DUMMYFUNCTION("if(DQ$2="""","""", index(GOOGLEFINANCE($B$28,""close"",DQ$2,TODAY()),2,2))"),"")</f>
        <v/>
      </c>
      <c r="DR28" s="1" t="str">
        <f ca="1">IFERROR(__xludf.DUMMYFUNCTION("if(DR$2="""","""", index(GOOGLEFINANCE($B$28,""close"",DR$2,TODAY()),2,2))"),"")</f>
        <v/>
      </c>
      <c r="DS28" s="1" t="str">
        <f ca="1">IFERROR(__xludf.DUMMYFUNCTION("if(DS$2="""","""", index(GOOGLEFINANCE($B$28,""close"",DS$2,TODAY()),2,2))"),"")</f>
        <v/>
      </c>
      <c r="DT28" s="1" t="str">
        <f ca="1">IFERROR(__xludf.DUMMYFUNCTION("if(DT$2="""","""", index(GOOGLEFINANCE($B$28,""close"",DT$2,TODAY()),2,2))"),"")</f>
        <v/>
      </c>
      <c r="DU28" s="1" t="str">
        <f ca="1">IFERROR(__xludf.DUMMYFUNCTION("if(DU$2="""","""", index(GOOGLEFINANCE($B$28,""close"",DU$2,TODAY()),2,2))"),"")</f>
        <v/>
      </c>
      <c r="DV28" s="1" t="str">
        <f ca="1">IFERROR(__xludf.DUMMYFUNCTION("if(DV$2="""","""", index(GOOGLEFINANCE($B$28,""close"",DV$2,TODAY()),2,2))"),"")</f>
        <v/>
      </c>
      <c r="DW28" s="1" t="str">
        <f ca="1">IFERROR(__xludf.DUMMYFUNCTION("if(DW$2="""","""", index(GOOGLEFINANCE($B$28,""close"",DW$2,TODAY()),2,2))"),"")</f>
        <v/>
      </c>
      <c r="DX28" s="1" t="str">
        <f ca="1">IFERROR(__xludf.DUMMYFUNCTION("if(DX$2="""","""", index(GOOGLEFINANCE($B$28,""close"",DX$2,TODAY()),2,2))"),"")</f>
        <v/>
      </c>
      <c r="DY28" s="1" t="str">
        <f ca="1">IFERROR(__xludf.DUMMYFUNCTION("if(DY$2="""","""", index(GOOGLEFINANCE($B$28,""close"",DY$2,TODAY()),2,2))"),"")</f>
        <v/>
      </c>
      <c r="DZ28" s="1" t="str">
        <f ca="1">IFERROR(__xludf.DUMMYFUNCTION("if(DZ$2="""","""", index(GOOGLEFINANCE($B$28,""close"",DZ$2,TODAY()),2,2))"),"")</f>
        <v/>
      </c>
      <c r="EA28" s="1" t="str">
        <f ca="1">IFERROR(__xludf.DUMMYFUNCTION("if(EA$2="""","""", index(GOOGLEFINANCE($B$28,""close"",EA$2,TODAY()),2,2))"),"")</f>
        <v/>
      </c>
      <c r="EB28" s="1" t="str">
        <f ca="1">IFERROR(__xludf.DUMMYFUNCTION("if(EB$2="""","""", index(GOOGLEFINANCE($B$28,""close"",EB$2,TODAY()),2,2))"),"")</f>
        <v/>
      </c>
      <c r="EC28" s="1" t="str">
        <f ca="1">IFERROR(__xludf.DUMMYFUNCTION("if(EC$2="""","""", index(GOOGLEFINANCE($B$28,""close"",EC$2,TODAY()),2,2))"),"")</f>
        <v/>
      </c>
      <c r="ED28" s="1" t="str">
        <f ca="1">IFERROR(__xludf.DUMMYFUNCTION("if(ED$2="""","""", index(GOOGLEFINANCE($B$28,""close"",ED$2,TODAY()),2,2))"),"")</f>
        <v/>
      </c>
      <c r="EE28" s="1" t="str">
        <f ca="1">IFERROR(__xludf.DUMMYFUNCTION("if(EE$2="""","""", index(GOOGLEFINANCE($B$28,""close"",EE$2,TODAY()),2,2))"),"")</f>
        <v/>
      </c>
      <c r="EF28" s="1" t="str">
        <f ca="1">IFERROR(__xludf.DUMMYFUNCTION("if(EF$2="""","""", index(GOOGLEFINANCE($B$28,""close"",EF$2,TODAY()),2,2))"),"")</f>
        <v/>
      </c>
      <c r="EG28" s="1" t="str">
        <f ca="1">IFERROR(__xludf.DUMMYFUNCTION("if(EG$2="""","""", index(GOOGLEFINANCE($B$28,""close"",EG$2,TODAY()),2,2))"),"")</f>
        <v/>
      </c>
      <c r="EH28" s="1" t="str">
        <f ca="1">IFERROR(__xludf.DUMMYFUNCTION("if(EH$2="""","""", index(GOOGLEFINANCE($B$28,""close"",EH$2,TODAY()),2,2))"),"")</f>
        <v/>
      </c>
      <c r="EI28" s="1" t="str">
        <f ca="1">IFERROR(__xludf.DUMMYFUNCTION("if(EI$2="""","""", index(GOOGLEFINANCE($B$28,""close"",EI$2,TODAY()),2,2))"),"")</f>
        <v/>
      </c>
      <c r="EJ28" s="1" t="str">
        <f ca="1">IFERROR(__xludf.DUMMYFUNCTION("if(EJ$2="""","""", index(GOOGLEFINANCE($B$28,""close"",EJ$2,TODAY()),2,2))"),"")</f>
        <v/>
      </c>
      <c r="EK28" s="1" t="str">
        <f ca="1">IFERROR(__xludf.DUMMYFUNCTION("if(EK$2="""","""", index(GOOGLEFINANCE($B$28,""close"",EK$2,TODAY()),2,2))"),"")</f>
        <v/>
      </c>
      <c r="EL28" s="1" t="str">
        <f ca="1">IFERROR(__xludf.DUMMYFUNCTION("if(EL$2="""","""", index(GOOGLEFINANCE($B$28,""close"",EL$2,TODAY()),2,2))"),"")</f>
        <v/>
      </c>
      <c r="EM28" s="1" t="str">
        <f ca="1">IFERROR(__xludf.DUMMYFUNCTION("if(EM$2="""","""", index(GOOGLEFINANCE($B$28,""close"",EM$2,TODAY()),2,2))"),"")</f>
        <v/>
      </c>
      <c r="EN28" s="1" t="str">
        <f ca="1">IFERROR(__xludf.DUMMYFUNCTION("if(EN$2="""","""", index(GOOGLEFINANCE($B$28,""close"",EN$2,TODAY()),2,2))"),"")</f>
        <v/>
      </c>
      <c r="EO28" s="1" t="str">
        <f ca="1">IFERROR(__xludf.DUMMYFUNCTION("if(EO$2="""","""", index(GOOGLEFINANCE($B$28,""close"",EO$2,TODAY()),2,2))"),"")</f>
        <v/>
      </c>
      <c r="EP28" s="1" t="str">
        <f ca="1">IFERROR(__xludf.DUMMYFUNCTION("if(EP$2="""","""", index(GOOGLEFINANCE($B$28,""close"",EP$2,TODAY()),2,2))"),"")</f>
        <v/>
      </c>
      <c r="EQ28" s="1" t="str">
        <f ca="1">IFERROR(__xludf.DUMMYFUNCTION("if(EQ$2="""","""", index(GOOGLEFINANCE($B$28,""close"",EQ$2,TODAY()),2,2))"),"")</f>
        <v/>
      </c>
      <c r="ER28" s="1" t="str">
        <f ca="1">IFERROR(__xludf.DUMMYFUNCTION("if(ER$2="""","""", index(GOOGLEFINANCE($B$28,""close"",ER$2,TODAY()),2,2))"),"")</f>
        <v/>
      </c>
      <c r="ES28" s="1" t="str">
        <f ca="1">IFERROR(__xludf.DUMMYFUNCTION("if(ES$2="""","""", index(GOOGLEFINANCE($B$28,""close"",ES$2,TODAY()),2,2))"),"")</f>
        <v/>
      </c>
      <c r="ET28" s="1" t="str">
        <f ca="1">IFERROR(__xludf.DUMMYFUNCTION("if(ET$2="""","""", index(GOOGLEFINANCE($B$28,""close"",ET$2,TODAY()),2,2))"),"")</f>
        <v/>
      </c>
      <c r="EU28" s="1" t="str">
        <f ca="1">IFERROR(__xludf.DUMMYFUNCTION("if(EU$2="""","""", index(GOOGLEFINANCE($B$28,""close"",EU$2,TODAY()),2,2))"),"")</f>
        <v/>
      </c>
      <c r="EV28" s="1" t="str">
        <f ca="1">IFERROR(__xludf.DUMMYFUNCTION("if(EV$2="""","""", index(GOOGLEFINANCE($B$28,""close"",EV$2,TODAY()),2,2))"),"")</f>
        <v/>
      </c>
      <c r="EW28" s="1" t="str">
        <f ca="1">IFERROR(__xludf.DUMMYFUNCTION("if(EW$2="""","""", index(GOOGLEFINANCE($B$28,""close"",EW$2,TODAY()),2,2))"),"")</f>
        <v/>
      </c>
      <c r="EX28" s="1" t="str">
        <f ca="1">IFERROR(__xludf.DUMMYFUNCTION("if(EX$2="""","""", index(GOOGLEFINANCE($B$28,""close"",EX$2,TODAY()),2,2))"),"")</f>
        <v/>
      </c>
      <c r="EY28" s="1" t="str">
        <f ca="1">IFERROR(__xludf.DUMMYFUNCTION("if(EY$2="""","""", index(GOOGLEFINANCE($B$28,""close"",EY$2,TODAY()),2,2))"),"")</f>
        <v/>
      </c>
      <c r="EZ28" s="1" t="str">
        <f ca="1">IFERROR(__xludf.DUMMYFUNCTION("if(EZ$2="""","""", index(GOOGLEFINANCE($B$28,""close"",EZ$2,TODAY()),2,2))"),"")</f>
        <v/>
      </c>
      <c r="FA28" s="1" t="str">
        <f ca="1">IFERROR(__xludf.DUMMYFUNCTION("if(FA$2="""","""", index(GOOGLEFINANCE($B$28,""close"",FA$2,TODAY()),2,2))"),"")</f>
        <v/>
      </c>
      <c r="FB28" s="1" t="str">
        <f ca="1">IFERROR(__xludf.DUMMYFUNCTION("if(FB$2="""","""", index(GOOGLEFINANCE($B$28,""close"",FB$2,TODAY()),2,2))"),"")</f>
        <v/>
      </c>
      <c r="FC28" s="1" t="str">
        <f ca="1">IFERROR(__xludf.DUMMYFUNCTION("if(FC$2="""","""", index(GOOGLEFINANCE($B$28,""close"",FC$2,TODAY()),2,2))"),"")</f>
        <v/>
      </c>
      <c r="FD28" s="1" t="str">
        <f ca="1">IFERROR(__xludf.DUMMYFUNCTION("if(FD$2="""","""", index(GOOGLEFINANCE($B$28,""close"",FD$2,TODAY()),2,2))"),"")</f>
        <v/>
      </c>
      <c r="FE28" s="1" t="str">
        <f ca="1">IFERROR(__xludf.DUMMYFUNCTION("if(FE$2="""","""", index(GOOGLEFINANCE($B$28,""close"",FE$2,TODAY()),2,2))"),"")</f>
        <v/>
      </c>
      <c r="FF28" s="1" t="str">
        <f ca="1">IFERROR(__xludf.DUMMYFUNCTION("if(FF$2="""","""", index(GOOGLEFINANCE($B$28,""close"",FF$2,TODAY()),2,2))"),"")</f>
        <v/>
      </c>
      <c r="FG28" s="1" t="str">
        <f ca="1">IFERROR(__xludf.DUMMYFUNCTION("if(FG$2="""","""", index(GOOGLEFINANCE($B$28,""close"",FG$2,TODAY()),2,2))"),"")</f>
        <v/>
      </c>
      <c r="FH28" s="1" t="str">
        <f ca="1">IFERROR(__xludf.DUMMYFUNCTION("if(FH$2="""","""", index(GOOGLEFINANCE($B$28,""close"",FH$2,TODAY()),2,2))"),"")</f>
        <v/>
      </c>
      <c r="FI28" s="1" t="str">
        <f ca="1">IFERROR(__xludf.DUMMYFUNCTION("if(FI$2="""","""", index(GOOGLEFINANCE($B$28,""close"",FI$2,TODAY()),2,2))"),"")</f>
        <v/>
      </c>
      <c r="FJ28" s="1" t="str">
        <f ca="1">IFERROR(__xludf.DUMMYFUNCTION("if(FJ$2="""","""", index(GOOGLEFINANCE($B$28,""close"",FJ$2,TODAY()),2,2))"),"")</f>
        <v/>
      </c>
      <c r="FK28" s="1" t="str">
        <f ca="1">IFERROR(__xludf.DUMMYFUNCTION("if(FK$2="""","""", index(GOOGLEFINANCE($B$28,""close"",FK$2,TODAY()),2,2))"),"")</f>
        <v/>
      </c>
      <c r="FL28" s="1" t="str">
        <f ca="1">IFERROR(__xludf.DUMMYFUNCTION("if(FL$2="""","""", index(GOOGLEFINANCE($B$28,""close"",FL$2,TODAY()),2,2))"),"")</f>
        <v/>
      </c>
      <c r="FM28" s="1" t="str">
        <f ca="1">IFERROR(__xludf.DUMMYFUNCTION("if(FM$2="""","""", index(GOOGLEFINANCE($B$28,""close"",FM$2,TODAY()),2,2))"),"")</f>
        <v/>
      </c>
      <c r="FN28" s="1" t="str">
        <f ca="1">IFERROR(__xludf.DUMMYFUNCTION("if(FN$2="""","""", index(GOOGLEFINANCE($B$28,""close"",FN$2,TODAY()),2,2))"),"")</f>
        <v/>
      </c>
      <c r="FO28" s="1" t="str">
        <f ca="1">IFERROR(__xludf.DUMMYFUNCTION("if(FO$2="""","""", index(GOOGLEFINANCE($B$28,""close"",FO$2,TODAY()),2,2))"),"")</f>
        <v/>
      </c>
      <c r="FP28" s="1" t="str">
        <f ca="1">IFERROR(__xludf.DUMMYFUNCTION("if(FP$2="""","""", index(GOOGLEFINANCE($B$28,""close"",FP$2,TODAY()),2,2))"),"")</f>
        <v/>
      </c>
      <c r="FQ28" s="1" t="str">
        <f ca="1">IFERROR(__xludf.DUMMYFUNCTION("if(FQ$2="""","""", index(GOOGLEFINANCE($B$28,""close"",FQ$2,TODAY()),2,2))"),"")</f>
        <v/>
      </c>
      <c r="FR28" s="1" t="str">
        <f ca="1">IFERROR(__xludf.DUMMYFUNCTION("if(FR$2="""","""", index(GOOGLEFINANCE($B$28,""close"",FR$2,TODAY()),2,2))"),"")</f>
        <v/>
      </c>
      <c r="FS28" s="1" t="str">
        <f ca="1">IFERROR(__xludf.DUMMYFUNCTION("if(FS$2="""","""", index(GOOGLEFINANCE($B$28,""close"",FS$2,TODAY()),2,2))"),"")</f>
        <v/>
      </c>
      <c r="FT28" s="1" t="str">
        <f ca="1">IFERROR(__xludf.DUMMYFUNCTION("if(FT$2="""","""", index(GOOGLEFINANCE($B$28,""close"",FT$2,TODAY()),2,2))"),"")</f>
        <v/>
      </c>
      <c r="FU28" s="1" t="str">
        <f ca="1">IFERROR(__xludf.DUMMYFUNCTION("if(FU$2="""","""", index(GOOGLEFINANCE($B$28,""close"",FU$2,TODAY()),2,2))"),"")</f>
        <v/>
      </c>
      <c r="FV28" s="1" t="str">
        <f ca="1">IFERROR(__xludf.DUMMYFUNCTION("if(FV$2="""","""", index(GOOGLEFINANCE($B$28,""close"",FV$2,TODAY()),2,2))"),"")</f>
        <v/>
      </c>
      <c r="FW28" s="1" t="str">
        <f ca="1">IFERROR(__xludf.DUMMYFUNCTION("if(FW$2="""","""", index(GOOGLEFINANCE($B$28,""close"",FW$2,TODAY()),2,2))"),"")</f>
        <v/>
      </c>
      <c r="FX28" s="1" t="str">
        <f ca="1">IFERROR(__xludf.DUMMYFUNCTION("if(FX$2="""","""", index(GOOGLEFINANCE($B$28,""close"",FX$2,TODAY()),2,2))"),"")</f>
        <v/>
      </c>
      <c r="FY28" s="1" t="str">
        <f ca="1">IFERROR(__xludf.DUMMYFUNCTION("if(FY$2="""","""", index(GOOGLEFINANCE($B$28,""close"",FY$2,TODAY()),2,2))"),"")</f>
        <v/>
      </c>
      <c r="FZ28" s="1" t="str">
        <f ca="1">IFERROR(__xludf.DUMMYFUNCTION("if(FZ$2="""","""", index(GOOGLEFINANCE($B$28,""close"",FZ$2,TODAY()),2,2))"),"")</f>
        <v/>
      </c>
      <c r="GA28" s="1" t="str">
        <f ca="1">IFERROR(__xludf.DUMMYFUNCTION("if(GA$2="""","""", index(GOOGLEFINANCE($B$28,""close"",GA$2,TODAY()),2,2))"),"")</f>
        <v/>
      </c>
      <c r="GB28" s="1" t="str">
        <f ca="1">IFERROR(__xludf.DUMMYFUNCTION("if(GB$2="""","""", index(GOOGLEFINANCE($B$28,""close"",GB$2,TODAY()),2,2))"),"")</f>
        <v/>
      </c>
      <c r="GC28" s="1" t="str">
        <f ca="1">IFERROR(__xludf.DUMMYFUNCTION("if(GC$2="""","""", index(GOOGLEFINANCE($B$28,""close"",GC$2,TODAY()),2,2))"),"")</f>
        <v/>
      </c>
      <c r="GD28" s="1" t="str">
        <f ca="1">IFERROR(__xludf.DUMMYFUNCTION("if(GD$2="""","""", index(GOOGLEFINANCE($B$28,""close"",GD$2,TODAY()),2,2))"),"")</f>
        <v/>
      </c>
      <c r="GE28" s="1" t="str">
        <f ca="1">IFERROR(__xludf.DUMMYFUNCTION("if(GE$2="""","""", index(GOOGLEFINANCE($B$28,""close"",GE$2,TODAY()),2,2))"),"")</f>
        <v/>
      </c>
      <c r="GF28" s="1" t="str">
        <f ca="1">IFERROR(__xludf.DUMMYFUNCTION("if(GF$2="""","""", index(GOOGLEFINANCE($B$28,""close"",GF$2,TODAY()),2,2))"),"")</f>
        <v/>
      </c>
      <c r="GG28" s="1" t="str">
        <f ca="1">IFERROR(__xludf.DUMMYFUNCTION("if(GG$2="""","""", index(GOOGLEFINANCE($B$28,""close"",GG$2,TODAY()),2,2))"),"")</f>
        <v/>
      </c>
      <c r="GH28" s="1" t="str">
        <f ca="1">IFERROR(__xludf.DUMMYFUNCTION("if(GH$2="""","""", index(GOOGLEFINANCE($B$28,""close"",GH$2,TODAY()),2,2))"),"")</f>
        <v/>
      </c>
      <c r="GI28" s="1" t="str">
        <f ca="1">IFERROR(__xludf.DUMMYFUNCTION("if(GI$2="""","""", index(GOOGLEFINANCE($B$28,""close"",GI$2,TODAY()),2,2))"),"")</f>
        <v/>
      </c>
      <c r="GJ28" s="1" t="str">
        <f ca="1">IFERROR(__xludf.DUMMYFUNCTION("if(GJ$2="""","""", index(GOOGLEFINANCE($B$28,""close"",GJ$2,TODAY()),2,2))"),"")</f>
        <v/>
      </c>
      <c r="GK28" s="1" t="str">
        <f ca="1">IFERROR(__xludf.DUMMYFUNCTION("if(GK$2="""","""", index(GOOGLEFINANCE($B$28,""close"",GK$2,TODAY()),2,2))"),"")</f>
        <v/>
      </c>
      <c r="GL28" s="1" t="str">
        <f ca="1">IFERROR(__xludf.DUMMYFUNCTION("if(GL$2="""","""", index(GOOGLEFINANCE($B$28,""close"",GL$2,TODAY()),2,2))"),"")</f>
        <v/>
      </c>
      <c r="GM28" s="1" t="str">
        <f ca="1">IFERROR(__xludf.DUMMYFUNCTION("if(GM$2="""","""", index(GOOGLEFINANCE($B$28,""close"",GM$2,TODAY()),2,2))"),"")</f>
        <v/>
      </c>
      <c r="GN28" s="1" t="str">
        <f ca="1">IFERROR(__xludf.DUMMYFUNCTION("if(GN$2="""","""", index(GOOGLEFINANCE($B$28,""close"",GN$2,TODAY()),2,2))"),"")</f>
        <v/>
      </c>
      <c r="GO28" s="1" t="str">
        <f ca="1">IFERROR(__xludf.DUMMYFUNCTION("if(GO$2="""","""", index(GOOGLEFINANCE($B$28,""close"",GO$2,TODAY()),2,2))"),"")</f>
        <v/>
      </c>
      <c r="GP28" s="1" t="str">
        <f ca="1">IFERROR(__xludf.DUMMYFUNCTION("if(GP$2="""","""", index(GOOGLEFINANCE($B$28,""close"",GP$2,TODAY()),2,2))"),"")</f>
        <v/>
      </c>
      <c r="GQ28" s="1" t="str">
        <f ca="1">IFERROR(__xludf.DUMMYFUNCTION("if(GQ$2="""","""", index(GOOGLEFINANCE($B$28,""close"",GQ$2,TODAY()),2,2))"),"")</f>
        <v/>
      </c>
      <c r="GR28" s="1" t="str">
        <f ca="1">IFERROR(__xludf.DUMMYFUNCTION("if(GR$2="""","""", index(GOOGLEFINANCE($B$28,""close"",GR$2,TODAY()),2,2))"),"")</f>
        <v/>
      </c>
      <c r="GS28" s="1" t="str">
        <f ca="1">IFERROR(__xludf.DUMMYFUNCTION("if(GS$2="""","""", index(GOOGLEFINANCE($B$28,""close"",GS$2,TODAY()),2,2))"),"")</f>
        <v/>
      </c>
      <c r="GT28" s="1" t="str">
        <f ca="1">IFERROR(__xludf.DUMMYFUNCTION("if(GT$2="""","""", index(GOOGLEFINANCE($B$28,""close"",GT$2,TODAY()),2,2))"),"")</f>
        <v/>
      </c>
      <c r="GU28" s="1" t="str">
        <f ca="1">IFERROR(__xludf.DUMMYFUNCTION("if(GU$2="""","""", index(GOOGLEFINANCE($B$28,""close"",GU$2,TODAY()),2,2))"),"")</f>
        <v/>
      </c>
      <c r="GV28" s="1" t="str">
        <f ca="1">IFERROR(__xludf.DUMMYFUNCTION("if(GV$2="""","""", index(GOOGLEFINANCE($B$28,""close"",GV$2,TODAY()),2,2))"),"")</f>
        <v/>
      </c>
      <c r="GW28" s="1" t="str">
        <f ca="1">IFERROR(__xludf.DUMMYFUNCTION("if(GW$2="""","""", index(GOOGLEFINANCE($B$28,""close"",GW$2,TODAY()),2,2))"),"")</f>
        <v/>
      </c>
      <c r="GX28" s="1" t="str">
        <f ca="1">IFERROR(__xludf.DUMMYFUNCTION("if(GX$2="""","""", index(GOOGLEFINANCE($B$28,""close"",GX$2,TODAY()),2,2))"),"")</f>
        <v/>
      </c>
      <c r="GY28" s="1" t="str">
        <f ca="1">IFERROR(__xludf.DUMMYFUNCTION("if(GY$2="""","""", index(GOOGLEFINANCE($B$28,""close"",GY$2,TODAY()),2,2))"),"")</f>
        <v/>
      </c>
      <c r="GZ28" s="1" t="str">
        <f ca="1">IFERROR(__xludf.DUMMYFUNCTION("if(GZ$2="""","""", index(GOOGLEFINANCE($B$28,""close"",GZ$2,TODAY()),2,2))"),"")</f>
        <v/>
      </c>
      <c r="HA28" s="1" t="str">
        <f ca="1">IFERROR(__xludf.DUMMYFUNCTION("if(HA$2="""","""", index(GOOGLEFINANCE($B$28,""close"",HA$2,TODAY()),2,2))"),"")</f>
        <v/>
      </c>
      <c r="HB28" s="1" t="str">
        <f ca="1">IFERROR(__xludf.DUMMYFUNCTION("if(HB$2="""","""", index(GOOGLEFINANCE($B$28,""close"",HB$2,TODAY()),2,2))"),"")</f>
        <v/>
      </c>
      <c r="HC28" s="1" t="str">
        <f ca="1">IFERROR(__xludf.DUMMYFUNCTION("if(HC$2="""","""", index(GOOGLEFINANCE($B$28,""close"",HC$2,TODAY()),2,2))"),"")</f>
        <v/>
      </c>
      <c r="HD28" s="1" t="str">
        <f ca="1">IFERROR(__xludf.DUMMYFUNCTION("if(HD$2="""","""", index(GOOGLEFINANCE($B$28,""close"",HD$2,TODAY()),2,2))"),"")</f>
        <v/>
      </c>
      <c r="HE28" s="1" t="str">
        <f ca="1">IFERROR(__xludf.DUMMYFUNCTION("if(HE$2="""","""", index(GOOGLEFINANCE($B$28,""close"",HE$2,TODAY()),2,2))"),"")</f>
        <v/>
      </c>
      <c r="HF28" s="1" t="str">
        <f ca="1">IFERROR(__xludf.DUMMYFUNCTION("if(HF$2="""","""", index(GOOGLEFINANCE($B$28,""close"",HF$2,TODAY()),2,2))"),"")</f>
        <v/>
      </c>
      <c r="HG28" s="1" t="str">
        <f ca="1">IFERROR(__xludf.DUMMYFUNCTION("if(HG$2="""","""", index(GOOGLEFINANCE($B$28,""close"",HG$2,TODAY()),2,2))"),"")</f>
        <v/>
      </c>
      <c r="HH28" s="1" t="str">
        <f ca="1">IFERROR(__xludf.DUMMYFUNCTION("if(HH$2="""","""", index(GOOGLEFINANCE($B$28,""close"",HH$2,TODAY()),2,2))"),"")</f>
        <v/>
      </c>
      <c r="HI28" s="1" t="str">
        <f ca="1">IFERROR(__xludf.DUMMYFUNCTION("if(HI$2="""","""", index(GOOGLEFINANCE($B$28,""close"",HI$2,TODAY()),2,2))"),"")</f>
        <v/>
      </c>
      <c r="HJ28" s="1" t="str">
        <f ca="1">IFERROR(__xludf.DUMMYFUNCTION("if(HJ$2="""","""", index(GOOGLEFINANCE($B$28,""close"",HJ$2,TODAY()),2,2))"),"")</f>
        <v/>
      </c>
      <c r="HK28" s="1" t="str">
        <f ca="1">IFERROR(__xludf.DUMMYFUNCTION("if(HK$2="""","""", index(GOOGLEFINANCE($B$28,""close"",HK$2,TODAY()),2,2))"),"")</f>
        <v/>
      </c>
      <c r="HL28" s="1" t="str">
        <f ca="1">IFERROR(__xludf.DUMMYFUNCTION("if(HL$2="""","""", index(GOOGLEFINANCE($B$28,""close"",HL$2,TODAY()),2,2))"),"")</f>
        <v/>
      </c>
      <c r="HM28" s="1" t="str">
        <f ca="1">IFERROR(__xludf.DUMMYFUNCTION("if(HM$2="""","""", index(GOOGLEFINANCE($B$28,""close"",HM$2,TODAY()),2,2))"),"")</f>
        <v/>
      </c>
      <c r="HN28" s="1" t="str">
        <f ca="1">IFERROR(__xludf.DUMMYFUNCTION("if(HN$2="""","""", index(GOOGLEFINANCE($B$28,""close"",HN$2,TODAY()),2,2))"),"")</f>
        <v/>
      </c>
      <c r="HO28" s="1" t="str">
        <f ca="1">IFERROR(__xludf.DUMMYFUNCTION("if(HO$2="""","""", index(GOOGLEFINANCE($B$28,""close"",HO$2,TODAY()),2,2))"),"")</f>
        <v/>
      </c>
      <c r="HP28" s="1" t="str">
        <f ca="1">IFERROR(__xludf.DUMMYFUNCTION("if(HP$2="""","""", index(GOOGLEFINANCE($B$28,""close"",HP$2,TODAY()),2,2))"),"")</f>
        <v/>
      </c>
      <c r="HQ28" s="1" t="str">
        <f ca="1">IFERROR(__xludf.DUMMYFUNCTION("if(HQ$2="""","""", index(GOOGLEFINANCE($B$28,""close"",HQ$2,TODAY()),2,2))"),"")</f>
        <v/>
      </c>
      <c r="HR28" s="1" t="str">
        <f ca="1">IFERROR(__xludf.DUMMYFUNCTION("if(HR$2="""","""", index(GOOGLEFINANCE($B$28,""close"",HR$2,TODAY()),2,2))"),"")</f>
        <v/>
      </c>
      <c r="HS28" s="1" t="str">
        <f ca="1">IFERROR(__xludf.DUMMYFUNCTION("if(HS$2="""","""", index(GOOGLEFINANCE($B$28,""close"",HS$2,TODAY()),2,2))"),"")</f>
        <v/>
      </c>
      <c r="HT28" s="1" t="str">
        <f ca="1">IFERROR(__xludf.DUMMYFUNCTION("if(HT$2="""","""", index(GOOGLEFINANCE($B$28,""close"",HT$2,TODAY()),2,2))"),"")</f>
        <v/>
      </c>
      <c r="HU28" s="1" t="str">
        <f ca="1">IFERROR(__xludf.DUMMYFUNCTION("if(HU$2="""","""", index(GOOGLEFINANCE($B$28,""close"",HU$2,TODAY()),2,2))"),"")</f>
        <v/>
      </c>
      <c r="HV28" s="1" t="str">
        <f ca="1">IFERROR(__xludf.DUMMYFUNCTION("if(HV$2="""","""", index(GOOGLEFINANCE($B$28,""close"",HV$2,TODAY()),2,2))"),"")</f>
        <v/>
      </c>
      <c r="HW28" s="1" t="str">
        <f ca="1">IFERROR(__xludf.DUMMYFUNCTION("if(HW$2="""","""", index(GOOGLEFINANCE($B$28,""close"",HW$2,TODAY()),2,2))"),"")</f>
        <v/>
      </c>
      <c r="HX28" s="1" t="str">
        <f ca="1">IFERROR(__xludf.DUMMYFUNCTION("if(HX$2="""","""", index(GOOGLEFINANCE($B$28,""close"",HX$2,TODAY()),2,2))"),"")</f>
        <v/>
      </c>
      <c r="HY28" s="1" t="str">
        <f ca="1">IFERROR(__xludf.DUMMYFUNCTION("if(HY$2="""","""", index(GOOGLEFINANCE($B$28,""close"",HY$2,TODAY()),2,2))"),"")</f>
        <v/>
      </c>
      <c r="HZ28" s="1" t="str">
        <f ca="1">IFERROR(__xludf.DUMMYFUNCTION("if(HZ$2="""","""", index(GOOGLEFINANCE($B$28,""close"",HZ$2,TODAY()),2,2))"),"")</f>
        <v/>
      </c>
      <c r="IA28" s="1" t="str">
        <f ca="1">IFERROR(__xludf.DUMMYFUNCTION("if(IA$2="""","""", index(GOOGLEFINANCE($B$28,""close"",IA$2,TODAY()),2,2))"),"")</f>
        <v/>
      </c>
      <c r="IB28" s="1" t="str">
        <f ca="1">IFERROR(__xludf.DUMMYFUNCTION("if(IB$2="""","""", index(GOOGLEFINANCE($B$28,""close"",IB$2,TODAY()),2,2))"),"")</f>
        <v/>
      </c>
      <c r="IC28" s="1" t="str">
        <f ca="1">IFERROR(__xludf.DUMMYFUNCTION("if(IC$2="""","""", index(GOOGLEFINANCE($B$28,""close"",IC$2,TODAY()),2,2))"),"")</f>
        <v/>
      </c>
      <c r="ID28" s="1" t="str">
        <f ca="1">IFERROR(__xludf.DUMMYFUNCTION("if(ID$2="""","""", index(GOOGLEFINANCE($B$28,""close"",ID$2,TODAY()),2,2))"),"")</f>
        <v/>
      </c>
      <c r="IE28" s="1" t="str">
        <f ca="1">IFERROR(__xludf.DUMMYFUNCTION("if(IE$2="""","""", index(GOOGLEFINANCE($B$28,""close"",IE$2,TODAY()),2,2))"),"")</f>
        <v/>
      </c>
      <c r="IF28" s="1" t="str">
        <f ca="1">IFERROR(__xludf.DUMMYFUNCTION("if(IF$2="""","""", index(GOOGLEFINANCE($B$28,""close"",IF$2,TODAY()),2,2))"),"")</f>
        <v/>
      </c>
      <c r="IG28" s="1" t="str">
        <f ca="1">IFERROR(__xludf.DUMMYFUNCTION("if(IG$2="""","""", index(GOOGLEFINANCE($B$28,""close"",IG$2,TODAY()),2,2))"),"")</f>
        <v/>
      </c>
      <c r="IH28" s="1" t="str">
        <f ca="1">IFERROR(__xludf.DUMMYFUNCTION("if(IH$2="""","""", index(GOOGLEFINANCE($B$28,""close"",IH$2,TODAY()),2,2))"),"")</f>
        <v/>
      </c>
      <c r="II28" s="1" t="str">
        <f ca="1">IFERROR(__xludf.DUMMYFUNCTION("if(II$2="""","""", index(GOOGLEFINANCE($B$28,""close"",II$2,TODAY()),2,2))"),"")</f>
        <v/>
      </c>
      <c r="IJ28" s="1" t="str">
        <f ca="1">IFERROR(__xludf.DUMMYFUNCTION("if(IJ$2="""","""", index(GOOGLEFINANCE($B$28,""close"",IJ$2,TODAY()),2,2))"),"")</f>
        <v/>
      </c>
      <c r="IK28" s="1" t="str">
        <f ca="1">IFERROR(__xludf.DUMMYFUNCTION("if(IK$2="""","""", index(GOOGLEFINANCE($B$28,""close"",IK$2,TODAY()),2,2))"),"")</f>
        <v/>
      </c>
      <c r="IL28" s="1" t="str">
        <f ca="1">IFERROR(__xludf.DUMMYFUNCTION("if(IL$2="""","""", index(GOOGLEFINANCE($B$28,""close"",IL$2,TODAY()),2,2))"),"")</f>
        <v/>
      </c>
      <c r="IM28" s="1" t="str">
        <f ca="1">IFERROR(__xludf.DUMMYFUNCTION("if(IM$2="""","""", index(GOOGLEFINANCE($B$28,""close"",IM$2,TODAY()),2,2))"),"")</f>
        <v/>
      </c>
      <c r="IN28" s="1" t="str">
        <f ca="1">IFERROR(__xludf.DUMMYFUNCTION("if(IN$2="""","""", index(GOOGLEFINANCE($B$28,""close"",IN$2,TODAY()),2,2))"),"")</f>
        <v/>
      </c>
      <c r="IO28" s="1" t="str">
        <f ca="1">IFERROR(__xludf.DUMMYFUNCTION("if(IO$2="""","""", index(GOOGLEFINANCE($B$28,""close"",IO$2,TODAY()),2,2))"),"")</f>
        <v/>
      </c>
      <c r="IP28" s="1" t="str">
        <f ca="1">IFERROR(__xludf.DUMMYFUNCTION("if(IP$2="""","""", index(GOOGLEFINANCE($B$28,""close"",IP$2,TODAY()),2,2))"),"")</f>
        <v/>
      </c>
      <c r="IQ28" s="1" t="str">
        <f ca="1">IFERROR(__xludf.DUMMYFUNCTION("if(IQ$2="""","""", index(GOOGLEFINANCE($B$28,""close"",IQ$2,TODAY()),2,2))"),"")</f>
        <v/>
      </c>
      <c r="IR28" s="1" t="str">
        <f ca="1">IFERROR(__xludf.DUMMYFUNCTION("if(IR$2="""","""", index(GOOGLEFINANCE($B$28,""close"",IR$2,TODAY()),2,2))"),"")</f>
        <v/>
      </c>
      <c r="IS28" s="1" t="str">
        <f ca="1">IFERROR(__xludf.DUMMYFUNCTION("if(IS$2="""","""", index(GOOGLEFINANCE($B$28,""close"",IS$2,TODAY()),2,2))"),"")</f>
        <v/>
      </c>
      <c r="IT28" s="1" t="str">
        <f ca="1">IFERROR(__xludf.DUMMYFUNCTION("if(IT$2="""","""", index(GOOGLEFINANCE($B$28,""close"",IT$2,TODAY()),2,2))"),"")</f>
        <v/>
      </c>
      <c r="IU28" s="1" t="str">
        <f ca="1">IFERROR(__xludf.DUMMYFUNCTION("if(IU$2="""","""", index(GOOGLEFINANCE($B$28,""close"",IU$2,TODAY()),2,2))"),"")</f>
        <v/>
      </c>
      <c r="IV28" s="1" t="str">
        <f ca="1">IFERROR(__xludf.DUMMYFUNCTION("if(IV$2="""","""", index(GOOGLEFINANCE($B$28,""close"",IV$2,TODAY()),2,2))"),"")</f>
        <v/>
      </c>
      <c r="IW28" s="1" t="str">
        <f ca="1">IFERROR(__xludf.DUMMYFUNCTION("if(IW$2="""","""", index(GOOGLEFINANCE($B$28,""close"",IW$2,TODAY()),2,2))"),"")</f>
        <v/>
      </c>
      <c r="IX28" s="1" t="str">
        <f ca="1">IFERROR(__xludf.DUMMYFUNCTION("if(IX$2="""","""", index(GOOGLEFINANCE($B$28,""close"",IX$2,TODAY()),2,2))"),"")</f>
        <v/>
      </c>
      <c r="IY28" s="1" t="str">
        <f ca="1">IFERROR(__xludf.DUMMYFUNCTION("if(IY$2="""","""", index(GOOGLEFINANCE($B$28,""close"",IY$2,TODAY()),2,2))"),"")</f>
        <v/>
      </c>
      <c r="IZ28" s="1" t="str">
        <f ca="1">IFERROR(__xludf.DUMMYFUNCTION("if(IZ$2="""","""", index(GOOGLEFINANCE($B$28,""close"",IZ$2,TODAY()),2,2))"),"")</f>
        <v/>
      </c>
      <c r="JA28" s="1" t="str">
        <f ca="1">IFERROR(__xludf.DUMMYFUNCTION("if(JA$2="""","""", index(GOOGLEFINANCE($B$28,""close"",JA$2,TODAY()),2,2))"),"")</f>
        <v/>
      </c>
      <c r="JB28" s="1" t="str">
        <f ca="1">IFERROR(__xludf.DUMMYFUNCTION("if(JB$2="""","""", index(GOOGLEFINANCE($B$28,""close"",JB$2,TODAY()),2,2))"),"")</f>
        <v/>
      </c>
      <c r="JC28" s="1" t="str">
        <f ca="1">IFERROR(__xludf.DUMMYFUNCTION("if(JC$2="""","""", index(GOOGLEFINANCE($B$28,""close"",JC$2,TODAY()),2,2))"),"")</f>
        <v/>
      </c>
      <c r="JD28" s="1" t="str">
        <f ca="1">IFERROR(__xludf.DUMMYFUNCTION("if(JD$2="""","""", index(GOOGLEFINANCE($B$28,""close"",JD$2,TODAY()),2,2))"),"")</f>
        <v/>
      </c>
      <c r="JE28" s="1" t="str">
        <f ca="1">IFERROR(__xludf.DUMMYFUNCTION("if(JE$2="""","""", index(GOOGLEFINANCE($B$28,""close"",JE$2,TODAY()),2,2))"),"")</f>
        <v/>
      </c>
      <c r="JF28" s="1" t="str">
        <f ca="1">IFERROR(__xludf.DUMMYFUNCTION("if(JF$2="""","""", index(GOOGLEFINANCE($B$28,""close"",JF$2,TODAY()),2,2))"),"")</f>
        <v/>
      </c>
      <c r="JG28" s="1" t="str">
        <f ca="1">IFERROR(__xludf.DUMMYFUNCTION("if(JG$2="""","""", index(GOOGLEFINANCE($B$28,""close"",JG$2,TODAY()),2,2))"),"")</f>
        <v/>
      </c>
      <c r="JH28" s="1" t="str">
        <f ca="1">IFERROR(__xludf.DUMMYFUNCTION("if(JH$2="""","""", index(GOOGLEFINANCE($B$28,""close"",JH$2,TODAY()),2,2))"),"")</f>
        <v/>
      </c>
      <c r="JI28" s="1" t="str">
        <f ca="1">IFERROR(__xludf.DUMMYFUNCTION("if(JI$2="""","""", index(GOOGLEFINANCE($B$28,""close"",JI$2,TODAY()),2,2))"),"")</f>
        <v/>
      </c>
      <c r="JJ28" s="1" t="str">
        <f ca="1">IFERROR(__xludf.DUMMYFUNCTION("if(JJ$2="""","""", index(GOOGLEFINANCE($B$28,""close"",JJ$2,TODAY()),2,2))"),"")</f>
        <v/>
      </c>
      <c r="JK28" s="1" t="str">
        <f ca="1">IFERROR(__xludf.DUMMYFUNCTION("if(JK$2="""","""", index(GOOGLEFINANCE($B$28,""close"",JK$2,TODAY()),2,2))"),"")</f>
        <v/>
      </c>
      <c r="JL28" s="1" t="str">
        <f ca="1">IFERROR(__xludf.DUMMYFUNCTION("if(JL$2="""","""", index(GOOGLEFINANCE($B$28,""close"",JL$2,TODAY()),2,2))"),"")</f>
        <v/>
      </c>
      <c r="JM28" s="1" t="str">
        <f ca="1">IFERROR(__xludf.DUMMYFUNCTION("if(JM$2="""","""", index(GOOGLEFINANCE($B$28,""close"",JM$2,TODAY()),2,2))"),"")</f>
        <v/>
      </c>
      <c r="JN28" s="1" t="str">
        <f ca="1">IFERROR(__xludf.DUMMYFUNCTION("if(JN$2="""","""", index(GOOGLEFINANCE($B$28,""close"",JN$2,TODAY()),2,2))"),"")</f>
        <v/>
      </c>
      <c r="JO28" s="1" t="str">
        <f ca="1">IFERROR(__xludf.DUMMYFUNCTION("if(JO$2="""","""", index(GOOGLEFINANCE($B$28,""close"",JO$2,TODAY()),2,2))"),"")</f>
        <v/>
      </c>
      <c r="JP28" s="1" t="str">
        <f ca="1">IFERROR(__xludf.DUMMYFUNCTION("if(JP$2="""","""", index(GOOGLEFINANCE($B$28,""close"",JP$2,TODAY()),2,2))"),"")</f>
        <v/>
      </c>
      <c r="JQ28" s="1" t="str">
        <f ca="1">IFERROR(__xludf.DUMMYFUNCTION("if(JQ$2="""","""", index(GOOGLEFINANCE($B$28,""close"",JQ$2,TODAY()),2,2))"),"")</f>
        <v/>
      </c>
      <c r="JR28" s="1" t="str">
        <f ca="1">IFERROR(__xludf.DUMMYFUNCTION("if(JR$2="""","""", index(GOOGLEFINANCE($B$28,""close"",JR$2,TODAY()),2,2))"),"")</f>
        <v/>
      </c>
      <c r="JS28" s="1" t="str">
        <f ca="1">IFERROR(__xludf.DUMMYFUNCTION("if(JS$2="""","""", index(GOOGLEFINANCE($B$28,""close"",JS$2,TODAY()),2,2))"),"")</f>
        <v/>
      </c>
      <c r="JT28" s="1" t="str">
        <f ca="1">IFERROR(__xludf.DUMMYFUNCTION("if(JT$2="""","""", index(GOOGLEFINANCE($B$28,""close"",JT$2,TODAY()),2,2))"),"")</f>
        <v/>
      </c>
      <c r="JU28" s="1" t="str">
        <f ca="1">IFERROR(__xludf.DUMMYFUNCTION("if(JU$2="""","""", index(GOOGLEFINANCE($B$28,""close"",JU$2,TODAY()),2,2))"),"")</f>
        <v/>
      </c>
      <c r="JV28" s="1" t="str">
        <f ca="1">IFERROR(__xludf.DUMMYFUNCTION("if(JV$2="""","""", index(GOOGLEFINANCE($B$28,""close"",JV$2,TODAY()),2,2))"),"")</f>
        <v/>
      </c>
      <c r="JW28" s="1" t="str">
        <f ca="1">IFERROR(__xludf.DUMMYFUNCTION("if(JW$2="""","""", index(GOOGLEFINANCE($B$28,""close"",JW$2,TODAY()),2,2))"),"")</f>
        <v/>
      </c>
      <c r="JX28" s="1" t="str">
        <f ca="1">IFERROR(__xludf.DUMMYFUNCTION("if(JX$2="""","""", index(GOOGLEFINANCE($B$28,""close"",JX$2,TODAY()),2,2))"),"")</f>
        <v/>
      </c>
      <c r="JY28" s="1" t="str">
        <f ca="1">IFERROR(__xludf.DUMMYFUNCTION("if(JY$2="""","""", index(GOOGLEFINANCE($B$28,""close"",JY$2,TODAY()),2,2))"),"")</f>
        <v/>
      </c>
      <c r="JZ28" s="1" t="str">
        <f ca="1">IFERROR(__xludf.DUMMYFUNCTION("if(JZ$2="""","""", index(GOOGLEFINANCE($B$28,""close"",JZ$2,TODAY()),2,2))"),"")</f>
        <v/>
      </c>
      <c r="KA28" s="1" t="str">
        <f ca="1">IFERROR(__xludf.DUMMYFUNCTION("if(KA$2="""","""", index(GOOGLEFINANCE($B$28,""close"",KA$2,TODAY()),2,2))"),"")</f>
        <v/>
      </c>
      <c r="KB28" s="1" t="str">
        <f ca="1">IFERROR(__xludf.DUMMYFUNCTION("if(KB$2="""","""", index(GOOGLEFINANCE($B$28,""close"",KB$2,TODAY()),2,2))"),"")</f>
        <v/>
      </c>
      <c r="KC28" s="1" t="str">
        <f ca="1">IFERROR(__xludf.DUMMYFUNCTION("if(KC$2="""","""", index(GOOGLEFINANCE($B$28,""close"",KC$2,TODAY()),2,2))"),"")</f>
        <v/>
      </c>
      <c r="KD28" s="1" t="str">
        <f ca="1">IFERROR(__xludf.DUMMYFUNCTION("if(KD$2="""","""", index(GOOGLEFINANCE($B$28,""close"",KD$2,TODAY()),2,2))"),"")</f>
        <v/>
      </c>
      <c r="KE28" s="1" t="str">
        <f ca="1">IFERROR(__xludf.DUMMYFUNCTION("if(KE$2="""","""", index(GOOGLEFINANCE($B$28,""close"",KE$2,TODAY()),2,2))"),"")</f>
        <v/>
      </c>
      <c r="KF28" s="1" t="str">
        <f ca="1">IFERROR(__xludf.DUMMYFUNCTION("if(KF$2="""","""", index(GOOGLEFINANCE($B$28,""close"",KF$2,TODAY()),2,2))"),"")</f>
        <v/>
      </c>
      <c r="KG28" s="1" t="str">
        <f ca="1">IFERROR(__xludf.DUMMYFUNCTION("if(KG$2="""","""", index(GOOGLEFINANCE($B$28,""close"",KG$2,TODAY()),2,2))"),"")</f>
        <v/>
      </c>
    </row>
    <row r="29" spans="1:293" ht="15.75" customHeight="1">
      <c r="A29" s="18" t="s">
        <v>30</v>
      </c>
      <c r="B29" s="6" t="s">
        <v>72</v>
      </c>
      <c r="C29" s="1">
        <f ca="1">IFERROR(__xludf.DUMMYFUNCTION("if(C$2="""","""", index(GOOGLEFINANCE($B$29,""close"",C$2,TODAY()),2,2))"),26.31)</f>
        <v>26.31</v>
      </c>
      <c r="D29" s="1">
        <f ca="1">IFERROR(__xludf.DUMMYFUNCTION("if(D$2="""","""", index(GOOGLEFINANCE($B$29,""close"",D$2,TODAY()),2,2))"),26.59)</f>
        <v>26.59</v>
      </c>
      <c r="E29" s="1">
        <f ca="1">IFERROR(__xludf.DUMMYFUNCTION("if(E$2="""","""", index(GOOGLEFINANCE($B$29,""close"",E$2,TODAY()),2,2))"),26.16)</f>
        <v>26.16</v>
      </c>
      <c r="F29" s="1">
        <f ca="1">IFERROR(__xludf.DUMMYFUNCTION("if(F$2="""","""", index(GOOGLEFINANCE($B$29,""close"",F$2,TODAY()),2,2))"),25.41)</f>
        <v>25.41</v>
      </c>
      <c r="G29" s="1">
        <f ca="1">IFERROR(__xludf.DUMMYFUNCTION("if(G$2="""","""", index(GOOGLEFINANCE($B$29,""close"",G$2,TODAY()),2,2))"),24.85)</f>
        <v>24.85</v>
      </c>
      <c r="H29" s="1">
        <f ca="1">IFERROR(__xludf.DUMMYFUNCTION("if(H$2="""","""", index(GOOGLEFINANCE($B$29,""close"",H$2,TODAY()),2,2))"),24.74)</f>
        <v>24.74</v>
      </c>
      <c r="I29" s="1">
        <f ca="1">IFERROR(__xludf.DUMMYFUNCTION("if(I$2="""","""", index(GOOGLEFINANCE($B$29,""close"",I$2,TODAY()),2,2))"),24.74)</f>
        <v>24.74</v>
      </c>
      <c r="J29" s="1">
        <f ca="1">IFERROR(__xludf.DUMMYFUNCTION("if(J$2="""","""", index(GOOGLEFINANCE($B$29,""close"",J$2,TODAY()),2,2))"),25.49)</f>
        <v>25.49</v>
      </c>
      <c r="K29" s="1">
        <f ca="1">IFERROR(__xludf.DUMMYFUNCTION("if(K$2="""","""", index(GOOGLEFINANCE($B$29,""close"",K$2,TODAY()),2,2))"),25.63)</f>
        <v>25.63</v>
      </c>
      <c r="L29" s="1">
        <f ca="1">IFERROR(__xludf.DUMMYFUNCTION("if(L$2="""","""", index(GOOGLEFINANCE($B$29,""close"",L$2,TODAY()),2,2))"),26.17)</f>
        <v>26.17</v>
      </c>
      <c r="M29" s="1">
        <f ca="1">IFERROR(__xludf.DUMMYFUNCTION("if(M$2="""","""", index(GOOGLEFINANCE($B$29,""close"",M$2,TODAY()),2,2))"),25.77)</f>
        <v>25.77</v>
      </c>
      <c r="N29" s="1">
        <f ca="1">IFERROR(__xludf.DUMMYFUNCTION("if(N$2="""","""", index(GOOGLEFINANCE($B$29,""close"",N$2,TODAY()),2,2))"),25.79)</f>
        <v>25.79</v>
      </c>
      <c r="O29" s="1">
        <f ca="1">IFERROR(__xludf.DUMMYFUNCTION("if(O$2="""","""", index(GOOGLEFINANCE($B$29,""close"",O$2,TODAY()),2,2))"),25.36)</f>
        <v>25.36</v>
      </c>
      <c r="P29" s="1">
        <f ca="1">IFERROR(__xludf.DUMMYFUNCTION("if(P$2="""","""", index(GOOGLEFINANCE($B$29,""close"",P$2,TODAY()),2,2))"),24.29)</f>
        <v>24.29</v>
      </c>
      <c r="Q29" s="1">
        <f ca="1">IFERROR(__xludf.DUMMYFUNCTION("if(Q$2="""","""", index(GOOGLEFINANCE($B$29,""close"",Q$2,TODAY()),2,2))"),25.06)</f>
        <v>25.06</v>
      </c>
      <c r="R29" s="1">
        <f ca="1">IFERROR(__xludf.DUMMYFUNCTION("if(R$2="""","""", index(GOOGLEFINANCE($B$29,""close"",R$2,TODAY()),2,2))"),24.08)</f>
        <v>24.08</v>
      </c>
      <c r="S29" s="1">
        <f ca="1">IFERROR(__xludf.DUMMYFUNCTION("if(S$2="""","""", index(GOOGLEFINANCE($B$29,""close"",S$2,TODAY()),2,2))"),23.63)</f>
        <v>23.63</v>
      </c>
      <c r="T29" s="1">
        <f ca="1">IFERROR(__xludf.DUMMYFUNCTION("if(T$2="""","""", index(GOOGLEFINANCE($B$29,""close"",T$2,TODAY()),2,2))"),22.86)</f>
        <v>22.86</v>
      </c>
      <c r="U29" s="1">
        <f ca="1">IFERROR(__xludf.DUMMYFUNCTION("if(U$2="""","""", index(GOOGLEFINANCE($B$29,""close"",U$2,TODAY()),2,2))"),23.55)</f>
        <v>23.55</v>
      </c>
      <c r="V29" s="1">
        <f ca="1">IFERROR(__xludf.DUMMYFUNCTION("if(V$2="""","""", index(GOOGLEFINANCE($B$29,""close"",V$2,TODAY()),2,2))"),24.78)</f>
        <v>24.78</v>
      </c>
      <c r="W29" s="1">
        <f ca="1">IFERROR(__xludf.DUMMYFUNCTION("if(W$2="""","""", index(GOOGLEFINANCE($B$29,""close"",W$2,TODAY()),2,2))"),25.14)</f>
        <v>25.14</v>
      </c>
      <c r="X29" s="1">
        <f ca="1">IFERROR(__xludf.DUMMYFUNCTION("if(X$2="""","""", index(GOOGLEFINANCE($B$29,""close"",X$2,TODAY()),2,2))"),24.81)</f>
        <v>24.81</v>
      </c>
      <c r="Y29" s="1">
        <f ca="1">IFERROR(__xludf.DUMMYFUNCTION("if(Y$2="""","""", index(GOOGLEFINANCE($B$29,""close"",Y$2,TODAY()),2,2))"),23.7)</f>
        <v>23.7</v>
      </c>
      <c r="Z29" s="1">
        <f ca="1">IFERROR(__xludf.DUMMYFUNCTION("if(Z$2="""","""", index(GOOGLEFINANCE($B$29,""close"",Z$2,TODAY()),2,2))"),23.36)</f>
        <v>23.36</v>
      </c>
      <c r="AA29" s="1">
        <f ca="1">IFERROR(__xludf.DUMMYFUNCTION("if(AA$2="""","""", index(GOOGLEFINANCE($B$29,""close"",AA$2,TODAY()),2,2))"),23.81)</f>
        <v>23.81</v>
      </c>
      <c r="AB29" s="1">
        <f ca="1">IFERROR(__xludf.DUMMYFUNCTION("if(AB$2="""","""", index(GOOGLEFINANCE($B$29,""close"",AB$2,TODAY()),2,2))"),24.18)</f>
        <v>24.18</v>
      </c>
      <c r="AC29" s="1">
        <f ca="1">IFERROR(__xludf.DUMMYFUNCTION("if(AC$2="""","""", index(GOOGLEFINANCE($B$29,""close"",AC$2,TODAY()),2,2))"),25.11)</f>
        <v>25.11</v>
      </c>
      <c r="AD29" s="1">
        <f ca="1">IFERROR(__xludf.DUMMYFUNCTION("if(AD$2="""","""", index(GOOGLEFINANCE($B$29,""close"",AD$2,TODAY()),2,2))"),24.37)</f>
        <v>24.37</v>
      </c>
      <c r="AE29" s="1">
        <f ca="1">IFERROR(__xludf.DUMMYFUNCTION("if(AE$2="""","""", index(GOOGLEFINANCE($B$29,""close"",AE$2,TODAY()),2,2))"),24.23)</f>
        <v>24.23</v>
      </c>
      <c r="AF29" s="1">
        <f ca="1">IFERROR(__xludf.DUMMYFUNCTION("if(AF$2="""","""", index(GOOGLEFINANCE($B$29,""close"",AF$2,TODAY()),2,2))"),24.37)</f>
        <v>24.37</v>
      </c>
      <c r="AG29" s="1">
        <f ca="1">IFERROR(__xludf.DUMMYFUNCTION("if(AG$2="""","""", index(GOOGLEFINANCE($B$29,""close"",AG$2,TODAY()),2,2))"),24.82)</f>
        <v>24.82</v>
      </c>
      <c r="AH29" s="1">
        <f ca="1">IFERROR(__xludf.DUMMYFUNCTION("if(AH$2="""","""", index(GOOGLEFINANCE($B$29,""close"",AH$2,TODAY()),2,2))"),26.77)</f>
        <v>26.77</v>
      </c>
      <c r="AI29" s="1">
        <f ca="1">IFERROR(__xludf.DUMMYFUNCTION("if(AI$2="""","""", index(GOOGLEFINANCE($B$29,""close"",AI$2,TODAY()),2,2))"),26.12)</f>
        <v>26.12</v>
      </c>
      <c r="AJ29" s="1">
        <f ca="1">IFERROR(__xludf.DUMMYFUNCTION("if(AJ$2="""","""", index(GOOGLEFINANCE($B$29,""close"",AJ$2,TODAY()),2,2))"),25.53)</f>
        <v>25.53</v>
      </c>
      <c r="AK29" s="1">
        <f ca="1">IFERROR(__xludf.DUMMYFUNCTION("if(AK$2="""","""", index(GOOGLEFINANCE($B$29,""close"",AK$2,TODAY()),2,2))"),25.2)</f>
        <v>25.2</v>
      </c>
      <c r="AL29" s="1">
        <f ca="1">IFERROR(__xludf.DUMMYFUNCTION("if(AL$2="""","""", index(GOOGLEFINANCE($B$29,""close"",AL$2,TODAY()),2,2))"),24.01)</f>
        <v>24.01</v>
      </c>
      <c r="AM29" s="1">
        <f ca="1">IFERROR(__xludf.DUMMYFUNCTION("if(AM$2="""","""", index(GOOGLEFINANCE($B$29,""close"",AM$2,TODAY()),2,2))"),25.13)</f>
        <v>25.13</v>
      </c>
      <c r="AN29" s="1">
        <f ca="1">IFERROR(__xludf.DUMMYFUNCTION("if(AN$2="""","""", index(GOOGLEFINANCE($B$29,""close"",AN$2,TODAY()),2,2))"),25.48)</f>
        <v>25.48</v>
      </c>
      <c r="AO29" s="1">
        <f ca="1">IFERROR(__xludf.DUMMYFUNCTION("if(AO$2="""","""", index(GOOGLEFINANCE($B$29,""close"",AO$2,TODAY()),2,2))"),25.74)</f>
        <v>25.74</v>
      </c>
      <c r="AP29" s="1">
        <f ca="1">IFERROR(__xludf.DUMMYFUNCTION("if(AP$2="""","""", index(GOOGLEFINANCE($B$29,""close"",AP$2,TODAY()),2,2))"),25.52)</f>
        <v>25.52</v>
      </c>
      <c r="AQ29" s="1">
        <f ca="1">IFERROR(__xludf.DUMMYFUNCTION("if(AQ$2="""","""", index(GOOGLEFINANCE($B$29,""close"",AQ$2,TODAY()),2,2))"),25.79)</f>
        <v>25.79</v>
      </c>
      <c r="AR29" s="1">
        <f ca="1">IFERROR(__xludf.DUMMYFUNCTION("if(AR$2="""","""", index(GOOGLEFINANCE($B$29,""close"",AR$2,TODAY()),2,2))"),25.53)</f>
        <v>25.53</v>
      </c>
      <c r="AS29" s="1">
        <f ca="1">IFERROR(__xludf.DUMMYFUNCTION("if(AS$2="""","""", index(GOOGLEFINANCE($B$29,""close"",AS$2,TODAY()),2,2))"),24.62)</f>
        <v>24.62</v>
      </c>
      <c r="AT29" s="1">
        <f ca="1">IFERROR(__xludf.DUMMYFUNCTION("if(AT$2="""","""", index(GOOGLEFINANCE($B$29,""close"",AT$2,TODAY()),2,2))"),23.79)</f>
        <v>23.79</v>
      </c>
      <c r="AU29" s="1">
        <f ca="1">IFERROR(__xludf.DUMMYFUNCTION("if(AU$2="""","""", index(GOOGLEFINANCE($B$29,""close"",AU$2,TODAY()),2,2))"),24.52)</f>
        <v>24.52</v>
      </c>
      <c r="AV29" s="1">
        <f ca="1">IFERROR(__xludf.DUMMYFUNCTION("if(AV$2="""","""", index(GOOGLEFINANCE($B$29,""close"",AV$2,TODAY()),2,2))"),25.4)</f>
        <v>25.4</v>
      </c>
      <c r="AW29" s="1">
        <f ca="1">IFERROR(__xludf.DUMMYFUNCTION("if(AW$2="""","""", index(GOOGLEFINANCE($B$29,""close"",AW$2,TODAY()),2,2))"),25.27)</f>
        <v>25.27</v>
      </c>
      <c r="AX29" s="1">
        <f ca="1">IFERROR(__xludf.DUMMYFUNCTION("if(AX$2="""","""", index(GOOGLEFINANCE($B$29,""close"",AX$2,TODAY()),2,2))"),25.27)</f>
        <v>25.27</v>
      </c>
      <c r="AY29" s="1">
        <f ca="1">IFERROR(__xludf.DUMMYFUNCTION("if(AY$2="""","""", index(GOOGLEFINANCE($B$29,""close"",AY$2,TODAY()),2,2))"),24.75)</f>
        <v>24.75</v>
      </c>
      <c r="AZ29" s="1">
        <f ca="1">IFERROR(__xludf.DUMMYFUNCTION("if(AZ$2="""","""", index(GOOGLEFINANCE($B$29,""close"",AZ$2,TODAY()),2,2))"),25.54)</f>
        <v>25.54</v>
      </c>
      <c r="BA29" s="1">
        <f ca="1">IFERROR(__xludf.DUMMYFUNCTION("if(BA$2="""","""", index(GOOGLEFINANCE($B$29,""close"",BA$2,TODAY()),2,2))"),26.64)</f>
        <v>26.64</v>
      </c>
      <c r="BB29" s="1">
        <f ca="1">IFERROR(__xludf.DUMMYFUNCTION("if(BB$2="""","""", index(GOOGLEFINANCE($B$29,""close"",BB$2,TODAY()),2,2))"),26.6)</f>
        <v>26.6</v>
      </c>
      <c r="BC29" s="1">
        <f ca="1">IFERROR(__xludf.DUMMYFUNCTION("if(BC$2="""","""", index(GOOGLEFINANCE($B$29,""close"",BC$2,TODAY()),2,2))"),26.55)</f>
        <v>26.55</v>
      </c>
      <c r="BD29" s="1">
        <f ca="1">IFERROR(__xludf.DUMMYFUNCTION("if(BD$2="""","""", index(GOOGLEFINANCE($B$29,""close"",BD$2,TODAY()),2,2))"),26.3)</f>
        <v>26.3</v>
      </c>
      <c r="BE29" s="1">
        <f ca="1">IFERROR(__xludf.DUMMYFUNCTION("if(BE$2="""","""", index(GOOGLEFINANCE($B$29,""close"",BE$2,TODAY()),2,2))"),26.5)</f>
        <v>26.5</v>
      </c>
      <c r="BF29" s="1">
        <f ca="1">IFERROR(__xludf.DUMMYFUNCTION("if(BF$2="""","""", index(GOOGLEFINANCE($B$29,""close"",BF$2,TODAY()),2,2))"),25.61)</f>
        <v>25.61</v>
      </c>
      <c r="BG29" s="1">
        <f ca="1">IFERROR(__xludf.DUMMYFUNCTION("if(BG$2="""","""", index(GOOGLEFINANCE($B$29,""close"",BG$2,TODAY()),2,2))"),24.88)</f>
        <v>24.88</v>
      </c>
      <c r="BH29" s="1">
        <f ca="1">IFERROR(__xludf.DUMMYFUNCTION("if(BH$2="""","""", index(GOOGLEFINANCE($B$29,""close"",BH$2,TODAY()),2,2))"),24.76)</f>
        <v>24.76</v>
      </c>
      <c r="BI29" s="1">
        <f ca="1">IFERROR(__xludf.DUMMYFUNCTION("if(BI$2="""","""", index(GOOGLEFINANCE($B$29,""close"",BI$2,TODAY()),2,2))"),24.74)</f>
        <v>24.74</v>
      </c>
      <c r="BJ29" s="1">
        <f ca="1">IFERROR(__xludf.DUMMYFUNCTION("if(BJ$2="""","""", index(GOOGLEFINANCE($B$29,""close"",BJ$2,TODAY()),2,2))"),25.67)</f>
        <v>25.67</v>
      </c>
      <c r="BK29" s="1">
        <f ca="1">IFERROR(__xludf.DUMMYFUNCTION("if(BK$2="""","""", index(GOOGLEFINANCE($B$29,""close"",BK$2,TODAY()),2,2))"),24.51)</f>
        <v>24.51</v>
      </c>
      <c r="BL29" s="1">
        <f ca="1">IFERROR(__xludf.DUMMYFUNCTION("if(BL$2="""","""", index(GOOGLEFINANCE($B$29,""close"",BL$2,TODAY()),2,2))"),23.83)</f>
        <v>23.83</v>
      </c>
      <c r="BM29" s="1">
        <f ca="1">IFERROR(__xludf.DUMMYFUNCTION("if(BM$2="""","""", index(GOOGLEFINANCE($B$29,""close"",BM$2,TODAY()),2,2))"),24.46)</f>
        <v>24.46</v>
      </c>
      <c r="BN29" s="1">
        <f ca="1">IFERROR(__xludf.DUMMYFUNCTION("if(BN$2="""","""", index(GOOGLEFINANCE($B$29,""close"",BN$2,TODAY()),2,2))"),24.17)</f>
        <v>24.17</v>
      </c>
      <c r="BO29" s="1">
        <f ca="1">IFERROR(__xludf.DUMMYFUNCTION("if(BO$2="""","""", index(GOOGLEFINANCE($B$29,""close"",BO$2,TODAY()),2,2))"),22.47)</f>
        <v>22.47</v>
      </c>
      <c r="BP29" s="1">
        <f ca="1">IFERROR(__xludf.DUMMYFUNCTION("if(BP$2="""","""", index(GOOGLEFINANCE($B$29,""close"",BP$2,TODAY()),2,2))"),21.61)</f>
        <v>21.61</v>
      </c>
      <c r="BQ29" s="1">
        <f ca="1">IFERROR(__xludf.DUMMYFUNCTION("if(BQ$2="""","""", index(GOOGLEFINANCE($B$29,""close"",BQ$2,TODAY()),2,2))"),21.85)</f>
        <v>21.85</v>
      </c>
      <c r="BR29" s="1">
        <f ca="1">IFERROR(__xludf.DUMMYFUNCTION("if(BR$2="""","""", index(GOOGLEFINANCE($B$29,""close"",BR$2,TODAY()),2,2))"),21.46)</f>
        <v>21.46</v>
      </c>
      <c r="BS29" s="1">
        <f ca="1">IFERROR(__xludf.DUMMYFUNCTION("if(BS$2="""","""", index(GOOGLEFINANCE($B$29,""close"",BS$2,TODAY()),2,2))"),21.49)</f>
        <v>21.49</v>
      </c>
      <c r="BT29" s="1">
        <f ca="1">IFERROR(__xludf.DUMMYFUNCTION("if(BT$2="""","""", index(GOOGLEFINANCE($B$29,""close"",BT$2,TODAY()),2,2))"),21.84)</f>
        <v>21.84</v>
      </c>
      <c r="BU29" s="1">
        <f ca="1">IFERROR(__xludf.DUMMYFUNCTION("if(BU$2="""","""", index(GOOGLEFINANCE($B$29,""close"",BU$2,TODAY()),2,2))"),23.06)</f>
        <v>23.06</v>
      </c>
      <c r="BV29" s="1">
        <f ca="1">IFERROR(__xludf.DUMMYFUNCTION("if(BV$2="""","""", index(GOOGLEFINANCE($B$29,""close"",BV$2,TODAY()),2,2))"),22.83)</f>
        <v>22.83</v>
      </c>
      <c r="BW29" s="1">
        <f ca="1">IFERROR(__xludf.DUMMYFUNCTION("if(BW$2="""","""", index(GOOGLEFINANCE($B$29,""close"",BW$2,TODAY()),2,2))"),22.71)</f>
        <v>22.71</v>
      </c>
      <c r="BX29" s="1">
        <f ca="1">IFERROR(__xludf.DUMMYFUNCTION("if(BX$2="""","""", index(GOOGLEFINANCE($B$29,""close"",BX$2,TODAY()),2,2))"),23.7)</f>
        <v>23.7</v>
      </c>
      <c r="BY29" s="1">
        <f ca="1">IFERROR(__xludf.DUMMYFUNCTION("if(BY$2="""","""", index(GOOGLEFINANCE($B$29,""close"",BY$2,TODAY()),2,2))"),24.38)</f>
        <v>24.38</v>
      </c>
      <c r="BZ29" s="1">
        <f ca="1">IFERROR(__xludf.DUMMYFUNCTION("if(BZ$2="""","""", index(GOOGLEFINANCE($B$29,""close"",BZ$2,TODAY()),2,2))"),23.67)</f>
        <v>23.67</v>
      </c>
      <c r="CA29" s="1">
        <f ca="1">IFERROR(__xludf.DUMMYFUNCTION("if(CA$2="""","""", index(GOOGLEFINANCE($B$29,""close"",CA$2,TODAY()),2,2))"),23.01)</f>
        <v>23.01</v>
      </c>
      <c r="CB29" s="1">
        <f ca="1">IFERROR(__xludf.DUMMYFUNCTION("if(CB$2="""","""", index(GOOGLEFINANCE($B$29,""close"",CB$2,TODAY()),2,2))"),23.23)</f>
        <v>23.23</v>
      </c>
      <c r="CC29" s="1">
        <f ca="1">IFERROR(__xludf.DUMMYFUNCTION("if(CC$2="""","""", index(GOOGLEFINANCE($B$29,""close"",CC$2,TODAY()),2,2))"),22.75)</f>
        <v>22.75</v>
      </c>
      <c r="CD29" s="1">
        <f ca="1">IFERROR(__xludf.DUMMYFUNCTION("if(CD$2="""","""", index(GOOGLEFINANCE($B$29,""close"",CD$2,TODAY()),2,2))"),22.71)</f>
        <v>22.71</v>
      </c>
      <c r="CE29" s="1">
        <f ca="1">IFERROR(__xludf.DUMMYFUNCTION("if(CE$2="""","""", index(GOOGLEFINANCE($B$29,""close"",CE$2,TODAY()),2,2))"),23.67)</f>
        <v>23.67</v>
      </c>
      <c r="CF29" s="1">
        <f ca="1">IFERROR(__xludf.DUMMYFUNCTION("if(CF$2="""","""", index(GOOGLEFINANCE($B$29,""close"",CF$2,TODAY()),2,2))"),22.49)</f>
        <v>22.49</v>
      </c>
      <c r="CG29" s="1">
        <f ca="1">IFERROR(__xludf.DUMMYFUNCTION("if(CG$2="""","""", index(GOOGLEFINANCE($B$29,""close"",CG$2,TODAY()),2,2))"),23.34)</f>
        <v>23.34</v>
      </c>
      <c r="CH29" s="1">
        <f ca="1">IFERROR(__xludf.DUMMYFUNCTION("if(CH$2="""","""", index(GOOGLEFINANCE($B$29,""close"",CH$2,TODAY()),2,2))"),23.63)</f>
        <v>23.63</v>
      </c>
      <c r="CI29" s="1">
        <f ca="1">IFERROR(__xludf.DUMMYFUNCTION("if(CI$2="""","""", index(GOOGLEFINANCE($B$29,""close"",CI$2,TODAY()),2,2))"),26.03)</f>
        <v>26.03</v>
      </c>
      <c r="CJ29" s="1" t="str">
        <f ca="1">IFERROR(__xludf.DUMMYFUNCTION("if(CJ$2="""","""", index(GOOGLEFINANCE($B$29,""close"",CJ$2,TODAY()),2,2))"),"")</f>
        <v/>
      </c>
      <c r="CK29" s="1" t="str">
        <f ca="1">IFERROR(__xludf.DUMMYFUNCTION("if(CK$2="""","""", index(GOOGLEFINANCE($B$29,""close"",CK$2,TODAY()),2,2))"),"")</f>
        <v/>
      </c>
      <c r="CL29" s="1" t="str">
        <f ca="1">IFERROR(__xludf.DUMMYFUNCTION("if(CL$2="""","""", index(GOOGLEFINANCE($B$29,""close"",CL$2,TODAY()),2,2))"),"")</f>
        <v/>
      </c>
      <c r="CM29" s="1" t="str">
        <f ca="1">IFERROR(__xludf.DUMMYFUNCTION("if(CM$2="""","""", index(GOOGLEFINANCE($B$29,""close"",CM$2,TODAY()),2,2))"),"")</f>
        <v/>
      </c>
      <c r="CN29" s="1" t="str">
        <f ca="1">IFERROR(__xludf.DUMMYFUNCTION("if(CN$2="""","""", index(GOOGLEFINANCE($B$29,""close"",CN$2,TODAY()),2,2))"),"")</f>
        <v/>
      </c>
      <c r="CO29" s="1" t="str">
        <f ca="1">IFERROR(__xludf.DUMMYFUNCTION("if(CO$2="""","""", index(GOOGLEFINANCE($B$29,""close"",CO$2,TODAY()),2,2))"),"")</f>
        <v/>
      </c>
      <c r="CP29" s="1" t="str">
        <f ca="1">IFERROR(__xludf.DUMMYFUNCTION("if(CP$2="""","""", index(GOOGLEFINANCE($B$29,""close"",CP$2,TODAY()),2,2))"),"")</f>
        <v/>
      </c>
      <c r="CQ29" s="1" t="str">
        <f ca="1">IFERROR(__xludf.DUMMYFUNCTION("if(CQ$2="""","""", index(GOOGLEFINANCE($B$29,""close"",CQ$2,TODAY()),2,2))"),"")</f>
        <v/>
      </c>
      <c r="CR29" s="1" t="str">
        <f ca="1">IFERROR(__xludf.DUMMYFUNCTION("if(CR$2="""","""", index(GOOGLEFINANCE($B$29,""close"",CR$2,TODAY()),2,2))"),"")</f>
        <v/>
      </c>
      <c r="CS29" s="1" t="str">
        <f ca="1">IFERROR(__xludf.DUMMYFUNCTION("if(CS$2="""","""", index(GOOGLEFINANCE($B$29,""close"",CS$2,TODAY()),2,2))"),"")</f>
        <v/>
      </c>
      <c r="CT29" s="1" t="str">
        <f ca="1">IFERROR(__xludf.DUMMYFUNCTION("if(CT$2="""","""", index(GOOGLEFINANCE($B$29,""close"",CT$2,TODAY()),2,2))"),"")</f>
        <v/>
      </c>
      <c r="CU29" s="1" t="str">
        <f ca="1">IFERROR(__xludf.DUMMYFUNCTION("if(CU$2="""","""", index(GOOGLEFINANCE($B$29,""close"",CU$2,TODAY()),2,2))"),"")</f>
        <v/>
      </c>
      <c r="CV29" s="1" t="str">
        <f ca="1">IFERROR(__xludf.DUMMYFUNCTION("if(CV$2="""","""", index(GOOGLEFINANCE($B$29,""close"",CV$2,TODAY()),2,2))"),"")</f>
        <v/>
      </c>
      <c r="CW29" s="1" t="str">
        <f ca="1">IFERROR(__xludf.DUMMYFUNCTION("if(CW$2="""","""", index(GOOGLEFINANCE($B$29,""close"",CW$2,TODAY()),2,2))"),"")</f>
        <v/>
      </c>
      <c r="CX29" s="1" t="str">
        <f ca="1">IFERROR(__xludf.DUMMYFUNCTION("if(CX$2="""","""", index(GOOGLEFINANCE($B$29,""close"",CX$2,TODAY()),2,2))"),"")</f>
        <v/>
      </c>
      <c r="CY29" s="1" t="str">
        <f ca="1">IFERROR(__xludf.DUMMYFUNCTION("if(CY$2="""","""", index(GOOGLEFINANCE($B$29,""close"",CY$2,TODAY()),2,2))"),"")</f>
        <v/>
      </c>
      <c r="CZ29" s="1" t="str">
        <f ca="1">IFERROR(__xludf.DUMMYFUNCTION("if(CZ$2="""","""", index(GOOGLEFINANCE($B$29,""close"",CZ$2,TODAY()),2,2))"),"")</f>
        <v/>
      </c>
      <c r="DA29" s="1" t="str">
        <f ca="1">IFERROR(__xludf.DUMMYFUNCTION("if(DA$2="""","""", index(GOOGLEFINANCE($B$29,""close"",DA$2,TODAY()),2,2))"),"")</f>
        <v/>
      </c>
      <c r="DB29" s="1" t="str">
        <f ca="1">IFERROR(__xludf.DUMMYFUNCTION("if(DB$2="""","""", index(GOOGLEFINANCE($B$29,""close"",DB$2,TODAY()),2,2))"),"")</f>
        <v/>
      </c>
      <c r="DC29" s="1" t="str">
        <f ca="1">IFERROR(__xludf.DUMMYFUNCTION("if(DC$2="""","""", index(GOOGLEFINANCE($B$29,""close"",DC$2,TODAY()),2,2))"),"")</f>
        <v/>
      </c>
      <c r="DD29" s="1" t="str">
        <f ca="1">IFERROR(__xludf.DUMMYFUNCTION("if(DD$2="""","""", index(GOOGLEFINANCE($B$29,""close"",DD$2,TODAY()),2,2))"),"")</f>
        <v/>
      </c>
      <c r="DE29" s="1" t="str">
        <f ca="1">IFERROR(__xludf.DUMMYFUNCTION("if(DE$2="""","""", index(GOOGLEFINANCE($B$29,""close"",DE$2,TODAY()),2,2))"),"")</f>
        <v/>
      </c>
      <c r="DF29" s="1" t="str">
        <f ca="1">IFERROR(__xludf.DUMMYFUNCTION("if(DF$2="""","""", index(GOOGLEFINANCE($B$29,""close"",DF$2,TODAY()),2,2))"),"")</f>
        <v/>
      </c>
      <c r="DG29" s="1" t="str">
        <f ca="1">IFERROR(__xludf.DUMMYFUNCTION("if(DG$2="""","""", index(GOOGLEFINANCE($B$29,""close"",DG$2,TODAY()),2,2))"),"")</f>
        <v/>
      </c>
      <c r="DH29" s="1" t="str">
        <f ca="1">IFERROR(__xludf.DUMMYFUNCTION("if(DH$2="""","""", index(GOOGLEFINANCE($B$29,""close"",DH$2,TODAY()),2,2))"),"")</f>
        <v/>
      </c>
      <c r="DI29" s="1" t="str">
        <f ca="1">IFERROR(__xludf.DUMMYFUNCTION("if(DI$2="""","""", index(GOOGLEFINANCE($B$29,""close"",DI$2,TODAY()),2,2))"),"")</f>
        <v/>
      </c>
      <c r="DJ29" s="1" t="str">
        <f ca="1">IFERROR(__xludf.DUMMYFUNCTION("if(DJ$2="""","""", index(GOOGLEFINANCE($B$29,""close"",DJ$2,TODAY()),2,2))"),"")</f>
        <v/>
      </c>
      <c r="DK29" s="1" t="str">
        <f ca="1">IFERROR(__xludf.DUMMYFUNCTION("if(DK$2="""","""", index(GOOGLEFINANCE($B$29,""close"",DK$2,TODAY()),2,2))"),"")</f>
        <v/>
      </c>
      <c r="DL29" s="1" t="str">
        <f ca="1">IFERROR(__xludf.DUMMYFUNCTION("if(DL$2="""","""", index(GOOGLEFINANCE($B$29,""close"",DL$2,TODAY()),2,2))"),"")</f>
        <v/>
      </c>
      <c r="DM29" s="1" t="str">
        <f ca="1">IFERROR(__xludf.DUMMYFUNCTION("if(DM$2="""","""", index(GOOGLEFINANCE($B$29,""close"",DM$2,TODAY()),2,2))"),"")</f>
        <v/>
      </c>
      <c r="DN29" s="1" t="str">
        <f ca="1">IFERROR(__xludf.DUMMYFUNCTION("if(DN$2="""","""", index(GOOGLEFINANCE($B$29,""close"",DN$2,TODAY()),2,2))"),"")</f>
        <v/>
      </c>
      <c r="DO29" s="1" t="str">
        <f ca="1">IFERROR(__xludf.DUMMYFUNCTION("if(DO$2="""","""", index(GOOGLEFINANCE($B$29,""close"",DO$2,TODAY()),2,2))"),"")</f>
        <v/>
      </c>
      <c r="DP29" s="1" t="str">
        <f ca="1">IFERROR(__xludf.DUMMYFUNCTION("if(DP$2="""","""", index(GOOGLEFINANCE($B$29,""close"",DP$2,TODAY()),2,2))"),"")</f>
        <v/>
      </c>
      <c r="DQ29" s="1" t="str">
        <f ca="1">IFERROR(__xludf.DUMMYFUNCTION("if(DQ$2="""","""", index(GOOGLEFINANCE($B$29,""close"",DQ$2,TODAY()),2,2))"),"")</f>
        <v/>
      </c>
      <c r="DR29" s="1" t="str">
        <f ca="1">IFERROR(__xludf.DUMMYFUNCTION("if(DR$2="""","""", index(GOOGLEFINANCE($B$29,""close"",DR$2,TODAY()),2,2))"),"")</f>
        <v/>
      </c>
      <c r="DS29" s="1" t="str">
        <f ca="1">IFERROR(__xludf.DUMMYFUNCTION("if(DS$2="""","""", index(GOOGLEFINANCE($B$29,""close"",DS$2,TODAY()),2,2))"),"")</f>
        <v/>
      </c>
      <c r="DT29" s="1" t="str">
        <f ca="1">IFERROR(__xludf.DUMMYFUNCTION("if(DT$2="""","""", index(GOOGLEFINANCE($B$29,""close"",DT$2,TODAY()),2,2))"),"")</f>
        <v/>
      </c>
      <c r="DU29" s="1" t="str">
        <f ca="1">IFERROR(__xludf.DUMMYFUNCTION("if(DU$2="""","""", index(GOOGLEFINANCE($B$29,""close"",DU$2,TODAY()),2,2))"),"")</f>
        <v/>
      </c>
      <c r="DV29" s="1" t="str">
        <f ca="1">IFERROR(__xludf.DUMMYFUNCTION("if(DV$2="""","""", index(GOOGLEFINANCE($B$29,""close"",DV$2,TODAY()),2,2))"),"")</f>
        <v/>
      </c>
      <c r="DW29" s="1" t="str">
        <f ca="1">IFERROR(__xludf.DUMMYFUNCTION("if(DW$2="""","""", index(GOOGLEFINANCE($B$29,""close"",DW$2,TODAY()),2,2))"),"")</f>
        <v/>
      </c>
      <c r="DX29" s="1" t="str">
        <f ca="1">IFERROR(__xludf.DUMMYFUNCTION("if(DX$2="""","""", index(GOOGLEFINANCE($B$29,""close"",DX$2,TODAY()),2,2))"),"")</f>
        <v/>
      </c>
      <c r="DY29" s="1" t="str">
        <f ca="1">IFERROR(__xludf.DUMMYFUNCTION("if(DY$2="""","""", index(GOOGLEFINANCE($B$29,""close"",DY$2,TODAY()),2,2))"),"")</f>
        <v/>
      </c>
      <c r="DZ29" s="1" t="str">
        <f ca="1">IFERROR(__xludf.DUMMYFUNCTION("if(DZ$2="""","""", index(GOOGLEFINANCE($B$29,""close"",DZ$2,TODAY()),2,2))"),"")</f>
        <v/>
      </c>
      <c r="EA29" s="1" t="str">
        <f ca="1">IFERROR(__xludf.DUMMYFUNCTION("if(EA$2="""","""", index(GOOGLEFINANCE($B$29,""close"",EA$2,TODAY()),2,2))"),"")</f>
        <v/>
      </c>
      <c r="EB29" s="1" t="str">
        <f ca="1">IFERROR(__xludf.DUMMYFUNCTION("if(EB$2="""","""", index(GOOGLEFINANCE($B$29,""close"",EB$2,TODAY()),2,2))"),"")</f>
        <v/>
      </c>
      <c r="EC29" s="1" t="str">
        <f ca="1">IFERROR(__xludf.DUMMYFUNCTION("if(EC$2="""","""", index(GOOGLEFINANCE($B$29,""close"",EC$2,TODAY()),2,2))"),"")</f>
        <v/>
      </c>
      <c r="ED29" s="1" t="str">
        <f ca="1">IFERROR(__xludf.DUMMYFUNCTION("if(ED$2="""","""", index(GOOGLEFINANCE($B$29,""close"",ED$2,TODAY()),2,2))"),"")</f>
        <v/>
      </c>
      <c r="EE29" s="1" t="str">
        <f ca="1">IFERROR(__xludf.DUMMYFUNCTION("if(EE$2="""","""", index(GOOGLEFINANCE($B$29,""close"",EE$2,TODAY()),2,2))"),"")</f>
        <v/>
      </c>
      <c r="EF29" s="1" t="str">
        <f ca="1">IFERROR(__xludf.DUMMYFUNCTION("if(EF$2="""","""", index(GOOGLEFINANCE($B$29,""close"",EF$2,TODAY()),2,2))"),"")</f>
        <v/>
      </c>
      <c r="EG29" s="1" t="str">
        <f ca="1">IFERROR(__xludf.DUMMYFUNCTION("if(EG$2="""","""", index(GOOGLEFINANCE($B$29,""close"",EG$2,TODAY()),2,2))"),"")</f>
        <v/>
      </c>
      <c r="EH29" s="1" t="str">
        <f ca="1">IFERROR(__xludf.DUMMYFUNCTION("if(EH$2="""","""", index(GOOGLEFINANCE($B$29,""close"",EH$2,TODAY()),2,2))"),"")</f>
        <v/>
      </c>
      <c r="EI29" s="1" t="str">
        <f ca="1">IFERROR(__xludf.DUMMYFUNCTION("if(EI$2="""","""", index(GOOGLEFINANCE($B$29,""close"",EI$2,TODAY()),2,2))"),"")</f>
        <v/>
      </c>
      <c r="EJ29" s="1" t="str">
        <f ca="1">IFERROR(__xludf.DUMMYFUNCTION("if(EJ$2="""","""", index(GOOGLEFINANCE($B$29,""close"",EJ$2,TODAY()),2,2))"),"")</f>
        <v/>
      </c>
      <c r="EK29" s="1" t="str">
        <f ca="1">IFERROR(__xludf.DUMMYFUNCTION("if(EK$2="""","""", index(GOOGLEFINANCE($B$29,""close"",EK$2,TODAY()),2,2))"),"")</f>
        <v/>
      </c>
      <c r="EL29" s="1" t="str">
        <f ca="1">IFERROR(__xludf.DUMMYFUNCTION("if(EL$2="""","""", index(GOOGLEFINANCE($B$29,""close"",EL$2,TODAY()),2,2))"),"")</f>
        <v/>
      </c>
      <c r="EM29" s="1" t="str">
        <f ca="1">IFERROR(__xludf.DUMMYFUNCTION("if(EM$2="""","""", index(GOOGLEFINANCE($B$29,""close"",EM$2,TODAY()),2,2))"),"")</f>
        <v/>
      </c>
      <c r="EN29" s="1" t="str">
        <f ca="1">IFERROR(__xludf.DUMMYFUNCTION("if(EN$2="""","""", index(GOOGLEFINANCE($B$29,""close"",EN$2,TODAY()),2,2))"),"")</f>
        <v/>
      </c>
      <c r="EO29" s="1" t="str">
        <f ca="1">IFERROR(__xludf.DUMMYFUNCTION("if(EO$2="""","""", index(GOOGLEFINANCE($B$29,""close"",EO$2,TODAY()),2,2))"),"")</f>
        <v/>
      </c>
      <c r="EP29" s="1" t="str">
        <f ca="1">IFERROR(__xludf.DUMMYFUNCTION("if(EP$2="""","""", index(GOOGLEFINANCE($B$29,""close"",EP$2,TODAY()),2,2))"),"")</f>
        <v/>
      </c>
      <c r="EQ29" s="1" t="str">
        <f ca="1">IFERROR(__xludf.DUMMYFUNCTION("if(EQ$2="""","""", index(GOOGLEFINANCE($B$29,""close"",EQ$2,TODAY()),2,2))"),"")</f>
        <v/>
      </c>
      <c r="ER29" s="1" t="str">
        <f ca="1">IFERROR(__xludf.DUMMYFUNCTION("if(ER$2="""","""", index(GOOGLEFINANCE($B$29,""close"",ER$2,TODAY()),2,2))"),"")</f>
        <v/>
      </c>
      <c r="ES29" s="1" t="str">
        <f ca="1">IFERROR(__xludf.DUMMYFUNCTION("if(ES$2="""","""", index(GOOGLEFINANCE($B$29,""close"",ES$2,TODAY()),2,2))"),"")</f>
        <v/>
      </c>
      <c r="ET29" s="1" t="str">
        <f ca="1">IFERROR(__xludf.DUMMYFUNCTION("if(ET$2="""","""", index(GOOGLEFINANCE($B$29,""close"",ET$2,TODAY()),2,2))"),"")</f>
        <v/>
      </c>
      <c r="EU29" s="1" t="str">
        <f ca="1">IFERROR(__xludf.DUMMYFUNCTION("if(EU$2="""","""", index(GOOGLEFINANCE($B$29,""close"",EU$2,TODAY()),2,2))"),"")</f>
        <v/>
      </c>
      <c r="EV29" s="1" t="str">
        <f ca="1">IFERROR(__xludf.DUMMYFUNCTION("if(EV$2="""","""", index(GOOGLEFINANCE($B$29,""close"",EV$2,TODAY()),2,2))"),"")</f>
        <v/>
      </c>
      <c r="EW29" s="1" t="str">
        <f ca="1">IFERROR(__xludf.DUMMYFUNCTION("if(EW$2="""","""", index(GOOGLEFINANCE($B$29,""close"",EW$2,TODAY()),2,2))"),"")</f>
        <v/>
      </c>
      <c r="EX29" s="1" t="str">
        <f ca="1">IFERROR(__xludf.DUMMYFUNCTION("if(EX$2="""","""", index(GOOGLEFINANCE($B$29,""close"",EX$2,TODAY()),2,2))"),"")</f>
        <v/>
      </c>
      <c r="EY29" s="1" t="str">
        <f ca="1">IFERROR(__xludf.DUMMYFUNCTION("if(EY$2="""","""", index(GOOGLEFINANCE($B$29,""close"",EY$2,TODAY()),2,2))"),"")</f>
        <v/>
      </c>
      <c r="EZ29" s="1" t="str">
        <f ca="1">IFERROR(__xludf.DUMMYFUNCTION("if(EZ$2="""","""", index(GOOGLEFINANCE($B$29,""close"",EZ$2,TODAY()),2,2))"),"")</f>
        <v/>
      </c>
      <c r="FA29" s="1" t="str">
        <f ca="1">IFERROR(__xludf.DUMMYFUNCTION("if(FA$2="""","""", index(GOOGLEFINANCE($B$29,""close"",FA$2,TODAY()),2,2))"),"")</f>
        <v/>
      </c>
      <c r="FB29" s="1" t="str">
        <f ca="1">IFERROR(__xludf.DUMMYFUNCTION("if(FB$2="""","""", index(GOOGLEFINANCE($B$29,""close"",FB$2,TODAY()),2,2))"),"")</f>
        <v/>
      </c>
      <c r="FC29" s="1" t="str">
        <f ca="1">IFERROR(__xludf.DUMMYFUNCTION("if(FC$2="""","""", index(GOOGLEFINANCE($B$29,""close"",FC$2,TODAY()),2,2))"),"")</f>
        <v/>
      </c>
      <c r="FD29" s="1" t="str">
        <f ca="1">IFERROR(__xludf.DUMMYFUNCTION("if(FD$2="""","""", index(GOOGLEFINANCE($B$29,""close"",FD$2,TODAY()),2,2))"),"")</f>
        <v/>
      </c>
      <c r="FE29" s="1" t="str">
        <f ca="1">IFERROR(__xludf.DUMMYFUNCTION("if(FE$2="""","""", index(GOOGLEFINANCE($B$29,""close"",FE$2,TODAY()),2,2))"),"")</f>
        <v/>
      </c>
      <c r="FF29" s="1" t="str">
        <f ca="1">IFERROR(__xludf.DUMMYFUNCTION("if(FF$2="""","""", index(GOOGLEFINANCE($B$29,""close"",FF$2,TODAY()),2,2))"),"")</f>
        <v/>
      </c>
      <c r="FG29" s="1" t="str">
        <f ca="1">IFERROR(__xludf.DUMMYFUNCTION("if(FG$2="""","""", index(GOOGLEFINANCE($B$29,""close"",FG$2,TODAY()),2,2))"),"")</f>
        <v/>
      </c>
      <c r="FH29" s="1" t="str">
        <f ca="1">IFERROR(__xludf.DUMMYFUNCTION("if(FH$2="""","""", index(GOOGLEFINANCE($B$29,""close"",FH$2,TODAY()),2,2))"),"")</f>
        <v/>
      </c>
      <c r="FI29" s="1" t="str">
        <f ca="1">IFERROR(__xludf.DUMMYFUNCTION("if(FI$2="""","""", index(GOOGLEFINANCE($B$29,""close"",FI$2,TODAY()),2,2))"),"")</f>
        <v/>
      </c>
      <c r="FJ29" s="1" t="str">
        <f ca="1">IFERROR(__xludf.DUMMYFUNCTION("if(FJ$2="""","""", index(GOOGLEFINANCE($B$29,""close"",FJ$2,TODAY()),2,2))"),"")</f>
        <v/>
      </c>
      <c r="FK29" s="1" t="str">
        <f ca="1">IFERROR(__xludf.DUMMYFUNCTION("if(FK$2="""","""", index(GOOGLEFINANCE($B$29,""close"",FK$2,TODAY()),2,2))"),"")</f>
        <v/>
      </c>
      <c r="FL29" s="1" t="str">
        <f ca="1">IFERROR(__xludf.DUMMYFUNCTION("if(FL$2="""","""", index(GOOGLEFINANCE($B$29,""close"",FL$2,TODAY()),2,2))"),"")</f>
        <v/>
      </c>
      <c r="FM29" s="1" t="str">
        <f ca="1">IFERROR(__xludf.DUMMYFUNCTION("if(FM$2="""","""", index(GOOGLEFINANCE($B$29,""close"",FM$2,TODAY()),2,2))"),"")</f>
        <v/>
      </c>
      <c r="FN29" s="1" t="str">
        <f ca="1">IFERROR(__xludf.DUMMYFUNCTION("if(FN$2="""","""", index(GOOGLEFINANCE($B$29,""close"",FN$2,TODAY()),2,2))"),"")</f>
        <v/>
      </c>
      <c r="FO29" s="1" t="str">
        <f ca="1">IFERROR(__xludf.DUMMYFUNCTION("if(FO$2="""","""", index(GOOGLEFINANCE($B$29,""close"",FO$2,TODAY()),2,2))"),"")</f>
        <v/>
      </c>
      <c r="FP29" s="1" t="str">
        <f ca="1">IFERROR(__xludf.DUMMYFUNCTION("if(FP$2="""","""", index(GOOGLEFINANCE($B$29,""close"",FP$2,TODAY()),2,2))"),"")</f>
        <v/>
      </c>
      <c r="FQ29" s="1" t="str">
        <f ca="1">IFERROR(__xludf.DUMMYFUNCTION("if(FQ$2="""","""", index(GOOGLEFINANCE($B$29,""close"",FQ$2,TODAY()),2,2))"),"")</f>
        <v/>
      </c>
      <c r="FR29" s="1" t="str">
        <f ca="1">IFERROR(__xludf.DUMMYFUNCTION("if(FR$2="""","""", index(GOOGLEFINANCE($B$29,""close"",FR$2,TODAY()),2,2))"),"")</f>
        <v/>
      </c>
      <c r="FS29" s="1" t="str">
        <f ca="1">IFERROR(__xludf.DUMMYFUNCTION("if(FS$2="""","""", index(GOOGLEFINANCE($B$29,""close"",FS$2,TODAY()),2,2))"),"")</f>
        <v/>
      </c>
      <c r="FT29" s="1" t="str">
        <f ca="1">IFERROR(__xludf.DUMMYFUNCTION("if(FT$2="""","""", index(GOOGLEFINANCE($B$29,""close"",FT$2,TODAY()),2,2))"),"")</f>
        <v/>
      </c>
      <c r="FU29" s="1" t="str">
        <f ca="1">IFERROR(__xludf.DUMMYFUNCTION("if(FU$2="""","""", index(GOOGLEFINANCE($B$29,""close"",FU$2,TODAY()),2,2))"),"")</f>
        <v/>
      </c>
      <c r="FV29" s="1" t="str">
        <f ca="1">IFERROR(__xludf.DUMMYFUNCTION("if(FV$2="""","""", index(GOOGLEFINANCE($B$29,""close"",FV$2,TODAY()),2,2))"),"")</f>
        <v/>
      </c>
      <c r="FW29" s="1" t="str">
        <f ca="1">IFERROR(__xludf.DUMMYFUNCTION("if(FW$2="""","""", index(GOOGLEFINANCE($B$29,""close"",FW$2,TODAY()),2,2))"),"")</f>
        <v/>
      </c>
      <c r="FX29" s="1" t="str">
        <f ca="1">IFERROR(__xludf.DUMMYFUNCTION("if(FX$2="""","""", index(GOOGLEFINANCE($B$29,""close"",FX$2,TODAY()),2,2))"),"")</f>
        <v/>
      </c>
      <c r="FY29" s="1" t="str">
        <f ca="1">IFERROR(__xludf.DUMMYFUNCTION("if(FY$2="""","""", index(GOOGLEFINANCE($B$29,""close"",FY$2,TODAY()),2,2))"),"")</f>
        <v/>
      </c>
      <c r="FZ29" s="1" t="str">
        <f ca="1">IFERROR(__xludf.DUMMYFUNCTION("if(FZ$2="""","""", index(GOOGLEFINANCE($B$29,""close"",FZ$2,TODAY()),2,2))"),"")</f>
        <v/>
      </c>
      <c r="GA29" s="1" t="str">
        <f ca="1">IFERROR(__xludf.DUMMYFUNCTION("if(GA$2="""","""", index(GOOGLEFINANCE($B$29,""close"",GA$2,TODAY()),2,2))"),"")</f>
        <v/>
      </c>
      <c r="GB29" s="1" t="str">
        <f ca="1">IFERROR(__xludf.DUMMYFUNCTION("if(GB$2="""","""", index(GOOGLEFINANCE($B$29,""close"",GB$2,TODAY()),2,2))"),"")</f>
        <v/>
      </c>
      <c r="GC29" s="1" t="str">
        <f ca="1">IFERROR(__xludf.DUMMYFUNCTION("if(GC$2="""","""", index(GOOGLEFINANCE($B$29,""close"",GC$2,TODAY()),2,2))"),"")</f>
        <v/>
      </c>
      <c r="GD29" s="1" t="str">
        <f ca="1">IFERROR(__xludf.DUMMYFUNCTION("if(GD$2="""","""", index(GOOGLEFINANCE($B$29,""close"",GD$2,TODAY()),2,2))"),"")</f>
        <v/>
      </c>
      <c r="GE29" s="1" t="str">
        <f ca="1">IFERROR(__xludf.DUMMYFUNCTION("if(GE$2="""","""", index(GOOGLEFINANCE($B$29,""close"",GE$2,TODAY()),2,2))"),"")</f>
        <v/>
      </c>
      <c r="GF29" s="1" t="str">
        <f ca="1">IFERROR(__xludf.DUMMYFUNCTION("if(GF$2="""","""", index(GOOGLEFINANCE($B$29,""close"",GF$2,TODAY()),2,2))"),"")</f>
        <v/>
      </c>
      <c r="GG29" s="1" t="str">
        <f ca="1">IFERROR(__xludf.DUMMYFUNCTION("if(GG$2="""","""", index(GOOGLEFINANCE($B$29,""close"",GG$2,TODAY()),2,2))"),"")</f>
        <v/>
      </c>
      <c r="GH29" s="1" t="str">
        <f ca="1">IFERROR(__xludf.DUMMYFUNCTION("if(GH$2="""","""", index(GOOGLEFINANCE($B$29,""close"",GH$2,TODAY()),2,2))"),"")</f>
        <v/>
      </c>
      <c r="GI29" s="1" t="str">
        <f ca="1">IFERROR(__xludf.DUMMYFUNCTION("if(GI$2="""","""", index(GOOGLEFINANCE($B$29,""close"",GI$2,TODAY()),2,2))"),"")</f>
        <v/>
      </c>
      <c r="GJ29" s="1" t="str">
        <f ca="1">IFERROR(__xludf.DUMMYFUNCTION("if(GJ$2="""","""", index(GOOGLEFINANCE($B$29,""close"",GJ$2,TODAY()),2,2))"),"")</f>
        <v/>
      </c>
      <c r="GK29" s="1" t="str">
        <f ca="1">IFERROR(__xludf.DUMMYFUNCTION("if(GK$2="""","""", index(GOOGLEFINANCE($B$29,""close"",GK$2,TODAY()),2,2))"),"")</f>
        <v/>
      </c>
      <c r="GL29" s="1" t="str">
        <f ca="1">IFERROR(__xludf.DUMMYFUNCTION("if(GL$2="""","""", index(GOOGLEFINANCE($B$29,""close"",GL$2,TODAY()),2,2))"),"")</f>
        <v/>
      </c>
      <c r="GM29" s="1" t="str">
        <f ca="1">IFERROR(__xludf.DUMMYFUNCTION("if(GM$2="""","""", index(GOOGLEFINANCE($B$29,""close"",GM$2,TODAY()),2,2))"),"")</f>
        <v/>
      </c>
      <c r="GN29" s="1" t="str">
        <f ca="1">IFERROR(__xludf.DUMMYFUNCTION("if(GN$2="""","""", index(GOOGLEFINANCE($B$29,""close"",GN$2,TODAY()),2,2))"),"")</f>
        <v/>
      </c>
      <c r="GO29" s="1" t="str">
        <f ca="1">IFERROR(__xludf.DUMMYFUNCTION("if(GO$2="""","""", index(GOOGLEFINANCE($B$29,""close"",GO$2,TODAY()),2,2))"),"")</f>
        <v/>
      </c>
      <c r="GP29" s="1" t="str">
        <f ca="1">IFERROR(__xludf.DUMMYFUNCTION("if(GP$2="""","""", index(GOOGLEFINANCE($B$29,""close"",GP$2,TODAY()),2,2))"),"")</f>
        <v/>
      </c>
      <c r="GQ29" s="1" t="str">
        <f ca="1">IFERROR(__xludf.DUMMYFUNCTION("if(GQ$2="""","""", index(GOOGLEFINANCE($B$29,""close"",GQ$2,TODAY()),2,2))"),"")</f>
        <v/>
      </c>
      <c r="GR29" s="1" t="str">
        <f ca="1">IFERROR(__xludf.DUMMYFUNCTION("if(GR$2="""","""", index(GOOGLEFINANCE($B$29,""close"",GR$2,TODAY()),2,2))"),"")</f>
        <v/>
      </c>
      <c r="GS29" s="1" t="str">
        <f ca="1">IFERROR(__xludf.DUMMYFUNCTION("if(GS$2="""","""", index(GOOGLEFINANCE($B$29,""close"",GS$2,TODAY()),2,2))"),"")</f>
        <v/>
      </c>
      <c r="GT29" s="1" t="str">
        <f ca="1">IFERROR(__xludf.DUMMYFUNCTION("if(GT$2="""","""", index(GOOGLEFINANCE($B$29,""close"",GT$2,TODAY()),2,2))"),"")</f>
        <v/>
      </c>
      <c r="GU29" s="1" t="str">
        <f ca="1">IFERROR(__xludf.DUMMYFUNCTION("if(GU$2="""","""", index(GOOGLEFINANCE($B$29,""close"",GU$2,TODAY()),2,2))"),"")</f>
        <v/>
      </c>
      <c r="GV29" s="1" t="str">
        <f ca="1">IFERROR(__xludf.DUMMYFUNCTION("if(GV$2="""","""", index(GOOGLEFINANCE($B$29,""close"",GV$2,TODAY()),2,2))"),"")</f>
        <v/>
      </c>
      <c r="GW29" s="1" t="str">
        <f ca="1">IFERROR(__xludf.DUMMYFUNCTION("if(GW$2="""","""", index(GOOGLEFINANCE($B$29,""close"",GW$2,TODAY()),2,2))"),"")</f>
        <v/>
      </c>
      <c r="GX29" s="1" t="str">
        <f ca="1">IFERROR(__xludf.DUMMYFUNCTION("if(GX$2="""","""", index(GOOGLEFINANCE($B$29,""close"",GX$2,TODAY()),2,2))"),"")</f>
        <v/>
      </c>
      <c r="GY29" s="1" t="str">
        <f ca="1">IFERROR(__xludf.DUMMYFUNCTION("if(GY$2="""","""", index(GOOGLEFINANCE($B$29,""close"",GY$2,TODAY()),2,2))"),"")</f>
        <v/>
      </c>
      <c r="GZ29" s="1" t="str">
        <f ca="1">IFERROR(__xludf.DUMMYFUNCTION("if(GZ$2="""","""", index(GOOGLEFINANCE($B$29,""close"",GZ$2,TODAY()),2,2))"),"")</f>
        <v/>
      </c>
      <c r="HA29" s="1" t="str">
        <f ca="1">IFERROR(__xludf.DUMMYFUNCTION("if(HA$2="""","""", index(GOOGLEFINANCE($B$29,""close"",HA$2,TODAY()),2,2))"),"")</f>
        <v/>
      </c>
      <c r="HB29" s="1" t="str">
        <f ca="1">IFERROR(__xludf.DUMMYFUNCTION("if(HB$2="""","""", index(GOOGLEFINANCE($B$29,""close"",HB$2,TODAY()),2,2))"),"")</f>
        <v/>
      </c>
      <c r="HC29" s="1" t="str">
        <f ca="1">IFERROR(__xludf.DUMMYFUNCTION("if(HC$2="""","""", index(GOOGLEFINANCE($B$29,""close"",HC$2,TODAY()),2,2))"),"")</f>
        <v/>
      </c>
      <c r="HD29" s="1" t="str">
        <f ca="1">IFERROR(__xludf.DUMMYFUNCTION("if(HD$2="""","""", index(GOOGLEFINANCE($B$29,""close"",HD$2,TODAY()),2,2))"),"")</f>
        <v/>
      </c>
      <c r="HE29" s="1" t="str">
        <f ca="1">IFERROR(__xludf.DUMMYFUNCTION("if(HE$2="""","""", index(GOOGLEFINANCE($B$29,""close"",HE$2,TODAY()),2,2))"),"")</f>
        <v/>
      </c>
      <c r="HF29" s="1" t="str">
        <f ca="1">IFERROR(__xludf.DUMMYFUNCTION("if(HF$2="""","""", index(GOOGLEFINANCE($B$29,""close"",HF$2,TODAY()),2,2))"),"")</f>
        <v/>
      </c>
      <c r="HG29" s="1" t="str">
        <f ca="1">IFERROR(__xludf.DUMMYFUNCTION("if(HG$2="""","""", index(GOOGLEFINANCE($B$29,""close"",HG$2,TODAY()),2,2))"),"")</f>
        <v/>
      </c>
      <c r="HH29" s="1" t="str">
        <f ca="1">IFERROR(__xludf.DUMMYFUNCTION("if(HH$2="""","""", index(GOOGLEFINANCE($B$29,""close"",HH$2,TODAY()),2,2))"),"")</f>
        <v/>
      </c>
      <c r="HI29" s="1" t="str">
        <f ca="1">IFERROR(__xludf.DUMMYFUNCTION("if(HI$2="""","""", index(GOOGLEFINANCE($B$29,""close"",HI$2,TODAY()),2,2))"),"")</f>
        <v/>
      </c>
      <c r="HJ29" s="1" t="str">
        <f ca="1">IFERROR(__xludf.DUMMYFUNCTION("if(HJ$2="""","""", index(GOOGLEFINANCE($B$29,""close"",HJ$2,TODAY()),2,2))"),"")</f>
        <v/>
      </c>
      <c r="HK29" s="1" t="str">
        <f ca="1">IFERROR(__xludf.DUMMYFUNCTION("if(HK$2="""","""", index(GOOGLEFINANCE($B$29,""close"",HK$2,TODAY()),2,2))"),"")</f>
        <v/>
      </c>
      <c r="HL29" s="1" t="str">
        <f ca="1">IFERROR(__xludf.DUMMYFUNCTION("if(HL$2="""","""", index(GOOGLEFINANCE($B$29,""close"",HL$2,TODAY()),2,2))"),"")</f>
        <v/>
      </c>
      <c r="HM29" s="1" t="str">
        <f ca="1">IFERROR(__xludf.DUMMYFUNCTION("if(HM$2="""","""", index(GOOGLEFINANCE($B$29,""close"",HM$2,TODAY()),2,2))"),"")</f>
        <v/>
      </c>
      <c r="HN29" s="1" t="str">
        <f ca="1">IFERROR(__xludf.DUMMYFUNCTION("if(HN$2="""","""", index(GOOGLEFINANCE($B$29,""close"",HN$2,TODAY()),2,2))"),"")</f>
        <v/>
      </c>
      <c r="HO29" s="1" t="str">
        <f ca="1">IFERROR(__xludf.DUMMYFUNCTION("if(HO$2="""","""", index(GOOGLEFINANCE($B$29,""close"",HO$2,TODAY()),2,2))"),"")</f>
        <v/>
      </c>
      <c r="HP29" s="1" t="str">
        <f ca="1">IFERROR(__xludf.DUMMYFUNCTION("if(HP$2="""","""", index(GOOGLEFINANCE($B$29,""close"",HP$2,TODAY()),2,2))"),"")</f>
        <v/>
      </c>
      <c r="HQ29" s="1" t="str">
        <f ca="1">IFERROR(__xludf.DUMMYFUNCTION("if(HQ$2="""","""", index(GOOGLEFINANCE($B$29,""close"",HQ$2,TODAY()),2,2))"),"")</f>
        <v/>
      </c>
      <c r="HR29" s="1" t="str">
        <f ca="1">IFERROR(__xludf.DUMMYFUNCTION("if(HR$2="""","""", index(GOOGLEFINANCE($B$29,""close"",HR$2,TODAY()),2,2))"),"")</f>
        <v/>
      </c>
      <c r="HS29" s="1" t="str">
        <f ca="1">IFERROR(__xludf.DUMMYFUNCTION("if(HS$2="""","""", index(GOOGLEFINANCE($B$29,""close"",HS$2,TODAY()),2,2))"),"")</f>
        <v/>
      </c>
      <c r="HT29" s="1" t="str">
        <f ca="1">IFERROR(__xludf.DUMMYFUNCTION("if(HT$2="""","""", index(GOOGLEFINANCE($B$29,""close"",HT$2,TODAY()),2,2))"),"")</f>
        <v/>
      </c>
      <c r="HU29" s="1" t="str">
        <f ca="1">IFERROR(__xludf.DUMMYFUNCTION("if(HU$2="""","""", index(GOOGLEFINANCE($B$29,""close"",HU$2,TODAY()),2,2))"),"")</f>
        <v/>
      </c>
      <c r="HV29" s="1" t="str">
        <f ca="1">IFERROR(__xludf.DUMMYFUNCTION("if(HV$2="""","""", index(GOOGLEFINANCE($B$29,""close"",HV$2,TODAY()),2,2))"),"")</f>
        <v/>
      </c>
      <c r="HW29" s="1" t="str">
        <f ca="1">IFERROR(__xludf.DUMMYFUNCTION("if(HW$2="""","""", index(GOOGLEFINANCE($B$29,""close"",HW$2,TODAY()),2,2))"),"")</f>
        <v/>
      </c>
      <c r="HX29" s="1" t="str">
        <f ca="1">IFERROR(__xludf.DUMMYFUNCTION("if(HX$2="""","""", index(GOOGLEFINANCE($B$29,""close"",HX$2,TODAY()),2,2))"),"")</f>
        <v/>
      </c>
      <c r="HY29" s="1" t="str">
        <f ca="1">IFERROR(__xludf.DUMMYFUNCTION("if(HY$2="""","""", index(GOOGLEFINANCE($B$29,""close"",HY$2,TODAY()),2,2))"),"")</f>
        <v/>
      </c>
      <c r="HZ29" s="1" t="str">
        <f ca="1">IFERROR(__xludf.DUMMYFUNCTION("if(HZ$2="""","""", index(GOOGLEFINANCE($B$29,""close"",HZ$2,TODAY()),2,2))"),"")</f>
        <v/>
      </c>
      <c r="IA29" s="1" t="str">
        <f ca="1">IFERROR(__xludf.DUMMYFUNCTION("if(IA$2="""","""", index(GOOGLEFINANCE($B$29,""close"",IA$2,TODAY()),2,2))"),"")</f>
        <v/>
      </c>
      <c r="IB29" s="1" t="str">
        <f ca="1">IFERROR(__xludf.DUMMYFUNCTION("if(IB$2="""","""", index(GOOGLEFINANCE($B$29,""close"",IB$2,TODAY()),2,2))"),"")</f>
        <v/>
      </c>
      <c r="IC29" s="1" t="str">
        <f ca="1">IFERROR(__xludf.DUMMYFUNCTION("if(IC$2="""","""", index(GOOGLEFINANCE($B$29,""close"",IC$2,TODAY()),2,2))"),"")</f>
        <v/>
      </c>
      <c r="ID29" s="1" t="str">
        <f ca="1">IFERROR(__xludf.DUMMYFUNCTION("if(ID$2="""","""", index(GOOGLEFINANCE($B$29,""close"",ID$2,TODAY()),2,2))"),"")</f>
        <v/>
      </c>
      <c r="IE29" s="1" t="str">
        <f ca="1">IFERROR(__xludf.DUMMYFUNCTION("if(IE$2="""","""", index(GOOGLEFINANCE($B$29,""close"",IE$2,TODAY()),2,2))"),"")</f>
        <v/>
      </c>
      <c r="IF29" s="1" t="str">
        <f ca="1">IFERROR(__xludf.DUMMYFUNCTION("if(IF$2="""","""", index(GOOGLEFINANCE($B$29,""close"",IF$2,TODAY()),2,2))"),"")</f>
        <v/>
      </c>
      <c r="IG29" s="1" t="str">
        <f ca="1">IFERROR(__xludf.DUMMYFUNCTION("if(IG$2="""","""", index(GOOGLEFINANCE($B$29,""close"",IG$2,TODAY()),2,2))"),"")</f>
        <v/>
      </c>
      <c r="IH29" s="1" t="str">
        <f ca="1">IFERROR(__xludf.DUMMYFUNCTION("if(IH$2="""","""", index(GOOGLEFINANCE($B$29,""close"",IH$2,TODAY()),2,2))"),"")</f>
        <v/>
      </c>
      <c r="II29" s="1" t="str">
        <f ca="1">IFERROR(__xludf.DUMMYFUNCTION("if(II$2="""","""", index(GOOGLEFINANCE($B$29,""close"",II$2,TODAY()),2,2))"),"")</f>
        <v/>
      </c>
      <c r="IJ29" s="1" t="str">
        <f ca="1">IFERROR(__xludf.DUMMYFUNCTION("if(IJ$2="""","""", index(GOOGLEFINANCE($B$29,""close"",IJ$2,TODAY()),2,2))"),"")</f>
        <v/>
      </c>
      <c r="IK29" s="1" t="str">
        <f ca="1">IFERROR(__xludf.DUMMYFUNCTION("if(IK$2="""","""", index(GOOGLEFINANCE($B$29,""close"",IK$2,TODAY()),2,2))"),"")</f>
        <v/>
      </c>
      <c r="IL29" s="1" t="str">
        <f ca="1">IFERROR(__xludf.DUMMYFUNCTION("if(IL$2="""","""", index(GOOGLEFINANCE($B$29,""close"",IL$2,TODAY()),2,2))"),"")</f>
        <v/>
      </c>
      <c r="IM29" s="1" t="str">
        <f ca="1">IFERROR(__xludf.DUMMYFUNCTION("if(IM$2="""","""", index(GOOGLEFINANCE($B$29,""close"",IM$2,TODAY()),2,2))"),"")</f>
        <v/>
      </c>
      <c r="IN29" s="1" t="str">
        <f ca="1">IFERROR(__xludf.DUMMYFUNCTION("if(IN$2="""","""", index(GOOGLEFINANCE($B$29,""close"",IN$2,TODAY()),2,2))"),"")</f>
        <v/>
      </c>
      <c r="IO29" s="1" t="str">
        <f ca="1">IFERROR(__xludf.DUMMYFUNCTION("if(IO$2="""","""", index(GOOGLEFINANCE($B$29,""close"",IO$2,TODAY()),2,2))"),"")</f>
        <v/>
      </c>
      <c r="IP29" s="1" t="str">
        <f ca="1">IFERROR(__xludf.DUMMYFUNCTION("if(IP$2="""","""", index(GOOGLEFINANCE($B$29,""close"",IP$2,TODAY()),2,2))"),"")</f>
        <v/>
      </c>
      <c r="IQ29" s="1" t="str">
        <f ca="1">IFERROR(__xludf.DUMMYFUNCTION("if(IQ$2="""","""", index(GOOGLEFINANCE($B$29,""close"",IQ$2,TODAY()),2,2))"),"")</f>
        <v/>
      </c>
      <c r="IR29" s="1" t="str">
        <f ca="1">IFERROR(__xludf.DUMMYFUNCTION("if(IR$2="""","""", index(GOOGLEFINANCE($B$29,""close"",IR$2,TODAY()),2,2))"),"")</f>
        <v/>
      </c>
      <c r="IS29" s="1" t="str">
        <f ca="1">IFERROR(__xludf.DUMMYFUNCTION("if(IS$2="""","""", index(GOOGLEFINANCE($B$29,""close"",IS$2,TODAY()),2,2))"),"")</f>
        <v/>
      </c>
      <c r="IT29" s="1" t="str">
        <f ca="1">IFERROR(__xludf.DUMMYFUNCTION("if(IT$2="""","""", index(GOOGLEFINANCE($B$29,""close"",IT$2,TODAY()),2,2))"),"")</f>
        <v/>
      </c>
      <c r="IU29" s="1" t="str">
        <f ca="1">IFERROR(__xludf.DUMMYFUNCTION("if(IU$2="""","""", index(GOOGLEFINANCE($B$29,""close"",IU$2,TODAY()),2,2))"),"")</f>
        <v/>
      </c>
      <c r="IV29" s="1" t="str">
        <f ca="1">IFERROR(__xludf.DUMMYFUNCTION("if(IV$2="""","""", index(GOOGLEFINANCE($B$29,""close"",IV$2,TODAY()),2,2))"),"")</f>
        <v/>
      </c>
      <c r="IW29" s="1" t="str">
        <f ca="1">IFERROR(__xludf.DUMMYFUNCTION("if(IW$2="""","""", index(GOOGLEFINANCE($B$29,""close"",IW$2,TODAY()),2,2))"),"")</f>
        <v/>
      </c>
      <c r="IX29" s="1" t="str">
        <f ca="1">IFERROR(__xludf.DUMMYFUNCTION("if(IX$2="""","""", index(GOOGLEFINANCE($B$29,""close"",IX$2,TODAY()),2,2))"),"")</f>
        <v/>
      </c>
      <c r="IY29" s="1" t="str">
        <f ca="1">IFERROR(__xludf.DUMMYFUNCTION("if(IY$2="""","""", index(GOOGLEFINANCE($B$29,""close"",IY$2,TODAY()),2,2))"),"")</f>
        <v/>
      </c>
      <c r="IZ29" s="1" t="str">
        <f ca="1">IFERROR(__xludf.DUMMYFUNCTION("if(IZ$2="""","""", index(GOOGLEFINANCE($B$29,""close"",IZ$2,TODAY()),2,2))"),"")</f>
        <v/>
      </c>
      <c r="JA29" s="1" t="str">
        <f ca="1">IFERROR(__xludf.DUMMYFUNCTION("if(JA$2="""","""", index(GOOGLEFINANCE($B$29,""close"",JA$2,TODAY()),2,2))"),"")</f>
        <v/>
      </c>
      <c r="JB29" s="1" t="str">
        <f ca="1">IFERROR(__xludf.DUMMYFUNCTION("if(JB$2="""","""", index(GOOGLEFINANCE($B$29,""close"",JB$2,TODAY()),2,2))"),"")</f>
        <v/>
      </c>
      <c r="JC29" s="1" t="str">
        <f ca="1">IFERROR(__xludf.DUMMYFUNCTION("if(JC$2="""","""", index(GOOGLEFINANCE($B$29,""close"",JC$2,TODAY()),2,2))"),"")</f>
        <v/>
      </c>
      <c r="JD29" s="1" t="str">
        <f ca="1">IFERROR(__xludf.DUMMYFUNCTION("if(JD$2="""","""", index(GOOGLEFINANCE($B$29,""close"",JD$2,TODAY()),2,2))"),"")</f>
        <v/>
      </c>
      <c r="JE29" s="1" t="str">
        <f ca="1">IFERROR(__xludf.DUMMYFUNCTION("if(JE$2="""","""", index(GOOGLEFINANCE($B$29,""close"",JE$2,TODAY()),2,2))"),"")</f>
        <v/>
      </c>
      <c r="JF29" s="1" t="str">
        <f ca="1">IFERROR(__xludf.DUMMYFUNCTION("if(JF$2="""","""", index(GOOGLEFINANCE($B$29,""close"",JF$2,TODAY()),2,2))"),"")</f>
        <v/>
      </c>
      <c r="JG29" s="1" t="str">
        <f ca="1">IFERROR(__xludf.DUMMYFUNCTION("if(JG$2="""","""", index(GOOGLEFINANCE($B$29,""close"",JG$2,TODAY()),2,2))"),"")</f>
        <v/>
      </c>
      <c r="JH29" s="1" t="str">
        <f ca="1">IFERROR(__xludf.DUMMYFUNCTION("if(JH$2="""","""", index(GOOGLEFINANCE($B$29,""close"",JH$2,TODAY()),2,2))"),"")</f>
        <v/>
      </c>
      <c r="JI29" s="1" t="str">
        <f ca="1">IFERROR(__xludf.DUMMYFUNCTION("if(JI$2="""","""", index(GOOGLEFINANCE($B$29,""close"",JI$2,TODAY()),2,2))"),"")</f>
        <v/>
      </c>
      <c r="JJ29" s="1" t="str">
        <f ca="1">IFERROR(__xludf.DUMMYFUNCTION("if(JJ$2="""","""", index(GOOGLEFINANCE($B$29,""close"",JJ$2,TODAY()),2,2))"),"")</f>
        <v/>
      </c>
      <c r="JK29" s="1" t="str">
        <f ca="1">IFERROR(__xludf.DUMMYFUNCTION("if(JK$2="""","""", index(GOOGLEFINANCE($B$29,""close"",JK$2,TODAY()),2,2))"),"")</f>
        <v/>
      </c>
      <c r="JL29" s="1" t="str">
        <f ca="1">IFERROR(__xludf.DUMMYFUNCTION("if(JL$2="""","""", index(GOOGLEFINANCE($B$29,""close"",JL$2,TODAY()),2,2))"),"")</f>
        <v/>
      </c>
      <c r="JM29" s="1" t="str">
        <f ca="1">IFERROR(__xludf.DUMMYFUNCTION("if(JM$2="""","""", index(GOOGLEFINANCE($B$29,""close"",JM$2,TODAY()),2,2))"),"")</f>
        <v/>
      </c>
      <c r="JN29" s="1" t="str">
        <f ca="1">IFERROR(__xludf.DUMMYFUNCTION("if(JN$2="""","""", index(GOOGLEFINANCE($B$29,""close"",JN$2,TODAY()),2,2))"),"")</f>
        <v/>
      </c>
      <c r="JO29" s="1" t="str">
        <f ca="1">IFERROR(__xludf.DUMMYFUNCTION("if(JO$2="""","""", index(GOOGLEFINANCE($B$29,""close"",JO$2,TODAY()),2,2))"),"")</f>
        <v/>
      </c>
      <c r="JP29" s="1" t="str">
        <f ca="1">IFERROR(__xludf.DUMMYFUNCTION("if(JP$2="""","""", index(GOOGLEFINANCE($B$29,""close"",JP$2,TODAY()),2,2))"),"")</f>
        <v/>
      </c>
      <c r="JQ29" s="1" t="str">
        <f ca="1">IFERROR(__xludf.DUMMYFUNCTION("if(JQ$2="""","""", index(GOOGLEFINANCE($B$29,""close"",JQ$2,TODAY()),2,2))"),"")</f>
        <v/>
      </c>
      <c r="JR29" s="1" t="str">
        <f ca="1">IFERROR(__xludf.DUMMYFUNCTION("if(JR$2="""","""", index(GOOGLEFINANCE($B$29,""close"",JR$2,TODAY()),2,2))"),"")</f>
        <v/>
      </c>
      <c r="JS29" s="1" t="str">
        <f ca="1">IFERROR(__xludf.DUMMYFUNCTION("if(JS$2="""","""", index(GOOGLEFINANCE($B$29,""close"",JS$2,TODAY()),2,2))"),"")</f>
        <v/>
      </c>
      <c r="JT29" s="1" t="str">
        <f ca="1">IFERROR(__xludf.DUMMYFUNCTION("if(JT$2="""","""", index(GOOGLEFINANCE($B$29,""close"",JT$2,TODAY()),2,2))"),"")</f>
        <v/>
      </c>
      <c r="JU29" s="1" t="str">
        <f ca="1">IFERROR(__xludf.DUMMYFUNCTION("if(JU$2="""","""", index(GOOGLEFINANCE($B$29,""close"",JU$2,TODAY()),2,2))"),"")</f>
        <v/>
      </c>
      <c r="JV29" s="1" t="str">
        <f ca="1">IFERROR(__xludf.DUMMYFUNCTION("if(JV$2="""","""", index(GOOGLEFINANCE($B$29,""close"",JV$2,TODAY()),2,2))"),"")</f>
        <v/>
      </c>
      <c r="JW29" s="1" t="str">
        <f ca="1">IFERROR(__xludf.DUMMYFUNCTION("if(JW$2="""","""", index(GOOGLEFINANCE($B$29,""close"",JW$2,TODAY()),2,2))"),"")</f>
        <v/>
      </c>
      <c r="JX29" s="1" t="str">
        <f ca="1">IFERROR(__xludf.DUMMYFUNCTION("if(JX$2="""","""", index(GOOGLEFINANCE($B$29,""close"",JX$2,TODAY()),2,2))"),"")</f>
        <v/>
      </c>
      <c r="JY29" s="1" t="str">
        <f ca="1">IFERROR(__xludf.DUMMYFUNCTION("if(JY$2="""","""", index(GOOGLEFINANCE($B$29,""close"",JY$2,TODAY()),2,2))"),"")</f>
        <v/>
      </c>
      <c r="JZ29" s="1" t="str">
        <f ca="1">IFERROR(__xludf.DUMMYFUNCTION("if(JZ$2="""","""", index(GOOGLEFINANCE($B$29,""close"",JZ$2,TODAY()),2,2))"),"")</f>
        <v/>
      </c>
      <c r="KA29" s="1" t="str">
        <f ca="1">IFERROR(__xludf.DUMMYFUNCTION("if(KA$2="""","""", index(GOOGLEFINANCE($B$29,""close"",KA$2,TODAY()),2,2))"),"")</f>
        <v/>
      </c>
      <c r="KB29" s="1" t="str">
        <f ca="1">IFERROR(__xludf.DUMMYFUNCTION("if(KB$2="""","""", index(GOOGLEFINANCE($B$29,""close"",KB$2,TODAY()),2,2))"),"")</f>
        <v/>
      </c>
      <c r="KC29" s="1" t="str">
        <f ca="1">IFERROR(__xludf.DUMMYFUNCTION("if(KC$2="""","""", index(GOOGLEFINANCE($B$29,""close"",KC$2,TODAY()),2,2))"),"")</f>
        <v/>
      </c>
      <c r="KD29" s="1" t="str">
        <f ca="1">IFERROR(__xludf.DUMMYFUNCTION("if(KD$2="""","""", index(GOOGLEFINANCE($B$29,""close"",KD$2,TODAY()),2,2))"),"")</f>
        <v/>
      </c>
      <c r="KE29" s="1" t="str">
        <f ca="1">IFERROR(__xludf.DUMMYFUNCTION("if(KE$2="""","""", index(GOOGLEFINANCE($B$29,""close"",KE$2,TODAY()),2,2))"),"")</f>
        <v/>
      </c>
      <c r="KF29" s="1" t="str">
        <f ca="1">IFERROR(__xludf.DUMMYFUNCTION("if(KF$2="""","""", index(GOOGLEFINANCE($B$29,""close"",KF$2,TODAY()),2,2))"),"")</f>
        <v/>
      </c>
      <c r="KG29" s="1" t="str">
        <f ca="1">IFERROR(__xludf.DUMMYFUNCTION("if(KG$2="""","""", index(GOOGLEFINANCE($B$29,""close"",KG$2,TODAY()),2,2))"),"")</f>
        <v/>
      </c>
    </row>
    <row r="30" spans="1:293" ht="15.75" customHeight="1">
      <c r="A30" s="18" t="s">
        <v>30</v>
      </c>
      <c r="B30" s="6" t="s">
        <v>73</v>
      </c>
      <c r="C30" s="1">
        <f ca="1">IFERROR(__xludf.DUMMYFUNCTION("if(C$2="""","""", index(GOOGLEFINANCE($B$30,""close"",C$2,TODAY()),2,2))"),30.46)</f>
        <v>30.46</v>
      </c>
      <c r="D30" s="1">
        <f ca="1">IFERROR(__xludf.DUMMYFUNCTION("if(D$2="""","""", index(GOOGLEFINANCE($B$30,""close"",D$2,TODAY()),2,2))"),29.33)</f>
        <v>29.33</v>
      </c>
      <c r="E30" s="1">
        <f ca="1">IFERROR(__xludf.DUMMYFUNCTION("if(E$2="""","""", index(GOOGLEFINANCE($B$30,""close"",E$2,TODAY()),2,2))"),27.67)</f>
        <v>27.67</v>
      </c>
      <c r="F30" s="1">
        <f ca="1">IFERROR(__xludf.DUMMYFUNCTION("if(F$2="""","""", index(GOOGLEFINANCE($B$30,""close"",F$2,TODAY()),2,2))"),28.41)</f>
        <v>28.41</v>
      </c>
      <c r="G30" s="1">
        <f ca="1">IFERROR(__xludf.DUMMYFUNCTION("if(G$2="""","""", index(GOOGLEFINANCE($B$30,""close"",G$2,TODAY()),2,2))"),28.63)</f>
        <v>28.63</v>
      </c>
      <c r="H30" s="1">
        <f ca="1">IFERROR(__xludf.DUMMYFUNCTION("if(H$2="""","""", index(GOOGLEFINANCE($B$30,""close"",H$2,TODAY()),2,2))"),29.17)</f>
        <v>29.17</v>
      </c>
      <c r="I30" s="1">
        <f ca="1">IFERROR(__xludf.DUMMYFUNCTION("if(I$2="""","""", index(GOOGLEFINANCE($B$30,""close"",I$2,TODAY()),2,2))"),30.23)</f>
        <v>30.23</v>
      </c>
      <c r="J30" s="1">
        <f ca="1">IFERROR(__xludf.DUMMYFUNCTION("if(J$2="""","""", index(GOOGLEFINANCE($B$30,""close"",J$2,TODAY()),2,2))"),29.16)</f>
        <v>29.16</v>
      </c>
      <c r="K30" s="1">
        <f ca="1">IFERROR(__xludf.DUMMYFUNCTION("if(K$2="""","""", index(GOOGLEFINANCE($B$30,""close"",K$2,TODAY()),2,2))"),27.73)</f>
        <v>27.73</v>
      </c>
      <c r="L30" s="1">
        <f ca="1">IFERROR(__xludf.DUMMYFUNCTION("if(L$2="""","""", index(GOOGLEFINANCE($B$30,""close"",L$2,TODAY()),2,2))"),28.99)</f>
        <v>28.99</v>
      </c>
      <c r="M30" s="1">
        <f ca="1">IFERROR(__xludf.DUMMYFUNCTION("if(M$2="""","""", index(GOOGLEFINANCE($B$30,""close"",M$2,TODAY()),2,2))"),27.43)</f>
        <v>27.43</v>
      </c>
      <c r="N30" s="1">
        <f ca="1">IFERROR(__xludf.DUMMYFUNCTION("if(N$2="""","""", index(GOOGLEFINANCE($B$30,""close"",N$2,TODAY()),2,2))"),27.84)</f>
        <v>27.84</v>
      </c>
      <c r="O30" s="1">
        <f ca="1">IFERROR(__xludf.DUMMYFUNCTION("if(O$2="""","""", index(GOOGLEFINANCE($B$30,""close"",O$2,TODAY()),2,2))"),26.79)</f>
        <v>26.79</v>
      </c>
      <c r="P30" s="1">
        <f ca="1">IFERROR(__xludf.DUMMYFUNCTION("if(P$2="""","""", index(GOOGLEFINANCE($B$30,""close"",P$2,TODAY()),2,2))"),26.54)</f>
        <v>26.54</v>
      </c>
      <c r="Q30" s="1">
        <f ca="1">IFERROR(__xludf.DUMMYFUNCTION("if(Q$2="""","""", index(GOOGLEFINANCE($B$30,""close"",Q$2,TODAY()),2,2))"),27.66)</f>
        <v>27.66</v>
      </c>
      <c r="R30" s="1">
        <f ca="1">IFERROR(__xludf.DUMMYFUNCTION("if(R$2="""","""", index(GOOGLEFINANCE($B$30,""close"",R$2,TODAY()),2,2))"),26.83)</f>
        <v>26.83</v>
      </c>
      <c r="S30" s="1">
        <f ca="1">IFERROR(__xludf.DUMMYFUNCTION("if(S$2="""","""", index(GOOGLEFINANCE($B$30,""close"",S$2,TODAY()),2,2))"),26.51)</f>
        <v>26.51</v>
      </c>
      <c r="T30" s="1">
        <f ca="1">IFERROR(__xludf.DUMMYFUNCTION("if(T$2="""","""", index(GOOGLEFINANCE($B$30,""close"",T$2,TODAY()),2,2))"),25.68)</f>
        <v>25.68</v>
      </c>
      <c r="U30" s="1">
        <f ca="1">IFERROR(__xludf.DUMMYFUNCTION("if(U$2="""","""", index(GOOGLEFINANCE($B$30,""close"",U$2,TODAY()),2,2))"),27.42)</f>
        <v>27.42</v>
      </c>
      <c r="V30" s="1">
        <f ca="1">IFERROR(__xludf.DUMMYFUNCTION("if(V$2="""","""", index(GOOGLEFINANCE($B$30,""close"",V$2,TODAY()),2,2))"),28.85)</f>
        <v>28.85</v>
      </c>
      <c r="W30" s="1">
        <f ca="1">IFERROR(__xludf.DUMMYFUNCTION("if(W$2="""","""", index(GOOGLEFINANCE($B$30,""close"",W$2,TODAY()),2,2))"),29.33)</f>
        <v>29.33</v>
      </c>
      <c r="X30" s="1">
        <f ca="1">IFERROR(__xludf.DUMMYFUNCTION("if(X$2="""","""", index(GOOGLEFINANCE($B$30,""close"",X$2,TODAY()),2,2))"),28.1)</f>
        <v>28.1</v>
      </c>
      <c r="Y30" s="1">
        <f ca="1">IFERROR(__xludf.DUMMYFUNCTION("if(Y$2="""","""", index(GOOGLEFINANCE($B$30,""close"",Y$2,TODAY()),2,2))"),27.27)</f>
        <v>27.27</v>
      </c>
      <c r="Z30" s="1">
        <f ca="1">IFERROR(__xludf.DUMMYFUNCTION("if(Z$2="""","""", index(GOOGLEFINANCE($B$30,""close"",Z$2,TODAY()),2,2))"),27.59)</f>
        <v>27.59</v>
      </c>
      <c r="AA30" s="1">
        <f ca="1">IFERROR(__xludf.DUMMYFUNCTION("if(AA$2="""","""", index(GOOGLEFINANCE($B$30,""close"",AA$2,TODAY()),2,2))"),28.8)</f>
        <v>28.8</v>
      </c>
      <c r="AB30" s="1">
        <f ca="1">IFERROR(__xludf.DUMMYFUNCTION("if(AB$2="""","""", index(GOOGLEFINANCE($B$30,""close"",AB$2,TODAY()),2,2))"),29.04)</f>
        <v>29.04</v>
      </c>
      <c r="AC30" s="1">
        <f ca="1">IFERROR(__xludf.DUMMYFUNCTION("if(AC$2="""","""", index(GOOGLEFINANCE($B$30,""close"",AC$2,TODAY()),2,2))"),30.45)</f>
        <v>30.45</v>
      </c>
      <c r="AD30" s="1">
        <f ca="1">IFERROR(__xludf.DUMMYFUNCTION("if(AD$2="""","""", index(GOOGLEFINANCE($B$30,""close"",AD$2,TODAY()),2,2))"),30.85)</f>
        <v>30.85</v>
      </c>
      <c r="AE30" s="1">
        <f ca="1">IFERROR(__xludf.DUMMYFUNCTION("if(AE$2="""","""", index(GOOGLEFINANCE($B$30,""close"",AE$2,TODAY()),2,2))"),30.8)</f>
        <v>30.8</v>
      </c>
      <c r="AF30" s="1">
        <f ca="1">IFERROR(__xludf.DUMMYFUNCTION("if(AF$2="""","""", index(GOOGLEFINANCE($B$30,""close"",AF$2,TODAY()),2,2))"),30.45)</f>
        <v>30.45</v>
      </c>
      <c r="AG30" s="1">
        <f ca="1">IFERROR(__xludf.DUMMYFUNCTION("if(AG$2="""","""", index(GOOGLEFINANCE($B$30,""close"",AG$2,TODAY()),2,2))"),32.03)</f>
        <v>32.03</v>
      </c>
      <c r="AH30" s="1">
        <f ca="1">IFERROR(__xludf.DUMMYFUNCTION("if(AH$2="""","""", index(GOOGLEFINANCE($B$30,""close"",AH$2,TODAY()),2,2))"),34.44)</f>
        <v>34.44</v>
      </c>
      <c r="AI30" s="1">
        <f ca="1">IFERROR(__xludf.DUMMYFUNCTION("if(AI$2="""","""", index(GOOGLEFINANCE($B$30,""close"",AI$2,TODAY()),2,2))"),33)</f>
        <v>33</v>
      </c>
      <c r="AJ30" s="1">
        <f ca="1">IFERROR(__xludf.DUMMYFUNCTION("if(AJ$2="""","""", index(GOOGLEFINANCE($B$30,""close"",AJ$2,TODAY()),2,2))"),32.52)</f>
        <v>32.520000000000003</v>
      </c>
      <c r="AK30" s="1">
        <f ca="1">IFERROR(__xludf.DUMMYFUNCTION("if(AK$2="""","""", index(GOOGLEFINANCE($B$30,""close"",AK$2,TODAY()),2,2))"),31.22)</f>
        <v>31.22</v>
      </c>
      <c r="AL30" s="1">
        <f ca="1">IFERROR(__xludf.DUMMYFUNCTION("if(AL$2="""","""", index(GOOGLEFINANCE($B$30,""close"",AL$2,TODAY()),2,2))"),28.78)</f>
        <v>28.78</v>
      </c>
      <c r="AM30" s="1">
        <f ca="1">IFERROR(__xludf.DUMMYFUNCTION("if(AM$2="""","""", index(GOOGLEFINANCE($B$30,""close"",AM$2,TODAY()),2,2))"),30.2)</f>
        <v>30.2</v>
      </c>
      <c r="AN30" s="1">
        <f ca="1">IFERROR(__xludf.DUMMYFUNCTION("if(AN$2="""","""", index(GOOGLEFINANCE($B$30,""close"",AN$2,TODAY()),2,2))"),29.84)</f>
        <v>29.84</v>
      </c>
      <c r="AO30" s="1">
        <f ca="1">IFERROR(__xludf.DUMMYFUNCTION("if(AO$2="""","""", index(GOOGLEFINANCE($B$30,""close"",AO$2,TODAY()),2,2))"),30.2)</f>
        <v>30.2</v>
      </c>
      <c r="AP30" s="1">
        <f ca="1">IFERROR(__xludf.DUMMYFUNCTION("if(AP$2="""","""", index(GOOGLEFINANCE($B$30,""close"",AP$2,TODAY()),2,2))"),29.87)</f>
        <v>29.87</v>
      </c>
      <c r="AQ30" s="1">
        <f ca="1">IFERROR(__xludf.DUMMYFUNCTION("if(AQ$2="""","""", index(GOOGLEFINANCE($B$30,""close"",AQ$2,TODAY()),2,2))"),28.94)</f>
        <v>28.94</v>
      </c>
      <c r="AR30" s="1">
        <f ca="1">IFERROR(__xludf.DUMMYFUNCTION("if(AR$2="""","""", index(GOOGLEFINANCE($B$30,""close"",AR$2,TODAY()),2,2))"),28.49)</f>
        <v>28.49</v>
      </c>
      <c r="AS30" s="1">
        <f ca="1">IFERROR(__xludf.DUMMYFUNCTION("if(AS$2="""","""", index(GOOGLEFINANCE($B$30,""close"",AS$2,TODAY()),2,2))"),27.53)</f>
        <v>27.53</v>
      </c>
      <c r="AT30" s="1">
        <f ca="1">IFERROR(__xludf.DUMMYFUNCTION("if(AT$2="""","""", index(GOOGLEFINANCE($B$30,""close"",AT$2,TODAY()),2,2))"),27.88)</f>
        <v>27.88</v>
      </c>
      <c r="AU30" s="1">
        <f ca="1">IFERROR(__xludf.DUMMYFUNCTION("if(AU$2="""","""", index(GOOGLEFINANCE($B$30,""close"",AU$2,TODAY()),2,2))"),28.67)</f>
        <v>28.67</v>
      </c>
      <c r="AV30" s="1">
        <f ca="1">IFERROR(__xludf.DUMMYFUNCTION("if(AV$2="""","""", index(GOOGLEFINANCE($B$30,""close"",AV$2,TODAY()),2,2))"),29.21)</f>
        <v>29.21</v>
      </c>
      <c r="AW30" s="1">
        <f ca="1">IFERROR(__xludf.DUMMYFUNCTION("if(AW$2="""","""", index(GOOGLEFINANCE($B$30,""close"",AW$2,TODAY()),2,2))"),28.6)</f>
        <v>28.6</v>
      </c>
      <c r="AX30" s="1">
        <f ca="1">IFERROR(__xludf.DUMMYFUNCTION("if(AX$2="""","""", index(GOOGLEFINANCE($B$30,""close"",AX$2,TODAY()),2,2))"),27.81)</f>
        <v>27.81</v>
      </c>
      <c r="AY30" s="1">
        <f ca="1">IFERROR(__xludf.DUMMYFUNCTION("if(AY$2="""","""", index(GOOGLEFINANCE($B$30,""close"",AY$2,TODAY()),2,2))"),28.39)</f>
        <v>28.39</v>
      </c>
      <c r="AZ30" s="1">
        <f ca="1">IFERROR(__xludf.DUMMYFUNCTION("if(AZ$2="""","""", index(GOOGLEFINANCE($B$30,""close"",AZ$2,TODAY()),2,2))"),28.85)</f>
        <v>28.85</v>
      </c>
      <c r="BA30" s="1">
        <f ca="1">IFERROR(__xludf.DUMMYFUNCTION("if(BA$2="""","""", index(GOOGLEFINANCE($B$30,""close"",BA$2,TODAY()),2,2))"),30.13)</f>
        <v>30.13</v>
      </c>
      <c r="BB30" s="1">
        <f ca="1">IFERROR(__xludf.DUMMYFUNCTION("if(BB$2="""","""", index(GOOGLEFINANCE($B$30,""close"",BB$2,TODAY()),2,2))"),31.19)</f>
        <v>31.19</v>
      </c>
      <c r="BC30" s="1">
        <f ca="1">IFERROR(__xludf.DUMMYFUNCTION("if(BC$2="""","""", index(GOOGLEFINANCE($B$30,""close"",BC$2,TODAY()),2,2))"),32.59)</f>
        <v>32.590000000000003</v>
      </c>
      <c r="BD30" s="1">
        <f ca="1">IFERROR(__xludf.DUMMYFUNCTION("if(BD$2="""","""", index(GOOGLEFINANCE($B$30,""close"",BD$2,TODAY()),2,2))"),32.15)</f>
        <v>32.15</v>
      </c>
      <c r="BE30" s="1">
        <f ca="1">IFERROR(__xludf.DUMMYFUNCTION("if(BE$2="""","""", index(GOOGLEFINANCE($B$30,""close"",BE$2,TODAY()),2,2))"),33.67)</f>
        <v>33.67</v>
      </c>
      <c r="BF30" s="1">
        <f ca="1">IFERROR(__xludf.DUMMYFUNCTION("if(BF$2="""","""", index(GOOGLEFINANCE($B$30,""close"",BF$2,TODAY()),2,2))"),33.56)</f>
        <v>33.56</v>
      </c>
      <c r="BG30" s="1">
        <f ca="1">IFERROR(__xludf.DUMMYFUNCTION("if(BG$2="""","""", index(GOOGLEFINANCE($B$30,""close"",BG$2,TODAY()),2,2))"),34.85)</f>
        <v>34.85</v>
      </c>
      <c r="BH30" s="1">
        <f ca="1">IFERROR(__xludf.DUMMYFUNCTION("if(BH$2="""","""", index(GOOGLEFINANCE($B$30,""close"",BH$2,TODAY()),2,2))"),34.44)</f>
        <v>34.44</v>
      </c>
      <c r="BI30" s="1">
        <f ca="1">IFERROR(__xludf.DUMMYFUNCTION("if(BI$2="""","""", index(GOOGLEFINANCE($B$30,""close"",BI$2,TODAY()),2,2))"),35.28)</f>
        <v>35.28</v>
      </c>
      <c r="BJ30" s="1">
        <f ca="1">IFERROR(__xludf.DUMMYFUNCTION("if(BJ$2="""","""", index(GOOGLEFINANCE($B$30,""close"",BJ$2,TODAY()),2,2))"),35.59)</f>
        <v>35.590000000000003</v>
      </c>
      <c r="BK30" s="1">
        <f ca="1">IFERROR(__xludf.DUMMYFUNCTION("if(BK$2="""","""", index(GOOGLEFINANCE($B$30,""close"",BK$2,TODAY()),2,2))"),34.95)</f>
        <v>34.950000000000003</v>
      </c>
      <c r="BL30" s="1">
        <f ca="1">IFERROR(__xludf.DUMMYFUNCTION("if(BL$2="""","""", index(GOOGLEFINANCE($B$30,""close"",BL$2,TODAY()),2,2))"),34.64)</f>
        <v>34.64</v>
      </c>
      <c r="BM30" s="1">
        <f ca="1">IFERROR(__xludf.DUMMYFUNCTION("if(BM$2="""","""", index(GOOGLEFINANCE($B$30,""close"",BM$2,TODAY()),2,2))"),35.91)</f>
        <v>35.909999999999997</v>
      </c>
      <c r="BN30" s="1">
        <f ca="1">IFERROR(__xludf.DUMMYFUNCTION("if(BN$2="""","""", index(GOOGLEFINANCE($B$30,""close"",BN$2,TODAY()),2,2))"),37.3)</f>
        <v>37.299999999999997</v>
      </c>
      <c r="BO30" s="1">
        <f ca="1">IFERROR(__xludf.DUMMYFUNCTION("if(BO$2="""","""", index(GOOGLEFINANCE($B$30,""close"",BO$2,TODAY()),2,2))"),37.39)</f>
        <v>37.39</v>
      </c>
      <c r="BP30" s="1">
        <f ca="1">IFERROR(__xludf.DUMMYFUNCTION("if(BP$2="""","""", index(GOOGLEFINANCE($B$30,""close"",BP$2,TODAY()),2,2))"),36.87)</f>
        <v>36.869999999999997</v>
      </c>
      <c r="BQ30" s="1">
        <f ca="1">IFERROR(__xludf.DUMMYFUNCTION("if(BQ$2="""","""", index(GOOGLEFINANCE($B$30,""close"",BQ$2,TODAY()),2,2))"),36.05)</f>
        <v>36.049999999999997</v>
      </c>
      <c r="BR30" s="1">
        <f ca="1">IFERROR(__xludf.DUMMYFUNCTION("if(BR$2="""","""", index(GOOGLEFINANCE($B$30,""close"",BR$2,TODAY()),2,2))"),34.8)</f>
        <v>34.799999999999997</v>
      </c>
      <c r="BS30" s="1">
        <f ca="1">IFERROR(__xludf.DUMMYFUNCTION("if(BS$2="""","""", index(GOOGLEFINANCE($B$30,""close"",BS$2,TODAY()),2,2))"),34.04)</f>
        <v>34.04</v>
      </c>
      <c r="BT30" s="1">
        <f ca="1">IFERROR(__xludf.DUMMYFUNCTION("if(BT$2="""","""", index(GOOGLEFINANCE($B$30,""close"",BT$2,TODAY()),2,2))"),35.01)</f>
        <v>35.01</v>
      </c>
      <c r="BU30" s="1">
        <f ca="1">IFERROR(__xludf.DUMMYFUNCTION("if(BU$2="""","""", index(GOOGLEFINANCE($B$30,""close"",BU$2,TODAY()),2,2))"),36.07)</f>
        <v>36.07</v>
      </c>
      <c r="BV30" s="1">
        <f ca="1">IFERROR(__xludf.DUMMYFUNCTION("if(BV$2="""","""", index(GOOGLEFINANCE($B$30,""close"",BV$2,TODAY()),2,2))"),35.44)</f>
        <v>35.44</v>
      </c>
      <c r="BW30" s="1">
        <f ca="1">IFERROR(__xludf.DUMMYFUNCTION("if(BW$2="""","""", index(GOOGLEFINANCE($B$30,""close"",BW$2,TODAY()),2,2))"),34.02)</f>
        <v>34.020000000000003</v>
      </c>
      <c r="BX30" s="1">
        <f ca="1">IFERROR(__xludf.DUMMYFUNCTION("if(BX$2="""","""", index(GOOGLEFINANCE($B$30,""close"",BX$2,TODAY()),2,2))"),34.69)</f>
        <v>34.69</v>
      </c>
      <c r="BY30" s="1">
        <f ca="1">IFERROR(__xludf.DUMMYFUNCTION("if(BY$2="""","""", index(GOOGLEFINANCE($B$30,""close"",BY$2,TODAY()),2,2))"),35.66)</f>
        <v>35.659999999999997</v>
      </c>
      <c r="BZ30" s="1">
        <f ca="1">IFERROR(__xludf.DUMMYFUNCTION("if(BZ$2="""","""", index(GOOGLEFINANCE($B$30,""close"",BZ$2,TODAY()),2,2))"),34.61)</f>
        <v>34.61</v>
      </c>
      <c r="CA30" s="1">
        <f ca="1">IFERROR(__xludf.DUMMYFUNCTION("if(CA$2="""","""", index(GOOGLEFINANCE($B$30,""close"",CA$2,TODAY()),2,2))"),33.34)</f>
        <v>33.340000000000003</v>
      </c>
      <c r="CB30" s="1">
        <f ca="1">IFERROR(__xludf.DUMMYFUNCTION("if(CB$2="""","""", index(GOOGLEFINANCE($B$30,""close"",CB$2,TODAY()),2,2))"),34.84)</f>
        <v>34.840000000000003</v>
      </c>
      <c r="CC30" s="1">
        <f ca="1">IFERROR(__xludf.DUMMYFUNCTION("if(CC$2="""","""", index(GOOGLEFINANCE($B$30,""close"",CC$2,TODAY()),2,2))"),32.75)</f>
        <v>32.75</v>
      </c>
      <c r="CD30" s="1">
        <f ca="1">IFERROR(__xludf.DUMMYFUNCTION("if(CD$2="""","""", index(GOOGLEFINANCE($B$30,""close"",CD$2,TODAY()),2,2))"),32.34)</f>
        <v>32.340000000000003</v>
      </c>
      <c r="CE30" s="1">
        <f ca="1">IFERROR(__xludf.DUMMYFUNCTION("if(CE$2="""","""", index(GOOGLEFINANCE($B$30,""close"",CE$2,TODAY()),2,2))"),32.03)</f>
        <v>32.03</v>
      </c>
      <c r="CF30" s="1">
        <f ca="1">IFERROR(__xludf.DUMMYFUNCTION("if(CF$2="""","""", index(GOOGLEFINANCE($B$30,""close"",CF$2,TODAY()),2,2))"),30.7)</f>
        <v>30.7</v>
      </c>
      <c r="CG30" s="1">
        <f ca="1">IFERROR(__xludf.DUMMYFUNCTION("if(CG$2="""","""", index(GOOGLEFINANCE($B$30,""close"",CG$2,TODAY()),2,2))"),32.09)</f>
        <v>32.090000000000003</v>
      </c>
      <c r="CH30" s="1">
        <f ca="1">IFERROR(__xludf.DUMMYFUNCTION("if(CH$2="""","""", index(GOOGLEFINANCE($B$30,""close"",CH$2,TODAY()),2,2))"),32.04)</f>
        <v>32.04</v>
      </c>
      <c r="CI30" s="1">
        <f ca="1">IFERROR(__xludf.DUMMYFUNCTION("if(CI$2="""","""", index(GOOGLEFINANCE($B$30,""close"",CI$2,TODAY()),2,2))"),32.15)</f>
        <v>32.15</v>
      </c>
      <c r="CJ30" s="1" t="str">
        <f ca="1">IFERROR(__xludf.DUMMYFUNCTION("if(CJ$2="""","""", index(GOOGLEFINANCE($B$30,""close"",CJ$2,TODAY()),2,2))"),"")</f>
        <v/>
      </c>
      <c r="CK30" s="1" t="str">
        <f ca="1">IFERROR(__xludf.DUMMYFUNCTION("if(CK$2="""","""", index(GOOGLEFINANCE($B$30,""close"",CK$2,TODAY()),2,2))"),"")</f>
        <v/>
      </c>
      <c r="CL30" s="1" t="str">
        <f ca="1">IFERROR(__xludf.DUMMYFUNCTION("if(CL$2="""","""", index(GOOGLEFINANCE($B$30,""close"",CL$2,TODAY()),2,2))"),"")</f>
        <v/>
      </c>
      <c r="CM30" s="1" t="str">
        <f ca="1">IFERROR(__xludf.DUMMYFUNCTION("if(CM$2="""","""", index(GOOGLEFINANCE($B$30,""close"",CM$2,TODAY()),2,2))"),"")</f>
        <v/>
      </c>
      <c r="CN30" s="1" t="str">
        <f ca="1">IFERROR(__xludf.DUMMYFUNCTION("if(CN$2="""","""", index(GOOGLEFINANCE($B$30,""close"",CN$2,TODAY()),2,2))"),"")</f>
        <v/>
      </c>
      <c r="CO30" s="1" t="str">
        <f ca="1">IFERROR(__xludf.DUMMYFUNCTION("if(CO$2="""","""", index(GOOGLEFINANCE($B$30,""close"",CO$2,TODAY()),2,2))"),"")</f>
        <v/>
      </c>
      <c r="CP30" s="1" t="str">
        <f ca="1">IFERROR(__xludf.DUMMYFUNCTION("if(CP$2="""","""", index(GOOGLEFINANCE($B$30,""close"",CP$2,TODAY()),2,2))"),"")</f>
        <v/>
      </c>
      <c r="CQ30" s="1" t="str">
        <f ca="1">IFERROR(__xludf.DUMMYFUNCTION("if(CQ$2="""","""", index(GOOGLEFINANCE($B$30,""close"",CQ$2,TODAY()),2,2))"),"")</f>
        <v/>
      </c>
      <c r="CR30" s="1" t="str">
        <f ca="1">IFERROR(__xludf.DUMMYFUNCTION("if(CR$2="""","""", index(GOOGLEFINANCE($B$30,""close"",CR$2,TODAY()),2,2))"),"")</f>
        <v/>
      </c>
      <c r="CS30" s="1" t="str">
        <f ca="1">IFERROR(__xludf.DUMMYFUNCTION("if(CS$2="""","""", index(GOOGLEFINANCE($B$30,""close"",CS$2,TODAY()),2,2))"),"")</f>
        <v/>
      </c>
      <c r="CT30" s="1" t="str">
        <f ca="1">IFERROR(__xludf.DUMMYFUNCTION("if(CT$2="""","""", index(GOOGLEFINANCE($B$30,""close"",CT$2,TODAY()),2,2))"),"")</f>
        <v/>
      </c>
      <c r="CU30" s="1" t="str">
        <f ca="1">IFERROR(__xludf.DUMMYFUNCTION("if(CU$2="""","""", index(GOOGLEFINANCE($B$30,""close"",CU$2,TODAY()),2,2))"),"")</f>
        <v/>
      </c>
      <c r="CV30" s="1" t="str">
        <f ca="1">IFERROR(__xludf.DUMMYFUNCTION("if(CV$2="""","""", index(GOOGLEFINANCE($B$30,""close"",CV$2,TODAY()),2,2))"),"")</f>
        <v/>
      </c>
      <c r="CW30" s="1" t="str">
        <f ca="1">IFERROR(__xludf.DUMMYFUNCTION("if(CW$2="""","""", index(GOOGLEFINANCE($B$30,""close"",CW$2,TODAY()),2,2))"),"")</f>
        <v/>
      </c>
      <c r="CX30" s="1" t="str">
        <f ca="1">IFERROR(__xludf.DUMMYFUNCTION("if(CX$2="""","""", index(GOOGLEFINANCE($B$30,""close"",CX$2,TODAY()),2,2))"),"")</f>
        <v/>
      </c>
      <c r="CY30" s="1" t="str">
        <f ca="1">IFERROR(__xludf.DUMMYFUNCTION("if(CY$2="""","""", index(GOOGLEFINANCE($B$30,""close"",CY$2,TODAY()),2,2))"),"")</f>
        <v/>
      </c>
      <c r="CZ30" s="1" t="str">
        <f ca="1">IFERROR(__xludf.DUMMYFUNCTION("if(CZ$2="""","""", index(GOOGLEFINANCE($B$30,""close"",CZ$2,TODAY()),2,2))"),"")</f>
        <v/>
      </c>
      <c r="DA30" s="1" t="str">
        <f ca="1">IFERROR(__xludf.DUMMYFUNCTION("if(DA$2="""","""", index(GOOGLEFINANCE($B$30,""close"",DA$2,TODAY()),2,2))"),"")</f>
        <v/>
      </c>
      <c r="DB30" s="1" t="str">
        <f ca="1">IFERROR(__xludf.DUMMYFUNCTION("if(DB$2="""","""", index(GOOGLEFINANCE($B$30,""close"",DB$2,TODAY()),2,2))"),"")</f>
        <v/>
      </c>
      <c r="DC30" s="1" t="str">
        <f ca="1">IFERROR(__xludf.DUMMYFUNCTION("if(DC$2="""","""", index(GOOGLEFINANCE($B$30,""close"",DC$2,TODAY()),2,2))"),"")</f>
        <v/>
      </c>
      <c r="DD30" s="1" t="str">
        <f ca="1">IFERROR(__xludf.DUMMYFUNCTION("if(DD$2="""","""", index(GOOGLEFINANCE($B$30,""close"",DD$2,TODAY()),2,2))"),"")</f>
        <v/>
      </c>
      <c r="DE30" s="1" t="str">
        <f ca="1">IFERROR(__xludf.DUMMYFUNCTION("if(DE$2="""","""", index(GOOGLEFINANCE($B$30,""close"",DE$2,TODAY()),2,2))"),"")</f>
        <v/>
      </c>
      <c r="DF30" s="1" t="str">
        <f ca="1">IFERROR(__xludf.DUMMYFUNCTION("if(DF$2="""","""", index(GOOGLEFINANCE($B$30,""close"",DF$2,TODAY()),2,2))"),"")</f>
        <v/>
      </c>
      <c r="DG30" s="1" t="str">
        <f ca="1">IFERROR(__xludf.DUMMYFUNCTION("if(DG$2="""","""", index(GOOGLEFINANCE($B$30,""close"",DG$2,TODAY()),2,2))"),"")</f>
        <v/>
      </c>
      <c r="DH30" s="1" t="str">
        <f ca="1">IFERROR(__xludf.DUMMYFUNCTION("if(DH$2="""","""", index(GOOGLEFINANCE($B$30,""close"",DH$2,TODAY()),2,2))"),"")</f>
        <v/>
      </c>
      <c r="DI30" s="1" t="str">
        <f ca="1">IFERROR(__xludf.DUMMYFUNCTION("if(DI$2="""","""", index(GOOGLEFINANCE($B$30,""close"",DI$2,TODAY()),2,2))"),"")</f>
        <v/>
      </c>
      <c r="DJ30" s="1" t="str">
        <f ca="1">IFERROR(__xludf.DUMMYFUNCTION("if(DJ$2="""","""", index(GOOGLEFINANCE($B$30,""close"",DJ$2,TODAY()),2,2))"),"")</f>
        <v/>
      </c>
      <c r="DK30" s="1" t="str">
        <f ca="1">IFERROR(__xludf.DUMMYFUNCTION("if(DK$2="""","""", index(GOOGLEFINANCE($B$30,""close"",DK$2,TODAY()),2,2))"),"")</f>
        <v/>
      </c>
      <c r="DL30" s="1" t="str">
        <f ca="1">IFERROR(__xludf.DUMMYFUNCTION("if(DL$2="""","""", index(GOOGLEFINANCE($B$30,""close"",DL$2,TODAY()),2,2))"),"")</f>
        <v/>
      </c>
      <c r="DM30" s="1" t="str">
        <f ca="1">IFERROR(__xludf.DUMMYFUNCTION("if(DM$2="""","""", index(GOOGLEFINANCE($B$30,""close"",DM$2,TODAY()),2,2))"),"")</f>
        <v/>
      </c>
      <c r="DN30" s="1" t="str">
        <f ca="1">IFERROR(__xludf.DUMMYFUNCTION("if(DN$2="""","""", index(GOOGLEFINANCE($B$30,""close"",DN$2,TODAY()),2,2))"),"")</f>
        <v/>
      </c>
      <c r="DO30" s="1" t="str">
        <f ca="1">IFERROR(__xludf.DUMMYFUNCTION("if(DO$2="""","""", index(GOOGLEFINANCE($B$30,""close"",DO$2,TODAY()),2,2))"),"")</f>
        <v/>
      </c>
      <c r="DP30" s="1" t="str">
        <f ca="1">IFERROR(__xludf.DUMMYFUNCTION("if(DP$2="""","""", index(GOOGLEFINANCE($B$30,""close"",DP$2,TODAY()),2,2))"),"")</f>
        <v/>
      </c>
      <c r="DQ30" s="1" t="str">
        <f ca="1">IFERROR(__xludf.DUMMYFUNCTION("if(DQ$2="""","""", index(GOOGLEFINANCE($B$30,""close"",DQ$2,TODAY()),2,2))"),"")</f>
        <v/>
      </c>
      <c r="DR30" s="1" t="str">
        <f ca="1">IFERROR(__xludf.DUMMYFUNCTION("if(DR$2="""","""", index(GOOGLEFINANCE($B$30,""close"",DR$2,TODAY()),2,2))"),"")</f>
        <v/>
      </c>
      <c r="DS30" s="1" t="str">
        <f ca="1">IFERROR(__xludf.DUMMYFUNCTION("if(DS$2="""","""", index(GOOGLEFINANCE($B$30,""close"",DS$2,TODAY()),2,2))"),"")</f>
        <v/>
      </c>
      <c r="DT30" s="1" t="str">
        <f ca="1">IFERROR(__xludf.DUMMYFUNCTION("if(DT$2="""","""", index(GOOGLEFINANCE($B$30,""close"",DT$2,TODAY()),2,2))"),"")</f>
        <v/>
      </c>
      <c r="DU30" s="1" t="str">
        <f ca="1">IFERROR(__xludf.DUMMYFUNCTION("if(DU$2="""","""", index(GOOGLEFINANCE($B$30,""close"",DU$2,TODAY()),2,2))"),"")</f>
        <v/>
      </c>
      <c r="DV30" s="1" t="str">
        <f ca="1">IFERROR(__xludf.DUMMYFUNCTION("if(DV$2="""","""", index(GOOGLEFINANCE($B$30,""close"",DV$2,TODAY()),2,2))"),"")</f>
        <v/>
      </c>
      <c r="DW30" s="1" t="str">
        <f ca="1">IFERROR(__xludf.DUMMYFUNCTION("if(DW$2="""","""", index(GOOGLEFINANCE($B$30,""close"",DW$2,TODAY()),2,2))"),"")</f>
        <v/>
      </c>
      <c r="DX30" s="1" t="str">
        <f ca="1">IFERROR(__xludf.DUMMYFUNCTION("if(DX$2="""","""", index(GOOGLEFINANCE($B$30,""close"",DX$2,TODAY()),2,2))"),"")</f>
        <v/>
      </c>
      <c r="DY30" s="1" t="str">
        <f ca="1">IFERROR(__xludf.DUMMYFUNCTION("if(DY$2="""","""", index(GOOGLEFINANCE($B$30,""close"",DY$2,TODAY()),2,2))"),"")</f>
        <v/>
      </c>
      <c r="DZ30" s="1" t="str">
        <f ca="1">IFERROR(__xludf.DUMMYFUNCTION("if(DZ$2="""","""", index(GOOGLEFINANCE($B$30,""close"",DZ$2,TODAY()),2,2))"),"")</f>
        <v/>
      </c>
      <c r="EA30" s="1" t="str">
        <f ca="1">IFERROR(__xludf.DUMMYFUNCTION("if(EA$2="""","""", index(GOOGLEFINANCE($B$30,""close"",EA$2,TODAY()),2,2))"),"")</f>
        <v/>
      </c>
      <c r="EB30" s="1" t="str">
        <f ca="1">IFERROR(__xludf.DUMMYFUNCTION("if(EB$2="""","""", index(GOOGLEFINANCE($B$30,""close"",EB$2,TODAY()),2,2))"),"")</f>
        <v/>
      </c>
      <c r="EC30" s="1" t="str">
        <f ca="1">IFERROR(__xludf.DUMMYFUNCTION("if(EC$2="""","""", index(GOOGLEFINANCE($B$30,""close"",EC$2,TODAY()),2,2))"),"")</f>
        <v/>
      </c>
      <c r="ED30" s="1" t="str">
        <f ca="1">IFERROR(__xludf.DUMMYFUNCTION("if(ED$2="""","""", index(GOOGLEFINANCE($B$30,""close"",ED$2,TODAY()),2,2))"),"")</f>
        <v/>
      </c>
      <c r="EE30" s="1" t="str">
        <f ca="1">IFERROR(__xludf.DUMMYFUNCTION("if(EE$2="""","""", index(GOOGLEFINANCE($B$30,""close"",EE$2,TODAY()),2,2))"),"")</f>
        <v/>
      </c>
      <c r="EF30" s="1" t="str">
        <f ca="1">IFERROR(__xludf.DUMMYFUNCTION("if(EF$2="""","""", index(GOOGLEFINANCE($B$30,""close"",EF$2,TODAY()),2,2))"),"")</f>
        <v/>
      </c>
      <c r="EG30" s="1" t="str">
        <f ca="1">IFERROR(__xludf.DUMMYFUNCTION("if(EG$2="""","""", index(GOOGLEFINANCE($B$30,""close"",EG$2,TODAY()),2,2))"),"")</f>
        <v/>
      </c>
      <c r="EH30" s="1" t="str">
        <f ca="1">IFERROR(__xludf.DUMMYFUNCTION("if(EH$2="""","""", index(GOOGLEFINANCE($B$30,""close"",EH$2,TODAY()),2,2))"),"")</f>
        <v/>
      </c>
      <c r="EI30" s="1" t="str">
        <f ca="1">IFERROR(__xludf.DUMMYFUNCTION("if(EI$2="""","""", index(GOOGLEFINANCE($B$30,""close"",EI$2,TODAY()),2,2))"),"")</f>
        <v/>
      </c>
      <c r="EJ30" s="1" t="str">
        <f ca="1">IFERROR(__xludf.DUMMYFUNCTION("if(EJ$2="""","""", index(GOOGLEFINANCE($B$30,""close"",EJ$2,TODAY()),2,2))"),"")</f>
        <v/>
      </c>
      <c r="EK30" s="1" t="str">
        <f ca="1">IFERROR(__xludf.DUMMYFUNCTION("if(EK$2="""","""", index(GOOGLEFINANCE($B$30,""close"",EK$2,TODAY()),2,2))"),"")</f>
        <v/>
      </c>
      <c r="EL30" s="1" t="str">
        <f ca="1">IFERROR(__xludf.DUMMYFUNCTION("if(EL$2="""","""", index(GOOGLEFINANCE($B$30,""close"",EL$2,TODAY()),2,2))"),"")</f>
        <v/>
      </c>
      <c r="EM30" s="1" t="str">
        <f ca="1">IFERROR(__xludf.DUMMYFUNCTION("if(EM$2="""","""", index(GOOGLEFINANCE($B$30,""close"",EM$2,TODAY()),2,2))"),"")</f>
        <v/>
      </c>
      <c r="EN30" s="1" t="str">
        <f ca="1">IFERROR(__xludf.DUMMYFUNCTION("if(EN$2="""","""", index(GOOGLEFINANCE($B$30,""close"",EN$2,TODAY()),2,2))"),"")</f>
        <v/>
      </c>
      <c r="EO30" s="1" t="str">
        <f ca="1">IFERROR(__xludf.DUMMYFUNCTION("if(EO$2="""","""", index(GOOGLEFINANCE($B$30,""close"",EO$2,TODAY()),2,2))"),"")</f>
        <v/>
      </c>
      <c r="EP30" s="1" t="str">
        <f ca="1">IFERROR(__xludf.DUMMYFUNCTION("if(EP$2="""","""", index(GOOGLEFINANCE($B$30,""close"",EP$2,TODAY()),2,2))"),"")</f>
        <v/>
      </c>
      <c r="EQ30" s="1" t="str">
        <f ca="1">IFERROR(__xludf.DUMMYFUNCTION("if(EQ$2="""","""", index(GOOGLEFINANCE($B$30,""close"",EQ$2,TODAY()),2,2))"),"")</f>
        <v/>
      </c>
      <c r="ER30" s="1" t="str">
        <f ca="1">IFERROR(__xludf.DUMMYFUNCTION("if(ER$2="""","""", index(GOOGLEFINANCE($B$30,""close"",ER$2,TODAY()),2,2))"),"")</f>
        <v/>
      </c>
      <c r="ES30" s="1" t="str">
        <f ca="1">IFERROR(__xludf.DUMMYFUNCTION("if(ES$2="""","""", index(GOOGLEFINANCE($B$30,""close"",ES$2,TODAY()),2,2))"),"")</f>
        <v/>
      </c>
      <c r="ET30" s="1" t="str">
        <f ca="1">IFERROR(__xludf.DUMMYFUNCTION("if(ET$2="""","""", index(GOOGLEFINANCE($B$30,""close"",ET$2,TODAY()),2,2))"),"")</f>
        <v/>
      </c>
      <c r="EU30" s="1" t="str">
        <f ca="1">IFERROR(__xludf.DUMMYFUNCTION("if(EU$2="""","""", index(GOOGLEFINANCE($B$30,""close"",EU$2,TODAY()),2,2))"),"")</f>
        <v/>
      </c>
      <c r="EV30" s="1" t="str">
        <f ca="1">IFERROR(__xludf.DUMMYFUNCTION("if(EV$2="""","""", index(GOOGLEFINANCE($B$30,""close"",EV$2,TODAY()),2,2))"),"")</f>
        <v/>
      </c>
      <c r="EW30" s="1" t="str">
        <f ca="1">IFERROR(__xludf.DUMMYFUNCTION("if(EW$2="""","""", index(GOOGLEFINANCE($B$30,""close"",EW$2,TODAY()),2,2))"),"")</f>
        <v/>
      </c>
      <c r="EX30" s="1" t="str">
        <f ca="1">IFERROR(__xludf.DUMMYFUNCTION("if(EX$2="""","""", index(GOOGLEFINANCE($B$30,""close"",EX$2,TODAY()),2,2))"),"")</f>
        <v/>
      </c>
      <c r="EY30" s="1" t="str">
        <f ca="1">IFERROR(__xludf.DUMMYFUNCTION("if(EY$2="""","""", index(GOOGLEFINANCE($B$30,""close"",EY$2,TODAY()),2,2))"),"")</f>
        <v/>
      </c>
      <c r="EZ30" s="1" t="str">
        <f ca="1">IFERROR(__xludf.DUMMYFUNCTION("if(EZ$2="""","""", index(GOOGLEFINANCE($B$30,""close"",EZ$2,TODAY()),2,2))"),"")</f>
        <v/>
      </c>
      <c r="FA30" s="1" t="str">
        <f ca="1">IFERROR(__xludf.DUMMYFUNCTION("if(FA$2="""","""", index(GOOGLEFINANCE($B$30,""close"",FA$2,TODAY()),2,2))"),"")</f>
        <v/>
      </c>
      <c r="FB30" s="1" t="str">
        <f ca="1">IFERROR(__xludf.DUMMYFUNCTION("if(FB$2="""","""", index(GOOGLEFINANCE($B$30,""close"",FB$2,TODAY()),2,2))"),"")</f>
        <v/>
      </c>
      <c r="FC30" s="1" t="str">
        <f ca="1">IFERROR(__xludf.DUMMYFUNCTION("if(FC$2="""","""", index(GOOGLEFINANCE($B$30,""close"",FC$2,TODAY()),2,2))"),"")</f>
        <v/>
      </c>
      <c r="FD30" s="1" t="str">
        <f ca="1">IFERROR(__xludf.DUMMYFUNCTION("if(FD$2="""","""", index(GOOGLEFINANCE($B$30,""close"",FD$2,TODAY()),2,2))"),"")</f>
        <v/>
      </c>
      <c r="FE30" s="1" t="str">
        <f ca="1">IFERROR(__xludf.DUMMYFUNCTION("if(FE$2="""","""", index(GOOGLEFINANCE($B$30,""close"",FE$2,TODAY()),2,2))"),"")</f>
        <v/>
      </c>
      <c r="FF30" s="1" t="str">
        <f ca="1">IFERROR(__xludf.DUMMYFUNCTION("if(FF$2="""","""", index(GOOGLEFINANCE($B$30,""close"",FF$2,TODAY()),2,2))"),"")</f>
        <v/>
      </c>
      <c r="FG30" s="1" t="str">
        <f ca="1">IFERROR(__xludf.DUMMYFUNCTION("if(FG$2="""","""", index(GOOGLEFINANCE($B$30,""close"",FG$2,TODAY()),2,2))"),"")</f>
        <v/>
      </c>
      <c r="FH30" s="1" t="str">
        <f ca="1">IFERROR(__xludf.DUMMYFUNCTION("if(FH$2="""","""", index(GOOGLEFINANCE($B$30,""close"",FH$2,TODAY()),2,2))"),"")</f>
        <v/>
      </c>
      <c r="FI30" s="1" t="str">
        <f ca="1">IFERROR(__xludf.DUMMYFUNCTION("if(FI$2="""","""", index(GOOGLEFINANCE($B$30,""close"",FI$2,TODAY()),2,2))"),"")</f>
        <v/>
      </c>
      <c r="FJ30" s="1" t="str">
        <f ca="1">IFERROR(__xludf.DUMMYFUNCTION("if(FJ$2="""","""", index(GOOGLEFINANCE($B$30,""close"",FJ$2,TODAY()),2,2))"),"")</f>
        <v/>
      </c>
      <c r="FK30" s="1" t="str">
        <f ca="1">IFERROR(__xludf.DUMMYFUNCTION("if(FK$2="""","""", index(GOOGLEFINANCE($B$30,""close"",FK$2,TODAY()),2,2))"),"")</f>
        <v/>
      </c>
      <c r="FL30" s="1" t="str">
        <f ca="1">IFERROR(__xludf.DUMMYFUNCTION("if(FL$2="""","""", index(GOOGLEFINANCE($B$30,""close"",FL$2,TODAY()),2,2))"),"")</f>
        <v/>
      </c>
      <c r="FM30" s="1" t="str">
        <f ca="1">IFERROR(__xludf.DUMMYFUNCTION("if(FM$2="""","""", index(GOOGLEFINANCE($B$30,""close"",FM$2,TODAY()),2,2))"),"")</f>
        <v/>
      </c>
      <c r="FN30" s="1" t="str">
        <f ca="1">IFERROR(__xludf.DUMMYFUNCTION("if(FN$2="""","""", index(GOOGLEFINANCE($B$30,""close"",FN$2,TODAY()),2,2))"),"")</f>
        <v/>
      </c>
      <c r="FO30" s="1" t="str">
        <f ca="1">IFERROR(__xludf.DUMMYFUNCTION("if(FO$2="""","""", index(GOOGLEFINANCE($B$30,""close"",FO$2,TODAY()),2,2))"),"")</f>
        <v/>
      </c>
      <c r="FP30" s="1" t="str">
        <f ca="1">IFERROR(__xludf.DUMMYFUNCTION("if(FP$2="""","""", index(GOOGLEFINANCE($B$30,""close"",FP$2,TODAY()),2,2))"),"")</f>
        <v/>
      </c>
      <c r="FQ30" s="1" t="str">
        <f ca="1">IFERROR(__xludf.DUMMYFUNCTION("if(FQ$2="""","""", index(GOOGLEFINANCE($B$30,""close"",FQ$2,TODAY()),2,2))"),"")</f>
        <v/>
      </c>
      <c r="FR30" s="1" t="str">
        <f ca="1">IFERROR(__xludf.DUMMYFUNCTION("if(FR$2="""","""", index(GOOGLEFINANCE($B$30,""close"",FR$2,TODAY()),2,2))"),"")</f>
        <v/>
      </c>
      <c r="FS30" s="1" t="str">
        <f ca="1">IFERROR(__xludf.DUMMYFUNCTION("if(FS$2="""","""", index(GOOGLEFINANCE($B$30,""close"",FS$2,TODAY()),2,2))"),"")</f>
        <v/>
      </c>
      <c r="FT30" s="1" t="str">
        <f ca="1">IFERROR(__xludf.DUMMYFUNCTION("if(FT$2="""","""", index(GOOGLEFINANCE($B$30,""close"",FT$2,TODAY()),2,2))"),"")</f>
        <v/>
      </c>
      <c r="FU30" s="1" t="str">
        <f ca="1">IFERROR(__xludf.DUMMYFUNCTION("if(FU$2="""","""", index(GOOGLEFINANCE($B$30,""close"",FU$2,TODAY()),2,2))"),"")</f>
        <v/>
      </c>
      <c r="FV30" s="1" t="str">
        <f ca="1">IFERROR(__xludf.DUMMYFUNCTION("if(FV$2="""","""", index(GOOGLEFINANCE($B$30,""close"",FV$2,TODAY()),2,2))"),"")</f>
        <v/>
      </c>
      <c r="FW30" s="1" t="str">
        <f ca="1">IFERROR(__xludf.DUMMYFUNCTION("if(FW$2="""","""", index(GOOGLEFINANCE($B$30,""close"",FW$2,TODAY()),2,2))"),"")</f>
        <v/>
      </c>
      <c r="FX30" s="1" t="str">
        <f ca="1">IFERROR(__xludf.DUMMYFUNCTION("if(FX$2="""","""", index(GOOGLEFINANCE($B$30,""close"",FX$2,TODAY()),2,2))"),"")</f>
        <v/>
      </c>
      <c r="FY30" s="1" t="str">
        <f ca="1">IFERROR(__xludf.DUMMYFUNCTION("if(FY$2="""","""", index(GOOGLEFINANCE($B$30,""close"",FY$2,TODAY()),2,2))"),"")</f>
        <v/>
      </c>
      <c r="FZ30" s="1" t="str">
        <f ca="1">IFERROR(__xludf.DUMMYFUNCTION("if(FZ$2="""","""", index(GOOGLEFINANCE($B$30,""close"",FZ$2,TODAY()),2,2))"),"")</f>
        <v/>
      </c>
      <c r="GA30" s="1" t="str">
        <f ca="1">IFERROR(__xludf.DUMMYFUNCTION("if(GA$2="""","""", index(GOOGLEFINANCE($B$30,""close"",GA$2,TODAY()),2,2))"),"")</f>
        <v/>
      </c>
      <c r="GB30" s="1" t="str">
        <f ca="1">IFERROR(__xludf.DUMMYFUNCTION("if(GB$2="""","""", index(GOOGLEFINANCE($B$30,""close"",GB$2,TODAY()),2,2))"),"")</f>
        <v/>
      </c>
      <c r="GC30" s="1" t="str">
        <f ca="1">IFERROR(__xludf.DUMMYFUNCTION("if(GC$2="""","""", index(GOOGLEFINANCE($B$30,""close"",GC$2,TODAY()),2,2))"),"")</f>
        <v/>
      </c>
      <c r="GD30" s="1" t="str">
        <f ca="1">IFERROR(__xludf.DUMMYFUNCTION("if(GD$2="""","""", index(GOOGLEFINANCE($B$30,""close"",GD$2,TODAY()),2,2))"),"")</f>
        <v/>
      </c>
      <c r="GE30" s="1" t="str">
        <f ca="1">IFERROR(__xludf.DUMMYFUNCTION("if(GE$2="""","""", index(GOOGLEFINANCE($B$30,""close"",GE$2,TODAY()),2,2))"),"")</f>
        <v/>
      </c>
      <c r="GF30" s="1" t="str">
        <f ca="1">IFERROR(__xludf.DUMMYFUNCTION("if(GF$2="""","""", index(GOOGLEFINANCE($B$30,""close"",GF$2,TODAY()),2,2))"),"")</f>
        <v/>
      </c>
      <c r="GG30" s="1" t="str">
        <f ca="1">IFERROR(__xludf.DUMMYFUNCTION("if(GG$2="""","""", index(GOOGLEFINANCE($B$30,""close"",GG$2,TODAY()),2,2))"),"")</f>
        <v/>
      </c>
      <c r="GH30" s="1" t="str">
        <f ca="1">IFERROR(__xludf.DUMMYFUNCTION("if(GH$2="""","""", index(GOOGLEFINANCE($B$30,""close"",GH$2,TODAY()),2,2))"),"")</f>
        <v/>
      </c>
      <c r="GI30" s="1" t="str">
        <f ca="1">IFERROR(__xludf.DUMMYFUNCTION("if(GI$2="""","""", index(GOOGLEFINANCE($B$30,""close"",GI$2,TODAY()),2,2))"),"")</f>
        <v/>
      </c>
      <c r="GJ30" s="1" t="str">
        <f ca="1">IFERROR(__xludf.DUMMYFUNCTION("if(GJ$2="""","""", index(GOOGLEFINANCE($B$30,""close"",GJ$2,TODAY()),2,2))"),"")</f>
        <v/>
      </c>
      <c r="GK30" s="1" t="str">
        <f ca="1">IFERROR(__xludf.DUMMYFUNCTION("if(GK$2="""","""", index(GOOGLEFINANCE($B$30,""close"",GK$2,TODAY()),2,2))"),"")</f>
        <v/>
      </c>
      <c r="GL30" s="1" t="str">
        <f ca="1">IFERROR(__xludf.DUMMYFUNCTION("if(GL$2="""","""", index(GOOGLEFINANCE($B$30,""close"",GL$2,TODAY()),2,2))"),"")</f>
        <v/>
      </c>
      <c r="GM30" s="1" t="str">
        <f ca="1">IFERROR(__xludf.DUMMYFUNCTION("if(GM$2="""","""", index(GOOGLEFINANCE($B$30,""close"",GM$2,TODAY()),2,2))"),"")</f>
        <v/>
      </c>
      <c r="GN30" s="1" t="str">
        <f ca="1">IFERROR(__xludf.DUMMYFUNCTION("if(GN$2="""","""", index(GOOGLEFINANCE($B$30,""close"",GN$2,TODAY()),2,2))"),"")</f>
        <v/>
      </c>
      <c r="GO30" s="1" t="str">
        <f ca="1">IFERROR(__xludf.DUMMYFUNCTION("if(GO$2="""","""", index(GOOGLEFINANCE($B$30,""close"",GO$2,TODAY()),2,2))"),"")</f>
        <v/>
      </c>
      <c r="GP30" s="1" t="str">
        <f ca="1">IFERROR(__xludf.DUMMYFUNCTION("if(GP$2="""","""", index(GOOGLEFINANCE($B$30,""close"",GP$2,TODAY()),2,2))"),"")</f>
        <v/>
      </c>
      <c r="GQ30" s="1" t="str">
        <f ca="1">IFERROR(__xludf.DUMMYFUNCTION("if(GQ$2="""","""", index(GOOGLEFINANCE($B$30,""close"",GQ$2,TODAY()),2,2))"),"")</f>
        <v/>
      </c>
      <c r="GR30" s="1" t="str">
        <f ca="1">IFERROR(__xludf.DUMMYFUNCTION("if(GR$2="""","""", index(GOOGLEFINANCE($B$30,""close"",GR$2,TODAY()),2,2))"),"")</f>
        <v/>
      </c>
      <c r="GS30" s="1" t="str">
        <f ca="1">IFERROR(__xludf.DUMMYFUNCTION("if(GS$2="""","""", index(GOOGLEFINANCE($B$30,""close"",GS$2,TODAY()),2,2))"),"")</f>
        <v/>
      </c>
      <c r="GT30" s="1" t="str">
        <f ca="1">IFERROR(__xludf.DUMMYFUNCTION("if(GT$2="""","""", index(GOOGLEFINANCE($B$30,""close"",GT$2,TODAY()),2,2))"),"")</f>
        <v/>
      </c>
      <c r="GU30" s="1" t="str">
        <f ca="1">IFERROR(__xludf.DUMMYFUNCTION("if(GU$2="""","""", index(GOOGLEFINANCE($B$30,""close"",GU$2,TODAY()),2,2))"),"")</f>
        <v/>
      </c>
      <c r="GV30" s="1" t="str">
        <f ca="1">IFERROR(__xludf.DUMMYFUNCTION("if(GV$2="""","""", index(GOOGLEFINANCE($B$30,""close"",GV$2,TODAY()),2,2))"),"")</f>
        <v/>
      </c>
      <c r="GW30" s="1" t="str">
        <f ca="1">IFERROR(__xludf.DUMMYFUNCTION("if(GW$2="""","""", index(GOOGLEFINANCE($B$30,""close"",GW$2,TODAY()),2,2))"),"")</f>
        <v/>
      </c>
      <c r="GX30" s="1" t="str">
        <f ca="1">IFERROR(__xludf.DUMMYFUNCTION("if(GX$2="""","""", index(GOOGLEFINANCE($B$30,""close"",GX$2,TODAY()),2,2))"),"")</f>
        <v/>
      </c>
      <c r="GY30" s="1" t="str">
        <f ca="1">IFERROR(__xludf.DUMMYFUNCTION("if(GY$2="""","""", index(GOOGLEFINANCE($B$30,""close"",GY$2,TODAY()),2,2))"),"")</f>
        <v/>
      </c>
      <c r="GZ30" s="1" t="str">
        <f ca="1">IFERROR(__xludf.DUMMYFUNCTION("if(GZ$2="""","""", index(GOOGLEFINANCE($B$30,""close"",GZ$2,TODAY()),2,2))"),"")</f>
        <v/>
      </c>
      <c r="HA30" s="1" t="str">
        <f ca="1">IFERROR(__xludf.DUMMYFUNCTION("if(HA$2="""","""", index(GOOGLEFINANCE($B$30,""close"",HA$2,TODAY()),2,2))"),"")</f>
        <v/>
      </c>
      <c r="HB30" s="1" t="str">
        <f ca="1">IFERROR(__xludf.DUMMYFUNCTION("if(HB$2="""","""", index(GOOGLEFINANCE($B$30,""close"",HB$2,TODAY()),2,2))"),"")</f>
        <v/>
      </c>
      <c r="HC30" s="1" t="str">
        <f ca="1">IFERROR(__xludf.DUMMYFUNCTION("if(HC$2="""","""", index(GOOGLEFINANCE($B$30,""close"",HC$2,TODAY()),2,2))"),"")</f>
        <v/>
      </c>
      <c r="HD30" s="1" t="str">
        <f ca="1">IFERROR(__xludf.DUMMYFUNCTION("if(HD$2="""","""", index(GOOGLEFINANCE($B$30,""close"",HD$2,TODAY()),2,2))"),"")</f>
        <v/>
      </c>
      <c r="HE30" s="1" t="str">
        <f ca="1">IFERROR(__xludf.DUMMYFUNCTION("if(HE$2="""","""", index(GOOGLEFINANCE($B$30,""close"",HE$2,TODAY()),2,2))"),"")</f>
        <v/>
      </c>
      <c r="HF30" s="1" t="str">
        <f ca="1">IFERROR(__xludf.DUMMYFUNCTION("if(HF$2="""","""", index(GOOGLEFINANCE($B$30,""close"",HF$2,TODAY()),2,2))"),"")</f>
        <v/>
      </c>
      <c r="HG30" s="1" t="str">
        <f ca="1">IFERROR(__xludf.DUMMYFUNCTION("if(HG$2="""","""", index(GOOGLEFINANCE($B$30,""close"",HG$2,TODAY()),2,2))"),"")</f>
        <v/>
      </c>
      <c r="HH30" s="1" t="str">
        <f ca="1">IFERROR(__xludf.DUMMYFUNCTION("if(HH$2="""","""", index(GOOGLEFINANCE($B$30,""close"",HH$2,TODAY()),2,2))"),"")</f>
        <v/>
      </c>
      <c r="HI30" s="1" t="str">
        <f ca="1">IFERROR(__xludf.DUMMYFUNCTION("if(HI$2="""","""", index(GOOGLEFINANCE($B$30,""close"",HI$2,TODAY()),2,2))"),"")</f>
        <v/>
      </c>
      <c r="HJ30" s="1" t="str">
        <f ca="1">IFERROR(__xludf.DUMMYFUNCTION("if(HJ$2="""","""", index(GOOGLEFINANCE($B$30,""close"",HJ$2,TODAY()),2,2))"),"")</f>
        <v/>
      </c>
      <c r="HK30" s="1" t="str">
        <f ca="1">IFERROR(__xludf.DUMMYFUNCTION("if(HK$2="""","""", index(GOOGLEFINANCE($B$30,""close"",HK$2,TODAY()),2,2))"),"")</f>
        <v/>
      </c>
      <c r="HL30" s="1" t="str">
        <f ca="1">IFERROR(__xludf.DUMMYFUNCTION("if(HL$2="""","""", index(GOOGLEFINANCE($B$30,""close"",HL$2,TODAY()),2,2))"),"")</f>
        <v/>
      </c>
      <c r="HM30" s="1" t="str">
        <f ca="1">IFERROR(__xludf.DUMMYFUNCTION("if(HM$2="""","""", index(GOOGLEFINANCE($B$30,""close"",HM$2,TODAY()),2,2))"),"")</f>
        <v/>
      </c>
      <c r="HN30" s="1" t="str">
        <f ca="1">IFERROR(__xludf.DUMMYFUNCTION("if(HN$2="""","""", index(GOOGLEFINANCE($B$30,""close"",HN$2,TODAY()),2,2))"),"")</f>
        <v/>
      </c>
      <c r="HO30" s="1" t="str">
        <f ca="1">IFERROR(__xludf.DUMMYFUNCTION("if(HO$2="""","""", index(GOOGLEFINANCE($B$30,""close"",HO$2,TODAY()),2,2))"),"")</f>
        <v/>
      </c>
      <c r="HP30" s="1" t="str">
        <f ca="1">IFERROR(__xludf.DUMMYFUNCTION("if(HP$2="""","""", index(GOOGLEFINANCE($B$30,""close"",HP$2,TODAY()),2,2))"),"")</f>
        <v/>
      </c>
      <c r="HQ30" s="1" t="str">
        <f ca="1">IFERROR(__xludf.DUMMYFUNCTION("if(HQ$2="""","""", index(GOOGLEFINANCE($B$30,""close"",HQ$2,TODAY()),2,2))"),"")</f>
        <v/>
      </c>
      <c r="HR30" s="1" t="str">
        <f ca="1">IFERROR(__xludf.DUMMYFUNCTION("if(HR$2="""","""", index(GOOGLEFINANCE($B$30,""close"",HR$2,TODAY()),2,2))"),"")</f>
        <v/>
      </c>
      <c r="HS30" s="1" t="str">
        <f ca="1">IFERROR(__xludf.DUMMYFUNCTION("if(HS$2="""","""", index(GOOGLEFINANCE($B$30,""close"",HS$2,TODAY()),2,2))"),"")</f>
        <v/>
      </c>
      <c r="HT30" s="1" t="str">
        <f ca="1">IFERROR(__xludf.DUMMYFUNCTION("if(HT$2="""","""", index(GOOGLEFINANCE($B$30,""close"",HT$2,TODAY()),2,2))"),"")</f>
        <v/>
      </c>
      <c r="HU30" s="1" t="str">
        <f ca="1">IFERROR(__xludf.DUMMYFUNCTION("if(HU$2="""","""", index(GOOGLEFINANCE($B$30,""close"",HU$2,TODAY()),2,2))"),"")</f>
        <v/>
      </c>
      <c r="HV30" s="1" t="str">
        <f ca="1">IFERROR(__xludf.DUMMYFUNCTION("if(HV$2="""","""", index(GOOGLEFINANCE($B$30,""close"",HV$2,TODAY()),2,2))"),"")</f>
        <v/>
      </c>
      <c r="HW30" s="1" t="str">
        <f ca="1">IFERROR(__xludf.DUMMYFUNCTION("if(HW$2="""","""", index(GOOGLEFINANCE($B$30,""close"",HW$2,TODAY()),2,2))"),"")</f>
        <v/>
      </c>
      <c r="HX30" s="1" t="str">
        <f ca="1">IFERROR(__xludf.DUMMYFUNCTION("if(HX$2="""","""", index(GOOGLEFINANCE($B$30,""close"",HX$2,TODAY()),2,2))"),"")</f>
        <v/>
      </c>
      <c r="HY30" s="1" t="str">
        <f ca="1">IFERROR(__xludf.DUMMYFUNCTION("if(HY$2="""","""", index(GOOGLEFINANCE($B$30,""close"",HY$2,TODAY()),2,2))"),"")</f>
        <v/>
      </c>
      <c r="HZ30" s="1" t="str">
        <f ca="1">IFERROR(__xludf.DUMMYFUNCTION("if(HZ$2="""","""", index(GOOGLEFINANCE($B$30,""close"",HZ$2,TODAY()),2,2))"),"")</f>
        <v/>
      </c>
      <c r="IA30" s="1" t="str">
        <f ca="1">IFERROR(__xludf.DUMMYFUNCTION("if(IA$2="""","""", index(GOOGLEFINANCE($B$30,""close"",IA$2,TODAY()),2,2))"),"")</f>
        <v/>
      </c>
      <c r="IB30" s="1" t="str">
        <f ca="1">IFERROR(__xludf.DUMMYFUNCTION("if(IB$2="""","""", index(GOOGLEFINANCE($B$30,""close"",IB$2,TODAY()),2,2))"),"")</f>
        <v/>
      </c>
      <c r="IC30" s="1" t="str">
        <f ca="1">IFERROR(__xludf.DUMMYFUNCTION("if(IC$2="""","""", index(GOOGLEFINANCE($B$30,""close"",IC$2,TODAY()),2,2))"),"")</f>
        <v/>
      </c>
      <c r="ID30" s="1" t="str">
        <f ca="1">IFERROR(__xludf.DUMMYFUNCTION("if(ID$2="""","""", index(GOOGLEFINANCE($B$30,""close"",ID$2,TODAY()),2,2))"),"")</f>
        <v/>
      </c>
      <c r="IE30" s="1" t="str">
        <f ca="1">IFERROR(__xludf.DUMMYFUNCTION("if(IE$2="""","""", index(GOOGLEFINANCE($B$30,""close"",IE$2,TODAY()),2,2))"),"")</f>
        <v/>
      </c>
      <c r="IF30" s="1" t="str">
        <f ca="1">IFERROR(__xludf.DUMMYFUNCTION("if(IF$2="""","""", index(GOOGLEFINANCE($B$30,""close"",IF$2,TODAY()),2,2))"),"")</f>
        <v/>
      </c>
      <c r="IG30" s="1" t="str">
        <f ca="1">IFERROR(__xludf.DUMMYFUNCTION("if(IG$2="""","""", index(GOOGLEFINANCE($B$30,""close"",IG$2,TODAY()),2,2))"),"")</f>
        <v/>
      </c>
      <c r="IH30" s="1" t="str">
        <f ca="1">IFERROR(__xludf.DUMMYFUNCTION("if(IH$2="""","""", index(GOOGLEFINANCE($B$30,""close"",IH$2,TODAY()),2,2))"),"")</f>
        <v/>
      </c>
      <c r="II30" s="1" t="str">
        <f ca="1">IFERROR(__xludf.DUMMYFUNCTION("if(II$2="""","""", index(GOOGLEFINANCE($B$30,""close"",II$2,TODAY()),2,2))"),"")</f>
        <v/>
      </c>
      <c r="IJ30" s="1" t="str">
        <f ca="1">IFERROR(__xludf.DUMMYFUNCTION("if(IJ$2="""","""", index(GOOGLEFINANCE($B$30,""close"",IJ$2,TODAY()),2,2))"),"")</f>
        <v/>
      </c>
      <c r="IK30" s="1" t="str">
        <f ca="1">IFERROR(__xludf.DUMMYFUNCTION("if(IK$2="""","""", index(GOOGLEFINANCE($B$30,""close"",IK$2,TODAY()),2,2))"),"")</f>
        <v/>
      </c>
      <c r="IL30" s="1" t="str">
        <f ca="1">IFERROR(__xludf.DUMMYFUNCTION("if(IL$2="""","""", index(GOOGLEFINANCE($B$30,""close"",IL$2,TODAY()),2,2))"),"")</f>
        <v/>
      </c>
      <c r="IM30" s="1" t="str">
        <f ca="1">IFERROR(__xludf.DUMMYFUNCTION("if(IM$2="""","""", index(GOOGLEFINANCE($B$30,""close"",IM$2,TODAY()),2,2))"),"")</f>
        <v/>
      </c>
      <c r="IN30" s="1" t="str">
        <f ca="1">IFERROR(__xludf.DUMMYFUNCTION("if(IN$2="""","""", index(GOOGLEFINANCE($B$30,""close"",IN$2,TODAY()),2,2))"),"")</f>
        <v/>
      </c>
      <c r="IO30" s="1" t="str">
        <f ca="1">IFERROR(__xludf.DUMMYFUNCTION("if(IO$2="""","""", index(GOOGLEFINANCE($B$30,""close"",IO$2,TODAY()),2,2))"),"")</f>
        <v/>
      </c>
      <c r="IP30" s="1" t="str">
        <f ca="1">IFERROR(__xludf.DUMMYFUNCTION("if(IP$2="""","""", index(GOOGLEFINANCE($B$30,""close"",IP$2,TODAY()),2,2))"),"")</f>
        <v/>
      </c>
      <c r="IQ30" s="1" t="str">
        <f ca="1">IFERROR(__xludf.DUMMYFUNCTION("if(IQ$2="""","""", index(GOOGLEFINANCE($B$30,""close"",IQ$2,TODAY()),2,2))"),"")</f>
        <v/>
      </c>
      <c r="IR30" s="1" t="str">
        <f ca="1">IFERROR(__xludf.DUMMYFUNCTION("if(IR$2="""","""", index(GOOGLEFINANCE($B$30,""close"",IR$2,TODAY()),2,2))"),"")</f>
        <v/>
      </c>
      <c r="IS30" s="1" t="str">
        <f ca="1">IFERROR(__xludf.DUMMYFUNCTION("if(IS$2="""","""", index(GOOGLEFINANCE($B$30,""close"",IS$2,TODAY()),2,2))"),"")</f>
        <v/>
      </c>
      <c r="IT30" s="1" t="str">
        <f ca="1">IFERROR(__xludf.DUMMYFUNCTION("if(IT$2="""","""", index(GOOGLEFINANCE($B$30,""close"",IT$2,TODAY()),2,2))"),"")</f>
        <v/>
      </c>
      <c r="IU30" s="1" t="str">
        <f ca="1">IFERROR(__xludf.DUMMYFUNCTION("if(IU$2="""","""", index(GOOGLEFINANCE($B$30,""close"",IU$2,TODAY()),2,2))"),"")</f>
        <v/>
      </c>
      <c r="IV30" s="1" t="str">
        <f ca="1">IFERROR(__xludf.DUMMYFUNCTION("if(IV$2="""","""", index(GOOGLEFINANCE($B$30,""close"",IV$2,TODAY()),2,2))"),"")</f>
        <v/>
      </c>
      <c r="IW30" s="1" t="str">
        <f ca="1">IFERROR(__xludf.DUMMYFUNCTION("if(IW$2="""","""", index(GOOGLEFINANCE($B$30,""close"",IW$2,TODAY()),2,2))"),"")</f>
        <v/>
      </c>
      <c r="IX30" s="1" t="str">
        <f ca="1">IFERROR(__xludf.DUMMYFUNCTION("if(IX$2="""","""", index(GOOGLEFINANCE($B$30,""close"",IX$2,TODAY()),2,2))"),"")</f>
        <v/>
      </c>
      <c r="IY30" s="1" t="str">
        <f ca="1">IFERROR(__xludf.DUMMYFUNCTION("if(IY$2="""","""", index(GOOGLEFINANCE($B$30,""close"",IY$2,TODAY()),2,2))"),"")</f>
        <v/>
      </c>
      <c r="IZ30" s="1" t="str">
        <f ca="1">IFERROR(__xludf.DUMMYFUNCTION("if(IZ$2="""","""", index(GOOGLEFINANCE($B$30,""close"",IZ$2,TODAY()),2,2))"),"")</f>
        <v/>
      </c>
      <c r="JA30" s="1" t="str">
        <f ca="1">IFERROR(__xludf.DUMMYFUNCTION("if(JA$2="""","""", index(GOOGLEFINANCE($B$30,""close"",JA$2,TODAY()),2,2))"),"")</f>
        <v/>
      </c>
      <c r="JB30" s="1" t="str">
        <f ca="1">IFERROR(__xludf.DUMMYFUNCTION("if(JB$2="""","""", index(GOOGLEFINANCE($B$30,""close"",JB$2,TODAY()),2,2))"),"")</f>
        <v/>
      </c>
      <c r="JC30" s="1" t="str">
        <f ca="1">IFERROR(__xludf.DUMMYFUNCTION("if(JC$2="""","""", index(GOOGLEFINANCE($B$30,""close"",JC$2,TODAY()),2,2))"),"")</f>
        <v/>
      </c>
      <c r="JD30" s="1" t="str">
        <f ca="1">IFERROR(__xludf.DUMMYFUNCTION("if(JD$2="""","""", index(GOOGLEFINANCE($B$30,""close"",JD$2,TODAY()),2,2))"),"")</f>
        <v/>
      </c>
      <c r="JE30" s="1" t="str">
        <f ca="1">IFERROR(__xludf.DUMMYFUNCTION("if(JE$2="""","""", index(GOOGLEFINANCE($B$30,""close"",JE$2,TODAY()),2,2))"),"")</f>
        <v/>
      </c>
      <c r="JF30" s="1" t="str">
        <f ca="1">IFERROR(__xludf.DUMMYFUNCTION("if(JF$2="""","""", index(GOOGLEFINANCE($B$30,""close"",JF$2,TODAY()),2,2))"),"")</f>
        <v/>
      </c>
      <c r="JG30" s="1" t="str">
        <f ca="1">IFERROR(__xludf.DUMMYFUNCTION("if(JG$2="""","""", index(GOOGLEFINANCE($B$30,""close"",JG$2,TODAY()),2,2))"),"")</f>
        <v/>
      </c>
      <c r="JH30" s="1" t="str">
        <f ca="1">IFERROR(__xludf.DUMMYFUNCTION("if(JH$2="""","""", index(GOOGLEFINANCE($B$30,""close"",JH$2,TODAY()),2,2))"),"")</f>
        <v/>
      </c>
      <c r="JI30" s="1" t="str">
        <f ca="1">IFERROR(__xludf.DUMMYFUNCTION("if(JI$2="""","""", index(GOOGLEFINANCE($B$30,""close"",JI$2,TODAY()),2,2))"),"")</f>
        <v/>
      </c>
      <c r="JJ30" s="1" t="str">
        <f ca="1">IFERROR(__xludf.DUMMYFUNCTION("if(JJ$2="""","""", index(GOOGLEFINANCE($B$30,""close"",JJ$2,TODAY()),2,2))"),"")</f>
        <v/>
      </c>
      <c r="JK30" s="1" t="str">
        <f ca="1">IFERROR(__xludf.DUMMYFUNCTION("if(JK$2="""","""", index(GOOGLEFINANCE($B$30,""close"",JK$2,TODAY()),2,2))"),"")</f>
        <v/>
      </c>
      <c r="JL30" s="1" t="str">
        <f ca="1">IFERROR(__xludf.DUMMYFUNCTION("if(JL$2="""","""", index(GOOGLEFINANCE($B$30,""close"",JL$2,TODAY()),2,2))"),"")</f>
        <v/>
      </c>
      <c r="JM30" s="1" t="str">
        <f ca="1">IFERROR(__xludf.DUMMYFUNCTION("if(JM$2="""","""", index(GOOGLEFINANCE($B$30,""close"",JM$2,TODAY()),2,2))"),"")</f>
        <v/>
      </c>
      <c r="JN30" s="1" t="str">
        <f ca="1">IFERROR(__xludf.DUMMYFUNCTION("if(JN$2="""","""", index(GOOGLEFINANCE($B$30,""close"",JN$2,TODAY()),2,2))"),"")</f>
        <v/>
      </c>
      <c r="JO30" s="1" t="str">
        <f ca="1">IFERROR(__xludf.DUMMYFUNCTION("if(JO$2="""","""", index(GOOGLEFINANCE($B$30,""close"",JO$2,TODAY()),2,2))"),"")</f>
        <v/>
      </c>
      <c r="JP30" s="1" t="str">
        <f ca="1">IFERROR(__xludf.DUMMYFUNCTION("if(JP$2="""","""", index(GOOGLEFINANCE($B$30,""close"",JP$2,TODAY()),2,2))"),"")</f>
        <v/>
      </c>
      <c r="JQ30" s="1" t="str">
        <f ca="1">IFERROR(__xludf.DUMMYFUNCTION("if(JQ$2="""","""", index(GOOGLEFINANCE($B$30,""close"",JQ$2,TODAY()),2,2))"),"")</f>
        <v/>
      </c>
      <c r="JR30" s="1" t="str">
        <f ca="1">IFERROR(__xludf.DUMMYFUNCTION("if(JR$2="""","""", index(GOOGLEFINANCE($B$30,""close"",JR$2,TODAY()),2,2))"),"")</f>
        <v/>
      </c>
      <c r="JS30" s="1" t="str">
        <f ca="1">IFERROR(__xludf.DUMMYFUNCTION("if(JS$2="""","""", index(GOOGLEFINANCE($B$30,""close"",JS$2,TODAY()),2,2))"),"")</f>
        <v/>
      </c>
      <c r="JT30" s="1" t="str">
        <f ca="1">IFERROR(__xludf.DUMMYFUNCTION("if(JT$2="""","""", index(GOOGLEFINANCE($B$30,""close"",JT$2,TODAY()),2,2))"),"")</f>
        <v/>
      </c>
      <c r="JU30" s="1" t="str">
        <f ca="1">IFERROR(__xludf.DUMMYFUNCTION("if(JU$2="""","""", index(GOOGLEFINANCE($B$30,""close"",JU$2,TODAY()),2,2))"),"")</f>
        <v/>
      </c>
      <c r="JV30" s="1" t="str">
        <f ca="1">IFERROR(__xludf.DUMMYFUNCTION("if(JV$2="""","""", index(GOOGLEFINANCE($B$30,""close"",JV$2,TODAY()),2,2))"),"")</f>
        <v/>
      </c>
      <c r="JW30" s="1" t="str">
        <f ca="1">IFERROR(__xludf.DUMMYFUNCTION("if(JW$2="""","""", index(GOOGLEFINANCE($B$30,""close"",JW$2,TODAY()),2,2))"),"")</f>
        <v/>
      </c>
      <c r="JX30" s="1" t="str">
        <f ca="1">IFERROR(__xludf.DUMMYFUNCTION("if(JX$2="""","""", index(GOOGLEFINANCE($B$30,""close"",JX$2,TODAY()),2,2))"),"")</f>
        <v/>
      </c>
      <c r="JY30" s="1" t="str">
        <f ca="1">IFERROR(__xludf.DUMMYFUNCTION("if(JY$2="""","""", index(GOOGLEFINANCE($B$30,""close"",JY$2,TODAY()),2,2))"),"")</f>
        <v/>
      </c>
      <c r="JZ30" s="1" t="str">
        <f ca="1">IFERROR(__xludf.DUMMYFUNCTION("if(JZ$2="""","""", index(GOOGLEFINANCE($B$30,""close"",JZ$2,TODAY()),2,2))"),"")</f>
        <v/>
      </c>
      <c r="KA30" s="1" t="str">
        <f ca="1">IFERROR(__xludf.DUMMYFUNCTION("if(KA$2="""","""", index(GOOGLEFINANCE($B$30,""close"",KA$2,TODAY()),2,2))"),"")</f>
        <v/>
      </c>
      <c r="KB30" s="1" t="str">
        <f ca="1">IFERROR(__xludf.DUMMYFUNCTION("if(KB$2="""","""", index(GOOGLEFINANCE($B$30,""close"",KB$2,TODAY()),2,2))"),"")</f>
        <v/>
      </c>
      <c r="KC30" s="1" t="str">
        <f ca="1">IFERROR(__xludf.DUMMYFUNCTION("if(KC$2="""","""", index(GOOGLEFINANCE($B$30,""close"",KC$2,TODAY()),2,2))"),"")</f>
        <v/>
      </c>
      <c r="KD30" s="1" t="str">
        <f ca="1">IFERROR(__xludf.DUMMYFUNCTION("if(KD$2="""","""", index(GOOGLEFINANCE($B$30,""close"",KD$2,TODAY()),2,2))"),"")</f>
        <v/>
      </c>
      <c r="KE30" s="1" t="str">
        <f ca="1">IFERROR(__xludf.DUMMYFUNCTION("if(KE$2="""","""", index(GOOGLEFINANCE($B$30,""close"",KE$2,TODAY()),2,2))"),"")</f>
        <v/>
      </c>
      <c r="KF30" s="1" t="str">
        <f ca="1">IFERROR(__xludf.DUMMYFUNCTION("if(KF$2="""","""", index(GOOGLEFINANCE($B$30,""close"",KF$2,TODAY()),2,2))"),"")</f>
        <v/>
      </c>
      <c r="KG30" s="1" t="str">
        <f ca="1">IFERROR(__xludf.DUMMYFUNCTION("if(KG$2="""","""", index(GOOGLEFINANCE($B$30,""close"",KG$2,TODAY()),2,2))"),"")</f>
        <v/>
      </c>
    </row>
    <row r="31" spans="1:293" ht="15.75" customHeight="1">
      <c r="A31" s="18" t="s">
        <v>30</v>
      </c>
      <c r="B31" s="6" t="s">
        <v>74</v>
      </c>
      <c r="C31" s="1">
        <f ca="1">IFERROR(__xludf.DUMMYFUNCTION("if(C$2="""","""", index(GOOGLEFINANCE($B$31,""close"",C$2,TODAY()),2,2))"),57.1)</f>
        <v>57.1</v>
      </c>
      <c r="D31" s="1">
        <f ca="1">IFERROR(__xludf.DUMMYFUNCTION("if(D$2="""","""", index(GOOGLEFINANCE($B$31,""close"",D$2,TODAY()),2,2))"),58.47)</f>
        <v>58.47</v>
      </c>
      <c r="E31" s="1">
        <f ca="1">IFERROR(__xludf.DUMMYFUNCTION("if(E$2="""","""", index(GOOGLEFINANCE($B$31,""close"",E$2,TODAY()),2,2))"),57.98)</f>
        <v>57.98</v>
      </c>
      <c r="F31" s="1">
        <f ca="1">IFERROR(__xludf.DUMMYFUNCTION("if(F$2="""","""", index(GOOGLEFINANCE($B$31,""close"",F$2,TODAY()),2,2))"),57.99)</f>
        <v>57.99</v>
      </c>
      <c r="G31" s="1">
        <f ca="1">IFERROR(__xludf.DUMMYFUNCTION("if(G$2="""","""", index(GOOGLEFINANCE($B$31,""close"",G$2,TODAY()),2,2))"),58.51)</f>
        <v>58.51</v>
      </c>
      <c r="H31" s="1">
        <f ca="1">IFERROR(__xludf.DUMMYFUNCTION("if(H$2="""","""", index(GOOGLEFINANCE($B$31,""close"",H$2,TODAY()),2,2))"),58.2)</f>
        <v>58.2</v>
      </c>
      <c r="I31" s="1">
        <f ca="1">IFERROR(__xludf.DUMMYFUNCTION("if(I$2="""","""", index(GOOGLEFINANCE($B$31,""close"",I$2,TODAY()),2,2))"),58.8)</f>
        <v>58.8</v>
      </c>
      <c r="J31" s="1">
        <f ca="1">IFERROR(__xludf.DUMMYFUNCTION("if(J$2="""","""", index(GOOGLEFINANCE($B$31,""close"",J$2,TODAY()),2,2))"),58.84)</f>
        <v>58.84</v>
      </c>
      <c r="K31" s="1">
        <f ca="1">IFERROR(__xludf.DUMMYFUNCTION("if(K$2="""","""", index(GOOGLEFINANCE($B$31,""close"",K$2,TODAY()),2,2))"),59.87)</f>
        <v>59.87</v>
      </c>
      <c r="L31" s="1">
        <f ca="1">IFERROR(__xludf.DUMMYFUNCTION("if(L$2="""","""", index(GOOGLEFINANCE($B$31,""close"",L$2,TODAY()),2,2))"),61.06)</f>
        <v>61.06</v>
      </c>
      <c r="M31" s="1">
        <f ca="1">IFERROR(__xludf.DUMMYFUNCTION("if(M$2="""","""", index(GOOGLEFINANCE($B$31,""close"",M$2,TODAY()),2,2))"),60.04)</f>
        <v>60.04</v>
      </c>
      <c r="N31" s="1">
        <f ca="1">IFERROR(__xludf.DUMMYFUNCTION("if(N$2="""","""", index(GOOGLEFINANCE($B$31,""close"",N$2,TODAY()),2,2))"),58.08)</f>
        <v>58.08</v>
      </c>
      <c r="O31" s="1">
        <f ca="1">IFERROR(__xludf.DUMMYFUNCTION("if(O$2="""","""", index(GOOGLEFINANCE($B$31,""close"",O$2,TODAY()),2,2))"),56.41)</f>
        <v>56.41</v>
      </c>
      <c r="P31" s="1">
        <f ca="1">IFERROR(__xludf.DUMMYFUNCTION("if(P$2="""","""", index(GOOGLEFINANCE($B$31,""close"",P$2,TODAY()),2,2))"),55.63)</f>
        <v>55.63</v>
      </c>
      <c r="Q31" s="1">
        <f ca="1">IFERROR(__xludf.DUMMYFUNCTION("if(Q$2="""","""", index(GOOGLEFINANCE($B$31,""close"",Q$2,TODAY()),2,2))"),55.82)</f>
        <v>55.82</v>
      </c>
      <c r="R31" s="1">
        <f ca="1">IFERROR(__xludf.DUMMYFUNCTION("if(R$2="""","""", index(GOOGLEFINANCE($B$31,""close"",R$2,TODAY()),2,2))"),55.5)</f>
        <v>55.5</v>
      </c>
      <c r="S31" s="1">
        <f ca="1">IFERROR(__xludf.DUMMYFUNCTION("if(S$2="""","""", index(GOOGLEFINANCE($B$31,""close"",S$2,TODAY()),2,2))"),54.7)</f>
        <v>54.7</v>
      </c>
      <c r="T31" s="1">
        <f ca="1">IFERROR(__xludf.DUMMYFUNCTION("if(T$2="""","""", index(GOOGLEFINANCE($B$31,""close"",T$2,TODAY()),2,2))"),54.25)</f>
        <v>54.25</v>
      </c>
      <c r="U31" s="1">
        <f ca="1">IFERROR(__xludf.DUMMYFUNCTION("if(U$2="""","""", index(GOOGLEFINANCE($B$31,""close"",U$2,TODAY()),2,2))"),55.62)</f>
        <v>55.62</v>
      </c>
      <c r="V31" s="1">
        <f ca="1">IFERROR(__xludf.DUMMYFUNCTION("if(V$2="""","""", index(GOOGLEFINANCE($B$31,""close"",V$2,TODAY()),2,2))"),54.99)</f>
        <v>54.99</v>
      </c>
      <c r="W31" s="1">
        <f ca="1">IFERROR(__xludf.DUMMYFUNCTION("if(W$2="""","""", index(GOOGLEFINANCE($B$31,""close"",W$2,TODAY()),2,2))"),62.19)</f>
        <v>62.19</v>
      </c>
      <c r="X31" s="1">
        <f ca="1">IFERROR(__xludf.DUMMYFUNCTION("if(X$2="""","""", index(GOOGLEFINANCE($B$31,""close"",X$2,TODAY()),2,2))"),63.5)</f>
        <v>63.5</v>
      </c>
      <c r="Y31" s="1">
        <f ca="1">IFERROR(__xludf.DUMMYFUNCTION("if(Y$2="""","""", index(GOOGLEFINANCE($B$31,""close"",Y$2,TODAY()),2,2))"),62.13)</f>
        <v>62.13</v>
      </c>
      <c r="Z31" s="1">
        <f ca="1">IFERROR(__xludf.DUMMYFUNCTION("if(Z$2="""","""", index(GOOGLEFINANCE($B$31,""close"",Z$2,TODAY()),2,2))"),62.45)</f>
        <v>62.45</v>
      </c>
      <c r="AA31" s="1">
        <f ca="1">IFERROR(__xludf.DUMMYFUNCTION("if(AA$2="""","""", index(GOOGLEFINANCE($B$31,""close"",AA$2,TODAY()),2,2))"),63.81)</f>
        <v>63.81</v>
      </c>
      <c r="AB31" s="1">
        <f ca="1">IFERROR(__xludf.DUMMYFUNCTION("if(AB$2="""","""", index(GOOGLEFINANCE($B$31,""close"",AB$2,TODAY()),2,2))"),68.22)</f>
        <v>68.22</v>
      </c>
      <c r="AC31" s="1">
        <f ca="1">IFERROR(__xludf.DUMMYFUNCTION("if(AC$2="""","""", index(GOOGLEFINANCE($B$31,""close"",AC$2,TODAY()),2,2))"),69.26)</f>
        <v>69.260000000000005</v>
      </c>
      <c r="AD31" s="1">
        <f ca="1">IFERROR(__xludf.DUMMYFUNCTION("if(AD$2="""","""", index(GOOGLEFINANCE($B$31,""close"",AD$2,TODAY()),2,2))"),70.1)</f>
        <v>70.099999999999994</v>
      </c>
      <c r="AE31" s="1">
        <f ca="1">IFERROR(__xludf.DUMMYFUNCTION("if(AE$2="""","""", index(GOOGLEFINANCE($B$31,""close"",AE$2,TODAY()),2,2))"),69.41)</f>
        <v>69.41</v>
      </c>
      <c r="AF31" s="1">
        <f ca="1">IFERROR(__xludf.DUMMYFUNCTION("if(AF$2="""","""", index(GOOGLEFINANCE($B$31,""close"",AF$2,TODAY()),2,2))"),69.72)</f>
        <v>69.72</v>
      </c>
      <c r="AG31" s="1">
        <f ca="1">IFERROR(__xludf.DUMMYFUNCTION("if(AG$2="""","""", index(GOOGLEFINANCE($B$31,""close"",AG$2,TODAY()),2,2))"),72.75)</f>
        <v>72.75</v>
      </c>
      <c r="AH31" s="1">
        <f ca="1">IFERROR(__xludf.DUMMYFUNCTION("if(AH$2="""","""", index(GOOGLEFINANCE($B$31,""close"",AH$2,TODAY()),2,2))"),74.51)</f>
        <v>74.510000000000005</v>
      </c>
      <c r="AI31" s="1">
        <f ca="1">IFERROR(__xludf.DUMMYFUNCTION("if(AI$2="""","""", index(GOOGLEFINANCE($B$31,""close"",AI$2,TODAY()),2,2))"),73.71)</f>
        <v>73.709999999999994</v>
      </c>
      <c r="AJ31" s="1">
        <f ca="1">IFERROR(__xludf.DUMMYFUNCTION("if(AJ$2="""","""", index(GOOGLEFINANCE($B$31,""close"",AJ$2,TODAY()),2,2))"),74.1)</f>
        <v>74.099999999999994</v>
      </c>
      <c r="AK31" s="1">
        <f ca="1">IFERROR(__xludf.DUMMYFUNCTION("if(AK$2="""","""", index(GOOGLEFINANCE($B$31,""close"",AK$2,TODAY()),2,2))"),72.62)</f>
        <v>72.62</v>
      </c>
      <c r="AL31" s="1">
        <f ca="1">IFERROR(__xludf.DUMMYFUNCTION("if(AL$2="""","""", index(GOOGLEFINANCE($B$31,""close"",AL$2,TODAY()),2,2))"),71.97)</f>
        <v>71.97</v>
      </c>
      <c r="AM31" s="1">
        <f ca="1">IFERROR(__xludf.DUMMYFUNCTION("if(AM$2="""","""", index(GOOGLEFINANCE($B$31,""close"",AM$2,TODAY()),2,2))"),72.1)</f>
        <v>72.099999999999994</v>
      </c>
      <c r="AN31" s="1">
        <f ca="1">IFERROR(__xludf.DUMMYFUNCTION("if(AN$2="""","""", index(GOOGLEFINANCE($B$31,""close"",AN$2,TODAY()),2,2))"),74.07)</f>
        <v>74.069999999999993</v>
      </c>
      <c r="AO31" s="1">
        <f ca="1">IFERROR(__xludf.DUMMYFUNCTION("if(AO$2="""","""", index(GOOGLEFINANCE($B$31,""close"",AO$2,TODAY()),2,2))"),73.16)</f>
        <v>73.16</v>
      </c>
      <c r="AP31" s="1">
        <f ca="1">IFERROR(__xludf.DUMMYFUNCTION("if(AP$2="""","""", index(GOOGLEFINANCE($B$31,""close"",AP$2,TODAY()),2,2))"),72)</f>
        <v>72</v>
      </c>
      <c r="AQ31" s="1">
        <f ca="1">IFERROR(__xludf.DUMMYFUNCTION("if(AQ$2="""","""", index(GOOGLEFINANCE($B$31,""close"",AQ$2,TODAY()),2,2))"),73.23)</f>
        <v>73.23</v>
      </c>
      <c r="AR31" s="1">
        <f ca="1">IFERROR(__xludf.DUMMYFUNCTION("if(AR$2="""","""", index(GOOGLEFINANCE($B$31,""close"",AR$2,TODAY()),2,2))"),72.67)</f>
        <v>72.67</v>
      </c>
      <c r="AS31" s="1">
        <f ca="1">IFERROR(__xludf.DUMMYFUNCTION("if(AS$2="""","""", index(GOOGLEFINANCE($B$31,""close"",AS$2,TODAY()),2,2))"),71.89)</f>
        <v>71.89</v>
      </c>
      <c r="AT31" s="1">
        <f ca="1">IFERROR(__xludf.DUMMYFUNCTION("if(AT$2="""","""", index(GOOGLEFINANCE($B$31,""close"",AT$2,TODAY()),2,2))"),67.99)</f>
        <v>67.989999999999995</v>
      </c>
      <c r="AU31" s="1">
        <f ca="1">IFERROR(__xludf.DUMMYFUNCTION("if(AU$2="""","""", index(GOOGLEFINANCE($B$31,""close"",AU$2,TODAY()),2,2))"),68.76)</f>
        <v>68.760000000000005</v>
      </c>
      <c r="AV31" s="1">
        <f ca="1">IFERROR(__xludf.DUMMYFUNCTION("if(AV$2="""","""", index(GOOGLEFINANCE($B$31,""close"",AV$2,TODAY()),2,2))"),71.02)</f>
        <v>71.02</v>
      </c>
      <c r="AW31" s="1">
        <f ca="1">IFERROR(__xludf.DUMMYFUNCTION("if(AW$2="""","""", index(GOOGLEFINANCE($B$31,""close"",AW$2,TODAY()),2,2))"),71.76)</f>
        <v>71.760000000000005</v>
      </c>
      <c r="AX31" s="1">
        <f ca="1">IFERROR(__xludf.DUMMYFUNCTION("if(AX$2="""","""", index(GOOGLEFINANCE($B$31,""close"",AX$2,TODAY()),2,2))"),70.14)</f>
        <v>70.14</v>
      </c>
      <c r="AY31" s="1">
        <f ca="1">IFERROR(__xludf.DUMMYFUNCTION("if(AY$2="""","""", index(GOOGLEFINANCE($B$31,""close"",AY$2,TODAY()),2,2))"),70.69)</f>
        <v>70.69</v>
      </c>
      <c r="AZ31" s="1">
        <f ca="1">IFERROR(__xludf.DUMMYFUNCTION("if(AZ$2="""","""", index(GOOGLEFINANCE($B$31,""close"",AZ$2,TODAY()),2,2))"),69.9)</f>
        <v>69.900000000000006</v>
      </c>
      <c r="BA31" s="1">
        <f ca="1">IFERROR(__xludf.DUMMYFUNCTION("if(BA$2="""","""", index(GOOGLEFINANCE($B$31,""close"",BA$2,TODAY()),2,2))"),70.8)</f>
        <v>70.8</v>
      </c>
      <c r="BB31" s="1">
        <f ca="1">IFERROR(__xludf.DUMMYFUNCTION("if(BB$2="""","""", index(GOOGLEFINANCE($B$31,""close"",BB$2,TODAY()),2,2))"),70.83)</f>
        <v>70.83</v>
      </c>
      <c r="BC31" s="1">
        <f ca="1">IFERROR(__xludf.DUMMYFUNCTION("if(BC$2="""","""", index(GOOGLEFINANCE($B$31,""close"",BC$2,TODAY()),2,2))"),70.77)</f>
        <v>70.77</v>
      </c>
      <c r="BD31" s="1">
        <f ca="1">IFERROR(__xludf.DUMMYFUNCTION("if(BD$2="""","""", index(GOOGLEFINANCE($B$31,""close"",BD$2,TODAY()),2,2))"),70.85)</f>
        <v>70.849999999999994</v>
      </c>
      <c r="BE31" s="1">
        <f ca="1">IFERROR(__xludf.DUMMYFUNCTION("if(BE$2="""","""", index(GOOGLEFINANCE($B$31,""close"",BE$2,TODAY()),2,2))"),69.5)</f>
        <v>69.5</v>
      </c>
      <c r="BF31" s="1">
        <f ca="1">IFERROR(__xludf.DUMMYFUNCTION("if(BF$2="""","""", index(GOOGLEFINANCE($B$31,""close"",BF$2,TODAY()),2,2))"),69.07)</f>
        <v>69.069999999999993</v>
      </c>
      <c r="BG31" s="1">
        <f ca="1">IFERROR(__xludf.DUMMYFUNCTION("if(BG$2="""","""", index(GOOGLEFINANCE($B$31,""close"",BG$2,TODAY()),2,2))"),69.31)</f>
        <v>69.31</v>
      </c>
      <c r="BH31" s="1">
        <f ca="1">IFERROR(__xludf.DUMMYFUNCTION("if(BH$2="""","""", index(GOOGLEFINANCE($B$31,""close"",BH$2,TODAY()),2,2))"),70.24)</f>
        <v>70.239999999999995</v>
      </c>
      <c r="BI31" s="1">
        <f ca="1">IFERROR(__xludf.DUMMYFUNCTION("if(BI$2="""","""", index(GOOGLEFINANCE($B$31,""close"",BI$2,TODAY()),2,2))"),70.9)</f>
        <v>70.900000000000006</v>
      </c>
      <c r="BJ31" s="1">
        <f ca="1">IFERROR(__xludf.DUMMYFUNCTION("if(BJ$2="""","""", index(GOOGLEFINANCE($B$31,""close"",BJ$2,TODAY()),2,2))"),71.11)</f>
        <v>71.11</v>
      </c>
      <c r="BK31" s="1">
        <f ca="1">IFERROR(__xludf.DUMMYFUNCTION("if(BK$2="""","""", index(GOOGLEFINANCE($B$31,""close"",BK$2,TODAY()),2,2))"),70.07)</f>
        <v>70.069999999999993</v>
      </c>
      <c r="BL31" s="1">
        <f ca="1">IFERROR(__xludf.DUMMYFUNCTION("if(BL$2="""","""", index(GOOGLEFINANCE($B$31,""close"",BL$2,TODAY()),2,2))"),68.41)</f>
        <v>68.41</v>
      </c>
      <c r="BM31" s="1">
        <f ca="1">IFERROR(__xludf.DUMMYFUNCTION("if(BM$2="""","""", index(GOOGLEFINANCE($B$31,""close"",BM$2,TODAY()),2,2))"),68.04)</f>
        <v>68.040000000000006</v>
      </c>
      <c r="BN31" s="1">
        <f ca="1">IFERROR(__xludf.DUMMYFUNCTION("if(BN$2="""","""", index(GOOGLEFINANCE($B$31,""close"",BN$2,TODAY()),2,2))"),68.07)</f>
        <v>68.069999999999993</v>
      </c>
      <c r="BO31" s="1">
        <f ca="1">IFERROR(__xludf.DUMMYFUNCTION("if(BO$2="""","""", index(GOOGLEFINANCE($B$31,""close"",BO$2,TODAY()),2,2))"),66.08)</f>
        <v>66.08</v>
      </c>
      <c r="BP31" s="1">
        <f ca="1">IFERROR(__xludf.DUMMYFUNCTION("if(BP$2="""","""", index(GOOGLEFINANCE($B$31,""close"",BP$2,TODAY()),2,2))"),64.79)</f>
        <v>64.790000000000006</v>
      </c>
      <c r="BQ31" s="1">
        <f ca="1">IFERROR(__xludf.DUMMYFUNCTION("if(BQ$2="""","""", index(GOOGLEFINANCE($B$31,""close"",BQ$2,TODAY()),2,2))"),64.85)</f>
        <v>64.849999999999994</v>
      </c>
      <c r="BR31" s="1">
        <f ca="1">IFERROR(__xludf.DUMMYFUNCTION("if(BR$2="""","""", index(GOOGLEFINANCE($B$31,""close"",BR$2,TODAY()),2,2))"),65.35)</f>
        <v>65.349999999999994</v>
      </c>
      <c r="BS31" s="1">
        <f ca="1">IFERROR(__xludf.DUMMYFUNCTION("if(BS$2="""","""", index(GOOGLEFINANCE($B$31,""close"",BS$2,TODAY()),2,2))"),65.7)</f>
        <v>65.7</v>
      </c>
      <c r="BT31" s="1">
        <f ca="1">IFERROR(__xludf.DUMMYFUNCTION("if(BT$2="""","""", index(GOOGLEFINANCE($B$31,""close"",BT$2,TODAY()),2,2))"),65.82)</f>
        <v>65.819999999999993</v>
      </c>
      <c r="BU31" s="1">
        <f ca="1">IFERROR(__xludf.DUMMYFUNCTION("if(BU$2="""","""", index(GOOGLEFINANCE($B$31,""close"",BU$2,TODAY()),2,2))"),67.31)</f>
        <v>67.31</v>
      </c>
      <c r="BV31" s="1">
        <f ca="1">IFERROR(__xludf.DUMMYFUNCTION("if(BV$2="""","""", index(GOOGLEFINANCE($B$31,""close"",BV$2,TODAY()),2,2))"),67.11)</f>
        <v>67.11</v>
      </c>
      <c r="BW31" s="1">
        <f ca="1">IFERROR(__xludf.DUMMYFUNCTION("if(BW$2="""","""", index(GOOGLEFINANCE($B$31,""close"",BW$2,TODAY()),2,2))"),67.42)</f>
        <v>67.42</v>
      </c>
      <c r="BX31" s="1">
        <f ca="1">IFERROR(__xludf.DUMMYFUNCTION("if(BX$2="""","""", index(GOOGLEFINANCE($B$31,""close"",BX$2,TODAY()),2,2))"),69.26)</f>
        <v>69.260000000000005</v>
      </c>
      <c r="BY31" s="1">
        <f ca="1">IFERROR(__xludf.DUMMYFUNCTION("if(BY$2="""","""", index(GOOGLEFINANCE($B$31,""close"",BY$2,TODAY()),2,2))"),70.75)</f>
        <v>70.75</v>
      </c>
      <c r="BZ31" s="1">
        <f ca="1">IFERROR(__xludf.DUMMYFUNCTION("if(BZ$2="""","""", index(GOOGLEFINANCE($B$31,""close"",BZ$2,TODAY()),2,2))"),70.25)</f>
        <v>70.25</v>
      </c>
      <c r="CA31" s="1">
        <f ca="1">IFERROR(__xludf.DUMMYFUNCTION("if(CA$2="""","""", index(GOOGLEFINANCE($B$31,""close"",CA$2,TODAY()),2,2))"),67.65)</f>
        <v>67.650000000000006</v>
      </c>
      <c r="CB31" s="1">
        <f ca="1">IFERROR(__xludf.DUMMYFUNCTION("if(CB$2="""","""", index(GOOGLEFINANCE($B$31,""close"",CB$2,TODAY()),2,2))"),66.73)</f>
        <v>66.73</v>
      </c>
      <c r="CC31" s="1">
        <f ca="1">IFERROR(__xludf.DUMMYFUNCTION("if(CC$2="""","""", index(GOOGLEFINANCE($B$31,""close"",CC$2,TODAY()),2,2))"),65.8)</f>
        <v>65.8</v>
      </c>
      <c r="CD31" s="1">
        <f ca="1">IFERROR(__xludf.DUMMYFUNCTION("if(CD$2="""","""", index(GOOGLEFINANCE($B$31,""close"",CD$2,TODAY()),2,2))"),66.02)</f>
        <v>66.02</v>
      </c>
      <c r="CE31" s="1">
        <f ca="1">IFERROR(__xludf.DUMMYFUNCTION("if(CE$2="""","""", index(GOOGLEFINANCE($B$31,""close"",CE$2,TODAY()),2,2))"),66.57)</f>
        <v>66.569999999999993</v>
      </c>
      <c r="CF31" s="1">
        <f ca="1">IFERROR(__xludf.DUMMYFUNCTION("if(CF$2="""","""", index(GOOGLEFINANCE($B$31,""close"",CF$2,TODAY()),2,2))"),65.85)</f>
        <v>65.849999999999994</v>
      </c>
      <c r="CG31" s="1">
        <f ca="1">IFERROR(__xludf.DUMMYFUNCTION("if(CG$2="""","""", index(GOOGLEFINANCE($B$31,""close"",CG$2,TODAY()),2,2))"),66.27)</f>
        <v>66.27</v>
      </c>
      <c r="CH31" s="1">
        <f ca="1">IFERROR(__xludf.DUMMYFUNCTION("if(CH$2="""","""", index(GOOGLEFINANCE($B$31,""close"",CH$2,TODAY()),2,2))"),69.55)</f>
        <v>69.55</v>
      </c>
      <c r="CI31" s="1">
        <f ca="1">IFERROR(__xludf.DUMMYFUNCTION("if(CI$2="""","""", index(GOOGLEFINANCE($B$31,""close"",CI$2,TODAY()),2,2))"),70.77)</f>
        <v>70.77</v>
      </c>
      <c r="CJ31" s="1" t="str">
        <f ca="1">IFERROR(__xludf.DUMMYFUNCTION("if(CJ$2="""","""", index(GOOGLEFINANCE($B$31,""close"",CJ$2,TODAY()),2,2))"),"")</f>
        <v/>
      </c>
      <c r="CK31" s="1" t="str">
        <f ca="1">IFERROR(__xludf.DUMMYFUNCTION("if(CK$2="""","""", index(GOOGLEFINANCE($B$31,""close"",CK$2,TODAY()),2,2))"),"")</f>
        <v/>
      </c>
      <c r="CL31" s="1" t="str">
        <f ca="1">IFERROR(__xludf.DUMMYFUNCTION("if(CL$2="""","""", index(GOOGLEFINANCE($B$31,""close"",CL$2,TODAY()),2,2))"),"")</f>
        <v/>
      </c>
      <c r="CM31" s="1" t="str">
        <f ca="1">IFERROR(__xludf.DUMMYFUNCTION("if(CM$2="""","""", index(GOOGLEFINANCE($B$31,""close"",CM$2,TODAY()),2,2))"),"")</f>
        <v/>
      </c>
      <c r="CN31" s="1" t="str">
        <f ca="1">IFERROR(__xludf.DUMMYFUNCTION("if(CN$2="""","""", index(GOOGLEFINANCE($B$31,""close"",CN$2,TODAY()),2,2))"),"")</f>
        <v/>
      </c>
      <c r="CO31" s="1" t="str">
        <f ca="1">IFERROR(__xludf.DUMMYFUNCTION("if(CO$2="""","""", index(GOOGLEFINANCE($B$31,""close"",CO$2,TODAY()),2,2))"),"")</f>
        <v/>
      </c>
      <c r="CP31" s="1" t="str">
        <f ca="1">IFERROR(__xludf.DUMMYFUNCTION("if(CP$2="""","""", index(GOOGLEFINANCE($B$31,""close"",CP$2,TODAY()),2,2))"),"")</f>
        <v/>
      </c>
      <c r="CQ31" s="1" t="str">
        <f ca="1">IFERROR(__xludf.DUMMYFUNCTION("if(CQ$2="""","""", index(GOOGLEFINANCE($B$31,""close"",CQ$2,TODAY()),2,2))"),"")</f>
        <v/>
      </c>
      <c r="CR31" s="1" t="str">
        <f ca="1">IFERROR(__xludf.DUMMYFUNCTION("if(CR$2="""","""", index(GOOGLEFINANCE($B$31,""close"",CR$2,TODAY()),2,2))"),"")</f>
        <v/>
      </c>
      <c r="CS31" s="1" t="str">
        <f ca="1">IFERROR(__xludf.DUMMYFUNCTION("if(CS$2="""","""", index(GOOGLEFINANCE($B$31,""close"",CS$2,TODAY()),2,2))"),"")</f>
        <v/>
      </c>
      <c r="CT31" s="1" t="str">
        <f ca="1">IFERROR(__xludf.DUMMYFUNCTION("if(CT$2="""","""", index(GOOGLEFINANCE($B$31,""close"",CT$2,TODAY()),2,2))"),"")</f>
        <v/>
      </c>
      <c r="CU31" s="1" t="str">
        <f ca="1">IFERROR(__xludf.DUMMYFUNCTION("if(CU$2="""","""", index(GOOGLEFINANCE($B$31,""close"",CU$2,TODAY()),2,2))"),"")</f>
        <v/>
      </c>
      <c r="CV31" s="1" t="str">
        <f ca="1">IFERROR(__xludf.DUMMYFUNCTION("if(CV$2="""","""", index(GOOGLEFINANCE($B$31,""close"",CV$2,TODAY()),2,2))"),"")</f>
        <v/>
      </c>
      <c r="CW31" s="1" t="str">
        <f ca="1">IFERROR(__xludf.DUMMYFUNCTION("if(CW$2="""","""", index(GOOGLEFINANCE($B$31,""close"",CW$2,TODAY()),2,2))"),"")</f>
        <v/>
      </c>
      <c r="CX31" s="1" t="str">
        <f ca="1">IFERROR(__xludf.DUMMYFUNCTION("if(CX$2="""","""", index(GOOGLEFINANCE($B$31,""close"",CX$2,TODAY()),2,2))"),"")</f>
        <v/>
      </c>
      <c r="CY31" s="1" t="str">
        <f ca="1">IFERROR(__xludf.DUMMYFUNCTION("if(CY$2="""","""", index(GOOGLEFINANCE($B$31,""close"",CY$2,TODAY()),2,2))"),"")</f>
        <v/>
      </c>
      <c r="CZ31" s="1" t="str">
        <f ca="1">IFERROR(__xludf.DUMMYFUNCTION("if(CZ$2="""","""", index(GOOGLEFINANCE($B$31,""close"",CZ$2,TODAY()),2,2))"),"")</f>
        <v/>
      </c>
      <c r="DA31" s="1" t="str">
        <f ca="1">IFERROR(__xludf.DUMMYFUNCTION("if(DA$2="""","""", index(GOOGLEFINANCE($B$31,""close"",DA$2,TODAY()),2,2))"),"")</f>
        <v/>
      </c>
      <c r="DB31" s="1" t="str">
        <f ca="1">IFERROR(__xludf.DUMMYFUNCTION("if(DB$2="""","""", index(GOOGLEFINANCE($B$31,""close"",DB$2,TODAY()),2,2))"),"")</f>
        <v/>
      </c>
      <c r="DC31" s="1" t="str">
        <f ca="1">IFERROR(__xludf.DUMMYFUNCTION("if(DC$2="""","""", index(GOOGLEFINANCE($B$31,""close"",DC$2,TODAY()),2,2))"),"")</f>
        <v/>
      </c>
      <c r="DD31" s="1" t="str">
        <f ca="1">IFERROR(__xludf.DUMMYFUNCTION("if(DD$2="""","""", index(GOOGLEFINANCE($B$31,""close"",DD$2,TODAY()),2,2))"),"")</f>
        <v/>
      </c>
      <c r="DE31" s="1" t="str">
        <f ca="1">IFERROR(__xludf.DUMMYFUNCTION("if(DE$2="""","""", index(GOOGLEFINANCE($B$31,""close"",DE$2,TODAY()),2,2))"),"")</f>
        <v/>
      </c>
      <c r="DF31" s="1" t="str">
        <f ca="1">IFERROR(__xludf.DUMMYFUNCTION("if(DF$2="""","""", index(GOOGLEFINANCE($B$31,""close"",DF$2,TODAY()),2,2))"),"")</f>
        <v/>
      </c>
      <c r="DG31" s="1" t="str">
        <f ca="1">IFERROR(__xludf.DUMMYFUNCTION("if(DG$2="""","""", index(GOOGLEFINANCE($B$31,""close"",DG$2,TODAY()),2,2))"),"")</f>
        <v/>
      </c>
      <c r="DH31" s="1" t="str">
        <f ca="1">IFERROR(__xludf.DUMMYFUNCTION("if(DH$2="""","""", index(GOOGLEFINANCE($B$31,""close"",DH$2,TODAY()),2,2))"),"")</f>
        <v/>
      </c>
      <c r="DI31" s="1" t="str">
        <f ca="1">IFERROR(__xludf.DUMMYFUNCTION("if(DI$2="""","""", index(GOOGLEFINANCE($B$31,""close"",DI$2,TODAY()),2,2))"),"")</f>
        <v/>
      </c>
      <c r="DJ31" s="1" t="str">
        <f ca="1">IFERROR(__xludf.DUMMYFUNCTION("if(DJ$2="""","""", index(GOOGLEFINANCE($B$31,""close"",DJ$2,TODAY()),2,2))"),"")</f>
        <v/>
      </c>
      <c r="DK31" s="1" t="str">
        <f ca="1">IFERROR(__xludf.DUMMYFUNCTION("if(DK$2="""","""", index(GOOGLEFINANCE($B$31,""close"",DK$2,TODAY()),2,2))"),"")</f>
        <v/>
      </c>
      <c r="DL31" s="1" t="str">
        <f ca="1">IFERROR(__xludf.DUMMYFUNCTION("if(DL$2="""","""", index(GOOGLEFINANCE($B$31,""close"",DL$2,TODAY()),2,2))"),"")</f>
        <v/>
      </c>
      <c r="DM31" s="1" t="str">
        <f ca="1">IFERROR(__xludf.DUMMYFUNCTION("if(DM$2="""","""", index(GOOGLEFINANCE($B$31,""close"",DM$2,TODAY()),2,2))"),"")</f>
        <v/>
      </c>
      <c r="DN31" s="1" t="str">
        <f ca="1">IFERROR(__xludf.DUMMYFUNCTION("if(DN$2="""","""", index(GOOGLEFINANCE($B$31,""close"",DN$2,TODAY()),2,2))"),"")</f>
        <v/>
      </c>
      <c r="DO31" s="1" t="str">
        <f ca="1">IFERROR(__xludf.DUMMYFUNCTION("if(DO$2="""","""", index(GOOGLEFINANCE($B$31,""close"",DO$2,TODAY()),2,2))"),"")</f>
        <v/>
      </c>
      <c r="DP31" s="1" t="str">
        <f ca="1">IFERROR(__xludf.DUMMYFUNCTION("if(DP$2="""","""", index(GOOGLEFINANCE($B$31,""close"",DP$2,TODAY()),2,2))"),"")</f>
        <v/>
      </c>
      <c r="DQ31" s="1" t="str">
        <f ca="1">IFERROR(__xludf.DUMMYFUNCTION("if(DQ$2="""","""", index(GOOGLEFINANCE($B$31,""close"",DQ$2,TODAY()),2,2))"),"")</f>
        <v/>
      </c>
      <c r="DR31" s="1" t="str">
        <f ca="1">IFERROR(__xludf.DUMMYFUNCTION("if(DR$2="""","""", index(GOOGLEFINANCE($B$31,""close"",DR$2,TODAY()),2,2))"),"")</f>
        <v/>
      </c>
      <c r="DS31" s="1" t="str">
        <f ca="1">IFERROR(__xludf.DUMMYFUNCTION("if(DS$2="""","""", index(GOOGLEFINANCE($B$31,""close"",DS$2,TODAY()),2,2))"),"")</f>
        <v/>
      </c>
      <c r="DT31" s="1" t="str">
        <f ca="1">IFERROR(__xludf.DUMMYFUNCTION("if(DT$2="""","""", index(GOOGLEFINANCE($B$31,""close"",DT$2,TODAY()),2,2))"),"")</f>
        <v/>
      </c>
      <c r="DU31" s="1" t="str">
        <f ca="1">IFERROR(__xludf.DUMMYFUNCTION("if(DU$2="""","""", index(GOOGLEFINANCE($B$31,""close"",DU$2,TODAY()),2,2))"),"")</f>
        <v/>
      </c>
      <c r="DV31" s="1" t="str">
        <f ca="1">IFERROR(__xludf.DUMMYFUNCTION("if(DV$2="""","""", index(GOOGLEFINANCE($B$31,""close"",DV$2,TODAY()),2,2))"),"")</f>
        <v/>
      </c>
      <c r="DW31" s="1" t="str">
        <f ca="1">IFERROR(__xludf.DUMMYFUNCTION("if(DW$2="""","""", index(GOOGLEFINANCE($B$31,""close"",DW$2,TODAY()),2,2))"),"")</f>
        <v/>
      </c>
      <c r="DX31" s="1" t="str">
        <f ca="1">IFERROR(__xludf.DUMMYFUNCTION("if(DX$2="""","""", index(GOOGLEFINANCE($B$31,""close"",DX$2,TODAY()),2,2))"),"")</f>
        <v/>
      </c>
      <c r="DY31" s="1" t="str">
        <f ca="1">IFERROR(__xludf.DUMMYFUNCTION("if(DY$2="""","""", index(GOOGLEFINANCE($B$31,""close"",DY$2,TODAY()),2,2))"),"")</f>
        <v/>
      </c>
      <c r="DZ31" s="1" t="str">
        <f ca="1">IFERROR(__xludf.DUMMYFUNCTION("if(DZ$2="""","""", index(GOOGLEFINANCE($B$31,""close"",DZ$2,TODAY()),2,2))"),"")</f>
        <v/>
      </c>
      <c r="EA31" s="1" t="str">
        <f ca="1">IFERROR(__xludf.DUMMYFUNCTION("if(EA$2="""","""", index(GOOGLEFINANCE($B$31,""close"",EA$2,TODAY()),2,2))"),"")</f>
        <v/>
      </c>
      <c r="EB31" s="1" t="str">
        <f ca="1">IFERROR(__xludf.DUMMYFUNCTION("if(EB$2="""","""", index(GOOGLEFINANCE($B$31,""close"",EB$2,TODAY()),2,2))"),"")</f>
        <v/>
      </c>
      <c r="EC31" s="1" t="str">
        <f ca="1">IFERROR(__xludf.DUMMYFUNCTION("if(EC$2="""","""", index(GOOGLEFINANCE($B$31,""close"",EC$2,TODAY()),2,2))"),"")</f>
        <v/>
      </c>
      <c r="ED31" s="1" t="str">
        <f ca="1">IFERROR(__xludf.DUMMYFUNCTION("if(ED$2="""","""", index(GOOGLEFINANCE($B$31,""close"",ED$2,TODAY()),2,2))"),"")</f>
        <v/>
      </c>
      <c r="EE31" s="1" t="str">
        <f ca="1">IFERROR(__xludf.DUMMYFUNCTION("if(EE$2="""","""", index(GOOGLEFINANCE($B$31,""close"",EE$2,TODAY()),2,2))"),"")</f>
        <v/>
      </c>
      <c r="EF31" s="1" t="str">
        <f ca="1">IFERROR(__xludf.DUMMYFUNCTION("if(EF$2="""","""", index(GOOGLEFINANCE($B$31,""close"",EF$2,TODAY()),2,2))"),"")</f>
        <v/>
      </c>
      <c r="EG31" s="1" t="str">
        <f ca="1">IFERROR(__xludf.DUMMYFUNCTION("if(EG$2="""","""", index(GOOGLEFINANCE($B$31,""close"",EG$2,TODAY()),2,2))"),"")</f>
        <v/>
      </c>
      <c r="EH31" s="1" t="str">
        <f ca="1">IFERROR(__xludf.DUMMYFUNCTION("if(EH$2="""","""", index(GOOGLEFINANCE($B$31,""close"",EH$2,TODAY()),2,2))"),"")</f>
        <v/>
      </c>
      <c r="EI31" s="1" t="str">
        <f ca="1">IFERROR(__xludf.DUMMYFUNCTION("if(EI$2="""","""", index(GOOGLEFINANCE($B$31,""close"",EI$2,TODAY()),2,2))"),"")</f>
        <v/>
      </c>
      <c r="EJ31" s="1" t="str">
        <f ca="1">IFERROR(__xludf.DUMMYFUNCTION("if(EJ$2="""","""", index(GOOGLEFINANCE($B$31,""close"",EJ$2,TODAY()),2,2))"),"")</f>
        <v/>
      </c>
      <c r="EK31" s="1" t="str">
        <f ca="1">IFERROR(__xludf.DUMMYFUNCTION("if(EK$2="""","""", index(GOOGLEFINANCE($B$31,""close"",EK$2,TODAY()),2,2))"),"")</f>
        <v/>
      </c>
      <c r="EL31" s="1" t="str">
        <f ca="1">IFERROR(__xludf.DUMMYFUNCTION("if(EL$2="""","""", index(GOOGLEFINANCE($B$31,""close"",EL$2,TODAY()),2,2))"),"")</f>
        <v/>
      </c>
      <c r="EM31" s="1" t="str">
        <f ca="1">IFERROR(__xludf.DUMMYFUNCTION("if(EM$2="""","""", index(GOOGLEFINANCE($B$31,""close"",EM$2,TODAY()),2,2))"),"")</f>
        <v/>
      </c>
      <c r="EN31" s="1" t="str">
        <f ca="1">IFERROR(__xludf.DUMMYFUNCTION("if(EN$2="""","""", index(GOOGLEFINANCE($B$31,""close"",EN$2,TODAY()),2,2))"),"")</f>
        <v/>
      </c>
      <c r="EO31" s="1" t="str">
        <f ca="1">IFERROR(__xludf.DUMMYFUNCTION("if(EO$2="""","""", index(GOOGLEFINANCE($B$31,""close"",EO$2,TODAY()),2,2))"),"")</f>
        <v/>
      </c>
      <c r="EP31" s="1" t="str">
        <f ca="1">IFERROR(__xludf.DUMMYFUNCTION("if(EP$2="""","""", index(GOOGLEFINANCE($B$31,""close"",EP$2,TODAY()),2,2))"),"")</f>
        <v/>
      </c>
      <c r="EQ31" s="1" t="str">
        <f ca="1">IFERROR(__xludf.DUMMYFUNCTION("if(EQ$2="""","""", index(GOOGLEFINANCE($B$31,""close"",EQ$2,TODAY()),2,2))"),"")</f>
        <v/>
      </c>
      <c r="ER31" s="1" t="str">
        <f ca="1">IFERROR(__xludf.DUMMYFUNCTION("if(ER$2="""","""", index(GOOGLEFINANCE($B$31,""close"",ER$2,TODAY()),2,2))"),"")</f>
        <v/>
      </c>
      <c r="ES31" s="1" t="str">
        <f ca="1">IFERROR(__xludf.DUMMYFUNCTION("if(ES$2="""","""", index(GOOGLEFINANCE($B$31,""close"",ES$2,TODAY()),2,2))"),"")</f>
        <v/>
      </c>
      <c r="ET31" s="1" t="str">
        <f ca="1">IFERROR(__xludf.DUMMYFUNCTION("if(ET$2="""","""", index(GOOGLEFINANCE($B$31,""close"",ET$2,TODAY()),2,2))"),"")</f>
        <v/>
      </c>
      <c r="EU31" s="1" t="str">
        <f ca="1">IFERROR(__xludf.DUMMYFUNCTION("if(EU$2="""","""", index(GOOGLEFINANCE($B$31,""close"",EU$2,TODAY()),2,2))"),"")</f>
        <v/>
      </c>
      <c r="EV31" s="1" t="str">
        <f ca="1">IFERROR(__xludf.DUMMYFUNCTION("if(EV$2="""","""", index(GOOGLEFINANCE($B$31,""close"",EV$2,TODAY()),2,2))"),"")</f>
        <v/>
      </c>
      <c r="EW31" s="1" t="str">
        <f ca="1">IFERROR(__xludf.DUMMYFUNCTION("if(EW$2="""","""", index(GOOGLEFINANCE($B$31,""close"",EW$2,TODAY()),2,2))"),"")</f>
        <v/>
      </c>
      <c r="EX31" s="1" t="str">
        <f ca="1">IFERROR(__xludf.DUMMYFUNCTION("if(EX$2="""","""", index(GOOGLEFINANCE($B$31,""close"",EX$2,TODAY()),2,2))"),"")</f>
        <v/>
      </c>
      <c r="EY31" s="1" t="str">
        <f ca="1">IFERROR(__xludf.DUMMYFUNCTION("if(EY$2="""","""", index(GOOGLEFINANCE($B$31,""close"",EY$2,TODAY()),2,2))"),"")</f>
        <v/>
      </c>
      <c r="EZ31" s="1" t="str">
        <f ca="1">IFERROR(__xludf.DUMMYFUNCTION("if(EZ$2="""","""", index(GOOGLEFINANCE($B$31,""close"",EZ$2,TODAY()),2,2))"),"")</f>
        <v/>
      </c>
      <c r="FA31" s="1" t="str">
        <f ca="1">IFERROR(__xludf.DUMMYFUNCTION("if(FA$2="""","""", index(GOOGLEFINANCE($B$31,""close"",FA$2,TODAY()),2,2))"),"")</f>
        <v/>
      </c>
      <c r="FB31" s="1" t="str">
        <f ca="1">IFERROR(__xludf.DUMMYFUNCTION("if(FB$2="""","""", index(GOOGLEFINANCE($B$31,""close"",FB$2,TODAY()),2,2))"),"")</f>
        <v/>
      </c>
      <c r="FC31" s="1" t="str">
        <f ca="1">IFERROR(__xludf.DUMMYFUNCTION("if(FC$2="""","""", index(GOOGLEFINANCE($B$31,""close"",FC$2,TODAY()),2,2))"),"")</f>
        <v/>
      </c>
      <c r="FD31" s="1" t="str">
        <f ca="1">IFERROR(__xludf.DUMMYFUNCTION("if(FD$2="""","""", index(GOOGLEFINANCE($B$31,""close"",FD$2,TODAY()),2,2))"),"")</f>
        <v/>
      </c>
      <c r="FE31" s="1" t="str">
        <f ca="1">IFERROR(__xludf.DUMMYFUNCTION("if(FE$2="""","""", index(GOOGLEFINANCE($B$31,""close"",FE$2,TODAY()),2,2))"),"")</f>
        <v/>
      </c>
      <c r="FF31" s="1" t="str">
        <f ca="1">IFERROR(__xludf.DUMMYFUNCTION("if(FF$2="""","""", index(GOOGLEFINANCE($B$31,""close"",FF$2,TODAY()),2,2))"),"")</f>
        <v/>
      </c>
      <c r="FG31" s="1" t="str">
        <f ca="1">IFERROR(__xludf.DUMMYFUNCTION("if(FG$2="""","""", index(GOOGLEFINANCE($B$31,""close"",FG$2,TODAY()),2,2))"),"")</f>
        <v/>
      </c>
      <c r="FH31" s="1" t="str">
        <f ca="1">IFERROR(__xludf.DUMMYFUNCTION("if(FH$2="""","""", index(GOOGLEFINANCE($B$31,""close"",FH$2,TODAY()),2,2))"),"")</f>
        <v/>
      </c>
      <c r="FI31" s="1" t="str">
        <f ca="1">IFERROR(__xludf.DUMMYFUNCTION("if(FI$2="""","""", index(GOOGLEFINANCE($B$31,""close"",FI$2,TODAY()),2,2))"),"")</f>
        <v/>
      </c>
      <c r="FJ31" s="1" t="str">
        <f ca="1">IFERROR(__xludf.DUMMYFUNCTION("if(FJ$2="""","""", index(GOOGLEFINANCE($B$31,""close"",FJ$2,TODAY()),2,2))"),"")</f>
        <v/>
      </c>
      <c r="FK31" s="1" t="str">
        <f ca="1">IFERROR(__xludf.DUMMYFUNCTION("if(FK$2="""","""", index(GOOGLEFINANCE($B$31,""close"",FK$2,TODAY()),2,2))"),"")</f>
        <v/>
      </c>
      <c r="FL31" s="1" t="str">
        <f ca="1">IFERROR(__xludf.DUMMYFUNCTION("if(FL$2="""","""", index(GOOGLEFINANCE($B$31,""close"",FL$2,TODAY()),2,2))"),"")</f>
        <v/>
      </c>
      <c r="FM31" s="1" t="str">
        <f ca="1">IFERROR(__xludf.DUMMYFUNCTION("if(FM$2="""","""", index(GOOGLEFINANCE($B$31,""close"",FM$2,TODAY()),2,2))"),"")</f>
        <v/>
      </c>
      <c r="FN31" s="1" t="str">
        <f ca="1">IFERROR(__xludf.DUMMYFUNCTION("if(FN$2="""","""", index(GOOGLEFINANCE($B$31,""close"",FN$2,TODAY()),2,2))"),"")</f>
        <v/>
      </c>
      <c r="FO31" s="1" t="str">
        <f ca="1">IFERROR(__xludf.DUMMYFUNCTION("if(FO$2="""","""", index(GOOGLEFINANCE($B$31,""close"",FO$2,TODAY()),2,2))"),"")</f>
        <v/>
      </c>
      <c r="FP31" s="1" t="str">
        <f ca="1">IFERROR(__xludf.DUMMYFUNCTION("if(FP$2="""","""", index(GOOGLEFINANCE($B$31,""close"",FP$2,TODAY()),2,2))"),"")</f>
        <v/>
      </c>
      <c r="FQ31" s="1" t="str">
        <f ca="1">IFERROR(__xludf.DUMMYFUNCTION("if(FQ$2="""","""", index(GOOGLEFINANCE($B$31,""close"",FQ$2,TODAY()),2,2))"),"")</f>
        <v/>
      </c>
      <c r="FR31" s="1" t="str">
        <f ca="1">IFERROR(__xludf.DUMMYFUNCTION("if(FR$2="""","""", index(GOOGLEFINANCE($B$31,""close"",FR$2,TODAY()),2,2))"),"")</f>
        <v/>
      </c>
      <c r="FS31" s="1" t="str">
        <f ca="1">IFERROR(__xludf.DUMMYFUNCTION("if(FS$2="""","""", index(GOOGLEFINANCE($B$31,""close"",FS$2,TODAY()),2,2))"),"")</f>
        <v/>
      </c>
      <c r="FT31" s="1" t="str">
        <f ca="1">IFERROR(__xludf.DUMMYFUNCTION("if(FT$2="""","""", index(GOOGLEFINANCE($B$31,""close"",FT$2,TODAY()),2,2))"),"")</f>
        <v/>
      </c>
      <c r="FU31" s="1" t="str">
        <f ca="1">IFERROR(__xludf.DUMMYFUNCTION("if(FU$2="""","""", index(GOOGLEFINANCE($B$31,""close"",FU$2,TODAY()),2,2))"),"")</f>
        <v/>
      </c>
      <c r="FV31" s="1" t="str">
        <f ca="1">IFERROR(__xludf.DUMMYFUNCTION("if(FV$2="""","""", index(GOOGLEFINANCE($B$31,""close"",FV$2,TODAY()),2,2))"),"")</f>
        <v/>
      </c>
      <c r="FW31" s="1" t="str">
        <f ca="1">IFERROR(__xludf.DUMMYFUNCTION("if(FW$2="""","""", index(GOOGLEFINANCE($B$31,""close"",FW$2,TODAY()),2,2))"),"")</f>
        <v/>
      </c>
      <c r="FX31" s="1" t="str">
        <f ca="1">IFERROR(__xludf.DUMMYFUNCTION("if(FX$2="""","""", index(GOOGLEFINANCE($B$31,""close"",FX$2,TODAY()),2,2))"),"")</f>
        <v/>
      </c>
      <c r="FY31" s="1" t="str">
        <f ca="1">IFERROR(__xludf.DUMMYFUNCTION("if(FY$2="""","""", index(GOOGLEFINANCE($B$31,""close"",FY$2,TODAY()),2,2))"),"")</f>
        <v/>
      </c>
      <c r="FZ31" s="1" t="str">
        <f ca="1">IFERROR(__xludf.DUMMYFUNCTION("if(FZ$2="""","""", index(GOOGLEFINANCE($B$31,""close"",FZ$2,TODAY()),2,2))"),"")</f>
        <v/>
      </c>
      <c r="GA31" s="1" t="str">
        <f ca="1">IFERROR(__xludf.DUMMYFUNCTION("if(GA$2="""","""", index(GOOGLEFINANCE($B$31,""close"",GA$2,TODAY()),2,2))"),"")</f>
        <v/>
      </c>
      <c r="GB31" s="1" t="str">
        <f ca="1">IFERROR(__xludf.DUMMYFUNCTION("if(GB$2="""","""", index(GOOGLEFINANCE($B$31,""close"",GB$2,TODAY()),2,2))"),"")</f>
        <v/>
      </c>
      <c r="GC31" s="1" t="str">
        <f ca="1">IFERROR(__xludf.DUMMYFUNCTION("if(GC$2="""","""", index(GOOGLEFINANCE($B$31,""close"",GC$2,TODAY()),2,2))"),"")</f>
        <v/>
      </c>
      <c r="GD31" s="1" t="str">
        <f ca="1">IFERROR(__xludf.DUMMYFUNCTION("if(GD$2="""","""", index(GOOGLEFINANCE($B$31,""close"",GD$2,TODAY()),2,2))"),"")</f>
        <v/>
      </c>
      <c r="GE31" s="1" t="str">
        <f ca="1">IFERROR(__xludf.DUMMYFUNCTION("if(GE$2="""","""", index(GOOGLEFINANCE($B$31,""close"",GE$2,TODAY()),2,2))"),"")</f>
        <v/>
      </c>
      <c r="GF31" s="1" t="str">
        <f ca="1">IFERROR(__xludf.DUMMYFUNCTION("if(GF$2="""","""", index(GOOGLEFINANCE($B$31,""close"",GF$2,TODAY()),2,2))"),"")</f>
        <v/>
      </c>
      <c r="GG31" s="1" t="str">
        <f ca="1">IFERROR(__xludf.DUMMYFUNCTION("if(GG$2="""","""", index(GOOGLEFINANCE($B$31,""close"",GG$2,TODAY()),2,2))"),"")</f>
        <v/>
      </c>
      <c r="GH31" s="1" t="str">
        <f ca="1">IFERROR(__xludf.DUMMYFUNCTION("if(GH$2="""","""", index(GOOGLEFINANCE($B$31,""close"",GH$2,TODAY()),2,2))"),"")</f>
        <v/>
      </c>
      <c r="GI31" s="1" t="str">
        <f ca="1">IFERROR(__xludf.DUMMYFUNCTION("if(GI$2="""","""", index(GOOGLEFINANCE($B$31,""close"",GI$2,TODAY()),2,2))"),"")</f>
        <v/>
      </c>
      <c r="GJ31" s="1" t="str">
        <f ca="1">IFERROR(__xludf.DUMMYFUNCTION("if(GJ$2="""","""", index(GOOGLEFINANCE($B$31,""close"",GJ$2,TODAY()),2,2))"),"")</f>
        <v/>
      </c>
      <c r="GK31" s="1" t="str">
        <f ca="1">IFERROR(__xludf.DUMMYFUNCTION("if(GK$2="""","""", index(GOOGLEFINANCE($B$31,""close"",GK$2,TODAY()),2,2))"),"")</f>
        <v/>
      </c>
      <c r="GL31" s="1" t="str">
        <f ca="1">IFERROR(__xludf.DUMMYFUNCTION("if(GL$2="""","""", index(GOOGLEFINANCE($B$31,""close"",GL$2,TODAY()),2,2))"),"")</f>
        <v/>
      </c>
      <c r="GM31" s="1" t="str">
        <f ca="1">IFERROR(__xludf.DUMMYFUNCTION("if(GM$2="""","""", index(GOOGLEFINANCE($B$31,""close"",GM$2,TODAY()),2,2))"),"")</f>
        <v/>
      </c>
      <c r="GN31" s="1" t="str">
        <f ca="1">IFERROR(__xludf.DUMMYFUNCTION("if(GN$2="""","""", index(GOOGLEFINANCE($B$31,""close"",GN$2,TODAY()),2,2))"),"")</f>
        <v/>
      </c>
      <c r="GO31" s="1" t="str">
        <f ca="1">IFERROR(__xludf.DUMMYFUNCTION("if(GO$2="""","""", index(GOOGLEFINANCE($B$31,""close"",GO$2,TODAY()),2,2))"),"")</f>
        <v/>
      </c>
      <c r="GP31" s="1" t="str">
        <f ca="1">IFERROR(__xludf.DUMMYFUNCTION("if(GP$2="""","""", index(GOOGLEFINANCE($B$31,""close"",GP$2,TODAY()),2,2))"),"")</f>
        <v/>
      </c>
      <c r="GQ31" s="1" t="str">
        <f ca="1">IFERROR(__xludf.DUMMYFUNCTION("if(GQ$2="""","""", index(GOOGLEFINANCE($B$31,""close"",GQ$2,TODAY()),2,2))"),"")</f>
        <v/>
      </c>
      <c r="GR31" s="1" t="str">
        <f ca="1">IFERROR(__xludf.DUMMYFUNCTION("if(GR$2="""","""", index(GOOGLEFINANCE($B$31,""close"",GR$2,TODAY()),2,2))"),"")</f>
        <v/>
      </c>
      <c r="GS31" s="1" t="str">
        <f ca="1">IFERROR(__xludf.DUMMYFUNCTION("if(GS$2="""","""", index(GOOGLEFINANCE($B$31,""close"",GS$2,TODAY()),2,2))"),"")</f>
        <v/>
      </c>
      <c r="GT31" s="1" t="str">
        <f ca="1">IFERROR(__xludf.DUMMYFUNCTION("if(GT$2="""","""", index(GOOGLEFINANCE($B$31,""close"",GT$2,TODAY()),2,2))"),"")</f>
        <v/>
      </c>
      <c r="GU31" s="1" t="str">
        <f ca="1">IFERROR(__xludf.DUMMYFUNCTION("if(GU$2="""","""", index(GOOGLEFINANCE($B$31,""close"",GU$2,TODAY()),2,2))"),"")</f>
        <v/>
      </c>
      <c r="GV31" s="1" t="str">
        <f ca="1">IFERROR(__xludf.DUMMYFUNCTION("if(GV$2="""","""", index(GOOGLEFINANCE($B$31,""close"",GV$2,TODAY()),2,2))"),"")</f>
        <v/>
      </c>
      <c r="GW31" s="1" t="str">
        <f ca="1">IFERROR(__xludf.DUMMYFUNCTION("if(GW$2="""","""", index(GOOGLEFINANCE($B$31,""close"",GW$2,TODAY()),2,2))"),"")</f>
        <v/>
      </c>
      <c r="GX31" s="1" t="str">
        <f ca="1">IFERROR(__xludf.DUMMYFUNCTION("if(GX$2="""","""", index(GOOGLEFINANCE($B$31,""close"",GX$2,TODAY()),2,2))"),"")</f>
        <v/>
      </c>
      <c r="GY31" s="1" t="str">
        <f ca="1">IFERROR(__xludf.DUMMYFUNCTION("if(GY$2="""","""", index(GOOGLEFINANCE($B$31,""close"",GY$2,TODAY()),2,2))"),"")</f>
        <v/>
      </c>
      <c r="GZ31" s="1" t="str">
        <f ca="1">IFERROR(__xludf.DUMMYFUNCTION("if(GZ$2="""","""", index(GOOGLEFINANCE($B$31,""close"",GZ$2,TODAY()),2,2))"),"")</f>
        <v/>
      </c>
      <c r="HA31" s="1" t="str">
        <f ca="1">IFERROR(__xludf.DUMMYFUNCTION("if(HA$2="""","""", index(GOOGLEFINANCE($B$31,""close"",HA$2,TODAY()),2,2))"),"")</f>
        <v/>
      </c>
      <c r="HB31" s="1" t="str">
        <f ca="1">IFERROR(__xludf.DUMMYFUNCTION("if(HB$2="""","""", index(GOOGLEFINANCE($B$31,""close"",HB$2,TODAY()),2,2))"),"")</f>
        <v/>
      </c>
      <c r="HC31" s="1" t="str">
        <f ca="1">IFERROR(__xludf.DUMMYFUNCTION("if(HC$2="""","""", index(GOOGLEFINANCE($B$31,""close"",HC$2,TODAY()),2,2))"),"")</f>
        <v/>
      </c>
      <c r="HD31" s="1" t="str">
        <f ca="1">IFERROR(__xludf.DUMMYFUNCTION("if(HD$2="""","""", index(GOOGLEFINANCE($B$31,""close"",HD$2,TODAY()),2,2))"),"")</f>
        <v/>
      </c>
      <c r="HE31" s="1" t="str">
        <f ca="1">IFERROR(__xludf.DUMMYFUNCTION("if(HE$2="""","""", index(GOOGLEFINANCE($B$31,""close"",HE$2,TODAY()),2,2))"),"")</f>
        <v/>
      </c>
      <c r="HF31" s="1" t="str">
        <f ca="1">IFERROR(__xludf.DUMMYFUNCTION("if(HF$2="""","""", index(GOOGLEFINANCE($B$31,""close"",HF$2,TODAY()),2,2))"),"")</f>
        <v/>
      </c>
      <c r="HG31" s="1" t="str">
        <f ca="1">IFERROR(__xludf.DUMMYFUNCTION("if(HG$2="""","""", index(GOOGLEFINANCE($B$31,""close"",HG$2,TODAY()),2,2))"),"")</f>
        <v/>
      </c>
      <c r="HH31" s="1" t="str">
        <f ca="1">IFERROR(__xludf.DUMMYFUNCTION("if(HH$2="""","""", index(GOOGLEFINANCE($B$31,""close"",HH$2,TODAY()),2,2))"),"")</f>
        <v/>
      </c>
      <c r="HI31" s="1" t="str">
        <f ca="1">IFERROR(__xludf.DUMMYFUNCTION("if(HI$2="""","""", index(GOOGLEFINANCE($B$31,""close"",HI$2,TODAY()),2,2))"),"")</f>
        <v/>
      </c>
      <c r="HJ31" s="1" t="str">
        <f ca="1">IFERROR(__xludf.DUMMYFUNCTION("if(HJ$2="""","""", index(GOOGLEFINANCE($B$31,""close"",HJ$2,TODAY()),2,2))"),"")</f>
        <v/>
      </c>
      <c r="HK31" s="1" t="str">
        <f ca="1">IFERROR(__xludf.DUMMYFUNCTION("if(HK$2="""","""", index(GOOGLEFINANCE($B$31,""close"",HK$2,TODAY()),2,2))"),"")</f>
        <v/>
      </c>
      <c r="HL31" s="1" t="str">
        <f ca="1">IFERROR(__xludf.DUMMYFUNCTION("if(HL$2="""","""", index(GOOGLEFINANCE($B$31,""close"",HL$2,TODAY()),2,2))"),"")</f>
        <v/>
      </c>
      <c r="HM31" s="1" t="str">
        <f ca="1">IFERROR(__xludf.DUMMYFUNCTION("if(HM$2="""","""", index(GOOGLEFINANCE($B$31,""close"",HM$2,TODAY()),2,2))"),"")</f>
        <v/>
      </c>
      <c r="HN31" s="1" t="str">
        <f ca="1">IFERROR(__xludf.DUMMYFUNCTION("if(HN$2="""","""", index(GOOGLEFINANCE($B$31,""close"",HN$2,TODAY()),2,2))"),"")</f>
        <v/>
      </c>
      <c r="HO31" s="1" t="str">
        <f ca="1">IFERROR(__xludf.DUMMYFUNCTION("if(HO$2="""","""", index(GOOGLEFINANCE($B$31,""close"",HO$2,TODAY()),2,2))"),"")</f>
        <v/>
      </c>
      <c r="HP31" s="1" t="str">
        <f ca="1">IFERROR(__xludf.DUMMYFUNCTION("if(HP$2="""","""", index(GOOGLEFINANCE($B$31,""close"",HP$2,TODAY()),2,2))"),"")</f>
        <v/>
      </c>
      <c r="HQ31" s="1" t="str">
        <f ca="1">IFERROR(__xludf.DUMMYFUNCTION("if(HQ$2="""","""", index(GOOGLEFINANCE($B$31,""close"",HQ$2,TODAY()),2,2))"),"")</f>
        <v/>
      </c>
      <c r="HR31" s="1" t="str">
        <f ca="1">IFERROR(__xludf.DUMMYFUNCTION("if(HR$2="""","""", index(GOOGLEFINANCE($B$31,""close"",HR$2,TODAY()),2,2))"),"")</f>
        <v/>
      </c>
      <c r="HS31" s="1" t="str">
        <f ca="1">IFERROR(__xludf.DUMMYFUNCTION("if(HS$2="""","""", index(GOOGLEFINANCE($B$31,""close"",HS$2,TODAY()),2,2))"),"")</f>
        <v/>
      </c>
      <c r="HT31" s="1" t="str">
        <f ca="1">IFERROR(__xludf.DUMMYFUNCTION("if(HT$2="""","""", index(GOOGLEFINANCE($B$31,""close"",HT$2,TODAY()),2,2))"),"")</f>
        <v/>
      </c>
      <c r="HU31" s="1" t="str">
        <f ca="1">IFERROR(__xludf.DUMMYFUNCTION("if(HU$2="""","""", index(GOOGLEFINANCE($B$31,""close"",HU$2,TODAY()),2,2))"),"")</f>
        <v/>
      </c>
      <c r="HV31" s="1" t="str">
        <f ca="1">IFERROR(__xludf.DUMMYFUNCTION("if(HV$2="""","""", index(GOOGLEFINANCE($B$31,""close"",HV$2,TODAY()),2,2))"),"")</f>
        <v/>
      </c>
      <c r="HW31" s="1" t="str">
        <f ca="1">IFERROR(__xludf.DUMMYFUNCTION("if(HW$2="""","""", index(GOOGLEFINANCE($B$31,""close"",HW$2,TODAY()),2,2))"),"")</f>
        <v/>
      </c>
      <c r="HX31" s="1" t="str">
        <f ca="1">IFERROR(__xludf.DUMMYFUNCTION("if(HX$2="""","""", index(GOOGLEFINANCE($B$31,""close"",HX$2,TODAY()),2,2))"),"")</f>
        <v/>
      </c>
      <c r="HY31" s="1" t="str">
        <f ca="1">IFERROR(__xludf.DUMMYFUNCTION("if(HY$2="""","""", index(GOOGLEFINANCE($B$31,""close"",HY$2,TODAY()),2,2))"),"")</f>
        <v/>
      </c>
      <c r="HZ31" s="1" t="str">
        <f ca="1">IFERROR(__xludf.DUMMYFUNCTION("if(HZ$2="""","""", index(GOOGLEFINANCE($B$31,""close"",HZ$2,TODAY()),2,2))"),"")</f>
        <v/>
      </c>
      <c r="IA31" s="1" t="str">
        <f ca="1">IFERROR(__xludf.DUMMYFUNCTION("if(IA$2="""","""", index(GOOGLEFINANCE($B$31,""close"",IA$2,TODAY()),2,2))"),"")</f>
        <v/>
      </c>
      <c r="IB31" s="1" t="str">
        <f ca="1">IFERROR(__xludf.DUMMYFUNCTION("if(IB$2="""","""", index(GOOGLEFINANCE($B$31,""close"",IB$2,TODAY()),2,2))"),"")</f>
        <v/>
      </c>
      <c r="IC31" s="1" t="str">
        <f ca="1">IFERROR(__xludf.DUMMYFUNCTION("if(IC$2="""","""", index(GOOGLEFINANCE($B$31,""close"",IC$2,TODAY()),2,2))"),"")</f>
        <v/>
      </c>
      <c r="ID31" s="1" t="str">
        <f ca="1">IFERROR(__xludf.DUMMYFUNCTION("if(ID$2="""","""", index(GOOGLEFINANCE($B$31,""close"",ID$2,TODAY()),2,2))"),"")</f>
        <v/>
      </c>
      <c r="IE31" s="1" t="str">
        <f ca="1">IFERROR(__xludf.DUMMYFUNCTION("if(IE$2="""","""", index(GOOGLEFINANCE($B$31,""close"",IE$2,TODAY()),2,2))"),"")</f>
        <v/>
      </c>
      <c r="IF31" s="1" t="str">
        <f ca="1">IFERROR(__xludf.DUMMYFUNCTION("if(IF$2="""","""", index(GOOGLEFINANCE($B$31,""close"",IF$2,TODAY()),2,2))"),"")</f>
        <v/>
      </c>
      <c r="IG31" s="1" t="str">
        <f ca="1">IFERROR(__xludf.DUMMYFUNCTION("if(IG$2="""","""", index(GOOGLEFINANCE($B$31,""close"",IG$2,TODAY()),2,2))"),"")</f>
        <v/>
      </c>
      <c r="IH31" s="1" t="str">
        <f ca="1">IFERROR(__xludf.DUMMYFUNCTION("if(IH$2="""","""", index(GOOGLEFINANCE($B$31,""close"",IH$2,TODAY()),2,2))"),"")</f>
        <v/>
      </c>
      <c r="II31" s="1" t="str">
        <f ca="1">IFERROR(__xludf.DUMMYFUNCTION("if(II$2="""","""", index(GOOGLEFINANCE($B$31,""close"",II$2,TODAY()),2,2))"),"")</f>
        <v/>
      </c>
      <c r="IJ31" s="1" t="str">
        <f ca="1">IFERROR(__xludf.DUMMYFUNCTION("if(IJ$2="""","""", index(GOOGLEFINANCE($B$31,""close"",IJ$2,TODAY()),2,2))"),"")</f>
        <v/>
      </c>
      <c r="IK31" s="1" t="str">
        <f ca="1">IFERROR(__xludf.DUMMYFUNCTION("if(IK$2="""","""", index(GOOGLEFINANCE($B$31,""close"",IK$2,TODAY()),2,2))"),"")</f>
        <v/>
      </c>
      <c r="IL31" s="1" t="str">
        <f ca="1">IFERROR(__xludf.DUMMYFUNCTION("if(IL$2="""","""", index(GOOGLEFINANCE($B$31,""close"",IL$2,TODAY()),2,2))"),"")</f>
        <v/>
      </c>
      <c r="IM31" s="1" t="str">
        <f ca="1">IFERROR(__xludf.DUMMYFUNCTION("if(IM$2="""","""", index(GOOGLEFINANCE($B$31,""close"",IM$2,TODAY()),2,2))"),"")</f>
        <v/>
      </c>
      <c r="IN31" s="1" t="str">
        <f ca="1">IFERROR(__xludf.DUMMYFUNCTION("if(IN$2="""","""", index(GOOGLEFINANCE($B$31,""close"",IN$2,TODAY()),2,2))"),"")</f>
        <v/>
      </c>
      <c r="IO31" s="1" t="str">
        <f ca="1">IFERROR(__xludf.DUMMYFUNCTION("if(IO$2="""","""", index(GOOGLEFINANCE($B$31,""close"",IO$2,TODAY()),2,2))"),"")</f>
        <v/>
      </c>
      <c r="IP31" s="1" t="str">
        <f ca="1">IFERROR(__xludf.DUMMYFUNCTION("if(IP$2="""","""", index(GOOGLEFINANCE($B$31,""close"",IP$2,TODAY()),2,2))"),"")</f>
        <v/>
      </c>
      <c r="IQ31" s="1" t="str">
        <f ca="1">IFERROR(__xludf.DUMMYFUNCTION("if(IQ$2="""","""", index(GOOGLEFINANCE($B$31,""close"",IQ$2,TODAY()),2,2))"),"")</f>
        <v/>
      </c>
      <c r="IR31" s="1" t="str">
        <f ca="1">IFERROR(__xludf.DUMMYFUNCTION("if(IR$2="""","""", index(GOOGLEFINANCE($B$31,""close"",IR$2,TODAY()),2,2))"),"")</f>
        <v/>
      </c>
      <c r="IS31" s="1" t="str">
        <f ca="1">IFERROR(__xludf.DUMMYFUNCTION("if(IS$2="""","""", index(GOOGLEFINANCE($B$31,""close"",IS$2,TODAY()),2,2))"),"")</f>
        <v/>
      </c>
      <c r="IT31" s="1" t="str">
        <f ca="1">IFERROR(__xludf.DUMMYFUNCTION("if(IT$2="""","""", index(GOOGLEFINANCE($B$31,""close"",IT$2,TODAY()),2,2))"),"")</f>
        <v/>
      </c>
      <c r="IU31" s="1" t="str">
        <f ca="1">IFERROR(__xludf.DUMMYFUNCTION("if(IU$2="""","""", index(GOOGLEFINANCE($B$31,""close"",IU$2,TODAY()),2,2))"),"")</f>
        <v/>
      </c>
      <c r="IV31" s="1" t="str">
        <f ca="1">IFERROR(__xludf.DUMMYFUNCTION("if(IV$2="""","""", index(GOOGLEFINANCE($B$31,""close"",IV$2,TODAY()),2,2))"),"")</f>
        <v/>
      </c>
      <c r="IW31" s="1" t="str">
        <f ca="1">IFERROR(__xludf.DUMMYFUNCTION("if(IW$2="""","""", index(GOOGLEFINANCE($B$31,""close"",IW$2,TODAY()),2,2))"),"")</f>
        <v/>
      </c>
      <c r="IX31" s="1" t="str">
        <f ca="1">IFERROR(__xludf.DUMMYFUNCTION("if(IX$2="""","""", index(GOOGLEFINANCE($B$31,""close"",IX$2,TODAY()),2,2))"),"")</f>
        <v/>
      </c>
      <c r="IY31" s="1" t="str">
        <f ca="1">IFERROR(__xludf.DUMMYFUNCTION("if(IY$2="""","""", index(GOOGLEFINANCE($B$31,""close"",IY$2,TODAY()),2,2))"),"")</f>
        <v/>
      </c>
      <c r="IZ31" s="1" t="str">
        <f ca="1">IFERROR(__xludf.DUMMYFUNCTION("if(IZ$2="""","""", index(GOOGLEFINANCE($B$31,""close"",IZ$2,TODAY()),2,2))"),"")</f>
        <v/>
      </c>
      <c r="JA31" s="1" t="str">
        <f ca="1">IFERROR(__xludf.DUMMYFUNCTION("if(JA$2="""","""", index(GOOGLEFINANCE($B$31,""close"",JA$2,TODAY()),2,2))"),"")</f>
        <v/>
      </c>
      <c r="JB31" s="1" t="str">
        <f ca="1">IFERROR(__xludf.DUMMYFUNCTION("if(JB$2="""","""", index(GOOGLEFINANCE($B$31,""close"",JB$2,TODAY()),2,2))"),"")</f>
        <v/>
      </c>
      <c r="JC31" s="1" t="str">
        <f ca="1">IFERROR(__xludf.DUMMYFUNCTION("if(JC$2="""","""", index(GOOGLEFINANCE($B$31,""close"",JC$2,TODAY()),2,2))"),"")</f>
        <v/>
      </c>
      <c r="JD31" s="1" t="str">
        <f ca="1">IFERROR(__xludf.DUMMYFUNCTION("if(JD$2="""","""", index(GOOGLEFINANCE($B$31,""close"",JD$2,TODAY()),2,2))"),"")</f>
        <v/>
      </c>
      <c r="JE31" s="1" t="str">
        <f ca="1">IFERROR(__xludf.DUMMYFUNCTION("if(JE$2="""","""", index(GOOGLEFINANCE($B$31,""close"",JE$2,TODAY()),2,2))"),"")</f>
        <v/>
      </c>
      <c r="JF31" s="1" t="str">
        <f ca="1">IFERROR(__xludf.DUMMYFUNCTION("if(JF$2="""","""", index(GOOGLEFINANCE($B$31,""close"",JF$2,TODAY()),2,2))"),"")</f>
        <v/>
      </c>
      <c r="JG31" s="1" t="str">
        <f ca="1">IFERROR(__xludf.DUMMYFUNCTION("if(JG$2="""","""", index(GOOGLEFINANCE($B$31,""close"",JG$2,TODAY()),2,2))"),"")</f>
        <v/>
      </c>
      <c r="JH31" s="1" t="str">
        <f ca="1">IFERROR(__xludf.DUMMYFUNCTION("if(JH$2="""","""", index(GOOGLEFINANCE($B$31,""close"",JH$2,TODAY()),2,2))"),"")</f>
        <v/>
      </c>
      <c r="JI31" s="1" t="str">
        <f ca="1">IFERROR(__xludf.DUMMYFUNCTION("if(JI$2="""","""", index(GOOGLEFINANCE($B$31,""close"",JI$2,TODAY()),2,2))"),"")</f>
        <v/>
      </c>
      <c r="JJ31" s="1" t="str">
        <f ca="1">IFERROR(__xludf.DUMMYFUNCTION("if(JJ$2="""","""", index(GOOGLEFINANCE($B$31,""close"",JJ$2,TODAY()),2,2))"),"")</f>
        <v/>
      </c>
      <c r="JK31" s="1" t="str">
        <f ca="1">IFERROR(__xludf.DUMMYFUNCTION("if(JK$2="""","""", index(GOOGLEFINANCE($B$31,""close"",JK$2,TODAY()),2,2))"),"")</f>
        <v/>
      </c>
      <c r="JL31" s="1" t="str">
        <f ca="1">IFERROR(__xludf.DUMMYFUNCTION("if(JL$2="""","""", index(GOOGLEFINANCE($B$31,""close"",JL$2,TODAY()),2,2))"),"")</f>
        <v/>
      </c>
      <c r="JM31" s="1" t="str">
        <f ca="1">IFERROR(__xludf.DUMMYFUNCTION("if(JM$2="""","""", index(GOOGLEFINANCE($B$31,""close"",JM$2,TODAY()),2,2))"),"")</f>
        <v/>
      </c>
      <c r="JN31" s="1" t="str">
        <f ca="1">IFERROR(__xludf.DUMMYFUNCTION("if(JN$2="""","""", index(GOOGLEFINANCE($B$31,""close"",JN$2,TODAY()),2,2))"),"")</f>
        <v/>
      </c>
      <c r="JO31" s="1" t="str">
        <f ca="1">IFERROR(__xludf.DUMMYFUNCTION("if(JO$2="""","""", index(GOOGLEFINANCE($B$31,""close"",JO$2,TODAY()),2,2))"),"")</f>
        <v/>
      </c>
      <c r="JP31" s="1" t="str">
        <f ca="1">IFERROR(__xludf.DUMMYFUNCTION("if(JP$2="""","""", index(GOOGLEFINANCE($B$31,""close"",JP$2,TODAY()),2,2))"),"")</f>
        <v/>
      </c>
      <c r="JQ31" s="1" t="str">
        <f ca="1">IFERROR(__xludf.DUMMYFUNCTION("if(JQ$2="""","""", index(GOOGLEFINANCE($B$31,""close"",JQ$2,TODAY()),2,2))"),"")</f>
        <v/>
      </c>
      <c r="JR31" s="1" t="str">
        <f ca="1">IFERROR(__xludf.DUMMYFUNCTION("if(JR$2="""","""", index(GOOGLEFINANCE($B$31,""close"",JR$2,TODAY()),2,2))"),"")</f>
        <v/>
      </c>
      <c r="JS31" s="1" t="str">
        <f ca="1">IFERROR(__xludf.DUMMYFUNCTION("if(JS$2="""","""", index(GOOGLEFINANCE($B$31,""close"",JS$2,TODAY()),2,2))"),"")</f>
        <v/>
      </c>
      <c r="JT31" s="1" t="str">
        <f ca="1">IFERROR(__xludf.DUMMYFUNCTION("if(JT$2="""","""", index(GOOGLEFINANCE($B$31,""close"",JT$2,TODAY()),2,2))"),"")</f>
        <v/>
      </c>
      <c r="JU31" s="1" t="str">
        <f ca="1">IFERROR(__xludf.DUMMYFUNCTION("if(JU$2="""","""", index(GOOGLEFINANCE($B$31,""close"",JU$2,TODAY()),2,2))"),"")</f>
        <v/>
      </c>
      <c r="JV31" s="1" t="str">
        <f ca="1">IFERROR(__xludf.DUMMYFUNCTION("if(JV$2="""","""", index(GOOGLEFINANCE($B$31,""close"",JV$2,TODAY()),2,2))"),"")</f>
        <v/>
      </c>
      <c r="JW31" s="1" t="str">
        <f ca="1">IFERROR(__xludf.DUMMYFUNCTION("if(JW$2="""","""", index(GOOGLEFINANCE($B$31,""close"",JW$2,TODAY()),2,2))"),"")</f>
        <v/>
      </c>
      <c r="JX31" s="1" t="str">
        <f ca="1">IFERROR(__xludf.DUMMYFUNCTION("if(JX$2="""","""", index(GOOGLEFINANCE($B$31,""close"",JX$2,TODAY()),2,2))"),"")</f>
        <v/>
      </c>
      <c r="JY31" s="1" t="str">
        <f ca="1">IFERROR(__xludf.DUMMYFUNCTION("if(JY$2="""","""", index(GOOGLEFINANCE($B$31,""close"",JY$2,TODAY()),2,2))"),"")</f>
        <v/>
      </c>
      <c r="JZ31" s="1" t="str">
        <f ca="1">IFERROR(__xludf.DUMMYFUNCTION("if(JZ$2="""","""", index(GOOGLEFINANCE($B$31,""close"",JZ$2,TODAY()),2,2))"),"")</f>
        <v/>
      </c>
      <c r="KA31" s="1" t="str">
        <f ca="1">IFERROR(__xludf.DUMMYFUNCTION("if(KA$2="""","""", index(GOOGLEFINANCE($B$31,""close"",KA$2,TODAY()),2,2))"),"")</f>
        <v/>
      </c>
      <c r="KB31" s="1" t="str">
        <f ca="1">IFERROR(__xludf.DUMMYFUNCTION("if(KB$2="""","""", index(GOOGLEFINANCE($B$31,""close"",KB$2,TODAY()),2,2))"),"")</f>
        <v/>
      </c>
      <c r="KC31" s="1" t="str">
        <f ca="1">IFERROR(__xludf.DUMMYFUNCTION("if(KC$2="""","""", index(GOOGLEFINANCE($B$31,""close"",KC$2,TODAY()),2,2))"),"")</f>
        <v/>
      </c>
      <c r="KD31" s="1" t="str">
        <f ca="1">IFERROR(__xludf.DUMMYFUNCTION("if(KD$2="""","""", index(GOOGLEFINANCE($B$31,""close"",KD$2,TODAY()),2,2))"),"")</f>
        <v/>
      </c>
      <c r="KE31" s="1" t="str">
        <f ca="1">IFERROR(__xludf.DUMMYFUNCTION("if(KE$2="""","""", index(GOOGLEFINANCE($B$31,""close"",KE$2,TODAY()),2,2))"),"")</f>
        <v/>
      </c>
      <c r="KF31" s="1" t="str">
        <f ca="1">IFERROR(__xludf.DUMMYFUNCTION("if(KF$2="""","""", index(GOOGLEFINANCE($B$31,""close"",KF$2,TODAY()),2,2))"),"")</f>
        <v/>
      </c>
      <c r="KG31" s="1" t="str">
        <f ca="1">IFERROR(__xludf.DUMMYFUNCTION("if(KG$2="""","""", index(GOOGLEFINANCE($B$31,""close"",KG$2,TODAY()),2,2))"),"")</f>
        <v/>
      </c>
    </row>
    <row r="32" spans="1:293" ht="15.75" customHeight="1">
      <c r="A32" s="18" t="s">
        <v>30</v>
      </c>
      <c r="B32" s="6" t="s">
        <v>75</v>
      </c>
      <c r="C32" s="1">
        <f ca="1">IFERROR(__xludf.DUMMYFUNCTION("if(C$2="""","""", index(GOOGLEFINANCE($B$32,""close"",C$2,TODAY()),2,2))"),12.17)</f>
        <v>12.17</v>
      </c>
      <c r="D32" s="1">
        <f ca="1">IFERROR(__xludf.DUMMYFUNCTION("if(D$2="""","""", index(GOOGLEFINANCE($B$32,""close"",D$2,TODAY()),2,2))"),12.59)</f>
        <v>12.59</v>
      </c>
      <c r="E32" s="1">
        <f ca="1">IFERROR(__xludf.DUMMYFUNCTION("if(E$2="""","""", index(GOOGLEFINANCE($B$32,""close"",E$2,TODAY()),2,2))"),12.66)</f>
        <v>12.66</v>
      </c>
      <c r="F32" s="1">
        <f ca="1">IFERROR(__xludf.DUMMYFUNCTION("if(F$2="""","""", index(GOOGLEFINANCE($B$32,""close"",F$2,TODAY()),2,2))"),12.81)</f>
        <v>12.81</v>
      </c>
      <c r="G32" s="1">
        <f ca="1">IFERROR(__xludf.DUMMYFUNCTION("if(G$2="""","""", index(GOOGLEFINANCE($B$32,""close"",G$2,TODAY()),2,2))"),13.02)</f>
        <v>13.02</v>
      </c>
      <c r="H32" s="1">
        <f ca="1">IFERROR(__xludf.DUMMYFUNCTION("if(H$2="""","""", index(GOOGLEFINANCE($B$32,""close"",H$2,TODAY()),2,2))"),12.96)</f>
        <v>12.96</v>
      </c>
      <c r="I32" s="1">
        <f ca="1">IFERROR(__xludf.DUMMYFUNCTION("if(I$2="""","""", index(GOOGLEFINANCE($B$32,""close"",I$2,TODAY()),2,2))"),13.04)</f>
        <v>13.04</v>
      </c>
      <c r="J32" s="1">
        <f ca="1">IFERROR(__xludf.DUMMYFUNCTION("if(J$2="""","""", index(GOOGLEFINANCE($B$32,""close"",J$2,TODAY()),2,2))"),13.23)</f>
        <v>13.23</v>
      </c>
      <c r="K32" s="1">
        <f ca="1">IFERROR(__xludf.DUMMYFUNCTION("if(K$2="""","""", index(GOOGLEFINANCE($B$32,""close"",K$2,TODAY()),2,2))"),13.91)</f>
        <v>13.91</v>
      </c>
      <c r="L32" s="1">
        <f ca="1">IFERROR(__xludf.DUMMYFUNCTION("if(L$2="""","""", index(GOOGLEFINANCE($B$32,""close"",L$2,TODAY()),2,2))"),14.28)</f>
        <v>14.28</v>
      </c>
      <c r="M32" s="1">
        <f ca="1">IFERROR(__xludf.DUMMYFUNCTION("if(M$2="""","""", index(GOOGLEFINANCE($B$32,""close"",M$2,TODAY()),2,2))"),14.11)</f>
        <v>14.11</v>
      </c>
      <c r="N32" s="1">
        <f ca="1">IFERROR(__xludf.DUMMYFUNCTION("if(N$2="""","""", index(GOOGLEFINANCE($B$32,""close"",N$2,TODAY()),2,2))"),14.47)</f>
        <v>14.47</v>
      </c>
      <c r="O32" s="1">
        <f ca="1">IFERROR(__xludf.DUMMYFUNCTION("if(O$2="""","""", index(GOOGLEFINANCE($B$32,""close"",O$2,TODAY()),2,2))"),13.72)</f>
        <v>13.72</v>
      </c>
      <c r="P32" s="1">
        <f ca="1">IFERROR(__xludf.DUMMYFUNCTION("if(P$2="""","""", index(GOOGLEFINANCE($B$32,""close"",P$2,TODAY()),2,2))"),13.26)</f>
        <v>13.26</v>
      </c>
      <c r="Q32" s="1">
        <f ca="1">IFERROR(__xludf.DUMMYFUNCTION("if(Q$2="""","""", index(GOOGLEFINANCE($B$32,""close"",Q$2,TODAY()),2,2))"),13.21)</f>
        <v>13.21</v>
      </c>
      <c r="R32" s="1">
        <f ca="1">IFERROR(__xludf.DUMMYFUNCTION("if(R$2="""","""", index(GOOGLEFINANCE($B$32,""close"",R$2,TODAY()),2,2))"),13.01)</f>
        <v>13.01</v>
      </c>
      <c r="S32" s="1">
        <f ca="1">IFERROR(__xludf.DUMMYFUNCTION("if(S$2="""","""", index(GOOGLEFINANCE($B$32,""close"",S$2,TODAY()),2,2))"),12.88)</f>
        <v>12.88</v>
      </c>
      <c r="T32" s="1">
        <f ca="1">IFERROR(__xludf.DUMMYFUNCTION("if(T$2="""","""", index(GOOGLEFINANCE($B$32,""close"",T$2,TODAY()),2,2))"),13.15)</f>
        <v>13.15</v>
      </c>
      <c r="U32" s="1">
        <f ca="1">IFERROR(__xludf.DUMMYFUNCTION("if(U$2="""","""", index(GOOGLEFINANCE($B$32,""close"",U$2,TODAY()),2,2))"),13.06)</f>
        <v>13.06</v>
      </c>
      <c r="V32" s="1">
        <f ca="1">IFERROR(__xludf.DUMMYFUNCTION("if(V$2="""","""", index(GOOGLEFINANCE($B$32,""close"",V$2,TODAY()),2,2))"),13.31)</f>
        <v>13.31</v>
      </c>
      <c r="W32" s="1">
        <f ca="1">IFERROR(__xludf.DUMMYFUNCTION("if(W$2="""","""", index(GOOGLEFINANCE($B$32,""close"",W$2,TODAY()),2,2))"),13.61)</f>
        <v>13.61</v>
      </c>
      <c r="X32" s="1">
        <f ca="1">IFERROR(__xludf.DUMMYFUNCTION("if(X$2="""","""", index(GOOGLEFINANCE($B$32,""close"",X$2,TODAY()),2,2))"),14.02)</f>
        <v>14.02</v>
      </c>
      <c r="Y32" s="1">
        <f ca="1">IFERROR(__xludf.DUMMYFUNCTION("if(Y$2="""","""", index(GOOGLEFINANCE($B$32,""close"",Y$2,TODAY()),2,2))"),13.88)</f>
        <v>13.88</v>
      </c>
      <c r="Z32" s="1">
        <f ca="1">IFERROR(__xludf.DUMMYFUNCTION("if(Z$2="""","""", index(GOOGLEFINANCE($B$32,""close"",Z$2,TODAY()),2,2))"),13.81)</f>
        <v>13.81</v>
      </c>
      <c r="AA32" s="1">
        <f ca="1">IFERROR(__xludf.DUMMYFUNCTION("if(AA$2="""","""", index(GOOGLEFINANCE($B$32,""close"",AA$2,TODAY()),2,2))"),13.56)</f>
        <v>13.56</v>
      </c>
      <c r="AB32" s="1">
        <f ca="1">IFERROR(__xludf.DUMMYFUNCTION("if(AB$2="""","""", index(GOOGLEFINANCE($B$32,""close"",AB$2,TODAY()),2,2))"),13.88)</f>
        <v>13.88</v>
      </c>
      <c r="AC32" s="1">
        <f ca="1">IFERROR(__xludf.DUMMYFUNCTION("if(AC$2="""","""", index(GOOGLEFINANCE($B$32,""close"",AC$2,TODAY()),2,2))"),13.9)</f>
        <v>13.9</v>
      </c>
      <c r="AD32" s="1">
        <f ca="1">IFERROR(__xludf.DUMMYFUNCTION("if(AD$2="""","""", index(GOOGLEFINANCE($B$32,""close"",AD$2,TODAY()),2,2))"),13.7)</f>
        <v>13.7</v>
      </c>
      <c r="AE32" s="1">
        <f ca="1">IFERROR(__xludf.DUMMYFUNCTION("if(AE$2="""","""", index(GOOGLEFINANCE($B$32,""close"",AE$2,TODAY()),2,2))"),13.66)</f>
        <v>13.66</v>
      </c>
      <c r="AF32" s="1">
        <f ca="1">IFERROR(__xludf.DUMMYFUNCTION("if(AF$2="""","""", index(GOOGLEFINANCE($B$32,""close"",AF$2,TODAY()),2,2))"),13.49)</f>
        <v>13.49</v>
      </c>
      <c r="AG32" s="1">
        <f ca="1">IFERROR(__xludf.DUMMYFUNCTION("if(AG$2="""","""", index(GOOGLEFINANCE($B$32,""close"",AG$2,TODAY()),2,2))"),13.95)</f>
        <v>13.95</v>
      </c>
      <c r="AH32" s="1">
        <f ca="1">IFERROR(__xludf.DUMMYFUNCTION("if(AH$2="""","""", index(GOOGLEFINANCE($B$32,""close"",AH$2,TODAY()),2,2))"),13.94)</f>
        <v>13.94</v>
      </c>
      <c r="AI32" s="1">
        <f ca="1">IFERROR(__xludf.DUMMYFUNCTION("if(AI$2="""","""", index(GOOGLEFINANCE($B$32,""close"",AI$2,TODAY()),2,2))"),13.95)</f>
        <v>13.95</v>
      </c>
      <c r="AJ32" s="1">
        <f ca="1">IFERROR(__xludf.DUMMYFUNCTION("if(AJ$2="""","""", index(GOOGLEFINANCE($B$32,""close"",AJ$2,TODAY()),2,2))"),13.35)</f>
        <v>13.35</v>
      </c>
      <c r="AK32" s="1">
        <f ca="1">IFERROR(__xludf.DUMMYFUNCTION("if(AK$2="""","""", index(GOOGLEFINANCE($B$32,""close"",AK$2,TODAY()),2,2))"),12.92)</f>
        <v>12.92</v>
      </c>
      <c r="AL32" s="1">
        <f ca="1">IFERROR(__xludf.DUMMYFUNCTION("if(AL$2="""","""", index(GOOGLEFINANCE($B$32,""close"",AL$2,TODAY()),2,2))"),12.66)</f>
        <v>12.66</v>
      </c>
      <c r="AM32" s="1">
        <f ca="1">IFERROR(__xludf.DUMMYFUNCTION("if(AM$2="""","""", index(GOOGLEFINANCE($B$32,""close"",AM$2,TODAY()),2,2))"),12.42)</f>
        <v>12.42</v>
      </c>
      <c r="AN32" s="1">
        <f ca="1">IFERROR(__xludf.DUMMYFUNCTION("if(AN$2="""","""", index(GOOGLEFINANCE($B$32,""close"",AN$2,TODAY()),2,2))"),13.13)</f>
        <v>13.13</v>
      </c>
      <c r="AO32" s="1">
        <f ca="1">IFERROR(__xludf.DUMMYFUNCTION("if(AO$2="""","""", index(GOOGLEFINANCE($B$32,""close"",AO$2,TODAY()),2,2))"),12.78)</f>
        <v>12.78</v>
      </c>
      <c r="AP32" s="1">
        <f ca="1">IFERROR(__xludf.DUMMYFUNCTION("if(AP$2="""","""", index(GOOGLEFINANCE($B$32,""close"",AP$2,TODAY()),2,2))"),11.81)</f>
        <v>11.81</v>
      </c>
      <c r="AQ32" s="1">
        <f ca="1">IFERROR(__xludf.DUMMYFUNCTION("if(AQ$2="""","""", index(GOOGLEFINANCE($B$32,""close"",AQ$2,TODAY()),2,2))"),12.45)</f>
        <v>12.45</v>
      </c>
      <c r="AR32" s="1">
        <f ca="1">IFERROR(__xludf.DUMMYFUNCTION("if(AR$2="""","""", index(GOOGLEFINANCE($B$32,""close"",AR$2,TODAY()),2,2))"),12.43)</f>
        <v>12.43</v>
      </c>
      <c r="AS32" s="1">
        <f ca="1">IFERROR(__xludf.DUMMYFUNCTION("if(AS$2="""","""", index(GOOGLEFINANCE($B$32,""close"",AS$2,TODAY()),2,2))"),12.28)</f>
        <v>12.28</v>
      </c>
      <c r="AT32" s="1">
        <f ca="1">IFERROR(__xludf.DUMMYFUNCTION("if(AT$2="""","""", index(GOOGLEFINANCE($B$32,""close"",AT$2,TODAY()),2,2))"),11.6)</f>
        <v>11.6</v>
      </c>
      <c r="AU32" s="1">
        <f ca="1">IFERROR(__xludf.DUMMYFUNCTION("if(AU$2="""","""", index(GOOGLEFINANCE($B$32,""close"",AU$2,TODAY()),2,2))"),11.75)</f>
        <v>11.75</v>
      </c>
      <c r="AV32" s="1">
        <f ca="1">IFERROR(__xludf.DUMMYFUNCTION("if(AV$2="""","""", index(GOOGLEFINANCE($B$32,""close"",AV$2,TODAY()),2,2))"),12.1)</f>
        <v>12.1</v>
      </c>
      <c r="AW32" s="1">
        <f ca="1">IFERROR(__xludf.DUMMYFUNCTION("if(AW$2="""","""", index(GOOGLEFINANCE($B$32,""close"",AW$2,TODAY()),2,2))"),12.01)</f>
        <v>12.01</v>
      </c>
      <c r="AX32" s="1">
        <f ca="1">IFERROR(__xludf.DUMMYFUNCTION("if(AX$2="""","""", index(GOOGLEFINANCE($B$32,""close"",AX$2,TODAY()),2,2))"),11.8)</f>
        <v>11.8</v>
      </c>
      <c r="AY32" s="1">
        <f ca="1">IFERROR(__xludf.DUMMYFUNCTION("if(AY$2="""","""", index(GOOGLEFINANCE($B$32,""close"",AY$2,TODAY()),2,2))"),11.84)</f>
        <v>11.84</v>
      </c>
      <c r="AZ32" s="1">
        <f ca="1">IFERROR(__xludf.DUMMYFUNCTION("if(AZ$2="""","""", index(GOOGLEFINANCE($B$32,""close"",AZ$2,TODAY()),2,2))"),11.91)</f>
        <v>11.91</v>
      </c>
      <c r="BA32" s="1">
        <f ca="1">IFERROR(__xludf.DUMMYFUNCTION("if(BA$2="""","""", index(GOOGLEFINANCE($B$32,""close"",BA$2,TODAY()),2,2))"),13.15)</f>
        <v>13.15</v>
      </c>
      <c r="BB32" s="1">
        <f ca="1">IFERROR(__xludf.DUMMYFUNCTION("if(BB$2="""","""", index(GOOGLEFINANCE($B$32,""close"",BB$2,TODAY()),2,2))"),12.78)</f>
        <v>12.78</v>
      </c>
      <c r="BC32" s="1">
        <f ca="1">IFERROR(__xludf.DUMMYFUNCTION("if(BC$2="""","""", index(GOOGLEFINANCE($B$32,""close"",BC$2,TODAY()),2,2))"),12.69)</f>
        <v>12.69</v>
      </c>
      <c r="BD32" s="1">
        <f ca="1">IFERROR(__xludf.DUMMYFUNCTION("if(BD$2="""","""", index(GOOGLEFINANCE($B$32,""close"",BD$2,TODAY()),2,2))"),12.72)</f>
        <v>12.72</v>
      </c>
      <c r="BE32" s="1">
        <f ca="1">IFERROR(__xludf.DUMMYFUNCTION("if(BE$2="""","""", index(GOOGLEFINANCE($B$32,""close"",BE$2,TODAY()),2,2))"),12.8)</f>
        <v>12.8</v>
      </c>
      <c r="BF32" s="1">
        <f ca="1">IFERROR(__xludf.DUMMYFUNCTION("if(BF$2="""","""", index(GOOGLEFINANCE($B$32,""close"",BF$2,TODAY()),2,2))"),12.13)</f>
        <v>12.13</v>
      </c>
      <c r="BG32" s="1">
        <f ca="1">IFERROR(__xludf.DUMMYFUNCTION("if(BG$2="""","""", index(GOOGLEFINANCE($B$32,""close"",BG$2,TODAY()),2,2))"),12.69)</f>
        <v>12.69</v>
      </c>
      <c r="BH32" s="1">
        <f ca="1">IFERROR(__xludf.DUMMYFUNCTION("if(BH$2="""","""", index(GOOGLEFINANCE($B$32,""close"",BH$2,TODAY()),2,2))"),13.26)</f>
        <v>13.26</v>
      </c>
      <c r="BI32" s="1">
        <f ca="1">IFERROR(__xludf.DUMMYFUNCTION("if(BI$2="""","""", index(GOOGLEFINANCE($B$32,""close"",BI$2,TODAY()),2,2))"),13.25)</f>
        <v>13.25</v>
      </c>
      <c r="BJ32" s="1">
        <f ca="1">IFERROR(__xludf.DUMMYFUNCTION("if(BJ$2="""","""", index(GOOGLEFINANCE($B$32,""close"",BJ$2,TODAY()),2,2))"),13.55)</f>
        <v>13.55</v>
      </c>
      <c r="BK32" s="1">
        <f ca="1">IFERROR(__xludf.DUMMYFUNCTION("if(BK$2="""","""", index(GOOGLEFINANCE($B$32,""close"",BK$2,TODAY()),2,2))"),13.25)</f>
        <v>13.25</v>
      </c>
      <c r="BL32" s="1">
        <f ca="1">IFERROR(__xludf.DUMMYFUNCTION("if(BL$2="""","""", index(GOOGLEFINANCE($B$32,""close"",BL$2,TODAY()),2,2))"),13.18)</f>
        <v>13.18</v>
      </c>
      <c r="BM32" s="1">
        <f ca="1">IFERROR(__xludf.DUMMYFUNCTION("if(BM$2="""","""", index(GOOGLEFINANCE($B$32,""close"",BM$2,TODAY()),2,2))"),13.23)</f>
        <v>13.23</v>
      </c>
      <c r="BN32" s="1">
        <f ca="1">IFERROR(__xludf.DUMMYFUNCTION("if(BN$2="""","""", index(GOOGLEFINANCE($B$32,""close"",BN$2,TODAY()),2,2))"),13.18)</f>
        <v>13.18</v>
      </c>
      <c r="BO32" s="1">
        <f ca="1">IFERROR(__xludf.DUMMYFUNCTION("if(BO$2="""","""", index(GOOGLEFINANCE($B$32,""close"",BO$2,TODAY()),2,2))"),12.63)</f>
        <v>12.63</v>
      </c>
      <c r="BP32" s="1">
        <f ca="1">IFERROR(__xludf.DUMMYFUNCTION("if(BP$2="""","""", index(GOOGLEFINANCE($B$32,""close"",BP$2,TODAY()),2,2))"),12.77)</f>
        <v>12.77</v>
      </c>
      <c r="BQ32" s="1">
        <f ca="1">IFERROR(__xludf.DUMMYFUNCTION("if(BQ$2="""","""", index(GOOGLEFINANCE($B$32,""close"",BQ$2,TODAY()),2,2))"),12.63)</f>
        <v>12.63</v>
      </c>
      <c r="BR32" s="1">
        <f ca="1">IFERROR(__xludf.DUMMYFUNCTION("if(BR$2="""","""", index(GOOGLEFINANCE($B$32,""close"",BR$2,TODAY()),2,2))"),13.1)</f>
        <v>13.1</v>
      </c>
      <c r="BS32" s="1">
        <f ca="1">IFERROR(__xludf.DUMMYFUNCTION("if(BS$2="""","""", index(GOOGLEFINANCE($B$32,""close"",BS$2,TODAY()),2,2))"),12.7)</f>
        <v>12.7</v>
      </c>
      <c r="BT32" s="1">
        <f ca="1">IFERROR(__xludf.DUMMYFUNCTION("if(BT$2="""","""", index(GOOGLEFINANCE($B$32,""close"",BT$2,TODAY()),2,2))"),12.9)</f>
        <v>12.9</v>
      </c>
      <c r="BU32" s="1">
        <f ca="1">IFERROR(__xludf.DUMMYFUNCTION("if(BU$2="""","""", index(GOOGLEFINANCE($B$32,""close"",BU$2,TODAY()),2,2))"),13.31)</f>
        <v>13.31</v>
      </c>
      <c r="BV32" s="1">
        <f ca="1">IFERROR(__xludf.DUMMYFUNCTION("if(BV$2="""","""", index(GOOGLEFINANCE($B$32,""close"",BV$2,TODAY()),2,2))"),13.1)</f>
        <v>13.1</v>
      </c>
      <c r="BW32" s="1">
        <f ca="1">IFERROR(__xludf.DUMMYFUNCTION("if(BW$2="""","""", index(GOOGLEFINANCE($B$32,""close"",BW$2,TODAY()),2,2))"),12.96)</f>
        <v>12.96</v>
      </c>
      <c r="BX32" s="1">
        <f ca="1">IFERROR(__xludf.DUMMYFUNCTION("if(BX$2="""","""", index(GOOGLEFINANCE($B$32,""close"",BX$2,TODAY()),2,2))"),13.23)</f>
        <v>13.23</v>
      </c>
      <c r="BY32" s="1">
        <f ca="1">IFERROR(__xludf.DUMMYFUNCTION("if(BY$2="""","""", index(GOOGLEFINANCE($B$32,""close"",BY$2,TODAY()),2,2))"),13.73)</f>
        <v>13.73</v>
      </c>
      <c r="BZ32" s="1">
        <f ca="1">IFERROR(__xludf.DUMMYFUNCTION("if(BZ$2="""","""", index(GOOGLEFINANCE($B$32,""close"",BZ$2,TODAY()),2,2))"),13.72)</f>
        <v>13.72</v>
      </c>
      <c r="CA32" s="1">
        <f ca="1">IFERROR(__xludf.DUMMYFUNCTION("if(CA$2="""","""", index(GOOGLEFINANCE($B$32,""close"",CA$2,TODAY()),2,2))"),13.38)</f>
        <v>13.38</v>
      </c>
      <c r="CB32" s="1">
        <f ca="1">IFERROR(__xludf.DUMMYFUNCTION("if(CB$2="""","""", index(GOOGLEFINANCE($B$32,""close"",CB$2,TODAY()),2,2))"),13.25)</f>
        <v>13.25</v>
      </c>
      <c r="CC32" s="1">
        <f ca="1">IFERROR(__xludf.DUMMYFUNCTION("if(CC$2="""","""", index(GOOGLEFINANCE($B$32,""close"",CC$2,TODAY()),2,2))"),12.65)</f>
        <v>12.65</v>
      </c>
      <c r="CD32" s="1">
        <f ca="1">IFERROR(__xludf.DUMMYFUNCTION("if(CD$2="""","""", index(GOOGLEFINANCE($B$32,""close"",CD$2,TODAY()),2,2))"),13.43)</f>
        <v>13.43</v>
      </c>
      <c r="CE32" s="1">
        <f ca="1">IFERROR(__xludf.DUMMYFUNCTION("if(CE$2="""","""", index(GOOGLEFINANCE($B$32,""close"",CE$2,TODAY()),2,2))"),13.91)</f>
        <v>13.91</v>
      </c>
      <c r="CF32" s="1">
        <f ca="1">IFERROR(__xludf.DUMMYFUNCTION("if(CF$2="""","""", index(GOOGLEFINANCE($B$32,""close"",CF$2,TODAY()),2,2))"),13.48)</f>
        <v>13.48</v>
      </c>
      <c r="CG32" s="1">
        <f ca="1">IFERROR(__xludf.DUMMYFUNCTION("if(CG$2="""","""", index(GOOGLEFINANCE($B$32,""close"",CG$2,TODAY()),2,2))"),13.53)</f>
        <v>13.53</v>
      </c>
      <c r="CH32" s="1">
        <f ca="1">IFERROR(__xludf.DUMMYFUNCTION("if(CH$2="""","""", index(GOOGLEFINANCE($B$32,""close"",CH$2,TODAY()),2,2))"),13.91)</f>
        <v>13.91</v>
      </c>
      <c r="CI32" s="1">
        <f ca="1">IFERROR(__xludf.DUMMYFUNCTION("if(CI$2="""","""", index(GOOGLEFINANCE($B$32,""close"",CI$2,TODAY()),2,2))"),14.34)</f>
        <v>14.34</v>
      </c>
      <c r="CJ32" s="1" t="str">
        <f ca="1">IFERROR(__xludf.DUMMYFUNCTION("if(CJ$2="""","""", index(GOOGLEFINANCE($B$32,""close"",CJ$2,TODAY()),2,2))"),"")</f>
        <v/>
      </c>
      <c r="CK32" s="1" t="str">
        <f ca="1">IFERROR(__xludf.DUMMYFUNCTION("if(CK$2="""","""", index(GOOGLEFINANCE($B$32,""close"",CK$2,TODAY()),2,2))"),"")</f>
        <v/>
      </c>
      <c r="CL32" s="1" t="str">
        <f ca="1">IFERROR(__xludf.DUMMYFUNCTION("if(CL$2="""","""", index(GOOGLEFINANCE($B$32,""close"",CL$2,TODAY()),2,2))"),"")</f>
        <v/>
      </c>
      <c r="CM32" s="1" t="str">
        <f ca="1">IFERROR(__xludf.DUMMYFUNCTION("if(CM$2="""","""", index(GOOGLEFINANCE($B$32,""close"",CM$2,TODAY()),2,2))"),"")</f>
        <v/>
      </c>
      <c r="CN32" s="1" t="str">
        <f ca="1">IFERROR(__xludf.DUMMYFUNCTION("if(CN$2="""","""", index(GOOGLEFINANCE($B$32,""close"",CN$2,TODAY()),2,2))"),"")</f>
        <v/>
      </c>
      <c r="CO32" s="1" t="str">
        <f ca="1">IFERROR(__xludf.DUMMYFUNCTION("if(CO$2="""","""", index(GOOGLEFINANCE($B$32,""close"",CO$2,TODAY()),2,2))"),"")</f>
        <v/>
      </c>
      <c r="CP32" s="1" t="str">
        <f ca="1">IFERROR(__xludf.DUMMYFUNCTION("if(CP$2="""","""", index(GOOGLEFINANCE($B$32,""close"",CP$2,TODAY()),2,2))"),"")</f>
        <v/>
      </c>
      <c r="CQ32" s="1" t="str">
        <f ca="1">IFERROR(__xludf.DUMMYFUNCTION("if(CQ$2="""","""", index(GOOGLEFINANCE($B$32,""close"",CQ$2,TODAY()),2,2))"),"")</f>
        <v/>
      </c>
      <c r="CR32" s="1" t="str">
        <f ca="1">IFERROR(__xludf.DUMMYFUNCTION("if(CR$2="""","""", index(GOOGLEFINANCE($B$32,""close"",CR$2,TODAY()),2,2))"),"")</f>
        <v/>
      </c>
      <c r="CS32" s="1" t="str">
        <f ca="1">IFERROR(__xludf.DUMMYFUNCTION("if(CS$2="""","""", index(GOOGLEFINANCE($B$32,""close"",CS$2,TODAY()),2,2))"),"")</f>
        <v/>
      </c>
      <c r="CT32" s="1" t="str">
        <f ca="1">IFERROR(__xludf.DUMMYFUNCTION("if(CT$2="""","""", index(GOOGLEFINANCE($B$32,""close"",CT$2,TODAY()),2,2))"),"")</f>
        <v/>
      </c>
      <c r="CU32" s="1" t="str">
        <f ca="1">IFERROR(__xludf.DUMMYFUNCTION("if(CU$2="""","""", index(GOOGLEFINANCE($B$32,""close"",CU$2,TODAY()),2,2))"),"")</f>
        <v/>
      </c>
      <c r="CV32" s="1" t="str">
        <f ca="1">IFERROR(__xludf.DUMMYFUNCTION("if(CV$2="""","""", index(GOOGLEFINANCE($B$32,""close"",CV$2,TODAY()),2,2))"),"")</f>
        <v/>
      </c>
      <c r="CW32" s="1" t="str">
        <f ca="1">IFERROR(__xludf.DUMMYFUNCTION("if(CW$2="""","""", index(GOOGLEFINANCE($B$32,""close"",CW$2,TODAY()),2,2))"),"")</f>
        <v/>
      </c>
      <c r="CX32" s="1" t="str">
        <f ca="1">IFERROR(__xludf.DUMMYFUNCTION("if(CX$2="""","""", index(GOOGLEFINANCE($B$32,""close"",CX$2,TODAY()),2,2))"),"")</f>
        <v/>
      </c>
      <c r="CY32" s="1" t="str">
        <f ca="1">IFERROR(__xludf.DUMMYFUNCTION("if(CY$2="""","""", index(GOOGLEFINANCE($B$32,""close"",CY$2,TODAY()),2,2))"),"")</f>
        <v/>
      </c>
      <c r="CZ32" s="1" t="str">
        <f ca="1">IFERROR(__xludf.DUMMYFUNCTION("if(CZ$2="""","""", index(GOOGLEFINANCE($B$32,""close"",CZ$2,TODAY()),2,2))"),"")</f>
        <v/>
      </c>
      <c r="DA32" s="1" t="str">
        <f ca="1">IFERROR(__xludf.DUMMYFUNCTION("if(DA$2="""","""", index(GOOGLEFINANCE($B$32,""close"",DA$2,TODAY()),2,2))"),"")</f>
        <v/>
      </c>
      <c r="DB32" s="1" t="str">
        <f ca="1">IFERROR(__xludf.DUMMYFUNCTION("if(DB$2="""","""", index(GOOGLEFINANCE($B$32,""close"",DB$2,TODAY()),2,2))"),"")</f>
        <v/>
      </c>
      <c r="DC32" s="1" t="str">
        <f ca="1">IFERROR(__xludf.DUMMYFUNCTION("if(DC$2="""","""", index(GOOGLEFINANCE($B$32,""close"",DC$2,TODAY()),2,2))"),"")</f>
        <v/>
      </c>
      <c r="DD32" s="1" t="str">
        <f ca="1">IFERROR(__xludf.DUMMYFUNCTION("if(DD$2="""","""", index(GOOGLEFINANCE($B$32,""close"",DD$2,TODAY()),2,2))"),"")</f>
        <v/>
      </c>
      <c r="DE32" s="1" t="str">
        <f ca="1">IFERROR(__xludf.DUMMYFUNCTION("if(DE$2="""","""", index(GOOGLEFINANCE($B$32,""close"",DE$2,TODAY()),2,2))"),"")</f>
        <v/>
      </c>
      <c r="DF32" s="1" t="str">
        <f ca="1">IFERROR(__xludf.DUMMYFUNCTION("if(DF$2="""","""", index(GOOGLEFINANCE($B$32,""close"",DF$2,TODAY()),2,2))"),"")</f>
        <v/>
      </c>
      <c r="DG32" s="1" t="str">
        <f ca="1">IFERROR(__xludf.DUMMYFUNCTION("if(DG$2="""","""", index(GOOGLEFINANCE($B$32,""close"",DG$2,TODAY()),2,2))"),"")</f>
        <v/>
      </c>
      <c r="DH32" s="1" t="str">
        <f ca="1">IFERROR(__xludf.DUMMYFUNCTION("if(DH$2="""","""", index(GOOGLEFINANCE($B$32,""close"",DH$2,TODAY()),2,2))"),"")</f>
        <v/>
      </c>
      <c r="DI32" s="1" t="str">
        <f ca="1">IFERROR(__xludf.DUMMYFUNCTION("if(DI$2="""","""", index(GOOGLEFINANCE($B$32,""close"",DI$2,TODAY()),2,2))"),"")</f>
        <v/>
      </c>
      <c r="DJ32" s="1" t="str">
        <f ca="1">IFERROR(__xludf.DUMMYFUNCTION("if(DJ$2="""","""", index(GOOGLEFINANCE($B$32,""close"",DJ$2,TODAY()),2,2))"),"")</f>
        <v/>
      </c>
      <c r="DK32" s="1" t="str">
        <f ca="1">IFERROR(__xludf.DUMMYFUNCTION("if(DK$2="""","""", index(GOOGLEFINANCE($B$32,""close"",DK$2,TODAY()),2,2))"),"")</f>
        <v/>
      </c>
      <c r="DL32" s="1" t="str">
        <f ca="1">IFERROR(__xludf.DUMMYFUNCTION("if(DL$2="""","""", index(GOOGLEFINANCE($B$32,""close"",DL$2,TODAY()),2,2))"),"")</f>
        <v/>
      </c>
      <c r="DM32" s="1" t="str">
        <f ca="1">IFERROR(__xludf.DUMMYFUNCTION("if(DM$2="""","""", index(GOOGLEFINANCE($B$32,""close"",DM$2,TODAY()),2,2))"),"")</f>
        <v/>
      </c>
      <c r="DN32" s="1" t="str">
        <f ca="1">IFERROR(__xludf.DUMMYFUNCTION("if(DN$2="""","""", index(GOOGLEFINANCE($B$32,""close"",DN$2,TODAY()),2,2))"),"")</f>
        <v/>
      </c>
      <c r="DO32" s="1" t="str">
        <f ca="1">IFERROR(__xludf.DUMMYFUNCTION("if(DO$2="""","""", index(GOOGLEFINANCE($B$32,""close"",DO$2,TODAY()),2,2))"),"")</f>
        <v/>
      </c>
      <c r="DP32" s="1" t="str">
        <f ca="1">IFERROR(__xludf.DUMMYFUNCTION("if(DP$2="""","""", index(GOOGLEFINANCE($B$32,""close"",DP$2,TODAY()),2,2))"),"")</f>
        <v/>
      </c>
      <c r="DQ32" s="1" t="str">
        <f ca="1">IFERROR(__xludf.DUMMYFUNCTION("if(DQ$2="""","""", index(GOOGLEFINANCE($B$32,""close"",DQ$2,TODAY()),2,2))"),"")</f>
        <v/>
      </c>
      <c r="DR32" s="1" t="str">
        <f ca="1">IFERROR(__xludf.DUMMYFUNCTION("if(DR$2="""","""", index(GOOGLEFINANCE($B$32,""close"",DR$2,TODAY()),2,2))"),"")</f>
        <v/>
      </c>
      <c r="DS32" s="1" t="str">
        <f ca="1">IFERROR(__xludf.DUMMYFUNCTION("if(DS$2="""","""", index(GOOGLEFINANCE($B$32,""close"",DS$2,TODAY()),2,2))"),"")</f>
        <v/>
      </c>
      <c r="DT32" s="1" t="str">
        <f ca="1">IFERROR(__xludf.DUMMYFUNCTION("if(DT$2="""","""", index(GOOGLEFINANCE($B$32,""close"",DT$2,TODAY()),2,2))"),"")</f>
        <v/>
      </c>
      <c r="DU32" s="1" t="str">
        <f ca="1">IFERROR(__xludf.DUMMYFUNCTION("if(DU$2="""","""", index(GOOGLEFINANCE($B$32,""close"",DU$2,TODAY()),2,2))"),"")</f>
        <v/>
      </c>
      <c r="DV32" s="1" t="str">
        <f ca="1">IFERROR(__xludf.DUMMYFUNCTION("if(DV$2="""","""", index(GOOGLEFINANCE($B$32,""close"",DV$2,TODAY()),2,2))"),"")</f>
        <v/>
      </c>
      <c r="DW32" s="1" t="str">
        <f ca="1">IFERROR(__xludf.DUMMYFUNCTION("if(DW$2="""","""", index(GOOGLEFINANCE($B$32,""close"",DW$2,TODAY()),2,2))"),"")</f>
        <v/>
      </c>
      <c r="DX32" s="1" t="str">
        <f ca="1">IFERROR(__xludf.DUMMYFUNCTION("if(DX$2="""","""", index(GOOGLEFINANCE($B$32,""close"",DX$2,TODAY()),2,2))"),"")</f>
        <v/>
      </c>
      <c r="DY32" s="1" t="str">
        <f ca="1">IFERROR(__xludf.DUMMYFUNCTION("if(DY$2="""","""", index(GOOGLEFINANCE($B$32,""close"",DY$2,TODAY()),2,2))"),"")</f>
        <v/>
      </c>
      <c r="DZ32" s="1" t="str">
        <f ca="1">IFERROR(__xludf.DUMMYFUNCTION("if(DZ$2="""","""", index(GOOGLEFINANCE($B$32,""close"",DZ$2,TODAY()),2,2))"),"")</f>
        <v/>
      </c>
      <c r="EA32" s="1" t="str">
        <f ca="1">IFERROR(__xludf.DUMMYFUNCTION("if(EA$2="""","""", index(GOOGLEFINANCE($B$32,""close"",EA$2,TODAY()),2,2))"),"")</f>
        <v/>
      </c>
      <c r="EB32" s="1" t="str">
        <f ca="1">IFERROR(__xludf.DUMMYFUNCTION("if(EB$2="""","""", index(GOOGLEFINANCE($B$32,""close"",EB$2,TODAY()),2,2))"),"")</f>
        <v/>
      </c>
      <c r="EC32" s="1" t="str">
        <f ca="1">IFERROR(__xludf.DUMMYFUNCTION("if(EC$2="""","""", index(GOOGLEFINANCE($B$32,""close"",EC$2,TODAY()),2,2))"),"")</f>
        <v/>
      </c>
      <c r="ED32" s="1" t="str">
        <f ca="1">IFERROR(__xludf.DUMMYFUNCTION("if(ED$2="""","""", index(GOOGLEFINANCE($B$32,""close"",ED$2,TODAY()),2,2))"),"")</f>
        <v/>
      </c>
      <c r="EE32" s="1" t="str">
        <f ca="1">IFERROR(__xludf.DUMMYFUNCTION("if(EE$2="""","""", index(GOOGLEFINANCE($B$32,""close"",EE$2,TODAY()),2,2))"),"")</f>
        <v/>
      </c>
      <c r="EF32" s="1" t="str">
        <f ca="1">IFERROR(__xludf.DUMMYFUNCTION("if(EF$2="""","""", index(GOOGLEFINANCE($B$32,""close"",EF$2,TODAY()),2,2))"),"")</f>
        <v/>
      </c>
      <c r="EG32" s="1" t="str">
        <f ca="1">IFERROR(__xludf.DUMMYFUNCTION("if(EG$2="""","""", index(GOOGLEFINANCE($B$32,""close"",EG$2,TODAY()),2,2))"),"")</f>
        <v/>
      </c>
      <c r="EH32" s="1" t="str">
        <f ca="1">IFERROR(__xludf.DUMMYFUNCTION("if(EH$2="""","""", index(GOOGLEFINANCE($B$32,""close"",EH$2,TODAY()),2,2))"),"")</f>
        <v/>
      </c>
      <c r="EI32" s="1" t="str">
        <f ca="1">IFERROR(__xludf.DUMMYFUNCTION("if(EI$2="""","""", index(GOOGLEFINANCE($B$32,""close"",EI$2,TODAY()),2,2))"),"")</f>
        <v/>
      </c>
      <c r="EJ32" s="1" t="str">
        <f ca="1">IFERROR(__xludf.DUMMYFUNCTION("if(EJ$2="""","""", index(GOOGLEFINANCE($B$32,""close"",EJ$2,TODAY()),2,2))"),"")</f>
        <v/>
      </c>
      <c r="EK32" s="1" t="str">
        <f ca="1">IFERROR(__xludf.DUMMYFUNCTION("if(EK$2="""","""", index(GOOGLEFINANCE($B$32,""close"",EK$2,TODAY()),2,2))"),"")</f>
        <v/>
      </c>
      <c r="EL32" s="1" t="str">
        <f ca="1">IFERROR(__xludf.DUMMYFUNCTION("if(EL$2="""","""", index(GOOGLEFINANCE($B$32,""close"",EL$2,TODAY()),2,2))"),"")</f>
        <v/>
      </c>
      <c r="EM32" s="1" t="str">
        <f ca="1">IFERROR(__xludf.DUMMYFUNCTION("if(EM$2="""","""", index(GOOGLEFINANCE($B$32,""close"",EM$2,TODAY()),2,2))"),"")</f>
        <v/>
      </c>
      <c r="EN32" s="1" t="str">
        <f ca="1">IFERROR(__xludf.DUMMYFUNCTION("if(EN$2="""","""", index(GOOGLEFINANCE($B$32,""close"",EN$2,TODAY()),2,2))"),"")</f>
        <v/>
      </c>
      <c r="EO32" s="1" t="str">
        <f ca="1">IFERROR(__xludf.DUMMYFUNCTION("if(EO$2="""","""", index(GOOGLEFINANCE($B$32,""close"",EO$2,TODAY()),2,2))"),"")</f>
        <v/>
      </c>
      <c r="EP32" s="1" t="str">
        <f ca="1">IFERROR(__xludf.DUMMYFUNCTION("if(EP$2="""","""", index(GOOGLEFINANCE($B$32,""close"",EP$2,TODAY()),2,2))"),"")</f>
        <v/>
      </c>
      <c r="EQ32" s="1" t="str">
        <f ca="1">IFERROR(__xludf.DUMMYFUNCTION("if(EQ$2="""","""", index(GOOGLEFINANCE($B$32,""close"",EQ$2,TODAY()),2,2))"),"")</f>
        <v/>
      </c>
      <c r="ER32" s="1" t="str">
        <f ca="1">IFERROR(__xludf.DUMMYFUNCTION("if(ER$2="""","""", index(GOOGLEFINANCE($B$32,""close"",ER$2,TODAY()),2,2))"),"")</f>
        <v/>
      </c>
      <c r="ES32" s="1" t="str">
        <f ca="1">IFERROR(__xludf.DUMMYFUNCTION("if(ES$2="""","""", index(GOOGLEFINANCE($B$32,""close"",ES$2,TODAY()),2,2))"),"")</f>
        <v/>
      </c>
      <c r="ET32" s="1" t="str">
        <f ca="1">IFERROR(__xludf.DUMMYFUNCTION("if(ET$2="""","""", index(GOOGLEFINANCE($B$32,""close"",ET$2,TODAY()),2,2))"),"")</f>
        <v/>
      </c>
      <c r="EU32" s="1" t="str">
        <f ca="1">IFERROR(__xludf.DUMMYFUNCTION("if(EU$2="""","""", index(GOOGLEFINANCE($B$32,""close"",EU$2,TODAY()),2,2))"),"")</f>
        <v/>
      </c>
      <c r="EV32" s="1" t="str">
        <f ca="1">IFERROR(__xludf.DUMMYFUNCTION("if(EV$2="""","""", index(GOOGLEFINANCE($B$32,""close"",EV$2,TODAY()),2,2))"),"")</f>
        <v/>
      </c>
      <c r="EW32" s="1" t="str">
        <f ca="1">IFERROR(__xludf.DUMMYFUNCTION("if(EW$2="""","""", index(GOOGLEFINANCE($B$32,""close"",EW$2,TODAY()),2,2))"),"")</f>
        <v/>
      </c>
      <c r="EX32" s="1" t="str">
        <f ca="1">IFERROR(__xludf.DUMMYFUNCTION("if(EX$2="""","""", index(GOOGLEFINANCE($B$32,""close"",EX$2,TODAY()),2,2))"),"")</f>
        <v/>
      </c>
      <c r="EY32" s="1" t="str">
        <f ca="1">IFERROR(__xludf.DUMMYFUNCTION("if(EY$2="""","""", index(GOOGLEFINANCE($B$32,""close"",EY$2,TODAY()),2,2))"),"")</f>
        <v/>
      </c>
      <c r="EZ32" s="1" t="str">
        <f ca="1">IFERROR(__xludf.DUMMYFUNCTION("if(EZ$2="""","""", index(GOOGLEFINANCE($B$32,""close"",EZ$2,TODAY()),2,2))"),"")</f>
        <v/>
      </c>
      <c r="FA32" s="1" t="str">
        <f ca="1">IFERROR(__xludf.DUMMYFUNCTION("if(FA$2="""","""", index(GOOGLEFINANCE($B$32,""close"",FA$2,TODAY()),2,2))"),"")</f>
        <v/>
      </c>
      <c r="FB32" s="1" t="str">
        <f ca="1">IFERROR(__xludf.DUMMYFUNCTION("if(FB$2="""","""", index(GOOGLEFINANCE($B$32,""close"",FB$2,TODAY()),2,2))"),"")</f>
        <v/>
      </c>
      <c r="FC32" s="1" t="str">
        <f ca="1">IFERROR(__xludf.DUMMYFUNCTION("if(FC$2="""","""", index(GOOGLEFINANCE($B$32,""close"",FC$2,TODAY()),2,2))"),"")</f>
        <v/>
      </c>
      <c r="FD32" s="1" t="str">
        <f ca="1">IFERROR(__xludf.DUMMYFUNCTION("if(FD$2="""","""", index(GOOGLEFINANCE($B$32,""close"",FD$2,TODAY()),2,2))"),"")</f>
        <v/>
      </c>
      <c r="FE32" s="1" t="str">
        <f ca="1">IFERROR(__xludf.DUMMYFUNCTION("if(FE$2="""","""", index(GOOGLEFINANCE($B$32,""close"",FE$2,TODAY()),2,2))"),"")</f>
        <v/>
      </c>
      <c r="FF32" s="1" t="str">
        <f ca="1">IFERROR(__xludf.DUMMYFUNCTION("if(FF$2="""","""", index(GOOGLEFINANCE($B$32,""close"",FF$2,TODAY()),2,2))"),"")</f>
        <v/>
      </c>
      <c r="FG32" s="1" t="str">
        <f ca="1">IFERROR(__xludf.DUMMYFUNCTION("if(FG$2="""","""", index(GOOGLEFINANCE($B$32,""close"",FG$2,TODAY()),2,2))"),"")</f>
        <v/>
      </c>
      <c r="FH32" s="1" t="str">
        <f ca="1">IFERROR(__xludf.DUMMYFUNCTION("if(FH$2="""","""", index(GOOGLEFINANCE($B$32,""close"",FH$2,TODAY()),2,2))"),"")</f>
        <v/>
      </c>
      <c r="FI32" s="1" t="str">
        <f ca="1">IFERROR(__xludf.DUMMYFUNCTION("if(FI$2="""","""", index(GOOGLEFINANCE($B$32,""close"",FI$2,TODAY()),2,2))"),"")</f>
        <v/>
      </c>
      <c r="FJ32" s="1" t="str">
        <f ca="1">IFERROR(__xludf.DUMMYFUNCTION("if(FJ$2="""","""", index(GOOGLEFINANCE($B$32,""close"",FJ$2,TODAY()),2,2))"),"")</f>
        <v/>
      </c>
      <c r="FK32" s="1" t="str">
        <f ca="1">IFERROR(__xludf.DUMMYFUNCTION("if(FK$2="""","""", index(GOOGLEFINANCE($B$32,""close"",FK$2,TODAY()),2,2))"),"")</f>
        <v/>
      </c>
      <c r="FL32" s="1" t="str">
        <f ca="1">IFERROR(__xludf.DUMMYFUNCTION("if(FL$2="""","""", index(GOOGLEFINANCE($B$32,""close"",FL$2,TODAY()),2,2))"),"")</f>
        <v/>
      </c>
      <c r="FM32" s="1" t="str">
        <f ca="1">IFERROR(__xludf.DUMMYFUNCTION("if(FM$2="""","""", index(GOOGLEFINANCE($B$32,""close"",FM$2,TODAY()),2,2))"),"")</f>
        <v/>
      </c>
      <c r="FN32" s="1" t="str">
        <f ca="1">IFERROR(__xludf.DUMMYFUNCTION("if(FN$2="""","""", index(GOOGLEFINANCE($B$32,""close"",FN$2,TODAY()),2,2))"),"")</f>
        <v/>
      </c>
      <c r="FO32" s="1" t="str">
        <f ca="1">IFERROR(__xludf.DUMMYFUNCTION("if(FO$2="""","""", index(GOOGLEFINANCE($B$32,""close"",FO$2,TODAY()),2,2))"),"")</f>
        <v/>
      </c>
      <c r="FP32" s="1" t="str">
        <f ca="1">IFERROR(__xludf.DUMMYFUNCTION("if(FP$2="""","""", index(GOOGLEFINANCE($B$32,""close"",FP$2,TODAY()),2,2))"),"")</f>
        <v/>
      </c>
      <c r="FQ32" s="1" t="str">
        <f ca="1">IFERROR(__xludf.DUMMYFUNCTION("if(FQ$2="""","""", index(GOOGLEFINANCE($B$32,""close"",FQ$2,TODAY()),2,2))"),"")</f>
        <v/>
      </c>
      <c r="FR32" s="1" t="str">
        <f ca="1">IFERROR(__xludf.DUMMYFUNCTION("if(FR$2="""","""", index(GOOGLEFINANCE($B$32,""close"",FR$2,TODAY()),2,2))"),"")</f>
        <v/>
      </c>
      <c r="FS32" s="1" t="str">
        <f ca="1">IFERROR(__xludf.DUMMYFUNCTION("if(FS$2="""","""", index(GOOGLEFINANCE($B$32,""close"",FS$2,TODAY()),2,2))"),"")</f>
        <v/>
      </c>
      <c r="FT32" s="1" t="str">
        <f ca="1">IFERROR(__xludf.DUMMYFUNCTION("if(FT$2="""","""", index(GOOGLEFINANCE($B$32,""close"",FT$2,TODAY()),2,2))"),"")</f>
        <v/>
      </c>
      <c r="FU32" s="1" t="str">
        <f ca="1">IFERROR(__xludf.DUMMYFUNCTION("if(FU$2="""","""", index(GOOGLEFINANCE($B$32,""close"",FU$2,TODAY()),2,2))"),"")</f>
        <v/>
      </c>
      <c r="FV32" s="1" t="str">
        <f ca="1">IFERROR(__xludf.DUMMYFUNCTION("if(FV$2="""","""", index(GOOGLEFINANCE($B$32,""close"",FV$2,TODAY()),2,2))"),"")</f>
        <v/>
      </c>
      <c r="FW32" s="1" t="str">
        <f ca="1">IFERROR(__xludf.DUMMYFUNCTION("if(FW$2="""","""", index(GOOGLEFINANCE($B$32,""close"",FW$2,TODAY()),2,2))"),"")</f>
        <v/>
      </c>
      <c r="FX32" s="1" t="str">
        <f ca="1">IFERROR(__xludf.DUMMYFUNCTION("if(FX$2="""","""", index(GOOGLEFINANCE($B$32,""close"",FX$2,TODAY()),2,2))"),"")</f>
        <v/>
      </c>
      <c r="FY32" s="1" t="str">
        <f ca="1">IFERROR(__xludf.DUMMYFUNCTION("if(FY$2="""","""", index(GOOGLEFINANCE($B$32,""close"",FY$2,TODAY()),2,2))"),"")</f>
        <v/>
      </c>
      <c r="FZ32" s="1" t="str">
        <f ca="1">IFERROR(__xludf.DUMMYFUNCTION("if(FZ$2="""","""", index(GOOGLEFINANCE($B$32,""close"",FZ$2,TODAY()),2,2))"),"")</f>
        <v/>
      </c>
      <c r="GA32" s="1" t="str">
        <f ca="1">IFERROR(__xludf.DUMMYFUNCTION("if(GA$2="""","""", index(GOOGLEFINANCE($B$32,""close"",GA$2,TODAY()),2,2))"),"")</f>
        <v/>
      </c>
      <c r="GB32" s="1" t="str">
        <f ca="1">IFERROR(__xludf.DUMMYFUNCTION("if(GB$2="""","""", index(GOOGLEFINANCE($B$32,""close"",GB$2,TODAY()),2,2))"),"")</f>
        <v/>
      </c>
      <c r="GC32" s="1" t="str">
        <f ca="1">IFERROR(__xludf.DUMMYFUNCTION("if(GC$2="""","""", index(GOOGLEFINANCE($B$32,""close"",GC$2,TODAY()),2,2))"),"")</f>
        <v/>
      </c>
      <c r="GD32" s="1" t="str">
        <f ca="1">IFERROR(__xludf.DUMMYFUNCTION("if(GD$2="""","""", index(GOOGLEFINANCE($B$32,""close"",GD$2,TODAY()),2,2))"),"")</f>
        <v/>
      </c>
      <c r="GE32" s="1" t="str">
        <f ca="1">IFERROR(__xludf.DUMMYFUNCTION("if(GE$2="""","""", index(GOOGLEFINANCE($B$32,""close"",GE$2,TODAY()),2,2))"),"")</f>
        <v/>
      </c>
      <c r="GF32" s="1" t="str">
        <f ca="1">IFERROR(__xludf.DUMMYFUNCTION("if(GF$2="""","""", index(GOOGLEFINANCE($B$32,""close"",GF$2,TODAY()),2,2))"),"")</f>
        <v/>
      </c>
      <c r="GG32" s="1" t="str">
        <f ca="1">IFERROR(__xludf.DUMMYFUNCTION("if(GG$2="""","""", index(GOOGLEFINANCE($B$32,""close"",GG$2,TODAY()),2,2))"),"")</f>
        <v/>
      </c>
      <c r="GH32" s="1" t="str">
        <f ca="1">IFERROR(__xludf.DUMMYFUNCTION("if(GH$2="""","""", index(GOOGLEFINANCE($B$32,""close"",GH$2,TODAY()),2,2))"),"")</f>
        <v/>
      </c>
      <c r="GI32" s="1" t="str">
        <f ca="1">IFERROR(__xludf.DUMMYFUNCTION("if(GI$2="""","""", index(GOOGLEFINANCE($B$32,""close"",GI$2,TODAY()),2,2))"),"")</f>
        <v/>
      </c>
      <c r="GJ32" s="1" t="str">
        <f ca="1">IFERROR(__xludf.DUMMYFUNCTION("if(GJ$2="""","""", index(GOOGLEFINANCE($B$32,""close"",GJ$2,TODAY()),2,2))"),"")</f>
        <v/>
      </c>
      <c r="GK32" s="1" t="str">
        <f ca="1">IFERROR(__xludf.DUMMYFUNCTION("if(GK$2="""","""", index(GOOGLEFINANCE($B$32,""close"",GK$2,TODAY()),2,2))"),"")</f>
        <v/>
      </c>
      <c r="GL32" s="1" t="str">
        <f ca="1">IFERROR(__xludf.DUMMYFUNCTION("if(GL$2="""","""", index(GOOGLEFINANCE($B$32,""close"",GL$2,TODAY()),2,2))"),"")</f>
        <v/>
      </c>
      <c r="GM32" s="1" t="str">
        <f ca="1">IFERROR(__xludf.DUMMYFUNCTION("if(GM$2="""","""", index(GOOGLEFINANCE($B$32,""close"",GM$2,TODAY()),2,2))"),"")</f>
        <v/>
      </c>
      <c r="GN32" s="1" t="str">
        <f ca="1">IFERROR(__xludf.DUMMYFUNCTION("if(GN$2="""","""", index(GOOGLEFINANCE($B$32,""close"",GN$2,TODAY()),2,2))"),"")</f>
        <v/>
      </c>
      <c r="GO32" s="1" t="str">
        <f ca="1">IFERROR(__xludf.DUMMYFUNCTION("if(GO$2="""","""", index(GOOGLEFINANCE($B$32,""close"",GO$2,TODAY()),2,2))"),"")</f>
        <v/>
      </c>
      <c r="GP32" s="1" t="str">
        <f ca="1">IFERROR(__xludf.DUMMYFUNCTION("if(GP$2="""","""", index(GOOGLEFINANCE($B$32,""close"",GP$2,TODAY()),2,2))"),"")</f>
        <v/>
      </c>
      <c r="GQ32" s="1" t="str">
        <f ca="1">IFERROR(__xludf.DUMMYFUNCTION("if(GQ$2="""","""", index(GOOGLEFINANCE($B$32,""close"",GQ$2,TODAY()),2,2))"),"")</f>
        <v/>
      </c>
      <c r="GR32" s="1" t="str">
        <f ca="1">IFERROR(__xludf.DUMMYFUNCTION("if(GR$2="""","""", index(GOOGLEFINANCE($B$32,""close"",GR$2,TODAY()),2,2))"),"")</f>
        <v/>
      </c>
      <c r="GS32" s="1" t="str">
        <f ca="1">IFERROR(__xludf.DUMMYFUNCTION("if(GS$2="""","""", index(GOOGLEFINANCE($B$32,""close"",GS$2,TODAY()),2,2))"),"")</f>
        <v/>
      </c>
      <c r="GT32" s="1" t="str">
        <f ca="1">IFERROR(__xludf.DUMMYFUNCTION("if(GT$2="""","""", index(GOOGLEFINANCE($B$32,""close"",GT$2,TODAY()),2,2))"),"")</f>
        <v/>
      </c>
      <c r="GU32" s="1" t="str">
        <f ca="1">IFERROR(__xludf.DUMMYFUNCTION("if(GU$2="""","""", index(GOOGLEFINANCE($B$32,""close"",GU$2,TODAY()),2,2))"),"")</f>
        <v/>
      </c>
      <c r="GV32" s="1" t="str">
        <f ca="1">IFERROR(__xludf.DUMMYFUNCTION("if(GV$2="""","""", index(GOOGLEFINANCE($B$32,""close"",GV$2,TODAY()),2,2))"),"")</f>
        <v/>
      </c>
      <c r="GW32" s="1" t="str">
        <f ca="1">IFERROR(__xludf.DUMMYFUNCTION("if(GW$2="""","""", index(GOOGLEFINANCE($B$32,""close"",GW$2,TODAY()),2,2))"),"")</f>
        <v/>
      </c>
      <c r="GX32" s="1" t="str">
        <f ca="1">IFERROR(__xludf.DUMMYFUNCTION("if(GX$2="""","""", index(GOOGLEFINANCE($B$32,""close"",GX$2,TODAY()),2,2))"),"")</f>
        <v/>
      </c>
      <c r="GY32" s="1" t="str">
        <f ca="1">IFERROR(__xludf.DUMMYFUNCTION("if(GY$2="""","""", index(GOOGLEFINANCE($B$32,""close"",GY$2,TODAY()),2,2))"),"")</f>
        <v/>
      </c>
      <c r="GZ32" s="1" t="str">
        <f ca="1">IFERROR(__xludf.DUMMYFUNCTION("if(GZ$2="""","""", index(GOOGLEFINANCE($B$32,""close"",GZ$2,TODAY()),2,2))"),"")</f>
        <v/>
      </c>
      <c r="HA32" s="1" t="str">
        <f ca="1">IFERROR(__xludf.DUMMYFUNCTION("if(HA$2="""","""", index(GOOGLEFINANCE($B$32,""close"",HA$2,TODAY()),2,2))"),"")</f>
        <v/>
      </c>
      <c r="HB32" s="1" t="str">
        <f ca="1">IFERROR(__xludf.DUMMYFUNCTION("if(HB$2="""","""", index(GOOGLEFINANCE($B$32,""close"",HB$2,TODAY()),2,2))"),"")</f>
        <v/>
      </c>
      <c r="HC32" s="1" t="str">
        <f ca="1">IFERROR(__xludf.DUMMYFUNCTION("if(HC$2="""","""", index(GOOGLEFINANCE($B$32,""close"",HC$2,TODAY()),2,2))"),"")</f>
        <v/>
      </c>
      <c r="HD32" s="1" t="str">
        <f ca="1">IFERROR(__xludf.DUMMYFUNCTION("if(HD$2="""","""", index(GOOGLEFINANCE($B$32,""close"",HD$2,TODAY()),2,2))"),"")</f>
        <v/>
      </c>
      <c r="HE32" s="1" t="str">
        <f ca="1">IFERROR(__xludf.DUMMYFUNCTION("if(HE$2="""","""", index(GOOGLEFINANCE($B$32,""close"",HE$2,TODAY()),2,2))"),"")</f>
        <v/>
      </c>
      <c r="HF32" s="1" t="str">
        <f ca="1">IFERROR(__xludf.DUMMYFUNCTION("if(HF$2="""","""", index(GOOGLEFINANCE($B$32,""close"",HF$2,TODAY()),2,2))"),"")</f>
        <v/>
      </c>
      <c r="HG32" s="1" t="str">
        <f ca="1">IFERROR(__xludf.DUMMYFUNCTION("if(HG$2="""","""", index(GOOGLEFINANCE($B$32,""close"",HG$2,TODAY()),2,2))"),"")</f>
        <v/>
      </c>
      <c r="HH32" s="1" t="str">
        <f ca="1">IFERROR(__xludf.DUMMYFUNCTION("if(HH$2="""","""", index(GOOGLEFINANCE($B$32,""close"",HH$2,TODAY()),2,2))"),"")</f>
        <v/>
      </c>
      <c r="HI32" s="1" t="str">
        <f ca="1">IFERROR(__xludf.DUMMYFUNCTION("if(HI$2="""","""", index(GOOGLEFINANCE($B$32,""close"",HI$2,TODAY()),2,2))"),"")</f>
        <v/>
      </c>
      <c r="HJ32" s="1" t="str">
        <f ca="1">IFERROR(__xludf.DUMMYFUNCTION("if(HJ$2="""","""", index(GOOGLEFINANCE($B$32,""close"",HJ$2,TODAY()),2,2))"),"")</f>
        <v/>
      </c>
      <c r="HK32" s="1" t="str">
        <f ca="1">IFERROR(__xludf.DUMMYFUNCTION("if(HK$2="""","""", index(GOOGLEFINANCE($B$32,""close"",HK$2,TODAY()),2,2))"),"")</f>
        <v/>
      </c>
      <c r="HL32" s="1" t="str">
        <f ca="1">IFERROR(__xludf.DUMMYFUNCTION("if(HL$2="""","""", index(GOOGLEFINANCE($B$32,""close"",HL$2,TODAY()),2,2))"),"")</f>
        <v/>
      </c>
      <c r="HM32" s="1" t="str">
        <f ca="1">IFERROR(__xludf.DUMMYFUNCTION("if(HM$2="""","""", index(GOOGLEFINANCE($B$32,""close"",HM$2,TODAY()),2,2))"),"")</f>
        <v/>
      </c>
      <c r="HN32" s="1" t="str">
        <f ca="1">IFERROR(__xludf.DUMMYFUNCTION("if(HN$2="""","""", index(GOOGLEFINANCE($B$32,""close"",HN$2,TODAY()),2,2))"),"")</f>
        <v/>
      </c>
      <c r="HO32" s="1" t="str">
        <f ca="1">IFERROR(__xludf.DUMMYFUNCTION("if(HO$2="""","""", index(GOOGLEFINANCE($B$32,""close"",HO$2,TODAY()),2,2))"),"")</f>
        <v/>
      </c>
      <c r="HP32" s="1" t="str">
        <f ca="1">IFERROR(__xludf.DUMMYFUNCTION("if(HP$2="""","""", index(GOOGLEFINANCE($B$32,""close"",HP$2,TODAY()),2,2))"),"")</f>
        <v/>
      </c>
      <c r="HQ32" s="1" t="str">
        <f ca="1">IFERROR(__xludf.DUMMYFUNCTION("if(HQ$2="""","""", index(GOOGLEFINANCE($B$32,""close"",HQ$2,TODAY()),2,2))"),"")</f>
        <v/>
      </c>
      <c r="HR32" s="1" t="str">
        <f ca="1">IFERROR(__xludf.DUMMYFUNCTION("if(HR$2="""","""", index(GOOGLEFINANCE($B$32,""close"",HR$2,TODAY()),2,2))"),"")</f>
        <v/>
      </c>
      <c r="HS32" s="1" t="str">
        <f ca="1">IFERROR(__xludf.DUMMYFUNCTION("if(HS$2="""","""", index(GOOGLEFINANCE($B$32,""close"",HS$2,TODAY()),2,2))"),"")</f>
        <v/>
      </c>
      <c r="HT32" s="1" t="str">
        <f ca="1">IFERROR(__xludf.DUMMYFUNCTION("if(HT$2="""","""", index(GOOGLEFINANCE($B$32,""close"",HT$2,TODAY()),2,2))"),"")</f>
        <v/>
      </c>
      <c r="HU32" s="1" t="str">
        <f ca="1">IFERROR(__xludf.DUMMYFUNCTION("if(HU$2="""","""", index(GOOGLEFINANCE($B$32,""close"",HU$2,TODAY()),2,2))"),"")</f>
        <v/>
      </c>
      <c r="HV32" s="1" t="str">
        <f ca="1">IFERROR(__xludf.DUMMYFUNCTION("if(HV$2="""","""", index(GOOGLEFINANCE($B$32,""close"",HV$2,TODAY()),2,2))"),"")</f>
        <v/>
      </c>
      <c r="HW32" s="1" t="str">
        <f ca="1">IFERROR(__xludf.DUMMYFUNCTION("if(HW$2="""","""", index(GOOGLEFINANCE($B$32,""close"",HW$2,TODAY()),2,2))"),"")</f>
        <v/>
      </c>
      <c r="HX32" s="1" t="str">
        <f ca="1">IFERROR(__xludf.DUMMYFUNCTION("if(HX$2="""","""", index(GOOGLEFINANCE($B$32,""close"",HX$2,TODAY()),2,2))"),"")</f>
        <v/>
      </c>
      <c r="HY32" s="1" t="str">
        <f ca="1">IFERROR(__xludf.DUMMYFUNCTION("if(HY$2="""","""", index(GOOGLEFINANCE($B$32,""close"",HY$2,TODAY()),2,2))"),"")</f>
        <v/>
      </c>
      <c r="HZ32" s="1" t="str">
        <f ca="1">IFERROR(__xludf.DUMMYFUNCTION("if(HZ$2="""","""", index(GOOGLEFINANCE($B$32,""close"",HZ$2,TODAY()),2,2))"),"")</f>
        <v/>
      </c>
      <c r="IA32" s="1" t="str">
        <f ca="1">IFERROR(__xludf.DUMMYFUNCTION("if(IA$2="""","""", index(GOOGLEFINANCE($B$32,""close"",IA$2,TODAY()),2,2))"),"")</f>
        <v/>
      </c>
      <c r="IB32" s="1" t="str">
        <f ca="1">IFERROR(__xludf.DUMMYFUNCTION("if(IB$2="""","""", index(GOOGLEFINANCE($B$32,""close"",IB$2,TODAY()),2,2))"),"")</f>
        <v/>
      </c>
      <c r="IC32" s="1" t="str">
        <f ca="1">IFERROR(__xludf.DUMMYFUNCTION("if(IC$2="""","""", index(GOOGLEFINANCE($B$32,""close"",IC$2,TODAY()),2,2))"),"")</f>
        <v/>
      </c>
      <c r="ID32" s="1" t="str">
        <f ca="1">IFERROR(__xludf.DUMMYFUNCTION("if(ID$2="""","""", index(GOOGLEFINANCE($B$32,""close"",ID$2,TODAY()),2,2))"),"")</f>
        <v/>
      </c>
      <c r="IE32" s="1" t="str">
        <f ca="1">IFERROR(__xludf.DUMMYFUNCTION("if(IE$2="""","""", index(GOOGLEFINANCE($B$32,""close"",IE$2,TODAY()),2,2))"),"")</f>
        <v/>
      </c>
      <c r="IF32" s="1" t="str">
        <f ca="1">IFERROR(__xludf.DUMMYFUNCTION("if(IF$2="""","""", index(GOOGLEFINANCE($B$32,""close"",IF$2,TODAY()),2,2))"),"")</f>
        <v/>
      </c>
      <c r="IG32" s="1" t="str">
        <f ca="1">IFERROR(__xludf.DUMMYFUNCTION("if(IG$2="""","""", index(GOOGLEFINANCE($B$32,""close"",IG$2,TODAY()),2,2))"),"")</f>
        <v/>
      </c>
      <c r="IH32" s="1" t="str">
        <f ca="1">IFERROR(__xludf.DUMMYFUNCTION("if(IH$2="""","""", index(GOOGLEFINANCE($B$32,""close"",IH$2,TODAY()),2,2))"),"")</f>
        <v/>
      </c>
      <c r="II32" s="1" t="str">
        <f ca="1">IFERROR(__xludf.DUMMYFUNCTION("if(II$2="""","""", index(GOOGLEFINANCE($B$32,""close"",II$2,TODAY()),2,2))"),"")</f>
        <v/>
      </c>
      <c r="IJ32" s="1" t="str">
        <f ca="1">IFERROR(__xludf.DUMMYFUNCTION("if(IJ$2="""","""", index(GOOGLEFINANCE($B$32,""close"",IJ$2,TODAY()),2,2))"),"")</f>
        <v/>
      </c>
      <c r="IK32" s="1" t="str">
        <f ca="1">IFERROR(__xludf.DUMMYFUNCTION("if(IK$2="""","""", index(GOOGLEFINANCE($B$32,""close"",IK$2,TODAY()),2,2))"),"")</f>
        <v/>
      </c>
      <c r="IL32" s="1" t="str">
        <f ca="1">IFERROR(__xludf.DUMMYFUNCTION("if(IL$2="""","""", index(GOOGLEFINANCE($B$32,""close"",IL$2,TODAY()),2,2))"),"")</f>
        <v/>
      </c>
      <c r="IM32" s="1" t="str">
        <f ca="1">IFERROR(__xludf.DUMMYFUNCTION("if(IM$2="""","""", index(GOOGLEFINANCE($B$32,""close"",IM$2,TODAY()),2,2))"),"")</f>
        <v/>
      </c>
      <c r="IN32" s="1" t="str">
        <f ca="1">IFERROR(__xludf.DUMMYFUNCTION("if(IN$2="""","""", index(GOOGLEFINANCE($B$32,""close"",IN$2,TODAY()),2,2))"),"")</f>
        <v/>
      </c>
      <c r="IO32" s="1" t="str">
        <f ca="1">IFERROR(__xludf.DUMMYFUNCTION("if(IO$2="""","""", index(GOOGLEFINANCE($B$32,""close"",IO$2,TODAY()),2,2))"),"")</f>
        <v/>
      </c>
      <c r="IP32" s="1" t="str">
        <f ca="1">IFERROR(__xludf.DUMMYFUNCTION("if(IP$2="""","""", index(GOOGLEFINANCE($B$32,""close"",IP$2,TODAY()),2,2))"),"")</f>
        <v/>
      </c>
      <c r="IQ32" s="1" t="str">
        <f ca="1">IFERROR(__xludf.DUMMYFUNCTION("if(IQ$2="""","""", index(GOOGLEFINANCE($B$32,""close"",IQ$2,TODAY()),2,2))"),"")</f>
        <v/>
      </c>
      <c r="IR32" s="1" t="str">
        <f ca="1">IFERROR(__xludf.DUMMYFUNCTION("if(IR$2="""","""", index(GOOGLEFINANCE($B$32,""close"",IR$2,TODAY()),2,2))"),"")</f>
        <v/>
      </c>
      <c r="IS32" s="1" t="str">
        <f ca="1">IFERROR(__xludf.DUMMYFUNCTION("if(IS$2="""","""", index(GOOGLEFINANCE($B$32,""close"",IS$2,TODAY()),2,2))"),"")</f>
        <v/>
      </c>
      <c r="IT32" s="1" t="str">
        <f ca="1">IFERROR(__xludf.DUMMYFUNCTION("if(IT$2="""","""", index(GOOGLEFINANCE($B$32,""close"",IT$2,TODAY()),2,2))"),"")</f>
        <v/>
      </c>
      <c r="IU32" s="1" t="str">
        <f ca="1">IFERROR(__xludf.DUMMYFUNCTION("if(IU$2="""","""", index(GOOGLEFINANCE($B$32,""close"",IU$2,TODAY()),2,2))"),"")</f>
        <v/>
      </c>
      <c r="IV32" s="1" t="str">
        <f ca="1">IFERROR(__xludf.DUMMYFUNCTION("if(IV$2="""","""", index(GOOGLEFINANCE($B$32,""close"",IV$2,TODAY()),2,2))"),"")</f>
        <v/>
      </c>
      <c r="IW32" s="1" t="str">
        <f ca="1">IFERROR(__xludf.DUMMYFUNCTION("if(IW$2="""","""", index(GOOGLEFINANCE($B$32,""close"",IW$2,TODAY()),2,2))"),"")</f>
        <v/>
      </c>
      <c r="IX32" s="1" t="str">
        <f ca="1">IFERROR(__xludf.DUMMYFUNCTION("if(IX$2="""","""", index(GOOGLEFINANCE($B$32,""close"",IX$2,TODAY()),2,2))"),"")</f>
        <v/>
      </c>
      <c r="IY32" s="1" t="str">
        <f ca="1">IFERROR(__xludf.DUMMYFUNCTION("if(IY$2="""","""", index(GOOGLEFINANCE($B$32,""close"",IY$2,TODAY()),2,2))"),"")</f>
        <v/>
      </c>
      <c r="IZ32" s="1" t="str">
        <f ca="1">IFERROR(__xludf.DUMMYFUNCTION("if(IZ$2="""","""", index(GOOGLEFINANCE($B$32,""close"",IZ$2,TODAY()),2,2))"),"")</f>
        <v/>
      </c>
      <c r="JA32" s="1" t="str">
        <f ca="1">IFERROR(__xludf.DUMMYFUNCTION("if(JA$2="""","""", index(GOOGLEFINANCE($B$32,""close"",JA$2,TODAY()),2,2))"),"")</f>
        <v/>
      </c>
      <c r="JB32" s="1" t="str">
        <f ca="1">IFERROR(__xludf.DUMMYFUNCTION("if(JB$2="""","""", index(GOOGLEFINANCE($B$32,""close"",JB$2,TODAY()),2,2))"),"")</f>
        <v/>
      </c>
      <c r="JC32" s="1" t="str">
        <f ca="1">IFERROR(__xludf.DUMMYFUNCTION("if(JC$2="""","""", index(GOOGLEFINANCE($B$32,""close"",JC$2,TODAY()),2,2))"),"")</f>
        <v/>
      </c>
      <c r="JD32" s="1" t="str">
        <f ca="1">IFERROR(__xludf.DUMMYFUNCTION("if(JD$2="""","""", index(GOOGLEFINANCE($B$32,""close"",JD$2,TODAY()),2,2))"),"")</f>
        <v/>
      </c>
      <c r="JE32" s="1" t="str">
        <f ca="1">IFERROR(__xludf.DUMMYFUNCTION("if(JE$2="""","""", index(GOOGLEFINANCE($B$32,""close"",JE$2,TODAY()),2,2))"),"")</f>
        <v/>
      </c>
      <c r="JF32" s="1" t="str">
        <f ca="1">IFERROR(__xludf.DUMMYFUNCTION("if(JF$2="""","""", index(GOOGLEFINANCE($B$32,""close"",JF$2,TODAY()),2,2))"),"")</f>
        <v/>
      </c>
      <c r="JG32" s="1" t="str">
        <f ca="1">IFERROR(__xludf.DUMMYFUNCTION("if(JG$2="""","""", index(GOOGLEFINANCE($B$32,""close"",JG$2,TODAY()),2,2))"),"")</f>
        <v/>
      </c>
      <c r="JH32" s="1" t="str">
        <f ca="1">IFERROR(__xludf.DUMMYFUNCTION("if(JH$2="""","""", index(GOOGLEFINANCE($B$32,""close"",JH$2,TODAY()),2,2))"),"")</f>
        <v/>
      </c>
      <c r="JI32" s="1" t="str">
        <f ca="1">IFERROR(__xludf.DUMMYFUNCTION("if(JI$2="""","""", index(GOOGLEFINANCE($B$32,""close"",JI$2,TODAY()),2,2))"),"")</f>
        <v/>
      </c>
      <c r="JJ32" s="1" t="str">
        <f ca="1">IFERROR(__xludf.DUMMYFUNCTION("if(JJ$2="""","""", index(GOOGLEFINANCE($B$32,""close"",JJ$2,TODAY()),2,2))"),"")</f>
        <v/>
      </c>
      <c r="JK32" s="1" t="str">
        <f ca="1">IFERROR(__xludf.DUMMYFUNCTION("if(JK$2="""","""", index(GOOGLEFINANCE($B$32,""close"",JK$2,TODAY()),2,2))"),"")</f>
        <v/>
      </c>
      <c r="JL32" s="1" t="str">
        <f ca="1">IFERROR(__xludf.DUMMYFUNCTION("if(JL$2="""","""", index(GOOGLEFINANCE($B$32,""close"",JL$2,TODAY()),2,2))"),"")</f>
        <v/>
      </c>
      <c r="JM32" s="1" t="str">
        <f ca="1">IFERROR(__xludf.DUMMYFUNCTION("if(JM$2="""","""", index(GOOGLEFINANCE($B$32,""close"",JM$2,TODAY()),2,2))"),"")</f>
        <v/>
      </c>
      <c r="JN32" s="1" t="str">
        <f ca="1">IFERROR(__xludf.DUMMYFUNCTION("if(JN$2="""","""", index(GOOGLEFINANCE($B$32,""close"",JN$2,TODAY()),2,2))"),"")</f>
        <v/>
      </c>
      <c r="JO32" s="1" t="str">
        <f ca="1">IFERROR(__xludf.DUMMYFUNCTION("if(JO$2="""","""", index(GOOGLEFINANCE($B$32,""close"",JO$2,TODAY()),2,2))"),"")</f>
        <v/>
      </c>
      <c r="JP32" s="1" t="str">
        <f ca="1">IFERROR(__xludf.DUMMYFUNCTION("if(JP$2="""","""", index(GOOGLEFINANCE($B$32,""close"",JP$2,TODAY()),2,2))"),"")</f>
        <v/>
      </c>
      <c r="JQ32" s="1" t="str">
        <f ca="1">IFERROR(__xludf.DUMMYFUNCTION("if(JQ$2="""","""", index(GOOGLEFINANCE($B$32,""close"",JQ$2,TODAY()),2,2))"),"")</f>
        <v/>
      </c>
      <c r="JR32" s="1" t="str">
        <f ca="1">IFERROR(__xludf.DUMMYFUNCTION("if(JR$2="""","""", index(GOOGLEFINANCE($B$32,""close"",JR$2,TODAY()),2,2))"),"")</f>
        <v/>
      </c>
      <c r="JS32" s="1" t="str">
        <f ca="1">IFERROR(__xludf.DUMMYFUNCTION("if(JS$2="""","""", index(GOOGLEFINANCE($B$32,""close"",JS$2,TODAY()),2,2))"),"")</f>
        <v/>
      </c>
      <c r="JT32" s="1" t="str">
        <f ca="1">IFERROR(__xludf.DUMMYFUNCTION("if(JT$2="""","""", index(GOOGLEFINANCE($B$32,""close"",JT$2,TODAY()),2,2))"),"")</f>
        <v/>
      </c>
      <c r="JU32" s="1" t="str">
        <f ca="1">IFERROR(__xludf.DUMMYFUNCTION("if(JU$2="""","""", index(GOOGLEFINANCE($B$32,""close"",JU$2,TODAY()),2,2))"),"")</f>
        <v/>
      </c>
      <c r="JV32" s="1" t="str">
        <f ca="1">IFERROR(__xludf.DUMMYFUNCTION("if(JV$2="""","""", index(GOOGLEFINANCE($B$32,""close"",JV$2,TODAY()),2,2))"),"")</f>
        <v/>
      </c>
      <c r="JW32" s="1" t="str">
        <f ca="1">IFERROR(__xludf.DUMMYFUNCTION("if(JW$2="""","""", index(GOOGLEFINANCE($B$32,""close"",JW$2,TODAY()),2,2))"),"")</f>
        <v/>
      </c>
      <c r="JX32" s="1" t="str">
        <f ca="1">IFERROR(__xludf.DUMMYFUNCTION("if(JX$2="""","""", index(GOOGLEFINANCE($B$32,""close"",JX$2,TODAY()),2,2))"),"")</f>
        <v/>
      </c>
      <c r="JY32" s="1" t="str">
        <f ca="1">IFERROR(__xludf.DUMMYFUNCTION("if(JY$2="""","""", index(GOOGLEFINANCE($B$32,""close"",JY$2,TODAY()),2,2))"),"")</f>
        <v/>
      </c>
      <c r="JZ32" s="1" t="str">
        <f ca="1">IFERROR(__xludf.DUMMYFUNCTION("if(JZ$2="""","""", index(GOOGLEFINANCE($B$32,""close"",JZ$2,TODAY()),2,2))"),"")</f>
        <v/>
      </c>
      <c r="KA32" s="1" t="str">
        <f ca="1">IFERROR(__xludf.DUMMYFUNCTION("if(KA$2="""","""", index(GOOGLEFINANCE($B$32,""close"",KA$2,TODAY()),2,2))"),"")</f>
        <v/>
      </c>
      <c r="KB32" s="1" t="str">
        <f ca="1">IFERROR(__xludf.DUMMYFUNCTION("if(KB$2="""","""", index(GOOGLEFINANCE($B$32,""close"",KB$2,TODAY()),2,2))"),"")</f>
        <v/>
      </c>
      <c r="KC32" s="1" t="str">
        <f ca="1">IFERROR(__xludf.DUMMYFUNCTION("if(KC$2="""","""", index(GOOGLEFINANCE($B$32,""close"",KC$2,TODAY()),2,2))"),"")</f>
        <v/>
      </c>
      <c r="KD32" s="1" t="str">
        <f ca="1">IFERROR(__xludf.DUMMYFUNCTION("if(KD$2="""","""", index(GOOGLEFINANCE($B$32,""close"",KD$2,TODAY()),2,2))"),"")</f>
        <v/>
      </c>
      <c r="KE32" s="1" t="str">
        <f ca="1">IFERROR(__xludf.DUMMYFUNCTION("if(KE$2="""","""", index(GOOGLEFINANCE($B$32,""close"",KE$2,TODAY()),2,2))"),"")</f>
        <v/>
      </c>
      <c r="KF32" s="1" t="str">
        <f ca="1">IFERROR(__xludf.DUMMYFUNCTION("if(KF$2="""","""", index(GOOGLEFINANCE($B$32,""close"",KF$2,TODAY()),2,2))"),"")</f>
        <v/>
      </c>
      <c r="KG32" s="1" t="str">
        <f ca="1">IFERROR(__xludf.DUMMYFUNCTION("if(KG$2="""","""", index(GOOGLEFINANCE($B$32,""close"",KG$2,TODAY()),2,2))"),"")</f>
        <v/>
      </c>
    </row>
    <row r="33" spans="1:293" ht="15.75" customHeight="1">
      <c r="A33" s="18" t="s">
        <v>30</v>
      </c>
      <c r="B33" s="6" t="s">
        <v>76</v>
      </c>
      <c r="C33" s="1">
        <f ca="1">IFERROR(__xludf.DUMMYFUNCTION("if(C$2="""","""", index(GOOGLEFINANCE($B$33,""close"",C$2,TODAY()),2,2))"),15.06)</f>
        <v>15.06</v>
      </c>
      <c r="D33" s="1">
        <f ca="1">IFERROR(__xludf.DUMMYFUNCTION("if(D$2="""","""", index(GOOGLEFINANCE($B$33,""close"",D$2,TODAY()),2,2))"),15.5)</f>
        <v>15.5</v>
      </c>
      <c r="E33" s="1">
        <f ca="1">IFERROR(__xludf.DUMMYFUNCTION("if(E$2="""","""", index(GOOGLEFINANCE($B$33,""close"",E$2,TODAY()),2,2))"),15.38)</f>
        <v>15.38</v>
      </c>
      <c r="F33" s="1">
        <f ca="1">IFERROR(__xludf.DUMMYFUNCTION("if(F$2="""","""", index(GOOGLEFINANCE($B$33,""close"",F$2,TODAY()),2,2))"),15.18)</f>
        <v>15.18</v>
      </c>
      <c r="G33" s="1">
        <f ca="1">IFERROR(__xludf.DUMMYFUNCTION("if(G$2="""","""", index(GOOGLEFINANCE($B$33,""close"",G$2,TODAY()),2,2))"),15.32)</f>
        <v>15.32</v>
      </c>
      <c r="H33" s="1">
        <f ca="1">IFERROR(__xludf.DUMMYFUNCTION("if(H$2="""","""", index(GOOGLEFINANCE($B$33,""close"",H$2,TODAY()),2,2))"),14.95)</f>
        <v>14.95</v>
      </c>
      <c r="I33" s="1">
        <f ca="1">IFERROR(__xludf.DUMMYFUNCTION("if(I$2="""","""", index(GOOGLEFINANCE($B$33,""close"",I$2,TODAY()),2,2))"),15)</f>
        <v>15</v>
      </c>
      <c r="J33" s="1">
        <f ca="1">IFERROR(__xludf.DUMMYFUNCTION("if(J$2="""","""", index(GOOGLEFINANCE($B$33,""close"",J$2,TODAY()),2,2))"),15.13)</f>
        <v>15.13</v>
      </c>
      <c r="K33" s="1">
        <f ca="1">IFERROR(__xludf.DUMMYFUNCTION("if(K$2="""","""", index(GOOGLEFINANCE($B$33,""close"",K$2,TODAY()),2,2))"),15.27)</f>
        <v>15.27</v>
      </c>
      <c r="L33" s="1">
        <f ca="1">IFERROR(__xludf.DUMMYFUNCTION("if(L$2="""","""", index(GOOGLEFINANCE($B$33,""close"",L$2,TODAY()),2,2))"),15.55)</f>
        <v>15.55</v>
      </c>
      <c r="M33" s="1">
        <f ca="1">IFERROR(__xludf.DUMMYFUNCTION("if(M$2="""","""", index(GOOGLEFINANCE($B$33,""close"",M$2,TODAY()),2,2))"),15.42)</f>
        <v>15.42</v>
      </c>
      <c r="N33" s="1">
        <f ca="1">IFERROR(__xludf.DUMMYFUNCTION("if(N$2="""","""", index(GOOGLEFINANCE($B$33,""close"",N$2,TODAY()),2,2))"),15.34)</f>
        <v>15.34</v>
      </c>
      <c r="O33" s="1">
        <f ca="1">IFERROR(__xludf.DUMMYFUNCTION("if(O$2="""","""", index(GOOGLEFINANCE($B$33,""close"",O$2,TODAY()),2,2))"),14.9)</f>
        <v>14.9</v>
      </c>
      <c r="P33" s="1">
        <f ca="1">IFERROR(__xludf.DUMMYFUNCTION("if(P$2="""","""", index(GOOGLEFINANCE($B$33,""close"",P$2,TODAY()),2,2))"),14.66)</f>
        <v>14.66</v>
      </c>
      <c r="Q33" s="1">
        <f ca="1">IFERROR(__xludf.DUMMYFUNCTION("if(Q$2="""","""", index(GOOGLEFINANCE($B$33,""close"",Q$2,TODAY()),2,2))"),14.68)</f>
        <v>14.68</v>
      </c>
      <c r="R33" s="1">
        <f ca="1">IFERROR(__xludf.DUMMYFUNCTION("if(R$2="""","""", index(GOOGLEFINANCE($B$33,""close"",R$2,TODAY()),2,2))"),14.58)</f>
        <v>14.58</v>
      </c>
      <c r="S33" s="1">
        <f ca="1">IFERROR(__xludf.DUMMYFUNCTION("if(S$2="""","""", index(GOOGLEFINANCE($B$33,""close"",S$2,TODAY()),2,2))"),14.43)</f>
        <v>14.43</v>
      </c>
      <c r="T33" s="1">
        <f ca="1">IFERROR(__xludf.DUMMYFUNCTION("if(T$2="""","""", index(GOOGLEFINANCE($B$33,""close"",T$2,TODAY()),2,2))"),14.44)</f>
        <v>14.44</v>
      </c>
      <c r="U33" s="1">
        <f ca="1">IFERROR(__xludf.DUMMYFUNCTION("if(U$2="""","""", index(GOOGLEFINANCE($B$33,""close"",U$2,TODAY()),2,2))"),14.19)</f>
        <v>14.19</v>
      </c>
      <c r="V33" s="1">
        <f ca="1">IFERROR(__xludf.DUMMYFUNCTION("if(V$2="""","""", index(GOOGLEFINANCE($B$33,""close"",V$2,TODAY()),2,2))"),14.35)</f>
        <v>14.35</v>
      </c>
      <c r="W33" s="1">
        <f ca="1">IFERROR(__xludf.DUMMYFUNCTION("if(W$2="""","""", index(GOOGLEFINANCE($B$33,""close"",W$2,TODAY()),2,2))"),14.53)</f>
        <v>14.53</v>
      </c>
      <c r="X33" s="1">
        <f ca="1">IFERROR(__xludf.DUMMYFUNCTION("if(X$2="""","""", index(GOOGLEFINANCE($B$33,""close"",X$2,TODAY()),2,2))"),14.52)</f>
        <v>14.52</v>
      </c>
      <c r="Y33" s="1">
        <f ca="1">IFERROR(__xludf.DUMMYFUNCTION("if(Y$2="""","""", index(GOOGLEFINANCE($B$33,""close"",Y$2,TODAY()),2,2))"),14.21)</f>
        <v>14.21</v>
      </c>
      <c r="Z33" s="1">
        <f ca="1">IFERROR(__xludf.DUMMYFUNCTION("if(Z$2="""","""", index(GOOGLEFINANCE($B$33,""close"",Z$2,TODAY()),2,2))"),14.13)</f>
        <v>14.13</v>
      </c>
      <c r="AA33" s="1">
        <f ca="1">IFERROR(__xludf.DUMMYFUNCTION("if(AA$2="""","""", index(GOOGLEFINANCE($B$33,""close"",AA$2,TODAY()),2,2))"),14.16)</f>
        <v>14.16</v>
      </c>
      <c r="AB33" s="1">
        <f ca="1">IFERROR(__xludf.DUMMYFUNCTION("if(AB$2="""","""", index(GOOGLEFINANCE($B$33,""close"",AB$2,TODAY()),2,2))"),14.45)</f>
        <v>14.45</v>
      </c>
      <c r="AC33" s="1">
        <f ca="1">IFERROR(__xludf.DUMMYFUNCTION("if(AC$2="""","""", index(GOOGLEFINANCE($B$33,""close"",AC$2,TODAY()),2,2))"),14.46)</f>
        <v>14.46</v>
      </c>
      <c r="AD33" s="1">
        <f ca="1">IFERROR(__xludf.DUMMYFUNCTION("if(AD$2="""","""", index(GOOGLEFINANCE($B$33,""close"",AD$2,TODAY()),2,2))"),14.23)</f>
        <v>14.23</v>
      </c>
      <c r="AE33" s="1">
        <f ca="1">IFERROR(__xludf.DUMMYFUNCTION("if(AE$2="""","""", index(GOOGLEFINANCE($B$33,""close"",AE$2,TODAY()),2,2))"),13.94)</f>
        <v>13.94</v>
      </c>
      <c r="AF33" s="1">
        <f ca="1">IFERROR(__xludf.DUMMYFUNCTION("if(AF$2="""","""", index(GOOGLEFINANCE($B$33,""close"",AF$2,TODAY()),2,2))"),14.23)</f>
        <v>14.23</v>
      </c>
      <c r="AG33" s="1">
        <f ca="1">IFERROR(__xludf.DUMMYFUNCTION("if(AG$2="""","""", index(GOOGLEFINANCE($B$33,""close"",AG$2,TODAY()),2,2))"),14.4)</f>
        <v>14.4</v>
      </c>
      <c r="AH33" s="1">
        <f ca="1">IFERROR(__xludf.DUMMYFUNCTION("if(AH$2="""","""", index(GOOGLEFINANCE($B$33,""close"",AH$2,TODAY()),2,2))"),14.6)</f>
        <v>14.6</v>
      </c>
      <c r="AI33" s="1">
        <f ca="1">IFERROR(__xludf.DUMMYFUNCTION("if(AI$2="""","""", index(GOOGLEFINANCE($B$33,""close"",AI$2,TODAY()),2,2))"),14.2)</f>
        <v>14.2</v>
      </c>
      <c r="AJ33" s="1">
        <f ca="1">IFERROR(__xludf.DUMMYFUNCTION("if(AJ$2="""","""", index(GOOGLEFINANCE($B$33,""close"",AJ$2,TODAY()),2,2))"),14.28)</f>
        <v>14.28</v>
      </c>
      <c r="AK33" s="1">
        <f ca="1">IFERROR(__xludf.DUMMYFUNCTION("if(AK$2="""","""", index(GOOGLEFINANCE($B$33,""close"",AK$2,TODAY()),2,2))"),14.24)</f>
        <v>14.24</v>
      </c>
      <c r="AL33" s="1">
        <f ca="1">IFERROR(__xludf.DUMMYFUNCTION("if(AL$2="""","""", index(GOOGLEFINANCE($B$33,""close"",AL$2,TODAY()),2,2))"),14.02)</f>
        <v>14.02</v>
      </c>
      <c r="AM33" s="1">
        <f ca="1">IFERROR(__xludf.DUMMYFUNCTION("if(AM$2="""","""", index(GOOGLEFINANCE($B$33,""close"",AM$2,TODAY()),2,2))"),14.27)</f>
        <v>14.27</v>
      </c>
      <c r="AN33" s="1">
        <f ca="1">IFERROR(__xludf.DUMMYFUNCTION("if(AN$2="""","""", index(GOOGLEFINANCE($B$33,""close"",AN$2,TODAY()),2,2))"),14.74)</f>
        <v>14.74</v>
      </c>
      <c r="AO33" s="1">
        <f ca="1">IFERROR(__xludf.DUMMYFUNCTION("if(AO$2="""","""", index(GOOGLEFINANCE($B$33,""close"",AO$2,TODAY()),2,2))"),14.73)</f>
        <v>14.73</v>
      </c>
      <c r="AP33" s="1">
        <f ca="1">IFERROR(__xludf.DUMMYFUNCTION("if(AP$2="""","""", index(GOOGLEFINANCE($B$33,""close"",AP$2,TODAY()),2,2))"),14.35)</f>
        <v>14.35</v>
      </c>
      <c r="AQ33" s="1">
        <f ca="1">IFERROR(__xludf.DUMMYFUNCTION("if(AQ$2="""","""", index(GOOGLEFINANCE($B$33,""close"",AQ$2,TODAY()),2,2))"),14.64)</f>
        <v>14.64</v>
      </c>
      <c r="AR33" s="1">
        <f ca="1">IFERROR(__xludf.DUMMYFUNCTION("if(AR$2="""","""", index(GOOGLEFINANCE($B$33,""close"",AR$2,TODAY()),2,2))"),15.09)</f>
        <v>15.09</v>
      </c>
      <c r="AS33" s="1">
        <f ca="1">IFERROR(__xludf.DUMMYFUNCTION("if(AS$2="""","""", index(GOOGLEFINANCE($B$33,""close"",AS$2,TODAY()),2,2))"),14.68)</f>
        <v>14.68</v>
      </c>
      <c r="AT33" s="1">
        <f ca="1">IFERROR(__xludf.DUMMYFUNCTION("if(AT$2="""","""", index(GOOGLEFINANCE($B$33,""close"",AT$2,TODAY()),2,2))"),13.67)</f>
        <v>13.67</v>
      </c>
      <c r="AU33" s="1">
        <f ca="1">IFERROR(__xludf.DUMMYFUNCTION("if(AU$2="""","""", index(GOOGLEFINANCE($B$33,""close"",AU$2,TODAY()),2,2))"),13.72)</f>
        <v>13.72</v>
      </c>
      <c r="AV33" s="1">
        <f ca="1">IFERROR(__xludf.DUMMYFUNCTION("if(AV$2="""","""", index(GOOGLEFINANCE($B$33,""close"",AV$2,TODAY()),2,2))"),14.42)</f>
        <v>14.42</v>
      </c>
      <c r="AW33" s="1">
        <f ca="1">IFERROR(__xludf.DUMMYFUNCTION("if(AW$2="""","""", index(GOOGLEFINANCE($B$33,""close"",AW$2,TODAY()),2,2))"),14.9)</f>
        <v>14.9</v>
      </c>
      <c r="AX33" s="1">
        <f ca="1">IFERROR(__xludf.DUMMYFUNCTION("if(AX$2="""","""", index(GOOGLEFINANCE($B$33,""close"",AX$2,TODAY()),2,2))"),14.61)</f>
        <v>14.61</v>
      </c>
      <c r="AY33" s="1">
        <f ca="1">IFERROR(__xludf.DUMMYFUNCTION("if(AY$2="""","""", index(GOOGLEFINANCE($B$33,""close"",AY$2,TODAY()),2,2))"),15.25)</f>
        <v>15.25</v>
      </c>
      <c r="AZ33" s="1">
        <f ca="1">IFERROR(__xludf.DUMMYFUNCTION("if(AZ$2="""","""", index(GOOGLEFINANCE($B$33,""close"",AZ$2,TODAY()),2,2))"),14.94)</f>
        <v>14.94</v>
      </c>
      <c r="BA33" s="1">
        <f ca="1">IFERROR(__xludf.DUMMYFUNCTION("if(BA$2="""","""", index(GOOGLEFINANCE($B$33,""close"",BA$2,TODAY()),2,2))"),15.18)</f>
        <v>15.18</v>
      </c>
      <c r="BB33" s="1">
        <f ca="1">IFERROR(__xludf.DUMMYFUNCTION("if(BB$2="""","""", index(GOOGLEFINANCE($B$33,""close"",BB$2,TODAY()),2,2))"),15.56)</f>
        <v>15.56</v>
      </c>
      <c r="BC33" s="1">
        <f ca="1">IFERROR(__xludf.DUMMYFUNCTION("if(BC$2="""","""", index(GOOGLEFINANCE($B$33,""close"",BC$2,TODAY()),2,2))"),16.06)</f>
        <v>16.059999999999999</v>
      </c>
      <c r="BD33" s="1">
        <f ca="1">IFERROR(__xludf.DUMMYFUNCTION("if(BD$2="""","""", index(GOOGLEFINANCE($B$33,""close"",BD$2,TODAY()),2,2))"),15.82)</f>
        <v>15.82</v>
      </c>
      <c r="BE33" s="1">
        <f ca="1">IFERROR(__xludf.DUMMYFUNCTION("if(BE$2="""","""", index(GOOGLEFINANCE($B$33,""close"",BE$2,TODAY()),2,2))"),15.75)</f>
        <v>15.75</v>
      </c>
      <c r="BF33" s="1">
        <f ca="1">IFERROR(__xludf.DUMMYFUNCTION("if(BF$2="""","""", index(GOOGLEFINANCE($B$33,""close"",BF$2,TODAY()),2,2))"),15.85)</f>
        <v>15.85</v>
      </c>
      <c r="BG33" s="1">
        <f ca="1">IFERROR(__xludf.DUMMYFUNCTION("if(BG$2="""","""", index(GOOGLEFINANCE($B$33,""close"",BG$2,TODAY()),2,2))"),16.28)</f>
        <v>16.28</v>
      </c>
      <c r="BH33" s="1">
        <f ca="1">IFERROR(__xludf.DUMMYFUNCTION("if(BH$2="""","""", index(GOOGLEFINANCE($B$33,""close"",BH$2,TODAY()),2,2))"),16.06)</f>
        <v>16.059999999999999</v>
      </c>
      <c r="BI33" s="1">
        <f ca="1">IFERROR(__xludf.DUMMYFUNCTION("if(BI$2="""","""", index(GOOGLEFINANCE($B$33,""close"",BI$2,TODAY()),2,2))"),15.85)</f>
        <v>15.85</v>
      </c>
      <c r="BJ33" s="1">
        <f ca="1">IFERROR(__xludf.DUMMYFUNCTION("if(BJ$2="""","""", index(GOOGLEFINANCE($B$33,""close"",BJ$2,TODAY()),2,2))"),15.87)</f>
        <v>15.87</v>
      </c>
      <c r="BK33" s="1">
        <f ca="1">IFERROR(__xludf.DUMMYFUNCTION("if(BK$2="""","""", index(GOOGLEFINANCE($B$33,""close"",BK$2,TODAY()),2,2))"),15.69)</f>
        <v>15.69</v>
      </c>
      <c r="BL33" s="1">
        <f ca="1">IFERROR(__xludf.DUMMYFUNCTION("if(BL$2="""","""", index(GOOGLEFINANCE($B$33,""close"",BL$2,TODAY()),2,2))"),15.52)</f>
        <v>15.52</v>
      </c>
      <c r="BM33" s="1">
        <f ca="1">IFERROR(__xludf.DUMMYFUNCTION("if(BM$2="""","""", index(GOOGLEFINANCE($B$33,""close"",BM$2,TODAY()),2,2))"),15.77)</f>
        <v>15.77</v>
      </c>
      <c r="BN33" s="1">
        <f ca="1">IFERROR(__xludf.DUMMYFUNCTION("if(BN$2="""","""", index(GOOGLEFINANCE($B$33,""close"",BN$2,TODAY()),2,2))"),15.71)</f>
        <v>15.71</v>
      </c>
      <c r="BO33" s="1">
        <f ca="1">IFERROR(__xludf.DUMMYFUNCTION("if(BO$2="""","""", index(GOOGLEFINANCE($B$33,""close"",BO$2,TODAY()),2,2))"),15.47)</f>
        <v>15.47</v>
      </c>
      <c r="BP33" s="1">
        <f ca="1">IFERROR(__xludf.DUMMYFUNCTION("if(BP$2="""","""", index(GOOGLEFINANCE($B$33,""close"",BP$2,TODAY()),2,2))"),15.42)</f>
        <v>15.42</v>
      </c>
      <c r="BQ33" s="1">
        <f ca="1">IFERROR(__xludf.DUMMYFUNCTION("if(BQ$2="""","""", index(GOOGLEFINANCE($B$33,""close"",BQ$2,TODAY()),2,2))"),15.53)</f>
        <v>15.53</v>
      </c>
      <c r="BR33" s="1">
        <f ca="1">IFERROR(__xludf.DUMMYFUNCTION("if(BR$2="""","""", index(GOOGLEFINANCE($B$33,""close"",BR$2,TODAY()),2,2))"),15.31)</f>
        <v>15.31</v>
      </c>
      <c r="BS33" s="1">
        <f ca="1">IFERROR(__xludf.DUMMYFUNCTION("if(BS$2="""","""", index(GOOGLEFINANCE($B$33,""close"",BS$2,TODAY()),2,2))"),15.33)</f>
        <v>15.33</v>
      </c>
      <c r="BT33" s="1">
        <f ca="1">IFERROR(__xludf.DUMMYFUNCTION("if(BT$2="""","""", index(GOOGLEFINANCE($B$33,""close"",BT$2,TODAY()),2,2))"),15.45)</f>
        <v>15.45</v>
      </c>
      <c r="BU33" s="1">
        <f ca="1">IFERROR(__xludf.DUMMYFUNCTION("if(BU$2="""","""", index(GOOGLEFINANCE($B$33,""close"",BU$2,TODAY()),2,2))"),15.86)</f>
        <v>15.86</v>
      </c>
      <c r="BV33" s="1">
        <f ca="1">IFERROR(__xludf.DUMMYFUNCTION("if(BV$2="""","""", index(GOOGLEFINANCE($B$33,""close"",BV$2,TODAY()),2,2))"),16)</f>
        <v>16</v>
      </c>
      <c r="BW33" s="1">
        <f ca="1">IFERROR(__xludf.DUMMYFUNCTION("if(BW$2="""","""", index(GOOGLEFINANCE($B$33,""close"",BW$2,TODAY()),2,2))"),15.91)</f>
        <v>15.91</v>
      </c>
      <c r="BX33" s="1">
        <f ca="1">IFERROR(__xludf.DUMMYFUNCTION("if(BX$2="""","""", index(GOOGLEFINANCE($B$33,""close"",BX$2,TODAY()),2,2))"),16.45)</f>
        <v>16.45</v>
      </c>
      <c r="BY33" s="1">
        <f ca="1">IFERROR(__xludf.DUMMYFUNCTION("if(BY$2="""","""", index(GOOGLEFINANCE($B$33,""close"",BY$2,TODAY()),2,2))"),16.54)</f>
        <v>16.54</v>
      </c>
      <c r="BZ33" s="1">
        <f ca="1">IFERROR(__xludf.DUMMYFUNCTION("if(BZ$2="""","""", index(GOOGLEFINANCE($B$33,""close"",BZ$2,TODAY()),2,2))"),16.35)</f>
        <v>16.350000000000001</v>
      </c>
      <c r="CA33" s="1">
        <f ca="1">IFERROR(__xludf.DUMMYFUNCTION("if(CA$2="""","""", index(GOOGLEFINANCE($B$33,""close"",CA$2,TODAY()),2,2))"),15.9)</f>
        <v>15.9</v>
      </c>
      <c r="CB33" s="1">
        <f ca="1">IFERROR(__xludf.DUMMYFUNCTION("if(CB$2="""","""", index(GOOGLEFINANCE($B$33,""close"",CB$2,TODAY()),2,2))"),15.82)</f>
        <v>15.82</v>
      </c>
      <c r="CC33" s="1">
        <f ca="1">IFERROR(__xludf.DUMMYFUNCTION("if(CC$2="""","""", index(GOOGLEFINANCE($B$33,""close"",CC$2,TODAY()),2,2))"),15.52)</f>
        <v>15.52</v>
      </c>
      <c r="CD33" s="1">
        <f ca="1">IFERROR(__xludf.DUMMYFUNCTION("if(CD$2="""","""", index(GOOGLEFINANCE($B$33,""close"",CD$2,TODAY()),2,2))"),15.45)</f>
        <v>15.45</v>
      </c>
      <c r="CE33" s="1">
        <f ca="1">IFERROR(__xludf.DUMMYFUNCTION("if(CE$2="""","""", index(GOOGLEFINANCE($B$33,""close"",CE$2,TODAY()),2,2))"),15.41)</f>
        <v>15.41</v>
      </c>
      <c r="CF33" s="1">
        <f ca="1">IFERROR(__xludf.DUMMYFUNCTION("if(CF$2="""","""", index(GOOGLEFINANCE($B$33,""close"",CF$2,TODAY()),2,2))"),15.22)</f>
        <v>15.22</v>
      </c>
      <c r="CG33" s="1">
        <f ca="1">IFERROR(__xludf.DUMMYFUNCTION("if(CG$2="""","""", index(GOOGLEFINANCE($B$33,""close"",CG$2,TODAY()),2,2))"),15.31)</f>
        <v>15.31</v>
      </c>
      <c r="CH33" s="1">
        <f ca="1">IFERROR(__xludf.DUMMYFUNCTION("if(CH$2="""","""", index(GOOGLEFINANCE($B$33,""close"",CH$2,TODAY()),2,2))"),15.62)</f>
        <v>15.62</v>
      </c>
      <c r="CI33" s="1">
        <f ca="1">IFERROR(__xludf.DUMMYFUNCTION("if(CI$2="""","""", index(GOOGLEFINANCE($B$33,""close"",CI$2,TODAY()),2,2))"),16.03)</f>
        <v>16.03</v>
      </c>
      <c r="CJ33" s="1" t="str">
        <f ca="1">IFERROR(__xludf.DUMMYFUNCTION("if(CJ$2="""","""", index(GOOGLEFINANCE($B$33,""close"",CJ$2,TODAY()),2,2))"),"")</f>
        <v/>
      </c>
      <c r="CK33" s="1" t="str">
        <f ca="1">IFERROR(__xludf.DUMMYFUNCTION("if(CK$2="""","""", index(GOOGLEFINANCE($B$33,""close"",CK$2,TODAY()),2,2))"),"")</f>
        <v/>
      </c>
      <c r="CL33" s="1" t="str">
        <f ca="1">IFERROR(__xludf.DUMMYFUNCTION("if(CL$2="""","""", index(GOOGLEFINANCE($B$33,""close"",CL$2,TODAY()),2,2))"),"")</f>
        <v/>
      </c>
      <c r="CM33" s="1" t="str">
        <f ca="1">IFERROR(__xludf.DUMMYFUNCTION("if(CM$2="""","""", index(GOOGLEFINANCE($B$33,""close"",CM$2,TODAY()),2,2))"),"")</f>
        <v/>
      </c>
      <c r="CN33" s="1" t="str">
        <f ca="1">IFERROR(__xludf.DUMMYFUNCTION("if(CN$2="""","""", index(GOOGLEFINANCE($B$33,""close"",CN$2,TODAY()),2,2))"),"")</f>
        <v/>
      </c>
      <c r="CO33" s="1" t="str">
        <f ca="1">IFERROR(__xludf.DUMMYFUNCTION("if(CO$2="""","""", index(GOOGLEFINANCE($B$33,""close"",CO$2,TODAY()),2,2))"),"")</f>
        <v/>
      </c>
      <c r="CP33" s="1" t="str">
        <f ca="1">IFERROR(__xludf.DUMMYFUNCTION("if(CP$2="""","""", index(GOOGLEFINANCE($B$33,""close"",CP$2,TODAY()),2,2))"),"")</f>
        <v/>
      </c>
      <c r="CQ33" s="1" t="str">
        <f ca="1">IFERROR(__xludf.DUMMYFUNCTION("if(CQ$2="""","""", index(GOOGLEFINANCE($B$33,""close"",CQ$2,TODAY()),2,2))"),"")</f>
        <v/>
      </c>
      <c r="CR33" s="1" t="str">
        <f ca="1">IFERROR(__xludf.DUMMYFUNCTION("if(CR$2="""","""", index(GOOGLEFINANCE($B$33,""close"",CR$2,TODAY()),2,2))"),"")</f>
        <v/>
      </c>
      <c r="CS33" s="1" t="str">
        <f ca="1">IFERROR(__xludf.DUMMYFUNCTION("if(CS$2="""","""", index(GOOGLEFINANCE($B$33,""close"",CS$2,TODAY()),2,2))"),"")</f>
        <v/>
      </c>
      <c r="CT33" s="1" t="str">
        <f ca="1">IFERROR(__xludf.DUMMYFUNCTION("if(CT$2="""","""", index(GOOGLEFINANCE($B$33,""close"",CT$2,TODAY()),2,2))"),"")</f>
        <v/>
      </c>
      <c r="CU33" s="1" t="str">
        <f ca="1">IFERROR(__xludf.DUMMYFUNCTION("if(CU$2="""","""", index(GOOGLEFINANCE($B$33,""close"",CU$2,TODAY()),2,2))"),"")</f>
        <v/>
      </c>
      <c r="CV33" s="1" t="str">
        <f ca="1">IFERROR(__xludf.DUMMYFUNCTION("if(CV$2="""","""", index(GOOGLEFINANCE($B$33,""close"",CV$2,TODAY()),2,2))"),"")</f>
        <v/>
      </c>
      <c r="CW33" s="1" t="str">
        <f ca="1">IFERROR(__xludf.DUMMYFUNCTION("if(CW$2="""","""", index(GOOGLEFINANCE($B$33,""close"",CW$2,TODAY()),2,2))"),"")</f>
        <v/>
      </c>
      <c r="CX33" s="1" t="str">
        <f ca="1">IFERROR(__xludf.DUMMYFUNCTION("if(CX$2="""","""", index(GOOGLEFINANCE($B$33,""close"",CX$2,TODAY()),2,2))"),"")</f>
        <v/>
      </c>
      <c r="CY33" s="1" t="str">
        <f ca="1">IFERROR(__xludf.DUMMYFUNCTION("if(CY$2="""","""", index(GOOGLEFINANCE($B$33,""close"",CY$2,TODAY()),2,2))"),"")</f>
        <v/>
      </c>
      <c r="CZ33" s="1" t="str">
        <f ca="1">IFERROR(__xludf.DUMMYFUNCTION("if(CZ$2="""","""", index(GOOGLEFINANCE($B$33,""close"",CZ$2,TODAY()),2,2))"),"")</f>
        <v/>
      </c>
      <c r="DA33" s="1" t="str">
        <f ca="1">IFERROR(__xludf.DUMMYFUNCTION("if(DA$2="""","""", index(GOOGLEFINANCE($B$33,""close"",DA$2,TODAY()),2,2))"),"")</f>
        <v/>
      </c>
      <c r="DB33" s="1" t="str">
        <f ca="1">IFERROR(__xludf.DUMMYFUNCTION("if(DB$2="""","""", index(GOOGLEFINANCE($B$33,""close"",DB$2,TODAY()),2,2))"),"")</f>
        <v/>
      </c>
      <c r="DC33" s="1" t="str">
        <f ca="1">IFERROR(__xludf.DUMMYFUNCTION("if(DC$2="""","""", index(GOOGLEFINANCE($B$33,""close"",DC$2,TODAY()),2,2))"),"")</f>
        <v/>
      </c>
      <c r="DD33" s="1" t="str">
        <f ca="1">IFERROR(__xludf.DUMMYFUNCTION("if(DD$2="""","""", index(GOOGLEFINANCE($B$33,""close"",DD$2,TODAY()),2,2))"),"")</f>
        <v/>
      </c>
      <c r="DE33" s="1" t="str">
        <f ca="1">IFERROR(__xludf.DUMMYFUNCTION("if(DE$2="""","""", index(GOOGLEFINANCE($B$33,""close"",DE$2,TODAY()),2,2))"),"")</f>
        <v/>
      </c>
      <c r="DF33" s="1" t="str">
        <f ca="1">IFERROR(__xludf.DUMMYFUNCTION("if(DF$2="""","""", index(GOOGLEFINANCE($B$33,""close"",DF$2,TODAY()),2,2))"),"")</f>
        <v/>
      </c>
      <c r="DG33" s="1" t="str">
        <f ca="1">IFERROR(__xludf.DUMMYFUNCTION("if(DG$2="""","""", index(GOOGLEFINANCE($B$33,""close"",DG$2,TODAY()),2,2))"),"")</f>
        <v/>
      </c>
      <c r="DH33" s="1" t="str">
        <f ca="1">IFERROR(__xludf.DUMMYFUNCTION("if(DH$2="""","""", index(GOOGLEFINANCE($B$33,""close"",DH$2,TODAY()),2,2))"),"")</f>
        <v/>
      </c>
      <c r="DI33" s="1" t="str">
        <f ca="1">IFERROR(__xludf.DUMMYFUNCTION("if(DI$2="""","""", index(GOOGLEFINANCE($B$33,""close"",DI$2,TODAY()),2,2))"),"")</f>
        <v/>
      </c>
      <c r="DJ33" s="1" t="str">
        <f ca="1">IFERROR(__xludf.DUMMYFUNCTION("if(DJ$2="""","""", index(GOOGLEFINANCE($B$33,""close"",DJ$2,TODAY()),2,2))"),"")</f>
        <v/>
      </c>
      <c r="DK33" s="1" t="str">
        <f ca="1">IFERROR(__xludf.DUMMYFUNCTION("if(DK$2="""","""", index(GOOGLEFINANCE($B$33,""close"",DK$2,TODAY()),2,2))"),"")</f>
        <v/>
      </c>
      <c r="DL33" s="1" t="str">
        <f ca="1">IFERROR(__xludf.DUMMYFUNCTION("if(DL$2="""","""", index(GOOGLEFINANCE($B$33,""close"",DL$2,TODAY()),2,2))"),"")</f>
        <v/>
      </c>
      <c r="DM33" s="1" t="str">
        <f ca="1">IFERROR(__xludf.DUMMYFUNCTION("if(DM$2="""","""", index(GOOGLEFINANCE($B$33,""close"",DM$2,TODAY()),2,2))"),"")</f>
        <v/>
      </c>
      <c r="DN33" s="1" t="str">
        <f ca="1">IFERROR(__xludf.DUMMYFUNCTION("if(DN$2="""","""", index(GOOGLEFINANCE($B$33,""close"",DN$2,TODAY()),2,2))"),"")</f>
        <v/>
      </c>
      <c r="DO33" s="1" t="str">
        <f ca="1">IFERROR(__xludf.DUMMYFUNCTION("if(DO$2="""","""", index(GOOGLEFINANCE($B$33,""close"",DO$2,TODAY()),2,2))"),"")</f>
        <v/>
      </c>
      <c r="DP33" s="1" t="str">
        <f ca="1">IFERROR(__xludf.DUMMYFUNCTION("if(DP$2="""","""", index(GOOGLEFINANCE($B$33,""close"",DP$2,TODAY()),2,2))"),"")</f>
        <v/>
      </c>
      <c r="DQ33" s="1" t="str">
        <f ca="1">IFERROR(__xludf.DUMMYFUNCTION("if(DQ$2="""","""", index(GOOGLEFINANCE($B$33,""close"",DQ$2,TODAY()),2,2))"),"")</f>
        <v/>
      </c>
      <c r="DR33" s="1" t="str">
        <f ca="1">IFERROR(__xludf.DUMMYFUNCTION("if(DR$2="""","""", index(GOOGLEFINANCE($B$33,""close"",DR$2,TODAY()),2,2))"),"")</f>
        <v/>
      </c>
      <c r="DS33" s="1" t="str">
        <f ca="1">IFERROR(__xludf.DUMMYFUNCTION("if(DS$2="""","""", index(GOOGLEFINANCE($B$33,""close"",DS$2,TODAY()),2,2))"),"")</f>
        <v/>
      </c>
      <c r="DT33" s="1" t="str">
        <f ca="1">IFERROR(__xludf.DUMMYFUNCTION("if(DT$2="""","""", index(GOOGLEFINANCE($B$33,""close"",DT$2,TODAY()),2,2))"),"")</f>
        <v/>
      </c>
      <c r="DU33" s="1" t="str">
        <f ca="1">IFERROR(__xludf.DUMMYFUNCTION("if(DU$2="""","""", index(GOOGLEFINANCE($B$33,""close"",DU$2,TODAY()),2,2))"),"")</f>
        <v/>
      </c>
      <c r="DV33" s="1" t="str">
        <f ca="1">IFERROR(__xludf.DUMMYFUNCTION("if(DV$2="""","""", index(GOOGLEFINANCE($B$33,""close"",DV$2,TODAY()),2,2))"),"")</f>
        <v/>
      </c>
      <c r="DW33" s="1" t="str">
        <f ca="1">IFERROR(__xludf.DUMMYFUNCTION("if(DW$2="""","""", index(GOOGLEFINANCE($B$33,""close"",DW$2,TODAY()),2,2))"),"")</f>
        <v/>
      </c>
      <c r="DX33" s="1" t="str">
        <f ca="1">IFERROR(__xludf.DUMMYFUNCTION("if(DX$2="""","""", index(GOOGLEFINANCE($B$33,""close"",DX$2,TODAY()),2,2))"),"")</f>
        <v/>
      </c>
      <c r="DY33" s="1" t="str">
        <f ca="1">IFERROR(__xludf.DUMMYFUNCTION("if(DY$2="""","""", index(GOOGLEFINANCE($B$33,""close"",DY$2,TODAY()),2,2))"),"")</f>
        <v/>
      </c>
      <c r="DZ33" s="1" t="str">
        <f ca="1">IFERROR(__xludf.DUMMYFUNCTION("if(DZ$2="""","""", index(GOOGLEFINANCE($B$33,""close"",DZ$2,TODAY()),2,2))"),"")</f>
        <v/>
      </c>
      <c r="EA33" s="1" t="str">
        <f ca="1">IFERROR(__xludf.DUMMYFUNCTION("if(EA$2="""","""", index(GOOGLEFINANCE($B$33,""close"",EA$2,TODAY()),2,2))"),"")</f>
        <v/>
      </c>
      <c r="EB33" s="1" t="str">
        <f ca="1">IFERROR(__xludf.DUMMYFUNCTION("if(EB$2="""","""", index(GOOGLEFINANCE($B$33,""close"",EB$2,TODAY()),2,2))"),"")</f>
        <v/>
      </c>
      <c r="EC33" s="1" t="str">
        <f ca="1">IFERROR(__xludf.DUMMYFUNCTION("if(EC$2="""","""", index(GOOGLEFINANCE($B$33,""close"",EC$2,TODAY()),2,2))"),"")</f>
        <v/>
      </c>
      <c r="ED33" s="1" t="str">
        <f ca="1">IFERROR(__xludf.DUMMYFUNCTION("if(ED$2="""","""", index(GOOGLEFINANCE($B$33,""close"",ED$2,TODAY()),2,2))"),"")</f>
        <v/>
      </c>
      <c r="EE33" s="1" t="str">
        <f ca="1">IFERROR(__xludf.DUMMYFUNCTION("if(EE$2="""","""", index(GOOGLEFINANCE($B$33,""close"",EE$2,TODAY()),2,2))"),"")</f>
        <v/>
      </c>
      <c r="EF33" s="1" t="str">
        <f ca="1">IFERROR(__xludf.DUMMYFUNCTION("if(EF$2="""","""", index(GOOGLEFINANCE($B$33,""close"",EF$2,TODAY()),2,2))"),"")</f>
        <v/>
      </c>
      <c r="EG33" s="1" t="str">
        <f ca="1">IFERROR(__xludf.DUMMYFUNCTION("if(EG$2="""","""", index(GOOGLEFINANCE($B$33,""close"",EG$2,TODAY()),2,2))"),"")</f>
        <v/>
      </c>
      <c r="EH33" s="1" t="str">
        <f ca="1">IFERROR(__xludf.DUMMYFUNCTION("if(EH$2="""","""", index(GOOGLEFINANCE($B$33,""close"",EH$2,TODAY()),2,2))"),"")</f>
        <v/>
      </c>
      <c r="EI33" s="1" t="str">
        <f ca="1">IFERROR(__xludf.DUMMYFUNCTION("if(EI$2="""","""", index(GOOGLEFINANCE($B$33,""close"",EI$2,TODAY()),2,2))"),"")</f>
        <v/>
      </c>
      <c r="EJ33" s="1" t="str">
        <f ca="1">IFERROR(__xludf.DUMMYFUNCTION("if(EJ$2="""","""", index(GOOGLEFINANCE($B$33,""close"",EJ$2,TODAY()),2,2))"),"")</f>
        <v/>
      </c>
      <c r="EK33" s="1" t="str">
        <f ca="1">IFERROR(__xludf.DUMMYFUNCTION("if(EK$2="""","""", index(GOOGLEFINANCE($B$33,""close"",EK$2,TODAY()),2,2))"),"")</f>
        <v/>
      </c>
      <c r="EL33" s="1" t="str">
        <f ca="1">IFERROR(__xludf.DUMMYFUNCTION("if(EL$2="""","""", index(GOOGLEFINANCE($B$33,""close"",EL$2,TODAY()),2,2))"),"")</f>
        <v/>
      </c>
      <c r="EM33" s="1" t="str">
        <f ca="1">IFERROR(__xludf.DUMMYFUNCTION("if(EM$2="""","""", index(GOOGLEFINANCE($B$33,""close"",EM$2,TODAY()),2,2))"),"")</f>
        <v/>
      </c>
      <c r="EN33" s="1" t="str">
        <f ca="1">IFERROR(__xludf.DUMMYFUNCTION("if(EN$2="""","""", index(GOOGLEFINANCE($B$33,""close"",EN$2,TODAY()),2,2))"),"")</f>
        <v/>
      </c>
      <c r="EO33" s="1" t="str">
        <f ca="1">IFERROR(__xludf.DUMMYFUNCTION("if(EO$2="""","""", index(GOOGLEFINANCE($B$33,""close"",EO$2,TODAY()),2,2))"),"")</f>
        <v/>
      </c>
      <c r="EP33" s="1" t="str">
        <f ca="1">IFERROR(__xludf.DUMMYFUNCTION("if(EP$2="""","""", index(GOOGLEFINANCE($B$33,""close"",EP$2,TODAY()),2,2))"),"")</f>
        <v/>
      </c>
      <c r="EQ33" s="1" t="str">
        <f ca="1">IFERROR(__xludf.DUMMYFUNCTION("if(EQ$2="""","""", index(GOOGLEFINANCE($B$33,""close"",EQ$2,TODAY()),2,2))"),"")</f>
        <v/>
      </c>
      <c r="ER33" s="1" t="str">
        <f ca="1">IFERROR(__xludf.DUMMYFUNCTION("if(ER$2="""","""", index(GOOGLEFINANCE($B$33,""close"",ER$2,TODAY()),2,2))"),"")</f>
        <v/>
      </c>
      <c r="ES33" s="1" t="str">
        <f ca="1">IFERROR(__xludf.DUMMYFUNCTION("if(ES$2="""","""", index(GOOGLEFINANCE($B$33,""close"",ES$2,TODAY()),2,2))"),"")</f>
        <v/>
      </c>
      <c r="ET33" s="1" t="str">
        <f ca="1">IFERROR(__xludf.DUMMYFUNCTION("if(ET$2="""","""", index(GOOGLEFINANCE($B$33,""close"",ET$2,TODAY()),2,2))"),"")</f>
        <v/>
      </c>
      <c r="EU33" s="1" t="str">
        <f ca="1">IFERROR(__xludf.DUMMYFUNCTION("if(EU$2="""","""", index(GOOGLEFINANCE($B$33,""close"",EU$2,TODAY()),2,2))"),"")</f>
        <v/>
      </c>
      <c r="EV33" s="1" t="str">
        <f ca="1">IFERROR(__xludf.DUMMYFUNCTION("if(EV$2="""","""", index(GOOGLEFINANCE($B$33,""close"",EV$2,TODAY()),2,2))"),"")</f>
        <v/>
      </c>
      <c r="EW33" s="1" t="str">
        <f ca="1">IFERROR(__xludf.DUMMYFUNCTION("if(EW$2="""","""", index(GOOGLEFINANCE($B$33,""close"",EW$2,TODAY()),2,2))"),"")</f>
        <v/>
      </c>
      <c r="EX33" s="1" t="str">
        <f ca="1">IFERROR(__xludf.DUMMYFUNCTION("if(EX$2="""","""", index(GOOGLEFINANCE($B$33,""close"",EX$2,TODAY()),2,2))"),"")</f>
        <v/>
      </c>
      <c r="EY33" s="1" t="str">
        <f ca="1">IFERROR(__xludf.DUMMYFUNCTION("if(EY$2="""","""", index(GOOGLEFINANCE($B$33,""close"",EY$2,TODAY()),2,2))"),"")</f>
        <v/>
      </c>
      <c r="EZ33" s="1" t="str">
        <f ca="1">IFERROR(__xludf.DUMMYFUNCTION("if(EZ$2="""","""", index(GOOGLEFINANCE($B$33,""close"",EZ$2,TODAY()),2,2))"),"")</f>
        <v/>
      </c>
      <c r="FA33" s="1" t="str">
        <f ca="1">IFERROR(__xludf.DUMMYFUNCTION("if(FA$2="""","""", index(GOOGLEFINANCE($B$33,""close"",FA$2,TODAY()),2,2))"),"")</f>
        <v/>
      </c>
      <c r="FB33" s="1" t="str">
        <f ca="1">IFERROR(__xludf.DUMMYFUNCTION("if(FB$2="""","""", index(GOOGLEFINANCE($B$33,""close"",FB$2,TODAY()),2,2))"),"")</f>
        <v/>
      </c>
      <c r="FC33" s="1" t="str">
        <f ca="1">IFERROR(__xludf.DUMMYFUNCTION("if(FC$2="""","""", index(GOOGLEFINANCE($B$33,""close"",FC$2,TODAY()),2,2))"),"")</f>
        <v/>
      </c>
      <c r="FD33" s="1" t="str">
        <f ca="1">IFERROR(__xludf.DUMMYFUNCTION("if(FD$2="""","""", index(GOOGLEFINANCE($B$33,""close"",FD$2,TODAY()),2,2))"),"")</f>
        <v/>
      </c>
      <c r="FE33" s="1" t="str">
        <f ca="1">IFERROR(__xludf.DUMMYFUNCTION("if(FE$2="""","""", index(GOOGLEFINANCE($B$33,""close"",FE$2,TODAY()),2,2))"),"")</f>
        <v/>
      </c>
      <c r="FF33" s="1" t="str">
        <f ca="1">IFERROR(__xludf.DUMMYFUNCTION("if(FF$2="""","""", index(GOOGLEFINANCE($B$33,""close"",FF$2,TODAY()),2,2))"),"")</f>
        <v/>
      </c>
      <c r="FG33" s="1" t="str">
        <f ca="1">IFERROR(__xludf.DUMMYFUNCTION("if(FG$2="""","""", index(GOOGLEFINANCE($B$33,""close"",FG$2,TODAY()),2,2))"),"")</f>
        <v/>
      </c>
      <c r="FH33" s="1" t="str">
        <f ca="1">IFERROR(__xludf.DUMMYFUNCTION("if(FH$2="""","""", index(GOOGLEFINANCE($B$33,""close"",FH$2,TODAY()),2,2))"),"")</f>
        <v/>
      </c>
      <c r="FI33" s="1" t="str">
        <f ca="1">IFERROR(__xludf.DUMMYFUNCTION("if(FI$2="""","""", index(GOOGLEFINANCE($B$33,""close"",FI$2,TODAY()),2,2))"),"")</f>
        <v/>
      </c>
      <c r="FJ33" s="1" t="str">
        <f ca="1">IFERROR(__xludf.DUMMYFUNCTION("if(FJ$2="""","""", index(GOOGLEFINANCE($B$33,""close"",FJ$2,TODAY()),2,2))"),"")</f>
        <v/>
      </c>
      <c r="FK33" s="1" t="str">
        <f ca="1">IFERROR(__xludf.DUMMYFUNCTION("if(FK$2="""","""", index(GOOGLEFINANCE($B$33,""close"",FK$2,TODAY()),2,2))"),"")</f>
        <v/>
      </c>
      <c r="FL33" s="1" t="str">
        <f ca="1">IFERROR(__xludf.DUMMYFUNCTION("if(FL$2="""","""", index(GOOGLEFINANCE($B$33,""close"",FL$2,TODAY()),2,2))"),"")</f>
        <v/>
      </c>
      <c r="FM33" s="1" t="str">
        <f ca="1">IFERROR(__xludf.DUMMYFUNCTION("if(FM$2="""","""", index(GOOGLEFINANCE($B$33,""close"",FM$2,TODAY()),2,2))"),"")</f>
        <v/>
      </c>
      <c r="FN33" s="1" t="str">
        <f ca="1">IFERROR(__xludf.DUMMYFUNCTION("if(FN$2="""","""", index(GOOGLEFINANCE($B$33,""close"",FN$2,TODAY()),2,2))"),"")</f>
        <v/>
      </c>
      <c r="FO33" s="1" t="str">
        <f ca="1">IFERROR(__xludf.DUMMYFUNCTION("if(FO$2="""","""", index(GOOGLEFINANCE($B$33,""close"",FO$2,TODAY()),2,2))"),"")</f>
        <v/>
      </c>
      <c r="FP33" s="1" t="str">
        <f ca="1">IFERROR(__xludf.DUMMYFUNCTION("if(FP$2="""","""", index(GOOGLEFINANCE($B$33,""close"",FP$2,TODAY()),2,2))"),"")</f>
        <v/>
      </c>
      <c r="FQ33" s="1" t="str">
        <f ca="1">IFERROR(__xludf.DUMMYFUNCTION("if(FQ$2="""","""", index(GOOGLEFINANCE($B$33,""close"",FQ$2,TODAY()),2,2))"),"")</f>
        <v/>
      </c>
      <c r="FR33" s="1" t="str">
        <f ca="1">IFERROR(__xludf.DUMMYFUNCTION("if(FR$2="""","""", index(GOOGLEFINANCE($B$33,""close"",FR$2,TODAY()),2,2))"),"")</f>
        <v/>
      </c>
      <c r="FS33" s="1" t="str">
        <f ca="1">IFERROR(__xludf.DUMMYFUNCTION("if(FS$2="""","""", index(GOOGLEFINANCE($B$33,""close"",FS$2,TODAY()),2,2))"),"")</f>
        <v/>
      </c>
      <c r="FT33" s="1" t="str">
        <f ca="1">IFERROR(__xludf.DUMMYFUNCTION("if(FT$2="""","""", index(GOOGLEFINANCE($B$33,""close"",FT$2,TODAY()),2,2))"),"")</f>
        <v/>
      </c>
      <c r="FU33" s="1" t="str">
        <f ca="1">IFERROR(__xludf.DUMMYFUNCTION("if(FU$2="""","""", index(GOOGLEFINANCE($B$33,""close"",FU$2,TODAY()),2,2))"),"")</f>
        <v/>
      </c>
      <c r="FV33" s="1" t="str">
        <f ca="1">IFERROR(__xludf.DUMMYFUNCTION("if(FV$2="""","""", index(GOOGLEFINANCE($B$33,""close"",FV$2,TODAY()),2,2))"),"")</f>
        <v/>
      </c>
      <c r="FW33" s="1" t="str">
        <f ca="1">IFERROR(__xludf.DUMMYFUNCTION("if(FW$2="""","""", index(GOOGLEFINANCE($B$33,""close"",FW$2,TODAY()),2,2))"),"")</f>
        <v/>
      </c>
      <c r="FX33" s="1" t="str">
        <f ca="1">IFERROR(__xludf.DUMMYFUNCTION("if(FX$2="""","""", index(GOOGLEFINANCE($B$33,""close"",FX$2,TODAY()),2,2))"),"")</f>
        <v/>
      </c>
      <c r="FY33" s="1" t="str">
        <f ca="1">IFERROR(__xludf.DUMMYFUNCTION("if(FY$2="""","""", index(GOOGLEFINANCE($B$33,""close"",FY$2,TODAY()),2,2))"),"")</f>
        <v/>
      </c>
      <c r="FZ33" s="1" t="str">
        <f ca="1">IFERROR(__xludf.DUMMYFUNCTION("if(FZ$2="""","""", index(GOOGLEFINANCE($B$33,""close"",FZ$2,TODAY()),2,2))"),"")</f>
        <v/>
      </c>
      <c r="GA33" s="1" t="str">
        <f ca="1">IFERROR(__xludf.DUMMYFUNCTION("if(GA$2="""","""", index(GOOGLEFINANCE($B$33,""close"",GA$2,TODAY()),2,2))"),"")</f>
        <v/>
      </c>
      <c r="GB33" s="1" t="str">
        <f ca="1">IFERROR(__xludf.DUMMYFUNCTION("if(GB$2="""","""", index(GOOGLEFINANCE($B$33,""close"",GB$2,TODAY()),2,2))"),"")</f>
        <v/>
      </c>
      <c r="GC33" s="1" t="str">
        <f ca="1">IFERROR(__xludf.DUMMYFUNCTION("if(GC$2="""","""", index(GOOGLEFINANCE($B$33,""close"",GC$2,TODAY()),2,2))"),"")</f>
        <v/>
      </c>
      <c r="GD33" s="1" t="str">
        <f ca="1">IFERROR(__xludf.DUMMYFUNCTION("if(GD$2="""","""", index(GOOGLEFINANCE($B$33,""close"",GD$2,TODAY()),2,2))"),"")</f>
        <v/>
      </c>
      <c r="GE33" s="1" t="str">
        <f ca="1">IFERROR(__xludf.DUMMYFUNCTION("if(GE$2="""","""", index(GOOGLEFINANCE($B$33,""close"",GE$2,TODAY()),2,2))"),"")</f>
        <v/>
      </c>
      <c r="GF33" s="1" t="str">
        <f ca="1">IFERROR(__xludf.DUMMYFUNCTION("if(GF$2="""","""", index(GOOGLEFINANCE($B$33,""close"",GF$2,TODAY()),2,2))"),"")</f>
        <v/>
      </c>
      <c r="GG33" s="1" t="str">
        <f ca="1">IFERROR(__xludf.DUMMYFUNCTION("if(GG$2="""","""", index(GOOGLEFINANCE($B$33,""close"",GG$2,TODAY()),2,2))"),"")</f>
        <v/>
      </c>
      <c r="GH33" s="1" t="str">
        <f ca="1">IFERROR(__xludf.DUMMYFUNCTION("if(GH$2="""","""", index(GOOGLEFINANCE($B$33,""close"",GH$2,TODAY()),2,2))"),"")</f>
        <v/>
      </c>
      <c r="GI33" s="1" t="str">
        <f ca="1">IFERROR(__xludf.DUMMYFUNCTION("if(GI$2="""","""", index(GOOGLEFINANCE($B$33,""close"",GI$2,TODAY()),2,2))"),"")</f>
        <v/>
      </c>
      <c r="GJ33" s="1" t="str">
        <f ca="1">IFERROR(__xludf.DUMMYFUNCTION("if(GJ$2="""","""", index(GOOGLEFINANCE($B$33,""close"",GJ$2,TODAY()),2,2))"),"")</f>
        <v/>
      </c>
      <c r="GK33" s="1" t="str">
        <f ca="1">IFERROR(__xludf.DUMMYFUNCTION("if(GK$2="""","""", index(GOOGLEFINANCE($B$33,""close"",GK$2,TODAY()),2,2))"),"")</f>
        <v/>
      </c>
      <c r="GL33" s="1" t="str">
        <f ca="1">IFERROR(__xludf.DUMMYFUNCTION("if(GL$2="""","""", index(GOOGLEFINANCE($B$33,""close"",GL$2,TODAY()),2,2))"),"")</f>
        <v/>
      </c>
      <c r="GM33" s="1" t="str">
        <f ca="1">IFERROR(__xludf.DUMMYFUNCTION("if(GM$2="""","""", index(GOOGLEFINANCE($B$33,""close"",GM$2,TODAY()),2,2))"),"")</f>
        <v/>
      </c>
      <c r="GN33" s="1" t="str">
        <f ca="1">IFERROR(__xludf.DUMMYFUNCTION("if(GN$2="""","""", index(GOOGLEFINANCE($B$33,""close"",GN$2,TODAY()),2,2))"),"")</f>
        <v/>
      </c>
      <c r="GO33" s="1" t="str">
        <f ca="1">IFERROR(__xludf.DUMMYFUNCTION("if(GO$2="""","""", index(GOOGLEFINANCE($B$33,""close"",GO$2,TODAY()),2,2))"),"")</f>
        <v/>
      </c>
      <c r="GP33" s="1" t="str">
        <f ca="1">IFERROR(__xludf.DUMMYFUNCTION("if(GP$2="""","""", index(GOOGLEFINANCE($B$33,""close"",GP$2,TODAY()),2,2))"),"")</f>
        <v/>
      </c>
      <c r="GQ33" s="1" t="str">
        <f ca="1">IFERROR(__xludf.DUMMYFUNCTION("if(GQ$2="""","""", index(GOOGLEFINANCE($B$33,""close"",GQ$2,TODAY()),2,2))"),"")</f>
        <v/>
      </c>
      <c r="GR33" s="1" t="str">
        <f ca="1">IFERROR(__xludf.DUMMYFUNCTION("if(GR$2="""","""", index(GOOGLEFINANCE($B$33,""close"",GR$2,TODAY()),2,2))"),"")</f>
        <v/>
      </c>
      <c r="GS33" s="1" t="str">
        <f ca="1">IFERROR(__xludf.DUMMYFUNCTION("if(GS$2="""","""", index(GOOGLEFINANCE($B$33,""close"",GS$2,TODAY()),2,2))"),"")</f>
        <v/>
      </c>
      <c r="GT33" s="1" t="str">
        <f ca="1">IFERROR(__xludf.DUMMYFUNCTION("if(GT$2="""","""", index(GOOGLEFINANCE($B$33,""close"",GT$2,TODAY()),2,2))"),"")</f>
        <v/>
      </c>
      <c r="GU33" s="1" t="str">
        <f ca="1">IFERROR(__xludf.DUMMYFUNCTION("if(GU$2="""","""", index(GOOGLEFINANCE($B$33,""close"",GU$2,TODAY()),2,2))"),"")</f>
        <v/>
      </c>
      <c r="GV33" s="1" t="str">
        <f ca="1">IFERROR(__xludf.DUMMYFUNCTION("if(GV$2="""","""", index(GOOGLEFINANCE($B$33,""close"",GV$2,TODAY()),2,2))"),"")</f>
        <v/>
      </c>
      <c r="GW33" s="1" t="str">
        <f ca="1">IFERROR(__xludf.DUMMYFUNCTION("if(GW$2="""","""", index(GOOGLEFINANCE($B$33,""close"",GW$2,TODAY()),2,2))"),"")</f>
        <v/>
      </c>
      <c r="GX33" s="1" t="str">
        <f ca="1">IFERROR(__xludf.DUMMYFUNCTION("if(GX$2="""","""", index(GOOGLEFINANCE($B$33,""close"",GX$2,TODAY()),2,2))"),"")</f>
        <v/>
      </c>
      <c r="GY33" s="1" t="str">
        <f ca="1">IFERROR(__xludf.DUMMYFUNCTION("if(GY$2="""","""", index(GOOGLEFINANCE($B$33,""close"",GY$2,TODAY()),2,2))"),"")</f>
        <v/>
      </c>
      <c r="GZ33" s="1" t="str">
        <f ca="1">IFERROR(__xludf.DUMMYFUNCTION("if(GZ$2="""","""", index(GOOGLEFINANCE($B$33,""close"",GZ$2,TODAY()),2,2))"),"")</f>
        <v/>
      </c>
      <c r="HA33" s="1" t="str">
        <f ca="1">IFERROR(__xludf.DUMMYFUNCTION("if(HA$2="""","""", index(GOOGLEFINANCE($B$33,""close"",HA$2,TODAY()),2,2))"),"")</f>
        <v/>
      </c>
      <c r="HB33" s="1" t="str">
        <f ca="1">IFERROR(__xludf.DUMMYFUNCTION("if(HB$2="""","""", index(GOOGLEFINANCE($B$33,""close"",HB$2,TODAY()),2,2))"),"")</f>
        <v/>
      </c>
      <c r="HC33" s="1" t="str">
        <f ca="1">IFERROR(__xludf.DUMMYFUNCTION("if(HC$2="""","""", index(GOOGLEFINANCE($B$33,""close"",HC$2,TODAY()),2,2))"),"")</f>
        <v/>
      </c>
      <c r="HD33" s="1" t="str">
        <f ca="1">IFERROR(__xludf.DUMMYFUNCTION("if(HD$2="""","""", index(GOOGLEFINANCE($B$33,""close"",HD$2,TODAY()),2,2))"),"")</f>
        <v/>
      </c>
      <c r="HE33" s="1" t="str">
        <f ca="1">IFERROR(__xludf.DUMMYFUNCTION("if(HE$2="""","""", index(GOOGLEFINANCE($B$33,""close"",HE$2,TODAY()),2,2))"),"")</f>
        <v/>
      </c>
      <c r="HF33" s="1" t="str">
        <f ca="1">IFERROR(__xludf.DUMMYFUNCTION("if(HF$2="""","""", index(GOOGLEFINANCE($B$33,""close"",HF$2,TODAY()),2,2))"),"")</f>
        <v/>
      </c>
      <c r="HG33" s="1" t="str">
        <f ca="1">IFERROR(__xludf.DUMMYFUNCTION("if(HG$2="""","""", index(GOOGLEFINANCE($B$33,""close"",HG$2,TODAY()),2,2))"),"")</f>
        <v/>
      </c>
      <c r="HH33" s="1" t="str">
        <f ca="1">IFERROR(__xludf.DUMMYFUNCTION("if(HH$2="""","""", index(GOOGLEFINANCE($B$33,""close"",HH$2,TODAY()),2,2))"),"")</f>
        <v/>
      </c>
      <c r="HI33" s="1" t="str">
        <f ca="1">IFERROR(__xludf.DUMMYFUNCTION("if(HI$2="""","""", index(GOOGLEFINANCE($B$33,""close"",HI$2,TODAY()),2,2))"),"")</f>
        <v/>
      </c>
      <c r="HJ33" s="1" t="str">
        <f ca="1">IFERROR(__xludf.DUMMYFUNCTION("if(HJ$2="""","""", index(GOOGLEFINANCE($B$33,""close"",HJ$2,TODAY()),2,2))"),"")</f>
        <v/>
      </c>
      <c r="HK33" s="1" t="str">
        <f ca="1">IFERROR(__xludf.DUMMYFUNCTION("if(HK$2="""","""", index(GOOGLEFINANCE($B$33,""close"",HK$2,TODAY()),2,2))"),"")</f>
        <v/>
      </c>
      <c r="HL33" s="1" t="str">
        <f ca="1">IFERROR(__xludf.DUMMYFUNCTION("if(HL$2="""","""", index(GOOGLEFINANCE($B$33,""close"",HL$2,TODAY()),2,2))"),"")</f>
        <v/>
      </c>
      <c r="HM33" s="1" t="str">
        <f ca="1">IFERROR(__xludf.DUMMYFUNCTION("if(HM$2="""","""", index(GOOGLEFINANCE($B$33,""close"",HM$2,TODAY()),2,2))"),"")</f>
        <v/>
      </c>
      <c r="HN33" s="1" t="str">
        <f ca="1">IFERROR(__xludf.DUMMYFUNCTION("if(HN$2="""","""", index(GOOGLEFINANCE($B$33,""close"",HN$2,TODAY()),2,2))"),"")</f>
        <v/>
      </c>
      <c r="HO33" s="1" t="str">
        <f ca="1">IFERROR(__xludf.DUMMYFUNCTION("if(HO$2="""","""", index(GOOGLEFINANCE($B$33,""close"",HO$2,TODAY()),2,2))"),"")</f>
        <v/>
      </c>
      <c r="HP33" s="1" t="str">
        <f ca="1">IFERROR(__xludf.DUMMYFUNCTION("if(HP$2="""","""", index(GOOGLEFINANCE($B$33,""close"",HP$2,TODAY()),2,2))"),"")</f>
        <v/>
      </c>
      <c r="HQ33" s="1" t="str">
        <f ca="1">IFERROR(__xludf.DUMMYFUNCTION("if(HQ$2="""","""", index(GOOGLEFINANCE($B$33,""close"",HQ$2,TODAY()),2,2))"),"")</f>
        <v/>
      </c>
      <c r="HR33" s="1" t="str">
        <f ca="1">IFERROR(__xludf.DUMMYFUNCTION("if(HR$2="""","""", index(GOOGLEFINANCE($B$33,""close"",HR$2,TODAY()),2,2))"),"")</f>
        <v/>
      </c>
      <c r="HS33" s="1" t="str">
        <f ca="1">IFERROR(__xludf.DUMMYFUNCTION("if(HS$2="""","""", index(GOOGLEFINANCE($B$33,""close"",HS$2,TODAY()),2,2))"),"")</f>
        <v/>
      </c>
      <c r="HT33" s="1" t="str">
        <f ca="1">IFERROR(__xludf.DUMMYFUNCTION("if(HT$2="""","""", index(GOOGLEFINANCE($B$33,""close"",HT$2,TODAY()),2,2))"),"")</f>
        <v/>
      </c>
      <c r="HU33" s="1" t="str">
        <f ca="1">IFERROR(__xludf.DUMMYFUNCTION("if(HU$2="""","""", index(GOOGLEFINANCE($B$33,""close"",HU$2,TODAY()),2,2))"),"")</f>
        <v/>
      </c>
      <c r="HV33" s="1" t="str">
        <f ca="1">IFERROR(__xludf.DUMMYFUNCTION("if(HV$2="""","""", index(GOOGLEFINANCE($B$33,""close"",HV$2,TODAY()),2,2))"),"")</f>
        <v/>
      </c>
      <c r="HW33" s="1" t="str">
        <f ca="1">IFERROR(__xludf.DUMMYFUNCTION("if(HW$2="""","""", index(GOOGLEFINANCE($B$33,""close"",HW$2,TODAY()),2,2))"),"")</f>
        <v/>
      </c>
      <c r="HX33" s="1" t="str">
        <f ca="1">IFERROR(__xludf.DUMMYFUNCTION("if(HX$2="""","""", index(GOOGLEFINANCE($B$33,""close"",HX$2,TODAY()),2,2))"),"")</f>
        <v/>
      </c>
      <c r="HY33" s="1" t="str">
        <f ca="1">IFERROR(__xludf.DUMMYFUNCTION("if(HY$2="""","""", index(GOOGLEFINANCE($B$33,""close"",HY$2,TODAY()),2,2))"),"")</f>
        <v/>
      </c>
      <c r="HZ33" s="1" t="str">
        <f ca="1">IFERROR(__xludf.DUMMYFUNCTION("if(HZ$2="""","""", index(GOOGLEFINANCE($B$33,""close"",HZ$2,TODAY()),2,2))"),"")</f>
        <v/>
      </c>
      <c r="IA33" s="1" t="str">
        <f ca="1">IFERROR(__xludf.DUMMYFUNCTION("if(IA$2="""","""", index(GOOGLEFINANCE($B$33,""close"",IA$2,TODAY()),2,2))"),"")</f>
        <v/>
      </c>
      <c r="IB33" s="1" t="str">
        <f ca="1">IFERROR(__xludf.DUMMYFUNCTION("if(IB$2="""","""", index(GOOGLEFINANCE($B$33,""close"",IB$2,TODAY()),2,2))"),"")</f>
        <v/>
      </c>
      <c r="IC33" s="1" t="str">
        <f ca="1">IFERROR(__xludf.DUMMYFUNCTION("if(IC$2="""","""", index(GOOGLEFINANCE($B$33,""close"",IC$2,TODAY()),2,2))"),"")</f>
        <v/>
      </c>
      <c r="ID33" s="1" t="str">
        <f ca="1">IFERROR(__xludf.DUMMYFUNCTION("if(ID$2="""","""", index(GOOGLEFINANCE($B$33,""close"",ID$2,TODAY()),2,2))"),"")</f>
        <v/>
      </c>
      <c r="IE33" s="1" t="str">
        <f ca="1">IFERROR(__xludf.DUMMYFUNCTION("if(IE$2="""","""", index(GOOGLEFINANCE($B$33,""close"",IE$2,TODAY()),2,2))"),"")</f>
        <v/>
      </c>
      <c r="IF33" s="1" t="str">
        <f ca="1">IFERROR(__xludf.DUMMYFUNCTION("if(IF$2="""","""", index(GOOGLEFINANCE($B$33,""close"",IF$2,TODAY()),2,2))"),"")</f>
        <v/>
      </c>
      <c r="IG33" s="1" t="str">
        <f ca="1">IFERROR(__xludf.DUMMYFUNCTION("if(IG$2="""","""", index(GOOGLEFINANCE($B$33,""close"",IG$2,TODAY()),2,2))"),"")</f>
        <v/>
      </c>
      <c r="IH33" s="1" t="str">
        <f ca="1">IFERROR(__xludf.DUMMYFUNCTION("if(IH$2="""","""", index(GOOGLEFINANCE($B$33,""close"",IH$2,TODAY()),2,2))"),"")</f>
        <v/>
      </c>
      <c r="II33" s="1" t="str">
        <f ca="1">IFERROR(__xludf.DUMMYFUNCTION("if(II$2="""","""", index(GOOGLEFINANCE($B$33,""close"",II$2,TODAY()),2,2))"),"")</f>
        <v/>
      </c>
      <c r="IJ33" s="1" t="str">
        <f ca="1">IFERROR(__xludf.DUMMYFUNCTION("if(IJ$2="""","""", index(GOOGLEFINANCE($B$33,""close"",IJ$2,TODAY()),2,2))"),"")</f>
        <v/>
      </c>
      <c r="IK33" s="1" t="str">
        <f ca="1">IFERROR(__xludf.DUMMYFUNCTION("if(IK$2="""","""", index(GOOGLEFINANCE($B$33,""close"",IK$2,TODAY()),2,2))"),"")</f>
        <v/>
      </c>
      <c r="IL33" s="1" t="str">
        <f ca="1">IFERROR(__xludf.DUMMYFUNCTION("if(IL$2="""","""", index(GOOGLEFINANCE($B$33,""close"",IL$2,TODAY()),2,2))"),"")</f>
        <v/>
      </c>
      <c r="IM33" s="1" t="str">
        <f ca="1">IFERROR(__xludf.DUMMYFUNCTION("if(IM$2="""","""", index(GOOGLEFINANCE($B$33,""close"",IM$2,TODAY()),2,2))"),"")</f>
        <v/>
      </c>
      <c r="IN33" s="1" t="str">
        <f ca="1">IFERROR(__xludf.DUMMYFUNCTION("if(IN$2="""","""", index(GOOGLEFINANCE($B$33,""close"",IN$2,TODAY()),2,2))"),"")</f>
        <v/>
      </c>
      <c r="IO33" s="1" t="str">
        <f ca="1">IFERROR(__xludf.DUMMYFUNCTION("if(IO$2="""","""", index(GOOGLEFINANCE($B$33,""close"",IO$2,TODAY()),2,2))"),"")</f>
        <v/>
      </c>
      <c r="IP33" s="1" t="str">
        <f ca="1">IFERROR(__xludf.DUMMYFUNCTION("if(IP$2="""","""", index(GOOGLEFINANCE($B$33,""close"",IP$2,TODAY()),2,2))"),"")</f>
        <v/>
      </c>
      <c r="IQ33" s="1" t="str">
        <f ca="1">IFERROR(__xludf.DUMMYFUNCTION("if(IQ$2="""","""", index(GOOGLEFINANCE($B$33,""close"",IQ$2,TODAY()),2,2))"),"")</f>
        <v/>
      </c>
      <c r="IR33" s="1" t="str">
        <f ca="1">IFERROR(__xludf.DUMMYFUNCTION("if(IR$2="""","""", index(GOOGLEFINANCE($B$33,""close"",IR$2,TODAY()),2,2))"),"")</f>
        <v/>
      </c>
      <c r="IS33" s="1" t="str">
        <f ca="1">IFERROR(__xludf.DUMMYFUNCTION("if(IS$2="""","""", index(GOOGLEFINANCE($B$33,""close"",IS$2,TODAY()),2,2))"),"")</f>
        <v/>
      </c>
      <c r="IT33" s="1" t="str">
        <f ca="1">IFERROR(__xludf.DUMMYFUNCTION("if(IT$2="""","""", index(GOOGLEFINANCE($B$33,""close"",IT$2,TODAY()),2,2))"),"")</f>
        <v/>
      </c>
      <c r="IU33" s="1" t="str">
        <f ca="1">IFERROR(__xludf.DUMMYFUNCTION("if(IU$2="""","""", index(GOOGLEFINANCE($B$33,""close"",IU$2,TODAY()),2,2))"),"")</f>
        <v/>
      </c>
      <c r="IV33" s="1" t="str">
        <f ca="1">IFERROR(__xludf.DUMMYFUNCTION("if(IV$2="""","""", index(GOOGLEFINANCE($B$33,""close"",IV$2,TODAY()),2,2))"),"")</f>
        <v/>
      </c>
      <c r="IW33" s="1" t="str">
        <f ca="1">IFERROR(__xludf.DUMMYFUNCTION("if(IW$2="""","""", index(GOOGLEFINANCE($B$33,""close"",IW$2,TODAY()),2,2))"),"")</f>
        <v/>
      </c>
      <c r="IX33" s="1" t="str">
        <f ca="1">IFERROR(__xludf.DUMMYFUNCTION("if(IX$2="""","""", index(GOOGLEFINANCE($B$33,""close"",IX$2,TODAY()),2,2))"),"")</f>
        <v/>
      </c>
      <c r="IY33" s="1" t="str">
        <f ca="1">IFERROR(__xludf.DUMMYFUNCTION("if(IY$2="""","""", index(GOOGLEFINANCE($B$33,""close"",IY$2,TODAY()),2,2))"),"")</f>
        <v/>
      </c>
      <c r="IZ33" s="1" t="str">
        <f ca="1">IFERROR(__xludf.DUMMYFUNCTION("if(IZ$2="""","""", index(GOOGLEFINANCE($B$33,""close"",IZ$2,TODAY()),2,2))"),"")</f>
        <v/>
      </c>
      <c r="JA33" s="1" t="str">
        <f ca="1">IFERROR(__xludf.DUMMYFUNCTION("if(JA$2="""","""", index(GOOGLEFINANCE($B$33,""close"",JA$2,TODAY()),2,2))"),"")</f>
        <v/>
      </c>
      <c r="JB33" s="1" t="str">
        <f ca="1">IFERROR(__xludf.DUMMYFUNCTION("if(JB$2="""","""", index(GOOGLEFINANCE($B$33,""close"",JB$2,TODAY()),2,2))"),"")</f>
        <v/>
      </c>
      <c r="JC33" s="1" t="str">
        <f ca="1">IFERROR(__xludf.DUMMYFUNCTION("if(JC$2="""","""", index(GOOGLEFINANCE($B$33,""close"",JC$2,TODAY()),2,2))"),"")</f>
        <v/>
      </c>
      <c r="JD33" s="1" t="str">
        <f ca="1">IFERROR(__xludf.DUMMYFUNCTION("if(JD$2="""","""", index(GOOGLEFINANCE($B$33,""close"",JD$2,TODAY()),2,2))"),"")</f>
        <v/>
      </c>
      <c r="JE33" s="1" t="str">
        <f ca="1">IFERROR(__xludf.DUMMYFUNCTION("if(JE$2="""","""", index(GOOGLEFINANCE($B$33,""close"",JE$2,TODAY()),2,2))"),"")</f>
        <v/>
      </c>
      <c r="JF33" s="1" t="str">
        <f ca="1">IFERROR(__xludf.DUMMYFUNCTION("if(JF$2="""","""", index(GOOGLEFINANCE($B$33,""close"",JF$2,TODAY()),2,2))"),"")</f>
        <v/>
      </c>
      <c r="JG33" s="1" t="str">
        <f ca="1">IFERROR(__xludf.DUMMYFUNCTION("if(JG$2="""","""", index(GOOGLEFINANCE($B$33,""close"",JG$2,TODAY()),2,2))"),"")</f>
        <v/>
      </c>
      <c r="JH33" s="1" t="str">
        <f ca="1">IFERROR(__xludf.DUMMYFUNCTION("if(JH$2="""","""", index(GOOGLEFINANCE($B$33,""close"",JH$2,TODAY()),2,2))"),"")</f>
        <v/>
      </c>
      <c r="JI33" s="1" t="str">
        <f ca="1">IFERROR(__xludf.DUMMYFUNCTION("if(JI$2="""","""", index(GOOGLEFINANCE($B$33,""close"",JI$2,TODAY()),2,2))"),"")</f>
        <v/>
      </c>
      <c r="JJ33" s="1" t="str">
        <f ca="1">IFERROR(__xludf.DUMMYFUNCTION("if(JJ$2="""","""", index(GOOGLEFINANCE($B$33,""close"",JJ$2,TODAY()),2,2))"),"")</f>
        <v/>
      </c>
      <c r="JK33" s="1" t="str">
        <f ca="1">IFERROR(__xludf.DUMMYFUNCTION("if(JK$2="""","""", index(GOOGLEFINANCE($B$33,""close"",JK$2,TODAY()),2,2))"),"")</f>
        <v/>
      </c>
      <c r="JL33" s="1" t="str">
        <f ca="1">IFERROR(__xludf.DUMMYFUNCTION("if(JL$2="""","""", index(GOOGLEFINANCE($B$33,""close"",JL$2,TODAY()),2,2))"),"")</f>
        <v/>
      </c>
      <c r="JM33" s="1" t="str">
        <f ca="1">IFERROR(__xludf.DUMMYFUNCTION("if(JM$2="""","""", index(GOOGLEFINANCE($B$33,""close"",JM$2,TODAY()),2,2))"),"")</f>
        <v/>
      </c>
      <c r="JN33" s="1" t="str">
        <f ca="1">IFERROR(__xludf.DUMMYFUNCTION("if(JN$2="""","""", index(GOOGLEFINANCE($B$33,""close"",JN$2,TODAY()),2,2))"),"")</f>
        <v/>
      </c>
      <c r="JO33" s="1" t="str">
        <f ca="1">IFERROR(__xludf.DUMMYFUNCTION("if(JO$2="""","""", index(GOOGLEFINANCE($B$33,""close"",JO$2,TODAY()),2,2))"),"")</f>
        <v/>
      </c>
      <c r="JP33" s="1" t="str">
        <f ca="1">IFERROR(__xludf.DUMMYFUNCTION("if(JP$2="""","""", index(GOOGLEFINANCE($B$33,""close"",JP$2,TODAY()),2,2))"),"")</f>
        <v/>
      </c>
      <c r="JQ33" s="1" t="str">
        <f ca="1">IFERROR(__xludf.DUMMYFUNCTION("if(JQ$2="""","""", index(GOOGLEFINANCE($B$33,""close"",JQ$2,TODAY()),2,2))"),"")</f>
        <v/>
      </c>
      <c r="JR33" s="1" t="str">
        <f ca="1">IFERROR(__xludf.DUMMYFUNCTION("if(JR$2="""","""", index(GOOGLEFINANCE($B$33,""close"",JR$2,TODAY()),2,2))"),"")</f>
        <v/>
      </c>
      <c r="JS33" s="1" t="str">
        <f ca="1">IFERROR(__xludf.DUMMYFUNCTION("if(JS$2="""","""", index(GOOGLEFINANCE($B$33,""close"",JS$2,TODAY()),2,2))"),"")</f>
        <v/>
      </c>
      <c r="JT33" s="1" t="str">
        <f ca="1">IFERROR(__xludf.DUMMYFUNCTION("if(JT$2="""","""", index(GOOGLEFINANCE($B$33,""close"",JT$2,TODAY()),2,2))"),"")</f>
        <v/>
      </c>
      <c r="JU33" s="1" t="str">
        <f ca="1">IFERROR(__xludf.DUMMYFUNCTION("if(JU$2="""","""", index(GOOGLEFINANCE($B$33,""close"",JU$2,TODAY()),2,2))"),"")</f>
        <v/>
      </c>
      <c r="JV33" s="1" t="str">
        <f ca="1">IFERROR(__xludf.DUMMYFUNCTION("if(JV$2="""","""", index(GOOGLEFINANCE($B$33,""close"",JV$2,TODAY()),2,2))"),"")</f>
        <v/>
      </c>
      <c r="JW33" s="1" t="str">
        <f ca="1">IFERROR(__xludf.DUMMYFUNCTION("if(JW$2="""","""", index(GOOGLEFINANCE($B$33,""close"",JW$2,TODAY()),2,2))"),"")</f>
        <v/>
      </c>
      <c r="JX33" s="1" t="str">
        <f ca="1">IFERROR(__xludf.DUMMYFUNCTION("if(JX$2="""","""", index(GOOGLEFINANCE($B$33,""close"",JX$2,TODAY()),2,2))"),"")</f>
        <v/>
      </c>
      <c r="JY33" s="1" t="str">
        <f ca="1">IFERROR(__xludf.DUMMYFUNCTION("if(JY$2="""","""", index(GOOGLEFINANCE($B$33,""close"",JY$2,TODAY()),2,2))"),"")</f>
        <v/>
      </c>
      <c r="JZ33" s="1" t="str">
        <f ca="1">IFERROR(__xludf.DUMMYFUNCTION("if(JZ$2="""","""", index(GOOGLEFINANCE($B$33,""close"",JZ$2,TODAY()),2,2))"),"")</f>
        <v/>
      </c>
      <c r="KA33" s="1" t="str">
        <f ca="1">IFERROR(__xludf.DUMMYFUNCTION("if(KA$2="""","""", index(GOOGLEFINANCE($B$33,""close"",KA$2,TODAY()),2,2))"),"")</f>
        <v/>
      </c>
      <c r="KB33" s="1" t="str">
        <f ca="1">IFERROR(__xludf.DUMMYFUNCTION("if(KB$2="""","""", index(GOOGLEFINANCE($B$33,""close"",KB$2,TODAY()),2,2))"),"")</f>
        <v/>
      </c>
      <c r="KC33" s="1" t="str">
        <f ca="1">IFERROR(__xludf.DUMMYFUNCTION("if(KC$2="""","""", index(GOOGLEFINANCE($B$33,""close"",KC$2,TODAY()),2,2))"),"")</f>
        <v/>
      </c>
      <c r="KD33" s="1" t="str">
        <f ca="1">IFERROR(__xludf.DUMMYFUNCTION("if(KD$2="""","""", index(GOOGLEFINANCE($B$33,""close"",KD$2,TODAY()),2,2))"),"")</f>
        <v/>
      </c>
      <c r="KE33" s="1" t="str">
        <f ca="1">IFERROR(__xludf.DUMMYFUNCTION("if(KE$2="""","""", index(GOOGLEFINANCE($B$33,""close"",KE$2,TODAY()),2,2))"),"")</f>
        <v/>
      </c>
      <c r="KF33" s="1" t="str">
        <f ca="1">IFERROR(__xludf.DUMMYFUNCTION("if(KF$2="""","""", index(GOOGLEFINANCE($B$33,""close"",KF$2,TODAY()),2,2))"),"")</f>
        <v/>
      </c>
      <c r="KG33" s="1" t="str">
        <f ca="1">IFERROR(__xludf.DUMMYFUNCTION("if(KG$2="""","""", index(GOOGLEFINANCE($B$33,""close"",KG$2,TODAY()),2,2))"),"")</f>
        <v/>
      </c>
    </row>
    <row r="34" spans="1:293" ht="15.75" customHeight="1">
      <c r="A34" s="18" t="s">
        <v>30</v>
      </c>
      <c r="B34" s="6" t="s">
        <v>77</v>
      </c>
      <c r="C34" s="1">
        <f ca="1">IFERROR(__xludf.DUMMYFUNCTION("if(C$2="""","""", index(GOOGLEFINANCE($B$34,""close"",C$2,TODAY()),2,2))"),41.83)</f>
        <v>41.83</v>
      </c>
      <c r="D34" s="1">
        <f ca="1">IFERROR(__xludf.DUMMYFUNCTION("if(D$2="""","""", index(GOOGLEFINANCE($B$34,""close"",D$2,TODAY()),2,2))"),40.29)</f>
        <v>40.29</v>
      </c>
      <c r="E34" s="1">
        <f ca="1">IFERROR(__xludf.DUMMYFUNCTION("if(E$2="""","""", index(GOOGLEFINANCE($B$34,""close"",E$2,TODAY()),2,2))"),38.91)</f>
        <v>38.909999999999997</v>
      </c>
      <c r="F34" s="1">
        <f ca="1">IFERROR(__xludf.DUMMYFUNCTION("if(F$2="""","""", index(GOOGLEFINANCE($B$34,""close"",F$2,TODAY()),2,2))"),38.44)</f>
        <v>38.44</v>
      </c>
      <c r="G34" s="1">
        <f ca="1">IFERROR(__xludf.DUMMYFUNCTION("if(G$2="""","""", index(GOOGLEFINANCE($B$34,""close"",G$2,TODAY()),2,2))"),37.36)</f>
        <v>37.36</v>
      </c>
      <c r="H34" s="1">
        <f ca="1">IFERROR(__xludf.DUMMYFUNCTION("if(H$2="""","""", index(GOOGLEFINANCE($B$34,""close"",H$2,TODAY()),2,2))"),37.56)</f>
        <v>37.56</v>
      </c>
      <c r="I34" s="1">
        <f ca="1">IFERROR(__xludf.DUMMYFUNCTION("if(I$2="""","""", index(GOOGLEFINANCE($B$34,""close"",I$2,TODAY()),2,2))"),39.31)</f>
        <v>39.31</v>
      </c>
      <c r="J34" s="1">
        <f ca="1">IFERROR(__xludf.DUMMYFUNCTION("if(J$2="""","""", index(GOOGLEFINANCE($B$34,""close"",J$2,TODAY()),2,2))"),36.98)</f>
        <v>36.979999999999997</v>
      </c>
      <c r="K34" s="1">
        <f ca="1">IFERROR(__xludf.DUMMYFUNCTION("if(K$2="""","""", index(GOOGLEFINANCE($B$34,""close"",K$2,TODAY()),2,2))"),36.4)</f>
        <v>36.4</v>
      </c>
      <c r="L34" s="1">
        <f ca="1">IFERROR(__xludf.DUMMYFUNCTION("if(L$2="""","""", index(GOOGLEFINANCE($B$34,""close"",L$2,TODAY()),2,2))"),35.81)</f>
        <v>35.81</v>
      </c>
      <c r="M34" s="1">
        <f ca="1">IFERROR(__xludf.DUMMYFUNCTION("if(M$2="""","""", index(GOOGLEFINANCE($B$34,""close"",M$2,TODAY()),2,2))"),34.36)</f>
        <v>34.36</v>
      </c>
      <c r="N34" s="1">
        <f ca="1">IFERROR(__xludf.DUMMYFUNCTION("if(N$2="""","""", index(GOOGLEFINANCE($B$34,""close"",N$2,TODAY()),2,2))"),33.5)</f>
        <v>33.5</v>
      </c>
      <c r="O34" s="1">
        <f ca="1">IFERROR(__xludf.DUMMYFUNCTION("if(O$2="""","""", index(GOOGLEFINANCE($B$34,""close"",O$2,TODAY()),2,2))"),32.37)</f>
        <v>32.369999999999997</v>
      </c>
      <c r="P34" s="1">
        <f ca="1">IFERROR(__xludf.DUMMYFUNCTION("if(P$2="""","""", index(GOOGLEFINANCE($B$34,""close"",P$2,TODAY()),2,2))"),31.09)</f>
        <v>31.09</v>
      </c>
      <c r="Q34" s="1">
        <f ca="1">IFERROR(__xludf.DUMMYFUNCTION("if(Q$2="""","""", index(GOOGLEFINANCE($B$34,""close"",Q$2,TODAY()),2,2))"),31.75)</f>
        <v>31.75</v>
      </c>
      <c r="R34" s="1">
        <f ca="1">IFERROR(__xludf.DUMMYFUNCTION("if(R$2="""","""", index(GOOGLEFINANCE($B$34,""close"",R$2,TODAY()),2,2))"),30.85)</f>
        <v>30.85</v>
      </c>
      <c r="S34" s="1">
        <f ca="1">IFERROR(__xludf.DUMMYFUNCTION("if(S$2="""","""", index(GOOGLEFINANCE($B$34,""close"",S$2,TODAY()),2,2))"),30.87)</f>
        <v>30.87</v>
      </c>
      <c r="T34" s="1">
        <f ca="1">IFERROR(__xludf.DUMMYFUNCTION("if(T$2="""","""", index(GOOGLEFINANCE($B$34,""close"",T$2,TODAY()),2,2))"),29.28)</f>
        <v>29.28</v>
      </c>
      <c r="U34" s="1">
        <f ca="1">IFERROR(__xludf.DUMMYFUNCTION("if(U$2="""","""", index(GOOGLEFINANCE($B$34,""close"",U$2,TODAY()),2,2))"),29.75)</f>
        <v>29.75</v>
      </c>
      <c r="V34" s="1">
        <f ca="1">IFERROR(__xludf.DUMMYFUNCTION("if(V$2="""","""", index(GOOGLEFINANCE($B$34,""close"",V$2,TODAY()),2,2))"),30.8)</f>
        <v>30.8</v>
      </c>
      <c r="W34" s="1">
        <f ca="1">IFERROR(__xludf.DUMMYFUNCTION("if(W$2="""","""", index(GOOGLEFINANCE($B$34,""close"",W$2,TODAY()),2,2))"),31.47)</f>
        <v>31.47</v>
      </c>
      <c r="X34" s="1">
        <f ca="1">IFERROR(__xludf.DUMMYFUNCTION("if(X$2="""","""", index(GOOGLEFINANCE($B$34,""close"",X$2,TODAY()),2,2))"),30.05)</f>
        <v>30.05</v>
      </c>
      <c r="Y34" s="1">
        <f ca="1">IFERROR(__xludf.DUMMYFUNCTION("if(Y$2="""","""", index(GOOGLEFINANCE($B$34,""close"",Y$2,TODAY()),2,2))"),29.28)</f>
        <v>29.28</v>
      </c>
      <c r="Z34" s="1">
        <f ca="1">IFERROR(__xludf.DUMMYFUNCTION("if(Z$2="""","""", index(GOOGLEFINANCE($B$34,""close"",Z$2,TODAY()),2,2))"),29.4)</f>
        <v>29.4</v>
      </c>
      <c r="AA34" s="1">
        <f ca="1">IFERROR(__xludf.DUMMYFUNCTION("if(AA$2="""","""", index(GOOGLEFINANCE($B$34,""close"",AA$2,TODAY()),2,2))"),30.29)</f>
        <v>30.29</v>
      </c>
      <c r="AB34" s="1">
        <f ca="1">IFERROR(__xludf.DUMMYFUNCTION("if(AB$2="""","""", index(GOOGLEFINANCE($B$34,""close"",AB$2,TODAY()),2,2))"),30.3)</f>
        <v>30.3</v>
      </c>
      <c r="AC34" s="1">
        <f ca="1">IFERROR(__xludf.DUMMYFUNCTION("if(AC$2="""","""", index(GOOGLEFINANCE($B$34,""close"",AC$2,TODAY()),2,2))"),32.25)</f>
        <v>32.25</v>
      </c>
      <c r="AD34" s="1">
        <f ca="1">IFERROR(__xludf.DUMMYFUNCTION("if(AD$2="""","""", index(GOOGLEFINANCE($B$34,""close"",AD$2,TODAY()),2,2))"),30.73)</f>
        <v>30.73</v>
      </c>
      <c r="AE34" s="1">
        <f ca="1">IFERROR(__xludf.DUMMYFUNCTION("if(AE$2="""","""", index(GOOGLEFINANCE($B$34,""close"",AE$2,TODAY()),2,2))"),29.32)</f>
        <v>29.32</v>
      </c>
      <c r="AF34" s="1">
        <f ca="1">IFERROR(__xludf.DUMMYFUNCTION("if(AF$2="""","""", index(GOOGLEFINANCE($B$34,""close"",AF$2,TODAY()),2,2))"),28.92)</f>
        <v>28.92</v>
      </c>
      <c r="AG34" s="1">
        <f ca="1">IFERROR(__xludf.DUMMYFUNCTION("if(AG$2="""","""", index(GOOGLEFINANCE($B$34,""close"",AG$2,TODAY()),2,2))"),29.7)</f>
        <v>29.7</v>
      </c>
      <c r="AH34" s="1">
        <f ca="1">IFERROR(__xludf.DUMMYFUNCTION("if(AH$2="""","""", index(GOOGLEFINANCE($B$34,""close"",AH$2,TODAY()),2,2))"),28.92)</f>
        <v>28.92</v>
      </c>
      <c r="AI34" s="1">
        <f ca="1">IFERROR(__xludf.DUMMYFUNCTION("if(AI$2="""","""", index(GOOGLEFINANCE($B$34,""close"",AI$2,TODAY()),2,2))"),29.38)</f>
        <v>29.38</v>
      </c>
      <c r="AJ34" s="1">
        <f ca="1">IFERROR(__xludf.DUMMYFUNCTION("if(AJ$2="""","""", index(GOOGLEFINANCE($B$34,""close"",AJ$2,TODAY()),2,2))"),30.49)</f>
        <v>30.49</v>
      </c>
      <c r="AK34" s="1">
        <f ca="1">IFERROR(__xludf.DUMMYFUNCTION("if(AK$2="""","""", index(GOOGLEFINANCE($B$34,""close"",AK$2,TODAY()),2,2))"),29.86)</f>
        <v>29.86</v>
      </c>
      <c r="AL34" s="1">
        <f ca="1">IFERROR(__xludf.DUMMYFUNCTION("if(AL$2="""","""", index(GOOGLEFINANCE($B$34,""close"",AL$2,TODAY()),2,2))"),30.01)</f>
        <v>30.01</v>
      </c>
      <c r="AM34" s="1">
        <f ca="1">IFERROR(__xludf.DUMMYFUNCTION("if(AM$2="""","""", index(GOOGLEFINANCE($B$34,""close"",AM$2,TODAY()),2,2))"),35.59)</f>
        <v>35.590000000000003</v>
      </c>
      <c r="AN34" s="1">
        <f ca="1">IFERROR(__xludf.DUMMYFUNCTION("if(AN$2="""","""", index(GOOGLEFINANCE($B$34,""close"",AN$2,TODAY()),2,2))"),36.5)</f>
        <v>36.5</v>
      </c>
      <c r="AO34" s="1">
        <f ca="1">IFERROR(__xludf.DUMMYFUNCTION("if(AO$2="""","""", index(GOOGLEFINANCE($B$34,""close"",AO$2,TODAY()),2,2))"),37.2)</f>
        <v>37.200000000000003</v>
      </c>
      <c r="AP34" s="1">
        <f ca="1">IFERROR(__xludf.DUMMYFUNCTION("if(AP$2="""","""", index(GOOGLEFINANCE($B$34,""close"",AP$2,TODAY()),2,2))"),37.56)</f>
        <v>37.56</v>
      </c>
      <c r="AQ34" s="1">
        <f ca="1">IFERROR(__xludf.DUMMYFUNCTION("if(AQ$2="""","""", index(GOOGLEFINANCE($B$34,""close"",AQ$2,TODAY()),2,2))"),36.63)</f>
        <v>36.630000000000003</v>
      </c>
      <c r="AR34" s="1">
        <f ca="1">IFERROR(__xludf.DUMMYFUNCTION("if(AR$2="""","""", index(GOOGLEFINANCE($B$34,""close"",AR$2,TODAY()),2,2))"),36.18)</f>
        <v>36.18</v>
      </c>
      <c r="AS34" s="1">
        <f ca="1">IFERROR(__xludf.DUMMYFUNCTION("if(AS$2="""","""", index(GOOGLEFINANCE($B$34,""close"",AS$2,TODAY()),2,2))"),33.88)</f>
        <v>33.880000000000003</v>
      </c>
      <c r="AT34" s="1">
        <f ca="1">IFERROR(__xludf.DUMMYFUNCTION("if(AT$2="""","""", index(GOOGLEFINANCE($B$34,""close"",AT$2,TODAY()),2,2))"),32.76)</f>
        <v>32.76</v>
      </c>
      <c r="AU34" s="1">
        <f ca="1">IFERROR(__xludf.DUMMYFUNCTION("if(AU$2="""","""", index(GOOGLEFINANCE($B$34,""close"",AU$2,TODAY()),2,2))"),33.03)</f>
        <v>33.03</v>
      </c>
      <c r="AV34" s="1">
        <f ca="1">IFERROR(__xludf.DUMMYFUNCTION("if(AV$2="""","""", index(GOOGLEFINANCE($B$34,""close"",AV$2,TODAY()),2,2))"),34.52)</f>
        <v>34.520000000000003</v>
      </c>
      <c r="AW34" s="1">
        <f ca="1">IFERROR(__xludf.DUMMYFUNCTION("if(AW$2="""","""", index(GOOGLEFINANCE($B$34,""close"",AW$2,TODAY()),2,2))"),34.54)</f>
        <v>34.54</v>
      </c>
      <c r="AX34" s="1">
        <f ca="1">IFERROR(__xludf.DUMMYFUNCTION("if(AX$2="""","""", index(GOOGLEFINANCE($B$34,""close"",AX$2,TODAY()),2,2))"),33.1)</f>
        <v>33.1</v>
      </c>
      <c r="AY34" s="1">
        <f ca="1">IFERROR(__xludf.DUMMYFUNCTION("if(AY$2="""","""", index(GOOGLEFINANCE($B$34,""close"",AY$2,TODAY()),2,2))"),31.34)</f>
        <v>31.34</v>
      </c>
      <c r="AZ34" s="1">
        <f ca="1">IFERROR(__xludf.DUMMYFUNCTION("if(AZ$2="""","""", index(GOOGLEFINANCE($B$34,""close"",AZ$2,TODAY()),2,2))"),31.65)</f>
        <v>31.65</v>
      </c>
      <c r="BA34" s="1">
        <f ca="1">IFERROR(__xludf.DUMMYFUNCTION("if(BA$2="""","""", index(GOOGLEFINANCE($B$34,""close"",BA$2,TODAY()),2,2))"),33.37)</f>
        <v>33.369999999999997</v>
      </c>
      <c r="BB34" s="1">
        <f ca="1">IFERROR(__xludf.DUMMYFUNCTION("if(BB$2="""","""", index(GOOGLEFINANCE($B$34,""close"",BB$2,TODAY()),2,2))"),34.5)</f>
        <v>34.5</v>
      </c>
      <c r="BC34" s="1">
        <f ca="1">IFERROR(__xludf.DUMMYFUNCTION("if(BC$2="""","""", index(GOOGLEFINANCE($B$34,""close"",BC$2,TODAY()),2,2))"),35.95)</f>
        <v>35.950000000000003</v>
      </c>
      <c r="BD34" s="1">
        <f ca="1">IFERROR(__xludf.DUMMYFUNCTION("if(BD$2="""","""", index(GOOGLEFINANCE($B$34,""close"",BD$2,TODAY()),2,2))"),34.62)</f>
        <v>34.619999999999997</v>
      </c>
      <c r="BE34" s="1">
        <f ca="1">IFERROR(__xludf.DUMMYFUNCTION("if(BE$2="""","""", index(GOOGLEFINANCE($B$34,""close"",BE$2,TODAY()),2,2))"),34.49)</f>
        <v>34.49</v>
      </c>
      <c r="BF34" s="1">
        <f ca="1">IFERROR(__xludf.DUMMYFUNCTION("if(BF$2="""","""", index(GOOGLEFINANCE($B$34,""close"",BF$2,TODAY()),2,2))"),32.98)</f>
        <v>32.979999999999997</v>
      </c>
      <c r="BG34" s="1">
        <f ca="1">IFERROR(__xludf.DUMMYFUNCTION("if(BG$2="""","""", index(GOOGLEFINANCE($B$34,""close"",BG$2,TODAY()),2,2))"),34.72)</f>
        <v>34.72</v>
      </c>
      <c r="BH34" s="1">
        <f ca="1">IFERROR(__xludf.DUMMYFUNCTION("if(BH$2="""","""", index(GOOGLEFINANCE($B$34,""close"",BH$2,TODAY()),2,2))"),35.96)</f>
        <v>35.96</v>
      </c>
      <c r="BI34" s="1">
        <f ca="1">IFERROR(__xludf.DUMMYFUNCTION("if(BI$2="""","""", index(GOOGLEFINANCE($B$34,""close"",BI$2,TODAY()),2,2))"),36.5)</f>
        <v>36.5</v>
      </c>
      <c r="BJ34" s="1">
        <f ca="1">IFERROR(__xludf.DUMMYFUNCTION("if(BJ$2="""","""", index(GOOGLEFINANCE($B$34,""close"",BJ$2,TODAY()),2,2))"),37)</f>
        <v>37</v>
      </c>
      <c r="BK34" s="1">
        <f ca="1">IFERROR(__xludf.DUMMYFUNCTION("if(BK$2="""","""", index(GOOGLEFINANCE($B$34,""close"",BK$2,TODAY()),2,2))"),33.4)</f>
        <v>33.4</v>
      </c>
      <c r="BL34" s="1">
        <f ca="1">IFERROR(__xludf.DUMMYFUNCTION("if(BL$2="""","""", index(GOOGLEFINANCE($B$34,""close"",BL$2,TODAY()),2,2))"),31.56)</f>
        <v>31.56</v>
      </c>
      <c r="BM34" s="1">
        <f ca="1">IFERROR(__xludf.DUMMYFUNCTION("if(BM$2="""","""", index(GOOGLEFINANCE($B$34,""close"",BM$2,TODAY()),2,2))"),31.99)</f>
        <v>31.99</v>
      </c>
      <c r="BN34" s="1">
        <f ca="1">IFERROR(__xludf.DUMMYFUNCTION("if(BN$2="""","""", index(GOOGLEFINANCE($B$34,""close"",BN$2,TODAY()),2,2))"),34.89)</f>
        <v>34.89</v>
      </c>
      <c r="BO34" s="1">
        <f ca="1">IFERROR(__xludf.DUMMYFUNCTION("if(BO$2="""","""", index(GOOGLEFINANCE($B$34,""close"",BO$2,TODAY()),2,2))"),37.73)</f>
        <v>37.729999999999997</v>
      </c>
      <c r="BP34" s="1">
        <f ca="1">IFERROR(__xludf.DUMMYFUNCTION("if(BP$2="""","""", index(GOOGLEFINANCE($B$34,""close"",BP$2,TODAY()),2,2))"),35.11)</f>
        <v>35.11</v>
      </c>
      <c r="BQ34" s="1">
        <f ca="1">IFERROR(__xludf.DUMMYFUNCTION("if(BQ$2="""","""", index(GOOGLEFINANCE($B$34,""close"",BQ$2,TODAY()),2,2))"),34.07)</f>
        <v>34.07</v>
      </c>
      <c r="BR34" s="1">
        <f ca="1">IFERROR(__xludf.DUMMYFUNCTION("if(BR$2="""","""", index(GOOGLEFINANCE($B$34,""close"",BR$2,TODAY()),2,2))"),33.7)</f>
        <v>33.700000000000003</v>
      </c>
      <c r="BS34" s="1">
        <f ca="1">IFERROR(__xludf.DUMMYFUNCTION("if(BS$2="""","""", index(GOOGLEFINANCE($B$34,""close"",BS$2,TODAY()),2,2))"),31.35)</f>
        <v>31.35</v>
      </c>
      <c r="BT34" s="1">
        <f ca="1">IFERROR(__xludf.DUMMYFUNCTION("if(BT$2="""","""", index(GOOGLEFINANCE($B$34,""close"",BT$2,TODAY()),2,2))"),30.75)</f>
        <v>30.75</v>
      </c>
      <c r="BU34" s="1">
        <f ca="1">IFERROR(__xludf.DUMMYFUNCTION("if(BU$2="""","""", index(GOOGLEFINANCE($B$34,""close"",BU$2,TODAY()),2,2))"),31.87)</f>
        <v>31.87</v>
      </c>
      <c r="BV34" s="1">
        <f ca="1">IFERROR(__xludf.DUMMYFUNCTION("if(BV$2="""","""", index(GOOGLEFINANCE($B$34,""close"",BV$2,TODAY()),2,2))"),31.98)</f>
        <v>31.98</v>
      </c>
      <c r="BW34" s="1">
        <f ca="1">IFERROR(__xludf.DUMMYFUNCTION("if(BW$2="""","""", index(GOOGLEFINANCE($B$34,""close"",BW$2,TODAY()),2,2))"),31.22)</f>
        <v>31.22</v>
      </c>
      <c r="BX34" s="1">
        <f ca="1">IFERROR(__xludf.DUMMYFUNCTION("if(BX$2="""","""", index(GOOGLEFINANCE($B$34,""close"",BX$2,TODAY()),2,2))"),31.33)</f>
        <v>31.33</v>
      </c>
      <c r="BY34" s="1">
        <f ca="1">IFERROR(__xludf.DUMMYFUNCTION("if(BY$2="""","""", index(GOOGLEFINANCE($B$34,""close"",BY$2,TODAY()),2,2))"),31.25)</f>
        <v>31.25</v>
      </c>
      <c r="BZ34" s="1">
        <f ca="1">IFERROR(__xludf.DUMMYFUNCTION("if(BZ$2="""","""", index(GOOGLEFINANCE($B$34,""close"",BZ$2,TODAY()),2,2))"),29.32)</f>
        <v>29.32</v>
      </c>
      <c r="CA34" s="1">
        <f ca="1">IFERROR(__xludf.DUMMYFUNCTION("if(CA$2="""","""", index(GOOGLEFINANCE($B$34,""close"",CA$2,TODAY()),2,2))"),27.4)</f>
        <v>27.4</v>
      </c>
      <c r="CB34" s="1">
        <f ca="1">IFERROR(__xludf.DUMMYFUNCTION("if(CB$2="""","""", index(GOOGLEFINANCE($B$34,""close"",CB$2,TODAY()),2,2))"),27.31)</f>
        <v>27.31</v>
      </c>
      <c r="CC34" s="1">
        <f ca="1">IFERROR(__xludf.DUMMYFUNCTION("if(CC$2="""","""", index(GOOGLEFINANCE($B$34,""close"",CC$2,TODAY()),2,2))"),25.43)</f>
        <v>25.43</v>
      </c>
      <c r="CD34" s="1">
        <f ca="1">IFERROR(__xludf.DUMMYFUNCTION("if(CD$2="""","""", index(GOOGLEFINANCE($B$34,""close"",CD$2,TODAY()),2,2))"),24.98)</f>
        <v>24.98</v>
      </c>
      <c r="CE34" s="1">
        <f ca="1">IFERROR(__xludf.DUMMYFUNCTION("if(CE$2="""","""", index(GOOGLEFINANCE($B$34,""close"",CE$2,TODAY()),2,2))"),24.88)</f>
        <v>24.88</v>
      </c>
      <c r="CF34" s="1">
        <f ca="1">IFERROR(__xludf.DUMMYFUNCTION("if(CF$2="""","""", index(GOOGLEFINANCE($B$34,""close"",CF$2,TODAY()),2,2))"),24.21)</f>
        <v>24.21</v>
      </c>
      <c r="CG34" s="1">
        <f ca="1">IFERROR(__xludf.DUMMYFUNCTION("if(CG$2="""","""", index(GOOGLEFINANCE($B$34,""close"",CG$2,TODAY()),2,2))"),25.33)</f>
        <v>25.33</v>
      </c>
      <c r="CH34" s="1">
        <f ca="1">IFERROR(__xludf.DUMMYFUNCTION("if(CH$2="""","""", index(GOOGLEFINANCE($B$34,""close"",CH$2,TODAY()),2,2))"),24.69)</f>
        <v>24.69</v>
      </c>
      <c r="CI34" s="1">
        <f ca="1">IFERROR(__xludf.DUMMYFUNCTION("if(CI$2="""","""", index(GOOGLEFINANCE($B$34,""close"",CI$2,TODAY()),2,2))"),25.13)</f>
        <v>25.13</v>
      </c>
      <c r="CJ34" s="1" t="str">
        <f ca="1">IFERROR(__xludf.DUMMYFUNCTION("if(CJ$2="""","""", index(GOOGLEFINANCE($B$34,""close"",CJ$2,TODAY()),2,2))"),"")</f>
        <v/>
      </c>
      <c r="CK34" s="1" t="str">
        <f ca="1">IFERROR(__xludf.DUMMYFUNCTION("if(CK$2="""","""", index(GOOGLEFINANCE($B$34,""close"",CK$2,TODAY()),2,2))"),"")</f>
        <v/>
      </c>
      <c r="CL34" s="1" t="str">
        <f ca="1">IFERROR(__xludf.DUMMYFUNCTION("if(CL$2="""","""", index(GOOGLEFINANCE($B$34,""close"",CL$2,TODAY()),2,2))"),"")</f>
        <v/>
      </c>
      <c r="CM34" s="1" t="str">
        <f ca="1">IFERROR(__xludf.DUMMYFUNCTION("if(CM$2="""","""", index(GOOGLEFINANCE($B$34,""close"",CM$2,TODAY()),2,2))"),"")</f>
        <v/>
      </c>
      <c r="CN34" s="1" t="str">
        <f ca="1">IFERROR(__xludf.DUMMYFUNCTION("if(CN$2="""","""", index(GOOGLEFINANCE($B$34,""close"",CN$2,TODAY()),2,2))"),"")</f>
        <v/>
      </c>
      <c r="CO34" s="1" t="str">
        <f ca="1">IFERROR(__xludf.DUMMYFUNCTION("if(CO$2="""","""", index(GOOGLEFINANCE($B$34,""close"",CO$2,TODAY()),2,2))"),"")</f>
        <v/>
      </c>
      <c r="CP34" s="1" t="str">
        <f ca="1">IFERROR(__xludf.DUMMYFUNCTION("if(CP$2="""","""", index(GOOGLEFINANCE($B$34,""close"",CP$2,TODAY()),2,2))"),"")</f>
        <v/>
      </c>
      <c r="CQ34" s="1" t="str">
        <f ca="1">IFERROR(__xludf.DUMMYFUNCTION("if(CQ$2="""","""", index(GOOGLEFINANCE($B$34,""close"",CQ$2,TODAY()),2,2))"),"")</f>
        <v/>
      </c>
      <c r="CR34" s="1" t="str">
        <f ca="1">IFERROR(__xludf.DUMMYFUNCTION("if(CR$2="""","""", index(GOOGLEFINANCE($B$34,""close"",CR$2,TODAY()),2,2))"),"")</f>
        <v/>
      </c>
      <c r="CS34" s="1" t="str">
        <f ca="1">IFERROR(__xludf.DUMMYFUNCTION("if(CS$2="""","""", index(GOOGLEFINANCE($B$34,""close"",CS$2,TODAY()),2,2))"),"")</f>
        <v/>
      </c>
      <c r="CT34" s="1" t="str">
        <f ca="1">IFERROR(__xludf.DUMMYFUNCTION("if(CT$2="""","""", index(GOOGLEFINANCE($B$34,""close"",CT$2,TODAY()),2,2))"),"")</f>
        <v/>
      </c>
      <c r="CU34" s="1" t="str">
        <f ca="1">IFERROR(__xludf.DUMMYFUNCTION("if(CU$2="""","""", index(GOOGLEFINANCE($B$34,""close"",CU$2,TODAY()),2,2))"),"")</f>
        <v/>
      </c>
      <c r="CV34" s="1" t="str">
        <f ca="1">IFERROR(__xludf.DUMMYFUNCTION("if(CV$2="""","""", index(GOOGLEFINANCE($B$34,""close"",CV$2,TODAY()),2,2))"),"")</f>
        <v/>
      </c>
      <c r="CW34" s="1" t="str">
        <f ca="1">IFERROR(__xludf.DUMMYFUNCTION("if(CW$2="""","""", index(GOOGLEFINANCE($B$34,""close"",CW$2,TODAY()),2,2))"),"")</f>
        <v/>
      </c>
      <c r="CX34" s="1" t="str">
        <f ca="1">IFERROR(__xludf.DUMMYFUNCTION("if(CX$2="""","""", index(GOOGLEFINANCE($B$34,""close"",CX$2,TODAY()),2,2))"),"")</f>
        <v/>
      </c>
      <c r="CY34" s="1" t="str">
        <f ca="1">IFERROR(__xludf.DUMMYFUNCTION("if(CY$2="""","""", index(GOOGLEFINANCE($B$34,""close"",CY$2,TODAY()),2,2))"),"")</f>
        <v/>
      </c>
      <c r="CZ34" s="1" t="str">
        <f ca="1">IFERROR(__xludf.DUMMYFUNCTION("if(CZ$2="""","""", index(GOOGLEFINANCE($B$34,""close"",CZ$2,TODAY()),2,2))"),"")</f>
        <v/>
      </c>
      <c r="DA34" s="1" t="str">
        <f ca="1">IFERROR(__xludf.DUMMYFUNCTION("if(DA$2="""","""", index(GOOGLEFINANCE($B$34,""close"",DA$2,TODAY()),2,2))"),"")</f>
        <v/>
      </c>
      <c r="DB34" s="1" t="str">
        <f ca="1">IFERROR(__xludf.DUMMYFUNCTION("if(DB$2="""","""", index(GOOGLEFINANCE($B$34,""close"",DB$2,TODAY()),2,2))"),"")</f>
        <v/>
      </c>
      <c r="DC34" s="1" t="str">
        <f ca="1">IFERROR(__xludf.DUMMYFUNCTION("if(DC$2="""","""", index(GOOGLEFINANCE($B$34,""close"",DC$2,TODAY()),2,2))"),"")</f>
        <v/>
      </c>
      <c r="DD34" s="1" t="str">
        <f ca="1">IFERROR(__xludf.DUMMYFUNCTION("if(DD$2="""","""", index(GOOGLEFINANCE($B$34,""close"",DD$2,TODAY()),2,2))"),"")</f>
        <v/>
      </c>
      <c r="DE34" s="1" t="str">
        <f ca="1">IFERROR(__xludf.DUMMYFUNCTION("if(DE$2="""","""", index(GOOGLEFINANCE($B$34,""close"",DE$2,TODAY()),2,2))"),"")</f>
        <v/>
      </c>
      <c r="DF34" s="1" t="str">
        <f ca="1">IFERROR(__xludf.DUMMYFUNCTION("if(DF$2="""","""", index(GOOGLEFINANCE($B$34,""close"",DF$2,TODAY()),2,2))"),"")</f>
        <v/>
      </c>
      <c r="DG34" s="1" t="str">
        <f ca="1">IFERROR(__xludf.DUMMYFUNCTION("if(DG$2="""","""", index(GOOGLEFINANCE($B$34,""close"",DG$2,TODAY()),2,2))"),"")</f>
        <v/>
      </c>
      <c r="DH34" s="1" t="str">
        <f ca="1">IFERROR(__xludf.DUMMYFUNCTION("if(DH$2="""","""", index(GOOGLEFINANCE($B$34,""close"",DH$2,TODAY()),2,2))"),"")</f>
        <v/>
      </c>
      <c r="DI34" s="1" t="str">
        <f ca="1">IFERROR(__xludf.DUMMYFUNCTION("if(DI$2="""","""", index(GOOGLEFINANCE($B$34,""close"",DI$2,TODAY()),2,2))"),"")</f>
        <v/>
      </c>
      <c r="DJ34" s="1" t="str">
        <f ca="1">IFERROR(__xludf.DUMMYFUNCTION("if(DJ$2="""","""", index(GOOGLEFINANCE($B$34,""close"",DJ$2,TODAY()),2,2))"),"")</f>
        <v/>
      </c>
      <c r="DK34" s="1" t="str">
        <f ca="1">IFERROR(__xludf.DUMMYFUNCTION("if(DK$2="""","""", index(GOOGLEFINANCE($B$34,""close"",DK$2,TODAY()),2,2))"),"")</f>
        <v/>
      </c>
      <c r="DL34" s="1" t="str">
        <f ca="1">IFERROR(__xludf.DUMMYFUNCTION("if(DL$2="""","""", index(GOOGLEFINANCE($B$34,""close"",DL$2,TODAY()),2,2))"),"")</f>
        <v/>
      </c>
      <c r="DM34" s="1" t="str">
        <f ca="1">IFERROR(__xludf.DUMMYFUNCTION("if(DM$2="""","""", index(GOOGLEFINANCE($B$34,""close"",DM$2,TODAY()),2,2))"),"")</f>
        <v/>
      </c>
      <c r="DN34" s="1" t="str">
        <f ca="1">IFERROR(__xludf.DUMMYFUNCTION("if(DN$2="""","""", index(GOOGLEFINANCE($B$34,""close"",DN$2,TODAY()),2,2))"),"")</f>
        <v/>
      </c>
      <c r="DO34" s="1" t="str">
        <f ca="1">IFERROR(__xludf.DUMMYFUNCTION("if(DO$2="""","""", index(GOOGLEFINANCE($B$34,""close"",DO$2,TODAY()),2,2))"),"")</f>
        <v/>
      </c>
      <c r="DP34" s="1" t="str">
        <f ca="1">IFERROR(__xludf.DUMMYFUNCTION("if(DP$2="""","""", index(GOOGLEFINANCE($B$34,""close"",DP$2,TODAY()),2,2))"),"")</f>
        <v/>
      </c>
      <c r="DQ34" s="1" t="str">
        <f ca="1">IFERROR(__xludf.DUMMYFUNCTION("if(DQ$2="""","""", index(GOOGLEFINANCE($B$34,""close"",DQ$2,TODAY()),2,2))"),"")</f>
        <v/>
      </c>
      <c r="DR34" s="1" t="str">
        <f ca="1">IFERROR(__xludf.DUMMYFUNCTION("if(DR$2="""","""", index(GOOGLEFINANCE($B$34,""close"",DR$2,TODAY()),2,2))"),"")</f>
        <v/>
      </c>
      <c r="DS34" s="1" t="str">
        <f ca="1">IFERROR(__xludf.DUMMYFUNCTION("if(DS$2="""","""", index(GOOGLEFINANCE($B$34,""close"",DS$2,TODAY()),2,2))"),"")</f>
        <v/>
      </c>
      <c r="DT34" s="1" t="str">
        <f ca="1">IFERROR(__xludf.DUMMYFUNCTION("if(DT$2="""","""", index(GOOGLEFINANCE($B$34,""close"",DT$2,TODAY()),2,2))"),"")</f>
        <v/>
      </c>
      <c r="DU34" s="1" t="str">
        <f ca="1">IFERROR(__xludf.DUMMYFUNCTION("if(DU$2="""","""", index(GOOGLEFINANCE($B$34,""close"",DU$2,TODAY()),2,2))"),"")</f>
        <v/>
      </c>
      <c r="DV34" s="1" t="str">
        <f ca="1">IFERROR(__xludf.DUMMYFUNCTION("if(DV$2="""","""", index(GOOGLEFINANCE($B$34,""close"",DV$2,TODAY()),2,2))"),"")</f>
        <v/>
      </c>
      <c r="DW34" s="1" t="str">
        <f ca="1">IFERROR(__xludf.DUMMYFUNCTION("if(DW$2="""","""", index(GOOGLEFINANCE($B$34,""close"",DW$2,TODAY()),2,2))"),"")</f>
        <v/>
      </c>
      <c r="DX34" s="1" t="str">
        <f ca="1">IFERROR(__xludf.DUMMYFUNCTION("if(DX$2="""","""", index(GOOGLEFINANCE($B$34,""close"",DX$2,TODAY()),2,2))"),"")</f>
        <v/>
      </c>
      <c r="DY34" s="1" t="str">
        <f ca="1">IFERROR(__xludf.DUMMYFUNCTION("if(DY$2="""","""", index(GOOGLEFINANCE($B$34,""close"",DY$2,TODAY()),2,2))"),"")</f>
        <v/>
      </c>
      <c r="DZ34" s="1" t="str">
        <f ca="1">IFERROR(__xludf.DUMMYFUNCTION("if(DZ$2="""","""", index(GOOGLEFINANCE($B$34,""close"",DZ$2,TODAY()),2,2))"),"")</f>
        <v/>
      </c>
      <c r="EA34" s="1" t="str">
        <f ca="1">IFERROR(__xludf.DUMMYFUNCTION("if(EA$2="""","""", index(GOOGLEFINANCE($B$34,""close"",EA$2,TODAY()),2,2))"),"")</f>
        <v/>
      </c>
      <c r="EB34" s="1" t="str">
        <f ca="1">IFERROR(__xludf.DUMMYFUNCTION("if(EB$2="""","""", index(GOOGLEFINANCE($B$34,""close"",EB$2,TODAY()),2,2))"),"")</f>
        <v/>
      </c>
      <c r="EC34" s="1" t="str">
        <f ca="1">IFERROR(__xludf.DUMMYFUNCTION("if(EC$2="""","""", index(GOOGLEFINANCE($B$34,""close"",EC$2,TODAY()),2,2))"),"")</f>
        <v/>
      </c>
      <c r="ED34" s="1" t="str">
        <f ca="1">IFERROR(__xludf.DUMMYFUNCTION("if(ED$2="""","""", index(GOOGLEFINANCE($B$34,""close"",ED$2,TODAY()),2,2))"),"")</f>
        <v/>
      </c>
      <c r="EE34" s="1" t="str">
        <f ca="1">IFERROR(__xludf.DUMMYFUNCTION("if(EE$2="""","""", index(GOOGLEFINANCE($B$34,""close"",EE$2,TODAY()),2,2))"),"")</f>
        <v/>
      </c>
      <c r="EF34" s="1" t="str">
        <f ca="1">IFERROR(__xludf.DUMMYFUNCTION("if(EF$2="""","""", index(GOOGLEFINANCE($B$34,""close"",EF$2,TODAY()),2,2))"),"")</f>
        <v/>
      </c>
      <c r="EG34" s="1" t="str">
        <f ca="1">IFERROR(__xludf.DUMMYFUNCTION("if(EG$2="""","""", index(GOOGLEFINANCE($B$34,""close"",EG$2,TODAY()),2,2))"),"")</f>
        <v/>
      </c>
      <c r="EH34" s="1" t="str">
        <f ca="1">IFERROR(__xludf.DUMMYFUNCTION("if(EH$2="""","""", index(GOOGLEFINANCE($B$34,""close"",EH$2,TODAY()),2,2))"),"")</f>
        <v/>
      </c>
      <c r="EI34" s="1" t="str">
        <f ca="1">IFERROR(__xludf.DUMMYFUNCTION("if(EI$2="""","""", index(GOOGLEFINANCE($B$34,""close"",EI$2,TODAY()),2,2))"),"")</f>
        <v/>
      </c>
      <c r="EJ34" s="1" t="str">
        <f ca="1">IFERROR(__xludf.DUMMYFUNCTION("if(EJ$2="""","""", index(GOOGLEFINANCE($B$34,""close"",EJ$2,TODAY()),2,2))"),"")</f>
        <v/>
      </c>
      <c r="EK34" s="1" t="str">
        <f ca="1">IFERROR(__xludf.DUMMYFUNCTION("if(EK$2="""","""", index(GOOGLEFINANCE($B$34,""close"",EK$2,TODAY()),2,2))"),"")</f>
        <v/>
      </c>
      <c r="EL34" s="1" t="str">
        <f ca="1">IFERROR(__xludf.DUMMYFUNCTION("if(EL$2="""","""", index(GOOGLEFINANCE($B$34,""close"",EL$2,TODAY()),2,2))"),"")</f>
        <v/>
      </c>
      <c r="EM34" s="1" t="str">
        <f ca="1">IFERROR(__xludf.DUMMYFUNCTION("if(EM$2="""","""", index(GOOGLEFINANCE($B$34,""close"",EM$2,TODAY()),2,2))"),"")</f>
        <v/>
      </c>
      <c r="EN34" s="1" t="str">
        <f ca="1">IFERROR(__xludf.DUMMYFUNCTION("if(EN$2="""","""", index(GOOGLEFINANCE($B$34,""close"",EN$2,TODAY()),2,2))"),"")</f>
        <v/>
      </c>
      <c r="EO34" s="1" t="str">
        <f ca="1">IFERROR(__xludf.DUMMYFUNCTION("if(EO$2="""","""", index(GOOGLEFINANCE($B$34,""close"",EO$2,TODAY()),2,2))"),"")</f>
        <v/>
      </c>
      <c r="EP34" s="1" t="str">
        <f ca="1">IFERROR(__xludf.DUMMYFUNCTION("if(EP$2="""","""", index(GOOGLEFINANCE($B$34,""close"",EP$2,TODAY()),2,2))"),"")</f>
        <v/>
      </c>
      <c r="EQ34" s="1" t="str">
        <f ca="1">IFERROR(__xludf.DUMMYFUNCTION("if(EQ$2="""","""", index(GOOGLEFINANCE($B$34,""close"",EQ$2,TODAY()),2,2))"),"")</f>
        <v/>
      </c>
      <c r="ER34" s="1" t="str">
        <f ca="1">IFERROR(__xludf.DUMMYFUNCTION("if(ER$2="""","""", index(GOOGLEFINANCE($B$34,""close"",ER$2,TODAY()),2,2))"),"")</f>
        <v/>
      </c>
      <c r="ES34" s="1" t="str">
        <f ca="1">IFERROR(__xludf.DUMMYFUNCTION("if(ES$2="""","""", index(GOOGLEFINANCE($B$34,""close"",ES$2,TODAY()),2,2))"),"")</f>
        <v/>
      </c>
      <c r="ET34" s="1" t="str">
        <f ca="1">IFERROR(__xludf.DUMMYFUNCTION("if(ET$2="""","""", index(GOOGLEFINANCE($B$34,""close"",ET$2,TODAY()),2,2))"),"")</f>
        <v/>
      </c>
      <c r="EU34" s="1" t="str">
        <f ca="1">IFERROR(__xludf.DUMMYFUNCTION("if(EU$2="""","""", index(GOOGLEFINANCE($B$34,""close"",EU$2,TODAY()),2,2))"),"")</f>
        <v/>
      </c>
      <c r="EV34" s="1" t="str">
        <f ca="1">IFERROR(__xludf.DUMMYFUNCTION("if(EV$2="""","""", index(GOOGLEFINANCE($B$34,""close"",EV$2,TODAY()),2,2))"),"")</f>
        <v/>
      </c>
      <c r="EW34" s="1" t="str">
        <f ca="1">IFERROR(__xludf.DUMMYFUNCTION("if(EW$2="""","""", index(GOOGLEFINANCE($B$34,""close"",EW$2,TODAY()),2,2))"),"")</f>
        <v/>
      </c>
      <c r="EX34" s="1" t="str">
        <f ca="1">IFERROR(__xludf.DUMMYFUNCTION("if(EX$2="""","""", index(GOOGLEFINANCE($B$34,""close"",EX$2,TODAY()),2,2))"),"")</f>
        <v/>
      </c>
      <c r="EY34" s="1" t="str">
        <f ca="1">IFERROR(__xludf.DUMMYFUNCTION("if(EY$2="""","""", index(GOOGLEFINANCE($B$34,""close"",EY$2,TODAY()),2,2))"),"")</f>
        <v/>
      </c>
      <c r="EZ34" s="1" t="str">
        <f ca="1">IFERROR(__xludf.DUMMYFUNCTION("if(EZ$2="""","""", index(GOOGLEFINANCE($B$34,""close"",EZ$2,TODAY()),2,2))"),"")</f>
        <v/>
      </c>
      <c r="FA34" s="1" t="str">
        <f ca="1">IFERROR(__xludf.DUMMYFUNCTION("if(FA$2="""","""", index(GOOGLEFINANCE($B$34,""close"",FA$2,TODAY()),2,2))"),"")</f>
        <v/>
      </c>
      <c r="FB34" s="1" t="str">
        <f ca="1">IFERROR(__xludf.DUMMYFUNCTION("if(FB$2="""","""", index(GOOGLEFINANCE($B$34,""close"",FB$2,TODAY()),2,2))"),"")</f>
        <v/>
      </c>
      <c r="FC34" s="1" t="str">
        <f ca="1">IFERROR(__xludf.DUMMYFUNCTION("if(FC$2="""","""", index(GOOGLEFINANCE($B$34,""close"",FC$2,TODAY()),2,2))"),"")</f>
        <v/>
      </c>
      <c r="FD34" s="1" t="str">
        <f ca="1">IFERROR(__xludf.DUMMYFUNCTION("if(FD$2="""","""", index(GOOGLEFINANCE($B$34,""close"",FD$2,TODAY()),2,2))"),"")</f>
        <v/>
      </c>
      <c r="FE34" s="1" t="str">
        <f ca="1">IFERROR(__xludf.DUMMYFUNCTION("if(FE$2="""","""", index(GOOGLEFINANCE($B$34,""close"",FE$2,TODAY()),2,2))"),"")</f>
        <v/>
      </c>
      <c r="FF34" s="1" t="str">
        <f ca="1">IFERROR(__xludf.DUMMYFUNCTION("if(FF$2="""","""", index(GOOGLEFINANCE($B$34,""close"",FF$2,TODAY()),2,2))"),"")</f>
        <v/>
      </c>
      <c r="FG34" s="1" t="str">
        <f ca="1">IFERROR(__xludf.DUMMYFUNCTION("if(FG$2="""","""", index(GOOGLEFINANCE($B$34,""close"",FG$2,TODAY()),2,2))"),"")</f>
        <v/>
      </c>
      <c r="FH34" s="1" t="str">
        <f ca="1">IFERROR(__xludf.DUMMYFUNCTION("if(FH$2="""","""", index(GOOGLEFINANCE($B$34,""close"",FH$2,TODAY()),2,2))"),"")</f>
        <v/>
      </c>
      <c r="FI34" s="1" t="str">
        <f ca="1">IFERROR(__xludf.DUMMYFUNCTION("if(FI$2="""","""", index(GOOGLEFINANCE($B$34,""close"",FI$2,TODAY()),2,2))"),"")</f>
        <v/>
      </c>
      <c r="FJ34" s="1" t="str">
        <f ca="1">IFERROR(__xludf.DUMMYFUNCTION("if(FJ$2="""","""", index(GOOGLEFINANCE($B$34,""close"",FJ$2,TODAY()),2,2))"),"")</f>
        <v/>
      </c>
      <c r="FK34" s="1" t="str">
        <f ca="1">IFERROR(__xludf.DUMMYFUNCTION("if(FK$2="""","""", index(GOOGLEFINANCE($B$34,""close"",FK$2,TODAY()),2,2))"),"")</f>
        <v/>
      </c>
      <c r="FL34" s="1" t="str">
        <f ca="1">IFERROR(__xludf.DUMMYFUNCTION("if(FL$2="""","""", index(GOOGLEFINANCE($B$34,""close"",FL$2,TODAY()),2,2))"),"")</f>
        <v/>
      </c>
      <c r="FM34" s="1" t="str">
        <f ca="1">IFERROR(__xludf.DUMMYFUNCTION("if(FM$2="""","""", index(GOOGLEFINANCE($B$34,""close"",FM$2,TODAY()),2,2))"),"")</f>
        <v/>
      </c>
      <c r="FN34" s="1" t="str">
        <f ca="1">IFERROR(__xludf.DUMMYFUNCTION("if(FN$2="""","""", index(GOOGLEFINANCE($B$34,""close"",FN$2,TODAY()),2,2))"),"")</f>
        <v/>
      </c>
      <c r="FO34" s="1" t="str">
        <f ca="1">IFERROR(__xludf.DUMMYFUNCTION("if(FO$2="""","""", index(GOOGLEFINANCE($B$34,""close"",FO$2,TODAY()),2,2))"),"")</f>
        <v/>
      </c>
      <c r="FP34" s="1" t="str">
        <f ca="1">IFERROR(__xludf.DUMMYFUNCTION("if(FP$2="""","""", index(GOOGLEFINANCE($B$34,""close"",FP$2,TODAY()),2,2))"),"")</f>
        <v/>
      </c>
      <c r="FQ34" s="1" t="str">
        <f ca="1">IFERROR(__xludf.DUMMYFUNCTION("if(FQ$2="""","""", index(GOOGLEFINANCE($B$34,""close"",FQ$2,TODAY()),2,2))"),"")</f>
        <v/>
      </c>
      <c r="FR34" s="1" t="str">
        <f ca="1">IFERROR(__xludf.DUMMYFUNCTION("if(FR$2="""","""", index(GOOGLEFINANCE($B$34,""close"",FR$2,TODAY()),2,2))"),"")</f>
        <v/>
      </c>
      <c r="FS34" s="1" t="str">
        <f ca="1">IFERROR(__xludf.DUMMYFUNCTION("if(FS$2="""","""", index(GOOGLEFINANCE($B$34,""close"",FS$2,TODAY()),2,2))"),"")</f>
        <v/>
      </c>
      <c r="FT34" s="1" t="str">
        <f ca="1">IFERROR(__xludf.DUMMYFUNCTION("if(FT$2="""","""", index(GOOGLEFINANCE($B$34,""close"",FT$2,TODAY()),2,2))"),"")</f>
        <v/>
      </c>
      <c r="FU34" s="1" t="str">
        <f ca="1">IFERROR(__xludf.DUMMYFUNCTION("if(FU$2="""","""", index(GOOGLEFINANCE($B$34,""close"",FU$2,TODAY()),2,2))"),"")</f>
        <v/>
      </c>
      <c r="FV34" s="1" t="str">
        <f ca="1">IFERROR(__xludf.DUMMYFUNCTION("if(FV$2="""","""", index(GOOGLEFINANCE($B$34,""close"",FV$2,TODAY()),2,2))"),"")</f>
        <v/>
      </c>
      <c r="FW34" s="1" t="str">
        <f ca="1">IFERROR(__xludf.DUMMYFUNCTION("if(FW$2="""","""", index(GOOGLEFINANCE($B$34,""close"",FW$2,TODAY()),2,2))"),"")</f>
        <v/>
      </c>
      <c r="FX34" s="1" t="str">
        <f ca="1">IFERROR(__xludf.DUMMYFUNCTION("if(FX$2="""","""", index(GOOGLEFINANCE($B$34,""close"",FX$2,TODAY()),2,2))"),"")</f>
        <v/>
      </c>
      <c r="FY34" s="1" t="str">
        <f ca="1">IFERROR(__xludf.DUMMYFUNCTION("if(FY$2="""","""", index(GOOGLEFINANCE($B$34,""close"",FY$2,TODAY()),2,2))"),"")</f>
        <v/>
      </c>
      <c r="FZ34" s="1" t="str">
        <f ca="1">IFERROR(__xludf.DUMMYFUNCTION("if(FZ$2="""","""", index(GOOGLEFINANCE($B$34,""close"",FZ$2,TODAY()),2,2))"),"")</f>
        <v/>
      </c>
      <c r="GA34" s="1" t="str">
        <f ca="1">IFERROR(__xludf.DUMMYFUNCTION("if(GA$2="""","""", index(GOOGLEFINANCE($B$34,""close"",GA$2,TODAY()),2,2))"),"")</f>
        <v/>
      </c>
      <c r="GB34" s="1" t="str">
        <f ca="1">IFERROR(__xludf.DUMMYFUNCTION("if(GB$2="""","""", index(GOOGLEFINANCE($B$34,""close"",GB$2,TODAY()),2,2))"),"")</f>
        <v/>
      </c>
      <c r="GC34" s="1" t="str">
        <f ca="1">IFERROR(__xludf.DUMMYFUNCTION("if(GC$2="""","""", index(GOOGLEFINANCE($B$34,""close"",GC$2,TODAY()),2,2))"),"")</f>
        <v/>
      </c>
      <c r="GD34" s="1" t="str">
        <f ca="1">IFERROR(__xludf.DUMMYFUNCTION("if(GD$2="""","""", index(GOOGLEFINANCE($B$34,""close"",GD$2,TODAY()),2,2))"),"")</f>
        <v/>
      </c>
      <c r="GE34" s="1" t="str">
        <f ca="1">IFERROR(__xludf.DUMMYFUNCTION("if(GE$2="""","""", index(GOOGLEFINANCE($B$34,""close"",GE$2,TODAY()),2,2))"),"")</f>
        <v/>
      </c>
      <c r="GF34" s="1" t="str">
        <f ca="1">IFERROR(__xludf.DUMMYFUNCTION("if(GF$2="""","""", index(GOOGLEFINANCE($B$34,""close"",GF$2,TODAY()),2,2))"),"")</f>
        <v/>
      </c>
      <c r="GG34" s="1" t="str">
        <f ca="1">IFERROR(__xludf.DUMMYFUNCTION("if(GG$2="""","""", index(GOOGLEFINANCE($B$34,""close"",GG$2,TODAY()),2,2))"),"")</f>
        <v/>
      </c>
      <c r="GH34" s="1" t="str">
        <f ca="1">IFERROR(__xludf.DUMMYFUNCTION("if(GH$2="""","""", index(GOOGLEFINANCE($B$34,""close"",GH$2,TODAY()),2,2))"),"")</f>
        <v/>
      </c>
      <c r="GI34" s="1" t="str">
        <f ca="1">IFERROR(__xludf.DUMMYFUNCTION("if(GI$2="""","""", index(GOOGLEFINANCE($B$34,""close"",GI$2,TODAY()),2,2))"),"")</f>
        <v/>
      </c>
      <c r="GJ34" s="1" t="str">
        <f ca="1">IFERROR(__xludf.DUMMYFUNCTION("if(GJ$2="""","""", index(GOOGLEFINANCE($B$34,""close"",GJ$2,TODAY()),2,2))"),"")</f>
        <v/>
      </c>
      <c r="GK34" s="1" t="str">
        <f ca="1">IFERROR(__xludf.DUMMYFUNCTION("if(GK$2="""","""", index(GOOGLEFINANCE($B$34,""close"",GK$2,TODAY()),2,2))"),"")</f>
        <v/>
      </c>
      <c r="GL34" s="1" t="str">
        <f ca="1">IFERROR(__xludf.DUMMYFUNCTION("if(GL$2="""","""", index(GOOGLEFINANCE($B$34,""close"",GL$2,TODAY()),2,2))"),"")</f>
        <v/>
      </c>
      <c r="GM34" s="1" t="str">
        <f ca="1">IFERROR(__xludf.DUMMYFUNCTION("if(GM$2="""","""", index(GOOGLEFINANCE($B$34,""close"",GM$2,TODAY()),2,2))"),"")</f>
        <v/>
      </c>
      <c r="GN34" s="1" t="str">
        <f ca="1">IFERROR(__xludf.DUMMYFUNCTION("if(GN$2="""","""", index(GOOGLEFINANCE($B$34,""close"",GN$2,TODAY()),2,2))"),"")</f>
        <v/>
      </c>
      <c r="GO34" s="1" t="str">
        <f ca="1">IFERROR(__xludf.DUMMYFUNCTION("if(GO$2="""","""", index(GOOGLEFINANCE($B$34,""close"",GO$2,TODAY()),2,2))"),"")</f>
        <v/>
      </c>
      <c r="GP34" s="1" t="str">
        <f ca="1">IFERROR(__xludf.DUMMYFUNCTION("if(GP$2="""","""", index(GOOGLEFINANCE($B$34,""close"",GP$2,TODAY()),2,2))"),"")</f>
        <v/>
      </c>
      <c r="GQ34" s="1" t="str">
        <f ca="1">IFERROR(__xludf.DUMMYFUNCTION("if(GQ$2="""","""", index(GOOGLEFINANCE($B$34,""close"",GQ$2,TODAY()),2,2))"),"")</f>
        <v/>
      </c>
      <c r="GR34" s="1" t="str">
        <f ca="1">IFERROR(__xludf.DUMMYFUNCTION("if(GR$2="""","""", index(GOOGLEFINANCE($B$34,""close"",GR$2,TODAY()),2,2))"),"")</f>
        <v/>
      </c>
      <c r="GS34" s="1" t="str">
        <f ca="1">IFERROR(__xludf.DUMMYFUNCTION("if(GS$2="""","""", index(GOOGLEFINANCE($B$34,""close"",GS$2,TODAY()),2,2))"),"")</f>
        <v/>
      </c>
      <c r="GT34" s="1" t="str">
        <f ca="1">IFERROR(__xludf.DUMMYFUNCTION("if(GT$2="""","""", index(GOOGLEFINANCE($B$34,""close"",GT$2,TODAY()),2,2))"),"")</f>
        <v/>
      </c>
      <c r="GU34" s="1" t="str">
        <f ca="1">IFERROR(__xludf.DUMMYFUNCTION("if(GU$2="""","""", index(GOOGLEFINANCE($B$34,""close"",GU$2,TODAY()),2,2))"),"")</f>
        <v/>
      </c>
      <c r="GV34" s="1" t="str">
        <f ca="1">IFERROR(__xludf.DUMMYFUNCTION("if(GV$2="""","""", index(GOOGLEFINANCE($B$34,""close"",GV$2,TODAY()),2,2))"),"")</f>
        <v/>
      </c>
      <c r="GW34" s="1" t="str">
        <f ca="1">IFERROR(__xludf.DUMMYFUNCTION("if(GW$2="""","""", index(GOOGLEFINANCE($B$34,""close"",GW$2,TODAY()),2,2))"),"")</f>
        <v/>
      </c>
      <c r="GX34" s="1" t="str">
        <f ca="1">IFERROR(__xludf.DUMMYFUNCTION("if(GX$2="""","""", index(GOOGLEFINANCE($B$34,""close"",GX$2,TODAY()),2,2))"),"")</f>
        <v/>
      </c>
      <c r="GY34" s="1" t="str">
        <f ca="1">IFERROR(__xludf.DUMMYFUNCTION("if(GY$2="""","""", index(GOOGLEFINANCE($B$34,""close"",GY$2,TODAY()),2,2))"),"")</f>
        <v/>
      </c>
      <c r="GZ34" s="1" t="str">
        <f ca="1">IFERROR(__xludf.DUMMYFUNCTION("if(GZ$2="""","""", index(GOOGLEFINANCE($B$34,""close"",GZ$2,TODAY()),2,2))"),"")</f>
        <v/>
      </c>
      <c r="HA34" s="1" t="str">
        <f ca="1">IFERROR(__xludf.DUMMYFUNCTION("if(HA$2="""","""", index(GOOGLEFINANCE($B$34,""close"",HA$2,TODAY()),2,2))"),"")</f>
        <v/>
      </c>
      <c r="HB34" s="1" t="str">
        <f ca="1">IFERROR(__xludf.DUMMYFUNCTION("if(HB$2="""","""", index(GOOGLEFINANCE($B$34,""close"",HB$2,TODAY()),2,2))"),"")</f>
        <v/>
      </c>
      <c r="HC34" s="1" t="str">
        <f ca="1">IFERROR(__xludf.DUMMYFUNCTION("if(HC$2="""","""", index(GOOGLEFINANCE($B$34,""close"",HC$2,TODAY()),2,2))"),"")</f>
        <v/>
      </c>
      <c r="HD34" s="1" t="str">
        <f ca="1">IFERROR(__xludf.DUMMYFUNCTION("if(HD$2="""","""", index(GOOGLEFINANCE($B$34,""close"",HD$2,TODAY()),2,2))"),"")</f>
        <v/>
      </c>
      <c r="HE34" s="1" t="str">
        <f ca="1">IFERROR(__xludf.DUMMYFUNCTION("if(HE$2="""","""", index(GOOGLEFINANCE($B$34,""close"",HE$2,TODAY()),2,2))"),"")</f>
        <v/>
      </c>
      <c r="HF34" s="1" t="str">
        <f ca="1">IFERROR(__xludf.DUMMYFUNCTION("if(HF$2="""","""", index(GOOGLEFINANCE($B$34,""close"",HF$2,TODAY()),2,2))"),"")</f>
        <v/>
      </c>
      <c r="HG34" s="1" t="str">
        <f ca="1">IFERROR(__xludf.DUMMYFUNCTION("if(HG$2="""","""", index(GOOGLEFINANCE($B$34,""close"",HG$2,TODAY()),2,2))"),"")</f>
        <v/>
      </c>
      <c r="HH34" s="1" t="str">
        <f ca="1">IFERROR(__xludf.DUMMYFUNCTION("if(HH$2="""","""", index(GOOGLEFINANCE($B$34,""close"",HH$2,TODAY()),2,2))"),"")</f>
        <v/>
      </c>
      <c r="HI34" s="1" t="str">
        <f ca="1">IFERROR(__xludf.DUMMYFUNCTION("if(HI$2="""","""", index(GOOGLEFINANCE($B$34,""close"",HI$2,TODAY()),2,2))"),"")</f>
        <v/>
      </c>
      <c r="HJ34" s="1" t="str">
        <f ca="1">IFERROR(__xludf.DUMMYFUNCTION("if(HJ$2="""","""", index(GOOGLEFINANCE($B$34,""close"",HJ$2,TODAY()),2,2))"),"")</f>
        <v/>
      </c>
      <c r="HK34" s="1" t="str">
        <f ca="1">IFERROR(__xludf.DUMMYFUNCTION("if(HK$2="""","""", index(GOOGLEFINANCE($B$34,""close"",HK$2,TODAY()),2,2))"),"")</f>
        <v/>
      </c>
      <c r="HL34" s="1" t="str">
        <f ca="1">IFERROR(__xludf.DUMMYFUNCTION("if(HL$2="""","""", index(GOOGLEFINANCE($B$34,""close"",HL$2,TODAY()),2,2))"),"")</f>
        <v/>
      </c>
      <c r="HM34" s="1" t="str">
        <f ca="1">IFERROR(__xludf.DUMMYFUNCTION("if(HM$2="""","""", index(GOOGLEFINANCE($B$34,""close"",HM$2,TODAY()),2,2))"),"")</f>
        <v/>
      </c>
      <c r="HN34" s="1" t="str">
        <f ca="1">IFERROR(__xludf.DUMMYFUNCTION("if(HN$2="""","""", index(GOOGLEFINANCE($B$34,""close"",HN$2,TODAY()),2,2))"),"")</f>
        <v/>
      </c>
      <c r="HO34" s="1" t="str">
        <f ca="1">IFERROR(__xludf.DUMMYFUNCTION("if(HO$2="""","""", index(GOOGLEFINANCE($B$34,""close"",HO$2,TODAY()),2,2))"),"")</f>
        <v/>
      </c>
      <c r="HP34" s="1" t="str">
        <f ca="1">IFERROR(__xludf.DUMMYFUNCTION("if(HP$2="""","""", index(GOOGLEFINANCE($B$34,""close"",HP$2,TODAY()),2,2))"),"")</f>
        <v/>
      </c>
      <c r="HQ34" s="1" t="str">
        <f ca="1">IFERROR(__xludf.DUMMYFUNCTION("if(HQ$2="""","""", index(GOOGLEFINANCE($B$34,""close"",HQ$2,TODAY()),2,2))"),"")</f>
        <v/>
      </c>
      <c r="HR34" s="1" t="str">
        <f ca="1">IFERROR(__xludf.DUMMYFUNCTION("if(HR$2="""","""", index(GOOGLEFINANCE($B$34,""close"",HR$2,TODAY()),2,2))"),"")</f>
        <v/>
      </c>
      <c r="HS34" s="1" t="str">
        <f ca="1">IFERROR(__xludf.DUMMYFUNCTION("if(HS$2="""","""", index(GOOGLEFINANCE($B$34,""close"",HS$2,TODAY()),2,2))"),"")</f>
        <v/>
      </c>
      <c r="HT34" s="1" t="str">
        <f ca="1">IFERROR(__xludf.DUMMYFUNCTION("if(HT$2="""","""", index(GOOGLEFINANCE($B$34,""close"",HT$2,TODAY()),2,2))"),"")</f>
        <v/>
      </c>
      <c r="HU34" s="1" t="str">
        <f ca="1">IFERROR(__xludf.DUMMYFUNCTION("if(HU$2="""","""", index(GOOGLEFINANCE($B$34,""close"",HU$2,TODAY()),2,2))"),"")</f>
        <v/>
      </c>
      <c r="HV34" s="1" t="str">
        <f ca="1">IFERROR(__xludf.DUMMYFUNCTION("if(HV$2="""","""", index(GOOGLEFINANCE($B$34,""close"",HV$2,TODAY()),2,2))"),"")</f>
        <v/>
      </c>
      <c r="HW34" s="1" t="str">
        <f ca="1">IFERROR(__xludf.DUMMYFUNCTION("if(HW$2="""","""", index(GOOGLEFINANCE($B$34,""close"",HW$2,TODAY()),2,2))"),"")</f>
        <v/>
      </c>
      <c r="HX34" s="1" t="str">
        <f ca="1">IFERROR(__xludf.DUMMYFUNCTION("if(HX$2="""","""", index(GOOGLEFINANCE($B$34,""close"",HX$2,TODAY()),2,2))"),"")</f>
        <v/>
      </c>
      <c r="HY34" s="1" t="str">
        <f ca="1">IFERROR(__xludf.DUMMYFUNCTION("if(HY$2="""","""", index(GOOGLEFINANCE($B$34,""close"",HY$2,TODAY()),2,2))"),"")</f>
        <v/>
      </c>
      <c r="HZ34" s="1" t="str">
        <f ca="1">IFERROR(__xludf.DUMMYFUNCTION("if(HZ$2="""","""", index(GOOGLEFINANCE($B$34,""close"",HZ$2,TODAY()),2,2))"),"")</f>
        <v/>
      </c>
      <c r="IA34" s="1" t="str">
        <f ca="1">IFERROR(__xludf.DUMMYFUNCTION("if(IA$2="""","""", index(GOOGLEFINANCE($B$34,""close"",IA$2,TODAY()),2,2))"),"")</f>
        <v/>
      </c>
      <c r="IB34" s="1" t="str">
        <f ca="1">IFERROR(__xludf.DUMMYFUNCTION("if(IB$2="""","""", index(GOOGLEFINANCE($B$34,""close"",IB$2,TODAY()),2,2))"),"")</f>
        <v/>
      </c>
      <c r="IC34" s="1" t="str">
        <f ca="1">IFERROR(__xludf.DUMMYFUNCTION("if(IC$2="""","""", index(GOOGLEFINANCE($B$34,""close"",IC$2,TODAY()),2,2))"),"")</f>
        <v/>
      </c>
      <c r="ID34" s="1" t="str">
        <f ca="1">IFERROR(__xludf.DUMMYFUNCTION("if(ID$2="""","""", index(GOOGLEFINANCE($B$34,""close"",ID$2,TODAY()),2,2))"),"")</f>
        <v/>
      </c>
      <c r="IE34" s="1" t="str">
        <f ca="1">IFERROR(__xludf.DUMMYFUNCTION("if(IE$2="""","""", index(GOOGLEFINANCE($B$34,""close"",IE$2,TODAY()),2,2))"),"")</f>
        <v/>
      </c>
      <c r="IF34" s="1" t="str">
        <f ca="1">IFERROR(__xludf.DUMMYFUNCTION("if(IF$2="""","""", index(GOOGLEFINANCE($B$34,""close"",IF$2,TODAY()),2,2))"),"")</f>
        <v/>
      </c>
      <c r="IG34" s="1" t="str">
        <f ca="1">IFERROR(__xludf.DUMMYFUNCTION("if(IG$2="""","""", index(GOOGLEFINANCE($B$34,""close"",IG$2,TODAY()),2,2))"),"")</f>
        <v/>
      </c>
      <c r="IH34" s="1" t="str">
        <f ca="1">IFERROR(__xludf.DUMMYFUNCTION("if(IH$2="""","""", index(GOOGLEFINANCE($B$34,""close"",IH$2,TODAY()),2,2))"),"")</f>
        <v/>
      </c>
      <c r="II34" s="1" t="str">
        <f ca="1">IFERROR(__xludf.DUMMYFUNCTION("if(II$2="""","""", index(GOOGLEFINANCE($B$34,""close"",II$2,TODAY()),2,2))"),"")</f>
        <v/>
      </c>
      <c r="IJ34" s="1" t="str">
        <f ca="1">IFERROR(__xludf.DUMMYFUNCTION("if(IJ$2="""","""", index(GOOGLEFINANCE($B$34,""close"",IJ$2,TODAY()),2,2))"),"")</f>
        <v/>
      </c>
      <c r="IK34" s="1" t="str">
        <f ca="1">IFERROR(__xludf.DUMMYFUNCTION("if(IK$2="""","""", index(GOOGLEFINANCE($B$34,""close"",IK$2,TODAY()),2,2))"),"")</f>
        <v/>
      </c>
      <c r="IL34" s="1" t="str">
        <f ca="1">IFERROR(__xludf.DUMMYFUNCTION("if(IL$2="""","""", index(GOOGLEFINANCE($B$34,""close"",IL$2,TODAY()),2,2))"),"")</f>
        <v/>
      </c>
      <c r="IM34" s="1" t="str">
        <f ca="1">IFERROR(__xludf.DUMMYFUNCTION("if(IM$2="""","""", index(GOOGLEFINANCE($B$34,""close"",IM$2,TODAY()),2,2))"),"")</f>
        <v/>
      </c>
      <c r="IN34" s="1" t="str">
        <f ca="1">IFERROR(__xludf.DUMMYFUNCTION("if(IN$2="""","""", index(GOOGLEFINANCE($B$34,""close"",IN$2,TODAY()),2,2))"),"")</f>
        <v/>
      </c>
      <c r="IO34" s="1" t="str">
        <f ca="1">IFERROR(__xludf.DUMMYFUNCTION("if(IO$2="""","""", index(GOOGLEFINANCE($B$34,""close"",IO$2,TODAY()),2,2))"),"")</f>
        <v/>
      </c>
      <c r="IP34" s="1" t="str">
        <f ca="1">IFERROR(__xludf.DUMMYFUNCTION("if(IP$2="""","""", index(GOOGLEFINANCE($B$34,""close"",IP$2,TODAY()),2,2))"),"")</f>
        <v/>
      </c>
      <c r="IQ34" s="1" t="str">
        <f ca="1">IFERROR(__xludf.DUMMYFUNCTION("if(IQ$2="""","""", index(GOOGLEFINANCE($B$34,""close"",IQ$2,TODAY()),2,2))"),"")</f>
        <v/>
      </c>
      <c r="IR34" s="1" t="str">
        <f ca="1">IFERROR(__xludf.DUMMYFUNCTION("if(IR$2="""","""", index(GOOGLEFINANCE($B$34,""close"",IR$2,TODAY()),2,2))"),"")</f>
        <v/>
      </c>
      <c r="IS34" s="1" t="str">
        <f ca="1">IFERROR(__xludf.DUMMYFUNCTION("if(IS$2="""","""", index(GOOGLEFINANCE($B$34,""close"",IS$2,TODAY()),2,2))"),"")</f>
        <v/>
      </c>
      <c r="IT34" s="1" t="str">
        <f ca="1">IFERROR(__xludf.DUMMYFUNCTION("if(IT$2="""","""", index(GOOGLEFINANCE($B$34,""close"",IT$2,TODAY()),2,2))"),"")</f>
        <v/>
      </c>
      <c r="IU34" s="1" t="str">
        <f ca="1">IFERROR(__xludf.DUMMYFUNCTION("if(IU$2="""","""", index(GOOGLEFINANCE($B$34,""close"",IU$2,TODAY()),2,2))"),"")</f>
        <v/>
      </c>
      <c r="IV34" s="1" t="str">
        <f ca="1">IFERROR(__xludf.DUMMYFUNCTION("if(IV$2="""","""", index(GOOGLEFINANCE($B$34,""close"",IV$2,TODAY()),2,2))"),"")</f>
        <v/>
      </c>
      <c r="IW34" s="1" t="str">
        <f ca="1">IFERROR(__xludf.DUMMYFUNCTION("if(IW$2="""","""", index(GOOGLEFINANCE($B$34,""close"",IW$2,TODAY()),2,2))"),"")</f>
        <v/>
      </c>
      <c r="IX34" s="1" t="str">
        <f ca="1">IFERROR(__xludf.DUMMYFUNCTION("if(IX$2="""","""", index(GOOGLEFINANCE($B$34,""close"",IX$2,TODAY()),2,2))"),"")</f>
        <v/>
      </c>
      <c r="IY34" s="1" t="str">
        <f ca="1">IFERROR(__xludf.DUMMYFUNCTION("if(IY$2="""","""", index(GOOGLEFINANCE($B$34,""close"",IY$2,TODAY()),2,2))"),"")</f>
        <v/>
      </c>
      <c r="IZ34" s="1" t="str">
        <f ca="1">IFERROR(__xludf.DUMMYFUNCTION("if(IZ$2="""","""", index(GOOGLEFINANCE($B$34,""close"",IZ$2,TODAY()),2,2))"),"")</f>
        <v/>
      </c>
      <c r="JA34" s="1" t="str">
        <f ca="1">IFERROR(__xludf.DUMMYFUNCTION("if(JA$2="""","""", index(GOOGLEFINANCE($B$34,""close"",JA$2,TODAY()),2,2))"),"")</f>
        <v/>
      </c>
      <c r="JB34" s="1" t="str">
        <f ca="1">IFERROR(__xludf.DUMMYFUNCTION("if(JB$2="""","""", index(GOOGLEFINANCE($B$34,""close"",JB$2,TODAY()),2,2))"),"")</f>
        <v/>
      </c>
      <c r="JC34" s="1" t="str">
        <f ca="1">IFERROR(__xludf.DUMMYFUNCTION("if(JC$2="""","""", index(GOOGLEFINANCE($B$34,""close"",JC$2,TODAY()),2,2))"),"")</f>
        <v/>
      </c>
      <c r="JD34" s="1" t="str">
        <f ca="1">IFERROR(__xludf.DUMMYFUNCTION("if(JD$2="""","""", index(GOOGLEFINANCE($B$34,""close"",JD$2,TODAY()),2,2))"),"")</f>
        <v/>
      </c>
      <c r="JE34" s="1" t="str">
        <f ca="1">IFERROR(__xludf.DUMMYFUNCTION("if(JE$2="""","""", index(GOOGLEFINANCE($B$34,""close"",JE$2,TODAY()),2,2))"),"")</f>
        <v/>
      </c>
      <c r="JF34" s="1" t="str">
        <f ca="1">IFERROR(__xludf.DUMMYFUNCTION("if(JF$2="""","""", index(GOOGLEFINANCE($B$34,""close"",JF$2,TODAY()),2,2))"),"")</f>
        <v/>
      </c>
      <c r="JG34" s="1" t="str">
        <f ca="1">IFERROR(__xludf.DUMMYFUNCTION("if(JG$2="""","""", index(GOOGLEFINANCE($B$34,""close"",JG$2,TODAY()),2,2))"),"")</f>
        <v/>
      </c>
      <c r="JH34" s="1" t="str">
        <f ca="1">IFERROR(__xludf.DUMMYFUNCTION("if(JH$2="""","""", index(GOOGLEFINANCE($B$34,""close"",JH$2,TODAY()),2,2))"),"")</f>
        <v/>
      </c>
      <c r="JI34" s="1" t="str">
        <f ca="1">IFERROR(__xludf.DUMMYFUNCTION("if(JI$2="""","""", index(GOOGLEFINANCE($B$34,""close"",JI$2,TODAY()),2,2))"),"")</f>
        <v/>
      </c>
      <c r="JJ34" s="1" t="str">
        <f ca="1">IFERROR(__xludf.DUMMYFUNCTION("if(JJ$2="""","""", index(GOOGLEFINANCE($B$34,""close"",JJ$2,TODAY()),2,2))"),"")</f>
        <v/>
      </c>
      <c r="JK34" s="1" t="str">
        <f ca="1">IFERROR(__xludf.DUMMYFUNCTION("if(JK$2="""","""", index(GOOGLEFINANCE($B$34,""close"",JK$2,TODAY()),2,2))"),"")</f>
        <v/>
      </c>
      <c r="JL34" s="1" t="str">
        <f ca="1">IFERROR(__xludf.DUMMYFUNCTION("if(JL$2="""","""", index(GOOGLEFINANCE($B$34,""close"",JL$2,TODAY()),2,2))"),"")</f>
        <v/>
      </c>
      <c r="JM34" s="1" t="str">
        <f ca="1">IFERROR(__xludf.DUMMYFUNCTION("if(JM$2="""","""", index(GOOGLEFINANCE($B$34,""close"",JM$2,TODAY()),2,2))"),"")</f>
        <v/>
      </c>
      <c r="JN34" s="1" t="str">
        <f ca="1">IFERROR(__xludf.DUMMYFUNCTION("if(JN$2="""","""", index(GOOGLEFINANCE($B$34,""close"",JN$2,TODAY()),2,2))"),"")</f>
        <v/>
      </c>
      <c r="JO34" s="1" t="str">
        <f ca="1">IFERROR(__xludf.DUMMYFUNCTION("if(JO$2="""","""", index(GOOGLEFINANCE($B$34,""close"",JO$2,TODAY()),2,2))"),"")</f>
        <v/>
      </c>
      <c r="JP34" s="1" t="str">
        <f ca="1">IFERROR(__xludf.DUMMYFUNCTION("if(JP$2="""","""", index(GOOGLEFINANCE($B$34,""close"",JP$2,TODAY()),2,2))"),"")</f>
        <v/>
      </c>
      <c r="JQ34" s="1" t="str">
        <f ca="1">IFERROR(__xludf.DUMMYFUNCTION("if(JQ$2="""","""", index(GOOGLEFINANCE($B$34,""close"",JQ$2,TODAY()),2,2))"),"")</f>
        <v/>
      </c>
      <c r="JR34" s="1" t="str">
        <f ca="1">IFERROR(__xludf.DUMMYFUNCTION("if(JR$2="""","""", index(GOOGLEFINANCE($B$34,""close"",JR$2,TODAY()),2,2))"),"")</f>
        <v/>
      </c>
      <c r="JS34" s="1" t="str">
        <f ca="1">IFERROR(__xludf.DUMMYFUNCTION("if(JS$2="""","""", index(GOOGLEFINANCE($B$34,""close"",JS$2,TODAY()),2,2))"),"")</f>
        <v/>
      </c>
      <c r="JT34" s="1" t="str">
        <f ca="1">IFERROR(__xludf.DUMMYFUNCTION("if(JT$2="""","""", index(GOOGLEFINANCE($B$34,""close"",JT$2,TODAY()),2,2))"),"")</f>
        <v/>
      </c>
      <c r="JU34" s="1" t="str">
        <f ca="1">IFERROR(__xludf.DUMMYFUNCTION("if(JU$2="""","""", index(GOOGLEFINANCE($B$34,""close"",JU$2,TODAY()),2,2))"),"")</f>
        <v/>
      </c>
      <c r="JV34" s="1" t="str">
        <f ca="1">IFERROR(__xludf.DUMMYFUNCTION("if(JV$2="""","""", index(GOOGLEFINANCE($B$34,""close"",JV$2,TODAY()),2,2))"),"")</f>
        <v/>
      </c>
      <c r="JW34" s="1" t="str">
        <f ca="1">IFERROR(__xludf.DUMMYFUNCTION("if(JW$2="""","""", index(GOOGLEFINANCE($B$34,""close"",JW$2,TODAY()),2,2))"),"")</f>
        <v/>
      </c>
      <c r="JX34" s="1" t="str">
        <f ca="1">IFERROR(__xludf.DUMMYFUNCTION("if(JX$2="""","""", index(GOOGLEFINANCE($B$34,""close"",JX$2,TODAY()),2,2))"),"")</f>
        <v/>
      </c>
      <c r="JY34" s="1" t="str">
        <f ca="1">IFERROR(__xludf.DUMMYFUNCTION("if(JY$2="""","""", index(GOOGLEFINANCE($B$34,""close"",JY$2,TODAY()),2,2))"),"")</f>
        <v/>
      </c>
      <c r="JZ34" s="1" t="str">
        <f ca="1">IFERROR(__xludf.DUMMYFUNCTION("if(JZ$2="""","""", index(GOOGLEFINANCE($B$34,""close"",JZ$2,TODAY()),2,2))"),"")</f>
        <v/>
      </c>
      <c r="KA34" s="1" t="str">
        <f ca="1">IFERROR(__xludf.DUMMYFUNCTION("if(KA$2="""","""", index(GOOGLEFINANCE($B$34,""close"",KA$2,TODAY()),2,2))"),"")</f>
        <v/>
      </c>
      <c r="KB34" s="1" t="str">
        <f ca="1">IFERROR(__xludf.DUMMYFUNCTION("if(KB$2="""","""", index(GOOGLEFINANCE($B$34,""close"",KB$2,TODAY()),2,2))"),"")</f>
        <v/>
      </c>
      <c r="KC34" s="1" t="str">
        <f ca="1">IFERROR(__xludf.DUMMYFUNCTION("if(KC$2="""","""", index(GOOGLEFINANCE($B$34,""close"",KC$2,TODAY()),2,2))"),"")</f>
        <v/>
      </c>
      <c r="KD34" s="1" t="str">
        <f ca="1">IFERROR(__xludf.DUMMYFUNCTION("if(KD$2="""","""", index(GOOGLEFINANCE($B$34,""close"",KD$2,TODAY()),2,2))"),"")</f>
        <v/>
      </c>
      <c r="KE34" s="1" t="str">
        <f ca="1">IFERROR(__xludf.DUMMYFUNCTION("if(KE$2="""","""", index(GOOGLEFINANCE($B$34,""close"",KE$2,TODAY()),2,2))"),"")</f>
        <v/>
      </c>
      <c r="KF34" s="1" t="str">
        <f ca="1">IFERROR(__xludf.DUMMYFUNCTION("if(KF$2="""","""", index(GOOGLEFINANCE($B$34,""close"",KF$2,TODAY()),2,2))"),"")</f>
        <v/>
      </c>
      <c r="KG34" s="1" t="str">
        <f ca="1">IFERROR(__xludf.DUMMYFUNCTION("if(KG$2="""","""", index(GOOGLEFINANCE($B$34,""close"",KG$2,TODAY()),2,2))"),"")</f>
        <v/>
      </c>
    </row>
    <row r="35" spans="1:293" ht="15.75" customHeight="1">
      <c r="A35" s="18" t="s">
        <v>30</v>
      </c>
      <c r="B35" s="6" t="s">
        <v>78</v>
      </c>
      <c r="C35" s="1">
        <f ca="1">IFERROR(__xludf.DUMMYFUNCTION("if(C$2="""","""", index(GOOGLEFINANCE($B$35,""close"",C$2,TODAY()),2,2))"),290.08)</f>
        <v>290.08</v>
      </c>
      <c r="D35" s="1">
        <f ca="1">IFERROR(__xludf.DUMMYFUNCTION("if(D$2="""","""", index(GOOGLEFINANCE($B$35,""close"",D$2,TODAY()),2,2))"),296.5)</f>
        <v>296.5</v>
      </c>
      <c r="E35" s="1">
        <f ca="1">IFERROR(__xludf.DUMMYFUNCTION("if(E$2="""","""", index(GOOGLEFINANCE($B$35,""close"",E$2,TODAY()),2,2))"),286.25)</f>
        <v>286.25</v>
      </c>
      <c r="F35" s="1">
        <f ca="1">IFERROR(__xludf.DUMMYFUNCTION("if(F$2="""","""", index(GOOGLEFINANCE($B$35,""close"",F$2,TODAY()),2,2))"),284.22)</f>
        <v>284.22000000000003</v>
      </c>
      <c r="G35" s="1">
        <f ca="1">IFERROR(__xludf.DUMMYFUNCTION("if(G$2="""","""", index(GOOGLEFINANCE($B$35,""close"",G$2,TODAY()),2,2))"),290.01)</f>
        <v>290.01</v>
      </c>
      <c r="H35" s="1">
        <f ca="1">IFERROR(__xludf.DUMMYFUNCTION("if(H$2="""","""", index(GOOGLEFINANCE($B$35,""close"",H$2,TODAY()),2,2))"),287)</f>
        <v>287</v>
      </c>
      <c r="I35" s="1">
        <f ca="1">IFERROR(__xludf.DUMMYFUNCTION("if(I$2="""","""", index(GOOGLEFINANCE($B$35,""close"",I$2,TODAY()),2,2))"),291.6)</f>
        <v>291.60000000000002</v>
      </c>
      <c r="J35" s="1">
        <f ca="1">IFERROR(__xludf.DUMMYFUNCTION("if(J$2="""","""", index(GOOGLEFINANCE($B$35,""close"",J$2,TODAY()),2,2))"),292.99)</f>
        <v>292.99</v>
      </c>
      <c r="K35" s="1">
        <f ca="1">IFERROR(__xludf.DUMMYFUNCTION("if(K$2="""","""", index(GOOGLEFINANCE($B$35,""close"",K$2,TODAY()),2,2))"),285.01)</f>
        <v>285.01</v>
      </c>
      <c r="L35" s="1">
        <f ca="1">IFERROR(__xludf.DUMMYFUNCTION("if(L$2="""","""", index(GOOGLEFINANCE($B$35,""close"",L$2,TODAY()),2,2))"),284.3)</f>
        <v>284.3</v>
      </c>
      <c r="M35" s="1">
        <f ca="1">IFERROR(__xludf.DUMMYFUNCTION("if(M$2="""","""", index(GOOGLEFINANCE($B$35,""close"",M$2,TODAY()),2,2))"),283.33)</f>
        <v>283.33</v>
      </c>
      <c r="N35" s="1">
        <f ca="1">IFERROR(__xludf.DUMMYFUNCTION("if(N$2="""","""", index(GOOGLEFINANCE($B$35,""close"",N$2,TODAY()),2,2))"),276.98)</f>
        <v>276.98</v>
      </c>
      <c r="O35" s="1">
        <f ca="1">IFERROR(__xludf.DUMMYFUNCTION("if(O$2="""","""", index(GOOGLEFINANCE($B$35,""close"",O$2,TODAY()),2,2))"),273.88)</f>
        <v>273.88</v>
      </c>
      <c r="P35" s="1">
        <f ca="1">IFERROR(__xludf.DUMMYFUNCTION("if(P$2="""","""", index(GOOGLEFINANCE($B$35,""close"",P$2,TODAY()),2,2))"),261.51)</f>
        <v>261.51</v>
      </c>
      <c r="Q35" s="1">
        <f ca="1">IFERROR(__xludf.DUMMYFUNCTION("if(Q$2="""","""", index(GOOGLEFINANCE($B$35,""close"",Q$2,TODAY()),2,2))"),262.42)</f>
        <v>262.42</v>
      </c>
      <c r="R35" s="1">
        <f ca="1">IFERROR(__xludf.DUMMYFUNCTION("if(R$2="""","""", index(GOOGLEFINANCE($B$35,""close"",R$2,TODAY()),2,2))"),252.05)</f>
        <v>252.05</v>
      </c>
      <c r="S35" s="1">
        <f ca="1">IFERROR(__xludf.DUMMYFUNCTION("if(S$2="""","""", index(GOOGLEFINANCE($B$35,""close"",S$2,TODAY()),2,2))"),249.84)</f>
        <v>249.84</v>
      </c>
      <c r="T35" s="1">
        <f ca="1">IFERROR(__xludf.DUMMYFUNCTION("if(T$2="""","""", index(GOOGLEFINANCE($B$35,""close"",T$2,TODAY()),2,2))"),245.4)</f>
        <v>245.4</v>
      </c>
      <c r="U35" s="1">
        <f ca="1">IFERROR(__xludf.DUMMYFUNCTION("if(U$2="""","""", index(GOOGLEFINANCE($B$35,""close"",U$2,TODAY()),2,2))"),247.84)</f>
        <v>247.84</v>
      </c>
      <c r="V35" s="1">
        <f ca="1">IFERROR(__xludf.DUMMYFUNCTION("if(V$2="""","""", index(GOOGLEFINANCE($B$35,""close"",V$2,TODAY()),2,2))"),261.68)</f>
        <v>261.68</v>
      </c>
      <c r="W35" s="1">
        <f ca="1">IFERROR(__xludf.DUMMYFUNCTION("if(W$2="""","""", index(GOOGLEFINANCE($B$35,""close"",W$2,TODAY()),2,2))"),261.99)</f>
        <v>261.99</v>
      </c>
      <c r="X35" s="1">
        <f ca="1">IFERROR(__xludf.DUMMYFUNCTION("if(X$2="""","""", index(GOOGLEFINANCE($B$35,""close"",X$2,TODAY()),2,2))"),258.5)</f>
        <v>258.5</v>
      </c>
      <c r="Y35" s="1">
        <f ca="1">IFERROR(__xludf.DUMMYFUNCTION("if(Y$2="""","""", index(GOOGLEFINANCE($B$35,""close"",Y$2,TODAY()),2,2))"),250.44)</f>
        <v>250.44</v>
      </c>
      <c r="Z35" s="1">
        <f ca="1">IFERROR(__xludf.DUMMYFUNCTION("if(Z$2="""","""", index(GOOGLEFINANCE($B$35,""close"",Z$2,TODAY()),2,2))"),269.5)</f>
        <v>269.5</v>
      </c>
      <c r="AA35" s="1">
        <f ca="1">IFERROR(__xludf.DUMMYFUNCTION("if(AA$2="""","""", index(GOOGLEFINANCE($B$35,""close"",AA$2,TODAY()),2,2))"),260.79)</f>
        <v>260.79000000000002</v>
      </c>
      <c r="AB35" s="1">
        <f ca="1">IFERROR(__xludf.DUMMYFUNCTION("if(AB$2="""","""", index(GOOGLEFINANCE($B$35,""close"",AB$2,TODAY()),2,2))"),262.88)</f>
        <v>262.88</v>
      </c>
      <c r="AC35" s="1">
        <f ca="1">IFERROR(__xludf.DUMMYFUNCTION("if(AC$2="""","""", index(GOOGLEFINANCE($B$35,""close"",AC$2,TODAY()),2,2))"),270.01)</f>
        <v>270.01</v>
      </c>
      <c r="AD35" s="1">
        <f ca="1">IFERROR(__xludf.DUMMYFUNCTION("if(AD$2="""","""", index(GOOGLEFINANCE($B$35,""close"",AD$2,TODAY()),2,2))"),258.88)</f>
        <v>258.88</v>
      </c>
      <c r="AE35" s="1">
        <f ca="1">IFERROR(__xludf.DUMMYFUNCTION("if(AE$2="""","""", index(GOOGLEFINANCE($B$35,""close"",AE$2,TODAY()),2,2))"),256.24)</f>
        <v>256.24</v>
      </c>
      <c r="AF35" s="1">
        <f ca="1">IFERROR(__xludf.DUMMYFUNCTION("if(AF$2="""","""", index(GOOGLEFINANCE($B$35,""close"",AF$2,TODAY()),2,2))"),253.38)</f>
        <v>253.38</v>
      </c>
      <c r="AG35" s="1">
        <f ca="1">IFERROR(__xludf.DUMMYFUNCTION("if(AG$2="""","""", index(GOOGLEFINANCE($B$35,""close"",AG$2,TODAY()),2,2))"),262.03)</f>
        <v>262.02999999999997</v>
      </c>
      <c r="AH35" s="1">
        <f ca="1">IFERROR(__xludf.DUMMYFUNCTION("if(AH$2="""","""", index(GOOGLEFINANCE($B$35,""close"",AH$2,TODAY()),2,2))"),263.96)</f>
        <v>263.95999999999998</v>
      </c>
      <c r="AI35" s="1">
        <f ca="1">IFERROR(__xludf.DUMMYFUNCTION("if(AI$2="""","""", index(GOOGLEFINANCE($B$35,""close"",AI$2,TODAY()),2,2))"),250.94)</f>
        <v>250.94</v>
      </c>
      <c r="AJ35" s="1">
        <f ca="1">IFERROR(__xludf.DUMMYFUNCTION("if(AJ$2="""","""", index(GOOGLEFINANCE($B$35,""close"",AJ$2,TODAY()),2,2))"),252.43)</f>
        <v>252.43</v>
      </c>
      <c r="AK35" s="1">
        <f ca="1">IFERROR(__xludf.DUMMYFUNCTION("if(AK$2="""","""", index(GOOGLEFINANCE($B$35,""close"",AK$2,TODAY()),2,2))"),250.17)</f>
        <v>250.17</v>
      </c>
      <c r="AL35" s="1">
        <f ca="1">IFERROR(__xludf.DUMMYFUNCTION("if(AL$2="""","""", index(GOOGLEFINANCE($B$35,""close"",AL$2,TODAY()),2,2))"),239.74)</f>
        <v>239.74</v>
      </c>
      <c r="AM35" s="1">
        <f ca="1">IFERROR(__xludf.DUMMYFUNCTION("if(AM$2="""","""", index(GOOGLEFINANCE($B$35,""close"",AM$2,TODAY()),2,2))"),241.33)</f>
        <v>241.33</v>
      </c>
      <c r="AN35" s="1">
        <f ca="1">IFERROR(__xludf.DUMMYFUNCTION("if(AN$2="""","""", index(GOOGLEFINANCE($B$35,""close"",AN$2,TODAY()),2,2))"),248.25)</f>
        <v>248.25</v>
      </c>
      <c r="AO35" s="1">
        <f ca="1">IFERROR(__xludf.DUMMYFUNCTION("if(AO$2="""","""", index(GOOGLEFINANCE($B$35,""close"",AO$2,TODAY()),2,2))"),240.62)</f>
        <v>240.62</v>
      </c>
      <c r="AP35" s="1">
        <f ca="1">IFERROR(__xludf.DUMMYFUNCTION("if(AP$2="""","""", index(GOOGLEFINANCE($B$35,""close"",AP$2,TODAY()),2,2))"),231.4)</f>
        <v>231.4</v>
      </c>
      <c r="AQ35" s="1">
        <f ca="1">IFERROR(__xludf.DUMMYFUNCTION("if(AQ$2="""","""", index(GOOGLEFINANCE($B$35,""close"",AQ$2,TODAY()),2,2))"),240.09)</f>
        <v>240.09</v>
      </c>
      <c r="AR35" s="1">
        <f ca="1">IFERROR(__xludf.DUMMYFUNCTION("if(AR$2="""","""", index(GOOGLEFINANCE($B$35,""close"",AR$2,TODAY()),2,2))"),234.7)</f>
        <v>234.7</v>
      </c>
      <c r="AS35" s="1">
        <f ca="1">IFERROR(__xludf.DUMMYFUNCTION("if(AS$2="""","""", index(GOOGLEFINANCE($B$35,""close"",AS$2,TODAY()),2,2))"),220.38)</f>
        <v>220.38</v>
      </c>
      <c r="AT35" s="1">
        <f ca="1">IFERROR(__xludf.DUMMYFUNCTION("if(AT$2="""","""", index(GOOGLEFINANCE($B$35,""close"",AT$2,TODAY()),2,2))"),206.73)</f>
        <v>206.73</v>
      </c>
      <c r="AU35" s="1">
        <f ca="1">IFERROR(__xludf.DUMMYFUNCTION("if(AU$2="""","""", index(GOOGLEFINANCE($B$35,""close"",AU$2,TODAY()),2,2))"),206.05)</f>
        <v>206.05</v>
      </c>
      <c r="AV35" s="1">
        <f ca="1">IFERROR(__xludf.DUMMYFUNCTION("if(AV$2="""","""", index(GOOGLEFINANCE($B$35,""close"",AV$2,TODAY()),2,2))"),217.05)</f>
        <v>217.05</v>
      </c>
      <c r="AW35" s="1">
        <f ca="1">IFERROR(__xludf.DUMMYFUNCTION("if(AW$2="""","""", index(GOOGLEFINANCE($B$35,""close"",AW$2,TODAY()),2,2))"),212.68)</f>
        <v>212.68</v>
      </c>
      <c r="AX35" s="1">
        <f ca="1">IFERROR(__xludf.DUMMYFUNCTION("if(AX$2="""","""", index(GOOGLEFINANCE($B$35,""close"",AX$2,TODAY()),2,2))"),211.64)</f>
        <v>211.64</v>
      </c>
      <c r="AY35" s="1">
        <f ca="1">IFERROR(__xludf.DUMMYFUNCTION("if(AY$2="""","""", index(GOOGLEFINANCE($B$35,""close"",AY$2,TODAY()),2,2))"),213.65)</f>
        <v>213.65</v>
      </c>
      <c r="AZ35" s="1">
        <f ca="1">IFERROR(__xludf.DUMMYFUNCTION("if(AZ$2="""","""", index(GOOGLEFINANCE($B$35,""close"",AZ$2,TODAY()),2,2))"),218.2)</f>
        <v>218.2</v>
      </c>
      <c r="BA35" s="1">
        <f ca="1">IFERROR(__xludf.DUMMYFUNCTION("if(BA$2="""","""", index(GOOGLEFINANCE($B$35,""close"",BA$2,TODAY()),2,2))"),231.35)</f>
        <v>231.35</v>
      </c>
      <c r="BB35" s="1">
        <f ca="1">IFERROR(__xludf.DUMMYFUNCTION("if(BB$2="""","""", index(GOOGLEFINANCE($B$35,""close"",BB$2,TODAY()),2,2))"),236.76)</f>
        <v>236.76</v>
      </c>
      <c r="BC35" s="1">
        <f ca="1">IFERROR(__xludf.DUMMYFUNCTION("if(BC$2="""","""", index(GOOGLEFINANCE($B$35,""close"",BC$2,TODAY()),2,2))"),238.51)</f>
        <v>238.51</v>
      </c>
      <c r="BD35" s="1">
        <f ca="1">IFERROR(__xludf.DUMMYFUNCTION("if(BD$2="""","""", index(GOOGLEFINANCE($B$35,""close"",BD$2,TODAY()),2,2))"),239.87)</f>
        <v>239.87</v>
      </c>
      <c r="BE35" s="1">
        <f ca="1">IFERROR(__xludf.DUMMYFUNCTION("if(BE$2="""","""", index(GOOGLEFINANCE($B$35,""close"",BE$2,TODAY()),2,2))"),243.18)</f>
        <v>243.18</v>
      </c>
      <c r="BF35" s="1">
        <f ca="1">IFERROR(__xludf.DUMMYFUNCTION("if(BF$2="""","""", index(GOOGLEFINANCE($B$35,""close"",BF$2,TODAY()),2,2))"),237.97)</f>
        <v>237.97</v>
      </c>
      <c r="BG35" s="1">
        <f ca="1">IFERROR(__xludf.DUMMYFUNCTION("if(BG$2="""","""", index(GOOGLEFINANCE($B$35,""close"",BG$2,TODAY()),2,2))"),241.68)</f>
        <v>241.68</v>
      </c>
      <c r="BH35" s="1">
        <f ca="1">IFERROR(__xludf.DUMMYFUNCTION("if(BH$2="""","""", index(GOOGLEFINANCE($B$35,""close"",BH$2,TODAY()),2,2))"),244.53)</f>
        <v>244.53</v>
      </c>
      <c r="BI35" s="1">
        <f ca="1">IFERROR(__xludf.DUMMYFUNCTION("if(BI$2="""","""", index(GOOGLEFINANCE($B$35,""close"",BI$2,TODAY()),2,2))"),240.23)</f>
        <v>240.23</v>
      </c>
      <c r="BJ35" s="1">
        <f ca="1">IFERROR(__xludf.DUMMYFUNCTION("if(BJ$2="""","""", index(GOOGLEFINANCE($B$35,""close"",BJ$2,TODAY()),2,2))"),247.37)</f>
        <v>247.37</v>
      </c>
      <c r="BK35" s="1">
        <f ca="1">IFERROR(__xludf.DUMMYFUNCTION("if(BK$2="""","""", index(GOOGLEFINANCE($B$35,""close"",BK$2,TODAY()),2,2))"),242.53)</f>
        <v>242.53</v>
      </c>
      <c r="BL35" s="1">
        <f ca="1">IFERROR(__xludf.DUMMYFUNCTION("if(BL$2="""","""", index(GOOGLEFINANCE($B$35,""close"",BL$2,TODAY()),2,2))"),239.99)</f>
        <v>239.99</v>
      </c>
      <c r="BM35" s="1">
        <f ca="1">IFERROR(__xludf.DUMMYFUNCTION("if(BM$2="""","""", index(GOOGLEFINANCE($B$35,""close"",BM$2,TODAY()),2,2))"),239.73)</f>
        <v>239.73</v>
      </c>
      <c r="BN35" s="1">
        <f ca="1">IFERROR(__xludf.DUMMYFUNCTION("if(BN$2="""","""", index(GOOGLEFINANCE($B$35,""close"",BN$2,TODAY()),2,2))"),237.63)</f>
        <v>237.63</v>
      </c>
      <c r="BO35" s="1">
        <f ca="1">IFERROR(__xludf.DUMMYFUNCTION("if(BO$2="""","""", index(GOOGLEFINANCE($B$35,""close"",BO$2,TODAY()),2,2))"),232.06)</f>
        <v>232.06</v>
      </c>
      <c r="BP35" s="1">
        <f ca="1">IFERROR(__xludf.DUMMYFUNCTION("if(BP$2="""","""", index(GOOGLEFINANCE($B$35,""close"",BP$2,TODAY()),2,2))"),221.15)</f>
        <v>221.15</v>
      </c>
      <c r="BQ35" s="1">
        <f ca="1">IFERROR(__xludf.DUMMYFUNCTION("if(BQ$2="""","""", index(GOOGLEFINANCE($B$35,""close"",BQ$2,TODAY()),2,2))"),218.32)</f>
        <v>218.32</v>
      </c>
      <c r="BR35" s="1">
        <f ca="1">IFERROR(__xludf.DUMMYFUNCTION("if(BR$2="""","""", index(GOOGLEFINANCE($B$35,""close"",BR$2,TODAY()),2,2))"),203.8)</f>
        <v>203.8</v>
      </c>
      <c r="BS35" s="1">
        <f ca="1">IFERROR(__xludf.DUMMYFUNCTION("if(BS$2="""","""", index(GOOGLEFINANCE($B$35,""close"",BS$2,TODAY()),2,2))"),198.89)</f>
        <v>198.89</v>
      </c>
      <c r="BT35" s="1">
        <f ca="1">IFERROR(__xludf.DUMMYFUNCTION("if(BT$2="""","""", index(GOOGLEFINANCE($B$35,""close"",BT$2,TODAY()),2,2))"),198.28)</f>
        <v>198.28</v>
      </c>
      <c r="BU35" s="1">
        <f ca="1">IFERROR(__xludf.DUMMYFUNCTION("if(BU$2="""","""", index(GOOGLEFINANCE($B$35,""close"",BU$2,TODAY()),2,2))"),207.01)</f>
        <v>207.01</v>
      </c>
      <c r="BV35" s="1">
        <f ca="1">IFERROR(__xludf.DUMMYFUNCTION("if(BV$2="""","""", index(GOOGLEFINANCE($B$35,""close"",BV$2,TODAY()),2,2))"),203)</f>
        <v>203</v>
      </c>
      <c r="BW35" s="1">
        <f ca="1">IFERROR(__xludf.DUMMYFUNCTION("if(BW$2="""","""", index(GOOGLEFINANCE($B$35,""close"",BW$2,TODAY()),2,2))"),198.62)</f>
        <v>198.62</v>
      </c>
      <c r="BX35" s="1">
        <f ca="1">IFERROR(__xludf.DUMMYFUNCTION("if(BX$2="""","""", index(GOOGLEFINANCE($B$35,""close"",BX$2,TODAY()),2,2))"),209.6)</f>
        <v>209.6</v>
      </c>
      <c r="BY35" s="1">
        <f ca="1">IFERROR(__xludf.DUMMYFUNCTION("if(BY$2="""","""", index(GOOGLEFINANCE($B$35,""close"",BY$2,TODAY()),2,2))"),209.74)</f>
        <v>209.74</v>
      </c>
      <c r="BZ35" s="1">
        <f ca="1">IFERROR(__xludf.DUMMYFUNCTION("if(BZ$2="""","""", index(GOOGLEFINANCE($B$35,""close"",BZ$2,TODAY()),2,2))"),203.5)</f>
        <v>203.5</v>
      </c>
      <c r="CA35" s="1">
        <f ca="1">IFERROR(__xludf.DUMMYFUNCTION("if(CA$2="""","""", index(GOOGLEFINANCE($B$35,""close"",CA$2,TODAY()),2,2))"),196.64)</f>
        <v>196.64</v>
      </c>
      <c r="CB35" s="1">
        <f ca="1">IFERROR(__xludf.DUMMYFUNCTION("if(CB$2="""","""", index(GOOGLEFINANCE($B$35,""close"",CB$2,TODAY()),2,2))"),197.42)</f>
        <v>197.42</v>
      </c>
      <c r="CC35" s="1">
        <f ca="1">IFERROR(__xludf.DUMMYFUNCTION("if(CC$2="""","""", index(GOOGLEFINANCE($B$35,""close"",CC$2,TODAY()),2,2))"),185.03)</f>
        <v>185.03</v>
      </c>
      <c r="CD35" s="1">
        <f ca="1">IFERROR(__xludf.DUMMYFUNCTION("if(CD$2="""","""", index(GOOGLEFINANCE($B$35,""close"",CD$2,TODAY()),2,2))"),182.43)</f>
        <v>182.43</v>
      </c>
      <c r="CE35" s="1">
        <f ca="1">IFERROR(__xludf.DUMMYFUNCTION("if(CE$2="""","""", index(GOOGLEFINANCE($B$35,""close"",CE$2,TODAY()),2,2))"),184)</f>
        <v>184</v>
      </c>
      <c r="CF35" s="1">
        <f ca="1">IFERROR(__xludf.DUMMYFUNCTION("if(CF$2="""","""", index(GOOGLEFINANCE($B$35,""close"",CF$2,TODAY()),2,2))"),177.16)</f>
        <v>177.16</v>
      </c>
      <c r="CG35" s="1">
        <f ca="1">IFERROR(__xludf.DUMMYFUNCTION("if(CG$2="""","""", index(GOOGLEFINANCE($B$35,""close"",CG$2,TODAY()),2,2))"),179.86)</f>
        <v>179.86</v>
      </c>
      <c r="CH35" s="1">
        <f ca="1">IFERROR(__xludf.DUMMYFUNCTION("if(CH$2="""","""", index(GOOGLEFINANCE($B$35,""close"",CH$2,TODAY()),2,2))"),177.81)</f>
        <v>177.81</v>
      </c>
      <c r="CI35" s="1">
        <f ca="1">IFERROR(__xludf.DUMMYFUNCTION("if(CI$2="""","""", index(GOOGLEFINANCE($B$35,""close"",CI$2,TODAY()),2,2))"),183.87)</f>
        <v>183.87</v>
      </c>
      <c r="CJ35" s="1" t="str">
        <f ca="1">IFERROR(__xludf.DUMMYFUNCTION("if(CJ$2="""","""", index(GOOGLEFINANCE($B$35,""close"",CJ$2,TODAY()),2,2))"),"")</f>
        <v/>
      </c>
      <c r="CK35" s="1" t="str">
        <f ca="1">IFERROR(__xludf.DUMMYFUNCTION("if(CK$2="""","""", index(GOOGLEFINANCE($B$35,""close"",CK$2,TODAY()),2,2))"),"")</f>
        <v/>
      </c>
      <c r="CL35" s="1" t="str">
        <f ca="1">IFERROR(__xludf.DUMMYFUNCTION("if(CL$2="""","""", index(GOOGLEFINANCE($B$35,""close"",CL$2,TODAY()),2,2))"),"")</f>
        <v/>
      </c>
      <c r="CM35" s="1" t="str">
        <f ca="1">IFERROR(__xludf.DUMMYFUNCTION("if(CM$2="""","""", index(GOOGLEFINANCE($B$35,""close"",CM$2,TODAY()),2,2))"),"")</f>
        <v/>
      </c>
      <c r="CN35" s="1" t="str">
        <f ca="1">IFERROR(__xludf.DUMMYFUNCTION("if(CN$2="""","""", index(GOOGLEFINANCE($B$35,""close"",CN$2,TODAY()),2,2))"),"")</f>
        <v/>
      </c>
      <c r="CO35" s="1" t="str">
        <f ca="1">IFERROR(__xludf.DUMMYFUNCTION("if(CO$2="""","""", index(GOOGLEFINANCE($B$35,""close"",CO$2,TODAY()),2,2))"),"")</f>
        <v/>
      </c>
      <c r="CP35" s="1" t="str">
        <f ca="1">IFERROR(__xludf.DUMMYFUNCTION("if(CP$2="""","""", index(GOOGLEFINANCE($B$35,""close"",CP$2,TODAY()),2,2))"),"")</f>
        <v/>
      </c>
      <c r="CQ35" s="1" t="str">
        <f ca="1">IFERROR(__xludf.DUMMYFUNCTION("if(CQ$2="""","""", index(GOOGLEFINANCE($B$35,""close"",CQ$2,TODAY()),2,2))"),"")</f>
        <v/>
      </c>
      <c r="CR35" s="1" t="str">
        <f ca="1">IFERROR(__xludf.DUMMYFUNCTION("if(CR$2="""","""", index(GOOGLEFINANCE($B$35,""close"",CR$2,TODAY()),2,2))"),"")</f>
        <v/>
      </c>
      <c r="CS35" s="1" t="str">
        <f ca="1">IFERROR(__xludf.DUMMYFUNCTION("if(CS$2="""","""", index(GOOGLEFINANCE($B$35,""close"",CS$2,TODAY()),2,2))"),"")</f>
        <v/>
      </c>
      <c r="CT35" s="1" t="str">
        <f ca="1">IFERROR(__xludf.DUMMYFUNCTION("if(CT$2="""","""", index(GOOGLEFINANCE($B$35,""close"",CT$2,TODAY()),2,2))"),"")</f>
        <v/>
      </c>
      <c r="CU35" s="1" t="str">
        <f ca="1">IFERROR(__xludf.DUMMYFUNCTION("if(CU$2="""","""", index(GOOGLEFINANCE($B$35,""close"",CU$2,TODAY()),2,2))"),"")</f>
        <v/>
      </c>
      <c r="CV35" s="1" t="str">
        <f ca="1">IFERROR(__xludf.DUMMYFUNCTION("if(CV$2="""","""", index(GOOGLEFINANCE($B$35,""close"",CV$2,TODAY()),2,2))"),"")</f>
        <v/>
      </c>
      <c r="CW35" s="1" t="str">
        <f ca="1">IFERROR(__xludf.DUMMYFUNCTION("if(CW$2="""","""", index(GOOGLEFINANCE($B$35,""close"",CW$2,TODAY()),2,2))"),"")</f>
        <v/>
      </c>
      <c r="CX35" s="1" t="str">
        <f ca="1">IFERROR(__xludf.DUMMYFUNCTION("if(CX$2="""","""", index(GOOGLEFINANCE($B$35,""close"",CX$2,TODAY()),2,2))"),"")</f>
        <v/>
      </c>
      <c r="CY35" s="1" t="str">
        <f ca="1">IFERROR(__xludf.DUMMYFUNCTION("if(CY$2="""","""", index(GOOGLEFINANCE($B$35,""close"",CY$2,TODAY()),2,2))"),"")</f>
        <v/>
      </c>
      <c r="CZ35" s="1" t="str">
        <f ca="1">IFERROR(__xludf.DUMMYFUNCTION("if(CZ$2="""","""", index(GOOGLEFINANCE($B$35,""close"",CZ$2,TODAY()),2,2))"),"")</f>
        <v/>
      </c>
      <c r="DA35" s="1" t="str">
        <f ca="1">IFERROR(__xludf.DUMMYFUNCTION("if(DA$2="""","""", index(GOOGLEFINANCE($B$35,""close"",DA$2,TODAY()),2,2))"),"")</f>
        <v/>
      </c>
      <c r="DB35" s="1" t="str">
        <f ca="1">IFERROR(__xludf.DUMMYFUNCTION("if(DB$2="""","""", index(GOOGLEFINANCE($B$35,""close"",DB$2,TODAY()),2,2))"),"")</f>
        <v/>
      </c>
      <c r="DC35" s="1" t="str">
        <f ca="1">IFERROR(__xludf.DUMMYFUNCTION("if(DC$2="""","""", index(GOOGLEFINANCE($B$35,""close"",DC$2,TODAY()),2,2))"),"")</f>
        <v/>
      </c>
      <c r="DD35" s="1" t="str">
        <f ca="1">IFERROR(__xludf.DUMMYFUNCTION("if(DD$2="""","""", index(GOOGLEFINANCE($B$35,""close"",DD$2,TODAY()),2,2))"),"")</f>
        <v/>
      </c>
      <c r="DE35" s="1" t="str">
        <f ca="1">IFERROR(__xludf.DUMMYFUNCTION("if(DE$2="""","""", index(GOOGLEFINANCE($B$35,""close"",DE$2,TODAY()),2,2))"),"")</f>
        <v/>
      </c>
      <c r="DF35" s="1" t="str">
        <f ca="1">IFERROR(__xludf.DUMMYFUNCTION("if(DF$2="""","""", index(GOOGLEFINANCE($B$35,""close"",DF$2,TODAY()),2,2))"),"")</f>
        <v/>
      </c>
      <c r="DG35" s="1" t="str">
        <f ca="1">IFERROR(__xludf.DUMMYFUNCTION("if(DG$2="""","""", index(GOOGLEFINANCE($B$35,""close"",DG$2,TODAY()),2,2))"),"")</f>
        <v/>
      </c>
      <c r="DH35" s="1" t="str">
        <f ca="1">IFERROR(__xludf.DUMMYFUNCTION("if(DH$2="""","""", index(GOOGLEFINANCE($B$35,""close"",DH$2,TODAY()),2,2))"),"")</f>
        <v/>
      </c>
      <c r="DI35" s="1" t="str">
        <f ca="1">IFERROR(__xludf.DUMMYFUNCTION("if(DI$2="""","""", index(GOOGLEFINANCE($B$35,""close"",DI$2,TODAY()),2,2))"),"")</f>
        <v/>
      </c>
      <c r="DJ35" s="1" t="str">
        <f ca="1">IFERROR(__xludf.DUMMYFUNCTION("if(DJ$2="""","""", index(GOOGLEFINANCE($B$35,""close"",DJ$2,TODAY()),2,2))"),"")</f>
        <v/>
      </c>
      <c r="DK35" s="1" t="str">
        <f ca="1">IFERROR(__xludf.DUMMYFUNCTION("if(DK$2="""","""", index(GOOGLEFINANCE($B$35,""close"",DK$2,TODAY()),2,2))"),"")</f>
        <v/>
      </c>
      <c r="DL35" s="1" t="str">
        <f ca="1">IFERROR(__xludf.DUMMYFUNCTION("if(DL$2="""","""", index(GOOGLEFINANCE($B$35,""close"",DL$2,TODAY()),2,2))"),"")</f>
        <v/>
      </c>
      <c r="DM35" s="1" t="str">
        <f ca="1">IFERROR(__xludf.DUMMYFUNCTION("if(DM$2="""","""", index(GOOGLEFINANCE($B$35,""close"",DM$2,TODAY()),2,2))"),"")</f>
        <v/>
      </c>
      <c r="DN35" s="1" t="str">
        <f ca="1">IFERROR(__xludf.DUMMYFUNCTION("if(DN$2="""","""", index(GOOGLEFINANCE($B$35,""close"",DN$2,TODAY()),2,2))"),"")</f>
        <v/>
      </c>
      <c r="DO35" s="1" t="str">
        <f ca="1">IFERROR(__xludf.DUMMYFUNCTION("if(DO$2="""","""", index(GOOGLEFINANCE($B$35,""close"",DO$2,TODAY()),2,2))"),"")</f>
        <v/>
      </c>
      <c r="DP35" s="1" t="str">
        <f ca="1">IFERROR(__xludf.DUMMYFUNCTION("if(DP$2="""","""", index(GOOGLEFINANCE($B$35,""close"",DP$2,TODAY()),2,2))"),"")</f>
        <v/>
      </c>
      <c r="DQ35" s="1" t="str">
        <f ca="1">IFERROR(__xludf.DUMMYFUNCTION("if(DQ$2="""","""", index(GOOGLEFINANCE($B$35,""close"",DQ$2,TODAY()),2,2))"),"")</f>
        <v/>
      </c>
      <c r="DR35" s="1" t="str">
        <f ca="1">IFERROR(__xludf.DUMMYFUNCTION("if(DR$2="""","""", index(GOOGLEFINANCE($B$35,""close"",DR$2,TODAY()),2,2))"),"")</f>
        <v/>
      </c>
      <c r="DS35" s="1" t="str">
        <f ca="1">IFERROR(__xludf.DUMMYFUNCTION("if(DS$2="""","""", index(GOOGLEFINANCE($B$35,""close"",DS$2,TODAY()),2,2))"),"")</f>
        <v/>
      </c>
      <c r="DT35" s="1" t="str">
        <f ca="1">IFERROR(__xludf.DUMMYFUNCTION("if(DT$2="""","""", index(GOOGLEFINANCE($B$35,""close"",DT$2,TODAY()),2,2))"),"")</f>
        <v/>
      </c>
      <c r="DU35" s="1" t="str">
        <f ca="1">IFERROR(__xludf.DUMMYFUNCTION("if(DU$2="""","""", index(GOOGLEFINANCE($B$35,""close"",DU$2,TODAY()),2,2))"),"")</f>
        <v/>
      </c>
      <c r="DV35" s="1" t="str">
        <f ca="1">IFERROR(__xludf.DUMMYFUNCTION("if(DV$2="""","""", index(GOOGLEFINANCE($B$35,""close"",DV$2,TODAY()),2,2))"),"")</f>
        <v/>
      </c>
      <c r="DW35" s="1" t="str">
        <f ca="1">IFERROR(__xludf.DUMMYFUNCTION("if(DW$2="""","""", index(GOOGLEFINANCE($B$35,""close"",DW$2,TODAY()),2,2))"),"")</f>
        <v/>
      </c>
      <c r="DX35" s="1" t="str">
        <f ca="1">IFERROR(__xludf.DUMMYFUNCTION("if(DX$2="""","""", index(GOOGLEFINANCE($B$35,""close"",DX$2,TODAY()),2,2))"),"")</f>
        <v/>
      </c>
      <c r="DY35" s="1" t="str">
        <f ca="1">IFERROR(__xludf.DUMMYFUNCTION("if(DY$2="""","""", index(GOOGLEFINANCE($B$35,""close"",DY$2,TODAY()),2,2))"),"")</f>
        <v/>
      </c>
      <c r="DZ35" s="1" t="str">
        <f ca="1">IFERROR(__xludf.DUMMYFUNCTION("if(DZ$2="""","""", index(GOOGLEFINANCE($B$35,""close"",DZ$2,TODAY()),2,2))"),"")</f>
        <v/>
      </c>
      <c r="EA35" s="1" t="str">
        <f ca="1">IFERROR(__xludf.DUMMYFUNCTION("if(EA$2="""","""", index(GOOGLEFINANCE($B$35,""close"",EA$2,TODAY()),2,2))"),"")</f>
        <v/>
      </c>
      <c r="EB35" s="1" t="str">
        <f ca="1">IFERROR(__xludf.DUMMYFUNCTION("if(EB$2="""","""", index(GOOGLEFINANCE($B$35,""close"",EB$2,TODAY()),2,2))"),"")</f>
        <v/>
      </c>
      <c r="EC35" s="1" t="str">
        <f ca="1">IFERROR(__xludf.DUMMYFUNCTION("if(EC$2="""","""", index(GOOGLEFINANCE($B$35,""close"",EC$2,TODAY()),2,2))"),"")</f>
        <v/>
      </c>
      <c r="ED35" s="1" t="str">
        <f ca="1">IFERROR(__xludf.DUMMYFUNCTION("if(ED$2="""","""", index(GOOGLEFINANCE($B$35,""close"",ED$2,TODAY()),2,2))"),"")</f>
        <v/>
      </c>
      <c r="EE35" s="1" t="str">
        <f ca="1">IFERROR(__xludf.DUMMYFUNCTION("if(EE$2="""","""", index(GOOGLEFINANCE($B$35,""close"",EE$2,TODAY()),2,2))"),"")</f>
        <v/>
      </c>
      <c r="EF35" s="1" t="str">
        <f ca="1">IFERROR(__xludf.DUMMYFUNCTION("if(EF$2="""","""", index(GOOGLEFINANCE($B$35,""close"",EF$2,TODAY()),2,2))"),"")</f>
        <v/>
      </c>
      <c r="EG35" s="1" t="str">
        <f ca="1">IFERROR(__xludf.DUMMYFUNCTION("if(EG$2="""","""", index(GOOGLEFINANCE($B$35,""close"",EG$2,TODAY()),2,2))"),"")</f>
        <v/>
      </c>
      <c r="EH35" s="1" t="str">
        <f ca="1">IFERROR(__xludf.DUMMYFUNCTION("if(EH$2="""","""", index(GOOGLEFINANCE($B$35,""close"",EH$2,TODAY()),2,2))"),"")</f>
        <v/>
      </c>
      <c r="EI35" s="1" t="str">
        <f ca="1">IFERROR(__xludf.DUMMYFUNCTION("if(EI$2="""","""", index(GOOGLEFINANCE($B$35,""close"",EI$2,TODAY()),2,2))"),"")</f>
        <v/>
      </c>
      <c r="EJ35" s="1" t="str">
        <f ca="1">IFERROR(__xludf.DUMMYFUNCTION("if(EJ$2="""","""", index(GOOGLEFINANCE($B$35,""close"",EJ$2,TODAY()),2,2))"),"")</f>
        <v/>
      </c>
      <c r="EK35" s="1" t="str">
        <f ca="1">IFERROR(__xludf.DUMMYFUNCTION("if(EK$2="""","""", index(GOOGLEFINANCE($B$35,""close"",EK$2,TODAY()),2,2))"),"")</f>
        <v/>
      </c>
      <c r="EL35" s="1" t="str">
        <f ca="1">IFERROR(__xludf.DUMMYFUNCTION("if(EL$2="""","""", index(GOOGLEFINANCE($B$35,""close"",EL$2,TODAY()),2,2))"),"")</f>
        <v/>
      </c>
      <c r="EM35" s="1" t="str">
        <f ca="1">IFERROR(__xludf.DUMMYFUNCTION("if(EM$2="""","""", index(GOOGLEFINANCE($B$35,""close"",EM$2,TODAY()),2,2))"),"")</f>
        <v/>
      </c>
      <c r="EN35" s="1" t="str">
        <f ca="1">IFERROR(__xludf.DUMMYFUNCTION("if(EN$2="""","""", index(GOOGLEFINANCE($B$35,""close"",EN$2,TODAY()),2,2))"),"")</f>
        <v/>
      </c>
      <c r="EO35" s="1" t="str">
        <f ca="1">IFERROR(__xludf.DUMMYFUNCTION("if(EO$2="""","""", index(GOOGLEFINANCE($B$35,""close"",EO$2,TODAY()),2,2))"),"")</f>
        <v/>
      </c>
      <c r="EP35" s="1" t="str">
        <f ca="1">IFERROR(__xludf.DUMMYFUNCTION("if(EP$2="""","""", index(GOOGLEFINANCE($B$35,""close"",EP$2,TODAY()),2,2))"),"")</f>
        <v/>
      </c>
      <c r="EQ35" s="1" t="str">
        <f ca="1">IFERROR(__xludf.DUMMYFUNCTION("if(EQ$2="""","""", index(GOOGLEFINANCE($B$35,""close"",EQ$2,TODAY()),2,2))"),"")</f>
        <v/>
      </c>
      <c r="ER35" s="1" t="str">
        <f ca="1">IFERROR(__xludf.DUMMYFUNCTION("if(ER$2="""","""", index(GOOGLEFINANCE($B$35,""close"",ER$2,TODAY()),2,2))"),"")</f>
        <v/>
      </c>
      <c r="ES35" s="1" t="str">
        <f ca="1">IFERROR(__xludf.DUMMYFUNCTION("if(ES$2="""","""", index(GOOGLEFINANCE($B$35,""close"",ES$2,TODAY()),2,2))"),"")</f>
        <v/>
      </c>
      <c r="ET35" s="1" t="str">
        <f ca="1">IFERROR(__xludf.DUMMYFUNCTION("if(ET$2="""","""", index(GOOGLEFINANCE($B$35,""close"",ET$2,TODAY()),2,2))"),"")</f>
        <v/>
      </c>
      <c r="EU35" s="1" t="str">
        <f ca="1">IFERROR(__xludf.DUMMYFUNCTION("if(EU$2="""","""", index(GOOGLEFINANCE($B$35,""close"",EU$2,TODAY()),2,2))"),"")</f>
        <v/>
      </c>
      <c r="EV35" s="1" t="str">
        <f ca="1">IFERROR(__xludf.DUMMYFUNCTION("if(EV$2="""","""", index(GOOGLEFINANCE($B$35,""close"",EV$2,TODAY()),2,2))"),"")</f>
        <v/>
      </c>
      <c r="EW35" s="1" t="str">
        <f ca="1">IFERROR(__xludf.DUMMYFUNCTION("if(EW$2="""","""", index(GOOGLEFINANCE($B$35,""close"",EW$2,TODAY()),2,2))"),"")</f>
        <v/>
      </c>
      <c r="EX35" s="1" t="str">
        <f ca="1">IFERROR(__xludf.DUMMYFUNCTION("if(EX$2="""","""", index(GOOGLEFINANCE($B$35,""close"",EX$2,TODAY()),2,2))"),"")</f>
        <v/>
      </c>
      <c r="EY35" s="1" t="str">
        <f ca="1">IFERROR(__xludf.DUMMYFUNCTION("if(EY$2="""","""", index(GOOGLEFINANCE($B$35,""close"",EY$2,TODAY()),2,2))"),"")</f>
        <v/>
      </c>
      <c r="EZ35" s="1" t="str">
        <f ca="1">IFERROR(__xludf.DUMMYFUNCTION("if(EZ$2="""","""", index(GOOGLEFINANCE($B$35,""close"",EZ$2,TODAY()),2,2))"),"")</f>
        <v/>
      </c>
      <c r="FA35" s="1" t="str">
        <f ca="1">IFERROR(__xludf.DUMMYFUNCTION("if(FA$2="""","""", index(GOOGLEFINANCE($B$35,""close"",FA$2,TODAY()),2,2))"),"")</f>
        <v/>
      </c>
      <c r="FB35" s="1" t="str">
        <f ca="1">IFERROR(__xludf.DUMMYFUNCTION("if(FB$2="""","""", index(GOOGLEFINANCE($B$35,""close"",FB$2,TODAY()),2,2))"),"")</f>
        <v/>
      </c>
      <c r="FC35" s="1" t="str">
        <f ca="1">IFERROR(__xludf.DUMMYFUNCTION("if(FC$2="""","""", index(GOOGLEFINANCE($B$35,""close"",FC$2,TODAY()),2,2))"),"")</f>
        <v/>
      </c>
      <c r="FD35" s="1" t="str">
        <f ca="1">IFERROR(__xludf.DUMMYFUNCTION("if(FD$2="""","""", index(GOOGLEFINANCE($B$35,""close"",FD$2,TODAY()),2,2))"),"")</f>
        <v/>
      </c>
      <c r="FE35" s="1" t="str">
        <f ca="1">IFERROR(__xludf.DUMMYFUNCTION("if(FE$2="""","""", index(GOOGLEFINANCE($B$35,""close"",FE$2,TODAY()),2,2))"),"")</f>
        <v/>
      </c>
      <c r="FF35" s="1" t="str">
        <f ca="1">IFERROR(__xludf.DUMMYFUNCTION("if(FF$2="""","""", index(GOOGLEFINANCE($B$35,""close"",FF$2,TODAY()),2,2))"),"")</f>
        <v/>
      </c>
      <c r="FG35" s="1" t="str">
        <f ca="1">IFERROR(__xludf.DUMMYFUNCTION("if(FG$2="""","""", index(GOOGLEFINANCE($B$35,""close"",FG$2,TODAY()),2,2))"),"")</f>
        <v/>
      </c>
      <c r="FH35" s="1" t="str">
        <f ca="1">IFERROR(__xludf.DUMMYFUNCTION("if(FH$2="""","""", index(GOOGLEFINANCE($B$35,""close"",FH$2,TODAY()),2,2))"),"")</f>
        <v/>
      </c>
      <c r="FI35" s="1" t="str">
        <f ca="1">IFERROR(__xludf.DUMMYFUNCTION("if(FI$2="""","""", index(GOOGLEFINANCE($B$35,""close"",FI$2,TODAY()),2,2))"),"")</f>
        <v/>
      </c>
      <c r="FJ35" s="1" t="str">
        <f ca="1">IFERROR(__xludf.DUMMYFUNCTION("if(FJ$2="""","""", index(GOOGLEFINANCE($B$35,""close"",FJ$2,TODAY()),2,2))"),"")</f>
        <v/>
      </c>
      <c r="FK35" s="1" t="str">
        <f ca="1">IFERROR(__xludf.DUMMYFUNCTION("if(FK$2="""","""", index(GOOGLEFINANCE($B$35,""close"",FK$2,TODAY()),2,2))"),"")</f>
        <v/>
      </c>
      <c r="FL35" s="1" t="str">
        <f ca="1">IFERROR(__xludf.DUMMYFUNCTION("if(FL$2="""","""", index(GOOGLEFINANCE($B$35,""close"",FL$2,TODAY()),2,2))"),"")</f>
        <v/>
      </c>
      <c r="FM35" s="1" t="str">
        <f ca="1">IFERROR(__xludf.DUMMYFUNCTION("if(FM$2="""","""", index(GOOGLEFINANCE($B$35,""close"",FM$2,TODAY()),2,2))"),"")</f>
        <v/>
      </c>
      <c r="FN35" s="1" t="str">
        <f ca="1">IFERROR(__xludf.DUMMYFUNCTION("if(FN$2="""","""", index(GOOGLEFINANCE($B$35,""close"",FN$2,TODAY()),2,2))"),"")</f>
        <v/>
      </c>
      <c r="FO35" s="1" t="str">
        <f ca="1">IFERROR(__xludf.DUMMYFUNCTION("if(FO$2="""","""", index(GOOGLEFINANCE($B$35,""close"",FO$2,TODAY()),2,2))"),"")</f>
        <v/>
      </c>
      <c r="FP35" s="1" t="str">
        <f ca="1">IFERROR(__xludf.DUMMYFUNCTION("if(FP$2="""","""", index(GOOGLEFINANCE($B$35,""close"",FP$2,TODAY()),2,2))"),"")</f>
        <v/>
      </c>
      <c r="FQ35" s="1" t="str">
        <f ca="1">IFERROR(__xludf.DUMMYFUNCTION("if(FQ$2="""","""", index(GOOGLEFINANCE($B$35,""close"",FQ$2,TODAY()),2,2))"),"")</f>
        <v/>
      </c>
      <c r="FR35" s="1" t="str">
        <f ca="1">IFERROR(__xludf.DUMMYFUNCTION("if(FR$2="""","""", index(GOOGLEFINANCE($B$35,""close"",FR$2,TODAY()),2,2))"),"")</f>
        <v/>
      </c>
      <c r="FS35" s="1" t="str">
        <f ca="1">IFERROR(__xludf.DUMMYFUNCTION("if(FS$2="""","""", index(GOOGLEFINANCE($B$35,""close"",FS$2,TODAY()),2,2))"),"")</f>
        <v/>
      </c>
      <c r="FT35" s="1" t="str">
        <f ca="1">IFERROR(__xludf.DUMMYFUNCTION("if(FT$2="""","""", index(GOOGLEFINANCE($B$35,""close"",FT$2,TODAY()),2,2))"),"")</f>
        <v/>
      </c>
      <c r="FU35" s="1" t="str">
        <f ca="1">IFERROR(__xludf.DUMMYFUNCTION("if(FU$2="""","""", index(GOOGLEFINANCE($B$35,""close"",FU$2,TODAY()),2,2))"),"")</f>
        <v/>
      </c>
      <c r="FV35" s="1" t="str">
        <f ca="1">IFERROR(__xludf.DUMMYFUNCTION("if(FV$2="""","""", index(GOOGLEFINANCE($B$35,""close"",FV$2,TODAY()),2,2))"),"")</f>
        <v/>
      </c>
      <c r="FW35" s="1" t="str">
        <f ca="1">IFERROR(__xludf.DUMMYFUNCTION("if(FW$2="""","""", index(GOOGLEFINANCE($B$35,""close"",FW$2,TODAY()),2,2))"),"")</f>
        <v/>
      </c>
      <c r="FX35" s="1" t="str">
        <f ca="1">IFERROR(__xludf.DUMMYFUNCTION("if(FX$2="""","""", index(GOOGLEFINANCE($B$35,""close"",FX$2,TODAY()),2,2))"),"")</f>
        <v/>
      </c>
      <c r="FY35" s="1" t="str">
        <f ca="1">IFERROR(__xludf.DUMMYFUNCTION("if(FY$2="""","""", index(GOOGLEFINANCE($B$35,""close"",FY$2,TODAY()),2,2))"),"")</f>
        <v/>
      </c>
      <c r="FZ35" s="1" t="str">
        <f ca="1">IFERROR(__xludf.DUMMYFUNCTION("if(FZ$2="""","""", index(GOOGLEFINANCE($B$35,""close"",FZ$2,TODAY()),2,2))"),"")</f>
        <v/>
      </c>
      <c r="GA35" s="1" t="str">
        <f ca="1">IFERROR(__xludf.DUMMYFUNCTION("if(GA$2="""","""", index(GOOGLEFINANCE($B$35,""close"",GA$2,TODAY()),2,2))"),"")</f>
        <v/>
      </c>
      <c r="GB35" s="1" t="str">
        <f ca="1">IFERROR(__xludf.DUMMYFUNCTION("if(GB$2="""","""", index(GOOGLEFINANCE($B$35,""close"",GB$2,TODAY()),2,2))"),"")</f>
        <v/>
      </c>
      <c r="GC35" s="1" t="str">
        <f ca="1">IFERROR(__xludf.DUMMYFUNCTION("if(GC$2="""","""", index(GOOGLEFINANCE($B$35,""close"",GC$2,TODAY()),2,2))"),"")</f>
        <v/>
      </c>
      <c r="GD35" s="1" t="str">
        <f ca="1">IFERROR(__xludf.DUMMYFUNCTION("if(GD$2="""","""", index(GOOGLEFINANCE($B$35,""close"",GD$2,TODAY()),2,2))"),"")</f>
        <v/>
      </c>
      <c r="GE35" s="1" t="str">
        <f ca="1">IFERROR(__xludf.DUMMYFUNCTION("if(GE$2="""","""", index(GOOGLEFINANCE($B$35,""close"",GE$2,TODAY()),2,2))"),"")</f>
        <v/>
      </c>
      <c r="GF35" s="1" t="str">
        <f ca="1">IFERROR(__xludf.DUMMYFUNCTION("if(GF$2="""","""", index(GOOGLEFINANCE($B$35,""close"",GF$2,TODAY()),2,2))"),"")</f>
        <v/>
      </c>
      <c r="GG35" s="1" t="str">
        <f ca="1">IFERROR(__xludf.DUMMYFUNCTION("if(GG$2="""","""", index(GOOGLEFINANCE($B$35,""close"",GG$2,TODAY()),2,2))"),"")</f>
        <v/>
      </c>
      <c r="GH35" s="1" t="str">
        <f ca="1">IFERROR(__xludf.DUMMYFUNCTION("if(GH$2="""","""", index(GOOGLEFINANCE($B$35,""close"",GH$2,TODAY()),2,2))"),"")</f>
        <v/>
      </c>
      <c r="GI35" s="1" t="str">
        <f ca="1">IFERROR(__xludf.DUMMYFUNCTION("if(GI$2="""","""", index(GOOGLEFINANCE($B$35,""close"",GI$2,TODAY()),2,2))"),"")</f>
        <v/>
      </c>
      <c r="GJ35" s="1" t="str">
        <f ca="1">IFERROR(__xludf.DUMMYFUNCTION("if(GJ$2="""","""", index(GOOGLEFINANCE($B$35,""close"",GJ$2,TODAY()),2,2))"),"")</f>
        <v/>
      </c>
      <c r="GK35" s="1" t="str">
        <f ca="1">IFERROR(__xludf.DUMMYFUNCTION("if(GK$2="""","""", index(GOOGLEFINANCE($B$35,""close"",GK$2,TODAY()),2,2))"),"")</f>
        <v/>
      </c>
      <c r="GL35" s="1" t="str">
        <f ca="1">IFERROR(__xludf.DUMMYFUNCTION("if(GL$2="""","""", index(GOOGLEFINANCE($B$35,""close"",GL$2,TODAY()),2,2))"),"")</f>
        <v/>
      </c>
      <c r="GM35" s="1" t="str">
        <f ca="1">IFERROR(__xludf.DUMMYFUNCTION("if(GM$2="""","""", index(GOOGLEFINANCE($B$35,""close"",GM$2,TODAY()),2,2))"),"")</f>
        <v/>
      </c>
      <c r="GN35" s="1" t="str">
        <f ca="1">IFERROR(__xludf.DUMMYFUNCTION("if(GN$2="""","""", index(GOOGLEFINANCE($B$35,""close"",GN$2,TODAY()),2,2))"),"")</f>
        <v/>
      </c>
      <c r="GO35" s="1" t="str">
        <f ca="1">IFERROR(__xludf.DUMMYFUNCTION("if(GO$2="""","""", index(GOOGLEFINANCE($B$35,""close"",GO$2,TODAY()),2,2))"),"")</f>
        <v/>
      </c>
      <c r="GP35" s="1" t="str">
        <f ca="1">IFERROR(__xludf.DUMMYFUNCTION("if(GP$2="""","""", index(GOOGLEFINANCE($B$35,""close"",GP$2,TODAY()),2,2))"),"")</f>
        <v/>
      </c>
      <c r="GQ35" s="1" t="str">
        <f ca="1">IFERROR(__xludf.DUMMYFUNCTION("if(GQ$2="""","""", index(GOOGLEFINANCE($B$35,""close"",GQ$2,TODAY()),2,2))"),"")</f>
        <v/>
      </c>
      <c r="GR35" s="1" t="str">
        <f ca="1">IFERROR(__xludf.DUMMYFUNCTION("if(GR$2="""","""", index(GOOGLEFINANCE($B$35,""close"",GR$2,TODAY()),2,2))"),"")</f>
        <v/>
      </c>
      <c r="GS35" s="1" t="str">
        <f ca="1">IFERROR(__xludf.DUMMYFUNCTION("if(GS$2="""","""", index(GOOGLEFINANCE($B$35,""close"",GS$2,TODAY()),2,2))"),"")</f>
        <v/>
      </c>
      <c r="GT35" s="1" t="str">
        <f ca="1">IFERROR(__xludf.DUMMYFUNCTION("if(GT$2="""","""", index(GOOGLEFINANCE($B$35,""close"",GT$2,TODAY()),2,2))"),"")</f>
        <v/>
      </c>
      <c r="GU35" s="1" t="str">
        <f ca="1">IFERROR(__xludf.DUMMYFUNCTION("if(GU$2="""","""", index(GOOGLEFINANCE($B$35,""close"",GU$2,TODAY()),2,2))"),"")</f>
        <v/>
      </c>
      <c r="GV35" s="1" t="str">
        <f ca="1">IFERROR(__xludf.DUMMYFUNCTION("if(GV$2="""","""", index(GOOGLEFINANCE($B$35,""close"",GV$2,TODAY()),2,2))"),"")</f>
        <v/>
      </c>
      <c r="GW35" s="1" t="str">
        <f ca="1">IFERROR(__xludf.DUMMYFUNCTION("if(GW$2="""","""", index(GOOGLEFINANCE($B$35,""close"",GW$2,TODAY()),2,2))"),"")</f>
        <v/>
      </c>
      <c r="GX35" s="1" t="str">
        <f ca="1">IFERROR(__xludf.DUMMYFUNCTION("if(GX$2="""","""", index(GOOGLEFINANCE($B$35,""close"",GX$2,TODAY()),2,2))"),"")</f>
        <v/>
      </c>
      <c r="GY35" s="1" t="str">
        <f ca="1">IFERROR(__xludf.DUMMYFUNCTION("if(GY$2="""","""", index(GOOGLEFINANCE($B$35,""close"",GY$2,TODAY()),2,2))"),"")</f>
        <v/>
      </c>
      <c r="GZ35" s="1" t="str">
        <f ca="1">IFERROR(__xludf.DUMMYFUNCTION("if(GZ$2="""","""", index(GOOGLEFINANCE($B$35,""close"",GZ$2,TODAY()),2,2))"),"")</f>
        <v/>
      </c>
      <c r="HA35" s="1" t="str">
        <f ca="1">IFERROR(__xludf.DUMMYFUNCTION("if(HA$2="""","""", index(GOOGLEFINANCE($B$35,""close"",HA$2,TODAY()),2,2))"),"")</f>
        <v/>
      </c>
      <c r="HB35" s="1" t="str">
        <f ca="1">IFERROR(__xludf.DUMMYFUNCTION("if(HB$2="""","""", index(GOOGLEFINANCE($B$35,""close"",HB$2,TODAY()),2,2))"),"")</f>
        <v/>
      </c>
      <c r="HC35" s="1" t="str">
        <f ca="1">IFERROR(__xludf.DUMMYFUNCTION("if(HC$2="""","""", index(GOOGLEFINANCE($B$35,""close"",HC$2,TODAY()),2,2))"),"")</f>
        <v/>
      </c>
      <c r="HD35" s="1" t="str">
        <f ca="1">IFERROR(__xludf.DUMMYFUNCTION("if(HD$2="""","""", index(GOOGLEFINANCE($B$35,""close"",HD$2,TODAY()),2,2))"),"")</f>
        <v/>
      </c>
      <c r="HE35" s="1" t="str">
        <f ca="1">IFERROR(__xludf.DUMMYFUNCTION("if(HE$2="""","""", index(GOOGLEFINANCE($B$35,""close"",HE$2,TODAY()),2,2))"),"")</f>
        <v/>
      </c>
      <c r="HF35" s="1" t="str">
        <f ca="1">IFERROR(__xludf.DUMMYFUNCTION("if(HF$2="""","""", index(GOOGLEFINANCE($B$35,""close"",HF$2,TODAY()),2,2))"),"")</f>
        <v/>
      </c>
      <c r="HG35" s="1" t="str">
        <f ca="1">IFERROR(__xludf.DUMMYFUNCTION("if(HG$2="""","""", index(GOOGLEFINANCE($B$35,""close"",HG$2,TODAY()),2,2))"),"")</f>
        <v/>
      </c>
      <c r="HH35" s="1" t="str">
        <f ca="1">IFERROR(__xludf.DUMMYFUNCTION("if(HH$2="""","""", index(GOOGLEFINANCE($B$35,""close"",HH$2,TODAY()),2,2))"),"")</f>
        <v/>
      </c>
      <c r="HI35" s="1" t="str">
        <f ca="1">IFERROR(__xludf.DUMMYFUNCTION("if(HI$2="""","""", index(GOOGLEFINANCE($B$35,""close"",HI$2,TODAY()),2,2))"),"")</f>
        <v/>
      </c>
      <c r="HJ35" s="1" t="str">
        <f ca="1">IFERROR(__xludf.DUMMYFUNCTION("if(HJ$2="""","""", index(GOOGLEFINANCE($B$35,""close"",HJ$2,TODAY()),2,2))"),"")</f>
        <v/>
      </c>
      <c r="HK35" s="1" t="str">
        <f ca="1">IFERROR(__xludf.DUMMYFUNCTION("if(HK$2="""","""", index(GOOGLEFINANCE($B$35,""close"",HK$2,TODAY()),2,2))"),"")</f>
        <v/>
      </c>
      <c r="HL35" s="1" t="str">
        <f ca="1">IFERROR(__xludf.DUMMYFUNCTION("if(HL$2="""","""", index(GOOGLEFINANCE($B$35,""close"",HL$2,TODAY()),2,2))"),"")</f>
        <v/>
      </c>
      <c r="HM35" s="1" t="str">
        <f ca="1">IFERROR(__xludf.DUMMYFUNCTION("if(HM$2="""","""", index(GOOGLEFINANCE($B$35,""close"",HM$2,TODAY()),2,2))"),"")</f>
        <v/>
      </c>
      <c r="HN35" s="1" t="str">
        <f ca="1">IFERROR(__xludf.DUMMYFUNCTION("if(HN$2="""","""", index(GOOGLEFINANCE($B$35,""close"",HN$2,TODAY()),2,2))"),"")</f>
        <v/>
      </c>
      <c r="HO35" s="1" t="str">
        <f ca="1">IFERROR(__xludf.DUMMYFUNCTION("if(HO$2="""","""", index(GOOGLEFINANCE($B$35,""close"",HO$2,TODAY()),2,2))"),"")</f>
        <v/>
      </c>
      <c r="HP35" s="1" t="str">
        <f ca="1">IFERROR(__xludf.DUMMYFUNCTION("if(HP$2="""","""", index(GOOGLEFINANCE($B$35,""close"",HP$2,TODAY()),2,2))"),"")</f>
        <v/>
      </c>
      <c r="HQ35" s="1" t="str">
        <f ca="1">IFERROR(__xludf.DUMMYFUNCTION("if(HQ$2="""","""", index(GOOGLEFINANCE($B$35,""close"",HQ$2,TODAY()),2,2))"),"")</f>
        <v/>
      </c>
      <c r="HR35" s="1" t="str">
        <f ca="1">IFERROR(__xludf.DUMMYFUNCTION("if(HR$2="""","""", index(GOOGLEFINANCE($B$35,""close"",HR$2,TODAY()),2,2))"),"")</f>
        <v/>
      </c>
      <c r="HS35" s="1" t="str">
        <f ca="1">IFERROR(__xludf.DUMMYFUNCTION("if(HS$2="""","""", index(GOOGLEFINANCE($B$35,""close"",HS$2,TODAY()),2,2))"),"")</f>
        <v/>
      </c>
      <c r="HT35" s="1" t="str">
        <f ca="1">IFERROR(__xludf.DUMMYFUNCTION("if(HT$2="""","""", index(GOOGLEFINANCE($B$35,""close"",HT$2,TODAY()),2,2))"),"")</f>
        <v/>
      </c>
      <c r="HU35" s="1" t="str">
        <f ca="1">IFERROR(__xludf.DUMMYFUNCTION("if(HU$2="""","""", index(GOOGLEFINANCE($B$35,""close"",HU$2,TODAY()),2,2))"),"")</f>
        <v/>
      </c>
      <c r="HV35" s="1" t="str">
        <f ca="1">IFERROR(__xludf.DUMMYFUNCTION("if(HV$2="""","""", index(GOOGLEFINANCE($B$35,""close"",HV$2,TODAY()),2,2))"),"")</f>
        <v/>
      </c>
      <c r="HW35" s="1" t="str">
        <f ca="1">IFERROR(__xludf.DUMMYFUNCTION("if(HW$2="""","""", index(GOOGLEFINANCE($B$35,""close"",HW$2,TODAY()),2,2))"),"")</f>
        <v/>
      </c>
      <c r="HX35" s="1" t="str">
        <f ca="1">IFERROR(__xludf.DUMMYFUNCTION("if(HX$2="""","""", index(GOOGLEFINANCE($B$35,""close"",HX$2,TODAY()),2,2))"),"")</f>
        <v/>
      </c>
      <c r="HY35" s="1" t="str">
        <f ca="1">IFERROR(__xludf.DUMMYFUNCTION("if(HY$2="""","""", index(GOOGLEFINANCE($B$35,""close"",HY$2,TODAY()),2,2))"),"")</f>
        <v/>
      </c>
      <c r="HZ35" s="1" t="str">
        <f ca="1">IFERROR(__xludf.DUMMYFUNCTION("if(HZ$2="""","""", index(GOOGLEFINANCE($B$35,""close"",HZ$2,TODAY()),2,2))"),"")</f>
        <v/>
      </c>
      <c r="IA35" s="1" t="str">
        <f ca="1">IFERROR(__xludf.DUMMYFUNCTION("if(IA$2="""","""", index(GOOGLEFINANCE($B$35,""close"",IA$2,TODAY()),2,2))"),"")</f>
        <v/>
      </c>
      <c r="IB35" s="1" t="str">
        <f ca="1">IFERROR(__xludf.DUMMYFUNCTION("if(IB$2="""","""", index(GOOGLEFINANCE($B$35,""close"",IB$2,TODAY()),2,2))"),"")</f>
        <v/>
      </c>
      <c r="IC35" s="1" t="str">
        <f ca="1">IFERROR(__xludf.DUMMYFUNCTION("if(IC$2="""","""", index(GOOGLEFINANCE($B$35,""close"",IC$2,TODAY()),2,2))"),"")</f>
        <v/>
      </c>
      <c r="ID35" s="1" t="str">
        <f ca="1">IFERROR(__xludf.DUMMYFUNCTION("if(ID$2="""","""", index(GOOGLEFINANCE($B$35,""close"",ID$2,TODAY()),2,2))"),"")</f>
        <v/>
      </c>
      <c r="IE35" s="1" t="str">
        <f ca="1">IFERROR(__xludf.DUMMYFUNCTION("if(IE$2="""","""", index(GOOGLEFINANCE($B$35,""close"",IE$2,TODAY()),2,2))"),"")</f>
        <v/>
      </c>
      <c r="IF35" s="1" t="str">
        <f ca="1">IFERROR(__xludf.DUMMYFUNCTION("if(IF$2="""","""", index(GOOGLEFINANCE($B$35,""close"",IF$2,TODAY()),2,2))"),"")</f>
        <v/>
      </c>
      <c r="IG35" s="1" t="str">
        <f ca="1">IFERROR(__xludf.DUMMYFUNCTION("if(IG$2="""","""", index(GOOGLEFINANCE($B$35,""close"",IG$2,TODAY()),2,2))"),"")</f>
        <v/>
      </c>
      <c r="IH35" s="1" t="str">
        <f ca="1">IFERROR(__xludf.DUMMYFUNCTION("if(IH$2="""","""", index(GOOGLEFINANCE($B$35,""close"",IH$2,TODAY()),2,2))"),"")</f>
        <v/>
      </c>
      <c r="II35" s="1" t="str">
        <f ca="1">IFERROR(__xludf.DUMMYFUNCTION("if(II$2="""","""", index(GOOGLEFINANCE($B$35,""close"",II$2,TODAY()),2,2))"),"")</f>
        <v/>
      </c>
      <c r="IJ35" s="1" t="str">
        <f ca="1">IFERROR(__xludf.DUMMYFUNCTION("if(IJ$2="""","""", index(GOOGLEFINANCE($B$35,""close"",IJ$2,TODAY()),2,2))"),"")</f>
        <v/>
      </c>
      <c r="IK35" s="1" t="str">
        <f ca="1">IFERROR(__xludf.DUMMYFUNCTION("if(IK$2="""","""", index(GOOGLEFINANCE($B$35,""close"",IK$2,TODAY()),2,2))"),"")</f>
        <v/>
      </c>
      <c r="IL35" s="1" t="str">
        <f ca="1">IFERROR(__xludf.DUMMYFUNCTION("if(IL$2="""","""", index(GOOGLEFINANCE($B$35,""close"",IL$2,TODAY()),2,2))"),"")</f>
        <v/>
      </c>
      <c r="IM35" s="1" t="str">
        <f ca="1">IFERROR(__xludf.DUMMYFUNCTION("if(IM$2="""","""", index(GOOGLEFINANCE($B$35,""close"",IM$2,TODAY()),2,2))"),"")</f>
        <v/>
      </c>
      <c r="IN35" s="1" t="str">
        <f ca="1">IFERROR(__xludf.DUMMYFUNCTION("if(IN$2="""","""", index(GOOGLEFINANCE($B$35,""close"",IN$2,TODAY()),2,2))"),"")</f>
        <v/>
      </c>
      <c r="IO35" s="1" t="str">
        <f ca="1">IFERROR(__xludf.DUMMYFUNCTION("if(IO$2="""","""", index(GOOGLEFINANCE($B$35,""close"",IO$2,TODAY()),2,2))"),"")</f>
        <v/>
      </c>
      <c r="IP35" s="1" t="str">
        <f ca="1">IFERROR(__xludf.DUMMYFUNCTION("if(IP$2="""","""", index(GOOGLEFINANCE($B$35,""close"",IP$2,TODAY()),2,2))"),"")</f>
        <v/>
      </c>
      <c r="IQ35" s="1" t="str">
        <f ca="1">IFERROR(__xludf.DUMMYFUNCTION("if(IQ$2="""","""", index(GOOGLEFINANCE($B$35,""close"",IQ$2,TODAY()),2,2))"),"")</f>
        <v/>
      </c>
      <c r="IR35" s="1" t="str">
        <f ca="1">IFERROR(__xludf.DUMMYFUNCTION("if(IR$2="""","""", index(GOOGLEFINANCE($B$35,""close"",IR$2,TODAY()),2,2))"),"")</f>
        <v/>
      </c>
      <c r="IS35" s="1" t="str">
        <f ca="1">IFERROR(__xludf.DUMMYFUNCTION("if(IS$2="""","""", index(GOOGLEFINANCE($B$35,""close"",IS$2,TODAY()),2,2))"),"")</f>
        <v/>
      </c>
      <c r="IT35" s="1" t="str">
        <f ca="1">IFERROR(__xludf.DUMMYFUNCTION("if(IT$2="""","""", index(GOOGLEFINANCE($B$35,""close"",IT$2,TODAY()),2,2))"),"")</f>
        <v/>
      </c>
      <c r="IU35" s="1" t="str">
        <f ca="1">IFERROR(__xludf.DUMMYFUNCTION("if(IU$2="""","""", index(GOOGLEFINANCE($B$35,""close"",IU$2,TODAY()),2,2))"),"")</f>
        <v/>
      </c>
      <c r="IV35" s="1" t="str">
        <f ca="1">IFERROR(__xludf.DUMMYFUNCTION("if(IV$2="""","""", index(GOOGLEFINANCE($B$35,""close"",IV$2,TODAY()),2,2))"),"")</f>
        <v/>
      </c>
      <c r="IW35" s="1" t="str">
        <f ca="1">IFERROR(__xludf.DUMMYFUNCTION("if(IW$2="""","""", index(GOOGLEFINANCE($B$35,""close"",IW$2,TODAY()),2,2))"),"")</f>
        <v/>
      </c>
      <c r="IX35" s="1" t="str">
        <f ca="1">IFERROR(__xludf.DUMMYFUNCTION("if(IX$2="""","""", index(GOOGLEFINANCE($B$35,""close"",IX$2,TODAY()),2,2))"),"")</f>
        <v/>
      </c>
      <c r="IY35" s="1" t="str">
        <f ca="1">IFERROR(__xludf.DUMMYFUNCTION("if(IY$2="""","""", index(GOOGLEFINANCE($B$35,""close"",IY$2,TODAY()),2,2))"),"")</f>
        <v/>
      </c>
      <c r="IZ35" s="1" t="str">
        <f ca="1">IFERROR(__xludf.DUMMYFUNCTION("if(IZ$2="""","""", index(GOOGLEFINANCE($B$35,""close"",IZ$2,TODAY()),2,2))"),"")</f>
        <v/>
      </c>
      <c r="JA35" s="1" t="str">
        <f ca="1">IFERROR(__xludf.DUMMYFUNCTION("if(JA$2="""","""", index(GOOGLEFINANCE($B$35,""close"",JA$2,TODAY()),2,2))"),"")</f>
        <v/>
      </c>
      <c r="JB35" s="1" t="str">
        <f ca="1">IFERROR(__xludf.DUMMYFUNCTION("if(JB$2="""","""", index(GOOGLEFINANCE($B$35,""close"",JB$2,TODAY()),2,2))"),"")</f>
        <v/>
      </c>
      <c r="JC35" s="1" t="str">
        <f ca="1">IFERROR(__xludf.DUMMYFUNCTION("if(JC$2="""","""", index(GOOGLEFINANCE($B$35,""close"",JC$2,TODAY()),2,2))"),"")</f>
        <v/>
      </c>
      <c r="JD35" s="1" t="str">
        <f ca="1">IFERROR(__xludf.DUMMYFUNCTION("if(JD$2="""","""", index(GOOGLEFINANCE($B$35,""close"",JD$2,TODAY()),2,2))"),"")</f>
        <v/>
      </c>
      <c r="JE35" s="1" t="str">
        <f ca="1">IFERROR(__xludf.DUMMYFUNCTION("if(JE$2="""","""", index(GOOGLEFINANCE($B$35,""close"",JE$2,TODAY()),2,2))"),"")</f>
        <v/>
      </c>
      <c r="JF35" s="1" t="str">
        <f ca="1">IFERROR(__xludf.DUMMYFUNCTION("if(JF$2="""","""", index(GOOGLEFINANCE($B$35,""close"",JF$2,TODAY()),2,2))"),"")</f>
        <v/>
      </c>
      <c r="JG35" s="1" t="str">
        <f ca="1">IFERROR(__xludf.DUMMYFUNCTION("if(JG$2="""","""", index(GOOGLEFINANCE($B$35,""close"",JG$2,TODAY()),2,2))"),"")</f>
        <v/>
      </c>
      <c r="JH35" s="1" t="str">
        <f ca="1">IFERROR(__xludf.DUMMYFUNCTION("if(JH$2="""","""", index(GOOGLEFINANCE($B$35,""close"",JH$2,TODAY()),2,2))"),"")</f>
        <v/>
      </c>
      <c r="JI35" s="1" t="str">
        <f ca="1">IFERROR(__xludf.DUMMYFUNCTION("if(JI$2="""","""", index(GOOGLEFINANCE($B$35,""close"",JI$2,TODAY()),2,2))"),"")</f>
        <v/>
      </c>
      <c r="JJ35" s="1" t="str">
        <f ca="1">IFERROR(__xludf.DUMMYFUNCTION("if(JJ$2="""","""", index(GOOGLEFINANCE($B$35,""close"",JJ$2,TODAY()),2,2))"),"")</f>
        <v/>
      </c>
      <c r="JK35" s="1" t="str">
        <f ca="1">IFERROR(__xludf.DUMMYFUNCTION("if(JK$2="""","""", index(GOOGLEFINANCE($B$35,""close"",JK$2,TODAY()),2,2))"),"")</f>
        <v/>
      </c>
      <c r="JL35" s="1" t="str">
        <f ca="1">IFERROR(__xludf.DUMMYFUNCTION("if(JL$2="""","""", index(GOOGLEFINANCE($B$35,""close"",JL$2,TODAY()),2,2))"),"")</f>
        <v/>
      </c>
      <c r="JM35" s="1" t="str">
        <f ca="1">IFERROR(__xludf.DUMMYFUNCTION("if(JM$2="""","""", index(GOOGLEFINANCE($B$35,""close"",JM$2,TODAY()),2,2))"),"")</f>
        <v/>
      </c>
      <c r="JN35" s="1" t="str">
        <f ca="1">IFERROR(__xludf.DUMMYFUNCTION("if(JN$2="""","""", index(GOOGLEFINANCE($B$35,""close"",JN$2,TODAY()),2,2))"),"")</f>
        <v/>
      </c>
      <c r="JO35" s="1" t="str">
        <f ca="1">IFERROR(__xludf.DUMMYFUNCTION("if(JO$2="""","""", index(GOOGLEFINANCE($B$35,""close"",JO$2,TODAY()),2,2))"),"")</f>
        <v/>
      </c>
      <c r="JP35" s="1" t="str">
        <f ca="1">IFERROR(__xludf.DUMMYFUNCTION("if(JP$2="""","""", index(GOOGLEFINANCE($B$35,""close"",JP$2,TODAY()),2,2))"),"")</f>
        <v/>
      </c>
      <c r="JQ35" s="1" t="str">
        <f ca="1">IFERROR(__xludf.DUMMYFUNCTION("if(JQ$2="""","""", index(GOOGLEFINANCE($B$35,""close"",JQ$2,TODAY()),2,2))"),"")</f>
        <v/>
      </c>
      <c r="JR35" s="1" t="str">
        <f ca="1">IFERROR(__xludf.DUMMYFUNCTION("if(JR$2="""","""", index(GOOGLEFINANCE($B$35,""close"",JR$2,TODAY()),2,2))"),"")</f>
        <v/>
      </c>
      <c r="JS35" s="1" t="str">
        <f ca="1">IFERROR(__xludf.DUMMYFUNCTION("if(JS$2="""","""", index(GOOGLEFINANCE($B$35,""close"",JS$2,TODAY()),2,2))"),"")</f>
        <v/>
      </c>
      <c r="JT35" s="1" t="str">
        <f ca="1">IFERROR(__xludf.DUMMYFUNCTION("if(JT$2="""","""", index(GOOGLEFINANCE($B$35,""close"",JT$2,TODAY()),2,2))"),"")</f>
        <v/>
      </c>
      <c r="JU35" s="1" t="str">
        <f ca="1">IFERROR(__xludf.DUMMYFUNCTION("if(JU$2="""","""", index(GOOGLEFINANCE($B$35,""close"",JU$2,TODAY()),2,2))"),"")</f>
        <v/>
      </c>
      <c r="JV35" s="1" t="str">
        <f ca="1">IFERROR(__xludf.DUMMYFUNCTION("if(JV$2="""","""", index(GOOGLEFINANCE($B$35,""close"",JV$2,TODAY()),2,2))"),"")</f>
        <v/>
      </c>
      <c r="JW35" s="1" t="str">
        <f ca="1">IFERROR(__xludf.DUMMYFUNCTION("if(JW$2="""","""", index(GOOGLEFINANCE($B$35,""close"",JW$2,TODAY()),2,2))"),"")</f>
        <v/>
      </c>
      <c r="JX35" s="1" t="str">
        <f ca="1">IFERROR(__xludf.DUMMYFUNCTION("if(JX$2="""","""", index(GOOGLEFINANCE($B$35,""close"",JX$2,TODAY()),2,2))"),"")</f>
        <v/>
      </c>
      <c r="JY35" s="1" t="str">
        <f ca="1">IFERROR(__xludf.DUMMYFUNCTION("if(JY$2="""","""", index(GOOGLEFINANCE($B$35,""close"",JY$2,TODAY()),2,2))"),"")</f>
        <v/>
      </c>
      <c r="JZ35" s="1" t="str">
        <f ca="1">IFERROR(__xludf.DUMMYFUNCTION("if(JZ$2="""","""", index(GOOGLEFINANCE($B$35,""close"",JZ$2,TODAY()),2,2))"),"")</f>
        <v/>
      </c>
      <c r="KA35" s="1" t="str">
        <f ca="1">IFERROR(__xludf.DUMMYFUNCTION("if(KA$2="""","""", index(GOOGLEFINANCE($B$35,""close"",KA$2,TODAY()),2,2))"),"")</f>
        <v/>
      </c>
      <c r="KB35" s="1" t="str">
        <f ca="1">IFERROR(__xludf.DUMMYFUNCTION("if(KB$2="""","""", index(GOOGLEFINANCE($B$35,""close"",KB$2,TODAY()),2,2))"),"")</f>
        <v/>
      </c>
      <c r="KC35" s="1" t="str">
        <f ca="1">IFERROR(__xludf.DUMMYFUNCTION("if(KC$2="""","""", index(GOOGLEFINANCE($B$35,""close"",KC$2,TODAY()),2,2))"),"")</f>
        <v/>
      </c>
      <c r="KD35" s="1" t="str">
        <f ca="1">IFERROR(__xludf.DUMMYFUNCTION("if(KD$2="""","""", index(GOOGLEFINANCE($B$35,""close"",KD$2,TODAY()),2,2))"),"")</f>
        <v/>
      </c>
      <c r="KE35" s="1" t="str">
        <f ca="1">IFERROR(__xludf.DUMMYFUNCTION("if(KE$2="""","""", index(GOOGLEFINANCE($B$35,""close"",KE$2,TODAY()),2,2))"),"")</f>
        <v/>
      </c>
      <c r="KF35" s="1" t="str">
        <f ca="1">IFERROR(__xludf.DUMMYFUNCTION("if(KF$2="""","""", index(GOOGLEFINANCE($B$35,""close"",KF$2,TODAY()),2,2))"),"")</f>
        <v/>
      </c>
      <c r="KG35" s="1" t="str">
        <f ca="1">IFERROR(__xludf.DUMMYFUNCTION("if(KG$2="""","""", index(GOOGLEFINANCE($B$35,""close"",KG$2,TODAY()),2,2))"),"")</f>
        <v/>
      </c>
    </row>
    <row r="36" spans="1:293" ht="15.75" customHeight="1">
      <c r="A36" s="18" t="s">
        <v>30</v>
      </c>
      <c r="B36" s="6" t="s">
        <v>79</v>
      </c>
      <c r="C36" s="1">
        <f ca="1">IFERROR(__xludf.DUMMYFUNCTION("if(C$2="""","""", index(GOOGLEFINANCE($B$36,""close"",C$2,TODAY()),2,2))"),23.82)</f>
        <v>23.82</v>
      </c>
      <c r="D36" s="1">
        <f ca="1">IFERROR(__xludf.DUMMYFUNCTION("if(D$2="""","""", index(GOOGLEFINANCE($B$36,""close"",D$2,TODAY()),2,2))"),23.99)</f>
        <v>23.99</v>
      </c>
      <c r="E36" s="1">
        <f ca="1">IFERROR(__xludf.DUMMYFUNCTION("if(E$2="""","""", index(GOOGLEFINANCE($B$36,""close"",E$2,TODAY()),2,2))"),22.99)</f>
        <v>22.99</v>
      </c>
      <c r="F36" s="1">
        <f ca="1">IFERROR(__xludf.DUMMYFUNCTION("if(F$2="""","""", index(GOOGLEFINANCE($B$36,""close"",F$2,TODAY()),2,2))"),23.34)</f>
        <v>23.34</v>
      </c>
      <c r="G36" s="1">
        <f ca="1">IFERROR(__xludf.DUMMYFUNCTION("if(G$2="""","""", index(GOOGLEFINANCE($B$36,""close"",G$2,TODAY()),2,2))"),22.62)</f>
        <v>22.62</v>
      </c>
      <c r="H36" s="1">
        <f ca="1">IFERROR(__xludf.DUMMYFUNCTION("if(H$2="""","""", index(GOOGLEFINANCE($B$36,""close"",H$2,TODAY()),2,2))"),21.67)</f>
        <v>21.67</v>
      </c>
      <c r="I36" s="1">
        <f ca="1">IFERROR(__xludf.DUMMYFUNCTION("if(I$2="""","""", index(GOOGLEFINANCE($B$36,""close"",I$2,TODAY()),2,2))"),22.88)</f>
        <v>22.88</v>
      </c>
      <c r="J36" s="1">
        <f ca="1">IFERROR(__xludf.DUMMYFUNCTION("if(J$2="""","""", index(GOOGLEFINANCE($B$36,""close"",J$2,TODAY()),2,2))"),22.95)</f>
        <v>22.95</v>
      </c>
      <c r="K36" s="1">
        <f ca="1">IFERROR(__xludf.DUMMYFUNCTION("if(K$2="""","""", index(GOOGLEFINANCE($B$36,""close"",K$2,TODAY()),2,2))"),23.07)</f>
        <v>23.07</v>
      </c>
      <c r="L36" s="1">
        <f ca="1">IFERROR(__xludf.DUMMYFUNCTION("if(L$2="""","""", index(GOOGLEFINANCE($B$36,""close"",L$2,TODAY()),2,2))"),22.68)</f>
        <v>22.68</v>
      </c>
      <c r="M36" s="1">
        <f ca="1">IFERROR(__xludf.DUMMYFUNCTION("if(M$2="""","""", index(GOOGLEFINANCE($B$36,""close"",M$2,TODAY()),2,2))"),22.26)</f>
        <v>22.26</v>
      </c>
      <c r="N36" s="1">
        <f ca="1">IFERROR(__xludf.DUMMYFUNCTION("if(N$2="""","""", index(GOOGLEFINANCE($B$36,""close"",N$2,TODAY()),2,2))"),22.1)</f>
        <v>22.1</v>
      </c>
      <c r="O36" s="1">
        <f ca="1">IFERROR(__xludf.DUMMYFUNCTION("if(O$2="""","""", index(GOOGLEFINANCE($B$36,""close"",O$2,TODAY()),2,2))"),20.62)</f>
        <v>20.62</v>
      </c>
      <c r="P36" s="1">
        <f ca="1">IFERROR(__xludf.DUMMYFUNCTION("if(P$2="""","""", index(GOOGLEFINANCE($B$36,""close"",P$2,TODAY()),2,2))"),20.24)</f>
        <v>20.239999999999998</v>
      </c>
      <c r="Q36" s="1">
        <f ca="1">IFERROR(__xludf.DUMMYFUNCTION("if(Q$2="""","""", index(GOOGLEFINANCE($B$36,""close"",Q$2,TODAY()),2,2))"),22.01)</f>
        <v>22.01</v>
      </c>
      <c r="R36" s="1">
        <f ca="1">IFERROR(__xludf.DUMMYFUNCTION("if(R$2="""","""", index(GOOGLEFINANCE($B$36,""close"",R$2,TODAY()),2,2))"),22)</f>
        <v>22</v>
      </c>
      <c r="S36" s="1">
        <f ca="1">IFERROR(__xludf.DUMMYFUNCTION("if(S$2="""","""", index(GOOGLEFINANCE($B$36,""close"",S$2,TODAY()),2,2))"),21.18)</f>
        <v>21.18</v>
      </c>
      <c r="T36" s="1">
        <f ca="1">IFERROR(__xludf.DUMMYFUNCTION("if(T$2="""","""", index(GOOGLEFINANCE($B$36,""close"",T$2,TODAY()),2,2))"),21.18)</f>
        <v>21.18</v>
      </c>
      <c r="U36" s="1">
        <f ca="1">IFERROR(__xludf.DUMMYFUNCTION("if(U$2="""","""", index(GOOGLEFINANCE($B$36,""close"",U$2,TODAY()),2,2))"),21.4)</f>
        <v>21.4</v>
      </c>
      <c r="V36" s="1">
        <f ca="1">IFERROR(__xludf.DUMMYFUNCTION("if(V$2="""","""", index(GOOGLEFINANCE($B$36,""close"",V$2,TODAY()),2,2))"),23.02)</f>
        <v>23.02</v>
      </c>
      <c r="W36" s="1">
        <f ca="1">IFERROR(__xludf.DUMMYFUNCTION("if(W$2="""","""", index(GOOGLEFINANCE($B$36,""close"",W$2,TODAY()),2,2))"),22.69)</f>
        <v>22.69</v>
      </c>
      <c r="X36" s="1">
        <f ca="1">IFERROR(__xludf.DUMMYFUNCTION("if(X$2="""","""", index(GOOGLEFINANCE($B$36,""close"",X$2,TODAY()),2,2))"),21.89)</f>
        <v>21.89</v>
      </c>
      <c r="Y36" s="1">
        <f ca="1">IFERROR(__xludf.DUMMYFUNCTION("if(Y$2="""","""", index(GOOGLEFINANCE($B$36,""close"",Y$2,TODAY()),2,2))"),21.61)</f>
        <v>21.61</v>
      </c>
      <c r="Z36" s="1">
        <f ca="1">IFERROR(__xludf.DUMMYFUNCTION("if(Z$2="""","""", index(GOOGLEFINANCE($B$36,""close"",Z$2,TODAY()),2,2))"),21.56)</f>
        <v>21.56</v>
      </c>
      <c r="AA36" s="1">
        <f ca="1">IFERROR(__xludf.DUMMYFUNCTION("if(AA$2="""","""", index(GOOGLEFINANCE($B$36,""close"",AA$2,TODAY()),2,2))"),21.7)</f>
        <v>21.7</v>
      </c>
      <c r="AB36" s="1">
        <f ca="1">IFERROR(__xludf.DUMMYFUNCTION("if(AB$2="""","""", index(GOOGLEFINANCE($B$36,""close"",AB$2,TODAY()),2,2))"),23.36)</f>
        <v>23.36</v>
      </c>
      <c r="AC36" s="1">
        <f ca="1">IFERROR(__xludf.DUMMYFUNCTION("if(AC$2="""","""", index(GOOGLEFINANCE($B$36,""close"",AC$2,TODAY()),2,2))"),24.09)</f>
        <v>24.09</v>
      </c>
      <c r="AD36" s="1">
        <f ca="1">IFERROR(__xludf.DUMMYFUNCTION("if(AD$2="""","""", index(GOOGLEFINANCE($B$36,""close"",AD$2,TODAY()),2,2))"),23.58)</f>
        <v>23.58</v>
      </c>
      <c r="AE36" s="1">
        <f ca="1">IFERROR(__xludf.DUMMYFUNCTION("if(AE$2="""","""", index(GOOGLEFINANCE($B$36,""close"",AE$2,TODAY()),2,2))"),22.82)</f>
        <v>22.82</v>
      </c>
      <c r="AF36" s="1">
        <f ca="1">IFERROR(__xludf.DUMMYFUNCTION("if(AF$2="""","""", index(GOOGLEFINANCE($B$36,""close"",AF$2,TODAY()),2,2))"),22.56)</f>
        <v>22.56</v>
      </c>
      <c r="AG36" s="1">
        <f ca="1">IFERROR(__xludf.DUMMYFUNCTION("if(AG$2="""","""", index(GOOGLEFINANCE($B$36,""close"",AG$2,TODAY()),2,2))"),23.41)</f>
        <v>23.41</v>
      </c>
      <c r="AH36" s="1">
        <f ca="1">IFERROR(__xludf.DUMMYFUNCTION("if(AH$2="""","""", index(GOOGLEFINANCE($B$36,""close"",AH$2,TODAY()),2,2))"),23.57)</f>
        <v>23.57</v>
      </c>
      <c r="AI36" s="1">
        <f ca="1">IFERROR(__xludf.DUMMYFUNCTION("if(AI$2="""","""", index(GOOGLEFINANCE($B$36,""close"",AI$2,TODAY()),2,2))"),22.76)</f>
        <v>22.76</v>
      </c>
      <c r="AJ36" s="1">
        <f ca="1">IFERROR(__xludf.DUMMYFUNCTION("if(AJ$2="""","""", index(GOOGLEFINANCE($B$36,""close"",AJ$2,TODAY()),2,2))"),22.89)</f>
        <v>22.89</v>
      </c>
      <c r="AK36" s="1">
        <f ca="1">IFERROR(__xludf.DUMMYFUNCTION("if(AK$2="""","""", index(GOOGLEFINANCE($B$36,""close"",AK$2,TODAY()),2,2))"),21.89)</f>
        <v>21.89</v>
      </c>
      <c r="AL36" s="1">
        <f ca="1">IFERROR(__xludf.DUMMYFUNCTION("if(AL$2="""","""", index(GOOGLEFINANCE($B$36,""close"",AL$2,TODAY()),2,2))"),21.85)</f>
        <v>21.85</v>
      </c>
      <c r="AM36" s="1">
        <f ca="1">IFERROR(__xludf.DUMMYFUNCTION("if(AM$2="""","""", index(GOOGLEFINANCE($B$36,""close"",AM$2,TODAY()),2,2))"),22.5)</f>
        <v>22.5</v>
      </c>
      <c r="AN36" s="1">
        <f ca="1">IFERROR(__xludf.DUMMYFUNCTION("if(AN$2="""","""", index(GOOGLEFINANCE($B$36,""close"",AN$2,TODAY()),2,2))"),22.59)</f>
        <v>22.59</v>
      </c>
      <c r="AO36" s="1">
        <f ca="1">IFERROR(__xludf.DUMMYFUNCTION("if(AO$2="""","""", index(GOOGLEFINANCE($B$36,""close"",AO$2,TODAY()),2,2))"),21.9)</f>
        <v>21.9</v>
      </c>
      <c r="AP36" s="1">
        <f ca="1">IFERROR(__xludf.DUMMYFUNCTION("if(AP$2="""","""", index(GOOGLEFINANCE($B$36,""close"",AP$2,TODAY()),2,2))"),20.42)</f>
        <v>20.420000000000002</v>
      </c>
      <c r="AQ36" s="1">
        <f ca="1">IFERROR(__xludf.DUMMYFUNCTION("if(AQ$2="""","""", index(GOOGLEFINANCE($B$36,""close"",AQ$2,TODAY()),2,2))"),21.81)</f>
        <v>21.81</v>
      </c>
      <c r="AR36" s="1">
        <f ca="1">IFERROR(__xludf.DUMMYFUNCTION("if(AR$2="""","""", index(GOOGLEFINANCE($B$36,""close"",AR$2,TODAY()),2,2))"),21.68)</f>
        <v>21.68</v>
      </c>
      <c r="AS36" s="1">
        <f ca="1">IFERROR(__xludf.DUMMYFUNCTION("if(AS$2="""","""", index(GOOGLEFINANCE($B$36,""close"",AS$2,TODAY()),2,2))"),19.74)</f>
        <v>19.739999999999998</v>
      </c>
      <c r="AT36" s="1">
        <f ca="1">IFERROR(__xludf.DUMMYFUNCTION("if(AT$2="""","""", index(GOOGLEFINANCE($B$36,""close"",AT$2,TODAY()),2,2))"),16.39)</f>
        <v>16.39</v>
      </c>
      <c r="AU36" s="1">
        <f ca="1">IFERROR(__xludf.DUMMYFUNCTION("if(AU$2="""","""", index(GOOGLEFINANCE($B$36,""close"",AU$2,TODAY()),2,2))"),17.24)</f>
        <v>17.239999999999998</v>
      </c>
      <c r="AV36" s="1">
        <f ca="1">IFERROR(__xludf.DUMMYFUNCTION("if(AV$2="""","""", index(GOOGLEFINANCE($B$36,""close"",AV$2,TODAY()),2,2))"),18.12)</f>
        <v>18.12</v>
      </c>
      <c r="AW36" s="1">
        <f ca="1">IFERROR(__xludf.DUMMYFUNCTION("if(AW$2="""","""", index(GOOGLEFINANCE($B$36,""close"",AW$2,TODAY()),2,2))"),18.69)</f>
        <v>18.690000000000001</v>
      </c>
      <c r="AX36" s="1">
        <f ca="1">IFERROR(__xludf.DUMMYFUNCTION("if(AX$2="""","""", index(GOOGLEFINANCE($B$36,""close"",AX$2,TODAY()),2,2))"),17.37)</f>
        <v>17.37</v>
      </c>
      <c r="AY36" s="1">
        <f ca="1">IFERROR(__xludf.DUMMYFUNCTION("if(AY$2="""","""", index(GOOGLEFINANCE($B$36,""close"",AY$2,TODAY()),2,2))"),17.37)</f>
        <v>17.37</v>
      </c>
      <c r="AZ36" s="1">
        <f ca="1">IFERROR(__xludf.DUMMYFUNCTION("if(AZ$2="""","""", index(GOOGLEFINANCE($B$36,""close"",AZ$2,TODAY()),2,2))"),18.29)</f>
        <v>18.29</v>
      </c>
      <c r="BA36" s="1">
        <f ca="1">IFERROR(__xludf.DUMMYFUNCTION("if(BA$2="""","""", index(GOOGLEFINANCE($B$36,""close"",BA$2,TODAY()),2,2))"),19.35)</f>
        <v>19.350000000000001</v>
      </c>
      <c r="BB36" s="1">
        <f ca="1">IFERROR(__xludf.DUMMYFUNCTION("if(BB$2="""","""", index(GOOGLEFINANCE($B$36,""close"",BB$2,TODAY()),2,2))"),21.15)</f>
        <v>21.15</v>
      </c>
      <c r="BC36" s="1">
        <f ca="1">IFERROR(__xludf.DUMMYFUNCTION("if(BC$2="""","""", index(GOOGLEFINANCE($B$36,""close"",BC$2,TODAY()),2,2))"),21.42)</f>
        <v>21.42</v>
      </c>
      <c r="BD36" s="1">
        <f ca="1">IFERROR(__xludf.DUMMYFUNCTION("if(BD$2="""","""", index(GOOGLEFINANCE($B$36,""close"",BD$2,TODAY()),2,2))"),21.74)</f>
        <v>21.74</v>
      </c>
      <c r="BE36" s="1">
        <f ca="1">IFERROR(__xludf.DUMMYFUNCTION("if(BE$2="""","""", index(GOOGLEFINANCE($B$36,""close"",BE$2,TODAY()),2,2))"),21.7)</f>
        <v>21.7</v>
      </c>
      <c r="BF36" s="1">
        <f ca="1">IFERROR(__xludf.DUMMYFUNCTION("if(BF$2="""","""", index(GOOGLEFINANCE($B$36,""close"",BF$2,TODAY()),2,2))"),21.67)</f>
        <v>21.67</v>
      </c>
      <c r="BG36" s="1">
        <f ca="1">IFERROR(__xludf.DUMMYFUNCTION("if(BG$2="""","""", index(GOOGLEFINANCE($B$36,""close"",BG$2,TODAY()),2,2))"),21.78)</f>
        <v>21.78</v>
      </c>
      <c r="BH36" s="1">
        <f ca="1">IFERROR(__xludf.DUMMYFUNCTION("if(BH$2="""","""", index(GOOGLEFINANCE($B$36,""close"",BH$2,TODAY()),2,2))"),22.01)</f>
        <v>22.01</v>
      </c>
      <c r="BI36" s="1">
        <f ca="1">IFERROR(__xludf.DUMMYFUNCTION("if(BI$2="""","""", index(GOOGLEFINANCE($B$36,""close"",BI$2,TODAY()),2,2))"),21.96)</f>
        <v>21.96</v>
      </c>
      <c r="BJ36" s="1">
        <f ca="1">IFERROR(__xludf.DUMMYFUNCTION("if(BJ$2="""","""", index(GOOGLEFINANCE($B$36,""close"",BJ$2,TODAY()),2,2))"),23.32)</f>
        <v>23.32</v>
      </c>
      <c r="BK36" s="1">
        <f ca="1">IFERROR(__xludf.DUMMYFUNCTION("if(BK$2="""","""", index(GOOGLEFINANCE($B$36,""close"",BK$2,TODAY()),2,2))"),22.75)</f>
        <v>22.75</v>
      </c>
      <c r="BL36" s="1">
        <f ca="1">IFERROR(__xludf.DUMMYFUNCTION("if(BL$2="""","""", index(GOOGLEFINANCE($B$36,""close"",BL$2,TODAY()),2,2))"),21.85)</f>
        <v>21.85</v>
      </c>
      <c r="BM36" s="1">
        <f ca="1">IFERROR(__xludf.DUMMYFUNCTION("if(BM$2="""","""", index(GOOGLEFINANCE($B$36,""close"",BM$2,TODAY()),2,2))"),22.17)</f>
        <v>22.17</v>
      </c>
      <c r="BN36" s="1">
        <f ca="1">IFERROR(__xludf.DUMMYFUNCTION("if(BN$2="""","""", index(GOOGLEFINANCE($B$36,""close"",BN$2,TODAY()),2,2))"),22.91)</f>
        <v>22.91</v>
      </c>
      <c r="BO36" s="1">
        <f ca="1">IFERROR(__xludf.DUMMYFUNCTION("if(BO$2="""","""", index(GOOGLEFINANCE($B$36,""close"",BO$2,TODAY()),2,2))"),22.4)</f>
        <v>22.4</v>
      </c>
      <c r="BP36" s="1">
        <f ca="1">IFERROR(__xludf.DUMMYFUNCTION("if(BP$2="""","""", index(GOOGLEFINANCE($B$36,""close"",BP$2,TODAY()),2,2))"),22.13)</f>
        <v>22.13</v>
      </c>
      <c r="BQ36" s="1">
        <f ca="1">IFERROR(__xludf.DUMMYFUNCTION("if(BQ$2="""","""", index(GOOGLEFINANCE($B$36,""close"",BQ$2,TODAY()),2,2))"),22.12)</f>
        <v>22.12</v>
      </c>
      <c r="BR36" s="1">
        <f ca="1">IFERROR(__xludf.DUMMYFUNCTION("if(BR$2="""","""", index(GOOGLEFINANCE($B$36,""close"",BR$2,TODAY()),2,2))"),22.38)</f>
        <v>22.38</v>
      </c>
      <c r="BS36" s="1">
        <f ca="1">IFERROR(__xludf.DUMMYFUNCTION("if(BS$2="""","""", index(GOOGLEFINANCE($B$36,""close"",BS$2,TODAY()),2,2))"),22.13)</f>
        <v>22.13</v>
      </c>
      <c r="BT36" s="1">
        <f ca="1">IFERROR(__xludf.DUMMYFUNCTION("if(BT$2="""","""", index(GOOGLEFINANCE($B$36,""close"",BT$2,TODAY()),2,2))"),22.32)</f>
        <v>22.32</v>
      </c>
      <c r="BU36" s="1">
        <f ca="1">IFERROR(__xludf.DUMMYFUNCTION("if(BU$2="""","""", index(GOOGLEFINANCE($B$36,""close"",BU$2,TODAY()),2,2))"),23.33)</f>
        <v>23.33</v>
      </c>
      <c r="BV36" s="1">
        <f ca="1">IFERROR(__xludf.DUMMYFUNCTION("if(BV$2="""","""", index(GOOGLEFINANCE($B$36,""close"",BV$2,TODAY()),2,2))"),23.35)</f>
        <v>23.35</v>
      </c>
      <c r="BW36" s="1">
        <f ca="1">IFERROR(__xludf.DUMMYFUNCTION("if(BW$2="""","""", index(GOOGLEFINANCE($B$36,""close"",BW$2,TODAY()),2,2))"),23.32)</f>
        <v>23.32</v>
      </c>
      <c r="BX36" s="1">
        <f ca="1">IFERROR(__xludf.DUMMYFUNCTION("if(BX$2="""","""", index(GOOGLEFINANCE($B$36,""close"",BX$2,TODAY()),2,2))"),24.03)</f>
        <v>24.03</v>
      </c>
      <c r="BY36" s="1">
        <f ca="1">IFERROR(__xludf.DUMMYFUNCTION("if(BY$2="""","""", index(GOOGLEFINANCE($B$36,""close"",BY$2,TODAY()),2,2))"),23.78)</f>
        <v>23.78</v>
      </c>
      <c r="BZ36" s="1">
        <f ca="1">IFERROR(__xludf.DUMMYFUNCTION("if(BZ$2="""","""", index(GOOGLEFINANCE($B$36,""close"",BZ$2,TODAY()),2,2))"),23.81)</f>
        <v>23.81</v>
      </c>
      <c r="CA36" s="1">
        <f ca="1">IFERROR(__xludf.DUMMYFUNCTION("if(CA$2="""","""", index(GOOGLEFINANCE($B$36,""close"",CA$2,TODAY()),2,2))"),22.94)</f>
        <v>22.94</v>
      </c>
      <c r="CB36" s="1">
        <f ca="1">IFERROR(__xludf.DUMMYFUNCTION("if(CB$2="""","""", index(GOOGLEFINANCE($B$36,""close"",CB$2,TODAY()),2,2))"),23.32)</f>
        <v>23.32</v>
      </c>
      <c r="CC36" s="1">
        <f ca="1">IFERROR(__xludf.DUMMYFUNCTION("if(CC$2="""","""", index(GOOGLEFINANCE($B$36,""close"",CC$2,TODAY()),2,2))"),22.65)</f>
        <v>22.65</v>
      </c>
      <c r="CD36" s="1">
        <f ca="1">IFERROR(__xludf.DUMMYFUNCTION("if(CD$2="""","""", index(GOOGLEFINANCE($B$36,""close"",CD$2,TODAY()),2,2))"),22.6)</f>
        <v>22.6</v>
      </c>
      <c r="CE36" s="1">
        <f ca="1">IFERROR(__xludf.DUMMYFUNCTION("if(CE$2="""","""", index(GOOGLEFINANCE($B$36,""close"",CE$2,TODAY()),2,2))"),23.35)</f>
        <v>23.35</v>
      </c>
      <c r="CF36" s="1">
        <f ca="1">IFERROR(__xludf.DUMMYFUNCTION("if(CF$2="""","""", index(GOOGLEFINANCE($B$36,""close"",CF$2,TODAY()),2,2))"),22.47)</f>
        <v>22.47</v>
      </c>
      <c r="CG36" s="1">
        <f ca="1">IFERROR(__xludf.DUMMYFUNCTION("if(CG$2="""","""", index(GOOGLEFINANCE($B$36,""close"",CG$2,TODAY()),2,2))"),23.19)</f>
        <v>23.19</v>
      </c>
      <c r="CH36" s="1">
        <f ca="1">IFERROR(__xludf.DUMMYFUNCTION("if(CH$2="""","""", index(GOOGLEFINANCE($B$36,""close"",CH$2,TODAY()),2,2))"),23.27)</f>
        <v>23.27</v>
      </c>
      <c r="CI36" s="1">
        <f ca="1">IFERROR(__xludf.DUMMYFUNCTION("if(CI$2="""","""", index(GOOGLEFINANCE($B$36,""close"",CI$2,TODAY()),2,2))"),23.53)</f>
        <v>23.53</v>
      </c>
      <c r="CJ36" s="1" t="str">
        <f ca="1">IFERROR(__xludf.DUMMYFUNCTION("if(CJ$2="""","""", index(GOOGLEFINANCE($B$36,""close"",CJ$2,TODAY()),2,2))"),"")</f>
        <v/>
      </c>
      <c r="CK36" s="1" t="str">
        <f ca="1">IFERROR(__xludf.DUMMYFUNCTION("if(CK$2="""","""", index(GOOGLEFINANCE($B$36,""close"",CK$2,TODAY()),2,2))"),"")</f>
        <v/>
      </c>
      <c r="CL36" s="1" t="str">
        <f ca="1">IFERROR(__xludf.DUMMYFUNCTION("if(CL$2="""","""", index(GOOGLEFINANCE($B$36,""close"",CL$2,TODAY()),2,2))"),"")</f>
        <v/>
      </c>
      <c r="CM36" s="1" t="str">
        <f ca="1">IFERROR(__xludf.DUMMYFUNCTION("if(CM$2="""","""", index(GOOGLEFINANCE($B$36,""close"",CM$2,TODAY()),2,2))"),"")</f>
        <v/>
      </c>
      <c r="CN36" s="1" t="str">
        <f ca="1">IFERROR(__xludf.DUMMYFUNCTION("if(CN$2="""","""", index(GOOGLEFINANCE($B$36,""close"",CN$2,TODAY()),2,2))"),"")</f>
        <v/>
      </c>
      <c r="CO36" s="1" t="str">
        <f ca="1">IFERROR(__xludf.DUMMYFUNCTION("if(CO$2="""","""", index(GOOGLEFINANCE($B$36,""close"",CO$2,TODAY()),2,2))"),"")</f>
        <v/>
      </c>
      <c r="CP36" s="1" t="str">
        <f ca="1">IFERROR(__xludf.DUMMYFUNCTION("if(CP$2="""","""", index(GOOGLEFINANCE($B$36,""close"",CP$2,TODAY()),2,2))"),"")</f>
        <v/>
      </c>
      <c r="CQ36" s="1" t="str">
        <f ca="1">IFERROR(__xludf.DUMMYFUNCTION("if(CQ$2="""","""", index(GOOGLEFINANCE($B$36,""close"",CQ$2,TODAY()),2,2))"),"")</f>
        <v/>
      </c>
      <c r="CR36" s="1" t="str">
        <f ca="1">IFERROR(__xludf.DUMMYFUNCTION("if(CR$2="""","""", index(GOOGLEFINANCE($B$36,""close"",CR$2,TODAY()),2,2))"),"")</f>
        <v/>
      </c>
      <c r="CS36" s="1" t="str">
        <f ca="1">IFERROR(__xludf.DUMMYFUNCTION("if(CS$2="""","""", index(GOOGLEFINANCE($B$36,""close"",CS$2,TODAY()),2,2))"),"")</f>
        <v/>
      </c>
      <c r="CT36" s="1" t="str">
        <f ca="1">IFERROR(__xludf.DUMMYFUNCTION("if(CT$2="""","""", index(GOOGLEFINANCE($B$36,""close"",CT$2,TODAY()),2,2))"),"")</f>
        <v/>
      </c>
      <c r="CU36" s="1" t="str">
        <f ca="1">IFERROR(__xludf.DUMMYFUNCTION("if(CU$2="""","""", index(GOOGLEFINANCE($B$36,""close"",CU$2,TODAY()),2,2))"),"")</f>
        <v/>
      </c>
      <c r="CV36" s="1" t="str">
        <f ca="1">IFERROR(__xludf.DUMMYFUNCTION("if(CV$2="""","""", index(GOOGLEFINANCE($B$36,""close"",CV$2,TODAY()),2,2))"),"")</f>
        <v/>
      </c>
      <c r="CW36" s="1" t="str">
        <f ca="1">IFERROR(__xludf.DUMMYFUNCTION("if(CW$2="""","""", index(GOOGLEFINANCE($B$36,""close"",CW$2,TODAY()),2,2))"),"")</f>
        <v/>
      </c>
      <c r="CX36" s="1" t="str">
        <f ca="1">IFERROR(__xludf.DUMMYFUNCTION("if(CX$2="""","""", index(GOOGLEFINANCE($B$36,""close"",CX$2,TODAY()),2,2))"),"")</f>
        <v/>
      </c>
      <c r="CY36" s="1" t="str">
        <f ca="1">IFERROR(__xludf.DUMMYFUNCTION("if(CY$2="""","""", index(GOOGLEFINANCE($B$36,""close"",CY$2,TODAY()),2,2))"),"")</f>
        <v/>
      </c>
      <c r="CZ36" s="1" t="str">
        <f ca="1">IFERROR(__xludf.DUMMYFUNCTION("if(CZ$2="""","""", index(GOOGLEFINANCE($B$36,""close"",CZ$2,TODAY()),2,2))"),"")</f>
        <v/>
      </c>
      <c r="DA36" s="1" t="str">
        <f ca="1">IFERROR(__xludf.DUMMYFUNCTION("if(DA$2="""","""", index(GOOGLEFINANCE($B$36,""close"",DA$2,TODAY()),2,2))"),"")</f>
        <v/>
      </c>
      <c r="DB36" s="1" t="str">
        <f ca="1">IFERROR(__xludf.DUMMYFUNCTION("if(DB$2="""","""", index(GOOGLEFINANCE($B$36,""close"",DB$2,TODAY()),2,2))"),"")</f>
        <v/>
      </c>
      <c r="DC36" s="1" t="str">
        <f ca="1">IFERROR(__xludf.DUMMYFUNCTION("if(DC$2="""","""", index(GOOGLEFINANCE($B$36,""close"",DC$2,TODAY()),2,2))"),"")</f>
        <v/>
      </c>
      <c r="DD36" s="1" t="str">
        <f ca="1">IFERROR(__xludf.DUMMYFUNCTION("if(DD$2="""","""", index(GOOGLEFINANCE($B$36,""close"",DD$2,TODAY()),2,2))"),"")</f>
        <v/>
      </c>
      <c r="DE36" s="1" t="str">
        <f ca="1">IFERROR(__xludf.DUMMYFUNCTION("if(DE$2="""","""", index(GOOGLEFINANCE($B$36,""close"",DE$2,TODAY()),2,2))"),"")</f>
        <v/>
      </c>
      <c r="DF36" s="1" t="str">
        <f ca="1">IFERROR(__xludf.DUMMYFUNCTION("if(DF$2="""","""", index(GOOGLEFINANCE($B$36,""close"",DF$2,TODAY()),2,2))"),"")</f>
        <v/>
      </c>
      <c r="DG36" s="1" t="str">
        <f ca="1">IFERROR(__xludf.DUMMYFUNCTION("if(DG$2="""","""", index(GOOGLEFINANCE($B$36,""close"",DG$2,TODAY()),2,2))"),"")</f>
        <v/>
      </c>
      <c r="DH36" s="1" t="str">
        <f ca="1">IFERROR(__xludf.DUMMYFUNCTION("if(DH$2="""","""", index(GOOGLEFINANCE($B$36,""close"",DH$2,TODAY()),2,2))"),"")</f>
        <v/>
      </c>
      <c r="DI36" s="1" t="str">
        <f ca="1">IFERROR(__xludf.DUMMYFUNCTION("if(DI$2="""","""", index(GOOGLEFINANCE($B$36,""close"",DI$2,TODAY()),2,2))"),"")</f>
        <v/>
      </c>
      <c r="DJ36" s="1" t="str">
        <f ca="1">IFERROR(__xludf.DUMMYFUNCTION("if(DJ$2="""","""", index(GOOGLEFINANCE($B$36,""close"",DJ$2,TODAY()),2,2))"),"")</f>
        <v/>
      </c>
      <c r="DK36" s="1" t="str">
        <f ca="1">IFERROR(__xludf.DUMMYFUNCTION("if(DK$2="""","""", index(GOOGLEFINANCE($B$36,""close"",DK$2,TODAY()),2,2))"),"")</f>
        <v/>
      </c>
      <c r="DL36" s="1" t="str">
        <f ca="1">IFERROR(__xludf.DUMMYFUNCTION("if(DL$2="""","""", index(GOOGLEFINANCE($B$36,""close"",DL$2,TODAY()),2,2))"),"")</f>
        <v/>
      </c>
      <c r="DM36" s="1" t="str">
        <f ca="1">IFERROR(__xludf.DUMMYFUNCTION("if(DM$2="""","""", index(GOOGLEFINANCE($B$36,""close"",DM$2,TODAY()),2,2))"),"")</f>
        <v/>
      </c>
      <c r="DN36" s="1" t="str">
        <f ca="1">IFERROR(__xludf.DUMMYFUNCTION("if(DN$2="""","""", index(GOOGLEFINANCE($B$36,""close"",DN$2,TODAY()),2,2))"),"")</f>
        <v/>
      </c>
      <c r="DO36" s="1" t="str">
        <f ca="1">IFERROR(__xludf.DUMMYFUNCTION("if(DO$2="""","""", index(GOOGLEFINANCE($B$36,""close"",DO$2,TODAY()),2,2))"),"")</f>
        <v/>
      </c>
      <c r="DP36" s="1" t="str">
        <f ca="1">IFERROR(__xludf.DUMMYFUNCTION("if(DP$2="""","""", index(GOOGLEFINANCE($B$36,""close"",DP$2,TODAY()),2,2))"),"")</f>
        <v/>
      </c>
      <c r="DQ36" s="1" t="str">
        <f ca="1">IFERROR(__xludf.DUMMYFUNCTION("if(DQ$2="""","""", index(GOOGLEFINANCE($B$36,""close"",DQ$2,TODAY()),2,2))"),"")</f>
        <v/>
      </c>
      <c r="DR36" s="1" t="str">
        <f ca="1">IFERROR(__xludf.DUMMYFUNCTION("if(DR$2="""","""", index(GOOGLEFINANCE($B$36,""close"",DR$2,TODAY()),2,2))"),"")</f>
        <v/>
      </c>
      <c r="DS36" s="1" t="str">
        <f ca="1">IFERROR(__xludf.DUMMYFUNCTION("if(DS$2="""","""", index(GOOGLEFINANCE($B$36,""close"",DS$2,TODAY()),2,2))"),"")</f>
        <v/>
      </c>
      <c r="DT36" s="1" t="str">
        <f ca="1">IFERROR(__xludf.DUMMYFUNCTION("if(DT$2="""","""", index(GOOGLEFINANCE($B$36,""close"",DT$2,TODAY()),2,2))"),"")</f>
        <v/>
      </c>
      <c r="DU36" s="1" t="str">
        <f ca="1">IFERROR(__xludf.DUMMYFUNCTION("if(DU$2="""","""", index(GOOGLEFINANCE($B$36,""close"",DU$2,TODAY()),2,2))"),"")</f>
        <v/>
      </c>
      <c r="DV36" s="1" t="str">
        <f ca="1">IFERROR(__xludf.DUMMYFUNCTION("if(DV$2="""","""", index(GOOGLEFINANCE($B$36,""close"",DV$2,TODAY()),2,2))"),"")</f>
        <v/>
      </c>
      <c r="DW36" s="1" t="str">
        <f ca="1">IFERROR(__xludf.DUMMYFUNCTION("if(DW$2="""","""", index(GOOGLEFINANCE($B$36,""close"",DW$2,TODAY()),2,2))"),"")</f>
        <v/>
      </c>
      <c r="DX36" s="1" t="str">
        <f ca="1">IFERROR(__xludf.DUMMYFUNCTION("if(DX$2="""","""", index(GOOGLEFINANCE($B$36,""close"",DX$2,TODAY()),2,2))"),"")</f>
        <v/>
      </c>
      <c r="DY36" s="1" t="str">
        <f ca="1">IFERROR(__xludf.DUMMYFUNCTION("if(DY$2="""","""", index(GOOGLEFINANCE($B$36,""close"",DY$2,TODAY()),2,2))"),"")</f>
        <v/>
      </c>
      <c r="DZ36" s="1" t="str">
        <f ca="1">IFERROR(__xludf.DUMMYFUNCTION("if(DZ$2="""","""", index(GOOGLEFINANCE($B$36,""close"",DZ$2,TODAY()),2,2))"),"")</f>
        <v/>
      </c>
      <c r="EA36" s="1" t="str">
        <f ca="1">IFERROR(__xludf.DUMMYFUNCTION("if(EA$2="""","""", index(GOOGLEFINANCE($B$36,""close"",EA$2,TODAY()),2,2))"),"")</f>
        <v/>
      </c>
      <c r="EB36" s="1" t="str">
        <f ca="1">IFERROR(__xludf.DUMMYFUNCTION("if(EB$2="""","""", index(GOOGLEFINANCE($B$36,""close"",EB$2,TODAY()),2,2))"),"")</f>
        <v/>
      </c>
      <c r="EC36" s="1" t="str">
        <f ca="1">IFERROR(__xludf.DUMMYFUNCTION("if(EC$2="""","""", index(GOOGLEFINANCE($B$36,""close"",EC$2,TODAY()),2,2))"),"")</f>
        <v/>
      </c>
      <c r="ED36" s="1" t="str">
        <f ca="1">IFERROR(__xludf.DUMMYFUNCTION("if(ED$2="""","""", index(GOOGLEFINANCE($B$36,""close"",ED$2,TODAY()),2,2))"),"")</f>
        <v/>
      </c>
      <c r="EE36" s="1" t="str">
        <f ca="1">IFERROR(__xludf.DUMMYFUNCTION("if(EE$2="""","""", index(GOOGLEFINANCE($B$36,""close"",EE$2,TODAY()),2,2))"),"")</f>
        <v/>
      </c>
      <c r="EF36" s="1" t="str">
        <f ca="1">IFERROR(__xludf.DUMMYFUNCTION("if(EF$2="""","""", index(GOOGLEFINANCE($B$36,""close"",EF$2,TODAY()),2,2))"),"")</f>
        <v/>
      </c>
      <c r="EG36" s="1" t="str">
        <f ca="1">IFERROR(__xludf.DUMMYFUNCTION("if(EG$2="""","""", index(GOOGLEFINANCE($B$36,""close"",EG$2,TODAY()),2,2))"),"")</f>
        <v/>
      </c>
      <c r="EH36" s="1" t="str">
        <f ca="1">IFERROR(__xludf.DUMMYFUNCTION("if(EH$2="""","""", index(GOOGLEFINANCE($B$36,""close"",EH$2,TODAY()),2,2))"),"")</f>
        <v/>
      </c>
      <c r="EI36" s="1" t="str">
        <f ca="1">IFERROR(__xludf.DUMMYFUNCTION("if(EI$2="""","""", index(GOOGLEFINANCE($B$36,""close"",EI$2,TODAY()),2,2))"),"")</f>
        <v/>
      </c>
      <c r="EJ36" s="1" t="str">
        <f ca="1">IFERROR(__xludf.DUMMYFUNCTION("if(EJ$2="""","""", index(GOOGLEFINANCE($B$36,""close"",EJ$2,TODAY()),2,2))"),"")</f>
        <v/>
      </c>
      <c r="EK36" s="1" t="str">
        <f ca="1">IFERROR(__xludf.DUMMYFUNCTION("if(EK$2="""","""", index(GOOGLEFINANCE($B$36,""close"",EK$2,TODAY()),2,2))"),"")</f>
        <v/>
      </c>
      <c r="EL36" s="1" t="str">
        <f ca="1">IFERROR(__xludf.DUMMYFUNCTION("if(EL$2="""","""", index(GOOGLEFINANCE($B$36,""close"",EL$2,TODAY()),2,2))"),"")</f>
        <v/>
      </c>
      <c r="EM36" s="1" t="str">
        <f ca="1">IFERROR(__xludf.DUMMYFUNCTION("if(EM$2="""","""", index(GOOGLEFINANCE($B$36,""close"",EM$2,TODAY()),2,2))"),"")</f>
        <v/>
      </c>
      <c r="EN36" s="1" t="str">
        <f ca="1">IFERROR(__xludf.DUMMYFUNCTION("if(EN$2="""","""", index(GOOGLEFINANCE($B$36,""close"",EN$2,TODAY()),2,2))"),"")</f>
        <v/>
      </c>
      <c r="EO36" s="1" t="str">
        <f ca="1">IFERROR(__xludf.DUMMYFUNCTION("if(EO$2="""","""", index(GOOGLEFINANCE($B$36,""close"",EO$2,TODAY()),2,2))"),"")</f>
        <v/>
      </c>
      <c r="EP36" s="1" t="str">
        <f ca="1">IFERROR(__xludf.DUMMYFUNCTION("if(EP$2="""","""", index(GOOGLEFINANCE($B$36,""close"",EP$2,TODAY()),2,2))"),"")</f>
        <v/>
      </c>
      <c r="EQ36" s="1" t="str">
        <f ca="1">IFERROR(__xludf.DUMMYFUNCTION("if(EQ$2="""","""", index(GOOGLEFINANCE($B$36,""close"",EQ$2,TODAY()),2,2))"),"")</f>
        <v/>
      </c>
      <c r="ER36" s="1" t="str">
        <f ca="1">IFERROR(__xludf.DUMMYFUNCTION("if(ER$2="""","""", index(GOOGLEFINANCE($B$36,""close"",ER$2,TODAY()),2,2))"),"")</f>
        <v/>
      </c>
      <c r="ES36" s="1" t="str">
        <f ca="1">IFERROR(__xludf.DUMMYFUNCTION("if(ES$2="""","""", index(GOOGLEFINANCE($B$36,""close"",ES$2,TODAY()),2,2))"),"")</f>
        <v/>
      </c>
      <c r="ET36" s="1" t="str">
        <f ca="1">IFERROR(__xludf.DUMMYFUNCTION("if(ET$2="""","""", index(GOOGLEFINANCE($B$36,""close"",ET$2,TODAY()),2,2))"),"")</f>
        <v/>
      </c>
      <c r="EU36" s="1" t="str">
        <f ca="1">IFERROR(__xludf.DUMMYFUNCTION("if(EU$2="""","""", index(GOOGLEFINANCE($B$36,""close"",EU$2,TODAY()),2,2))"),"")</f>
        <v/>
      </c>
      <c r="EV36" s="1" t="str">
        <f ca="1">IFERROR(__xludf.DUMMYFUNCTION("if(EV$2="""","""", index(GOOGLEFINANCE($B$36,""close"",EV$2,TODAY()),2,2))"),"")</f>
        <v/>
      </c>
      <c r="EW36" s="1" t="str">
        <f ca="1">IFERROR(__xludf.DUMMYFUNCTION("if(EW$2="""","""", index(GOOGLEFINANCE($B$36,""close"",EW$2,TODAY()),2,2))"),"")</f>
        <v/>
      </c>
      <c r="EX36" s="1" t="str">
        <f ca="1">IFERROR(__xludf.DUMMYFUNCTION("if(EX$2="""","""", index(GOOGLEFINANCE($B$36,""close"",EX$2,TODAY()),2,2))"),"")</f>
        <v/>
      </c>
      <c r="EY36" s="1" t="str">
        <f ca="1">IFERROR(__xludf.DUMMYFUNCTION("if(EY$2="""","""", index(GOOGLEFINANCE($B$36,""close"",EY$2,TODAY()),2,2))"),"")</f>
        <v/>
      </c>
      <c r="EZ36" s="1" t="str">
        <f ca="1">IFERROR(__xludf.DUMMYFUNCTION("if(EZ$2="""","""", index(GOOGLEFINANCE($B$36,""close"",EZ$2,TODAY()),2,2))"),"")</f>
        <v/>
      </c>
      <c r="FA36" s="1" t="str">
        <f ca="1">IFERROR(__xludf.DUMMYFUNCTION("if(FA$2="""","""", index(GOOGLEFINANCE($B$36,""close"",FA$2,TODAY()),2,2))"),"")</f>
        <v/>
      </c>
      <c r="FB36" s="1" t="str">
        <f ca="1">IFERROR(__xludf.DUMMYFUNCTION("if(FB$2="""","""", index(GOOGLEFINANCE($B$36,""close"",FB$2,TODAY()),2,2))"),"")</f>
        <v/>
      </c>
      <c r="FC36" s="1" t="str">
        <f ca="1">IFERROR(__xludf.DUMMYFUNCTION("if(FC$2="""","""", index(GOOGLEFINANCE($B$36,""close"",FC$2,TODAY()),2,2))"),"")</f>
        <v/>
      </c>
      <c r="FD36" s="1" t="str">
        <f ca="1">IFERROR(__xludf.DUMMYFUNCTION("if(FD$2="""","""", index(GOOGLEFINANCE($B$36,""close"",FD$2,TODAY()),2,2))"),"")</f>
        <v/>
      </c>
      <c r="FE36" s="1" t="str">
        <f ca="1">IFERROR(__xludf.DUMMYFUNCTION("if(FE$2="""","""", index(GOOGLEFINANCE($B$36,""close"",FE$2,TODAY()),2,2))"),"")</f>
        <v/>
      </c>
      <c r="FF36" s="1" t="str">
        <f ca="1">IFERROR(__xludf.DUMMYFUNCTION("if(FF$2="""","""", index(GOOGLEFINANCE($B$36,""close"",FF$2,TODAY()),2,2))"),"")</f>
        <v/>
      </c>
      <c r="FG36" s="1" t="str">
        <f ca="1">IFERROR(__xludf.DUMMYFUNCTION("if(FG$2="""","""", index(GOOGLEFINANCE($B$36,""close"",FG$2,TODAY()),2,2))"),"")</f>
        <v/>
      </c>
      <c r="FH36" s="1" t="str">
        <f ca="1">IFERROR(__xludf.DUMMYFUNCTION("if(FH$2="""","""", index(GOOGLEFINANCE($B$36,""close"",FH$2,TODAY()),2,2))"),"")</f>
        <v/>
      </c>
      <c r="FI36" s="1" t="str">
        <f ca="1">IFERROR(__xludf.DUMMYFUNCTION("if(FI$2="""","""", index(GOOGLEFINANCE($B$36,""close"",FI$2,TODAY()),2,2))"),"")</f>
        <v/>
      </c>
      <c r="FJ36" s="1" t="str">
        <f ca="1">IFERROR(__xludf.DUMMYFUNCTION("if(FJ$2="""","""", index(GOOGLEFINANCE($B$36,""close"",FJ$2,TODAY()),2,2))"),"")</f>
        <v/>
      </c>
      <c r="FK36" s="1" t="str">
        <f ca="1">IFERROR(__xludf.DUMMYFUNCTION("if(FK$2="""","""", index(GOOGLEFINANCE($B$36,""close"",FK$2,TODAY()),2,2))"),"")</f>
        <v/>
      </c>
      <c r="FL36" s="1" t="str">
        <f ca="1">IFERROR(__xludf.DUMMYFUNCTION("if(FL$2="""","""", index(GOOGLEFINANCE($B$36,""close"",FL$2,TODAY()),2,2))"),"")</f>
        <v/>
      </c>
      <c r="FM36" s="1" t="str">
        <f ca="1">IFERROR(__xludf.DUMMYFUNCTION("if(FM$2="""","""", index(GOOGLEFINANCE($B$36,""close"",FM$2,TODAY()),2,2))"),"")</f>
        <v/>
      </c>
      <c r="FN36" s="1" t="str">
        <f ca="1">IFERROR(__xludf.DUMMYFUNCTION("if(FN$2="""","""", index(GOOGLEFINANCE($B$36,""close"",FN$2,TODAY()),2,2))"),"")</f>
        <v/>
      </c>
      <c r="FO36" s="1" t="str">
        <f ca="1">IFERROR(__xludf.DUMMYFUNCTION("if(FO$2="""","""", index(GOOGLEFINANCE($B$36,""close"",FO$2,TODAY()),2,2))"),"")</f>
        <v/>
      </c>
      <c r="FP36" s="1" t="str">
        <f ca="1">IFERROR(__xludf.DUMMYFUNCTION("if(FP$2="""","""", index(GOOGLEFINANCE($B$36,""close"",FP$2,TODAY()),2,2))"),"")</f>
        <v/>
      </c>
      <c r="FQ36" s="1" t="str">
        <f ca="1">IFERROR(__xludf.DUMMYFUNCTION("if(FQ$2="""","""", index(GOOGLEFINANCE($B$36,""close"",FQ$2,TODAY()),2,2))"),"")</f>
        <v/>
      </c>
      <c r="FR36" s="1" t="str">
        <f ca="1">IFERROR(__xludf.DUMMYFUNCTION("if(FR$2="""","""", index(GOOGLEFINANCE($B$36,""close"",FR$2,TODAY()),2,2))"),"")</f>
        <v/>
      </c>
      <c r="FS36" s="1" t="str">
        <f ca="1">IFERROR(__xludf.DUMMYFUNCTION("if(FS$2="""","""", index(GOOGLEFINANCE($B$36,""close"",FS$2,TODAY()),2,2))"),"")</f>
        <v/>
      </c>
      <c r="FT36" s="1" t="str">
        <f ca="1">IFERROR(__xludf.DUMMYFUNCTION("if(FT$2="""","""", index(GOOGLEFINANCE($B$36,""close"",FT$2,TODAY()),2,2))"),"")</f>
        <v/>
      </c>
      <c r="FU36" s="1" t="str">
        <f ca="1">IFERROR(__xludf.DUMMYFUNCTION("if(FU$2="""","""", index(GOOGLEFINANCE($B$36,""close"",FU$2,TODAY()),2,2))"),"")</f>
        <v/>
      </c>
      <c r="FV36" s="1" t="str">
        <f ca="1">IFERROR(__xludf.DUMMYFUNCTION("if(FV$2="""","""", index(GOOGLEFINANCE($B$36,""close"",FV$2,TODAY()),2,2))"),"")</f>
        <v/>
      </c>
      <c r="FW36" s="1" t="str">
        <f ca="1">IFERROR(__xludf.DUMMYFUNCTION("if(FW$2="""","""", index(GOOGLEFINANCE($B$36,""close"",FW$2,TODAY()),2,2))"),"")</f>
        <v/>
      </c>
      <c r="FX36" s="1" t="str">
        <f ca="1">IFERROR(__xludf.DUMMYFUNCTION("if(FX$2="""","""", index(GOOGLEFINANCE($B$36,""close"",FX$2,TODAY()),2,2))"),"")</f>
        <v/>
      </c>
      <c r="FY36" s="1" t="str">
        <f ca="1">IFERROR(__xludf.DUMMYFUNCTION("if(FY$2="""","""", index(GOOGLEFINANCE($B$36,""close"",FY$2,TODAY()),2,2))"),"")</f>
        <v/>
      </c>
      <c r="FZ36" s="1" t="str">
        <f ca="1">IFERROR(__xludf.DUMMYFUNCTION("if(FZ$2="""","""", index(GOOGLEFINANCE($B$36,""close"",FZ$2,TODAY()),2,2))"),"")</f>
        <v/>
      </c>
      <c r="GA36" s="1" t="str">
        <f ca="1">IFERROR(__xludf.DUMMYFUNCTION("if(GA$2="""","""", index(GOOGLEFINANCE($B$36,""close"",GA$2,TODAY()),2,2))"),"")</f>
        <v/>
      </c>
      <c r="GB36" s="1" t="str">
        <f ca="1">IFERROR(__xludf.DUMMYFUNCTION("if(GB$2="""","""", index(GOOGLEFINANCE($B$36,""close"",GB$2,TODAY()),2,2))"),"")</f>
        <v/>
      </c>
      <c r="GC36" s="1" t="str">
        <f ca="1">IFERROR(__xludf.DUMMYFUNCTION("if(GC$2="""","""", index(GOOGLEFINANCE($B$36,""close"",GC$2,TODAY()),2,2))"),"")</f>
        <v/>
      </c>
      <c r="GD36" s="1" t="str">
        <f ca="1">IFERROR(__xludf.DUMMYFUNCTION("if(GD$2="""","""", index(GOOGLEFINANCE($B$36,""close"",GD$2,TODAY()),2,2))"),"")</f>
        <v/>
      </c>
      <c r="GE36" s="1" t="str">
        <f ca="1">IFERROR(__xludf.DUMMYFUNCTION("if(GE$2="""","""", index(GOOGLEFINANCE($B$36,""close"",GE$2,TODAY()),2,2))"),"")</f>
        <v/>
      </c>
      <c r="GF36" s="1" t="str">
        <f ca="1">IFERROR(__xludf.DUMMYFUNCTION("if(GF$2="""","""", index(GOOGLEFINANCE($B$36,""close"",GF$2,TODAY()),2,2))"),"")</f>
        <v/>
      </c>
      <c r="GG36" s="1" t="str">
        <f ca="1">IFERROR(__xludf.DUMMYFUNCTION("if(GG$2="""","""", index(GOOGLEFINANCE($B$36,""close"",GG$2,TODAY()),2,2))"),"")</f>
        <v/>
      </c>
      <c r="GH36" s="1" t="str">
        <f ca="1">IFERROR(__xludf.DUMMYFUNCTION("if(GH$2="""","""", index(GOOGLEFINANCE($B$36,""close"",GH$2,TODAY()),2,2))"),"")</f>
        <v/>
      </c>
      <c r="GI36" s="1" t="str">
        <f ca="1">IFERROR(__xludf.DUMMYFUNCTION("if(GI$2="""","""", index(GOOGLEFINANCE($B$36,""close"",GI$2,TODAY()),2,2))"),"")</f>
        <v/>
      </c>
      <c r="GJ36" s="1" t="str">
        <f ca="1">IFERROR(__xludf.DUMMYFUNCTION("if(GJ$2="""","""", index(GOOGLEFINANCE($B$36,""close"",GJ$2,TODAY()),2,2))"),"")</f>
        <v/>
      </c>
      <c r="GK36" s="1" t="str">
        <f ca="1">IFERROR(__xludf.DUMMYFUNCTION("if(GK$2="""","""", index(GOOGLEFINANCE($B$36,""close"",GK$2,TODAY()),2,2))"),"")</f>
        <v/>
      </c>
      <c r="GL36" s="1" t="str">
        <f ca="1">IFERROR(__xludf.DUMMYFUNCTION("if(GL$2="""","""", index(GOOGLEFINANCE($B$36,""close"",GL$2,TODAY()),2,2))"),"")</f>
        <v/>
      </c>
      <c r="GM36" s="1" t="str">
        <f ca="1">IFERROR(__xludf.DUMMYFUNCTION("if(GM$2="""","""", index(GOOGLEFINANCE($B$36,""close"",GM$2,TODAY()),2,2))"),"")</f>
        <v/>
      </c>
      <c r="GN36" s="1" t="str">
        <f ca="1">IFERROR(__xludf.DUMMYFUNCTION("if(GN$2="""","""", index(GOOGLEFINANCE($B$36,""close"",GN$2,TODAY()),2,2))"),"")</f>
        <v/>
      </c>
      <c r="GO36" s="1" t="str">
        <f ca="1">IFERROR(__xludf.DUMMYFUNCTION("if(GO$2="""","""", index(GOOGLEFINANCE($B$36,""close"",GO$2,TODAY()),2,2))"),"")</f>
        <v/>
      </c>
      <c r="GP36" s="1" t="str">
        <f ca="1">IFERROR(__xludf.DUMMYFUNCTION("if(GP$2="""","""", index(GOOGLEFINANCE($B$36,""close"",GP$2,TODAY()),2,2))"),"")</f>
        <v/>
      </c>
      <c r="GQ36" s="1" t="str">
        <f ca="1">IFERROR(__xludf.DUMMYFUNCTION("if(GQ$2="""","""", index(GOOGLEFINANCE($B$36,""close"",GQ$2,TODAY()),2,2))"),"")</f>
        <v/>
      </c>
      <c r="GR36" s="1" t="str">
        <f ca="1">IFERROR(__xludf.DUMMYFUNCTION("if(GR$2="""","""", index(GOOGLEFINANCE($B$36,""close"",GR$2,TODAY()),2,2))"),"")</f>
        <v/>
      </c>
      <c r="GS36" s="1" t="str">
        <f ca="1">IFERROR(__xludf.DUMMYFUNCTION("if(GS$2="""","""", index(GOOGLEFINANCE($B$36,""close"",GS$2,TODAY()),2,2))"),"")</f>
        <v/>
      </c>
      <c r="GT36" s="1" t="str">
        <f ca="1">IFERROR(__xludf.DUMMYFUNCTION("if(GT$2="""","""", index(GOOGLEFINANCE($B$36,""close"",GT$2,TODAY()),2,2))"),"")</f>
        <v/>
      </c>
      <c r="GU36" s="1" t="str">
        <f ca="1">IFERROR(__xludf.DUMMYFUNCTION("if(GU$2="""","""", index(GOOGLEFINANCE($B$36,""close"",GU$2,TODAY()),2,2))"),"")</f>
        <v/>
      </c>
      <c r="GV36" s="1" t="str">
        <f ca="1">IFERROR(__xludf.DUMMYFUNCTION("if(GV$2="""","""", index(GOOGLEFINANCE($B$36,""close"",GV$2,TODAY()),2,2))"),"")</f>
        <v/>
      </c>
      <c r="GW36" s="1" t="str">
        <f ca="1">IFERROR(__xludf.DUMMYFUNCTION("if(GW$2="""","""", index(GOOGLEFINANCE($B$36,""close"",GW$2,TODAY()),2,2))"),"")</f>
        <v/>
      </c>
      <c r="GX36" s="1" t="str">
        <f ca="1">IFERROR(__xludf.DUMMYFUNCTION("if(GX$2="""","""", index(GOOGLEFINANCE($B$36,""close"",GX$2,TODAY()),2,2))"),"")</f>
        <v/>
      </c>
      <c r="GY36" s="1" t="str">
        <f ca="1">IFERROR(__xludf.DUMMYFUNCTION("if(GY$2="""","""", index(GOOGLEFINANCE($B$36,""close"",GY$2,TODAY()),2,2))"),"")</f>
        <v/>
      </c>
      <c r="GZ36" s="1" t="str">
        <f ca="1">IFERROR(__xludf.DUMMYFUNCTION("if(GZ$2="""","""", index(GOOGLEFINANCE($B$36,""close"",GZ$2,TODAY()),2,2))"),"")</f>
        <v/>
      </c>
      <c r="HA36" s="1" t="str">
        <f ca="1">IFERROR(__xludf.DUMMYFUNCTION("if(HA$2="""","""", index(GOOGLEFINANCE($B$36,""close"",HA$2,TODAY()),2,2))"),"")</f>
        <v/>
      </c>
      <c r="HB36" s="1" t="str">
        <f ca="1">IFERROR(__xludf.DUMMYFUNCTION("if(HB$2="""","""", index(GOOGLEFINANCE($B$36,""close"",HB$2,TODAY()),2,2))"),"")</f>
        <v/>
      </c>
      <c r="HC36" s="1" t="str">
        <f ca="1">IFERROR(__xludf.DUMMYFUNCTION("if(HC$2="""","""", index(GOOGLEFINANCE($B$36,""close"",HC$2,TODAY()),2,2))"),"")</f>
        <v/>
      </c>
      <c r="HD36" s="1" t="str">
        <f ca="1">IFERROR(__xludf.DUMMYFUNCTION("if(HD$2="""","""", index(GOOGLEFINANCE($B$36,""close"",HD$2,TODAY()),2,2))"),"")</f>
        <v/>
      </c>
      <c r="HE36" s="1" t="str">
        <f ca="1">IFERROR(__xludf.DUMMYFUNCTION("if(HE$2="""","""", index(GOOGLEFINANCE($B$36,""close"",HE$2,TODAY()),2,2))"),"")</f>
        <v/>
      </c>
      <c r="HF36" s="1" t="str">
        <f ca="1">IFERROR(__xludf.DUMMYFUNCTION("if(HF$2="""","""", index(GOOGLEFINANCE($B$36,""close"",HF$2,TODAY()),2,2))"),"")</f>
        <v/>
      </c>
      <c r="HG36" s="1" t="str">
        <f ca="1">IFERROR(__xludf.DUMMYFUNCTION("if(HG$2="""","""", index(GOOGLEFINANCE($B$36,""close"",HG$2,TODAY()),2,2))"),"")</f>
        <v/>
      </c>
      <c r="HH36" s="1" t="str">
        <f ca="1">IFERROR(__xludf.DUMMYFUNCTION("if(HH$2="""","""", index(GOOGLEFINANCE($B$36,""close"",HH$2,TODAY()),2,2))"),"")</f>
        <v/>
      </c>
      <c r="HI36" s="1" t="str">
        <f ca="1">IFERROR(__xludf.DUMMYFUNCTION("if(HI$2="""","""", index(GOOGLEFINANCE($B$36,""close"",HI$2,TODAY()),2,2))"),"")</f>
        <v/>
      </c>
      <c r="HJ36" s="1" t="str">
        <f ca="1">IFERROR(__xludf.DUMMYFUNCTION("if(HJ$2="""","""", index(GOOGLEFINANCE($B$36,""close"",HJ$2,TODAY()),2,2))"),"")</f>
        <v/>
      </c>
      <c r="HK36" s="1" t="str">
        <f ca="1">IFERROR(__xludf.DUMMYFUNCTION("if(HK$2="""","""", index(GOOGLEFINANCE($B$36,""close"",HK$2,TODAY()),2,2))"),"")</f>
        <v/>
      </c>
      <c r="HL36" s="1" t="str">
        <f ca="1">IFERROR(__xludf.DUMMYFUNCTION("if(HL$2="""","""", index(GOOGLEFINANCE($B$36,""close"",HL$2,TODAY()),2,2))"),"")</f>
        <v/>
      </c>
      <c r="HM36" s="1" t="str">
        <f ca="1">IFERROR(__xludf.DUMMYFUNCTION("if(HM$2="""","""", index(GOOGLEFINANCE($B$36,""close"",HM$2,TODAY()),2,2))"),"")</f>
        <v/>
      </c>
      <c r="HN36" s="1" t="str">
        <f ca="1">IFERROR(__xludf.DUMMYFUNCTION("if(HN$2="""","""", index(GOOGLEFINANCE($B$36,""close"",HN$2,TODAY()),2,2))"),"")</f>
        <v/>
      </c>
      <c r="HO36" s="1" t="str">
        <f ca="1">IFERROR(__xludf.DUMMYFUNCTION("if(HO$2="""","""", index(GOOGLEFINANCE($B$36,""close"",HO$2,TODAY()),2,2))"),"")</f>
        <v/>
      </c>
      <c r="HP36" s="1" t="str">
        <f ca="1">IFERROR(__xludf.DUMMYFUNCTION("if(HP$2="""","""", index(GOOGLEFINANCE($B$36,""close"",HP$2,TODAY()),2,2))"),"")</f>
        <v/>
      </c>
      <c r="HQ36" s="1" t="str">
        <f ca="1">IFERROR(__xludf.DUMMYFUNCTION("if(HQ$2="""","""", index(GOOGLEFINANCE($B$36,""close"",HQ$2,TODAY()),2,2))"),"")</f>
        <v/>
      </c>
      <c r="HR36" s="1" t="str">
        <f ca="1">IFERROR(__xludf.DUMMYFUNCTION("if(HR$2="""","""", index(GOOGLEFINANCE($B$36,""close"",HR$2,TODAY()),2,2))"),"")</f>
        <v/>
      </c>
      <c r="HS36" s="1" t="str">
        <f ca="1">IFERROR(__xludf.DUMMYFUNCTION("if(HS$2="""","""", index(GOOGLEFINANCE($B$36,""close"",HS$2,TODAY()),2,2))"),"")</f>
        <v/>
      </c>
      <c r="HT36" s="1" t="str">
        <f ca="1">IFERROR(__xludf.DUMMYFUNCTION("if(HT$2="""","""", index(GOOGLEFINANCE($B$36,""close"",HT$2,TODAY()),2,2))"),"")</f>
        <v/>
      </c>
      <c r="HU36" s="1" t="str">
        <f ca="1">IFERROR(__xludf.DUMMYFUNCTION("if(HU$2="""","""", index(GOOGLEFINANCE($B$36,""close"",HU$2,TODAY()),2,2))"),"")</f>
        <v/>
      </c>
      <c r="HV36" s="1" t="str">
        <f ca="1">IFERROR(__xludf.DUMMYFUNCTION("if(HV$2="""","""", index(GOOGLEFINANCE($B$36,""close"",HV$2,TODAY()),2,2))"),"")</f>
        <v/>
      </c>
      <c r="HW36" s="1" t="str">
        <f ca="1">IFERROR(__xludf.DUMMYFUNCTION("if(HW$2="""","""", index(GOOGLEFINANCE($B$36,""close"",HW$2,TODAY()),2,2))"),"")</f>
        <v/>
      </c>
      <c r="HX36" s="1" t="str">
        <f ca="1">IFERROR(__xludf.DUMMYFUNCTION("if(HX$2="""","""", index(GOOGLEFINANCE($B$36,""close"",HX$2,TODAY()),2,2))"),"")</f>
        <v/>
      </c>
      <c r="HY36" s="1" t="str">
        <f ca="1">IFERROR(__xludf.DUMMYFUNCTION("if(HY$2="""","""", index(GOOGLEFINANCE($B$36,""close"",HY$2,TODAY()),2,2))"),"")</f>
        <v/>
      </c>
      <c r="HZ36" s="1" t="str">
        <f ca="1">IFERROR(__xludf.DUMMYFUNCTION("if(HZ$2="""","""", index(GOOGLEFINANCE($B$36,""close"",HZ$2,TODAY()),2,2))"),"")</f>
        <v/>
      </c>
      <c r="IA36" s="1" t="str">
        <f ca="1">IFERROR(__xludf.DUMMYFUNCTION("if(IA$2="""","""", index(GOOGLEFINANCE($B$36,""close"",IA$2,TODAY()),2,2))"),"")</f>
        <v/>
      </c>
      <c r="IB36" s="1" t="str">
        <f ca="1">IFERROR(__xludf.DUMMYFUNCTION("if(IB$2="""","""", index(GOOGLEFINANCE($B$36,""close"",IB$2,TODAY()),2,2))"),"")</f>
        <v/>
      </c>
      <c r="IC36" s="1" t="str">
        <f ca="1">IFERROR(__xludf.DUMMYFUNCTION("if(IC$2="""","""", index(GOOGLEFINANCE($B$36,""close"",IC$2,TODAY()),2,2))"),"")</f>
        <v/>
      </c>
      <c r="ID36" s="1" t="str">
        <f ca="1">IFERROR(__xludf.DUMMYFUNCTION("if(ID$2="""","""", index(GOOGLEFINANCE($B$36,""close"",ID$2,TODAY()),2,2))"),"")</f>
        <v/>
      </c>
      <c r="IE36" s="1" t="str">
        <f ca="1">IFERROR(__xludf.DUMMYFUNCTION("if(IE$2="""","""", index(GOOGLEFINANCE($B$36,""close"",IE$2,TODAY()),2,2))"),"")</f>
        <v/>
      </c>
      <c r="IF36" s="1" t="str">
        <f ca="1">IFERROR(__xludf.DUMMYFUNCTION("if(IF$2="""","""", index(GOOGLEFINANCE($B$36,""close"",IF$2,TODAY()),2,2))"),"")</f>
        <v/>
      </c>
      <c r="IG36" s="1" t="str">
        <f ca="1">IFERROR(__xludf.DUMMYFUNCTION("if(IG$2="""","""", index(GOOGLEFINANCE($B$36,""close"",IG$2,TODAY()),2,2))"),"")</f>
        <v/>
      </c>
      <c r="IH36" s="1" t="str">
        <f ca="1">IFERROR(__xludf.DUMMYFUNCTION("if(IH$2="""","""", index(GOOGLEFINANCE($B$36,""close"",IH$2,TODAY()),2,2))"),"")</f>
        <v/>
      </c>
      <c r="II36" s="1" t="str">
        <f ca="1">IFERROR(__xludf.DUMMYFUNCTION("if(II$2="""","""", index(GOOGLEFINANCE($B$36,""close"",II$2,TODAY()),2,2))"),"")</f>
        <v/>
      </c>
      <c r="IJ36" s="1" t="str">
        <f ca="1">IFERROR(__xludf.DUMMYFUNCTION("if(IJ$2="""","""", index(GOOGLEFINANCE($B$36,""close"",IJ$2,TODAY()),2,2))"),"")</f>
        <v/>
      </c>
      <c r="IK36" s="1" t="str">
        <f ca="1">IFERROR(__xludf.DUMMYFUNCTION("if(IK$2="""","""", index(GOOGLEFINANCE($B$36,""close"",IK$2,TODAY()),2,2))"),"")</f>
        <v/>
      </c>
      <c r="IL36" s="1" t="str">
        <f ca="1">IFERROR(__xludf.DUMMYFUNCTION("if(IL$2="""","""", index(GOOGLEFINANCE($B$36,""close"",IL$2,TODAY()),2,2))"),"")</f>
        <v/>
      </c>
      <c r="IM36" s="1" t="str">
        <f ca="1">IFERROR(__xludf.DUMMYFUNCTION("if(IM$2="""","""", index(GOOGLEFINANCE($B$36,""close"",IM$2,TODAY()),2,2))"),"")</f>
        <v/>
      </c>
      <c r="IN36" s="1" t="str">
        <f ca="1">IFERROR(__xludf.DUMMYFUNCTION("if(IN$2="""","""", index(GOOGLEFINANCE($B$36,""close"",IN$2,TODAY()),2,2))"),"")</f>
        <v/>
      </c>
      <c r="IO36" s="1" t="str">
        <f ca="1">IFERROR(__xludf.DUMMYFUNCTION("if(IO$2="""","""", index(GOOGLEFINANCE($B$36,""close"",IO$2,TODAY()),2,2))"),"")</f>
        <v/>
      </c>
      <c r="IP36" s="1" t="str">
        <f ca="1">IFERROR(__xludf.DUMMYFUNCTION("if(IP$2="""","""", index(GOOGLEFINANCE($B$36,""close"",IP$2,TODAY()),2,2))"),"")</f>
        <v/>
      </c>
      <c r="IQ36" s="1" t="str">
        <f ca="1">IFERROR(__xludf.DUMMYFUNCTION("if(IQ$2="""","""", index(GOOGLEFINANCE($B$36,""close"",IQ$2,TODAY()),2,2))"),"")</f>
        <v/>
      </c>
      <c r="IR36" s="1" t="str">
        <f ca="1">IFERROR(__xludf.DUMMYFUNCTION("if(IR$2="""","""", index(GOOGLEFINANCE($B$36,""close"",IR$2,TODAY()),2,2))"),"")</f>
        <v/>
      </c>
      <c r="IS36" s="1" t="str">
        <f ca="1">IFERROR(__xludf.DUMMYFUNCTION("if(IS$2="""","""", index(GOOGLEFINANCE($B$36,""close"",IS$2,TODAY()),2,2))"),"")</f>
        <v/>
      </c>
      <c r="IT36" s="1" t="str">
        <f ca="1">IFERROR(__xludf.DUMMYFUNCTION("if(IT$2="""","""", index(GOOGLEFINANCE($B$36,""close"",IT$2,TODAY()),2,2))"),"")</f>
        <v/>
      </c>
      <c r="IU36" s="1" t="str">
        <f ca="1">IFERROR(__xludf.DUMMYFUNCTION("if(IU$2="""","""", index(GOOGLEFINANCE($B$36,""close"",IU$2,TODAY()),2,2))"),"")</f>
        <v/>
      </c>
      <c r="IV36" s="1" t="str">
        <f ca="1">IFERROR(__xludf.DUMMYFUNCTION("if(IV$2="""","""", index(GOOGLEFINANCE($B$36,""close"",IV$2,TODAY()),2,2))"),"")</f>
        <v/>
      </c>
      <c r="IW36" s="1" t="str">
        <f ca="1">IFERROR(__xludf.DUMMYFUNCTION("if(IW$2="""","""", index(GOOGLEFINANCE($B$36,""close"",IW$2,TODAY()),2,2))"),"")</f>
        <v/>
      </c>
      <c r="IX36" s="1" t="str">
        <f ca="1">IFERROR(__xludf.DUMMYFUNCTION("if(IX$2="""","""", index(GOOGLEFINANCE($B$36,""close"",IX$2,TODAY()),2,2))"),"")</f>
        <v/>
      </c>
      <c r="IY36" s="1" t="str">
        <f ca="1">IFERROR(__xludf.DUMMYFUNCTION("if(IY$2="""","""", index(GOOGLEFINANCE($B$36,""close"",IY$2,TODAY()),2,2))"),"")</f>
        <v/>
      </c>
      <c r="IZ36" s="1" t="str">
        <f ca="1">IFERROR(__xludf.DUMMYFUNCTION("if(IZ$2="""","""", index(GOOGLEFINANCE($B$36,""close"",IZ$2,TODAY()),2,2))"),"")</f>
        <v/>
      </c>
      <c r="JA36" s="1" t="str">
        <f ca="1">IFERROR(__xludf.DUMMYFUNCTION("if(JA$2="""","""", index(GOOGLEFINANCE($B$36,""close"",JA$2,TODAY()),2,2))"),"")</f>
        <v/>
      </c>
      <c r="JB36" s="1" t="str">
        <f ca="1">IFERROR(__xludf.DUMMYFUNCTION("if(JB$2="""","""", index(GOOGLEFINANCE($B$36,""close"",JB$2,TODAY()),2,2))"),"")</f>
        <v/>
      </c>
      <c r="JC36" s="1" t="str">
        <f ca="1">IFERROR(__xludf.DUMMYFUNCTION("if(JC$2="""","""", index(GOOGLEFINANCE($B$36,""close"",JC$2,TODAY()),2,2))"),"")</f>
        <v/>
      </c>
      <c r="JD36" s="1" t="str">
        <f ca="1">IFERROR(__xludf.DUMMYFUNCTION("if(JD$2="""","""", index(GOOGLEFINANCE($B$36,""close"",JD$2,TODAY()),2,2))"),"")</f>
        <v/>
      </c>
      <c r="JE36" s="1" t="str">
        <f ca="1">IFERROR(__xludf.DUMMYFUNCTION("if(JE$2="""","""", index(GOOGLEFINANCE($B$36,""close"",JE$2,TODAY()),2,2))"),"")</f>
        <v/>
      </c>
      <c r="JF36" s="1" t="str">
        <f ca="1">IFERROR(__xludf.DUMMYFUNCTION("if(JF$2="""","""", index(GOOGLEFINANCE($B$36,""close"",JF$2,TODAY()),2,2))"),"")</f>
        <v/>
      </c>
      <c r="JG36" s="1" t="str">
        <f ca="1">IFERROR(__xludf.DUMMYFUNCTION("if(JG$2="""","""", index(GOOGLEFINANCE($B$36,""close"",JG$2,TODAY()),2,2))"),"")</f>
        <v/>
      </c>
      <c r="JH36" s="1" t="str">
        <f ca="1">IFERROR(__xludf.DUMMYFUNCTION("if(JH$2="""","""", index(GOOGLEFINANCE($B$36,""close"",JH$2,TODAY()),2,2))"),"")</f>
        <v/>
      </c>
      <c r="JI36" s="1" t="str">
        <f ca="1">IFERROR(__xludf.DUMMYFUNCTION("if(JI$2="""","""", index(GOOGLEFINANCE($B$36,""close"",JI$2,TODAY()),2,2))"),"")</f>
        <v/>
      </c>
      <c r="JJ36" s="1" t="str">
        <f ca="1">IFERROR(__xludf.DUMMYFUNCTION("if(JJ$2="""","""", index(GOOGLEFINANCE($B$36,""close"",JJ$2,TODAY()),2,2))"),"")</f>
        <v/>
      </c>
      <c r="JK36" s="1" t="str">
        <f ca="1">IFERROR(__xludf.DUMMYFUNCTION("if(JK$2="""","""", index(GOOGLEFINANCE($B$36,""close"",JK$2,TODAY()),2,2))"),"")</f>
        <v/>
      </c>
      <c r="JL36" s="1" t="str">
        <f ca="1">IFERROR(__xludf.DUMMYFUNCTION("if(JL$2="""","""", index(GOOGLEFINANCE($B$36,""close"",JL$2,TODAY()),2,2))"),"")</f>
        <v/>
      </c>
      <c r="JM36" s="1" t="str">
        <f ca="1">IFERROR(__xludf.DUMMYFUNCTION("if(JM$2="""","""", index(GOOGLEFINANCE($B$36,""close"",JM$2,TODAY()),2,2))"),"")</f>
        <v/>
      </c>
      <c r="JN36" s="1" t="str">
        <f ca="1">IFERROR(__xludf.DUMMYFUNCTION("if(JN$2="""","""", index(GOOGLEFINANCE($B$36,""close"",JN$2,TODAY()),2,2))"),"")</f>
        <v/>
      </c>
      <c r="JO36" s="1" t="str">
        <f ca="1">IFERROR(__xludf.DUMMYFUNCTION("if(JO$2="""","""", index(GOOGLEFINANCE($B$36,""close"",JO$2,TODAY()),2,2))"),"")</f>
        <v/>
      </c>
      <c r="JP36" s="1" t="str">
        <f ca="1">IFERROR(__xludf.DUMMYFUNCTION("if(JP$2="""","""", index(GOOGLEFINANCE($B$36,""close"",JP$2,TODAY()),2,2))"),"")</f>
        <v/>
      </c>
      <c r="JQ36" s="1" t="str">
        <f ca="1">IFERROR(__xludf.DUMMYFUNCTION("if(JQ$2="""","""", index(GOOGLEFINANCE($B$36,""close"",JQ$2,TODAY()),2,2))"),"")</f>
        <v/>
      </c>
      <c r="JR36" s="1" t="str">
        <f ca="1">IFERROR(__xludf.DUMMYFUNCTION("if(JR$2="""","""", index(GOOGLEFINANCE($B$36,""close"",JR$2,TODAY()),2,2))"),"")</f>
        <v/>
      </c>
      <c r="JS36" s="1" t="str">
        <f ca="1">IFERROR(__xludf.DUMMYFUNCTION("if(JS$2="""","""", index(GOOGLEFINANCE($B$36,""close"",JS$2,TODAY()),2,2))"),"")</f>
        <v/>
      </c>
      <c r="JT36" s="1" t="str">
        <f ca="1">IFERROR(__xludf.DUMMYFUNCTION("if(JT$2="""","""", index(GOOGLEFINANCE($B$36,""close"",JT$2,TODAY()),2,2))"),"")</f>
        <v/>
      </c>
      <c r="JU36" s="1" t="str">
        <f ca="1">IFERROR(__xludf.DUMMYFUNCTION("if(JU$2="""","""", index(GOOGLEFINANCE($B$36,""close"",JU$2,TODAY()),2,2))"),"")</f>
        <v/>
      </c>
      <c r="JV36" s="1" t="str">
        <f ca="1">IFERROR(__xludf.DUMMYFUNCTION("if(JV$2="""","""", index(GOOGLEFINANCE($B$36,""close"",JV$2,TODAY()),2,2))"),"")</f>
        <v/>
      </c>
      <c r="JW36" s="1" t="str">
        <f ca="1">IFERROR(__xludf.DUMMYFUNCTION("if(JW$2="""","""", index(GOOGLEFINANCE($B$36,""close"",JW$2,TODAY()),2,2))"),"")</f>
        <v/>
      </c>
      <c r="JX36" s="1" t="str">
        <f ca="1">IFERROR(__xludf.DUMMYFUNCTION("if(JX$2="""","""", index(GOOGLEFINANCE($B$36,""close"",JX$2,TODAY()),2,2))"),"")</f>
        <v/>
      </c>
      <c r="JY36" s="1" t="str">
        <f ca="1">IFERROR(__xludf.DUMMYFUNCTION("if(JY$2="""","""", index(GOOGLEFINANCE($B$36,""close"",JY$2,TODAY()),2,2))"),"")</f>
        <v/>
      </c>
      <c r="JZ36" s="1" t="str">
        <f ca="1">IFERROR(__xludf.DUMMYFUNCTION("if(JZ$2="""","""", index(GOOGLEFINANCE($B$36,""close"",JZ$2,TODAY()),2,2))"),"")</f>
        <v/>
      </c>
      <c r="KA36" s="1" t="str">
        <f ca="1">IFERROR(__xludf.DUMMYFUNCTION("if(KA$2="""","""", index(GOOGLEFINANCE($B$36,""close"",KA$2,TODAY()),2,2))"),"")</f>
        <v/>
      </c>
      <c r="KB36" s="1" t="str">
        <f ca="1">IFERROR(__xludf.DUMMYFUNCTION("if(KB$2="""","""", index(GOOGLEFINANCE($B$36,""close"",KB$2,TODAY()),2,2))"),"")</f>
        <v/>
      </c>
      <c r="KC36" s="1" t="str">
        <f ca="1">IFERROR(__xludf.DUMMYFUNCTION("if(KC$2="""","""", index(GOOGLEFINANCE($B$36,""close"",KC$2,TODAY()),2,2))"),"")</f>
        <v/>
      </c>
      <c r="KD36" s="1" t="str">
        <f ca="1">IFERROR(__xludf.DUMMYFUNCTION("if(KD$2="""","""", index(GOOGLEFINANCE($B$36,""close"",KD$2,TODAY()),2,2))"),"")</f>
        <v/>
      </c>
      <c r="KE36" s="1" t="str">
        <f ca="1">IFERROR(__xludf.DUMMYFUNCTION("if(KE$2="""","""", index(GOOGLEFINANCE($B$36,""close"",KE$2,TODAY()),2,2))"),"")</f>
        <v/>
      </c>
      <c r="KF36" s="1" t="str">
        <f ca="1">IFERROR(__xludf.DUMMYFUNCTION("if(KF$2="""","""", index(GOOGLEFINANCE($B$36,""close"",KF$2,TODAY()),2,2))"),"")</f>
        <v/>
      </c>
      <c r="KG36" s="1" t="str">
        <f ca="1">IFERROR(__xludf.DUMMYFUNCTION("if(KG$2="""","""", index(GOOGLEFINANCE($B$36,""close"",KG$2,TODAY()),2,2))"),"")</f>
        <v/>
      </c>
    </row>
    <row r="37" spans="1:293" ht="15.75" customHeight="1">
      <c r="A37" s="18" t="s">
        <v>30</v>
      </c>
      <c r="B37" s="6" t="s">
        <v>80</v>
      </c>
      <c r="C37" s="1">
        <f ca="1">IFERROR(__xludf.DUMMYFUNCTION("if(C$2="""","""", index(GOOGLEFINANCE($B$37,""close"",C$2,TODAY()),2,2))"),50.69)</f>
        <v>50.69</v>
      </c>
      <c r="D37" s="1">
        <f ca="1">IFERROR(__xludf.DUMMYFUNCTION("if(D$2="""","""", index(GOOGLEFINANCE($B$37,""close"",D$2,TODAY()),2,2))"),49.71)</f>
        <v>49.71</v>
      </c>
      <c r="E37" s="1">
        <f ca="1">IFERROR(__xludf.DUMMYFUNCTION("if(E$2="""","""", index(GOOGLEFINANCE($B$37,""close"",E$2,TODAY()),2,2))"),49.72)</f>
        <v>49.72</v>
      </c>
      <c r="F37" s="1">
        <f ca="1">IFERROR(__xludf.DUMMYFUNCTION("if(F$2="""","""", index(GOOGLEFINANCE($B$37,""close"",F$2,TODAY()),2,2))"),49.6)</f>
        <v>49.6</v>
      </c>
      <c r="G37" s="1">
        <f ca="1">IFERROR(__xludf.DUMMYFUNCTION("if(G$2="""","""", index(GOOGLEFINANCE($B$37,""close"",G$2,TODAY()),2,2))"),50.19)</f>
        <v>50.19</v>
      </c>
      <c r="H37" s="1">
        <f ca="1">IFERROR(__xludf.DUMMYFUNCTION("if(H$2="""","""", index(GOOGLEFINANCE($B$37,""close"",H$2,TODAY()),2,2))"),51.5)</f>
        <v>51.5</v>
      </c>
      <c r="I37" s="1">
        <f ca="1">IFERROR(__xludf.DUMMYFUNCTION("if(I$2="""","""", index(GOOGLEFINANCE($B$37,""close"",I$2,TODAY()),2,2))"),51.41)</f>
        <v>51.41</v>
      </c>
      <c r="J37" s="1">
        <f ca="1">IFERROR(__xludf.DUMMYFUNCTION("if(J$2="""","""", index(GOOGLEFINANCE($B$37,""close"",J$2,TODAY()),2,2))"),51.51)</f>
        <v>51.51</v>
      </c>
      <c r="K37" s="1">
        <f ca="1">IFERROR(__xludf.DUMMYFUNCTION("if(K$2="""","""", index(GOOGLEFINANCE($B$37,""close"",K$2,TODAY()),2,2))"),50.73)</f>
        <v>50.73</v>
      </c>
      <c r="L37" s="1">
        <f ca="1">IFERROR(__xludf.DUMMYFUNCTION("if(L$2="""","""", index(GOOGLEFINANCE($B$37,""close"",L$2,TODAY()),2,2))"),51.93)</f>
        <v>51.93</v>
      </c>
      <c r="M37" s="1">
        <f ca="1">IFERROR(__xludf.DUMMYFUNCTION("if(M$2="""","""", index(GOOGLEFINANCE($B$37,""close"",M$2,TODAY()),2,2))"),52.17)</f>
        <v>52.17</v>
      </c>
      <c r="N37" s="1">
        <f ca="1">IFERROR(__xludf.DUMMYFUNCTION("if(N$2="""","""", index(GOOGLEFINANCE($B$37,""close"",N$2,TODAY()),2,2))"),52.08)</f>
        <v>52.08</v>
      </c>
      <c r="O37" s="1">
        <f ca="1">IFERROR(__xludf.DUMMYFUNCTION("if(O$2="""","""", index(GOOGLEFINANCE($B$37,""close"",O$2,TODAY()),2,2))"),52.09)</f>
        <v>52.09</v>
      </c>
      <c r="P37" s="1">
        <f ca="1">IFERROR(__xludf.DUMMYFUNCTION("if(P$2="""","""", index(GOOGLEFINANCE($B$37,""close"",P$2,TODAY()),2,2))"),51.24)</f>
        <v>51.24</v>
      </c>
      <c r="Q37" s="1">
        <f ca="1">IFERROR(__xludf.DUMMYFUNCTION("if(Q$2="""","""", index(GOOGLEFINANCE($B$37,""close"",Q$2,TODAY()),2,2))"),50.84)</f>
        <v>50.84</v>
      </c>
      <c r="R37" s="1">
        <f ca="1">IFERROR(__xludf.DUMMYFUNCTION("if(R$2="""","""", index(GOOGLEFINANCE($B$37,""close"",R$2,TODAY()),2,2))"),51.4)</f>
        <v>51.4</v>
      </c>
      <c r="S37" s="1">
        <f ca="1">IFERROR(__xludf.DUMMYFUNCTION("if(S$2="""","""", index(GOOGLEFINANCE($B$37,""close"",S$2,TODAY()),2,2))"),51.32)</f>
        <v>51.32</v>
      </c>
      <c r="T37" s="1">
        <f ca="1">IFERROR(__xludf.DUMMYFUNCTION("if(T$2="""","""", index(GOOGLEFINANCE($B$37,""close"",T$2,TODAY()),2,2))"),52.86)</f>
        <v>52.86</v>
      </c>
      <c r="U37" s="1">
        <f ca="1">IFERROR(__xludf.DUMMYFUNCTION("if(U$2="""","""", index(GOOGLEFINANCE($B$37,""close"",U$2,TODAY()),2,2))"),52.74)</f>
        <v>52.74</v>
      </c>
      <c r="V37" s="1">
        <f ca="1">IFERROR(__xludf.DUMMYFUNCTION("if(V$2="""","""", index(GOOGLEFINANCE($B$37,""close"",V$2,TODAY()),2,2))"),52)</f>
        <v>52</v>
      </c>
      <c r="W37" s="1">
        <f ca="1">IFERROR(__xludf.DUMMYFUNCTION("if(W$2="""","""", index(GOOGLEFINANCE($B$37,""close"",W$2,TODAY()),2,2))"),51.63)</f>
        <v>51.63</v>
      </c>
      <c r="X37" s="1">
        <f ca="1">IFERROR(__xludf.DUMMYFUNCTION("if(X$2="""","""", index(GOOGLEFINANCE($B$37,""close"",X$2,TODAY()),2,2))"),52.54)</f>
        <v>52.54</v>
      </c>
      <c r="Y37" s="1">
        <f ca="1">IFERROR(__xludf.DUMMYFUNCTION("if(Y$2="""","""", index(GOOGLEFINANCE($B$37,""close"",Y$2,TODAY()),2,2))"),52.46)</f>
        <v>52.46</v>
      </c>
      <c r="Z37" s="1">
        <f ca="1">IFERROR(__xludf.DUMMYFUNCTION("if(Z$2="""","""", index(GOOGLEFINANCE($B$37,""close"",Z$2,TODAY()),2,2))"),52.08)</f>
        <v>52.08</v>
      </c>
      <c r="AA37" s="1">
        <f ca="1">IFERROR(__xludf.DUMMYFUNCTION("if(AA$2="""","""", index(GOOGLEFINANCE($B$37,""close"",AA$2,TODAY()),2,2))"),53.05)</f>
        <v>53.05</v>
      </c>
      <c r="AB37" s="1">
        <f ca="1">IFERROR(__xludf.DUMMYFUNCTION("if(AB$2="""","""", index(GOOGLEFINANCE($B$37,""close"",AB$2,TODAY()),2,2))"),53.61)</f>
        <v>53.61</v>
      </c>
      <c r="AC37" s="1">
        <f ca="1">IFERROR(__xludf.DUMMYFUNCTION("if(AC$2="""","""", index(GOOGLEFINANCE($B$37,""close"",AC$2,TODAY()),2,2))"),53.65)</f>
        <v>53.65</v>
      </c>
      <c r="AD37" s="1">
        <f ca="1">IFERROR(__xludf.DUMMYFUNCTION("if(AD$2="""","""", index(GOOGLEFINANCE($B$37,""close"",AD$2,TODAY()),2,2))"),52.93)</f>
        <v>52.93</v>
      </c>
      <c r="AE37" s="1">
        <f ca="1">IFERROR(__xludf.DUMMYFUNCTION("if(AE$2="""","""", index(GOOGLEFINANCE($B$37,""close"",AE$2,TODAY()),2,2))"),52.74)</f>
        <v>52.74</v>
      </c>
      <c r="AF37" s="1">
        <f ca="1">IFERROR(__xludf.DUMMYFUNCTION("if(AF$2="""","""", index(GOOGLEFINANCE($B$37,""close"",AF$2,TODAY()),2,2))"),52.25)</f>
        <v>52.25</v>
      </c>
      <c r="AG37" s="1">
        <f ca="1">IFERROR(__xludf.DUMMYFUNCTION("if(AG$2="""","""", index(GOOGLEFINANCE($B$37,""close"",AG$2,TODAY()),2,2))"),53.02)</f>
        <v>53.02</v>
      </c>
      <c r="AH37" s="1">
        <f ca="1">IFERROR(__xludf.DUMMYFUNCTION("if(AH$2="""","""", index(GOOGLEFINANCE($B$37,""close"",AH$2,TODAY()),2,2))"),53.53)</f>
        <v>53.53</v>
      </c>
      <c r="AI37" s="1">
        <f ca="1">IFERROR(__xludf.DUMMYFUNCTION("if(AI$2="""","""", index(GOOGLEFINANCE($B$37,""close"",AI$2,TODAY()),2,2))"),52.87)</f>
        <v>52.87</v>
      </c>
      <c r="AJ37" s="1">
        <f ca="1">IFERROR(__xludf.DUMMYFUNCTION("if(AJ$2="""","""", index(GOOGLEFINANCE($B$37,""close"",AJ$2,TODAY()),2,2))"),52.5)</f>
        <v>52.5</v>
      </c>
      <c r="AK37" s="1">
        <f ca="1">IFERROR(__xludf.DUMMYFUNCTION("if(AK$2="""","""", index(GOOGLEFINANCE($B$37,""close"",AK$2,TODAY()),2,2))"),52.08)</f>
        <v>52.08</v>
      </c>
      <c r="AL37" s="1">
        <f ca="1">IFERROR(__xludf.DUMMYFUNCTION("if(AL$2="""","""", index(GOOGLEFINANCE($B$37,""close"",AL$2,TODAY()),2,2))"),52.52)</f>
        <v>52.52</v>
      </c>
      <c r="AM37" s="1">
        <f ca="1">IFERROR(__xludf.DUMMYFUNCTION("if(AM$2="""","""", index(GOOGLEFINANCE($B$37,""close"",AM$2,TODAY()),2,2))"),51.23)</f>
        <v>51.23</v>
      </c>
      <c r="AN37" s="1">
        <f ca="1">IFERROR(__xludf.DUMMYFUNCTION("if(AN$2="""","""", index(GOOGLEFINANCE($B$37,""close"",AN$2,TODAY()),2,2))"),53.05)</f>
        <v>53.05</v>
      </c>
      <c r="AO37" s="1">
        <f ca="1">IFERROR(__xludf.DUMMYFUNCTION("if(AO$2="""","""", index(GOOGLEFINANCE($B$37,""close"",AO$2,TODAY()),2,2))"),52.45)</f>
        <v>52.45</v>
      </c>
      <c r="AP37" s="1">
        <f ca="1">IFERROR(__xludf.DUMMYFUNCTION("if(AP$2="""","""", index(GOOGLEFINANCE($B$37,""close"",AP$2,TODAY()),2,2))"),51.06)</f>
        <v>51.06</v>
      </c>
      <c r="AQ37" s="1">
        <f ca="1">IFERROR(__xludf.DUMMYFUNCTION("if(AQ$2="""","""", index(GOOGLEFINANCE($B$37,""close"",AQ$2,TODAY()),2,2))"),51.06)</f>
        <v>51.06</v>
      </c>
      <c r="AR37" s="1">
        <f ca="1">IFERROR(__xludf.DUMMYFUNCTION("if(AR$2="""","""", index(GOOGLEFINANCE($B$37,""close"",AR$2,TODAY()),2,2))"),50.18)</f>
        <v>50.18</v>
      </c>
      <c r="AS37" s="1">
        <f ca="1">IFERROR(__xludf.DUMMYFUNCTION("if(AS$2="""","""", index(GOOGLEFINANCE($B$37,""close"",AS$2,TODAY()),2,2))"),48.48)</f>
        <v>48.48</v>
      </c>
      <c r="AT37" s="1">
        <f ca="1">IFERROR(__xludf.DUMMYFUNCTION("if(AT$2="""","""", index(GOOGLEFINANCE($B$37,""close"",AT$2,TODAY()),2,2))"),48.59)</f>
        <v>48.59</v>
      </c>
      <c r="AU37" s="1">
        <f ca="1">IFERROR(__xludf.DUMMYFUNCTION("if(AU$2="""","""", index(GOOGLEFINANCE($B$37,""close"",AU$2,TODAY()),2,2))"),50.2)</f>
        <v>50.2</v>
      </c>
      <c r="AV37" s="1">
        <f ca="1">IFERROR(__xludf.DUMMYFUNCTION("if(AV$2="""","""", index(GOOGLEFINANCE($B$37,""close"",AV$2,TODAY()),2,2))"),51.93)</f>
        <v>51.93</v>
      </c>
      <c r="AW37" s="1">
        <f ca="1">IFERROR(__xludf.DUMMYFUNCTION("if(AW$2="""","""", index(GOOGLEFINANCE($B$37,""close"",AW$2,TODAY()),2,2))"),51.4)</f>
        <v>51.4</v>
      </c>
      <c r="AX37" s="1">
        <f ca="1">IFERROR(__xludf.DUMMYFUNCTION("if(AX$2="""","""", index(GOOGLEFINANCE($B$37,""close"",AX$2,TODAY()),2,2))"),50.71)</f>
        <v>50.71</v>
      </c>
      <c r="AY37" s="1">
        <f ca="1">IFERROR(__xludf.DUMMYFUNCTION("if(AY$2="""","""", index(GOOGLEFINANCE($B$37,""close"",AY$2,TODAY()),2,2))"),50.33)</f>
        <v>50.33</v>
      </c>
      <c r="AZ37" s="1">
        <f ca="1">IFERROR(__xludf.DUMMYFUNCTION("if(AZ$2="""","""", index(GOOGLEFINANCE($B$37,""close"",AZ$2,TODAY()),2,2))"),51.83)</f>
        <v>51.83</v>
      </c>
      <c r="BA37" s="1">
        <f ca="1">IFERROR(__xludf.DUMMYFUNCTION("if(BA$2="""","""", index(GOOGLEFINANCE($B$37,""close"",BA$2,TODAY()),2,2))"),51.9)</f>
        <v>51.9</v>
      </c>
      <c r="BB37" s="1">
        <f ca="1">IFERROR(__xludf.DUMMYFUNCTION("if(BB$2="""","""", index(GOOGLEFINANCE($B$37,""close"",BB$2,TODAY()),2,2))"),52.6)</f>
        <v>52.6</v>
      </c>
      <c r="BC37" s="1">
        <f ca="1">IFERROR(__xludf.DUMMYFUNCTION("if(BC$2="""","""", index(GOOGLEFINANCE($B$37,""close"",BC$2,TODAY()),2,2))"),52.09)</f>
        <v>52.09</v>
      </c>
      <c r="BD37" s="1">
        <f ca="1">IFERROR(__xludf.DUMMYFUNCTION("if(BD$2="""","""", index(GOOGLEFINANCE($B$37,""close"",BD$2,TODAY()),2,2))"),50.95)</f>
        <v>50.95</v>
      </c>
      <c r="BE37" s="1">
        <f ca="1">IFERROR(__xludf.DUMMYFUNCTION("if(BE$2="""","""", index(GOOGLEFINANCE($B$37,""close"",BE$2,TODAY()),2,2))"),51.71)</f>
        <v>51.71</v>
      </c>
      <c r="BF37" s="1">
        <f ca="1">IFERROR(__xludf.DUMMYFUNCTION("if(BF$2="""","""", index(GOOGLEFINANCE($B$37,""close"",BF$2,TODAY()),2,2))"),51.59)</f>
        <v>51.59</v>
      </c>
      <c r="BG37" s="1">
        <f ca="1">IFERROR(__xludf.DUMMYFUNCTION("if(BG$2="""","""", index(GOOGLEFINANCE($B$37,""close"",BG$2,TODAY()),2,2))"),51.19)</f>
        <v>51.19</v>
      </c>
      <c r="BH37" s="1">
        <f ca="1">IFERROR(__xludf.DUMMYFUNCTION("if(BH$2="""","""", index(GOOGLEFINANCE($B$37,""close"",BH$2,TODAY()),2,2))"),51.53)</f>
        <v>51.53</v>
      </c>
      <c r="BI37" s="1">
        <f ca="1">IFERROR(__xludf.DUMMYFUNCTION("if(BI$2="""","""", index(GOOGLEFINANCE($B$37,""close"",BI$2,TODAY()),2,2))"),51.83)</f>
        <v>51.83</v>
      </c>
      <c r="BJ37" s="1">
        <f ca="1">IFERROR(__xludf.DUMMYFUNCTION("if(BJ$2="""","""", index(GOOGLEFINANCE($B$37,""close"",BJ$2,TODAY()),2,2))"),51.42)</f>
        <v>51.42</v>
      </c>
      <c r="BK37" s="1">
        <f ca="1">IFERROR(__xludf.DUMMYFUNCTION("if(BK$2="""","""", index(GOOGLEFINANCE($B$37,""close"",BK$2,TODAY()),2,2))"),51.6)</f>
        <v>51.6</v>
      </c>
      <c r="BL37" s="1">
        <f ca="1">IFERROR(__xludf.DUMMYFUNCTION("if(BL$2="""","""", index(GOOGLEFINANCE($B$37,""close"",BL$2,TODAY()),2,2))"),51.34)</f>
        <v>51.34</v>
      </c>
      <c r="BM37" s="1">
        <f ca="1">IFERROR(__xludf.DUMMYFUNCTION("if(BM$2="""","""", index(GOOGLEFINANCE($B$37,""close"",BM$2,TODAY()),2,2))"),52.2)</f>
        <v>52.2</v>
      </c>
      <c r="BN37" s="1">
        <f ca="1">IFERROR(__xludf.DUMMYFUNCTION("if(BN$2="""","""", index(GOOGLEFINANCE($B$37,""close"",BN$2,TODAY()),2,2))"),52.55)</f>
        <v>52.55</v>
      </c>
      <c r="BO37" s="1">
        <f ca="1">IFERROR(__xludf.DUMMYFUNCTION("if(BO$2="""","""", index(GOOGLEFINANCE($B$37,""close"",BO$2,TODAY()),2,2))"),52.9)</f>
        <v>52.9</v>
      </c>
      <c r="BP37" s="1">
        <f ca="1">IFERROR(__xludf.DUMMYFUNCTION("if(BP$2="""","""", index(GOOGLEFINANCE($B$37,""close"",BP$2,TODAY()),2,2))"),54.14)</f>
        <v>54.14</v>
      </c>
      <c r="BQ37" s="1">
        <f ca="1">IFERROR(__xludf.DUMMYFUNCTION("if(BQ$2="""","""", index(GOOGLEFINANCE($B$37,""close"",BQ$2,TODAY()),2,2))"),55.52)</f>
        <v>55.52</v>
      </c>
      <c r="BR37" s="1">
        <f ca="1">IFERROR(__xludf.DUMMYFUNCTION("if(BR$2="""","""", index(GOOGLEFINANCE($B$37,""close"",BR$2,TODAY()),2,2))"),56.75)</f>
        <v>56.75</v>
      </c>
      <c r="BS37" s="1">
        <f ca="1">IFERROR(__xludf.DUMMYFUNCTION("if(BS$2="""","""", index(GOOGLEFINANCE($B$37,""close"",BS$2,TODAY()),2,2))"),57.46)</f>
        <v>57.46</v>
      </c>
      <c r="BT37" s="1">
        <f ca="1">IFERROR(__xludf.DUMMYFUNCTION("if(BT$2="""","""", index(GOOGLEFINANCE($B$37,""close"",BT$2,TODAY()),2,2))"),55.72)</f>
        <v>55.72</v>
      </c>
      <c r="BU37" s="1">
        <f ca="1">IFERROR(__xludf.DUMMYFUNCTION("if(BU$2="""","""", index(GOOGLEFINANCE($B$37,""close"",BU$2,TODAY()),2,2))"),56.7)</f>
        <v>56.7</v>
      </c>
      <c r="BV37" s="1">
        <f ca="1">IFERROR(__xludf.DUMMYFUNCTION("if(BV$2="""","""", index(GOOGLEFINANCE($B$37,""close"",BV$2,TODAY()),2,2))"),55.75)</f>
        <v>55.75</v>
      </c>
      <c r="BW37" s="1">
        <f ca="1">IFERROR(__xludf.DUMMYFUNCTION("if(BW$2="""","""", index(GOOGLEFINANCE($B$37,""close"",BW$2,TODAY()),2,2))"),55.19)</f>
        <v>55.19</v>
      </c>
      <c r="BX37" s="1">
        <f ca="1">IFERROR(__xludf.DUMMYFUNCTION("if(BX$2="""","""", index(GOOGLEFINANCE($B$37,""close"",BX$2,TODAY()),2,2))"),55.2)</f>
        <v>55.2</v>
      </c>
      <c r="BY37" s="1">
        <f ca="1">IFERROR(__xludf.DUMMYFUNCTION("if(BY$2="""","""", index(GOOGLEFINANCE($B$37,""close"",BY$2,TODAY()),2,2))"),55.85)</f>
        <v>55.85</v>
      </c>
      <c r="BZ37" s="1">
        <f ca="1">IFERROR(__xludf.DUMMYFUNCTION("if(BZ$2="""","""", index(GOOGLEFINANCE($B$37,""close"",BZ$2,TODAY()),2,2))"),55.23)</f>
        <v>55.23</v>
      </c>
      <c r="CA37" s="1">
        <f ca="1">IFERROR(__xludf.DUMMYFUNCTION("if(CA$2="""","""", index(GOOGLEFINANCE($B$37,""close"",CA$2,TODAY()),2,2))"),54.24)</f>
        <v>54.24</v>
      </c>
      <c r="CB37" s="1">
        <f ca="1">IFERROR(__xludf.DUMMYFUNCTION("if(CB$2="""","""", index(GOOGLEFINANCE($B$37,""close"",CB$2,TODAY()),2,2))"),54.54)</f>
        <v>54.54</v>
      </c>
      <c r="CC37" s="1">
        <f ca="1">IFERROR(__xludf.DUMMYFUNCTION("if(CC$2="""","""", index(GOOGLEFINANCE($B$37,""close"",CC$2,TODAY()),2,2))"),53.91)</f>
        <v>53.91</v>
      </c>
      <c r="CD37" s="1">
        <f ca="1">IFERROR(__xludf.DUMMYFUNCTION("if(CD$2="""","""", index(GOOGLEFINANCE($B$37,""close"",CD$2,TODAY()),2,2))"),54.34)</f>
        <v>54.34</v>
      </c>
      <c r="CE37" s="1">
        <f ca="1">IFERROR(__xludf.DUMMYFUNCTION("if(CE$2="""","""", index(GOOGLEFINANCE($B$37,""close"",CE$2,TODAY()),2,2))"),54.41)</f>
        <v>54.41</v>
      </c>
      <c r="CF37" s="1">
        <f ca="1">IFERROR(__xludf.DUMMYFUNCTION("if(CF$2="""","""", index(GOOGLEFINANCE($B$37,""close"",CF$2,TODAY()),2,2))"),52.25)</f>
        <v>52.25</v>
      </c>
      <c r="CG37" s="1">
        <f ca="1">IFERROR(__xludf.DUMMYFUNCTION("if(CG$2="""","""", index(GOOGLEFINANCE($B$37,""close"",CG$2,TODAY()),2,2))"),53.06)</f>
        <v>53.06</v>
      </c>
      <c r="CH37" s="1">
        <f ca="1">IFERROR(__xludf.DUMMYFUNCTION("if(CH$2="""","""", index(GOOGLEFINANCE($B$37,""close"",CH$2,TODAY()),2,2))"),53.42)</f>
        <v>53.42</v>
      </c>
      <c r="CI37" s="1">
        <f ca="1">IFERROR(__xludf.DUMMYFUNCTION("if(CI$2="""","""", index(GOOGLEFINANCE($B$37,""close"",CI$2,TODAY()),2,2))"),52.49)</f>
        <v>52.49</v>
      </c>
      <c r="CJ37" s="1" t="str">
        <f ca="1">IFERROR(__xludf.DUMMYFUNCTION("if(CJ$2="""","""", index(GOOGLEFINANCE($B$37,""close"",CJ$2,TODAY()),2,2))"),"")</f>
        <v/>
      </c>
      <c r="CK37" s="1" t="str">
        <f ca="1">IFERROR(__xludf.DUMMYFUNCTION("if(CK$2="""","""", index(GOOGLEFINANCE($B$37,""close"",CK$2,TODAY()),2,2))"),"")</f>
        <v/>
      </c>
      <c r="CL37" s="1" t="str">
        <f ca="1">IFERROR(__xludf.DUMMYFUNCTION("if(CL$2="""","""", index(GOOGLEFINANCE($B$37,""close"",CL$2,TODAY()),2,2))"),"")</f>
        <v/>
      </c>
      <c r="CM37" s="1" t="str">
        <f ca="1">IFERROR(__xludf.DUMMYFUNCTION("if(CM$2="""","""", index(GOOGLEFINANCE($B$37,""close"",CM$2,TODAY()),2,2))"),"")</f>
        <v/>
      </c>
      <c r="CN37" s="1" t="str">
        <f ca="1">IFERROR(__xludf.DUMMYFUNCTION("if(CN$2="""","""", index(GOOGLEFINANCE($B$37,""close"",CN$2,TODAY()),2,2))"),"")</f>
        <v/>
      </c>
      <c r="CO37" s="1" t="str">
        <f ca="1">IFERROR(__xludf.DUMMYFUNCTION("if(CO$2="""","""", index(GOOGLEFINANCE($B$37,""close"",CO$2,TODAY()),2,2))"),"")</f>
        <v/>
      </c>
      <c r="CP37" s="1" t="str">
        <f ca="1">IFERROR(__xludf.DUMMYFUNCTION("if(CP$2="""","""", index(GOOGLEFINANCE($B$37,""close"",CP$2,TODAY()),2,2))"),"")</f>
        <v/>
      </c>
      <c r="CQ37" s="1" t="str">
        <f ca="1">IFERROR(__xludf.DUMMYFUNCTION("if(CQ$2="""","""", index(GOOGLEFINANCE($B$37,""close"",CQ$2,TODAY()),2,2))"),"")</f>
        <v/>
      </c>
      <c r="CR37" s="1" t="str">
        <f ca="1">IFERROR(__xludf.DUMMYFUNCTION("if(CR$2="""","""", index(GOOGLEFINANCE($B$37,""close"",CR$2,TODAY()),2,2))"),"")</f>
        <v/>
      </c>
      <c r="CS37" s="1" t="str">
        <f ca="1">IFERROR(__xludf.DUMMYFUNCTION("if(CS$2="""","""", index(GOOGLEFINANCE($B$37,""close"",CS$2,TODAY()),2,2))"),"")</f>
        <v/>
      </c>
      <c r="CT37" s="1" t="str">
        <f ca="1">IFERROR(__xludf.DUMMYFUNCTION("if(CT$2="""","""", index(GOOGLEFINANCE($B$37,""close"",CT$2,TODAY()),2,2))"),"")</f>
        <v/>
      </c>
      <c r="CU37" s="1" t="str">
        <f ca="1">IFERROR(__xludf.DUMMYFUNCTION("if(CU$2="""","""", index(GOOGLEFINANCE($B$37,""close"",CU$2,TODAY()),2,2))"),"")</f>
        <v/>
      </c>
      <c r="CV37" s="1" t="str">
        <f ca="1">IFERROR(__xludf.DUMMYFUNCTION("if(CV$2="""","""", index(GOOGLEFINANCE($B$37,""close"",CV$2,TODAY()),2,2))"),"")</f>
        <v/>
      </c>
      <c r="CW37" s="1" t="str">
        <f ca="1">IFERROR(__xludf.DUMMYFUNCTION("if(CW$2="""","""", index(GOOGLEFINANCE($B$37,""close"",CW$2,TODAY()),2,2))"),"")</f>
        <v/>
      </c>
      <c r="CX37" s="1" t="str">
        <f ca="1">IFERROR(__xludf.DUMMYFUNCTION("if(CX$2="""","""", index(GOOGLEFINANCE($B$37,""close"",CX$2,TODAY()),2,2))"),"")</f>
        <v/>
      </c>
      <c r="CY37" s="1" t="str">
        <f ca="1">IFERROR(__xludf.DUMMYFUNCTION("if(CY$2="""","""", index(GOOGLEFINANCE($B$37,""close"",CY$2,TODAY()),2,2))"),"")</f>
        <v/>
      </c>
      <c r="CZ37" s="1" t="str">
        <f ca="1">IFERROR(__xludf.DUMMYFUNCTION("if(CZ$2="""","""", index(GOOGLEFINANCE($B$37,""close"",CZ$2,TODAY()),2,2))"),"")</f>
        <v/>
      </c>
      <c r="DA37" s="1" t="str">
        <f ca="1">IFERROR(__xludf.DUMMYFUNCTION("if(DA$2="""","""", index(GOOGLEFINANCE($B$37,""close"",DA$2,TODAY()),2,2))"),"")</f>
        <v/>
      </c>
      <c r="DB37" s="1" t="str">
        <f ca="1">IFERROR(__xludf.DUMMYFUNCTION("if(DB$2="""","""", index(GOOGLEFINANCE($B$37,""close"",DB$2,TODAY()),2,2))"),"")</f>
        <v/>
      </c>
      <c r="DC37" s="1" t="str">
        <f ca="1">IFERROR(__xludf.DUMMYFUNCTION("if(DC$2="""","""", index(GOOGLEFINANCE($B$37,""close"",DC$2,TODAY()),2,2))"),"")</f>
        <v/>
      </c>
      <c r="DD37" s="1" t="str">
        <f ca="1">IFERROR(__xludf.DUMMYFUNCTION("if(DD$2="""","""", index(GOOGLEFINANCE($B$37,""close"",DD$2,TODAY()),2,2))"),"")</f>
        <v/>
      </c>
      <c r="DE37" s="1" t="str">
        <f ca="1">IFERROR(__xludf.DUMMYFUNCTION("if(DE$2="""","""", index(GOOGLEFINANCE($B$37,""close"",DE$2,TODAY()),2,2))"),"")</f>
        <v/>
      </c>
      <c r="DF37" s="1" t="str">
        <f ca="1">IFERROR(__xludf.DUMMYFUNCTION("if(DF$2="""","""", index(GOOGLEFINANCE($B$37,""close"",DF$2,TODAY()),2,2))"),"")</f>
        <v/>
      </c>
      <c r="DG37" s="1" t="str">
        <f ca="1">IFERROR(__xludf.DUMMYFUNCTION("if(DG$2="""","""", index(GOOGLEFINANCE($B$37,""close"",DG$2,TODAY()),2,2))"),"")</f>
        <v/>
      </c>
      <c r="DH37" s="1" t="str">
        <f ca="1">IFERROR(__xludf.DUMMYFUNCTION("if(DH$2="""","""", index(GOOGLEFINANCE($B$37,""close"",DH$2,TODAY()),2,2))"),"")</f>
        <v/>
      </c>
      <c r="DI37" s="1" t="str">
        <f ca="1">IFERROR(__xludf.DUMMYFUNCTION("if(DI$2="""","""", index(GOOGLEFINANCE($B$37,""close"",DI$2,TODAY()),2,2))"),"")</f>
        <v/>
      </c>
      <c r="DJ37" s="1" t="str">
        <f ca="1">IFERROR(__xludf.DUMMYFUNCTION("if(DJ$2="""","""", index(GOOGLEFINANCE($B$37,""close"",DJ$2,TODAY()),2,2))"),"")</f>
        <v/>
      </c>
      <c r="DK37" s="1" t="str">
        <f ca="1">IFERROR(__xludf.DUMMYFUNCTION("if(DK$2="""","""", index(GOOGLEFINANCE($B$37,""close"",DK$2,TODAY()),2,2))"),"")</f>
        <v/>
      </c>
      <c r="DL37" s="1" t="str">
        <f ca="1">IFERROR(__xludf.DUMMYFUNCTION("if(DL$2="""","""", index(GOOGLEFINANCE($B$37,""close"",DL$2,TODAY()),2,2))"),"")</f>
        <v/>
      </c>
      <c r="DM37" s="1" t="str">
        <f ca="1">IFERROR(__xludf.DUMMYFUNCTION("if(DM$2="""","""", index(GOOGLEFINANCE($B$37,""close"",DM$2,TODAY()),2,2))"),"")</f>
        <v/>
      </c>
      <c r="DN37" s="1" t="str">
        <f ca="1">IFERROR(__xludf.DUMMYFUNCTION("if(DN$2="""","""", index(GOOGLEFINANCE($B$37,""close"",DN$2,TODAY()),2,2))"),"")</f>
        <v/>
      </c>
      <c r="DO37" s="1" t="str">
        <f ca="1">IFERROR(__xludf.DUMMYFUNCTION("if(DO$2="""","""", index(GOOGLEFINANCE($B$37,""close"",DO$2,TODAY()),2,2))"),"")</f>
        <v/>
      </c>
      <c r="DP37" s="1" t="str">
        <f ca="1">IFERROR(__xludf.DUMMYFUNCTION("if(DP$2="""","""", index(GOOGLEFINANCE($B$37,""close"",DP$2,TODAY()),2,2))"),"")</f>
        <v/>
      </c>
      <c r="DQ37" s="1" t="str">
        <f ca="1">IFERROR(__xludf.DUMMYFUNCTION("if(DQ$2="""","""", index(GOOGLEFINANCE($B$37,""close"",DQ$2,TODAY()),2,2))"),"")</f>
        <v/>
      </c>
      <c r="DR37" s="1" t="str">
        <f ca="1">IFERROR(__xludf.DUMMYFUNCTION("if(DR$2="""","""", index(GOOGLEFINANCE($B$37,""close"",DR$2,TODAY()),2,2))"),"")</f>
        <v/>
      </c>
      <c r="DS37" s="1" t="str">
        <f ca="1">IFERROR(__xludf.DUMMYFUNCTION("if(DS$2="""","""", index(GOOGLEFINANCE($B$37,""close"",DS$2,TODAY()),2,2))"),"")</f>
        <v/>
      </c>
      <c r="DT37" s="1" t="str">
        <f ca="1">IFERROR(__xludf.DUMMYFUNCTION("if(DT$2="""","""", index(GOOGLEFINANCE($B$37,""close"",DT$2,TODAY()),2,2))"),"")</f>
        <v/>
      </c>
      <c r="DU37" s="1" t="str">
        <f ca="1">IFERROR(__xludf.DUMMYFUNCTION("if(DU$2="""","""", index(GOOGLEFINANCE($B$37,""close"",DU$2,TODAY()),2,2))"),"")</f>
        <v/>
      </c>
      <c r="DV37" s="1" t="str">
        <f ca="1">IFERROR(__xludf.DUMMYFUNCTION("if(DV$2="""","""", index(GOOGLEFINANCE($B$37,""close"",DV$2,TODAY()),2,2))"),"")</f>
        <v/>
      </c>
      <c r="DW37" s="1" t="str">
        <f ca="1">IFERROR(__xludf.DUMMYFUNCTION("if(DW$2="""","""", index(GOOGLEFINANCE($B$37,""close"",DW$2,TODAY()),2,2))"),"")</f>
        <v/>
      </c>
      <c r="DX37" s="1" t="str">
        <f ca="1">IFERROR(__xludf.DUMMYFUNCTION("if(DX$2="""","""", index(GOOGLEFINANCE($B$37,""close"",DX$2,TODAY()),2,2))"),"")</f>
        <v/>
      </c>
      <c r="DY37" s="1" t="str">
        <f ca="1">IFERROR(__xludf.DUMMYFUNCTION("if(DY$2="""","""", index(GOOGLEFINANCE($B$37,""close"",DY$2,TODAY()),2,2))"),"")</f>
        <v/>
      </c>
      <c r="DZ37" s="1" t="str">
        <f ca="1">IFERROR(__xludf.DUMMYFUNCTION("if(DZ$2="""","""", index(GOOGLEFINANCE($B$37,""close"",DZ$2,TODAY()),2,2))"),"")</f>
        <v/>
      </c>
      <c r="EA37" s="1" t="str">
        <f ca="1">IFERROR(__xludf.DUMMYFUNCTION("if(EA$2="""","""", index(GOOGLEFINANCE($B$37,""close"",EA$2,TODAY()),2,2))"),"")</f>
        <v/>
      </c>
      <c r="EB37" s="1" t="str">
        <f ca="1">IFERROR(__xludf.DUMMYFUNCTION("if(EB$2="""","""", index(GOOGLEFINANCE($B$37,""close"",EB$2,TODAY()),2,2))"),"")</f>
        <v/>
      </c>
      <c r="EC37" s="1" t="str">
        <f ca="1">IFERROR(__xludf.DUMMYFUNCTION("if(EC$2="""","""", index(GOOGLEFINANCE($B$37,""close"",EC$2,TODAY()),2,2))"),"")</f>
        <v/>
      </c>
      <c r="ED37" s="1" t="str">
        <f ca="1">IFERROR(__xludf.DUMMYFUNCTION("if(ED$2="""","""", index(GOOGLEFINANCE($B$37,""close"",ED$2,TODAY()),2,2))"),"")</f>
        <v/>
      </c>
      <c r="EE37" s="1" t="str">
        <f ca="1">IFERROR(__xludf.DUMMYFUNCTION("if(EE$2="""","""", index(GOOGLEFINANCE($B$37,""close"",EE$2,TODAY()),2,2))"),"")</f>
        <v/>
      </c>
      <c r="EF37" s="1" t="str">
        <f ca="1">IFERROR(__xludf.DUMMYFUNCTION("if(EF$2="""","""", index(GOOGLEFINANCE($B$37,""close"",EF$2,TODAY()),2,2))"),"")</f>
        <v/>
      </c>
      <c r="EG37" s="1" t="str">
        <f ca="1">IFERROR(__xludf.DUMMYFUNCTION("if(EG$2="""","""", index(GOOGLEFINANCE($B$37,""close"",EG$2,TODAY()),2,2))"),"")</f>
        <v/>
      </c>
      <c r="EH37" s="1" t="str">
        <f ca="1">IFERROR(__xludf.DUMMYFUNCTION("if(EH$2="""","""", index(GOOGLEFINANCE($B$37,""close"",EH$2,TODAY()),2,2))"),"")</f>
        <v/>
      </c>
      <c r="EI37" s="1" t="str">
        <f ca="1">IFERROR(__xludf.DUMMYFUNCTION("if(EI$2="""","""", index(GOOGLEFINANCE($B$37,""close"",EI$2,TODAY()),2,2))"),"")</f>
        <v/>
      </c>
      <c r="EJ37" s="1" t="str">
        <f ca="1">IFERROR(__xludf.DUMMYFUNCTION("if(EJ$2="""","""", index(GOOGLEFINANCE($B$37,""close"",EJ$2,TODAY()),2,2))"),"")</f>
        <v/>
      </c>
      <c r="EK37" s="1" t="str">
        <f ca="1">IFERROR(__xludf.DUMMYFUNCTION("if(EK$2="""","""", index(GOOGLEFINANCE($B$37,""close"",EK$2,TODAY()),2,2))"),"")</f>
        <v/>
      </c>
      <c r="EL37" s="1" t="str">
        <f ca="1">IFERROR(__xludf.DUMMYFUNCTION("if(EL$2="""","""", index(GOOGLEFINANCE($B$37,""close"",EL$2,TODAY()),2,2))"),"")</f>
        <v/>
      </c>
      <c r="EM37" s="1" t="str">
        <f ca="1">IFERROR(__xludf.DUMMYFUNCTION("if(EM$2="""","""", index(GOOGLEFINANCE($B$37,""close"",EM$2,TODAY()),2,2))"),"")</f>
        <v/>
      </c>
      <c r="EN37" s="1" t="str">
        <f ca="1">IFERROR(__xludf.DUMMYFUNCTION("if(EN$2="""","""", index(GOOGLEFINANCE($B$37,""close"",EN$2,TODAY()),2,2))"),"")</f>
        <v/>
      </c>
      <c r="EO37" s="1" t="str">
        <f ca="1">IFERROR(__xludf.DUMMYFUNCTION("if(EO$2="""","""", index(GOOGLEFINANCE($B$37,""close"",EO$2,TODAY()),2,2))"),"")</f>
        <v/>
      </c>
      <c r="EP37" s="1" t="str">
        <f ca="1">IFERROR(__xludf.DUMMYFUNCTION("if(EP$2="""","""", index(GOOGLEFINANCE($B$37,""close"",EP$2,TODAY()),2,2))"),"")</f>
        <v/>
      </c>
      <c r="EQ37" s="1" t="str">
        <f ca="1">IFERROR(__xludf.DUMMYFUNCTION("if(EQ$2="""","""", index(GOOGLEFINANCE($B$37,""close"",EQ$2,TODAY()),2,2))"),"")</f>
        <v/>
      </c>
      <c r="ER37" s="1" t="str">
        <f ca="1">IFERROR(__xludf.DUMMYFUNCTION("if(ER$2="""","""", index(GOOGLEFINANCE($B$37,""close"",ER$2,TODAY()),2,2))"),"")</f>
        <v/>
      </c>
      <c r="ES37" s="1" t="str">
        <f ca="1">IFERROR(__xludf.DUMMYFUNCTION("if(ES$2="""","""", index(GOOGLEFINANCE($B$37,""close"",ES$2,TODAY()),2,2))"),"")</f>
        <v/>
      </c>
      <c r="ET37" s="1" t="str">
        <f ca="1">IFERROR(__xludf.DUMMYFUNCTION("if(ET$2="""","""", index(GOOGLEFINANCE($B$37,""close"",ET$2,TODAY()),2,2))"),"")</f>
        <v/>
      </c>
      <c r="EU37" s="1" t="str">
        <f ca="1">IFERROR(__xludf.DUMMYFUNCTION("if(EU$2="""","""", index(GOOGLEFINANCE($B$37,""close"",EU$2,TODAY()),2,2))"),"")</f>
        <v/>
      </c>
      <c r="EV37" s="1" t="str">
        <f ca="1">IFERROR(__xludf.DUMMYFUNCTION("if(EV$2="""","""", index(GOOGLEFINANCE($B$37,""close"",EV$2,TODAY()),2,2))"),"")</f>
        <v/>
      </c>
      <c r="EW37" s="1" t="str">
        <f ca="1">IFERROR(__xludf.DUMMYFUNCTION("if(EW$2="""","""", index(GOOGLEFINANCE($B$37,""close"",EW$2,TODAY()),2,2))"),"")</f>
        <v/>
      </c>
      <c r="EX37" s="1" t="str">
        <f ca="1">IFERROR(__xludf.DUMMYFUNCTION("if(EX$2="""","""", index(GOOGLEFINANCE($B$37,""close"",EX$2,TODAY()),2,2))"),"")</f>
        <v/>
      </c>
      <c r="EY37" s="1" t="str">
        <f ca="1">IFERROR(__xludf.DUMMYFUNCTION("if(EY$2="""","""", index(GOOGLEFINANCE($B$37,""close"",EY$2,TODAY()),2,2))"),"")</f>
        <v/>
      </c>
      <c r="EZ37" s="1" t="str">
        <f ca="1">IFERROR(__xludf.DUMMYFUNCTION("if(EZ$2="""","""", index(GOOGLEFINANCE($B$37,""close"",EZ$2,TODAY()),2,2))"),"")</f>
        <v/>
      </c>
      <c r="FA37" s="1" t="str">
        <f ca="1">IFERROR(__xludf.DUMMYFUNCTION("if(FA$2="""","""", index(GOOGLEFINANCE($B$37,""close"",FA$2,TODAY()),2,2))"),"")</f>
        <v/>
      </c>
      <c r="FB37" s="1" t="str">
        <f ca="1">IFERROR(__xludf.DUMMYFUNCTION("if(FB$2="""","""", index(GOOGLEFINANCE($B$37,""close"",FB$2,TODAY()),2,2))"),"")</f>
        <v/>
      </c>
      <c r="FC37" s="1" t="str">
        <f ca="1">IFERROR(__xludf.DUMMYFUNCTION("if(FC$2="""","""", index(GOOGLEFINANCE($B$37,""close"",FC$2,TODAY()),2,2))"),"")</f>
        <v/>
      </c>
      <c r="FD37" s="1" t="str">
        <f ca="1">IFERROR(__xludf.DUMMYFUNCTION("if(FD$2="""","""", index(GOOGLEFINANCE($B$37,""close"",FD$2,TODAY()),2,2))"),"")</f>
        <v/>
      </c>
      <c r="FE37" s="1" t="str">
        <f ca="1">IFERROR(__xludf.DUMMYFUNCTION("if(FE$2="""","""", index(GOOGLEFINANCE($B$37,""close"",FE$2,TODAY()),2,2))"),"")</f>
        <v/>
      </c>
      <c r="FF37" s="1" t="str">
        <f ca="1">IFERROR(__xludf.DUMMYFUNCTION("if(FF$2="""","""", index(GOOGLEFINANCE($B$37,""close"",FF$2,TODAY()),2,2))"),"")</f>
        <v/>
      </c>
      <c r="FG37" s="1" t="str">
        <f ca="1">IFERROR(__xludf.DUMMYFUNCTION("if(FG$2="""","""", index(GOOGLEFINANCE($B$37,""close"",FG$2,TODAY()),2,2))"),"")</f>
        <v/>
      </c>
      <c r="FH37" s="1" t="str">
        <f ca="1">IFERROR(__xludf.DUMMYFUNCTION("if(FH$2="""","""", index(GOOGLEFINANCE($B$37,""close"",FH$2,TODAY()),2,2))"),"")</f>
        <v/>
      </c>
      <c r="FI37" s="1" t="str">
        <f ca="1">IFERROR(__xludf.DUMMYFUNCTION("if(FI$2="""","""", index(GOOGLEFINANCE($B$37,""close"",FI$2,TODAY()),2,2))"),"")</f>
        <v/>
      </c>
      <c r="FJ37" s="1" t="str">
        <f ca="1">IFERROR(__xludf.DUMMYFUNCTION("if(FJ$2="""","""", index(GOOGLEFINANCE($B$37,""close"",FJ$2,TODAY()),2,2))"),"")</f>
        <v/>
      </c>
      <c r="FK37" s="1" t="str">
        <f ca="1">IFERROR(__xludf.DUMMYFUNCTION("if(FK$2="""","""", index(GOOGLEFINANCE($B$37,""close"",FK$2,TODAY()),2,2))"),"")</f>
        <v/>
      </c>
      <c r="FL37" s="1" t="str">
        <f ca="1">IFERROR(__xludf.DUMMYFUNCTION("if(FL$2="""","""", index(GOOGLEFINANCE($B$37,""close"",FL$2,TODAY()),2,2))"),"")</f>
        <v/>
      </c>
      <c r="FM37" s="1" t="str">
        <f ca="1">IFERROR(__xludf.DUMMYFUNCTION("if(FM$2="""","""", index(GOOGLEFINANCE($B$37,""close"",FM$2,TODAY()),2,2))"),"")</f>
        <v/>
      </c>
      <c r="FN37" s="1" t="str">
        <f ca="1">IFERROR(__xludf.DUMMYFUNCTION("if(FN$2="""","""", index(GOOGLEFINANCE($B$37,""close"",FN$2,TODAY()),2,2))"),"")</f>
        <v/>
      </c>
      <c r="FO37" s="1" t="str">
        <f ca="1">IFERROR(__xludf.DUMMYFUNCTION("if(FO$2="""","""", index(GOOGLEFINANCE($B$37,""close"",FO$2,TODAY()),2,2))"),"")</f>
        <v/>
      </c>
      <c r="FP37" s="1" t="str">
        <f ca="1">IFERROR(__xludf.DUMMYFUNCTION("if(FP$2="""","""", index(GOOGLEFINANCE($B$37,""close"",FP$2,TODAY()),2,2))"),"")</f>
        <v/>
      </c>
      <c r="FQ37" s="1" t="str">
        <f ca="1">IFERROR(__xludf.DUMMYFUNCTION("if(FQ$2="""","""", index(GOOGLEFINANCE($B$37,""close"",FQ$2,TODAY()),2,2))"),"")</f>
        <v/>
      </c>
      <c r="FR37" s="1" t="str">
        <f ca="1">IFERROR(__xludf.DUMMYFUNCTION("if(FR$2="""","""", index(GOOGLEFINANCE($B$37,""close"",FR$2,TODAY()),2,2))"),"")</f>
        <v/>
      </c>
      <c r="FS37" s="1" t="str">
        <f ca="1">IFERROR(__xludf.DUMMYFUNCTION("if(FS$2="""","""", index(GOOGLEFINANCE($B$37,""close"",FS$2,TODAY()),2,2))"),"")</f>
        <v/>
      </c>
      <c r="FT37" s="1" t="str">
        <f ca="1">IFERROR(__xludf.DUMMYFUNCTION("if(FT$2="""","""", index(GOOGLEFINANCE($B$37,""close"",FT$2,TODAY()),2,2))"),"")</f>
        <v/>
      </c>
      <c r="FU37" s="1" t="str">
        <f ca="1">IFERROR(__xludf.DUMMYFUNCTION("if(FU$2="""","""", index(GOOGLEFINANCE($B$37,""close"",FU$2,TODAY()),2,2))"),"")</f>
        <v/>
      </c>
      <c r="FV37" s="1" t="str">
        <f ca="1">IFERROR(__xludf.DUMMYFUNCTION("if(FV$2="""","""", index(GOOGLEFINANCE($B$37,""close"",FV$2,TODAY()),2,2))"),"")</f>
        <v/>
      </c>
      <c r="FW37" s="1" t="str">
        <f ca="1">IFERROR(__xludf.DUMMYFUNCTION("if(FW$2="""","""", index(GOOGLEFINANCE($B$37,""close"",FW$2,TODAY()),2,2))"),"")</f>
        <v/>
      </c>
      <c r="FX37" s="1" t="str">
        <f ca="1">IFERROR(__xludf.DUMMYFUNCTION("if(FX$2="""","""", index(GOOGLEFINANCE($B$37,""close"",FX$2,TODAY()),2,2))"),"")</f>
        <v/>
      </c>
      <c r="FY37" s="1" t="str">
        <f ca="1">IFERROR(__xludf.DUMMYFUNCTION("if(FY$2="""","""", index(GOOGLEFINANCE($B$37,""close"",FY$2,TODAY()),2,2))"),"")</f>
        <v/>
      </c>
      <c r="FZ37" s="1" t="str">
        <f ca="1">IFERROR(__xludf.DUMMYFUNCTION("if(FZ$2="""","""", index(GOOGLEFINANCE($B$37,""close"",FZ$2,TODAY()),2,2))"),"")</f>
        <v/>
      </c>
      <c r="GA37" s="1" t="str">
        <f ca="1">IFERROR(__xludf.DUMMYFUNCTION("if(GA$2="""","""", index(GOOGLEFINANCE($B$37,""close"",GA$2,TODAY()),2,2))"),"")</f>
        <v/>
      </c>
      <c r="GB37" s="1" t="str">
        <f ca="1">IFERROR(__xludf.DUMMYFUNCTION("if(GB$2="""","""", index(GOOGLEFINANCE($B$37,""close"",GB$2,TODAY()),2,2))"),"")</f>
        <v/>
      </c>
      <c r="GC37" s="1" t="str">
        <f ca="1">IFERROR(__xludf.DUMMYFUNCTION("if(GC$2="""","""", index(GOOGLEFINANCE($B$37,""close"",GC$2,TODAY()),2,2))"),"")</f>
        <v/>
      </c>
      <c r="GD37" s="1" t="str">
        <f ca="1">IFERROR(__xludf.DUMMYFUNCTION("if(GD$2="""","""", index(GOOGLEFINANCE($B$37,""close"",GD$2,TODAY()),2,2))"),"")</f>
        <v/>
      </c>
      <c r="GE37" s="1" t="str">
        <f ca="1">IFERROR(__xludf.DUMMYFUNCTION("if(GE$2="""","""", index(GOOGLEFINANCE($B$37,""close"",GE$2,TODAY()),2,2))"),"")</f>
        <v/>
      </c>
      <c r="GF37" s="1" t="str">
        <f ca="1">IFERROR(__xludf.DUMMYFUNCTION("if(GF$2="""","""", index(GOOGLEFINANCE($B$37,""close"",GF$2,TODAY()),2,2))"),"")</f>
        <v/>
      </c>
      <c r="GG37" s="1" t="str">
        <f ca="1">IFERROR(__xludf.DUMMYFUNCTION("if(GG$2="""","""", index(GOOGLEFINANCE($B$37,""close"",GG$2,TODAY()),2,2))"),"")</f>
        <v/>
      </c>
      <c r="GH37" s="1" t="str">
        <f ca="1">IFERROR(__xludf.DUMMYFUNCTION("if(GH$2="""","""", index(GOOGLEFINANCE($B$37,""close"",GH$2,TODAY()),2,2))"),"")</f>
        <v/>
      </c>
      <c r="GI37" s="1" t="str">
        <f ca="1">IFERROR(__xludf.DUMMYFUNCTION("if(GI$2="""","""", index(GOOGLEFINANCE($B$37,""close"",GI$2,TODAY()),2,2))"),"")</f>
        <v/>
      </c>
      <c r="GJ37" s="1" t="str">
        <f ca="1">IFERROR(__xludf.DUMMYFUNCTION("if(GJ$2="""","""", index(GOOGLEFINANCE($B$37,""close"",GJ$2,TODAY()),2,2))"),"")</f>
        <v/>
      </c>
      <c r="GK37" s="1" t="str">
        <f ca="1">IFERROR(__xludf.DUMMYFUNCTION("if(GK$2="""","""", index(GOOGLEFINANCE($B$37,""close"",GK$2,TODAY()),2,2))"),"")</f>
        <v/>
      </c>
      <c r="GL37" s="1" t="str">
        <f ca="1">IFERROR(__xludf.DUMMYFUNCTION("if(GL$2="""","""", index(GOOGLEFINANCE($B$37,""close"",GL$2,TODAY()),2,2))"),"")</f>
        <v/>
      </c>
      <c r="GM37" s="1" t="str">
        <f ca="1">IFERROR(__xludf.DUMMYFUNCTION("if(GM$2="""","""", index(GOOGLEFINANCE($B$37,""close"",GM$2,TODAY()),2,2))"),"")</f>
        <v/>
      </c>
      <c r="GN37" s="1" t="str">
        <f ca="1">IFERROR(__xludf.DUMMYFUNCTION("if(GN$2="""","""", index(GOOGLEFINANCE($B$37,""close"",GN$2,TODAY()),2,2))"),"")</f>
        <v/>
      </c>
      <c r="GO37" s="1" t="str">
        <f ca="1">IFERROR(__xludf.DUMMYFUNCTION("if(GO$2="""","""", index(GOOGLEFINANCE($B$37,""close"",GO$2,TODAY()),2,2))"),"")</f>
        <v/>
      </c>
      <c r="GP37" s="1" t="str">
        <f ca="1">IFERROR(__xludf.DUMMYFUNCTION("if(GP$2="""","""", index(GOOGLEFINANCE($B$37,""close"",GP$2,TODAY()),2,2))"),"")</f>
        <v/>
      </c>
      <c r="GQ37" s="1" t="str">
        <f ca="1">IFERROR(__xludf.DUMMYFUNCTION("if(GQ$2="""","""", index(GOOGLEFINANCE($B$37,""close"",GQ$2,TODAY()),2,2))"),"")</f>
        <v/>
      </c>
      <c r="GR37" s="1" t="str">
        <f ca="1">IFERROR(__xludf.DUMMYFUNCTION("if(GR$2="""","""", index(GOOGLEFINANCE($B$37,""close"",GR$2,TODAY()),2,2))"),"")</f>
        <v/>
      </c>
      <c r="GS37" s="1" t="str">
        <f ca="1">IFERROR(__xludf.DUMMYFUNCTION("if(GS$2="""","""", index(GOOGLEFINANCE($B$37,""close"",GS$2,TODAY()),2,2))"),"")</f>
        <v/>
      </c>
      <c r="GT37" s="1" t="str">
        <f ca="1">IFERROR(__xludf.DUMMYFUNCTION("if(GT$2="""","""", index(GOOGLEFINANCE($B$37,""close"",GT$2,TODAY()),2,2))"),"")</f>
        <v/>
      </c>
      <c r="GU37" s="1" t="str">
        <f ca="1">IFERROR(__xludf.DUMMYFUNCTION("if(GU$2="""","""", index(GOOGLEFINANCE($B$37,""close"",GU$2,TODAY()),2,2))"),"")</f>
        <v/>
      </c>
      <c r="GV37" s="1" t="str">
        <f ca="1">IFERROR(__xludf.DUMMYFUNCTION("if(GV$2="""","""", index(GOOGLEFINANCE($B$37,""close"",GV$2,TODAY()),2,2))"),"")</f>
        <v/>
      </c>
      <c r="GW37" s="1" t="str">
        <f ca="1">IFERROR(__xludf.DUMMYFUNCTION("if(GW$2="""","""", index(GOOGLEFINANCE($B$37,""close"",GW$2,TODAY()),2,2))"),"")</f>
        <v/>
      </c>
      <c r="GX37" s="1" t="str">
        <f ca="1">IFERROR(__xludf.DUMMYFUNCTION("if(GX$2="""","""", index(GOOGLEFINANCE($B$37,""close"",GX$2,TODAY()),2,2))"),"")</f>
        <v/>
      </c>
      <c r="GY37" s="1" t="str">
        <f ca="1">IFERROR(__xludf.DUMMYFUNCTION("if(GY$2="""","""", index(GOOGLEFINANCE($B$37,""close"",GY$2,TODAY()),2,2))"),"")</f>
        <v/>
      </c>
      <c r="GZ37" s="1" t="str">
        <f ca="1">IFERROR(__xludf.DUMMYFUNCTION("if(GZ$2="""","""", index(GOOGLEFINANCE($B$37,""close"",GZ$2,TODAY()),2,2))"),"")</f>
        <v/>
      </c>
      <c r="HA37" s="1" t="str">
        <f ca="1">IFERROR(__xludf.DUMMYFUNCTION("if(HA$2="""","""", index(GOOGLEFINANCE($B$37,""close"",HA$2,TODAY()),2,2))"),"")</f>
        <v/>
      </c>
      <c r="HB37" s="1" t="str">
        <f ca="1">IFERROR(__xludf.DUMMYFUNCTION("if(HB$2="""","""", index(GOOGLEFINANCE($B$37,""close"",HB$2,TODAY()),2,2))"),"")</f>
        <v/>
      </c>
      <c r="HC37" s="1" t="str">
        <f ca="1">IFERROR(__xludf.DUMMYFUNCTION("if(HC$2="""","""", index(GOOGLEFINANCE($B$37,""close"",HC$2,TODAY()),2,2))"),"")</f>
        <v/>
      </c>
      <c r="HD37" s="1" t="str">
        <f ca="1">IFERROR(__xludf.DUMMYFUNCTION("if(HD$2="""","""", index(GOOGLEFINANCE($B$37,""close"",HD$2,TODAY()),2,2))"),"")</f>
        <v/>
      </c>
      <c r="HE37" s="1" t="str">
        <f ca="1">IFERROR(__xludf.DUMMYFUNCTION("if(HE$2="""","""", index(GOOGLEFINANCE($B$37,""close"",HE$2,TODAY()),2,2))"),"")</f>
        <v/>
      </c>
      <c r="HF37" s="1" t="str">
        <f ca="1">IFERROR(__xludf.DUMMYFUNCTION("if(HF$2="""","""", index(GOOGLEFINANCE($B$37,""close"",HF$2,TODAY()),2,2))"),"")</f>
        <v/>
      </c>
      <c r="HG37" s="1" t="str">
        <f ca="1">IFERROR(__xludf.DUMMYFUNCTION("if(HG$2="""","""", index(GOOGLEFINANCE($B$37,""close"",HG$2,TODAY()),2,2))"),"")</f>
        <v/>
      </c>
      <c r="HH37" s="1" t="str">
        <f ca="1">IFERROR(__xludf.DUMMYFUNCTION("if(HH$2="""","""", index(GOOGLEFINANCE($B$37,""close"",HH$2,TODAY()),2,2))"),"")</f>
        <v/>
      </c>
      <c r="HI37" s="1" t="str">
        <f ca="1">IFERROR(__xludf.DUMMYFUNCTION("if(HI$2="""","""", index(GOOGLEFINANCE($B$37,""close"",HI$2,TODAY()),2,2))"),"")</f>
        <v/>
      </c>
      <c r="HJ37" s="1" t="str">
        <f ca="1">IFERROR(__xludf.DUMMYFUNCTION("if(HJ$2="""","""", index(GOOGLEFINANCE($B$37,""close"",HJ$2,TODAY()),2,2))"),"")</f>
        <v/>
      </c>
      <c r="HK37" s="1" t="str">
        <f ca="1">IFERROR(__xludf.DUMMYFUNCTION("if(HK$2="""","""", index(GOOGLEFINANCE($B$37,""close"",HK$2,TODAY()),2,2))"),"")</f>
        <v/>
      </c>
      <c r="HL37" s="1" t="str">
        <f ca="1">IFERROR(__xludf.DUMMYFUNCTION("if(HL$2="""","""", index(GOOGLEFINANCE($B$37,""close"",HL$2,TODAY()),2,2))"),"")</f>
        <v/>
      </c>
      <c r="HM37" s="1" t="str">
        <f ca="1">IFERROR(__xludf.DUMMYFUNCTION("if(HM$2="""","""", index(GOOGLEFINANCE($B$37,""close"",HM$2,TODAY()),2,2))"),"")</f>
        <v/>
      </c>
      <c r="HN37" s="1" t="str">
        <f ca="1">IFERROR(__xludf.DUMMYFUNCTION("if(HN$2="""","""", index(GOOGLEFINANCE($B$37,""close"",HN$2,TODAY()),2,2))"),"")</f>
        <v/>
      </c>
      <c r="HO37" s="1" t="str">
        <f ca="1">IFERROR(__xludf.DUMMYFUNCTION("if(HO$2="""","""", index(GOOGLEFINANCE($B$37,""close"",HO$2,TODAY()),2,2))"),"")</f>
        <v/>
      </c>
      <c r="HP37" s="1" t="str">
        <f ca="1">IFERROR(__xludf.DUMMYFUNCTION("if(HP$2="""","""", index(GOOGLEFINANCE($B$37,""close"",HP$2,TODAY()),2,2))"),"")</f>
        <v/>
      </c>
      <c r="HQ37" s="1" t="str">
        <f ca="1">IFERROR(__xludf.DUMMYFUNCTION("if(HQ$2="""","""", index(GOOGLEFINANCE($B$37,""close"",HQ$2,TODAY()),2,2))"),"")</f>
        <v/>
      </c>
      <c r="HR37" s="1" t="str">
        <f ca="1">IFERROR(__xludf.DUMMYFUNCTION("if(HR$2="""","""", index(GOOGLEFINANCE($B$37,""close"",HR$2,TODAY()),2,2))"),"")</f>
        <v/>
      </c>
      <c r="HS37" s="1" t="str">
        <f ca="1">IFERROR(__xludf.DUMMYFUNCTION("if(HS$2="""","""", index(GOOGLEFINANCE($B$37,""close"",HS$2,TODAY()),2,2))"),"")</f>
        <v/>
      </c>
      <c r="HT37" s="1" t="str">
        <f ca="1">IFERROR(__xludf.DUMMYFUNCTION("if(HT$2="""","""", index(GOOGLEFINANCE($B$37,""close"",HT$2,TODAY()),2,2))"),"")</f>
        <v/>
      </c>
      <c r="HU37" s="1" t="str">
        <f ca="1">IFERROR(__xludf.DUMMYFUNCTION("if(HU$2="""","""", index(GOOGLEFINANCE($B$37,""close"",HU$2,TODAY()),2,2))"),"")</f>
        <v/>
      </c>
      <c r="HV37" s="1" t="str">
        <f ca="1">IFERROR(__xludf.DUMMYFUNCTION("if(HV$2="""","""", index(GOOGLEFINANCE($B$37,""close"",HV$2,TODAY()),2,2))"),"")</f>
        <v/>
      </c>
      <c r="HW37" s="1" t="str">
        <f ca="1">IFERROR(__xludf.DUMMYFUNCTION("if(HW$2="""","""", index(GOOGLEFINANCE($B$37,""close"",HW$2,TODAY()),2,2))"),"")</f>
        <v/>
      </c>
      <c r="HX37" s="1" t="str">
        <f ca="1">IFERROR(__xludf.DUMMYFUNCTION("if(HX$2="""","""", index(GOOGLEFINANCE($B$37,""close"",HX$2,TODAY()),2,2))"),"")</f>
        <v/>
      </c>
      <c r="HY37" s="1" t="str">
        <f ca="1">IFERROR(__xludf.DUMMYFUNCTION("if(HY$2="""","""", index(GOOGLEFINANCE($B$37,""close"",HY$2,TODAY()),2,2))"),"")</f>
        <v/>
      </c>
      <c r="HZ37" s="1" t="str">
        <f ca="1">IFERROR(__xludf.DUMMYFUNCTION("if(HZ$2="""","""", index(GOOGLEFINANCE($B$37,""close"",HZ$2,TODAY()),2,2))"),"")</f>
        <v/>
      </c>
      <c r="IA37" s="1" t="str">
        <f ca="1">IFERROR(__xludf.DUMMYFUNCTION("if(IA$2="""","""", index(GOOGLEFINANCE($B$37,""close"",IA$2,TODAY()),2,2))"),"")</f>
        <v/>
      </c>
      <c r="IB37" s="1" t="str">
        <f ca="1">IFERROR(__xludf.DUMMYFUNCTION("if(IB$2="""","""", index(GOOGLEFINANCE($B$37,""close"",IB$2,TODAY()),2,2))"),"")</f>
        <v/>
      </c>
      <c r="IC37" s="1" t="str">
        <f ca="1">IFERROR(__xludf.DUMMYFUNCTION("if(IC$2="""","""", index(GOOGLEFINANCE($B$37,""close"",IC$2,TODAY()),2,2))"),"")</f>
        <v/>
      </c>
      <c r="ID37" s="1" t="str">
        <f ca="1">IFERROR(__xludf.DUMMYFUNCTION("if(ID$2="""","""", index(GOOGLEFINANCE($B$37,""close"",ID$2,TODAY()),2,2))"),"")</f>
        <v/>
      </c>
      <c r="IE37" s="1" t="str">
        <f ca="1">IFERROR(__xludf.DUMMYFUNCTION("if(IE$2="""","""", index(GOOGLEFINANCE($B$37,""close"",IE$2,TODAY()),2,2))"),"")</f>
        <v/>
      </c>
      <c r="IF37" s="1" t="str">
        <f ca="1">IFERROR(__xludf.DUMMYFUNCTION("if(IF$2="""","""", index(GOOGLEFINANCE($B$37,""close"",IF$2,TODAY()),2,2))"),"")</f>
        <v/>
      </c>
      <c r="IG37" s="1" t="str">
        <f ca="1">IFERROR(__xludf.DUMMYFUNCTION("if(IG$2="""","""", index(GOOGLEFINANCE($B$37,""close"",IG$2,TODAY()),2,2))"),"")</f>
        <v/>
      </c>
      <c r="IH37" s="1" t="str">
        <f ca="1">IFERROR(__xludf.DUMMYFUNCTION("if(IH$2="""","""", index(GOOGLEFINANCE($B$37,""close"",IH$2,TODAY()),2,2))"),"")</f>
        <v/>
      </c>
      <c r="II37" s="1" t="str">
        <f ca="1">IFERROR(__xludf.DUMMYFUNCTION("if(II$2="""","""", index(GOOGLEFINANCE($B$37,""close"",II$2,TODAY()),2,2))"),"")</f>
        <v/>
      </c>
      <c r="IJ37" s="1" t="str">
        <f ca="1">IFERROR(__xludf.DUMMYFUNCTION("if(IJ$2="""","""", index(GOOGLEFINANCE($B$37,""close"",IJ$2,TODAY()),2,2))"),"")</f>
        <v/>
      </c>
      <c r="IK37" s="1" t="str">
        <f ca="1">IFERROR(__xludf.DUMMYFUNCTION("if(IK$2="""","""", index(GOOGLEFINANCE($B$37,""close"",IK$2,TODAY()),2,2))"),"")</f>
        <v/>
      </c>
      <c r="IL37" s="1" t="str">
        <f ca="1">IFERROR(__xludf.DUMMYFUNCTION("if(IL$2="""","""", index(GOOGLEFINANCE($B$37,""close"",IL$2,TODAY()),2,2))"),"")</f>
        <v/>
      </c>
      <c r="IM37" s="1" t="str">
        <f ca="1">IFERROR(__xludf.DUMMYFUNCTION("if(IM$2="""","""", index(GOOGLEFINANCE($B$37,""close"",IM$2,TODAY()),2,2))"),"")</f>
        <v/>
      </c>
      <c r="IN37" s="1" t="str">
        <f ca="1">IFERROR(__xludf.DUMMYFUNCTION("if(IN$2="""","""", index(GOOGLEFINANCE($B$37,""close"",IN$2,TODAY()),2,2))"),"")</f>
        <v/>
      </c>
      <c r="IO37" s="1" t="str">
        <f ca="1">IFERROR(__xludf.DUMMYFUNCTION("if(IO$2="""","""", index(GOOGLEFINANCE($B$37,""close"",IO$2,TODAY()),2,2))"),"")</f>
        <v/>
      </c>
      <c r="IP37" s="1" t="str">
        <f ca="1">IFERROR(__xludf.DUMMYFUNCTION("if(IP$2="""","""", index(GOOGLEFINANCE($B$37,""close"",IP$2,TODAY()),2,2))"),"")</f>
        <v/>
      </c>
      <c r="IQ37" s="1" t="str">
        <f ca="1">IFERROR(__xludf.DUMMYFUNCTION("if(IQ$2="""","""", index(GOOGLEFINANCE($B$37,""close"",IQ$2,TODAY()),2,2))"),"")</f>
        <v/>
      </c>
      <c r="IR37" s="1" t="str">
        <f ca="1">IFERROR(__xludf.DUMMYFUNCTION("if(IR$2="""","""", index(GOOGLEFINANCE($B$37,""close"",IR$2,TODAY()),2,2))"),"")</f>
        <v/>
      </c>
      <c r="IS37" s="1" t="str">
        <f ca="1">IFERROR(__xludf.DUMMYFUNCTION("if(IS$2="""","""", index(GOOGLEFINANCE($B$37,""close"",IS$2,TODAY()),2,2))"),"")</f>
        <v/>
      </c>
      <c r="IT37" s="1" t="str">
        <f ca="1">IFERROR(__xludf.DUMMYFUNCTION("if(IT$2="""","""", index(GOOGLEFINANCE($B$37,""close"",IT$2,TODAY()),2,2))"),"")</f>
        <v/>
      </c>
      <c r="IU37" s="1" t="str">
        <f ca="1">IFERROR(__xludf.DUMMYFUNCTION("if(IU$2="""","""", index(GOOGLEFINANCE($B$37,""close"",IU$2,TODAY()),2,2))"),"")</f>
        <v/>
      </c>
      <c r="IV37" s="1" t="str">
        <f ca="1">IFERROR(__xludf.DUMMYFUNCTION("if(IV$2="""","""", index(GOOGLEFINANCE($B$37,""close"",IV$2,TODAY()),2,2))"),"")</f>
        <v/>
      </c>
      <c r="IW37" s="1" t="str">
        <f ca="1">IFERROR(__xludf.DUMMYFUNCTION("if(IW$2="""","""", index(GOOGLEFINANCE($B$37,""close"",IW$2,TODAY()),2,2))"),"")</f>
        <v/>
      </c>
      <c r="IX37" s="1" t="str">
        <f ca="1">IFERROR(__xludf.DUMMYFUNCTION("if(IX$2="""","""", index(GOOGLEFINANCE($B$37,""close"",IX$2,TODAY()),2,2))"),"")</f>
        <v/>
      </c>
      <c r="IY37" s="1" t="str">
        <f ca="1">IFERROR(__xludf.DUMMYFUNCTION("if(IY$2="""","""", index(GOOGLEFINANCE($B$37,""close"",IY$2,TODAY()),2,2))"),"")</f>
        <v/>
      </c>
      <c r="IZ37" s="1" t="str">
        <f ca="1">IFERROR(__xludf.DUMMYFUNCTION("if(IZ$2="""","""", index(GOOGLEFINANCE($B$37,""close"",IZ$2,TODAY()),2,2))"),"")</f>
        <v/>
      </c>
      <c r="JA37" s="1" t="str">
        <f ca="1">IFERROR(__xludf.DUMMYFUNCTION("if(JA$2="""","""", index(GOOGLEFINANCE($B$37,""close"",JA$2,TODAY()),2,2))"),"")</f>
        <v/>
      </c>
      <c r="JB37" s="1" t="str">
        <f ca="1">IFERROR(__xludf.DUMMYFUNCTION("if(JB$2="""","""", index(GOOGLEFINANCE($B$37,""close"",JB$2,TODAY()),2,2))"),"")</f>
        <v/>
      </c>
      <c r="JC37" s="1" t="str">
        <f ca="1">IFERROR(__xludf.DUMMYFUNCTION("if(JC$2="""","""", index(GOOGLEFINANCE($B$37,""close"",JC$2,TODAY()),2,2))"),"")</f>
        <v/>
      </c>
      <c r="JD37" s="1" t="str">
        <f ca="1">IFERROR(__xludf.DUMMYFUNCTION("if(JD$2="""","""", index(GOOGLEFINANCE($B$37,""close"",JD$2,TODAY()),2,2))"),"")</f>
        <v/>
      </c>
      <c r="JE37" s="1" t="str">
        <f ca="1">IFERROR(__xludf.DUMMYFUNCTION("if(JE$2="""","""", index(GOOGLEFINANCE($B$37,""close"",JE$2,TODAY()),2,2))"),"")</f>
        <v/>
      </c>
      <c r="JF37" s="1" t="str">
        <f ca="1">IFERROR(__xludf.DUMMYFUNCTION("if(JF$2="""","""", index(GOOGLEFINANCE($B$37,""close"",JF$2,TODAY()),2,2))"),"")</f>
        <v/>
      </c>
      <c r="JG37" s="1" t="str">
        <f ca="1">IFERROR(__xludf.DUMMYFUNCTION("if(JG$2="""","""", index(GOOGLEFINANCE($B$37,""close"",JG$2,TODAY()),2,2))"),"")</f>
        <v/>
      </c>
      <c r="JH37" s="1" t="str">
        <f ca="1">IFERROR(__xludf.DUMMYFUNCTION("if(JH$2="""","""", index(GOOGLEFINANCE($B$37,""close"",JH$2,TODAY()),2,2))"),"")</f>
        <v/>
      </c>
      <c r="JI37" s="1" t="str">
        <f ca="1">IFERROR(__xludf.DUMMYFUNCTION("if(JI$2="""","""", index(GOOGLEFINANCE($B$37,""close"",JI$2,TODAY()),2,2))"),"")</f>
        <v/>
      </c>
      <c r="JJ37" s="1" t="str">
        <f ca="1">IFERROR(__xludf.DUMMYFUNCTION("if(JJ$2="""","""", index(GOOGLEFINANCE($B$37,""close"",JJ$2,TODAY()),2,2))"),"")</f>
        <v/>
      </c>
      <c r="JK37" s="1" t="str">
        <f ca="1">IFERROR(__xludf.DUMMYFUNCTION("if(JK$2="""","""", index(GOOGLEFINANCE($B$37,""close"",JK$2,TODAY()),2,2))"),"")</f>
        <v/>
      </c>
      <c r="JL37" s="1" t="str">
        <f ca="1">IFERROR(__xludf.DUMMYFUNCTION("if(JL$2="""","""", index(GOOGLEFINANCE($B$37,""close"",JL$2,TODAY()),2,2))"),"")</f>
        <v/>
      </c>
      <c r="JM37" s="1" t="str">
        <f ca="1">IFERROR(__xludf.DUMMYFUNCTION("if(JM$2="""","""", index(GOOGLEFINANCE($B$37,""close"",JM$2,TODAY()),2,2))"),"")</f>
        <v/>
      </c>
      <c r="JN37" s="1" t="str">
        <f ca="1">IFERROR(__xludf.DUMMYFUNCTION("if(JN$2="""","""", index(GOOGLEFINANCE($B$37,""close"",JN$2,TODAY()),2,2))"),"")</f>
        <v/>
      </c>
      <c r="JO37" s="1" t="str">
        <f ca="1">IFERROR(__xludf.DUMMYFUNCTION("if(JO$2="""","""", index(GOOGLEFINANCE($B$37,""close"",JO$2,TODAY()),2,2))"),"")</f>
        <v/>
      </c>
      <c r="JP37" s="1" t="str">
        <f ca="1">IFERROR(__xludf.DUMMYFUNCTION("if(JP$2="""","""", index(GOOGLEFINANCE($B$37,""close"",JP$2,TODAY()),2,2))"),"")</f>
        <v/>
      </c>
      <c r="JQ37" s="1" t="str">
        <f ca="1">IFERROR(__xludf.DUMMYFUNCTION("if(JQ$2="""","""", index(GOOGLEFINANCE($B$37,""close"",JQ$2,TODAY()),2,2))"),"")</f>
        <v/>
      </c>
      <c r="JR37" s="1" t="str">
        <f ca="1">IFERROR(__xludf.DUMMYFUNCTION("if(JR$2="""","""", index(GOOGLEFINANCE($B$37,""close"",JR$2,TODAY()),2,2))"),"")</f>
        <v/>
      </c>
      <c r="JS37" s="1" t="str">
        <f ca="1">IFERROR(__xludf.DUMMYFUNCTION("if(JS$2="""","""", index(GOOGLEFINANCE($B$37,""close"",JS$2,TODAY()),2,2))"),"")</f>
        <v/>
      </c>
      <c r="JT37" s="1" t="str">
        <f ca="1">IFERROR(__xludf.DUMMYFUNCTION("if(JT$2="""","""", index(GOOGLEFINANCE($B$37,""close"",JT$2,TODAY()),2,2))"),"")</f>
        <v/>
      </c>
      <c r="JU37" s="1" t="str">
        <f ca="1">IFERROR(__xludf.DUMMYFUNCTION("if(JU$2="""","""", index(GOOGLEFINANCE($B$37,""close"",JU$2,TODAY()),2,2))"),"")</f>
        <v/>
      </c>
      <c r="JV37" s="1" t="str">
        <f ca="1">IFERROR(__xludf.DUMMYFUNCTION("if(JV$2="""","""", index(GOOGLEFINANCE($B$37,""close"",JV$2,TODAY()),2,2))"),"")</f>
        <v/>
      </c>
      <c r="JW37" s="1" t="str">
        <f ca="1">IFERROR(__xludf.DUMMYFUNCTION("if(JW$2="""","""", index(GOOGLEFINANCE($B$37,""close"",JW$2,TODAY()),2,2))"),"")</f>
        <v/>
      </c>
      <c r="JX37" s="1" t="str">
        <f ca="1">IFERROR(__xludf.DUMMYFUNCTION("if(JX$2="""","""", index(GOOGLEFINANCE($B$37,""close"",JX$2,TODAY()),2,2))"),"")</f>
        <v/>
      </c>
      <c r="JY37" s="1" t="str">
        <f ca="1">IFERROR(__xludf.DUMMYFUNCTION("if(JY$2="""","""", index(GOOGLEFINANCE($B$37,""close"",JY$2,TODAY()),2,2))"),"")</f>
        <v/>
      </c>
      <c r="JZ37" s="1" t="str">
        <f ca="1">IFERROR(__xludf.DUMMYFUNCTION("if(JZ$2="""","""", index(GOOGLEFINANCE($B$37,""close"",JZ$2,TODAY()),2,2))"),"")</f>
        <v/>
      </c>
      <c r="KA37" s="1" t="str">
        <f ca="1">IFERROR(__xludf.DUMMYFUNCTION("if(KA$2="""","""", index(GOOGLEFINANCE($B$37,""close"",KA$2,TODAY()),2,2))"),"")</f>
        <v/>
      </c>
      <c r="KB37" s="1" t="str">
        <f ca="1">IFERROR(__xludf.DUMMYFUNCTION("if(KB$2="""","""", index(GOOGLEFINANCE($B$37,""close"",KB$2,TODAY()),2,2))"),"")</f>
        <v/>
      </c>
      <c r="KC37" s="1" t="str">
        <f ca="1">IFERROR(__xludf.DUMMYFUNCTION("if(KC$2="""","""", index(GOOGLEFINANCE($B$37,""close"",KC$2,TODAY()),2,2))"),"")</f>
        <v/>
      </c>
      <c r="KD37" s="1" t="str">
        <f ca="1">IFERROR(__xludf.DUMMYFUNCTION("if(KD$2="""","""", index(GOOGLEFINANCE($B$37,""close"",KD$2,TODAY()),2,2))"),"")</f>
        <v/>
      </c>
      <c r="KE37" s="1" t="str">
        <f ca="1">IFERROR(__xludf.DUMMYFUNCTION("if(KE$2="""","""", index(GOOGLEFINANCE($B$37,""close"",KE$2,TODAY()),2,2))"),"")</f>
        <v/>
      </c>
      <c r="KF37" s="1" t="str">
        <f ca="1">IFERROR(__xludf.DUMMYFUNCTION("if(KF$2="""","""", index(GOOGLEFINANCE($B$37,""close"",KF$2,TODAY()),2,2))"),"")</f>
        <v/>
      </c>
      <c r="KG37" s="1" t="str">
        <f ca="1">IFERROR(__xludf.DUMMYFUNCTION("if(KG$2="""","""", index(GOOGLEFINANCE($B$37,""close"",KG$2,TODAY()),2,2))"),"")</f>
        <v/>
      </c>
    </row>
    <row r="38" spans="1:293" ht="15.75" customHeight="1">
      <c r="A38" s="18" t="s">
        <v>30</v>
      </c>
      <c r="B38" s="6" t="s">
        <v>81</v>
      </c>
      <c r="C38" s="1">
        <f ca="1">IFERROR(__xludf.DUMMYFUNCTION("if(C$2="""","""", index(GOOGLEFINANCE($B$38,""close"",C$2,TODAY()),2,2))"),20.72)</f>
        <v>20.72</v>
      </c>
      <c r="D38" s="1">
        <f ca="1">IFERROR(__xludf.DUMMYFUNCTION("if(D$2="""","""", index(GOOGLEFINANCE($B$38,""close"",D$2,TODAY()),2,2))"),20.92)</f>
        <v>20.92</v>
      </c>
      <c r="E38" s="1">
        <f ca="1">IFERROR(__xludf.DUMMYFUNCTION("if(E$2="""","""", index(GOOGLEFINANCE($B$38,""close"",E$2,TODAY()),2,2))"),20.02)</f>
        <v>20.02</v>
      </c>
      <c r="F38" s="1">
        <f ca="1">IFERROR(__xludf.DUMMYFUNCTION("if(F$2="""","""", index(GOOGLEFINANCE($B$38,""close"",F$2,TODAY()),2,2))"),20.07)</f>
        <v>20.07</v>
      </c>
      <c r="G38" s="1">
        <f ca="1">IFERROR(__xludf.DUMMYFUNCTION("if(G$2="""","""", index(GOOGLEFINANCE($B$38,""close"",G$2,TODAY()),2,2))"),20.39)</f>
        <v>20.39</v>
      </c>
      <c r="H38" s="1">
        <f ca="1">IFERROR(__xludf.DUMMYFUNCTION("if(H$2="""","""", index(GOOGLEFINANCE($B$38,""close"",H$2,TODAY()),2,2))"),20.06)</f>
        <v>20.059999999999999</v>
      </c>
      <c r="I38" s="1">
        <f ca="1">IFERROR(__xludf.DUMMYFUNCTION("if(I$2="""","""", index(GOOGLEFINANCE($B$38,""close"",I$2,TODAY()),2,2))"),20.29)</f>
        <v>20.29</v>
      </c>
      <c r="J38" s="1">
        <f ca="1">IFERROR(__xludf.DUMMYFUNCTION("if(J$2="""","""", index(GOOGLEFINANCE($B$38,""close"",J$2,TODAY()),2,2))"),20.09)</f>
        <v>20.09</v>
      </c>
      <c r="K38" s="1">
        <f ca="1">IFERROR(__xludf.DUMMYFUNCTION("if(K$2="""","""", index(GOOGLEFINANCE($B$38,""close"",K$2,TODAY()),2,2))"),20.25)</f>
        <v>20.25</v>
      </c>
      <c r="L38" s="1">
        <f ca="1">IFERROR(__xludf.DUMMYFUNCTION("if(L$2="""","""", index(GOOGLEFINANCE($B$38,""close"",L$2,TODAY()),2,2))"),20.16)</f>
        <v>20.16</v>
      </c>
      <c r="M38" s="1">
        <f ca="1">IFERROR(__xludf.DUMMYFUNCTION("if(M$2="""","""", index(GOOGLEFINANCE($B$38,""close"",M$2,TODAY()),2,2))"),19.79)</f>
        <v>19.79</v>
      </c>
      <c r="N38" s="1">
        <f ca="1">IFERROR(__xludf.DUMMYFUNCTION("if(N$2="""","""", index(GOOGLEFINANCE($B$38,""close"",N$2,TODAY()),2,2))"),19.08)</f>
        <v>19.079999999999998</v>
      </c>
      <c r="O38" s="1">
        <f ca="1">IFERROR(__xludf.DUMMYFUNCTION("if(O$2="""","""", index(GOOGLEFINANCE($B$38,""close"",O$2,TODAY()),2,2))"),18.3)</f>
        <v>18.3</v>
      </c>
      <c r="P38" s="1">
        <f ca="1">IFERROR(__xludf.DUMMYFUNCTION("if(P$2="""","""", index(GOOGLEFINANCE($B$38,""close"",P$2,TODAY()),2,2))"),18.3)</f>
        <v>18.3</v>
      </c>
      <c r="Q38" s="1">
        <f ca="1">IFERROR(__xludf.DUMMYFUNCTION("if(Q$2="""","""", index(GOOGLEFINANCE($B$38,""close"",Q$2,TODAY()),2,2))"),19.05)</f>
        <v>19.05</v>
      </c>
      <c r="R38" s="1">
        <f ca="1">IFERROR(__xludf.DUMMYFUNCTION("if(R$2="""","""", index(GOOGLEFINANCE($B$38,""close"",R$2,TODAY()),2,2))"),18.55)</f>
        <v>18.55</v>
      </c>
      <c r="S38" s="1">
        <f ca="1">IFERROR(__xludf.DUMMYFUNCTION("if(S$2="""","""", index(GOOGLEFINANCE($B$38,""close"",S$2,TODAY()),2,2))"),17.93)</f>
        <v>17.93</v>
      </c>
      <c r="T38" s="1">
        <f ca="1">IFERROR(__xludf.DUMMYFUNCTION("if(T$2="""","""", index(GOOGLEFINANCE($B$38,""close"",T$2,TODAY()),2,2))"),17.39)</f>
        <v>17.39</v>
      </c>
      <c r="U38" s="1">
        <f ca="1">IFERROR(__xludf.DUMMYFUNCTION("if(U$2="""","""", index(GOOGLEFINANCE($B$38,""close"",U$2,TODAY()),2,2))"),17.43)</f>
        <v>17.43</v>
      </c>
      <c r="V38" s="1">
        <f ca="1">IFERROR(__xludf.DUMMYFUNCTION("if(V$2="""","""", index(GOOGLEFINANCE($B$38,""close"",V$2,TODAY()),2,2))"),17.85)</f>
        <v>17.850000000000001</v>
      </c>
      <c r="W38" s="1">
        <f ca="1">IFERROR(__xludf.DUMMYFUNCTION("if(W$2="""","""", index(GOOGLEFINANCE($B$38,""close"",W$2,TODAY()),2,2))"),17.8)</f>
        <v>17.8</v>
      </c>
      <c r="X38" s="1">
        <f ca="1">IFERROR(__xludf.DUMMYFUNCTION("if(X$2="""","""", index(GOOGLEFINANCE($B$38,""close"",X$2,TODAY()),2,2))"),17.64)</f>
        <v>17.64</v>
      </c>
      <c r="Y38" s="1">
        <f ca="1">IFERROR(__xludf.DUMMYFUNCTION("if(Y$2="""","""", index(GOOGLEFINANCE($B$38,""close"",Y$2,TODAY()),2,2))"),17.36)</f>
        <v>17.36</v>
      </c>
      <c r="Z38" s="1">
        <f ca="1">IFERROR(__xludf.DUMMYFUNCTION("if(Z$2="""","""", index(GOOGLEFINANCE($B$38,""close"",Z$2,TODAY()),2,2))"),17.33)</f>
        <v>17.329999999999998</v>
      </c>
      <c r="AA38" s="1">
        <f ca="1">IFERROR(__xludf.DUMMYFUNCTION("if(AA$2="""","""", index(GOOGLEFINANCE($B$38,""close"",AA$2,TODAY()),2,2))"),17.39)</f>
        <v>17.39</v>
      </c>
      <c r="AB38" s="1">
        <f ca="1">IFERROR(__xludf.DUMMYFUNCTION("if(AB$2="""","""", index(GOOGLEFINANCE($B$38,""close"",AB$2,TODAY()),2,2))"),17.75)</f>
        <v>17.75</v>
      </c>
      <c r="AC38" s="1">
        <f ca="1">IFERROR(__xludf.DUMMYFUNCTION("if(AC$2="""","""", index(GOOGLEFINANCE($B$38,""close"",AC$2,TODAY()),2,2))"),18)</f>
        <v>18</v>
      </c>
      <c r="AD38" s="1">
        <f ca="1">IFERROR(__xludf.DUMMYFUNCTION("if(AD$2="""","""", index(GOOGLEFINANCE($B$38,""close"",AD$2,TODAY()),2,2))"),17.27)</f>
        <v>17.27</v>
      </c>
      <c r="AE38" s="1">
        <f ca="1">IFERROR(__xludf.DUMMYFUNCTION("if(AE$2="""","""", index(GOOGLEFINANCE($B$38,""close"",AE$2,TODAY()),2,2))"),17.02)</f>
        <v>17.02</v>
      </c>
      <c r="AF38" s="1">
        <f ca="1">IFERROR(__xludf.DUMMYFUNCTION("if(AF$2="""","""", index(GOOGLEFINANCE($B$38,""close"",AF$2,TODAY()),2,2))"),17.04)</f>
        <v>17.04</v>
      </c>
      <c r="AG38" s="1">
        <f ca="1">IFERROR(__xludf.DUMMYFUNCTION("if(AG$2="""","""", index(GOOGLEFINANCE($B$38,""close"",AG$2,TODAY()),2,2))"),17.53)</f>
        <v>17.53</v>
      </c>
      <c r="AH38" s="1">
        <f ca="1">IFERROR(__xludf.DUMMYFUNCTION("if(AH$2="""","""", index(GOOGLEFINANCE($B$38,""close"",AH$2,TODAY()),2,2))"),17.59)</f>
        <v>17.59</v>
      </c>
      <c r="AI38" s="1">
        <f ca="1">IFERROR(__xludf.DUMMYFUNCTION("if(AI$2="""","""", index(GOOGLEFINANCE($B$38,""close"",AI$2,TODAY()),2,2))"),17.25)</f>
        <v>17.25</v>
      </c>
      <c r="AJ38" s="1">
        <f ca="1">IFERROR(__xludf.DUMMYFUNCTION("if(AJ$2="""","""", index(GOOGLEFINANCE($B$38,""close"",AJ$2,TODAY()),2,2))"),17.31)</f>
        <v>17.309999999999999</v>
      </c>
      <c r="AK38" s="1">
        <f ca="1">IFERROR(__xludf.DUMMYFUNCTION("if(AK$2="""","""", index(GOOGLEFINANCE($B$38,""close"",AK$2,TODAY()),2,2))"),16.96)</f>
        <v>16.96</v>
      </c>
      <c r="AL38" s="1">
        <f ca="1">IFERROR(__xludf.DUMMYFUNCTION("if(AL$2="""","""", index(GOOGLEFINANCE($B$38,""close"",AL$2,TODAY()),2,2))"),16.66)</f>
        <v>16.66</v>
      </c>
      <c r="AM38" s="1">
        <f ca="1">IFERROR(__xludf.DUMMYFUNCTION("if(AM$2="""","""", index(GOOGLEFINANCE($B$38,""close"",AM$2,TODAY()),2,2))"),16.85)</f>
        <v>16.850000000000001</v>
      </c>
      <c r="AN38" s="1">
        <f ca="1">IFERROR(__xludf.DUMMYFUNCTION("if(AN$2="""","""", index(GOOGLEFINANCE($B$38,""close"",AN$2,TODAY()),2,2))"),17.11)</f>
        <v>17.11</v>
      </c>
      <c r="AO38" s="1">
        <f ca="1">IFERROR(__xludf.DUMMYFUNCTION("if(AO$2="""","""", index(GOOGLEFINANCE($B$38,""close"",AO$2,TODAY()),2,2))"),17.25)</f>
        <v>17.25</v>
      </c>
      <c r="AP38" s="1">
        <f ca="1">IFERROR(__xludf.DUMMYFUNCTION("if(AP$2="""","""", index(GOOGLEFINANCE($B$38,""close"",AP$2,TODAY()),2,2))"),16.95)</f>
        <v>16.95</v>
      </c>
      <c r="AQ38" s="1">
        <f ca="1">IFERROR(__xludf.DUMMYFUNCTION("if(AQ$2="""","""", index(GOOGLEFINANCE($B$38,""close"",AQ$2,TODAY()),2,2))"),17.57)</f>
        <v>17.57</v>
      </c>
      <c r="AR38" s="1">
        <f ca="1">IFERROR(__xludf.DUMMYFUNCTION("if(AR$2="""","""", index(GOOGLEFINANCE($B$38,""close"",AR$2,TODAY()),2,2))"),17.85)</f>
        <v>17.850000000000001</v>
      </c>
      <c r="AS38" s="1">
        <f ca="1">IFERROR(__xludf.DUMMYFUNCTION("if(AS$2="""","""", index(GOOGLEFINANCE($B$38,""close"",AS$2,TODAY()),2,2))"),18.15)</f>
        <v>18.149999999999999</v>
      </c>
      <c r="AT38" s="1">
        <f ca="1">IFERROR(__xludf.DUMMYFUNCTION("if(AT$2="""","""", index(GOOGLEFINANCE($B$38,""close"",AT$2,TODAY()),2,2))"),18.45)</f>
        <v>18.45</v>
      </c>
      <c r="AU38" s="1">
        <f ca="1">IFERROR(__xludf.DUMMYFUNCTION("if(AU$2="""","""", index(GOOGLEFINANCE($B$38,""close"",AU$2,TODAY()),2,2))"),18.85)</f>
        <v>18.850000000000001</v>
      </c>
      <c r="AV38" s="1">
        <f ca="1">IFERROR(__xludf.DUMMYFUNCTION("if(AV$2="""","""", index(GOOGLEFINANCE($B$38,""close"",AV$2,TODAY()),2,2))"),19.39)</f>
        <v>19.39</v>
      </c>
      <c r="AW38" s="1">
        <f ca="1">IFERROR(__xludf.DUMMYFUNCTION("if(AW$2="""","""", index(GOOGLEFINANCE($B$38,""close"",AW$2,TODAY()),2,2))"),19.39)</f>
        <v>19.39</v>
      </c>
      <c r="AX38" s="1">
        <f ca="1">IFERROR(__xludf.DUMMYFUNCTION("if(AX$2="""","""", index(GOOGLEFINANCE($B$38,""close"",AX$2,TODAY()),2,2))"),19.4)</f>
        <v>19.399999999999999</v>
      </c>
      <c r="AY38" s="1">
        <f ca="1">IFERROR(__xludf.DUMMYFUNCTION("if(AY$2="""","""", index(GOOGLEFINANCE($B$38,""close"",AY$2,TODAY()),2,2))"),19.31)</f>
        <v>19.309999999999999</v>
      </c>
      <c r="AZ38" s="1">
        <f ca="1">IFERROR(__xludf.DUMMYFUNCTION("if(AZ$2="""","""", index(GOOGLEFINANCE($B$38,""close"",AZ$2,TODAY()),2,2))"),19.61)</f>
        <v>19.61</v>
      </c>
      <c r="BA38" s="1">
        <f ca="1">IFERROR(__xludf.DUMMYFUNCTION("if(BA$2="""","""", index(GOOGLEFINANCE($B$38,""close"",BA$2,TODAY()),2,2))"),19.52)</f>
        <v>19.52</v>
      </c>
      <c r="BB38" s="1">
        <f ca="1">IFERROR(__xludf.DUMMYFUNCTION("if(BB$2="""","""", index(GOOGLEFINANCE($B$38,""close"",BB$2,TODAY()),2,2))"),19.8)</f>
        <v>19.8</v>
      </c>
      <c r="BC38" s="1">
        <f ca="1">IFERROR(__xludf.DUMMYFUNCTION("if(BC$2="""","""", index(GOOGLEFINANCE($B$38,""close"",BC$2,TODAY()),2,2))"),20.08)</f>
        <v>20.079999999999998</v>
      </c>
      <c r="BD38" s="1">
        <f ca="1">IFERROR(__xludf.DUMMYFUNCTION("if(BD$2="""","""", index(GOOGLEFINANCE($B$38,""close"",BD$2,TODAY()),2,2))"),20)</f>
        <v>20</v>
      </c>
      <c r="BE38" s="1">
        <f ca="1">IFERROR(__xludf.DUMMYFUNCTION("if(BE$2="""","""", index(GOOGLEFINANCE($B$38,""close"",BE$2,TODAY()),2,2))"),20.14)</f>
        <v>20.14</v>
      </c>
      <c r="BF38" s="1">
        <f ca="1">IFERROR(__xludf.DUMMYFUNCTION("if(BF$2="""","""", index(GOOGLEFINANCE($B$38,""close"",BF$2,TODAY()),2,2))"),21.09)</f>
        <v>21.09</v>
      </c>
      <c r="BG38" s="1">
        <f ca="1">IFERROR(__xludf.DUMMYFUNCTION("if(BG$2="""","""", index(GOOGLEFINANCE($B$38,""close"",BG$2,TODAY()),2,2))"),21.41)</f>
        <v>21.41</v>
      </c>
      <c r="BH38" s="1">
        <f ca="1">IFERROR(__xludf.DUMMYFUNCTION("if(BH$2="""","""", index(GOOGLEFINANCE($B$38,""close"",BH$2,TODAY()),2,2))"),21.94)</f>
        <v>21.94</v>
      </c>
      <c r="BI38" s="1">
        <f ca="1">IFERROR(__xludf.DUMMYFUNCTION("if(BI$2="""","""", index(GOOGLEFINANCE($B$38,""close"",BI$2,TODAY()),2,2))"),21.86)</f>
        <v>21.86</v>
      </c>
      <c r="BJ38" s="1">
        <f ca="1">IFERROR(__xludf.DUMMYFUNCTION("if(BJ$2="""","""", index(GOOGLEFINANCE($B$38,""close"",BJ$2,TODAY()),2,2))"),22.53)</f>
        <v>22.53</v>
      </c>
      <c r="BK38" s="1">
        <f ca="1">IFERROR(__xludf.DUMMYFUNCTION("if(BK$2="""","""", index(GOOGLEFINANCE($B$38,""close"",BK$2,TODAY()),2,2))"),21.62)</f>
        <v>21.62</v>
      </c>
      <c r="BL38" s="1">
        <f ca="1">IFERROR(__xludf.DUMMYFUNCTION("if(BL$2="""","""", index(GOOGLEFINANCE($B$38,""close"",BL$2,TODAY()),2,2))"),21.89)</f>
        <v>21.89</v>
      </c>
      <c r="BM38" s="1">
        <f ca="1">IFERROR(__xludf.DUMMYFUNCTION("if(BM$2="""","""", index(GOOGLEFINANCE($B$38,""close"",BM$2,TODAY()),2,2))"),21.43)</f>
        <v>21.43</v>
      </c>
      <c r="BN38" s="1">
        <f ca="1">IFERROR(__xludf.DUMMYFUNCTION("if(BN$2="""","""", index(GOOGLEFINANCE($B$38,""close"",BN$2,TODAY()),2,2))"),21.52)</f>
        <v>21.52</v>
      </c>
      <c r="BO38" s="1">
        <f ca="1">IFERROR(__xludf.DUMMYFUNCTION("if(BO$2="""","""", index(GOOGLEFINANCE($B$38,""close"",BO$2,TODAY()),2,2))"),20.9)</f>
        <v>20.9</v>
      </c>
      <c r="BP38" s="1">
        <f ca="1">IFERROR(__xludf.DUMMYFUNCTION("if(BP$2="""","""", index(GOOGLEFINANCE($B$38,""close"",BP$2,TODAY()),2,2))"),20.79)</f>
        <v>20.79</v>
      </c>
      <c r="BQ38" s="1">
        <f ca="1">IFERROR(__xludf.DUMMYFUNCTION("if(BQ$2="""","""", index(GOOGLEFINANCE($B$38,""close"",BQ$2,TODAY()),2,2))"),21.07)</f>
        <v>21.07</v>
      </c>
      <c r="BR38" s="1">
        <f ca="1">IFERROR(__xludf.DUMMYFUNCTION("if(BR$2="""","""", index(GOOGLEFINANCE($B$38,""close"",BR$2,TODAY()),2,2))"),20.29)</f>
        <v>20.29</v>
      </c>
      <c r="BS38" s="1">
        <f ca="1">IFERROR(__xludf.DUMMYFUNCTION("if(BS$2="""","""", index(GOOGLEFINANCE($B$38,""close"",BS$2,TODAY()),2,2))"),20.64)</f>
        <v>20.64</v>
      </c>
      <c r="BT38" s="1">
        <f ca="1">IFERROR(__xludf.DUMMYFUNCTION("if(BT$2="""","""", index(GOOGLEFINANCE($B$38,""close"",BT$2,TODAY()),2,2))"),20.63)</f>
        <v>20.63</v>
      </c>
      <c r="BU38" s="1">
        <f ca="1">IFERROR(__xludf.DUMMYFUNCTION("if(BU$2="""","""", index(GOOGLEFINANCE($B$38,""close"",BU$2,TODAY()),2,2))"),20.67)</f>
        <v>20.67</v>
      </c>
      <c r="BV38" s="1">
        <f ca="1">IFERROR(__xludf.DUMMYFUNCTION("if(BV$2="""","""", index(GOOGLEFINANCE($B$38,""close"",BV$2,TODAY()),2,2))"),20.3)</f>
        <v>20.3</v>
      </c>
      <c r="BW38" s="1">
        <f ca="1">IFERROR(__xludf.DUMMYFUNCTION("if(BW$2="""","""", index(GOOGLEFINANCE($B$38,""close"",BW$2,TODAY()),2,2))"),20.48)</f>
        <v>20.48</v>
      </c>
      <c r="BX38" s="1">
        <f ca="1">IFERROR(__xludf.DUMMYFUNCTION("if(BX$2="""","""", index(GOOGLEFINANCE($B$38,""close"",BX$2,TODAY()),2,2))"),20.94)</f>
        <v>20.94</v>
      </c>
      <c r="BY38" s="1">
        <f ca="1">IFERROR(__xludf.DUMMYFUNCTION("if(BY$2="""","""", index(GOOGLEFINANCE($B$38,""close"",BY$2,TODAY()),2,2))"),21.32)</f>
        <v>21.32</v>
      </c>
      <c r="BZ38" s="1">
        <f ca="1">IFERROR(__xludf.DUMMYFUNCTION("if(BZ$2="""","""", index(GOOGLEFINANCE($B$38,""close"",BZ$2,TODAY()),2,2))"),21.14)</f>
        <v>21.14</v>
      </c>
      <c r="CA38" s="1">
        <f ca="1">IFERROR(__xludf.DUMMYFUNCTION("if(CA$2="""","""", index(GOOGLEFINANCE($B$38,""close"",CA$2,TODAY()),2,2))"),20.7)</f>
        <v>20.7</v>
      </c>
      <c r="CB38" s="1">
        <f ca="1">IFERROR(__xludf.DUMMYFUNCTION("if(CB$2="""","""", index(GOOGLEFINANCE($B$38,""close"",CB$2,TODAY()),2,2))"),20.67)</f>
        <v>20.67</v>
      </c>
      <c r="CC38" s="1">
        <f ca="1">IFERROR(__xludf.DUMMYFUNCTION("if(CC$2="""","""", index(GOOGLEFINANCE($B$38,""close"",CC$2,TODAY()),2,2))"),20.1)</f>
        <v>20.100000000000001</v>
      </c>
      <c r="CD38" s="1">
        <f ca="1">IFERROR(__xludf.DUMMYFUNCTION("if(CD$2="""","""", index(GOOGLEFINANCE($B$38,""close"",CD$2,TODAY()),2,2))"),20.2)</f>
        <v>20.2</v>
      </c>
      <c r="CE38" s="1">
        <f ca="1">IFERROR(__xludf.DUMMYFUNCTION("if(CE$2="""","""", index(GOOGLEFINANCE($B$38,""close"",CE$2,TODAY()),2,2))"),20.47)</f>
        <v>20.47</v>
      </c>
      <c r="CF38" s="1">
        <f ca="1">IFERROR(__xludf.DUMMYFUNCTION("if(CF$2="""","""", index(GOOGLEFINANCE($B$38,""close"",CF$2,TODAY()),2,2))"),20.08)</f>
        <v>20.079999999999998</v>
      </c>
      <c r="CG38" s="1">
        <f ca="1">IFERROR(__xludf.DUMMYFUNCTION("if(CG$2="""","""", index(GOOGLEFINANCE($B$38,""close"",CG$2,TODAY()),2,2))"),20.29)</f>
        <v>20.29</v>
      </c>
      <c r="CH38" s="1">
        <f ca="1">IFERROR(__xludf.DUMMYFUNCTION("if(CH$2="""","""", index(GOOGLEFINANCE($B$38,""close"",CH$2,TODAY()),2,2))"),20.48)</f>
        <v>20.48</v>
      </c>
      <c r="CI38" s="1">
        <f ca="1">IFERROR(__xludf.DUMMYFUNCTION("if(CI$2="""","""", index(GOOGLEFINANCE($B$38,""close"",CI$2,TODAY()),2,2))"),21.52)</f>
        <v>21.52</v>
      </c>
      <c r="CJ38" s="1" t="str">
        <f ca="1">IFERROR(__xludf.DUMMYFUNCTION("if(CJ$2="""","""", index(GOOGLEFINANCE($B$38,""close"",CJ$2,TODAY()),2,2))"),"")</f>
        <v/>
      </c>
      <c r="CK38" s="1" t="str">
        <f ca="1">IFERROR(__xludf.DUMMYFUNCTION("if(CK$2="""","""", index(GOOGLEFINANCE($B$38,""close"",CK$2,TODAY()),2,2))"),"")</f>
        <v/>
      </c>
      <c r="CL38" s="1" t="str">
        <f ca="1">IFERROR(__xludf.DUMMYFUNCTION("if(CL$2="""","""", index(GOOGLEFINANCE($B$38,""close"",CL$2,TODAY()),2,2))"),"")</f>
        <v/>
      </c>
      <c r="CM38" s="1" t="str">
        <f ca="1">IFERROR(__xludf.DUMMYFUNCTION("if(CM$2="""","""", index(GOOGLEFINANCE($B$38,""close"",CM$2,TODAY()),2,2))"),"")</f>
        <v/>
      </c>
      <c r="CN38" s="1" t="str">
        <f ca="1">IFERROR(__xludf.DUMMYFUNCTION("if(CN$2="""","""", index(GOOGLEFINANCE($B$38,""close"",CN$2,TODAY()),2,2))"),"")</f>
        <v/>
      </c>
      <c r="CO38" s="1" t="str">
        <f ca="1">IFERROR(__xludf.DUMMYFUNCTION("if(CO$2="""","""", index(GOOGLEFINANCE($B$38,""close"",CO$2,TODAY()),2,2))"),"")</f>
        <v/>
      </c>
      <c r="CP38" s="1" t="str">
        <f ca="1">IFERROR(__xludf.DUMMYFUNCTION("if(CP$2="""","""", index(GOOGLEFINANCE($B$38,""close"",CP$2,TODAY()),2,2))"),"")</f>
        <v/>
      </c>
      <c r="CQ38" s="1" t="str">
        <f ca="1">IFERROR(__xludf.DUMMYFUNCTION("if(CQ$2="""","""", index(GOOGLEFINANCE($B$38,""close"",CQ$2,TODAY()),2,2))"),"")</f>
        <v/>
      </c>
      <c r="CR38" s="1" t="str">
        <f ca="1">IFERROR(__xludf.DUMMYFUNCTION("if(CR$2="""","""", index(GOOGLEFINANCE($B$38,""close"",CR$2,TODAY()),2,2))"),"")</f>
        <v/>
      </c>
      <c r="CS38" s="1" t="str">
        <f ca="1">IFERROR(__xludf.DUMMYFUNCTION("if(CS$2="""","""", index(GOOGLEFINANCE($B$38,""close"",CS$2,TODAY()),2,2))"),"")</f>
        <v/>
      </c>
      <c r="CT38" s="1" t="str">
        <f ca="1">IFERROR(__xludf.DUMMYFUNCTION("if(CT$2="""","""", index(GOOGLEFINANCE($B$38,""close"",CT$2,TODAY()),2,2))"),"")</f>
        <v/>
      </c>
      <c r="CU38" s="1" t="str">
        <f ca="1">IFERROR(__xludf.DUMMYFUNCTION("if(CU$2="""","""", index(GOOGLEFINANCE($B$38,""close"",CU$2,TODAY()),2,2))"),"")</f>
        <v/>
      </c>
      <c r="CV38" s="1" t="str">
        <f ca="1">IFERROR(__xludf.DUMMYFUNCTION("if(CV$2="""","""", index(GOOGLEFINANCE($B$38,""close"",CV$2,TODAY()),2,2))"),"")</f>
        <v/>
      </c>
      <c r="CW38" s="1" t="str">
        <f ca="1">IFERROR(__xludf.DUMMYFUNCTION("if(CW$2="""","""", index(GOOGLEFINANCE($B$38,""close"",CW$2,TODAY()),2,2))"),"")</f>
        <v/>
      </c>
      <c r="CX38" s="1" t="str">
        <f ca="1">IFERROR(__xludf.DUMMYFUNCTION("if(CX$2="""","""", index(GOOGLEFINANCE($B$38,""close"",CX$2,TODAY()),2,2))"),"")</f>
        <v/>
      </c>
      <c r="CY38" s="1" t="str">
        <f ca="1">IFERROR(__xludf.DUMMYFUNCTION("if(CY$2="""","""", index(GOOGLEFINANCE($B$38,""close"",CY$2,TODAY()),2,2))"),"")</f>
        <v/>
      </c>
      <c r="CZ38" s="1" t="str">
        <f ca="1">IFERROR(__xludf.DUMMYFUNCTION("if(CZ$2="""","""", index(GOOGLEFINANCE($B$38,""close"",CZ$2,TODAY()),2,2))"),"")</f>
        <v/>
      </c>
      <c r="DA38" s="1" t="str">
        <f ca="1">IFERROR(__xludf.DUMMYFUNCTION("if(DA$2="""","""", index(GOOGLEFINANCE($B$38,""close"",DA$2,TODAY()),2,2))"),"")</f>
        <v/>
      </c>
      <c r="DB38" s="1" t="str">
        <f ca="1">IFERROR(__xludf.DUMMYFUNCTION("if(DB$2="""","""", index(GOOGLEFINANCE($B$38,""close"",DB$2,TODAY()),2,2))"),"")</f>
        <v/>
      </c>
      <c r="DC38" s="1" t="str">
        <f ca="1">IFERROR(__xludf.DUMMYFUNCTION("if(DC$2="""","""", index(GOOGLEFINANCE($B$38,""close"",DC$2,TODAY()),2,2))"),"")</f>
        <v/>
      </c>
      <c r="DD38" s="1" t="str">
        <f ca="1">IFERROR(__xludf.DUMMYFUNCTION("if(DD$2="""","""", index(GOOGLEFINANCE($B$38,""close"",DD$2,TODAY()),2,2))"),"")</f>
        <v/>
      </c>
      <c r="DE38" s="1" t="str">
        <f ca="1">IFERROR(__xludf.DUMMYFUNCTION("if(DE$2="""","""", index(GOOGLEFINANCE($B$38,""close"",DE$2,TODAY()),2,2))"),"")</f>
        <v/>
      </c>
      <c r="DF38" s="1" t="str">
        <f ca="1">IFERROR(__xludf.DUMMYFUNCTION("if(DF$2="""","""", index(GOOGLEFINANCE($B$38,""close"",DF$2,TODAY()),2,2))"),"")</f>
        <v/>
      </c>
      <c r="DG38" s="1" t="str">
        <f ca="1">IFERROR(__xludf.DUMMYFUNCTION("if(DG$2="""","""", index(GOOGLEFINANCE($B$38,""close"",DG$2,TODAY()),2,2))"),"")</f>
        <v/>
      </c>
      <c r="DH38" s="1" t="str">
        <f ca="1">IFERROR(__xludf.DUMMYFUNCTION("if(DH$2="""","""", index(GOOGLEFINANCE($B$38,""close"",DH$2,TODAY()),2,2))"),"")</f>
        <v/>
      </c>
      <c r="DI38" s="1" t="str">
        <f ca="1">IFERROR(__xludf.DUMMYFUNCTION("if(DI$2="""","""", index(GOOGLEFINANCE($B$38,""close"",DI$2,TODAY()),2,2))"),"")</f>
        <v/>
      </c>
      <c r="DJ38" s="1" t="str">
        <f ca="1">IFERROR(__xludf.DUMMYFUNCTION("if(DJ$2="""","""", index(GOOGLEFINANCE($B$38,""close"",DJ$2,TODAY()),2,2))"),"")</f>
        <v/>
      </c>
      <c r="DK38" s="1" t="str">
        <f ca="1">IFERROR(__xludf.DUMMYFUNCTION("if(DK$2="""","""", index(GOOGLEFINANCE($B$38,""close"",DK$2,TODAY()),2,2))"),"")</f>
        <v/>
      </c>
      <c r="DL38" s="1" t="str">
        <f ca="1">IFERROR(__xludf.DUMMYFUNCTION("if(DL$2="""","""", index(GOOGLEFINANCE($B$38,""close"",DL$2,TODAY()),2,2))"),"")</f>
        <v/>
      </c>
      <c r="DM38" s="1" t="str">
        <f ca="1">IFERROR(__xludf.DUMMYFUNCTION("if(DM$2="""","""", index(GOOGLEFINANCE($B$38,""close"",DM$2,TODAY()),2,2))"),"")</f>
        <v/>
      </c>
      <c r="DN38" s="1" t="str">
        <f ca="1">IFERROR(__xludf.DUMMYFUNCTION("if(DN$2="""","""", index(GOOGLEFINANCE($B$38,""close"",DN$2,TODAY()),2,2))"),"")</f>
        <v/>
      </c>
      <c r="DO38" s="1" t="str">
        <f ca="1">IFERROR(__xludf.DUMMYFUNCTION("if(DO$2="""","""", index(GOOGLEFINANCE($B$38,""close"",DO$2,TODAY()),2,2))"),"")</f>
        <v/>
      </c>
      <c r="DP38" s="1" t="str">
        <f ca="1">IFERROR(__xludf.DUMMYFUNCTION("if(DP$2="""","""", index(GOOGLEFINANCE($B$38,""close"",DP$2,TODAY()),2,2))"),"")</f>
        <v/>
      </c>
      <c r="DQ38" s="1" t="str">
        <f ca="1">IFERROR(__xludf.DUMMYFUNCTION("if(DQ$2="""","""", index(GOOGLEFINANCE($B$38,""close"",DQ$2,TODAY()),2,2))"),"")</f>
        <v/>
      </c>
      <c r="DR38" s="1" t="str">
        <f ca="1">IFERROR(__xludf.DUMMYFUNCTION("if(DR$2="""","""", index(GOOGLEFINANCE($B$38,""close"",DR$2,TODAY()),2,2))"),"")</f>
        <v/>
      </c>
      <c r="DS38" s="1" t="str">
        <f ca="1">IFERROR(__xludf.DUMMYFUNCTION("if(DS$2="""","""", index(GOOGLEFINANCE($B$38,""close"",DS$2,TODAY()),2,2))"),"")</f>
        <v/>
      </c>
      <c r="DT38" s="1" t="str">
        <f ca="1">IFERROR(__xludf.DUMMYFUNCTION("if(DT$2="""","""", index(GOOGLEFINANCE($B$38,""close"",DT$2,TODAY()),2,2))"),"")</f>
        <v/>
      </c>
      <c r="DU38" s="1" t="str">
        <f ca="1">IFERROR(__xludf.DUMMYFUNCTION("if(DU$2="""","""", index(GOOGLEFINANCE($B$38,""close"",DU$2,TODAY()),2,2))"),"")</f>
        <v/>
      </c>
      <c r="DV38" s="1" t="str">
        <f ca="1">IFERROR(__xludf.DUMMYFUNCTION("if(DV$2="""","""", index(GOOGLEFINANCE($B$38,""close"",DV$2,TODAY()),2,2))"),"")</f>
        <v/>
      </c>
      <c r="DW38" s="1" t="str">
        <f ca="1">IFERROR(__xludf.DUMMYFUNCTION("if(DW$2="""","""", index(GOOGLEFINANCE($B$38,""close"",DW$2,TODAY()),2,2))"),"")</f>
        <v/>
      </c>
      <c r="DX38" s="1" t="str">
        <f ca="1">IFERROR(__xludf.DUMMYFUNCTION("if(DX$2="""","""", index(GOOGLEFINANCE($B$38,""close"",DX$2,TODAY()),2,2))"),"")</f>
        <v/>
      </c>
      <c r="DY38" s="1" t="str">
        <f ca="1">IFERROR(__xludf.DUMMYFUNCTION("if(DY$2="""","""", index(GOOGLEFINANCE($B$38,""close"",DY$2,TODAY()),2,2))"),"")</f>
        <v/>
      </c>
      <c r="DZ38" s="1" t="str">
        <f ca="1">IFERROR(__xludf.DUMMYFUNCTION("if(DZ$2="""","""", index(GOOGLEFINANCE($B$38,""close"",DZ$2,TODAY()),2,2))"),"")</f>
        <v/>
      </c>
      <c r="EA38" s="1" t="str">
        <f ca="1">IFERROR(__xludf.DUMMYFUNCTION("if(EA$2="""","""", index(GOOGLEFINANCE($B$38,""close"",EA$2,TODAY()),2,2))"),"")</f>
        <v/>
      </c>
      <c r="EB38" s="1" t="str">
        <f ca="1">IFERROR(__xludf.DUMMYFUNCTION("if(EB$2="""","""", index(GOOGLEFINANCE($B$38,""close"",EB$2,TODAY()),2,2))"),"")</f>
        <v/>
      </c>
      <c r="EC38" s="1" t="str">
        <f ca="1">IFERROR(__xludf.DUMMYFUNCTION("if(EC$2="""","""", index(GOOGLEFINANCE($B$38,""close"",EC$2,TODAY()),2,2))"),"")</f>
        <v/>
      </c>
      <c r="ED38" s="1" t="str">
        <f ca="1">IFERROR(__xludf.DUMMYFUNCTION("if(ED$2="""","""", index(GOOGLEFINANCE($B$38,""close"",ED$2,TODAY()),2,2))"),"")</f>
        <v/>
      </c>
      <c r="EE38" s="1" t="str">
        <f ca="1">IFERROR(__xludf.DUMMYFUNCTION("if(EE$2="""","""", index(GOOGLEFINANCE($B$38,""close"",EE$2,TODAY()),2,2))"),"")</f>
        <v/>
      </c>
      <c r="EF38" s="1" t="str">
        <f ca="1">IFERROR(__xludf.DUMMYFUNCTION("if(EF$2="""","""", index(GOOGLEFINANCE($B$38,""close"",EF$2,TODAY()),2,2))"),"")</f>
        <v/>
      </c>
      <c r="EG38" s="1" t="str">
        <f ca="1">IFERROR(__xludf.DUMMYFUNCTION("if(EG$2="""","""", index(GOOGLEFINANCE($B$38,""close"",EG$2,TODAY()),2,2))"),"")</f>
        <v/>
      </c>
      <c r="EH38" s="1" t="str">
        <f ca="1">IFERROR(__xludf.DUMMYFUNCTION("if(EH$2="""","""", index(GOOGLEFINANCE($B$38,""close"",EH$2,TODAY()),2,2))"),"")</f>
        <v/>
      </c>
      <c r="EI38" s="1" t="str">
        <f ca="1">IFERROR(__xludf.DUMMYFUNCTION("if(EI$2="""","""", index(GOOGLEFINANCE($B$38,""close"",EI$2,TODAY()),2,2))"),"")</f>
        <v/>
      </c>
      <c r="EJ38" s="1" t="str">
        <f ca="1">IFERROR(__xludf.DUMMYFUNCTION("if(EJ$2="""","""", index(GOOGLEFINANCE($B$38,""close"",EJ$2,TODAY()),2,2))"),"")</f>
        <v/>
      </c>
      <c r="EK38" s="1" t="str">
        <f ca="1">IFERROR(__xludf.DUMMYFUNCTION("if(EK$2="""","""", index(GOOGLEFINANCE($B$38,""close"",EK$2,TODAY()),2,2))"),"")</f>
        <v/>
      </c>
      <c r="EL38" s="1" t="str">
        <f ca="1">IFERROR(__xludf.DUMMYFUNCTION("if(EL$2="""","""", index(GOOGLEFINANCE($B$38,""close"",EL$2,TODAY()),2,2))"),"")</f>
        <v/>
      </c>
      <c r="EM38" s="1" t="str">
        <f ca="1">IFERROR(__xludf.DUMMYFUNCTION("if(EM$2="""","""", index(GOOGLEFINANCE($B$38,""close"",EM$2,TODAY()),2,2))"),"")</f>
        <v/>
      </c>
      <c r="EN38" s="1" t="str">
        <f ca="1">IFERROR(__xludf.DUMMYFUNCTION("if(EN$2="""","""", index(GOOGLEFINANCE($B$38,""close"",EN$2,TODAY()),2,2))"),"")</f>
        <v/>
      </c>
      <c r="EO38" s="1" t="str">
        <f ca="1">IFERROR(__xludf.DUMMYFUNCTION("if(EO$2="""","""", index(GOOGLEFINANCE($B$38,""close"",EO$2,TODAY()),2,2))"),"")</f>
        <v/>
      </c>
      <c r="EP38" s="1" t="str">
        <f ca="1">IFERROR(__xludf.DUMMYFUNCTION("if(EP$2="""","""", index(GOOGLEFINANCE($B$38,""close"",EP$2,TODAY()),2,2))"),"")</f>
        <v/>
      </c>
      <c r="EQ38" s="1" t="str">
        <f ca="1">IFERROR(__xludf.DUMMYFUNCTION("if(EQ$2="""","""", index(GOOGLEFINANCE($B$38,""close"",EQ$2,TODAY()),2,2))"),"")</f>
        <v/>
      </c>
      <c r="ER38" s="1" t="str">
        <f ca="1">IFERROR(__xludf.DUMMYFUNCTION("if(ER$2="""","""", index(GOOGLEFINANCE($B$38,""close"",ER$2,TODAY()),2,2))"),"")</f>
        <v/>
      </c>
      <c r="ES38" s="1" t="str">
        <f ca="1">IFERROR(__xludf.DUMMYFUNCTION("if(ES$2="""","""", index(GOOGLEFINANCE($B$38,""close"",ES$2,TODAY()),2,2))"),"")</f>
        <v/>
      </c>
      <c r="ET38" s="1" t="str">
        <f ca="1">IFERROR(__xludf.DUMMYFUNCTION("if(ET$2="""","""", index(GOOGLEFINANCE($B$38,""close"",ET$2,TODAY()),2,2))"),"")</f>
        <v/>
      </c>
      <c r="EU38" s="1" t="str">
        <f ca="1">IFERROR(__xludf.DUMMYFUNCTION("if(EU$2="""","""", index(GOOGLEFINANCE($B$38,""close"",EU$2,TODAY()),2,2))"),"")</f>
        <v/>
      </c>
      <c r="EV38" s="1" t="str">
        <f ca="1">IFERROR(__xludf.DUMMYFUNCTION("if(EV$2="""","""", index(GOOGLEFINANCE($B$38,""close"",EV$2,TODAY()),2,2))"),"")</f>
        <v/>
      </c>
      <c r="EW38" s="1" t="str">
        <f ca="1">IFERROR(__xludf.DUMMYFUNCTION("if(EW$2="""","""", index(GOOGLEFINANCE($B$38,""close"",EW$2,TODAY()),2,2))"),"")</f>
        <v/>
      </c>
      <c r="EX38" s="1" t="str">
        <f ca="1">IFERROR(__xludf.DUMMYFUNCTION("if(EX$2="""","""", index(GOOGLEFINANCE($B$38,""close"",EX$2,TODAY()),2,2))"),"")</f>
        <v/>
      </c>
      <c r="EY38" s="1" t="str">
        <f ca="1">IFERROR(__xludf.DUMMYFUNCTION("if(EY$2="""","""", index(GOOGLEFINANCE($B$38,""close"",EY$2,TODAY()),2,2))"),"")</f>
        <v/>
      </c>
      <c r="EZ38" s="1" t="str">
        <f ca="1">IFERROR(__xludf.DUMMYFUNCTION("if(EZ$2="""","""", index(GOOGLEFINANCE($B$38,""close"",EZ$2,TODAY()),2,2))"),"")</f>
        <v/>
      </c>
      <c r="FA38" s="1" t="str">
        <f ca="1">IFERROR(__xludf.DUMMYFUNCTION("if(FA$2="""","""", index(GOOGLEFINANCE($B$38,""close"",FA$2,TODAY()),2,2))"),"")</f>
        <v/>
      </c>
      <c r="FB38" s="1" t="str">
        <f ca="1">IFERROR(__xludf.DUMMYFUNCTION("if(FB$2="""","""", index(GOOGLEFINANCE($B$38,""close"",FB$2,TODAY()),2,2))"),"")</f>
        <v/>
      </c>
      <c r="FC38" s="1" t="str">
        <f ca="1">IFERROR(__xludf.DUMMYFUNCTION("if(FC$2="""","""", index(GOOGLEFINANCE($B$38,""close"",FC$2,TODAY()),2,2))"),"")</f>
        <v/>
      </c>
      <c r="FD38" s="1" t="str">
        <f ca="1">IFERROR(__xludf.DUMMYFUNCTION("if(FD$2="""","""", index(GOOGLEFINANCE($B$38,""close"",FD$2,TODAY()),2,2))"),"")</f>
        <v/>
      </c>
      <c r="FE38" s="1" t="str">
        <f ca="1">IFERROR(__xludf.DUMMYFUNCTION("if(FE$2="""","""", index(GOOGLEFINANCE($B$38,""close"",FE$2,TODAY()),2,2))"),"")</f>
        <v/>
      </c>
      <c r="FF38" s="1" t="str">
        <f ca="1">IFERROR(__xludf.DUMMYFUNCTION("if(FF$2="""","""", index(GOOGLEFINANCE($B$38,""close"",FF$2,TODAY()),2,2))"),"")</f>
        <v/>
      </c>
      <c r="FG38" s="1" t="str">
        <f ca="1">IFERROR(__xludf.DUMMYFUNCTION("if(FG$2="""","""", index(GOOGLEFINANCE($B$38,""close"",FG$2,TODAY()),2,2))"),"")</f>
        <v/>
      </c>
      <c r="FH38" s="1" t="str">
        <f ca="1">IFERROR(__xludf.DUMMYFUNCTION("if(FH$2="""","""", index(GOOGLEFINANCE($B$38,""close"",FH$2,TODAY()),2,2))"),"")</f>
        <v/>
      </c>
      <c r="FI38" s="1" t="str">
        <f ca="1">IFERROR(__xludf.DUMMYFUNCTION("if(FI$2="""","""", index(GOOGLEFINANCE($B$38,""close"",FI$2,TODAY()),2,2))"),"")</f>
        <v/>
      </c>
      <c r="FJ38" s="1" t="str">
        <f ca="1">IFERROR(__xludf.DUMMYFUNCTION("if(FJ$2="""","""", index(GOOGLEFINANCE($B$38,""close"",FJ$2,TODAY()),2,2))"),"")</f>
        <v/>
      </c>
      <c r="FK38" s="1" t="str">
        <f ca="1">IFERROR(__xludf.DUMMYFUNCTION("if(FK$2="""","""", index(GOOGLEFINANCE($B$38,""close"",FK$2,TODAY()),2,2))"),"")</f>
        <v/>
      </c>
      <c r="FL38" s="1" t="str">
        <f ca="1">IFERROR(__xludf.DUMMYFUNCTION("if(FL$2="""","""", index(GOOGLEFINANCE($B$38,""close"",FL$2,TODAY()),2,2))"),"")</f>
        <v/>
      </c>
      <c r="FM38" s="1" t="str">
        <f ca="1">IFERROR(__xludf.DUMMYFUNCTION("if(FM$2="""","""", index(GOOGLEFINANCE($B$38,""close"",FM$2,TODAY()),2,2))"),"")</f>
        <v/>
      </c>
      <c r="FN38" s="1" t="str">
        <f ca="1">IFERROR(__xludf.DUMMYFUNCTION("if(FN$2="""","""", index(GOOGLEFINANCE($B$38,""close"",FN$2,TODAY()),2,2))"),"")</f>
        <v/>
      </c>
      <c r="FO38" s="1" t="str">
        <f ca="1">IFERROR(__xludf.DUMMYFUNCTION("if(FO$2="""","""", index(GOOGLEFINANCE($B$38,""close"",FO$2,TODAY()),2,2))"),"")</f>
        <v/>
      </c>
      <c r="FP38" s="1" t="str">
        <f ca="1">IFERROR(__xludf.DUMMYFUNCTION("if(FP$2="""","""", index(GOOGLEFINANCE($B$38,""close"",FP$2,TODAY()),2,2))"),"")</f>
        <v/>
      </c>
      <c r="FQ38" s="1" t="str">
        <f ca="1">IFERROR(__xludf.DUMMYFUNCTION("if(FQ$2="""","""", index(GOOGLEFINANCE($B$38,""close"",FQ$2,TODAY()),2,2))"),"")</f>
        <v/>
      </c>
      <c r="FR38" s="1" t="str">
        <f ca="1">IFERROR(__xludf.DUMMYFUNCTION("if(FR$2="""","""", index(GOOGLEFINANCE($B$38,""close"",FR$2,TODAY()),2,2))"),"")</f>
        <v/>
      </c>
      <c r="FS38" s="1" t="str">
        <f ca="1">IFERROR(__xludf.DUMMYFUNCTION("if(FS$2="""","""", index(GOOGLEFINANCE($B$38,""close"",FS$2,TODAY()),2,2))"),"")</f>
        <v/>
      </c>
      <c r="FT38" s="1" t="str">
        <f ca="1">IFERROR(__xludf.DUMMYFUNCTION("if(FT$2="""","""", index(GOOGLEFINANCE($B$38,""close"",FT$2,TODAY()),2,2))"),"")</f>
        <v/>
      </c>
      <c r="FU38" s="1" t="str">
        <f ca="1">IFERROR(__xludf.DUMMYFUNCTION("if(FU$2="""","""", index(GOOGLEFINANCE($B$38,""close"",FU$2,TODAY()),2,2))"),"")</f>
        <v/>
      </c>
      <c r="FV38" s="1" t="str">
        <f ca="1">IFERROR(__xludf.DUMMYFUNCTION("if(FV$2="""","""", index(GOOGLEFINANCE($B$38,""close"",FV$2,TODAY()),2,2))"),"")</f>
        <v/>
      </c>
      <c r="FW38" s="1" t="str">
        <f ca="1">IFERROR(__xludf.DUMMYFUNCTION("if(FW$2="""","""", index(GOOGLEFINANCE($B$38,""close"",FW$2,TODAY()),2,2))"),"")</f>
        <v/>
      </c>
      <c r="FX38" s="1" t="str">
        <f ca="1">IFERROR(__xludf.DUMMYFUNCTION("if(FX$2="""","""", index(GOOGLEFINANCE($B$38,""close"",FX$2,TODAY()),2,2))"),"")</f>
        <v/>
      </c>
      <c r="FY38" s="1" t="str">
        <f ca="1">IFERROR(__xludf.DUMMYFUNCTION("if(FY$2="""","""", index(GOOGLEFINANCE($B$38,""close"",FY$2,TODAY()),2,2))"),"")</f>
        <v/>
      </c>
      <c r="FZ38" s="1" t="str">
        <f ca="1">IFERROR(__xludf.DUMMYFUNCTION("if(FZ$2="""","""", index(GOOGLEFINANCE($B$38,""close"",FZ$2,TODAY()),2,2))"),"")</f>
        <v/>
      </c>
      <c r="GA38" s="1" t="str">
        <f ca="1">IFERROR(__xludf.DUMMYFUNCTION("if(GA$2="""","""", index(GOOGLEFINANCE($B$38,""close"",GA$2,TODAY()),2,2))"),"")</f>
        <v/>
      </c>
      <c r="GB38" s="1" t="str">
        <f ca="1">IFERROR(__xludf.DUMMYFUNCTION("if(GB$2="""","""", index(GOOGLEFINANCE($B$38,""close"",GB$2,TODAY()),2,2))"),"")</f>
        <v/>
      </c>
      <c r="GC38" s="1" t="str">
        <f ca="1">IFERROR(__xludf.DUMMYFUNCTION("if(GC$2="""","""", index(GOOGLEFINANCE($B$38,""close"",GC$2,TODAY()),2,2))"),"")</f>
        <v/>
      </c>
      <c r="GD38" s="1" t="str">
        <f ca="1">IFERROR(__xludf.DUMMYFUNCTION("if(GD$2="""","""", index(GOOGLEFINANCE($B$38,""close"",GD$2,TODAY()),2,2))"),"")</f>
        <v/>
      </c>
      <c r="GE38" s="1" t="str">
        <f ca="1">IFERROR(__xludf.DUMMYFUNCTION("if(GE$2="""","""", index(GOOGLEFINANCE($B$38,""close"",GE$2,TODAY()),2,2))"),"")</f>
        <v/>
      </c>
      <c r="GF38" s="1" t="str">
        <f ca="1">IFERROR(__xludf.DUMMYFUNCTION("if(GF$2="""","""", index(GOOGLEFINANCE($B$38,""close"",GF$2,TODAY()),2,2))"),"")</f>
        <v/>
      </c>
      <c r="GG38" s="1" t="str">
        <f ca="1">IFERROR(__xludf.DUMMYFUNCTION("if(GG$2="""","""", index(GOOGLEFINANCE($B$38,""close"",GG$2,TODAY()),2,2))"),"")</f>
        <v/>
      </c>
      <c r="GH38" s="1" t="str">
        <f ca="1">IFERROR(__xludf.DUMMYFUNCTION("if(GH$2="""","""", index(GOOGLEFINANCE($B$38,""close"",GH$2,TODAY()),2,2))"),"")</f>
        <v/>
      </c>
      <c r="GI38" s="1" t="str">
        <f ca="1">IFERROR(__xludf.DUMMYFUNCTION("if(GI$2="""","""", index(GOOGLEFINANCE($B$38,""close"",GI$2,TODAY()),2,2))"),"")</f>
        <v/>
      </c>
      <c r="GJ38" s="1" t="str">
        <f ca="1">IFERROR(__xludf.DUMMYFUNCTION("if(GJ$2="""","""", index(GOOGLEFINANCE($B$38,""close"",GJ$2,TODAY()),2,2))"),"")</f>
        <v/>
      </c>
      <c r="GK38" s="1" t="str">
        <f ca="1">IFERROR(__xludf.DUMMYFUNCTION("if(GK$2="""","""", index(GOOGLEFINANCE($B$38,""close"",GK$2,TODAY()),2,2))"),"")</f>
        <v/>
      </c>
      <c r="GL38" s="1" t="str">
        <f ca="1">IFERROR(__xludf.DUMMYFUNCTION("if(GL$2="""","""", index(GOOGLEFINANCE($B$38,""close"",GL$2,TODAY()),2,2))"),"")</f>
        <v/>
      </c>
      <c r="GM38" s="1" t="str">
        <f ca="1">IFERROR(__xludf.DUMMYFUNCTION("if(GM$2="""","""", index(GOOGLEFINANCE($B$38,""close"",GM$2,TODAY()),2,2))"),"")</f>
        <v/>
      </c>
      <c r="GN38" s="1" t="str">
        <f ca="1">IFERROR(__xludf.DUMMYFUNCTION("if(GN$2="""","""", index(GOOGLEFINANCE($B$38,""close"",GN$2,TODAY()),2,2))"),"")</f>
        <v/>
      </c>
      <c r="GO38" s="1" t="str">
        <f ca="1">IFERROR(__xludf.DUMMYFUNCTION("if(GO$2="""","""", index(GOOGLEFINANCE($B$38,""close"",GO$2,TODAY()),2,2))"),"")</f>
        <v/>
      </c>
      <c r="GP38" s="1" t="str">
        <f ca="1">IFERROR(__xludf.DUMMYFUNCTION("if(GP$2="""","""", index(GOOGLEFINANCE($B$38,""close"",GP$2,TODAY()),2,2))"),"")</f>
        <v/>
      </c>
      <c r="GQ38" s="1" t="str">
        <f ca="1">IFERROR(__xludf.DUMMYFUNCTION("if(GQ$2="""","""", index(GOOGLEFINANCE($B$38,""close"",GQ$2,TODAY()),2,2))"),"")</f>
        <v/>
      </c>
      <c r="GR38" s="1" t="str">
        <f ca="1">IFERROR(__xludf.DUMMYFUNCTION("if(GR$2="""","""", index(GOOGLEFINANCE($B$38,""close"",GR$2,TODAY()),2,2))"),"")</f>
        <v/>
      </c>
      <c r="GS38" s="1" t="str">
        <f ca="1">IFERROR(__xludf.DUMMYFUNCTION("if(GS$2="""","""", index(GOOGLEFINANCE($B$38,""close"",GS$2,TODAY()),2,2))"),"")</f>
        <v/>
      </c>
      <c r="GT38" s="1" t="str">
        <f ca="1">IFERROR(__xludf.DUMMYFUNCTION("if(GT$2="""","""", index(GOOGLEFINANCE($B$38,""close"",GT$2,TODAY()),2,2))"),"")</f>
        <v/>
      </c>
      <c r="GU38" s="1" t="str">
        <f ca="1">IFERROR(__xludf.DUMMYFUNCTION("if(GU$2="""","""", index(GOOGLEFINANCE($B$38,""close"",GU$2,TODAY()),2,2))"),"")</f>
        <v/>
      </c>
      <c r="GV38" s="1" t="str">
        <f ca="1">IFERROR(__xludf.DUMMYFUNCTION("if(GV$2="""","""", index(GOOGLEFINANCE($B$38,""close"",GV$2,TODAY()),2,2))"),"")</f>
        <v/>
      </c>
      <c r="GW38" s="1" t="str">
        <f ca="1">IFERROR(__xludf.DUMMYFUNCTION("if(GW$2="""","""", index(GOOGLEFINANCE($B$38,""close"",GW$2,TODAY()),2,2))"),"")</f>
        <v/>
      </c>
      <c r="GX38" s="1" t="str">
        <f ca="1">IFERROR(__xludf.DUMMYFUNCTION("if(GX$2="""","""", index(GOOGLEFINANCE($B$38,""close"",GX$2,TODAY()),2,2))"),"")</f>
        <v/>
      </c>
      <c r="GY38" s="1" t="str">
        <f ca="1">IFERROR(__xludf.DUMMYFUNCTION("if(GY$2="""","""", index(GOOGLEFINANCE($B$38,""close"",GY$2,TODAY()),2,2))"),"")</f>
        <v/>
      </c>
      <c r="GZ38" s="1" t="str">
        <f ca="1">IFERROR(__xludf.DUMMYFUNCTION("if(GZ$2="""","""", index(GOOGLEFINANCE($B$38,""close"",GZ$2,TODAY()),2,2))"),"")</f>
        <v/>
      </c>
      <c r="HA38" s="1" t="str">
        <f ca="1">IFERROR(__xludf.DUMMYFUNCTION("if(HA$2="""","""", index(GOOGLEFINANCE($B$38,""close"",HA$2,TODAY()),2,2))"),"")</f>
        <v/>
      </c>
      <c r="HB38" s="1" t="str">
        <f ca="1">IFERROR(__xludf.DUMMYFUNCTION("if(HB$2="""","""", index(GOOGLEFINANCE($B$38,""close"",HB$2,TODAY()),2,2))"),"")</f>
        <v/>
      </c>
      <c r="HC38" s="1" t="str">
        <f ca="1">IFERROR(__xludf.DUMMYFUNCTION("if(HC$2="""","""", index(GOOGLEFINANCE($B$38,""close"",HC$2,TODAY()),2,2))"),"")</f>
        <v/>
      </c>
      <c r="HD38" s="1" t="str">
        <f ca="1">IFERROR(__xludf.DUMMYFUNCTION("if(HD$2="""","""", index(GOOGLEFINANCE($B$38,""close"",HD$2,TODAY()),2,2))"),"")</f>
        <v/>
      </c>
      <c r="HE38" s="1" t="str">
        <f ca="1">IFERROR(__xludf.DUMMYFUNCTION("if(HE$2="""","""", index(GOOGLEFINANCE($B$38,""close"",HE$2,TODAY()),2,2))"),"")</f>
        <v/>
      </c>
      <c r="HF38" s="1" t="str">
        <f ca="1">IFERROR(__xludf.DUMMYFUNCTION("if(HF$2="""","""", index(GOOGLEFINANCE($B$38,""close"",HF$2,TODAY()),2,2))"),"")</f>
        <v/>
      </c>
      <c r="HG38" s="1" t="str">
        <f ca="1">IFERROR(__xludf.DUMMYFUNCTION("if(HG$2="""","""", index(GOOGLEFINANCE($B$38,""close"",HG$2,TODAY()),2,2))"),"")</f>
        <v/>
      </c>
      <c r="HH38" s="1" t="str">
        <f ca="1">IFERROR(__xludf.DUMMYFUNCTION("if(HH$2="""","""", index(GOOGLEFINANCE($B$38,""close"",HH$2,TODAY()),2,2))"),"")</f>
        <v/>
      </c>
      <c r="HI38" s="1" t="str">
        <f ca="1">IFERROR(__xludf.DUMMYFUNCTION("if(HI$2="""","""", index(GOOGLEFINANCE($B$38,""close"",HI$2,TODAY()),2,2))"),"")</f>
        <v/>
      </c>
      <c r="HJ38" s="1" t="str">
        <f ca="1">IFERROR(__xludf.DUMMYFUNCTION("if(HJ$2="""","""", index(GOOGLEFINANCE($B$38,""close"",HJ$2,TODAY()),2,2))"),"")</f>
        <v/>
      </c>
      <c r="HK38" s="1" t="str">
        <f ca="1">IFERROR(__xludf.DUMMYFUNCTION("if(HK$2="""","""", index(GOOGLEFINANCE($B$38,""close"",HK$2,TODAY()),2,2))"),"")</f>
        <v/>
      </c>
      <c r="HL38" s="1" t="str">
        <f ca="1">IFERROR(__xludf.DUMMYFUNCTION("if(HL$2="""","""", index(GOOGLEFINANCE($B$38,""close"",HL$2,TODAY()),2,2))"),"")</f>
        <v/>
      </c>
      <c r="HM38" s="1" t="str">
        <f ca="1">IFERROR(__xludf.DUMMYFUNCTION("if(HM$2="""","""", index(GOOGLEFINANCE($B$38,""close"",HM$2,TODAY()),2,2))"),"")</f>
        <v/>
      </c>
      <c r="HN38" s="1" t="str">
        <f ca="1">IFERROR(__xludf.DUMMYFUNCTION("if(HN$2="""","""", index(GOOGLEFINANCE($B$38,""close"",HN$2,TODAY()),2,2))"),"")</f>
        <v/>
      </c>
      <c r="HO38" s="1" t="str">
        <f ca="1">IFERROR(__xludf.DUMMYFUNCTION("if(HO$2="""","""", index(GOOGLEFINANCE($B$38,""close"",HO$2,TODAY()),2,2))"),"")</f>
        <v/>
      </c>
      <c r="HP38" s="1" t="str">
        <f ca="1">IFERROR(__xludf.DUMMYFUNCTION("if(HP$2="""","""", index(GOOGLEFINANCE($B$38,""close"",HP$2,TODAY()),2,2))"),"")</f>
        <v/>
      </c>
      <c r="HQ38" s="1" t="str">
        <f ca="1">IFERROR(__xludf.DUMMYFUNCTION("if(HQ$2="""","""", index(GOOGLEFINANCE($B$38,""close"",HQ$2,TODAY()),2,2))"),"")</f>
        <v/>
      </c>
      <c r="HR38" s="1" t="str">
        <f ca="1">IFERROR(__xludf.DUMMYFUNCTION("if(HR$2="""","""", index(GOOGLEFINANCE($B$38,""close"",HR$2,TODAY()),2,2))"),"")</f>
        <v/>
      </c>
      <c r="HS38" s="1" t="str">
        <f ca="1">IFERROR(__xludf.DUMMYFUNCTION("if(HS$2="""","""", index(GOOGLEFINANCE($B$38,""close"",HS$2,TODAY()),2,2))"),"")</f>
        <v/>
      </c>
      <c r="HT38" s="1" t="str">
        <f ca="1">IFERROR(__xludf.DUMMYFUNCTION("if(HT$2="""","""", index(GOOGLEFINANCE($B$38,""close"",HT$2,TODAY()),2,2))"),"")</f>
        <v/>
      </c>
      <c r="HU38" s="1" t="str">
        <f ca="1">IFERROR(__xludf.DUMMYFUNCTION("if(HU$2="""","""", index(GOOGLEFINANCE($B$38,""close"",HU$2,TODAY()),2,2))"),"")</f>
        <v/>
      </c>
      <c r="HV38" s="1" t="str">
        <f ca="1">IFERROR(__xludf.DUMMYFUNCTION("if(HV$2="""","""", index(GOOGLEFINANCE($B$38,""close"",HV$2,TODAY()),2,2))"),"")</f>
        <v/>
      </c>
      <c r="HW38" s="1" t="str">
        <f ca="1">IFERROR(__xludf.DUMMYFUNCTION("if(HW$2="""","""", index(GOOGLEFINANCE($B$38,""close"",HW$2,TODAY()),2,2))"),"")</f>
        <v/>
      </c>
      <c r="HX38" s="1" t="str">
        <f ca="1">IFERROR(__xludf.DUMMYFUNCTION("if(HX$2="""","""", index(GOOGLEFINANCE($B$38,""close"",HX$2,TODAY()),2,2))"),"")</f>
        <v/>
      </c>
      <c r="HY38" s="1" t="str">
        <f ca="1">IFERROR(__xludf.DUMMYFUNCTION("if(HY$2="""","""", index(GOOGLEFINANCE($B$38,""close"",HY$2,TODAY()),2,2))"),"")</f>
        <v/>
      </c>
      <c r="HZ38" s="1" t="str">
        <f ca="1">IFERROR(__xludf.DUMMYFUNCTION("if(HZ$2="""","""", index(GOOGLEFINANCE($B$38,""close"",HZ$2,TODAY()),2,2))"),"")</f>
        <v/>
      </c>
      <c r="IA38" s="1" t="str">
        <f ca="1">IFERROR(__xludf.DUMMYFUNCTION("if(IA$2="""","""", index(GOOGLEFINANCE($B$38,""close"",IA$2,TODAY()),2,2))"),"")</f>
        <v/>
      </c>
      <c r="IB38" s="1" t="str">
        <f ca="1">IFERROR(__xludf.DUMMYFUNCTION("if(IB$2="""","""", index(GOOGLEFINANCE($B$38,""close"",IB$2,TODAY()),2,2))"),"")</f>
        <v/>
      </c>
      <c r="IC38" s="1" t="str">
        <f ca="1">IFERROR(__xludf.DUMMYFUNCTION("if(IC$2="""","""", index(GOOGLEFINANCE($B$38,""close"",IC$2,TODAY()),2,2))"),"")</f>
        <v/>
      </c>
      <c r="ID38" s="1" t="str">
        <f ca="1">IFERROR(__xludf.DUMMYFUNCTION("if(ID$2="""","""", index(GOOGLEFINANCE($B$38,""close"",ID$2,TODAY()),2,2))"),"")</f>
        <v/>
      </c>
      <c r="IE38" s="1" t="str">
        <f ca="1">IFERROR(__xludf.DUMMYFUNCTION("if(IE$2="""","""", index(GOOGLEFINANCE($B$38,""close"",IE$2,TODAY()),2,2))"),"")</f>
        <v/>
      </c>
      <c r="IF38" s="1" t="str">
        <f ca="1">IFERROR(__xludf.DUMMYFUNCTION("if(IF$2="""","""", index(GOOGLEFINANCE($B$38,""close"",IF$2,TODAY()),2,2))"),"")</f>
        <v/>
      </c>
      <c r="IG38" s="1" t="str">
        <f ca="1">IFERROR(__xludf.DUMMYFUNCTION("if(IG$2="""","""", index(GOOGLEFINANCE($B$38,""close"",IG$2,TODAY()),2,2))"),"")</f>
        <v/>
      </c>
      <c r="IH38" s="1" t="str">
        <f ca="1">IFERROR(__xludf.DUMMYFUNCTION("if(IH$2="""","""", index(GOOGLEFINANCE($B$38,""close"",IH$2,TODAY()),2,2))"),"")</f>
        <v/>
      </c>
      <c r="II38" s="1" t="str">
        <f ca="1">IFERROR(__xludf.DUMMYFUNCTION("if(II$2="""","""", index(GOOGLEFINANCE($B$38,""close"",II$2,TODAY()),2,2))"),"")</f>
        <v/>
      </c>
      <c r="IJ38" s="1" t="str">
        <f ca="1">IFERROR(__xludf.DUMMYFUNCTION("if(IJ$2="""","""", index(GOOGLEFINANCE($B$38,""close"",IJ$2,TODAY()),2,2))"),"")</f>
        <v/>
      </c>
      <c r="IK38" s="1" t="str">
        <f ca="1">IFERROR(__xludf.DUMMYFUNCTION("if(IK$2="""","""", index(GOOGLEFINANCE($B$38,""close"",IK$2,TODAY()),2,2))"),"")</f>
        <v/>
      </c>
      <c r="IL38" s="1" t="str">
        <f ca="1">IFERROR(__xludf.DUMMYFUNCTION("if(IL$2="""","""", index(GOOGLEFINANCE($B$38,""close"",IL$2,TODAY()),2,2))"),"")</f>
        <v/>
      </c>
      <c r="IM38" s="1" t="str">
        <f ca="1">IFERROR(__xludf.DUMMYFUNCTION("if(IM$2="""","""", index(GOOGLEFINANCE($B$38,""close"",IM$2,TODAY()),2,2))"),"")</f>
        <v/>
      </c>
      <c r="IN38" s="1" t="str">
        <f ca="1">IFERROR(__xludf.DUMMYFUNCTION("if(IN$2="""","""", index(GOOGLEFINANCE($B$38,""close"",IN$2,TODAY()),2,2))"),"")</f>
        <v/>
      </c>
      <c r="IO38" s="1" t="str">
        <f ca="1">IFERROR(__xludf.DUMMYFUNCTION("if(IO$2="""","""", index(GOOGLEFINANCE($B$38,""close"",IO$2,TODAY()),2,2))"),"")</f>
        <v/>
      </c>
      <c r="IP38" s="1" t="str">
        <f ca="1">IFERROR(__xludf.DUMMYFUNCTION("if(IP$2="""","""", index(GOOGLEFINANCE($B$38,""close"",IP$2,TODAY()),2,2))"),"")</f>
        <v/>
      </c>
      <c r="IQ38" s="1" t="str">
        <f ca="1">IFERROR(__xludf.DUMMYFUNCTION("if(IQ$2="""","""", index(GOOGLEFINANCE($B$38,""close"",IQ$2,TODAY()),2,2))"),"")</f>
        <v/>
      </c>
      <c r="IR38" s="1" t="str">
        <f ca="1">IFERROR(__xludf.DUMMYFUNCTION("if(IR$2="""","""", index(GOOGLEFINANCE($B$38,""close"",IR$2,TODAY()),2,2))"),"")</f>
        <v/>
      </c>
      <c r="IS38" s="1" t="str">
        <f ca="1">IFERROR(__xludf.DUMMYFUNCTION("if(IS$2="""","""", index(GOOGLEFINANCE($B$38,""close"",IS$2,TODAY()),2,2))"),"")</f>
        <v/>
      </c>
      <c r="IT38" s="1" t="str">
        <f ca="1">IFERROR(__xludf.DUMMYFUNCTION("if(IT$2="""","""", index(GOOGLEFINANCE($B$38,""close"",IT$2,TODAY()),2,2))"),"")</f>
        <v/>
      </c>
      <c r="IU38" s="1" t="str">
        <f ca="1">IFERROR(__xludf.DUMMYFUNCTION("if(IU$2="""","""", index(GOOGLEFINANCE($B$38,""close"",IU$2,TODAY()),2,2))"),"")</f>
        <v/>
      </c>
      <c r="IV38" s="1" t="str">
        <f ca="1">IFERROR(__xludf.DUMMYFUNCTION("if(IV$2="""","""", index(GOOGLEFINANCE($B$38,""close"",IV$2,TODAY()),2,2))"),"")</f>
        <v/>
      </c>
      <c r="IW38" s="1" t="str">
        <f ca="1">IFERROR(__xludf.DUMMYFUNCTION("if(IW$2="""","""", index(GOOGLEFINANCE($B$38,""close"",IW$2,TODAY()),2,2))"),"")</f>
        <v/>
      </c>
      <c r="IX38" s="1" t="str">
        <f ca="1">IFERROR(__xludf.DUMMYFUNCTION("if(IX$2="""","""", index(GOOGLEFINANCE($B$38,""close"",IX$2,TODAY()),2,2))"),"")</f>
        <v/>
      </c>
      <c r="IY38" s="1" t="str">
        <f ca="1">IFERROR(__xludf.DUMMYFUNCTION("if(IY$2="""","""", index(GOOGLEFINANCE($B$38,""close"",IY$2,TODAY()),2,2))"),"")</f>
        <v/>
      </c>
      <c r="IZ38" s="1" t="str">
        <f ca="1">IFERROR(__xludf.DUMMYFUNCTION("if(IZ$2="""","""", index(GOOGLEFINANCE($B$38,""close"",IZ$2,TODAY()),2,2))"),"")</f>
        <v/>
      </c>
      <c r="JA38" s="1" t="str">
        <f ca="1">IFERROR(__xludf.DUMMYFUNCTION("if(JA$2="""","""", index(GOOGLEFINANCE($B$38,""close"",JA$2,TODAY()),2,2))"),"")</f>
        <v/>
      </c>
      <c r="JB38" s="1" t="str">
        <f ca="1">IFERROR(__xludf.DUMMYFUNCTION("if(JB$2="""","""", index(GOOGLEFINANCE($B$38,""close"",JB$2,TODAY()),2,2))"),"")</f>
        <v/>
      </c>
      <c r="JC38" s="1" t="str">
        <f ca="1">IFERROR(__xludf.DUMMYFUNCTION("if(JC$2="""","""", index(GOOGLEFINANCE($B$38,""close"",JC$2,TODAY()),2,2))"),"")</f>
        <v/>
      </c>
      <c r="JD38" s="1" t="str">
        <f ca="1">IFERROR(__xludf.DUMMYFUNCTION("if(JD$2="""","""", index(GOOGLEFINANCE($B$38,""close"",JD$2,TODAY()),2,2))"),"")</f>
        <v/>
      </c>
      <c r="JE38" s="1" t="str">
        <f ca="1">IFERROR(__xludf.DUMMYFUNCTION("if(JE$2="""","""", index(GOOGLEFINANCE($B$38,""close"",JE$2,TODAY()),2,2))"),"")</f>
        <v/>
      </c>
      <c r="JF38" s="1" t="str">
        <f ca="1">IFERROR(__xludf.DUMMYFUNCTION("if(JF$2="""","""", index(GOOGLEFINANCE($B$38,""close"",JF$2,TODAY()),2,2))"),"")</f>
        <v/>
      </c>
      <c r="JG38" s="1" t="str">
        <f ca="1">IFERROR(__xludf.DUMMYFUNCTION("if(JG$2="""","""", index(GOOGLEFINANCE($B$38,""close"",JG$2,TODAY()),2,2))"),"")</f>
        <v/>
      </c>
      <c r="JH38" s="1" t="str">
        <f ca="1">IFERROR(__xludf.DUMMYFUNCTION("if(JH$2="""","""", index(GOOGLEFINANCE($B$38,""close"",JH$2,TODAY()),2,2))"),"")</f>
        <v/>
      </c>
      <c r="JI38" s="1" t="str">
        <f ca="1">IFERROR(__xludf.DUMMYFUNCTION("if(JI$2="""","""", index(GOOGLEFINANCE($B$38,""close"",JI$2,TODAY()),2,2))"),"")</f>
        <v/>
      </c>
      <c r="JJ38" s="1" t="str">
        <f ca="1">IFERROR(__xludf.DUMMYFUNCTION("if(JJ$2="""","""", index(GOOGLEFINANCE($B$38,""close"",JJ$2,TODAY()),2,2))"),"")</f>
        <v/>
      </c>
      <c r="JK38" s="1" t="str">
        <f ca="1">IFERROR(__xludf.DUMMYFUNCTION("if(JK$2="""","""", index(GOOGLEFINANCE($B$38,""close"",JK$2,TODAY()),2,2))"),"")</f>
        <v/>
      </c>
      <c r="JL38" s="1" t="str">
        <f ca="1">IFERROR(__xludf.DUMMYFUNCTION("if(JL$2="""","""", index(GOOGLEFINANCE($B$38,""close"",JL$2,TODAY()),2,2))"),"")</f>
        <v/>
      </c>
      <c r="JM38" s="1" t="str">
        <f ca="1">IFERROR(__xludf.DUMMYFUNCTION("if(JM$2="""","""", index(GOOGLEFINANCE($B$38,""close"",JM$2,TODAY()),2,2))"),"")</f>
        <v/>
      </c>
      <c r="JN38" s="1" t="str">
        <f ca="1">IFERROR(__xludf.DUMMYFUNCTION("if(JN$2="""","""", index(GOOGLEFINANCE($B$38,""close"",JN$2,TODAY()),2,2))"),"")</f>
        <v/>
      </c>
      <c r="JO38" s="1" t="str">
        <f ca="1">IFERROR(__xludf.DUMMYFUNCTION("if(JO$2="""","""", index(GOOGLEFINANCE($B$38,""close"",JO$2,TODAY()),2,2))"),"")</f>
        <v/>
      </c>
      <c r="JP38" s="1" t="str">
        <f ca="1">IFERROR(__xludf.DUMMYFUNCTION("if(JP$2="""","""", index(GOOGLEFINANCE($B$38,""close"",JP$2,TODAY()),2,2))"),"")</f>
        <v/>
      </c>
      <c r="JQ38" s="1" t="str">
        <f ca="1">IFERROR(__xludf.DUMMYFUNCTION("if(JQ$2="""","""", index(GOOGLEFINANCE($B$38,""close"",JQ$2,TODAY()),2,2))"),"")</f>
        <v/>
      </c>
      <c r="JR38" s="1" t="str">
        <f ca="1">IFERROR(__xludf.DUMMYFUNCTION("if(JR$2="""","""", index(GOOGLEFINANCE($B$38,""close"",JR$2,TODAY()),2,2))"),"")</f>
        <v/>
      </c>
      <c r="JS38" s="1" t="str">
        <f ca="1">IFERROR(__xludf.DUMMYFUNCTION("if(JS$2="""","""", index(GOOGLEFINANCE($B$38,""close"",JS$2,TODAY()),2,2))"),"")</f>
        <v/>
      </c>
      <c r="JT38" s="1" t="str">
        <f ca="1">IFERROR(__xludf.DUMMYFUNCTION("if(JT$2="""","""", index(GOOGLEFINANCE($B$38,""close"",JT$2,TODAY()),2,2))"),"")</f>
        <v/>
      </c>
      <c r="JU38" s="1" t="str">
        <f ca="1">IFERROR(__xludf.DUMMYFUNCTION("if(JU$2="""","""", index(GOOGLEFINANCE($B$38,""close"",JU$2,TODAY()),2,2))"),"")</f>
        <v/>
      </c>
      <c r="JV38" s="1" t="str">
        <f ca="1">IFERROR(__xludf.DUMMYFUNCTION("if(JV$2="""","""", index(GOOGLEFINANCE($B$38,""close"",JV$2,TODAY()),2,2))"),"")</f>
        <v/>
      </c>
      <c r="JW38" s="1" t="str">
        <f ca="1">IFERROR(__xludf.DUMMYFUNCTION("if(JW$2="""","""", index(GOOGLEFINANCE($B$38,""close"",JW$2,TODAY()),2,2))"),"")</f>
        <v/>
      </c>
      <c r="JX38" s="1" t="str">
        <f ca="1">IFERROR(__xludf.DUMMYFUNCTION("if(JX$2="""","""", index(GOOGLEFINANCE($B$38,""close"",JX$2,TODAY()),2,2))"),"")</f>
        <v/>
      </c>
      <c r="JY38" s="1" t="str">
        <f ca="1">IFERROR(__xludf.DUMMYFUNCTION("if(JY$2="""","""", index(GOOGLEFINANCE($B$38,""close"",JY$2,TODAY()),2,2))"),"")</f>
        <v/>
      </c>
      <c r="JZ38" s="1" t="str">
        <f ca="1">IFERROR(__xludf.DUMMYFUNCTION("if(JZ$2="""","""", index(GOOGLEFINANCE($B$38,""close"",JZ$2,TODAY()),2,2))"),"")</f>
        <v/>
      </c>
      <c r="KA38" s="1" t="str">
        <f ca="1">IFERROR(__xludf.DUMMYFUNCTION("if(KA$2="""","""", index(GOOGLEFINANCE($B$38,""close"",KA$2,TODAY()),2,2))"),"")</f>
        <v/>
      </c>
      <c r="KB38" s="1" t="str">
        <f ca="1">IFERROR(__xludf.DUMMYFUNCTION("if(KB$2="""","""", index(GOOGLEFINANCE($B$38,""close"",KB$2,TODAY()),2,2))"),"")</f>
        <v/>
      </c>
      <c r="KC38" s="1" t="str">
        <f ca="1">IFERROR(__xludf.DUMMYFUNCTION("if(KC$2="""","""", index(GOOGLEFINANCE($B$38,""close"",KC$2,TODAY()),2,2))"),"")</f>
        <v/>
      </c>
      <c r="KD38" s="1" t="str">
        <f ca="1">IFERROR(__xludf.DUMMYFUNCTION("if(KD$2="""","""", index(GOOGLEFINANCE($B$38,""close"",KD$2,TODAY()),2,2))"),"")</f>
        <v/>
      </c>
      <c r="KE38" s="1" t="str">
        <f ca="1">IFERROR(__xludf.DUMMYFUNCTION("if(KE$2="""","""", index(GOOGLEFINANCE($B$38,""close"",KE$2,TODAY()),2,2))"),"")</f>
        <v/>
      </c>
      <c r="KF38" s="1" t="str">
        <f ca="1">IFERROR(__xludf.DUMMYFUNCTION("if(KF$2="""","""", index(GOOGLEFINANCE($B$38,""close"",KF$2,TODAY()),2,2))"),"")</f>
        <v/>
      </c>
      <c r="KG38" s="1" t="str">
        <f ca="1">IFERROR(__xludf.DUMMYFUNCTION("if(KG$2="""","""", index(GOOGLEFINANCE($B$38,""close"",KG$2,TODAY()),2,2))"),"")</f>
        <v/>
      </c>
    </row>
    <row r="39" spans="1:293" ht="15.75" customHeight="1">
      <c r="A39" s="18" t="s">
        <v>30</v>
      </c>
      <c r="B39" s="6" t="s">
        <v>82</v>
      </c>
      <c r="C39" s="1">
        <f ca="1">IFERROR(__xludf.DUMMYFUNCTION("if(C$2="""","""", index(GOOGLEFINANCE($B$39,""close"",C$2,TODAY()),2,2))"),46.27)</f>
        <v>46.27</v>
      </c>
      <c r="D39" s="1">
        <f ca="1">IFERROR(__xludf.DUMMYFUNCTION("if(D$2="""","""", index(GOOGLEFINANCE($B$39,""close"",D$2,TODAY()),2,2))"),47.97)</f>
        <v>47.97</v>
      </c>
      <c r="E39" s="1">
        <f ca="1">IFERROR(__xludf.DUMMYFUNCTION("if(E$2="""","""", index(GOOGLEFINANCE($B$39,""close"",E$2,TODAY()),2,2))"),48.56)</f>
        <v>48.56</v>
      </c>
      <c r="F39" s="1">
        <f ca="1">IFERROR(__xludf.DUMMYFUNCTION("if(F$2="""","""", index(GOOGLEFINANCE($B$39,""close"",F$2,TODAY()),2,2))"),49.49)</f>
        <v>49.49</v>
      </c>
      <c r="G39" s="1">
        <f ca="1">IFERROR(__xludf.DUMMYFUNCTION("if(G$2="""","""", index(GOOGLEFINANCE($B$39,""close"",G$2,TODAY()),2,2))"),49)</f>
        <v>49</v>
      </c>
      <c r="H39" s="1">
        <f ca="1">IFERROR(__xludf.DUMMYFUNCTION("if(H$2="""","""", index(GOOGLEFINANCE($B$39,""close"",H$2,TODAY()),2,2))"),48.14)</f>
        <v>48.14</v>
      </c>
      <c r="I39" s="1">
        <f ca="1">IFERROR(__xludf.DUMMYFUNCTION("if(I$2="""","""", index(GOOGLEFINANCE($B$39,""close"",I$2,TODAY()),2,2))"),48.76)</f>
        <v>48.76</v>
      </c>
      <c r="J39" s="1">
        <f ca="1">IFERROR(__xludf.DUMMYFUNCTION("if(J$2="""","""", index(GOOGLEFINANCE($B$39,""close"",J$2,TODAY()),2,2))"),49.05)</f>
        <v>49.05</v>
      </c>
      <c r="K39" s="1">
        <f ca="1">IFERROR(__xludf.DUMMYFUNCTION("if(K$2="""","""", index(GOOGLEFINANCE($B$39,""close"",K$2,TODAY()),2,2))"),48.86)</f>
        <v>48.86</v>
      </c>
      <c r="L39" s="1">
        <f ca="1">IFERROR(__xludf.DUMMYFUNCTION("if(L$2="""","""", index(GOOGLEFINANCE($B$39,""close"",L$2,TODAY()),2,2))"),49.53)</f>
        <v>49.53</v>
      </c>
      <c r="M39" s="1">
        <f ca="1">IFERROR(__xludf.DUMMYFUNCTION("if(M$2="""","""", index(GOOGLEFINANCE($B$39,""close"",M$2,TODAY()),2,2))"),48.31)</f>
        <v>48.31</v>
      </c>
      <c r="N39" s="1">
        <f ca="1">IFERROR(__xludf.DUMMYFUNCTION("if(N$2="""","""", index(GOOGLEFINANCE($B$39,""close"",N$2,TODAY()),2,2))"),47.93)</f>
        <v>47.93</v>
      </c>
      <c r="O39" s="1">
        <f ca="1">IFERROR(__xludf.DUMMYFUNCTION("if(O$2="""","""", index(GOOGLEFINANCE($B$39,""close"",O$2,TODAY()),2,2))"),47)</f>
        <v>47</v>
      </c>
      <c r="P39" s="1">
        <f ca="1">IFERROR(__xludf.DUMMYFUNCTION("if(P$2="""","""", index(GOOGLEFINANCE($B$39,""close"",P$2,TODAY()),2,2))"),46.7)</f>
        <v>46.7</v>
      </c>
      <c r="Q39" s="1">
        <f ca="1">IFERROR(__xludf.DUMMYFUNCTION("if(Q$2="""","""", index(GOOGLEFINANCE($B$39,""close"",Q$2,TODAY()),2,2))"),46.5)</f>
        <v>46.5</v>
      </c>
      <c r="R39" s="1">
        <f ca="1">IFERROR(__xludf.DUMMYFUNCTION("if(R$2="""","""", index(GOOGLEFINANCE($B$39,""close"",R$2,TODAY()),2,2))"),46.23)</f>
        <v>46.23</v>
      </c>
      <c r="S39" s="1">
        <f ca="1">IFERROR(__xludf.DUMMYFUNCTION("if(S$2="""","""", index(GOOGLEFINANCE($B$39,""close"",S$2,TODAY()),2,2))"),45.1)</f>
        <v>45.1</v>
      </c>
      <c r="T39" s="1">
        <f ca="1">IFERROR(__xludf.DUMMYFUNCTION("if(T$2="""","""", index(GOOGLEFINANCE($B$39,""close"",T$2,TODAY()),2,2))"),42.84)</f>
        <v>42.84</v>
      </c>
      <c r="U39" s="1">
        <f ca="1">IFERROR(__xludf.DUMMYFUNCTION("if(U$2="""","""", index(GOOGLEFINANCE($B$39,""close"",U$2,TODAY()),2,2))"),43.07)</f>
        <v>43.07</v>
      </c>
      <c r="V39" s="1">
        <f ca="1">IFERROR(__xludf.DUMMYFUNCTION("if(V$2="""","""", index(GOOGLEFINANCE($B$39,""close"",V$2,TODAY()),2,2))"),43.28)</f>
        <v>43.28</v>
      </c>
      <c r="W39" s="1">
        <f ca="1">IFERROR(__xludf.DUMMYFUNCTION("if(W$2="""","""", index(GOOGLEFINANCE($B$39,""close"",W$2,TODAY()),2,2))"),44.04)</f>
        <v>44.04</v>
      </c>
      <c r="X39" s="1">
        <f ca="1">IFERROR(__xludf.DUMMYFUNCTION("if(X$2="""","""", index(GOOGLEFINANCE($B$39,""close"",X$2,TODAY()),2,2))"),43.89)</f>
        <v>43.89</v>
      </c>
      <c r="Y39" s="1">
        <f ca="1">IFERROR(__xludf.DUMMYFUNCTION("if(Y$2="""","""", index(GOOGLEFINANCE($B$39,""close"",Y$2,TODAY()),2,2))"),43.62)</f>
        <v>43.62</v>
      </c>
      <c r="Z39" s="1">
        <f ca="1">IFERROR(__xludf.DUMMYFUNCTION("if(Z$2="""","""", index(GOOGLEFINANCE($B$39,""close"",Z$2,TODAY()),2,2))"),44.13)</f>
        <v>44.13</v>
      </c>
      <c r="AA39" s="1">
        <f ca="1">IFERROR(__xludf.DUMMYFUNCTION("if(AA$2="""","""", index(GOOGLEFINANCE($B$39,""close"",AA$2,TODAY()),2,2))"),44.18)</f>
        <v>44.18</v>
      </c>
      <c r="AB39" s="1">
        <f ca="1">IFERROR(__xludf.DUMMYFUNCTION("if(AB$2="""","""", index(GOOGLEFINANCE($B$39,""close"",AB$2,TODAY()),2,2))"),46.15)</f>
        <v>46.15</v>
      </c>
      <c r="AC39" s="1">
        <f ca="1">IFERROR(__xludf.DUMMYFUNCTION("if(AC$2="""","""", index(GOOGLEFINANCE($B$39,""close"",AC$2,TODAY()),2,2))"),45.65)</f>
        <v>45.65</v>
      </c>
      <c r="AD39" s="1">
        <f ca="1">IFERROR(__xludf.DUMMYFUNCTION("if(AD$2="""","""", index(GOOGLEFINANCE($B$39,""close"",AD$2,TODAY()),2,2))"),44.44)</f>
        <v>44.44</v>
      </c>
      <c r="AE39" s="1">
        <f ca="1">IFERROR(__xludf.DUMMYFUNCTION("if(AE$2="""","""", index(GOOGLEFINANCE($B$39,""close"",AE$2,TODAY()),2,2))"),44.29)</f>
        <v>44.29</v>
      </c>
      <c r="AF39" s="1">
        <f ca="1">IFERROR(__xludf.DUMMYFUNCTION("if(AF$2="""","""", index(GOOGLEFINANCE($B$39,""close"",AF$2,TODAY()),2,2))"),44.39)</f>
        <v>44.39</v>
      </c>
      <c r="AG39" s="1">
        <f ca="1">IFERROR(__xludf.DUMMYFUNCTION("if(AG$2="""","""", index(GOOGLEFINANCE($B$39,""close"",AG$2,TODAY()),2,2))"),44.74)</f>
        <v>44.74</v>
      </c>
      <c r="AH39" s="1">
        <f ca="1">IFERROR(__xludf.DUMMYFUNCTION("if(AH$2="""","""", index(GOOGLEFINANCE($B$39,""close"",AH$2,TODAY()),2,2))"),45.43)</f>
        <v>45.43</v>
      </c>
      <c r="AI39" s="1">
        <f ca="1">IFERROR(__xludf.DUMMYFUNCTION("if(AI$2="""","""", index(GOOGLEFINANCE($B$39,""close"",AI$2,TODAY()),2,2))"),44.99)</f>
        <v>44.99</v>
      </c>
      <c r="AJ39" s="1">
        <f ca="1">IFERROR(__xludf.DUMMYFUNCTION("if(AJ$2="""","""", index(GOOGLEFINANCE($B$39,""close"",AJ$2,TODAY()),2,2))"),44.16)</f>
        <v>44.16</v>
      </c>
      <c r="AK39" s="1">
        <f ca="1">IFERROR(__xludf.DUMMYFUNCTION("if(AK$2="""","""", index(GOOGLEFINANCE($B$39,""close"",AK$2,TODAY()),2,2))"),44.43)</f>
        <v>44.43</v>
      </c>
      <c r="AL39" s="1">
        <f ca="1">IFERROR(__xludf.DUMMYFUNCTION("if(AL$2="""","""", index(GOOGLEFINANCE($B$39,""close"",AL$2,TODAY()),2,2))"),44.01)</f>
        <v>44.01</v>
      </c>
      <c r="AM39" s="1">
        <f ca="1">IFERROR(__xludf.DUMMYFUNCTION("if(AM$2="""","""", index(GOOGLEFINANCE($B$39,""close"",AM$2,TODAY()),2,2))"),43.52)</f>
        <v>43.52</v>
      </c>
      <c r="AN39" s="1">
        <f ca="1">IFERROR(__xludf.DUMMYFUNCTION("if(AN$2="""","""", index(GOOGLEFINANCE($B$39,""close"",AN$2,TODAY()),2,2))"),44.99)</f>
        <v>44.99</v>
      </c>
      <c r="AO39" s="1">
        <f ca="1">IFERROR(__xludf.DUMMYFUNCTION("if(AO$2="""","""", index(GOOGLEFINANCE($B$39,""close"",AO$2,TODAY()),2,2))"),45.64)</f>
        <v>45.64</v>
      </c>
      <c r="AP39" s="1">
        <f ca="1">IFERROR(__xludf.DUMMYFUNCTION("if(AP$2="""","""", index(GOOGLEFINANCE($B$39,""close"",AP$2,TODAY()),2,2))"),44.5)</f>
        <v>44.5</v>
      </c>
      <c r="AQ39" s="1">
        <f ca="1">IFERROR(__xludf.DUMMYFUNCTION("if(AQ$2="""","""", index(GOOGLEFINANCE($B$39,""close"",AQ$2,TODAY()),2,2))"),45.85)</f>
        <v>45.85</v>
      </c>
      <c r="AR39" s="1">
        <f ca="1">IFERROR(__xludf.DUMMYFUNCTION("if(AR$2="""","""", index(GOOGLEFINANCE($B$39,""close"",AR$2,TODAY()),2,2))"),46.75)</f>
        <v>46.75</v>
      </c>
      <c r="AS39" s="1">
        <f ca="1">IFERROR(__xludf.DUMMYFUNCTION("if(AS$2="""","""", index(GOOGLEFINANCE($B$39,""close"",AS$2,TODAY()),2,2))"),44.69)</f>
        <v>44.69</v>
      </c>
      <c r="AT39" s="1">
        <f ca="1">IFERROR(__xludf.DUMMYFUNCTION("if(AT$2="""","""", index(GOOGLEFINANCE($B$39,""close"",AT$2,TODAY()),2,2))"),43.04)</f>
        <v>43.04</v>
      </c>
      <c r="AU39" s="1">
        <f ca="1">IFERROR(__xludf.DUMMYFUNCTION("if(AU$2="""","""", index(GOOGLEFINANCE($B$39,""close"",AU$2,TODAY()),2,2))"),43.39)</f>
        <v>43.39</v>
      </c>
      <c r="AV39" s="1">
        <f ca="1">IFERROR(__xludf.DUMMYFUNCTION("if(AV$2="""","""", index(GOOGLEFINANCE($B$39,""close"",AV$2,TODAY()),2,2))"),43.49)</f>
        <v>43.49</v>
      </c>
      <c r="AW39" s="1">
        <f ca="1">IFERROR(__xludf.DUMMYFUNCTION("if(AW$2="""","""", index(GOOGLEFINANCE($B$39,""close"",AW$2,TODAY()),2,2))"),42.93)</f>
        <v>42.93</v>
      </c>
      <c r="AX39" s="1">
        <f ca="1">IFERROR(__xludf.DUMMYFUNCTION("if(AX$2="""","""", index(GOOGLEFINANCE($B$39,""close"",AX$2,TODAY()),2,2))"),42.47)</f>
        <v>42.47</v>
      </c>
      <c r="AY39" s="1">
        <f ca="1">IFERROR(__xludf.DUMMYFUNCTION("if(AY$2="""","""", index(GOOGLEFINANCE($B$39,""close"",AY$2,TODAY()),2,2))"),42.01)</f>
        <v>42.01</v>
      </c>
      <c r="AZ39" s="1">
        <f ca="1">IFERROR(__xludf.DUMMYFUNCTION("if(AZ$2="""","""", index(GOOGLEFINANCE($B$39,""close"",AZ$2,TODAY()),2,2))"),42)</f>
        <v>42</v>
      </c>
      <c r="BA39" s="1">
        <f ca="1">IFERROR(__xludf.DUMMYFUNCTION("if(BA$2="""","""", index(GOOGLEFINANCE($B$39,""close"",BA$2,TODAY()),2,2))"),43.3)</f>
        <v>43.3</v>
      </c>
      <c r="BB39" s="1">
        <f ca="1">IFERROR(__xludf.DUMMYFUNCTION("if(BB$2="""","""", index(GOOGLEFINANCE($B$39,""close"",BB$2,TODAY()),2,2))"),44.05)</f>
        <v>44.05</v>
      </c>
      <c r="BC39" s="1">
        <f ca="1">IFERROR(__xludf.DUMMYFUNCTION("if(BC$2="""","""", index(GOOGLEFINANCE($B$39,""close"",BC$2,TODAY()),2,2))"),44.02)</f>
        <v>44.02</v>
      </c>
      <c r="BD39" s="1">
        <f ca="1">IFERROR(__xludf.DUMMYFUNCTION("if(BD$2="""","""", index(GOOGLEFINANCE($B$39,""close"",BD$2,TODAY()),2,2))"),43.36)</f>
        <v>43.36</v>
      </c>
      <c r="BE39" s="1">
        <f ca="1">IFERROR(__xludf.DUMMYFUNCTION("if(BE$2="""","""", index(GOOGLEFINANCE($B$39,""close"",BE$2,TODAY()),2,2))"),44.97)</f>
        <v>44.97</v>
      </c>
      <c r="BF39" s="1">
        <f ca="1">IFERROR(__xludf.DUMMYFUNCTION("if(BF$2="""","""", index(GOOGLEFINANCE($B$39,""close"",BF$2,TODAY()),2,2))"),44.63)</f>
        <v>44.63</v>
      </c>
      <c r="BG39" s="1">
        <f ca="1">IFERROR(__xludf.DUMMYFUNCTION("if(BG$2="""","""", index(GOOGLEFINANCE($B$39,""close"",BG$2,TODAY()),2,2))"),45.2)</f>
        <v>45.2</v>
      </c>
      <c r="BH39" s="1">
        <f ca="1">IFERROR(__xludf.DUMMYFUNCTION("if(BH$2="""","""", index(GOOGLEFINANCE($B$39,""close"",BH$2,TODAY()),2,2))"),46.51)</f>
        <v>46.51</v>
      </c>
      <c r="BI39" s="1">
        <f ca="1">IFERROR(__xludf.DUMMYFUNCTION("if(BI$2="""","""", index(GOOGLEFINANCE($B$39,""close"",BI$2,TODAY()),2,2))"),44.33)</f>
        <v>44.33</v>
      </c>
      <c r="BJ39" s="1">
        <f ca="1">IFERROR(__xludf.DUMMYFUNCTION("if(BJ$2="""","""", index(GOOGLEFINANCE($B$39,""close"",BJ$2,TODAY()),2,2))"),45.23)</f>
        <v>45.23</v>
      </c>
      <c r="BK39" s="1">
        <f ca="1">IFERROR(__xludf.DUMMYFUNCTION("if(BK$2="""","""", index(GOOGLEFINANCE($B$39,""close"",BK$2,TODAY()),2,2))"),43.27)</f>
        <v>43.27</v>
      </c>
      <c r="BL39" s="1">
        <f ca="1">IFERROR(__xludf.DUMMYFUNCTION("if(BL$2="""","""", index(GOOGLEFINANCE($B$39,""close"",BL$2,TODAY()),2,2))"),42.4)</f>
        <v>42.4</v>
      </c>
      <c r="BM39" s="1">
        <f ca="1">IFERROR(__xludf.DUMMYFUNCTION("if(BM$2="""","""", index(GOOGLEFINANCE($B$39,""close"",BM$2,TODAY()),2,2))"),42.07)</f>
        <v>42.07</v>
      </c>
      <c r="BN39" s="1">
        <f ca="1">IFERROR(__xludf.DUMMYFUNCTION("if(BN$2="""","""", index(GOOGLEFINANCE($B$39,""close"",BN$2,TODAY()),2,2))"),43.25)</f>
        <v>43.25</v>
      </c>
      <c r="BO39" s="1">
        <f ca="1">IFERROR(__xludf.DUMMYFUNCTION("if(BO$2="""","""", index(GOOGLEFINANCE($B$39,""close"",BO$2,TODAY()),2,2))"),41.09)</f>
        <v>41.09</v>
      </c>
      <c r="BP39" s="1">
        <f ca="1">IFERROR(__xludf.DUMMYFUNCTION("if(BP$2="""","""", index(GOOGLEFINANCE($B$39,""close"",BP$2,TODAY()),2,2))"),39.42)</f>
        <v>39.42</v>
      </c>
      <c r="BQ39" s="1">
        <f ca="1">IFERROR(__xludf.DUMMYFUNCTION("if(BQ$2="""","""", index(GOOGLEFINANCE($B$39,""close"",BQ$2,TODAY()),2,2))"),38.45)</f>
        <v>38.450000000000003</v>
      </c>
      <c r="BR39" s="1">
        <f ca="1">IFERROR(__xludf.DUMMYFUNCTION("if(BR$2="""","""", index(GOOGLEFINANCE($B$39,""close"",BR$2,TODAY()),2,2))"),37.64)</f>
        <v>37.64</v>
      </c>
      <c r="BS39" s="1">
        <f ca="1">IFERROR(__xludf.DUMMYFUNCTION("if(BS$2="""","""", index(GOOGLEFINANCE($B$39,""close"",BS$2,TODAY()),2,2))"),37.07)</f>
        <v>37.07</v>
      </c>
      <c r="BT39" s="1">
        <f ca="1">IFERROR(__xludf.DUMMYFUNCTION("if(BT$2="""","""", index(GOOGLEFINANCE($B$39,""close"",BT$2,TODAY()),2,2))"),37.01)</f>
        <v>37.01</v>
      </c>
      <c r="BU39" s="1">
        <f ca="1">IFERROR(__xludf.DUMMYFUNCTION("if(BU$2="""","""", index(GOOGLEFINANCE($B$39,""close"",BU$2,TODAY()),2,2))"),37.99)</f>
        <v>37.99</v>
      </c>
      <c r="BV39" s="1">
        <f ca="1">IFERROR(__xludf.DUMMYFUNCTION("if(BV$2="""","""", index(GOOGLEFINANCE($B$39,""close"",BV$2,TODAY()),2,2))"),37.93)</f>
        <v>37.93</v>
      </c>
      <c r="BW39" s="1">
        <f ca="1">IFERROR(__xludf.DUMMYFUNCTION("if(BW$2="""","""", index(GOOGLEFINANCE($B$39,""close"",BW$2,TODAY()),2,2))"),37.8)</f>
        <v>37.799999999999997</v>
      </c>
      <c r="BX39" s="1">
        <f ca="1">IFERROR(__xludf.DUMMYFUNCTION("if(BX$2="""","""", index(GOOGLEFINANCE($B$39,""close"",BX$2,TODAY()),2,2))"),39.29)</f>
        <v>39.29</v>
      </c>
      <c r="BY39" s="1">
        <f ca="1">IFERROR(__xludf.DUMMYFUNCTION("if(BY$2="""","""", index(GOOGLEFINANCE($B$39,""close"",BY$2,TODAY()),2,2))"),39.39)</f>
        <v>39.39</v>
      </c>
      <c r="BZ39" s="1">
        <f ca="1">IFERROR(__xludf.DUMMYFUNCTION("if(BZ$2="""","""", index(GOOGLEFINANCE($B$39,""close"",BZ$2,TODAY()),2,2))"),38.94)</f>
        <v>38.94</v>
      </c>
      <c r="CA39" s="1">
        <f ca="1">IFERROR(__xludf.DUMMYFUNCTION("if(CA$2="""","""", index(GOOGLEFINANCE($B$39,""close"",CA$2,TODAY()),2,2))"),38.09)</f>
        <v>38.090000000000003</v>
      </c>
      <c r="CB39" s="1">
        <f ca="1">IFERROR(__xludf.DUMMYFUNCTION("if(CB$2="""","""", index(GOOGLEFINANCE($B$39,""close"",CB$2,TODAY()),2,2))"),37.76)</f>
        <v>37.76</v>
      </c>
      <c r="CC39" s="1">
        <f ca="1">IFERROR(__xludf.DUMMYFUNCTION("if(CC$2="""","""", index(GOOGLEFINANCE($B$39,""close"",CC$2,TODAY()),2,2))"),36.32)</f>
        <v>36.32</v>
      </c>
      <c r="CD39" s="1">
        <f ca="1">IFERROR(__xludf.DUMMYFUNCTION("if(CD$2="""","""", index(GOOGLEFINANCE($B$39,""close"",CD$2,TODAY()),2,2))"),35.91)</f>
        <v>35.909999999999997</v>
      </c>
      <c r="CE39" s="1">
        <f ca="1">IFERROR(__xludf.DUMMYFUNCTION("if(CE$2="""","""", index(GOOGLEFINANCE($B$39,""close"",CE$2,TODAY()),2,2))"),36.31)</f>
        <v>36.31</v>
      </c>
      <c r="CF39" s="1">
        <f ca="1">IFERROR(__xludf.DUMMYFUNCTION("if(CF$2="""","""", index(GOOGLEFINANCE($B$39,""close"",CF$2,TODAY()),2,2))"),35.45)</f>
        <v>35.450000000000003</v>
      </c>
      <c r="CG39" s="1">
        <f ca="1">IFERROR(__xludf.DUMMYFUNCTION("if(CG$2="""","""", index(GOOGLEFINANCE($B$39,""close"",CG$2,TODAY()),2,2))"),35.89)</f>
        <v>35.89</v>
      </c>
      <c r="CH39" s="1">
        <f ca="1">IFERROR(__xludf.DUMMYFUNCTION("if(CH$2="""","""", index(GOOGLEFINANCE($B$39,""close"",CH$2,TODAY()),2,2))"),36.17)</f>
        <v>36.17</v>
      </c>
      <c r="CI39" s="1">
        <f ca="1">IFERROR(__xludf.DUMMYFUNCTION("if(CI$2="""","""", index(GOOGLEFINANCE($B$39,""close"",CI$2,TODAY()),2,2))"),37.35)</f>
        <v>37.35</v>
      </c>
      <c r="CJ39" s="1" t="str">
        <f ca="1">IFERROR(__xludf.DUMMYFUNCTION("if(CJ$2="""","""", index(GOOGLEFINANCE($B$39,""close"",CJ$2,TODAY()),2,2))"),"")</f>
        <v/>
      </c>
      <c r="CK39" s="1" t="str">
        <f ca="1">IFERROR(__xludf.DUMMYFUNCTION("if(CK$2="""","""", index(GOOGLEFINANCE($B$39,""close"",CK$2,TODAY()),2,2))"),"")</f>
        <v/>
      </c>
      <c r="CL39" s="1" t="str">
        <f ca="1">IFERROR(__xludf.DUMMYFUNCTION("if(CL$2="""","""", index(GOOGLEFINANCE($B$39,""close"",CL$2,TODAY()),2,2))"),"")</f>
        <v/>
      </c>
      <c r="CM39" s="1" t="str">
        <f ca="1">IFERROR(__xludf.DUMMYFUNCTION("if(CM$2="""","""", index(GOOGLEFINANCE($B$39,""close"",CM$2,TODAY()),2,2))"),"")</f>
        <v/>
      </c>
      <c r="CN39" s="1" t="str">
        <f ca="1">IFERROR(__xludf.DUMMYFUNCTION("if(CN$2="""","""", index(GOOGLEFINANCE($B$39,""close"",CN$2,TODAY()),2,2))"),"")</f>
        <v/>
      </c>
      <c r="CO39" s="1" t="str">
        <f ca="1">IFERROR(__xludf.DUMMYFUNCTION("if(CO$2="""","""", index(GOOGLEFINANCE($B$39,""close"",CO$2,TODAY()),2,2))"),"")</f>
        <v/>
      </c>
      <c r="CP39" s="1" t="str">
        <f ca="1">IFERROR(__xludf.DUMMYFUNCTION("if(CP$2="""","""", index(GOOGLEFINANCE($B$39,""close"",CP$2,TODAY()),2,2))"),"")</f>
        <v/>
      </c>
      <c r="CQ39" s="1" t="str">
        <f ca="1">IFERROR(__xludf.DUMMYFUNCTION("if(CQ$2="""","""", index(GOOGLEFINANCE($B$39,""close"",CQ$2,TODAY()),2,2))"),"")</f>
        <v/>
      </c>
      <c r="CR39" s="1" t="str">
        <f ca="1">IFERROR(__xludf.DUMMYFUNCTION("if(CR$2="""","""", index(GOOGLEFINANCE($B$39,""close"",CR$2,TODAY()),2,2))"),"")</f>
        <v/>
      </c>
      <c r="CS39" s="1" t="str">
        <f ca="1">IFERROR(__xludf.DUMMYFUNCTION("if(CS$2="""","""", index(GOOGLEFINANCE($B$39,""close"",CS$2,TODAY()),2,2))"),"")</f>
        <v/>
      </c>
      <c r="CT39" s="1" t="str">
        <f ca="1">IFERROR(__xludf.DUMMYFUNCTION("if(CT$2="""","""", index(GOOGLEFINANCE($B$39,""close"",CT$2,TODAY()),2,2))"),"")</f>
        <v/>
      </c>
      <c r="CU39" s="1" t="str">
        <f ca="1">IFERROR(__xludf.DUMMYFUNCTION("if(CU$2="""","""", index(GOOGLEFINANCE($B$39,""close"",CU$2,TODAY()),2,2))"),"")</f>
        <v/>
      </c>
      <c r="CV39" s="1" t="str">
        <f ca="1">IFERROR(__xludf.DUMMYFUNCTION("if(CV$2="""","""", index(GOOGLEFINANCE($B$39,""close"",CV$2,TODAY()),2,2))"),"")</f>
        <v/>
      </c>
      <c r="CW39" s="1" t="str">
        <f ca="1">IFERROR(__xludf.DUMMYFUNCTION("if(CW$2="""","""", index(GOOGLEFINANCE($B$39,""close"",CW$2,TODAY()),2,2))"),"")</f>
        <v/>
      </c>
      <c r="CX39" s="1" t="str">
        <f ca="1">IFERROR(__xludf.DUMMYFUNCTION("if(CX$2="""","""", index(GOOGLEFINANCE($B$39,""close"",CX$2,TODAY()),2,2))"),"")</f>
        <v/>
      </c>
      <c r="CY39" s="1" t="str">
        <f ca="1">IFERROR(__xludf.DUMMYFUNCTION("if(CY$2="""","""", index(GOOGLEFINANCE($B$39,""close"",CY$2,TODAY()),2,2))"),"")</f>
        <v/>
      </c>
      <c r="CZ39" s="1" t="str">
        <f ca="1">IFERROR(__xludf.DUMMYFUNCTION("if(CZ$2="""","""", index(GOOGLEFINANCE($B$39,""close"",CZ$2,TODAY()),2,2))"),"")</f>
        <v/>
      </c>
      <c r="DA39" s="1" t="str">
        <f ca="1">IFERROR(__xludf.DUMMYFUNCTION("if(DA$2="""","""", index(GOOGLEFINANCE($B$39,""close"",DA$2,TODAY()),2,2))"),"")</f>
        <v/>
      </c>
      <c r="DB39" s="1" t="str">
        <f ca="1">IFERROR(__xludf.DUMMYFUNCTION("if(DB$2="""","""", index(GOOGLEFINANCE($B$39,""close"",DB$2,TODAY()),2,2))"),"")</f>
        <v/>
      </c>
      <c r="DC39" s="1" t="str">
        <f ca="1">IFERROR(__xludf.DUMMYFUNCTION("if(DC$2="""","""", index(GOOGLEFINANCE($B$39,""close"",DC$2,TODAY()),2,2))"),"")</f>
        <v/>
      </c>
      <c r="DD39" s="1" t="str">
        <f ca="1">IFERROR(__xludf.DUMMYFUNCTION("if(DD$2="""","""", index(GOOGLEFINANCE($B$39,""close"",DD$2,TODAY()),2,2))"),"")</f>
        <v/>
      </c>
      <c r="DE39" s="1" t="str">
        <f ca="1">IFERROR(__xludf.DUMMYFUNCTION("if(DE$2="""","""", index(GOOGLEFINANCE($B$39,""close"",DE$2,TODAY()),2,2))"),"")</f>
        <v/>
      </c>
      <c r="DF39" s="1" t="str">
        <f ca="1">IFERROR(__xludf.DUMMYFUNCTION("if(DF$2="""","""", index(GOOGLEFINANCE($B$39,""close"",DF$2,TODAY()),2,2))"),"")</f>
        <v/>
      </c>
      <c r="DG39" s="1" t="str">
        <f ca="1">IFERROR(__xludf.DUMMYFUNCTION("if(DG$2="""","""", index(GOOGLEFINANCE($B$39,""close"",DG$2,TODAY()),2,2))"),"")</f>
        <v/>
      </c>
      <c r="DH39" s="1" t="str">
        <f ca="1">IFERROR(__xludf.DUMMYFUNCTION("if(DH$2="""","""", index(GOOGLEFINANCE($B$39,""close"",DH$2,TODAY()),2,2))"),"")</f>
        <v/>
      </c>
      <c r="DI39" s="1" t="str">
        <f ca="1">IFERROR(__xludf.DUMMYFUNCTION("if(DI$2="""","""", index(GOOGLEFINANCE($B$39,""close"",DI$2,TODAY()),2,2))"),"")</f>
        <v/>
      </c>
      <c r="DJ39" s="1" t="str">
        <f ca="1">IFERROR(__xludf.DUMMYFUNCTION("if(DJ$2="""","""", index(GOOGLEFINANCE($B$39,""close"",DJ$2,TODAY()),2,2))"),"")</f>
        <v/>
      </c>
      <c r="DK39" s="1" t="str">
        <f ca="1">IFERROR(__xludf.DUMMYFUNCTION("if(DK$2="""","""", index(GOOGLEFINANCE($B$39,""close"",DK$2,TODAY()),2,2))"),"")</f>
        <v/>
      </c>
      <c r="DL39" s="1" t="str">
        <f ca="1">IFERROR(__xludf.DUMMYFUNCTION("if(DL$2="""","""", index(GOOGLEFINANCE($B$39,""close"",DL$2,TODAY()),2,2))"),"")</f>
        <v/>
      </c>
      <c r="DM39" s="1" t="str">
        <f ca="1">IFERROR(__xludf.DUMMYFUNCTION("if(DM$2="""","""", index(GOOGLEFINANCE($B$39,""close"",DM$2,TODAY()),2,2))"),"")</f>
        <v/>
      </c>
      <c r="DN39" s="1" t="str">
        <f ca="1">IFERROR(__xludf.DUMMYFUNCTION("if(DN$2="""","""", index(GOOGLEFINANCE($B$39,""close"",DN$2,TODAY()),2,2))"),"")</f>
        <v/>
      </c>
      <c r="DO39" s="1" t="str">
        <f ca="1">IFERROR(__xludf.DUMMYFUNCTION("if(DO$2="""","""", index(GOOGLEFINANCE($B$39,""close"",DO$2,TODAY()),2,2))"),"")</f>
        <v/>
      </c>
      <c r="DP39" s="1" t="str">
        <f ca="1">IFERROR(__xludf.DUMMYFUNCTION("if(DP$2="""","""", index(GOOGLEFINANCE($B$39,""close"",DP$2,TODAY()),2,2))"),"")</f>
        <v/>
      </c>
      <c r="DQ39" s="1" t="str">
        <f ca="1">IFERROR(__xludf.DUMMYFUNCTION("if(DQ$2="""","""", index(GOOGLEFINANCE($B$39,""close"",DQ$2,TODAY()),2,2))"),"")</f>
        <v/>
      </c>
      <c r="DR39" s="1" t="str">
        <f ca="1">IFERROR(__xludf.DUMMYFUNCTION("if(DR$2="""","""", index(GOOGLEFINANCE($B$39,""close"",DR$2,TODAY()),2,2))"),"")</f>
        <v/>
      </c>
      <c r="DS39" s="1" t="str">
        <f ca="1">IFERROR(__xludf.DUMMYFUNCTION("if(DS$2="""","""", index(GOOGLEFINANCE($B$39,""close"",DS$2,TODAY()),2,2))"),"")</f>
        <v/>
      </c>
      <c r="DT39" s="1" t="str">
        <f ca="1">IFERROR(__xludf.DUMMYFUNCTION("if(DT$2="""","""", index(GOOGLEFINANCE($B$39,""close"",DT$2,TODAY()),2,2))"),"")</f>
        <v/>
      </c>
      <c r="DU39" s="1" t="str">
        <f ca="1">IFERROR(__xludf.DUMMYFUNCTION("if(DU$2="""","""", index(GOOGLEFINANCE($B$39,""close"",DU$2,TODAY()),2,2))"),"")</f>
        <v/>
      </c>
      <c r="DV39" s="1" t="str">
        <f ca="1">IFERROR(__xludf.DUMMYFUNCTION("if(DV$2="""","""", index(GOOGLEFINANCE($B$39,""close"",DV$2,TODAY()),2,2))"),"")</f>
        <v/>
      </c>
      <c r="DW39" s="1" t="str">
        <f ca="1">IFERROR(__xludf.DUMMYFUNCTION("if(DW$2="""","""", index(GOOGLEFINANCE($B$39,""close"",DW$2,TODAY()),2,2))"),"")</f>
        <v/>
      </c>
      <c r="DX39" s="1" t="str">
        <f ca="1">IFERROR(__xludf.DUMMYFUNCTION("if(DX$2="""","""", index(GOOGLEFINANCE($B$39,""close"",DX$2,TODAY()),2,2))"),"")</f>
        <v/>
      </c>
      <c r="DY39" s="1" t="str">
        <f ca="1">IFERROR(__xludf.DUMMYFUNCTION("if(DY$2="""","""", index(GOOGLEFINANCE($B$39,""close"",DY$2,TODAY()),2,2))"),"")</f>
        <v/>
      </c>
      <c r="DZ39" s="1" t="str">
        <f ca="1">IFERROR(__xludf.DUMMYFUNCTION("if(DZ$2="""","""", index(GOOGLEFINANCE($B$39,""close"",DZ$2,TODAY()),2,2))"),"")</f>
        <v/>
      </c>
      <c r="EA39" s="1" t="str">
        <f ca="1">IFERROR(__xludf.DUMMYFUNCTION("if(EA$2="""","""", index(GOOGLEFINANCE($B$39,""close"",EA$2,TODAY()),2,2))"),"")</f>
        <v/>
      </c>
      <c r="EB39" s="1" t="str">
        <f ca="1">IFERROR(__xludf.DUMMYFUNCTION("if(EB$2="""","""", index(GOOGLEFINANCE($B$39,""close"",EB$2,TODAY()),2,2))"),"")</f>
        <v/>
      </c>
      <c r="EC39" s="1" t="str">
        <f ca="1">IFERROR(__xludf.DUMMYFUNCTION("if(EC$2="""","""", index(GOOGLEFINANCE($B$39,""close"",EC$2,TODAY()),2,2))"),"")</f>
        <v/>
      </c>
      <c r="ED39" s="1" t="str">
        <f ca="1">IFERROR(__xludf.DUMMYFUNCTION("if(ED$2="""","""", index(GOOGLEFINANCE($B$39,""close"",ED$2,TODAY()),2,2))"),"")</f>
        <v/>
      </c>
      <c r="EE39" s="1" t="str">
        <f ca="1">IFERROR(__xludf.DUMMYFUNCTION("if(EE$2="""","""", index(GOOGLEFINANCE($B$39,""close"",EE$2,TODAY()),2,2))"),"")</f>
        <v/>
      </c>
      <c r="EF39" s="1" t="str">
        <f ca="1">IFERROR(__xludf.DUMMYFUNCTION("if(EF$2="""","""", index(GOOGLEFINANCE($B$39,""close"",EF$2,TODAY()),2,2))"),"")</f>
        <v/>
      </c>
      <c r="EG39" s="1" t="str">
        <f ca="1">IFERROR(__xludf.DUMMYFUNCTION("if(EG$2="""","""", index(GOOGLEFINANCE($B$39,""close"",EG$2,TODAY()),2,2))"),"")</f>
        <v/>
      </c>
      <c r="EH39" s="1" t="str">
        <f ca="1">IFERROR(__xludf.DUMMYFUNCTION("if(EH$2="""","""", index(GOOGLEFINANCE($B$39,""close"",EH$2,TODAY()),2,2))"),"")</f>
        <v/>
      </c>
      <c r="EI39" s="1" t="str">
        <f ca="1">IFERROR(__xludf.DUMMYFUNCTION("if(EI$2="""","""", index(GOOGLEFINANCE($B$39,""close"",EI$2,TODAY()),2,2))"),"")</f>
        <v/>
      </c>
      <c r="EJ39" s="1" t="str">
        <f ca="1">IFERROR(__xludf.DUMMYFUNCTION("if(EJ$2="""","""", index(GOOGLEFINANCE($B$39,""close"",EJ$2,TODAY()),2,2))"),"")</f>
        <v/>
      </c>
      <c r="EK39" s="1" t="str">
        <f ca="1">IFERROR(__xludf.DUMMYFUNCTION("if(EK$2="""","""", index(GOOGLEFINANCE($B$39,""close"",EK$2,TODAY()),2,2))"),"")</f>
        <v/>
      </c>
      <c r="EL39" s="1" t="str">
        <f ca="1">IFERROR(__xludf.DUMMYFUNCTION("if(EL$2="""","""", index(GOOGLEFINANCE($B$39,""close"",EL$2,TODAY()),2,2))"),"")</f>
        <v/>
      </c>
      <c r="EM39" s="1" t="str">
        <f ca="1">IFERROR(__xludf.DUMMYFUNCTION("if(EM$2="""","""", index(GOOGLEFINANCE($B$39,""close"",EM$2,TODAY()),2,2))"),"")</f>
        <v/>
      </c>
      <c r="EN39" s="1" t="str">
        <f ca="1">IFERROR(__xludf.DUMMYFUNCTION("if(EN$2="""","""", index(GOOGLEFINANCE($B$39,""close"",EN$2,TODAY()),2,2))"),"")</f>
        <v/>
      </c>
      <c r="EO39" s="1" t="str">
        <f ca="1">IFERROR(__xludf.DUMMYFUNCTION("if(EO$2="""","""", index(GOOGLEFINANCE($B$39,""close"",EO$2,TODAY()),2,2))"),"")</f>
        <v/>
      </c>
      <c r="EP39" s="1" t="str">
        <f ca="1">IFERROR(__xludf.DUMMYFUNCTION("if(EP$2="""","""", index(GOOGLEFINANCE($B$39,""close"",EP$2,TODAY()),2,2))"),"")</f>
        <v/>
      </c>
      <c r="EQ39" s="1" t="str">
        <f ca="1">IFERROR(__xludf.DUMMYFUNCTION("if(EQ$2="""","""", index(GOOGLEFINANCE($B$39,""close"",EQ$2,TODAY()),2,2))"),"")</f>
        <v/>
      </c>
      <c r="ER39" s="1" t="str">
        <f ca="1">IFERROR(__xludf.DUMMYFUNCTION("if(ER$2="""","""", index(GOOGLEFINANCE($B$39,""close"",ER$2,TODAY()),2,2))"),"")</f>
        <v/>
      </c>
      <c r="ES39" s="1" t="str">
        <f ca="1">IFERROR(__xludf.DUMMYFUNCTION("if(ES$2="""","""", index(GOOGLEFINANCE($B$39,""close"",ES$2,TODAY()),2,2))"),"")</f>
        <v/>
      </c>
      <c r="ET39" s="1" t="str">
        <f ca="1">IFERROR(__xludf.DUMMYFUNCTION("if(ET$2="""","""", index(GOOGLEFINANCE($B$39,""close"",ET$2,TODAY()),2,2))"),"")</f>
        <v/>
      </c>
      <c r="EU39" s="1" t="str">
        <f ca="1">IFERROR(__xludf.DUMMYFUNCTION("if(EU$2="""","""", index(GOOGLEFINANCE($B$39,""close"",EU$2,TODAY()),2,2))"),"")</f>
        <v/>
      </c>
      <c r="EV39" s="1" t="str">
        <f ca="1">IFERROR(__xludf.DUMMYFUNCTION("if(EV$2="""","""", index(GOOGLEFINANCE($B$39,""close"",EV$2,TODAY()),2,2))"),"")</f>
        <v/>
      </c>
      <c r="EW39" s="1" t="str">
        <f ca="1">IFERROR(__xludf.DUMMYFUNCTION("if(EW$2="""","""", index(GOOGLEFINANCE($B$39,""close"",EW$2,TODAY()),2,2))"),"")</f>
        <v/>
      </c>
      <c r="EX39" s="1" t="str">
        <f ca="1">IFERROR(__xludf.DUMMYFUNCTION("if(EX$2="""","""", index(GOOGLEFINANCE($B$39,""close"",EX$2,TODAY()),2,2))"),"")</f>
        <v/>
      </c>
      <c r="EY39" s="1" t="str">
        <f ca="1">IFERROR(__xludf.DUMMYFUNCTION("if(EY$2="""","""", index(GOOGLEFINANCE($B$39,""close"",EY$2,TODAY()),2,2))"),"")</f>
        <v/>
      </c>
      <c r="EZ39" s="1" t="str">
        <f ca="1">IFERROR(__xludf.DUMMYFUNCTION("if(EZ$2="""","""", index(GOOGLEFINANCE($B$39,""close"",EZ$2,TODAY()),2,2))"),"")</f>
        <v/>
      </c>
      <c r="FA39" s="1" t="str">
        <f ca="1">IFERROR(__xludf.DUMMYFUNCTION("if(FA$2="""","""", index(GOOGLEFINANCE($B$39,""close"",FA$2,TODAY()),2,2))"),"")</f>
        <v/>
      </c>
      <c r="FB39" s="1" t="str">
        <f ca="1">IFERROR(__xludf.DUMMYFUNCTION("if(FB$2="""","""", index(GOOGLEFINANCE($B$39,""close"",FB$2,TODAY()),2,2))"),"")</f>
        <v/>
      </c>
      <c r="FC39" s="1" t="str">
        <f ca="1">IFERROR(__xludf.DUMMYFUNCTION("if(FC$2="""","""", index(GOOGLEFINANCE($B$39,""close"",FC$2,TODAY()),2,2))"),"")</f>
        <v/>
      </c>
      <c r="FD39" s="1" t="str">
        <f ca="1">IFERROR(__xludf.DUMMYFUNCTION("if(FD$2="""","""", index(GOOGLEFINANCE($B$39,""close"",FD$2,TODAY()),2,2))"),"")</f>
        <v/>
      </c>
      <c r="FE39" s="1" t="str">
        <f ca="1">IFERROR(__xludf.DUMMYFUNCTION("if(FE$2="""","""", index(GOOGLEFINANCE($B$39,""close"",FE$2,TODAY()),2,2))"),"")</f>
        <v/>
      </c>
      <c r="FF39" s="1" t="str">
        <f ca="1">IFERROR(__xludf.DUMMYFUNCTION("if(FF$2="""","""", index(GOOGLEFINANCE($B$39,""close"",FF$2,TODAY()),2,2))"),"")</f>
        <v/>
      </c>
      <c r="FG39" s="1" t="str">
        <f ca="1">IFERROR(__xludf.DUMMYFUNCTION("if(FG$2="""","""", index(GOOGLEFINANCE($B$39,""close"",FG$2,TODAY()),2,2))"),"")</f>
        <v/>
      </c>
      <c r="FH39" s="1" t="str">
        <f ca="1">IFERROR(__xludf.DUMMYFUNCTION("if(FH$2="""","""", index(GOOGLEFINANCE($B$39,""close"",FH$2,TODAY()),2,2))"),"")</f>
        <v/>
      </c>
      <c r="FI39" s="1" t="str">
        <f ca="1">IFERROR(__xludf.DUMMYFUNCTION("if(FI$2="""","""", index(GOOGLEFINANCE($B$39,""close"",FI$2,TODAY()),2,2))"),"")</f>
        <v/>
      </c>
      <c r="FJ39" s="1" t="str">
        <f ca="1">IFERROR(__xludf.DUMMYFUNCTION("if(FJ$2="""","""", index(GOOGLEFINANCE($B$39,""close"",FJ$2,TODAY()),2,2))"),"")</f>
        <v/>
      </c>
      <c r="FK39" s="1" t="str">
        <f ca="1">IFERROR(__xludf.DUMMYFUNCTION("if(FK$2="""","""", index(GOOGLEFINANCE($B$39,""close"",FK$2,TODAY()),2,2))"),"")</f>
        <v/>
      </c>
      <c r="FL39" s="1" t="str">
        <f ca="1">IFERROR(__xludf.DUMMYFUNCTION("if(FL$2="""","""", index(GOOGLEFINANCE($B$39,""close"",FL$2,TODAY()),2,2))"),"")</f>
        <v/>
      </c>
      <c r="FM39" s="1" t="str">
        <f ca="1">IFERROR(__xludf.DUMMYFUNCTION("if(FM$2="""","""", index(GOOGLEFINANCE($B$39,""close"",FM$2,TODAY()),2,2))"),"")</f>
        <v/>
      </c>
      <c r="FN39" s="1" t="str">
        <f ca="1">IFERROR(__xludf.DUMMYFUNCTION("if(FN$2="""","""", index(GOOGLEFINANCE($B$39,""close"",FN$2,TODAY()),2,2))"),"")</f>
        <v/>
      </c>
      <c r="FO39" s="1" t="str">
        <f ca="1">IFERROR(__xludf.DUMMYFUNCTION("if(FO$2="""","""", index(GOOGLEFINANCE($B$39,""close"",FO$2,TODAY()),2,2))"),"")</f>
        <v/>
      </c>
      <c r="FP39" s="1" t="str">
        <f ca="1">IFERROR(__xludf.DUMMYFUNCTION("if(FP$2="""","""", index(GOOGLEFINANCE($B$39,""close"",FP$2,TODAY()),2,2))"),"")</f>
        <v/>
      </c>
      <c r="FQ39" s="1" t="str">
        <f ca="1">IFERROR(__xludf.DUMMYFUNCTION("if(FQ$2="""","""", index(GOOGLEFINANCE($B$39,""close"",FQ$2,TODAY()),2,2))"),"")</f>
        <v/>
      </c>
      <c r="FR39" s="1" t="str">
        <f ca="1">IFERROR(__xludf.DUMMYFUNCTION("if(FR$2="""","""", index(GOOGLEFINANCE($B$39,""close"",FR$2,TODAY()),2,2))"),"")</f>
        <v/>
      </c>
      <c r="FS39" s="1" t="str">
        <f ca="1">IFERROR(__xludf.DUMMYFUNCTION("if(FS$2="""","""", index(GOOGLEFINANCE($B$39,""close"",FS$2,TODAY()),2,2))"),"")</f>
        <v/>
      </c>
      <c r="FT39" s="1" t="str">
        <f ca="1">IFERROR(__xludf.DUMMYFUNCTION("if(FT$2="""","""", index(GOOGLEFINANCE($B$39,""close"",FT$2,TODAY()),2,2))"),"")</f>
        <v/>
      </c>
      <c r="FU39" s="1" t="str">
        <f ca="1">IFERROR(__xludf.DUMMYFUNCTION("if(FU$2="""","""", index(GOOGLEFINANCE($B$39,""close"",FU$2,TODAY()),2,2))"),"")</f>
        <v/>
      </c>
      <c r="FV39" s="1" t="str">
        <f ca="1">IFERROR(__xludf.DUMMYFUNCTION("if(FV$2="""","""", index(GOOGLEFINANCE($B$39,""close"",FV$2,TODAY()),2,2))"),"")</f>
        <v/>
      </c>
      <c r="FW39" s="1" t="str">
        <f ca="1">IFERROR(__xludf.DUMMYFUNCTION("if(FW$2="""","""", index(GOOGLEFINANCE($B$39,""close"",FW$2,TODAY()),2,2))"),"")</f>
        <v/>
      </c>
      <c r="FX39" s="1" t="str">
        <f ca="1">IFERROR(__xludf.DUMMYFUNCTION("if(FX$2="""","""", index(GOOGLEFINANCE($B$39,""close"",FX$2,TODAY()),2,2))"),"")</f>
        <v/>
      </c>
      <c r="FY39" s="1" t="str">
        <f ca="1">IFERROR(__xludf.DUMMYFUNCTION("if(FY$2="""","""", index(GOOGLEFINANCE($B$39,""close"",FY$2,TODAY()),2,2))"),"")</f>
        <v/>
      </c>
      <c r="FZ39" s="1" t="str">
        <f ca="1">IFERROR(__xludf.DUMMYFUNCTION("if(FZ$2="""","""", index(GOOGLEFINANCE($B$39,""close"",FZ$2,TODAY()),2,2))"),"")</f>
        <v/>
      </c>
      <c r="GA39" s="1" t="str">
        <f ca="1">IFERROR(__xludf.DUMMYFUNCTION("if(GA$2="""","""", index(GOOGLEFINANCE($B$39,""close"",GA$2,TODAY()),2,2))"),"")</f>
        <v/>
      </c>
      <c r="GB39" s="1" t="str">
        <f ca="1">IFERROR(__xludf.DUMMYFUNCTION("if(GB$2="""","""", index(GOOGLEFINANCE($B$39,""close"",GB$2,TODAY()),2,2))"),"")</f>
        <v/>
      </c>
      <c r="GC39" s="1" t="str">
        <f ca="1">IFERROR(__xludf.DUMMYFUNCTION("if(GC$2="""","""", index(GOOGLEFINANCE($B$39,""close"",GC$2,TODAY()),2,2))"),"")</f>
        <v/>
      </c>
      <c r="GD39" s="1" t="str">
        <f ca="1">IFERROR(__xludf.DUMMYFUNCTION("if(GD$2="""","""", index(GOOGLEFINANCE($B$39,""close"",GD$2,TODAY()),2,2))"),"")</f>
        <v/>
      </c>
      <c r="GE39" s="1" t="str">
        <f ca="1">IFERROR(__xludf.DUMMYFUNCTION("if(GE$2="""","""", index(GOOGLEFINANCE($B$39,""close"",GE$2,TODAY()),2,2))"),"")</f>
        <v/>
      </c>
      <c r="GF39" s="1" t="str">
        <f ca="1">IFERROR(__xludf.DUMMYFUNCTION("if(GF$2="""","""", index(GOOGLEFINANCE($B$39,""close"",GF$2,TODAY()),2,2))"),"")</f>
        <v/>
      </c>
      <c r="GG39" s="1" t="str">
        <f ca="1">IFERROR(__xludf.DUMMYFUNCTION("if(GG$2="""","""", index(GOOGLEFINANCE($B$39,""close"",GG$2,TODAY()),2,2))"),"")</f>
        <v/>
      </c>
      <c r="GH39" s="1" t="str">
        <f ca="1">IFERROR(__xludf.DUMMYFUNCTION("if(GH$2="""","""", index(GOOGLEFINANCE($B$39,""close"",GH$2,TODAY()),2,2))"),"")</f>
        <v/>
      </c>
      <c r="GI39" s="1" t="str">
        <f ca="1">IFERROR(__xludf.DUMMYFUNCTION("if(GI$2="""","""", index(GOOGLEFINANCE($B$39,""close"",GI$2,TODAY()),2,2))"),"")</f>
        <v/>
      </c>
      <c r="GJ39" s="1" t="str">
        <f ca="1">IFERROR(__xludf.DUMMYFUNCTION("if(GJ$2="""","""", index(GOOGLEFINANCE($B$39,""close"",GJ$2,TODAY()),2,2))"),"")</f>
        <v/>
      </c>
      <c r="GK39" s="1" t="str">
        <f ca="1">IFERROR(__xludf.DUMMYFUNCTION("if(GK$2="""","""", index(GOOGLEFINANCE($B$39,""close"",GK$2,TODAY()),2,2))"),"")</f>
        <v/>
      </c>
      <c r="GL39" s="1" t="str">
        <f ca="1">IFERROR(__xludf.DUMMYFUNCTION("if(GL$2="""","""", index(GOOGLEFINANCE($B$39,""close"",GL$2,TODAY()),2,2))"),"")</f>
        <v/>
      </c>
      <c r="GM39" s="1" t="str">
        <f ca="1">IFERROR(__xludf.DUMMYFUNCTION("if(GM$2="""","""", index(GOOGLEFINANCE($B$39,""close"",GM$2,TODAY()),2,2))"),"")</f>
        <v/>
      </c>
      <c r="GN39" s="1" t="str">
        <f ca="1">IFERROR(__xludf.DUMMYFUNCTION("if(GN$2="""","""", index(GOOGLEFINANCE($B$39,""close"",GN$2,TODAY()),2,2))"),"")</f>
        <v/>
      </c>
      <c r="GO39" s="1" t="str">
        <f ca="1">IFERROR(__xludf.DUMMYFUNCTION("if(GO$2="""","""", index(GOOGLEFINANCE($B$39,""close"",GO$2,TODAY()),2,2))"),"")</f>
        <v/>
      </c>
      <c r="GP39" s="1" t="str">
        <f ca="1">IFERROR(__xludf.DUMMYFUNCTION("if(GP$2="""","""", index(GOOGLEFINANCE($B$39,""close"",GP$2,TODAY()),2,2))"),"")</f>
        <v/>
      </c>
      <c r="GQ39" s="1" t="str">
        <f ca="1">IFERROR(__xludf.DUMMYFUNCTION("if(GQ$2="""","""", index(GOOGLEFINANCE($B$39,""close"",GQ$2,TODAY()),2,2))"),"")</f>
        <v/>
      </c>
      <c r="GR39" s="1" t="str">
        <f ca="1">IFERROR(__xludf.DUMMYFUNCTION("if(GR$2="""","""", index(GOOGLEFINANCE($B$39,""close"",GR$2,TODAY()),2,2))"),"")</f>
        <v/>
      </c>
      <c r="GS39" s="1" t="str">
        <f ca="1">IFERROR(__xludf.DUMMYFUNCTION("if(GS$2="""","""", index(GOOGLEFINANCE($B$39,""close"",GS$2,TODAY()),2,2))"),"")</f>
        <v/>
      </c>
      <c r="GT39" s="1" t="str">
        <f ca="1">IFERROR(__xludf.DUMMYFUNCTION("if(GT$2="""","""", index(GOOGLEFINANCE($B$39,""close"",GT$2,TODAY()),2,2))"),"")</f>
        <v/>
      </c>
      <c r="GU39" s="1" t="str">
        <f ca="1">IFERROR(__xludf.DUMMYFUNCTION("if(GU$2="""","""", index(GOOGLEFINANCE($B$39,""close"",GU$2,TODAY()),2,2))"),"")</f>
        <v/>
      </c>
      <c r="GV39" s="1" t="str">
        <f ca="1">IFERROR(__xludf.DUMMYFUNCTION("if(GV$2="""","""", index(GOOGLEFINANCE($B$39,""close"",GV$2,TODAY()),2,2))"),"")</f>
        <v/>
      </c>
      <c r="GW39" s="1" t="str">
        <f ca="1">IFERROR(__xludf.DUMMYFUNCTION("if(GW$2="""","""", index(GOOGLEFINANCE($B$39,""close"",GW$2,TODAY()),2,2))"),"")</f>
        <v/>
      </c>
      <c r="GX39" s="1" t="str">
        <f ca="1">IFERROR(__xludf.DUMMYFUNCTION("if(GX$2="""","""", index(GOOGLEFINANCE($B$39,""close"",GX$2,TODAY()),2,2))"),"")</f>
        <v/>
      </c>
      <c r="GY39" s="1" t="str">
        <f ca="1">IFERROR(__xludf.DUMMYFUNCTION("if(GY$2="""","""", index(GOOGLEFINANCE($B$39,""close"",GY$2,TODAY()),2,2))"),"")</f>
        <v/>
      </c>
      <c r="GZ39" s="1" t="str">
        <f ca="1">IFERROR(__xludf.DUMMYFUNCTION("if(GZ$2="""","""", index(GOOGLEFINANCE($B$39,""close"",GZ$2,TODAY()),2,2))"),"")</f>
        <v/>
      </c>
      <c r="HA39" s="1" t="str">
        <f ca="1">IFERROR(__xludf.DUMMYFUNCTION("if(HA$2="""","""", index(GOOGLEFINANCE($B$39,""close"",HA$2,TODAY()),2,2))"),"")</f>
        <v/>
      </c>
      <c r="HB39" s="1" t="str">
        <f ca="1">IFERROR(__xludf.DUMMYFUNCTION("if(HB$2="""","""", index(GOOGLEFINANCE($B$39,""close"",HB$2,TODAY()),2,2))"),"")</f>
        <v/>
      </c>
      <c r="HC39" s="1" t="str">
        <f ca="1">IFERROR(__xludf.DUMMYFUNCTION("if(HC$2="""","""", index(GOOGLEFINANCE($B$39,""close"",HC$2,TODAY()),2,2))"),"")</f>
        <v/>
      </c>
      <c r="HD39" s="1" t="str">
        <f ca="1">IFERROR(__xludf.DUMMYFUNCTION("if(HD$2="""","""", index(GOOGLEFINANCE($B$39,""close"",HD$2,TODAY()),2,2))"),"")</f>
        <v/>
      </c>
      <c r="HE39" s="1" t="str">
        <f ca="1">IFERROR(__xludf.DUMMYFUNCTION("if(HE$2="""","""", index(GOOGLEFINANCE($B$39,""close"",HE$2,TODAY()),2,2))"),"")</f>
        <v/>
      </c>
      <c r="HF39" s="1" t="str">
        <f ca="1">IFERROR(__xludf.DUMMYFUNCTION("if(HF$2="""","""", index(GOOGLEFINANCE($B$39,""close"",HF$2,TODAY()),2,2))"),"")</f>
        <v/>
      </c>
      <c r="HG39" s="1" t="str">
        <f ca="1">IFERROR(__xludf.DUMMYFUNCTION("if(HG$2="""","""", index(GOOGLEFINANCE($B$39,""close"",HG$2,TODAY()),2,2))"),"")</f>
        <v/>
      </c>
      <c r="HH39" s="1" t="str">
        <f ca="1">IFERROR(__xludf.DUMMYFUNCTION("if(HH$2="""","""", index(GOOGLEFINANCE($B$39,""close"",HH$2,TODAY()),2,2))"),"")</f>
        <v/>
      </c>
      <c r="HI39" s="1" t="str">
        <f ca="1">IFERROR(__xludf.DUMMYFUNCTION("if(HI$2="""","""", index(GOOGLEFINANCE($B$39,""close"",HI$2,TODAY()),2,2))"),"")</f>
        <v/>
      </c>
      <c r="HJ39" s="1" t="str">
        <f ca="1">IFERROR(__xludf.DUMMYFUNCTION("if(HJ$2="""","""", index(GOOGLEFINANCE($B$39,""close"",HJ$2,TODAY()),2,2))"),"")</f>
        <v/>
      </c>
      <c r="HK39" s="1" t="str">
        <f ca="1">IFERROR(__xludf.DUMMYFUNCTION("if(HK$2="""","""", index(GOOGLEFINANCE($B$39,""close"",HK$2,TODAY()),2,2))"),"")</f>
        <v/>
      </c>
      <c r="HL39" s="1" t="str">
        <f ca="1">IFERROR(__xludf.DUMMYFUNCTION("if(HL$2="""","""", index(GOOGLEFINANCE($B$39,""close"",HL$2,TODAY()),2,2))"),"")</f>
        <v/>
      </c>
      <c r="HM39" s="1" t="str">
        <f ca="1">IFERROR(__xludf.DUMMYFUNCTION("if(HM$2="""","""", index(GOOGLEFINANCE($B$39,""close"",HM$2,TODAY()),2,2))"),"")</f>
        <v/>
      </c>
      <c r="HN39" s="1" t="str">
        <f ca="1">IFERROR(__xludf.DUMMYFUNCTION("if(HN$2="""","""", index(GOOGLEFINANCE($B$39,""close"",HN$2,TODAY()),2,2))"),"")</f>
        <v/>
      </c>
      <c r="HO39" s="1" t="str">
        <f ca="1">IFERROR(__xludf.DUMMYFUNCTION("if(HO$2="""","""", index(GOOGLEFINANCE($B$39,""close"",HO$2,TODAY()),2,2))"),"")</f>
        <v/>
      </c>
      <c r="HP39" s="1" t="str">
        <f ca="1">IFERROR(__xludf.DUMMYFUNCTION("if(HP$2="""","""", index(GOOGLEFINANCE($B$39,""close"",HP$2,TODAY()),2,2))"),"")</f>
        <v/>
      </c>
      <c r="HQ39" s="1" t="str">
        <f ca="1">IFERROR(__xludf.DUMMYFUNCTION("if(HQ$2="""","""", index(GOOGLEFINANCE($B$39,""close"",HQ$2,TODAY()),2,2))"),"")</f>
        <v/>
      </c>
      <c r="HR39" s="1" t="str">
        <f ca="1">IFERROR(__xludf.DUMMYFUNCTION("if(HR$2="""","""", index(GOOGLEFINANCE($B$39,""close"",HR$2,TODAY()),2,2))"),"")</f>
        <v/>
      </c>
      <c r="HS39" s="1" t="str">
        <f ca="1">IFERROR(__xludf.DUMMYFUNCTION("if(HS$2="""","""", index(GOOGLEFINANCE($B$39,""close"",HS$2,TODAY()),2,2))"),"")</f>
        <v/>
      </c>
      <c r="HT39" s="1" t="str">
        <f ca="1">IFERROR(__xludf.DUMMYFUNCTION("if(HT$2="""","""", index(GOOGLEFINANCE($B$39,""close"",HT$2,TODAY()),2,2))"),"")</f>
        <v/>
      </c>
      <c r="HU39" s="1" t="str">
        <f ca="1">IFERROR(__xludf.DUMMYFUNCTION("if(HU$2="""","""", index(GOOGLEFINANCE($B$39,""close"",HU$2,TODAY()),2,2))"),"")</f>
        <v/>
      </c>
      <c r="HV39" s="1" t="str">
        <f ca="1">IFERROR(__xludf.DUMMYFUNCTION("if(HV$2="""","""", index(GOOGLEFINANCE($B$39,""close"",HV$2,TODAY()),2,2))"),"")</f>
        <v/>
      </c>
      <c r="HW39" s="1" t="str">
        <f ca="1">IFERROR(__xludf.DUMMYFUNCTION("if(HW$2="""","""", index(GOOGLEFINANCE($B$39,""close"",HW$2,TODAY()),2,2))"),"")</f>
        <v/>
      </c>
      <c r="HX39" s="1" t="str">
        <f ca="1">IFERROR(__xludf.DUMMYFUNCTION("if(HX$2="""","""", index(GOOGLEFINANCE($B$39,""close"",HX$2,TODAY()),2,2))"),"")</f>
        <v/>
      </c>
      <c r="HY39" s="1" t="str">
        <f ca="1">IFERROR(__xludf.DUMMYFUNCTION("if(HY$2="""","""", index(GOOGLEFINANCE($B$39,""close"",HY$2,TODAY()),2,2))"),"")</f>
        <v/>
      </c>
      <c r="HZ39" s="1" t="str">
        <f ca="1">IFERROR(__xludf.DUMMYFUNCTION("if(HZ$2="""","""", index(GOOGLEFINANCE($B$39,""close"",HZ$2,TODAY()),2,2))"),"")</f>
        <v/>
      </c>
      <c r="IA39" s="1" t="str">
        <f ca="1">IFERROR(__xludf.DUMMYFUNCTION("if(IA$2="""","""", index(GOOGLEFINANCE($B$39,""close"",IA$2,TODAY()),2,2))"),"")</f>
        <v/>
      </c>
      <c r="IB39" s="1" t="str">
        <f ca="1">IFERROR(__xludf.DUMMYFUNCTION("if(IB$2="""","""", index(GOOGLEFINANCE($B$39,""close"",IB$2,TODAY()),2,2))"),"")</f>
        <v/>
      </c>
      <c r="IC39" s="1" t="str">
        <f ca="1">IFERROR(__xludf.DUMMYFUNCTION("if(IC$2="""","""", index(GOOGLEFINANCE($B$39,""close"",IC$2,TODAY()),2,2))"),"")</f>
        <v/>
      </c>
      <c r="ID39" s="1" t="str">
        <f ca="1">IFERROR(__xludf.DUMMYFUNCTION("if(ID$2="""","""", index(GOOGLEFINANCE($B$39,""close"",ID$2,TODAY()),2,2))"),"")</f>
        <v/>
      </c>
      <c r="IE39" s="1" t="str">
        <f ca="1">IFERROR(__xludf.DUMMYFUNCTION("if(IE$2="""","""", index(GOOGLEFINANCE($B$39,""close"",IE$2,TODAY()),2,2))"),"")</f>
        <v/>
      </c>
      <c r="IF39" s="1" t="str">
        <f ca="1">IFERROR(__xludf.DUMMYFUNCTION("if(IF$2="""","""", index(GOOGLEFINANCE($B$39,""close"",IF$2,TODAY()),2,2))"),"")</f>
        <v/>
      </c>
      <c r="IG39" s="1" t="str">
        <f ca="1">IFERROR(__xludf.DUMMYFUNCTION("if(IG$2="""","""", index(GOOGLEFINANCE($B$39,""close"",IG$2,TODAY()),2,2))"),"")</f>
        <v/>
      </c>
      <c r="IH39" s="1" t="str">
        <f ca="1">IFERROR(__xludf.DUMMYFUNCTION("if(IH$2="""","""", index(GOOGLEFINANCE($B$39,""close"",IH$2,TODAY()),2,2))"),"")</f>
        <v/>
      </c>
      <c r="II39" s="1" t="str">
        <f ca="1">IFERROR(__xludf.DUMMYFUNCTION("if(II$2="""","""", index(GOOGLEFINANCE($B$39,""close"",II$2,TODAY()),2,2))"),"")</f>
        <v/>
      </c>
      <c r="IJ39" s="1" t="str">
        <f ca="1">IFERROR(__xludf.DUMMYFUNCTION("if(IJ$2="""","""", index(GOOGLEFINANCE($B$39,""close"",IJ$2,TODAY()),2,2))"),"")</f>
        <v/>
      </c>
      <c r="IK39" s="1" t="str">
        <f ca="1">IFERROR(__xludf.DUMMYFUNCTION("if(IK$2="""","""", index(GOOGLEFINANCE($B$39,""close"",IK$2,TODAY()),2,2))"),"")</f>
        <v/>
      </c>
      <c r="IL39" s="1" t="str">
        <f ca="1">IFERROR(__xludf.DUMMYFUNCTION("if(IL$2="""","""", index(GOOGLEFINANCE($B$39,""close"",IL$2,TODAY()),2,2))"),"")</f>
        <v/>
      </c>
      <c r="IM39" s="1" t="str">
        <f ca="1">IFERROR(__xludf.DUMMYFUNCTION("if(IM$2="""","""", index(GOOGLEFINANCE($B$39,""close"",IM$2,TODAY()),2,2))"),"")</f>
        <v/>
      </c>
      <c r="IN39" s="1" t="str">
        <f ca="1">IFERROR(__xludf.DUMMYFUNCTION("if(IN$2="""","""", index(GOOGLEFINANCE($B$39,""close"",IN$2,TODAY()),2,2))"),"")</f>
        <v/>
      </c>
      <c r="IO39" s="1" t="str">
        <f ca="1">IFERROR(__xludf.DUMMYFUNCTION("if(IO$2="""","""", index(GOOGLEFINANCE($B$39,""close"",IO$2,TODAY()),2,2))"),"")</f>
        <v/>
      </c>
      <c r="IP39" s="1" t="str">
        <f ca="1">IFERROR(__xludf.DUMMYFUNCTION("if(IP$2="""","""", index(GOOGLEFINANCE($B$39,""close"",IP$2,TODAY()),2,2))"),"")</f>
        <v/>
      </c>
      <c r="IQ39" s="1" t="str">
        <f ca="1">IFERROR(__xludf.DUMMYFUNCTION("if(IQ$2="""","""", index(GOOGLEFINANCE($B$39,""close"",IQ$2,TODAY()),2,2))"),"")</f>
        <v/>
      </c>
      <c r="IR39" s="1" t="str">
        <f ca="1">IFERROR(__xludf.DUMMYFUNCTION("if(IR$2="""","""", index(GOOGLEFINANCE($B$39,""close"",IR$2,TODAY()),2,2))"),"")</f>
        <v/>
      </c>
      <c r="IS39" s="1" t="str">
        <f ca="1">IFERROR(__xludf.DUMMYFUNCTION("if(IS$2="""","""", index(GOOGLEFINANCE($B$39,""close"",IS$2,TODAY()),2,2))"),"")</f>
        <v/>
      </c>
      <c r="IT39" s="1" t="str">
        <f ca="1">IFERROR(__xludf.DUMMYFUNCTION("if(IT$2="""","""", index(GOOGLEFINANCE($B$39,""close"",IT$2,TODAY()),2,2))"),"")</f>
        <v/>
      </c>
      <c r="IU39" s="1" t="str">
        <f ca="1">IFERROR(__xludf.DUMMYFUNCTION("if(IU$2="""","""", index(GOOGLEFINANCE($B$39,""close"",IU$2,TODAY()),2,2))"),"")</f>
        <v/>
      </c>
      <c r="IV39" s="1" t="str">
        <f ca="1">IFERROR(__xludf.DUMMYFUNCTION("if(IV$2="""","""", index(GOOGLEFINANCE($B$39,""close"",IV$2,TODAY()),2,2))"),"")</f>
        <v/>
      </c>
      <c r="IW39" s="1" t="str">
        <f ca="1">IFERROR(__xludf.DUMMYFUNCTION("if(IW$2="""","""", index(GOOGLEFINANCE($B$39,""close"",IW$2,TODAY()),2,2))"),"")</f>
        <v/>
      </c>
      <c r="IX39" s="1" t="str">
        <f ca="1">IFERROR(__xludf.DUMMYFUNCTION("if(IX$2="""","""", index(GOOGLEFINANCE($B$39,""close"",IX$2,TODAY()),2,2))"),"")</f>
        <v/>
      </c>
      <c r="IY39" s="1" t="str">
        <f ca="1">IFERROR(__xludf.DUMMYFUNCTION("if(IY$2="""","""", index(GOOGLEFINANCE($B$39,""close"",IY$2,TODAY()),2,2))"),"")</f>
        <v/>
      </c>
      <c r="IZ39" s="1" t="str">
        <f ca="1">IFERROR(__xludf.DUMMYFUNCTION("if(IZ$2="""","""", index(GOOGLEFINANCE($B$39,""close"",IZ$2,TODAY()),2,2))"),"")</f>
        <v/>
      </c>
      <c r="JA39" s="1" t="str">
        <f ca="1">IFERROR(__xludf.DUMMYFUNCTION("if(JA$2="""","""", index(GOOGLEFINANCE($B$39,""close"",JA$2,TODAY()),2,2))"),"")</f>
        <v/>
      </c>
      <c r="JB39" s="1" t="str">
        <f ca="1">IFERROR(__xludf.DUMMYFUNCTION("if(JB$2="""","""", index(GOOGLEFINANCE($B$39,""close"",JB$2,TODAY()),2,2))"),"")</f>
        <v/>
      </c>
      <c r="JC39" s="1" t="str">
        <f ca="1">IFERROR(__xludf.DUMMYFUNCTION("if(JC$2="""","""", index(GOOGLEFINANCE($B$39,""close"",JC$2,TODAY()),2,2))"),"")</f>
        <v/>
      </c>
      <c r="JD39" s="1" t="str">
        <f ca="1">IFERROR(__xludf.DUMMYFUNCTION("if(JD$2="""","""", index(GOOGLEFINANCE($B$39,""close"",JD$2,TODAY()),2,2))"),"")</f>
        <v/>
      </c>
      <c r="JE39" s="1" t="str">
        <f ca="1">IFERROR(__xludf.DUMMYFUNCTION("if(JE$2="""","""", index(GOOGLEFINANCE($B$39,""close"",JE$2,TODAY()),2,2))"),"")</f>
        <v/>
      </c>
      <c r="JF39" s="1" t="str">
        <f ca="1">IFERROR(__xludf.DUMMYFUNCTION("if(JF$2="""","""", index(GOOGLEFINANCE($B$39,""close"",JF$2,TODAY()),2,2))"),"")</f>
        <v/>
      </c>
      <c r="JG39" s="1" t="str">
        <f ca="1">IFERROR(__xludf.DUMMYFUNCTION("if(JG$2="""","""", index(GOOGLEFINANCE($B$39,""close"",JG$2,TODAY()),2,2))"),"")</f>
        <v/>
      </c>
      <c r="JH39" s="1" t="str">
        <f ca="1">IFERROR(__xludf.DUMMYFUNCTION("if(JH$2="""","""", index(GOOGLEFINANCE($B$39,""close"",JH$2,TODAY()),2,2))"),"")</f>
        <v/>
      </c>
      <c r="JI39" s="1" t="str">
        <f ca="1">IFERROR(__xludf.DUMMYFUNCTION("if(JI$2="""","""", index(GOOGLEFINANCE($B$39,""close"",JI$2,TODAY()),2,2))"),"")</f>
        <v/>
      </c>
      <c r="JJ39" s="1" t="str">
        <f ca="1">IFERROR(__xludf.DUMMYFUNCTION("if(JJ$2="""","""", index(GOOGLEFINANCE($B$39,""close"",JJ$2,TODAY()),2,2))"),"")</f>
        <v/>
      </c>
      <c r="JK39" s="1" t="str">
        <f ca="1">IFERROR(__xludf.DUMMYFUNCTION("if(JK$2="""","""", index(GOOGLEFINANCE($B$39,""close"",JK$2,TODAY()),2,2))"),"")</f>
        <v/>
      </c>
      <c r="JL39" s="1" t="str">
        <f ca="1">IFERROR(__xludf.DUMMYFUNCTION("if(JL$2="""","""", index(GOOGLEFINANCE($B$39,""close"",JL$2,TODAY()),2,2))"),"")</f>
        <v/>
      </c>
      <c r="JM39" s="1" t="str">
        <f ca="1">IFERROR(__xludf.DUMMYFUNCTION("if(JM$2="""","""", index(GOOGLEFINANCE($B$39,""close"",JM$2,TODAY()),2,2))"),"")</f>
        <v/>
      </c>
      <c r="JN39" s="1" t="str">
        <f ca="1">IFERROR(__xludf.DUMMYFUNCTION("if(JN$2="""","""", index(GOOGLEFINANCE($B$39,""close"",JN$2,TODAY()),2,2))"),"")</f>
        <v/>
      </c>
      <c r="JO39" s="1" t="str">
        <f ca="1">IFERROR(__xludf.DUMMYFUNCTION("if(JO$2="""","""", index(GOOGLEFINANCE($B$39,""close"",JO$2,TODAY()),2,2))"),"")</f>
        <v/>
      </c>
      <c r="JP39" s="1" t="str">
        <f ca="1">IFERROR(__xludf.DUMMYFUNCTION("if(JP$2="""","""", index(GOOGLEFINANCE($B$39,""close"",JP$2,TODAY()),2,2))"),"")</f>
        <v/>
      </c>
      <c r="JQ39" s="1" t="str">
        <f ca="1">IFERROR(__xludf.DUMMYFUNCTION("if(JQ$2="""","""", index(GOOGLEFINANCE($B$39,""close"",JQ$2,TODAY()),2,2))"),"")</f>
        <v/>
      </c>
      <c r="JR39" s="1" t="str">
        <f ca="1">IFERROR(__xludf.DUMMYFUNCTION("if(JR$2="""","""", index(GOOGLEFINANCE($B$39,""close"",JR$2,TODAY()),2,2))"),"")</f>
        <v/>
      </c>
      <c r="JS39" s="1" t="str">
        <f ca="1">IFERROR(__xludf.DUMMYFUNCTION("if(JS$2="""","""", index(GOOGLEFINANCE($B$39,""close"",JS$2,TODAY()),2,2))"),"")</f>
        <v/>
      </c>
      <c r="JT39" s="1" t="str">
        <f ca="1">IFERROR(__xludf.DUMMYFUNCTION("if(JT$2="""","""", index(GOOGLEFINANCE($B$39,""close"",JT$2,TODAY()),2,2))"),"")</f>
        <v/>
      </c>
      <c r="JU39" s="1" t="str">
        <f ca="1">IFERROR(__xludf.DUMMYFUNCTION("if(JU$2="""","""", index(GOOGLEFINANCE($B$39,""close"",JU$2,TODAY()),2,2))"),"")</f>
        <v/>
      </c>
      <c r="JV39" s="1" t="str">
        <f ca="1">IFERROR(__xludf.DUMMYFUNCTION("if(JV$2="""","""", index(GOOGLEFINANCE($B$39,""close"",JV$2,TODAY()),2,2))"),"")</f>
        <v/>
      </c>
      <c r="JW39" s="1" t="str">
        <f ca="1">IFERROR(__xludf.DUMMYFUNCTION("if(JW$2="""","""", index(GOOGLEFINANCE($B$39,""close"",JW$2,TODAY()),2,2))"),"")</f>
        <v/>
      </c>
      <c r="JX39" s="1" t="str">
        <f ca="1">IFERROR(__xludf.DUMMYFUNCTION("if(JX$2="""","""", index(GOOGLEFINANCE($B$39,""close"",JX$2,TODAY()),2,2))"),"")</f>
        <v/>
      </c>
      <c r="JY39" s="1" t="str">
        <f ca="1">IFERROR(__xludf.DUMMYFUNCTION("if(JY$2="""","""", index(GOOGLEFINANCE($B$39,""close"",JY$2,TODAY()),2,2))"),"")</f>
        <v/>
      </c>
      <c r="JZ39" s="1" t="str">
        <f ca="1">IFERROR(__xludf.DUMMYFUNCTION("if(JZ$2="""","""", index(GOOGLEFINANCE($B$39,""close"",JZ$2,TODAY()),2,2))"),"")</f>
        <v/>
      </c>
      <c r="KA39" s="1" t="str">
        <f ca="1">IFERROR(__xludf.DUMMYFUNCTION("if(KA$2="""","""", index(GOOGLEFINANCE($B$39,""close"",KA$2,TODAY()),2,2))"),"")</f>
        <v/>
      </c>
      <c r="KB39" s="1" t="str">
        <f ca="1">IFERROR(__xludf.DUMMYFUNCTION("if(KB$2="""","""", index(GOOGLEFINANCE($B$39,""close"",KB$2,TODAY()),2,2))"),"")</f>
        <v/>
      </c>
      <c r="KC39" s="1" t="str">
        <f ca="1">IFERROR(__xludf.DUMMYFUNCTION("if(KC$2="""","""", index(GOOGLEFINANCE($B$39,""close"",KC$2,TODAY()),2,2))"),"")</f>
        <v/>
      </c>
      <c r="KD39" s="1" t="str">
        <f ca="1">IFERROR(__xludf.DUMMYFUNCTION("if(KD$2="""","""", index(GOOGLEFINANCE($B$39,""close"",KD$2,TODAY()),2,2))"),"")</f>
        <v/>
      </c>
      <c r="KE39" s="1" t="str">
        <f ca="1">IFERROR(__xludf.DUMMYFUNCTION("if(KE$2="""","""", index(GOOGLEFINANCE($B$39,""close"",KE$2,TODAY()),2,2))"),"")</f>
        <v/>
      </c>
      <c r="KF39" s="1" t="str">
        <f ca="1">IFERROR(__xludf.DUMMYFUNCTION("if(KF$2="""","""", index(GOOGLEFINANCE($B$39,""close"",KF$2,TODAY()),2,2))"),"")</f>
        <v/>
      </c>
      <c r="KG39" s="1" t="str">
        <f ca="1">IFERROR(__xludf.DUMMYFUNCTION("if(KG$2="""","""", index(GOOGLEFINANCE($B$39,""close"",KG$2,TODAY()),2,2))"),"")</f>
        <v/>
      </c>
    </row>
    <row r="40" spans="1:293" ht="15.75" customHeight="1">
      <c r="A40" s="18" t="s">
        <v>30</v>
      </c>
      <c r="B40" s="6" t="s">
        <v>33</v>
      </c>
      <c r="C40" s="1">
        <f ca="1">IFERROR(__xludf.DUMMYFUNCTION("if(C$2="""","""", index(GOOGLEFINANCE($B$40,""close"",C$2,TODAY()),2,2))"),29.16)</f>
        <v>29.16</v>
      </c>
      <c r="D40" s="1">
        <f ca="1">IFERROR(__xludf.DUMMYFUNCTION("if(D$2="""","""", index(GOOGLEFINANCE($B$40,""close"",D$2,TODAY()),2,2))"),28.76)</f>
        <v>28.76</v>
      </c>
      <c r="E40" s="1">
        <f ca="1">IFERROR(__xludf.DUMMYFUNCTION("if(E$2="""","""", index(GOOGLEFINANCE($B$40,""close"",E$2,TODAY()),2,2))"),27.44)</f>
        <v>27.44</v>
      </c>
      <c r="F40" s="1">
        <f ca="1">IFERROR(__xludf.DUMMYFUNCTION("if(F$2="""","""", index(GOOGLEFINANCE($B$40,""close"",F$2,TODAY()),2,2))"),27.62)</f>
        <v>27.62</v>
      </c>
      <c r="G40" s="1">
        <f ca="1">IFERROR(__xludf.DUMMYFUNCTION("if(G$2="""","""", index(GOOGLEFINANCE($B$40,""close"",G$2,TODAY()),2,2))"),26.89)</f>
        <v>26.89</v>
      </c>
      <c r="H40" s="1">
        <f ca="1">IFERROR(__xludf.DUMMYFUNCTION("if(H$2="""","""", index(GOOGLEFINANCE($B$40,""close"",H$2,TODAY()),2,2))"),26.39)</f>
        <v>26.39</v>
      </c>
      <c r="I40" s="1">
        <f ca="1">IFERROR(__xludf.DUMMYFUNCTION("if(I$2="""","""", index(GOOGLEFINANCE($B$40,""close"",I$2,TODAY()),2,2))"),27.07)</f>
        <v>27.07</v>
      </c>
      <c r="J40" s="1">
        <f ca="1">IFERROR(__xludf.DUMMYFUNCTION("if(J$2="""","""", index(GOOGLEFINANCE($B$40,""close"",J$2,TODAY()),2,2))"),26.98)</f>
        <v>26.98</v>
      </c>
      <c r="K40" s="1">
        <f ca="1">IFERROR(__xludf.DUMMYFUNCTION("if(K$2="""","""", index(GOOGLEFINANCE($B$40,""close"",K$2,TODAY()),2,2))"),26.5)</f>
        <v>26.5</v>
      </c>
      <c r="L40" s="1">
        <f ca="1">IFERROR(__xludf.DUMMYFUNCTION("if(L$2="""","""", index(GOOGLEFINANCE($B$40,""close"",L$2,TODAY()),2,2))"),27.29)</f>
        <v>27.29</v>
      </c>
      <c r="M40" s="1">
        <f ca="1">IFERROR(__xludf.DUMMYFUNCTION("if(M$2="""","""", index(GOOGLEFINANCE($B$40,""close"",M$2,TODAY()),2,2))"),26.24)</f>
        <v>26.24</v>
      </c>
      <c r="N40" s="1">
        <f ca="1">IFERROR(__xludf.DUMMYFUNCTION("if(N$2="""","""", index(GOOGLEFINANCE($B$40,""close"",N$2,TODAY()),2,2))"),25.9)</f>
        <v>25.9</v>
      </c>
      <c r="O40" s="1">
        <f ca="1">IFERROR(__xludf.DUMMYFUNCTION("if(O$2="""","""", index(GOOGLEFINANCE($B$40,""close"",O$2,TODAY()),2,2))"),25.86)</f>
        <v>25.86</v>
      </c>
      <c r="P40" s="1">
        <f ca="1">IFERROR(__xludf.DUMMYFUNCTION("if(P$2="""","""", index(GOOGLEFINANCE($B$40,""close"",P$2,TODAY()),2,2))"),25.23)</f>
        <v>25.23</v>
      </c>
      <c r="Q40" s="1">
        <f ca="1">IFERROR(__xludf.DUMMYFUNCTION("if(Q$2="""","""", index(GOOGLEFINANCE($B$40,""close"",Q$2,TODAY()),2,2))"),25.98)</f>
        <v>25.98</v>
      </c>
      <c r="R40" s="1">
        <f ca="1">IFERROR(__xludf.DUMMYFUNCTION("if(R$2="""","""", index(GOOGLEFINANCE($B$40,""close"",R$2,TODAY()),2,2))"),25.05)</f>
        <v>25.05</v>
      </c>
      <c r="S40" s="1">
        <f ca="1">IFERROR(__xludf.DUMMYFUNCTION("if(S$2="""","""", index(GOOGLEFINANCE($B$40,""close"",S$2,TODAY()),2,2))"),24.76)</f>
        <v>24.76</v>
      </c>
      <c r="T40" s="1">
        <f ca="1">IFERROR(__xludf.DUMMYFUNCTION("if(T$2="""","""", index(GOOGLEFINANCE($B$40,""close"",T$2,TODAY()),2,2))"),24.28)</f>
        <v>24.28</v>
      </c>
      <c r="U40" s="1">
        <f ca="1">IFERROR(__xludf.DUMMYFUNCTION("if(U$2="""","""", index(GOOGLEFINANCE($B$40,""close"",U$2,TODAY()),2,2))"),24.77)</f>
        <v>24.77</v>
      </c>
      <c r="V40" s="1">
        <f ca="1">IFERROR(__xludf.DUMMYFUNCTION("if(V$2="""","""", index(GOOGLEFINANCE($B$40,""close"",V$2,TODAY()),2,2))"),25.41)</f>
        <v>25.41</v>
      </c>
      <c r="W40" s="1">
        <f ca="1">IFERROR(__xludf.DUMMYFUNCTION("if(W$2="""","""", index(GOOGLEFINANCE($B$40,""close"",W$2,TODAY()),2,2))"),25.91)</f>
        <v>25.91</v>
      </c>
      <c r="X40" s="1">
        <f ca="1">IFERROR(__xludf.DUMMYFUNCTION("if(X$2="""","""", index(GOOGLEFINANCE($B$40,""close"",X$2,TODAY()),2,2))"),26.15)</f>
        <v>26.15</v>
      </c>
      <c r="Y40" s="1">
        <f ca="1">IFERROR(__xludf.DUMMYFUNCTION("if(Y$2="""","""", index(GOOGLEFINANCE($B$40,""close"",Y$2,TODAY()),2,2))"),26.12)</f>
        <v>26.12</v>
      </c>
      <c r="Z40" s="1">
        <f ca="1">IFERROR(__xludf.DUMMYFUNCTION("if(Z$2="""","""", index(GOOGLEFINANCE($B$40,""close"",Z$2,TODAY()),2,2))"),26.56)</f>
        <v>26.56</v>
      </c>
      <c r="AA40" s="1">
        <f ca="1">IFERROR(__xludf.DUMMYFUNCTION("if(AA$2="""","""", index(GOOGLEFINANCE($B$40,""close"",AA$2,TODAY()),2,2))"),26.61)</f>
        <v>26.61</v>
      </c>
      <c r="AB40" s="1">
        <f ca="1">IFERROR(__xludf.DUMMYFUNCTION("if(AB$2="""","""", index(GOOGLEFINANCE($B$40,""close"",AB$2,TODAY()),2,2))"),27.46)</f>
        <v>27.46</v>
      </c>
      <c r="AC40" s="1">
        <f ca="1">IFERROR(__xludf.DUMMYFUNCTION("if(AC$2="""","""", index(GOOGLEFINANCE($B$40,""close"",AC$2,TODAY()),2,2))"),27.99)</f>
        <v>27.99</v>
      </c>
      <c r="AD40" s="1">
        <f ca="1">IFERROR(__xludf.DUMMYFUNCTION("if(AD$2="""","""", index(GOOGLEFINANCE($B$40,""close"",AD$2,TODAY()),2,2))"),27.75)</f>
        <v>27.75</v>
      </c>
      <c r="AE40" s="1">
        <f ca="1">IFERROR(__xludf.DUMMYFUNCTION("if(AE$2="""","""", index(GOOGLEFINANCE($B$40,""close"",AE$2,TODAY()),2,2))"),28.47)</f>
        <v>28.47</v>
      </c>
      <c r="AF40" s="1">
        <f ca="1">IFERROR(__xludf.DUMMYFUNCTION("if(AF$2="""","""", index(GOOGLEFINANCE($B$40,""close"",AF$2,TODAY()),2,2))"),28.44)</f>
        <v>28.44</v>
      </c>
      <c r="AG40" s="1">
        <f ca="1">IFERROR(__xludf.DUMMYFUNCTION("if(AG$2="""","""", index(GOOGLEFINANCE($B$40,""close"",AG$2,TODAY()),2,2))"),29.04)</f>
        <v>29.04</v>
      </c>
      <c r="AH40" s="1">
        <f ca="1">IFERROR(__xludf.DUMMYFUNCTION("if(AH$2="""","""", index(GOOGLEFINANCE($B$40,""close"",AH$2,TODAY()),2,2))"),29.85)</f>
        <v>29.85</v>
      </c>
      <c r="AI40" s="1">
        <f ca="1">IFERROR(__xludf.DUMMYFUNCTION("if(AI$2="""","""", index(GOOGLEFINANCE($B$40,""close"",AI$2,TODAY()),2,2))"),29.88)</f>
        <v>29.88</v>
      </c>
      <c r="AJ40" s="1">
        <f ca="1">IFERROR(__xludf.DUMMYFUNCTION("if(AJ$2="""","""", index(GOOGLEFINANCE($B$40,""close"",AJ$2,TODAY()),2,2))"),28.85)</f>
        <v>28.85</v>
      </c>
      <c r="AK40" s="1">
        <f ca="1">IFERROR(__xludf.DUMMYFUNCTION("if(AK$2="""","""", index(GOOGLEFINANCE($B$40,""close"",AK$2,TODAY()),2,2))"),28.95)</f>
        <v>28.95</v>
      </c>
      <c r="AL40" s="1">
        <f ca="1">IFERROR(__xludf.DUMMYFUNCTION("if(AL$2="""","""", index(GOOGLEFINANCE($B$40,""close"",AL$2,TODAY()),2,2))"),28.86)</f>
        <v>28.86</v>
      </c>
      <c r="AM40" s="1">
        <f ca="1">IFERROR(__xludf.DUMMYFUNCTION("if(AM$2="""","""", index(GOOGLEFINANCE($B$40,""close"",AM$2,TODAY()),2,2))"),40.15)</f>
        <v>40.15</v>
      </c>
      <c r="AN40" s="1">
        <f ca="1">IFERROR(__xludf.DUMMYFUNCTION("if(AN$2="""","""", index(GOOGLEFINANCE($B$40,""close"",AN$2,TODAY()),2,2))"),46.63)</f>
        <v>46.63</v>
      </c>
      <c r="AO40" s="1">
        <f ca="1">IFERROR(__xludf.DUMMYFUNCTION("if(AO$2="""","""", index(GOOGLEFINANCE($B$40,""close"",AO$2,TODAY()),2,2))"),47.82)</f>
        <v>47.82</v>
      </c>
      <c r="AP40" s="1">
        <f ca="1">IFERROR(__xludf.DUMMYFUNCTION("if(AP$2="""","""", index(GOOGLEFINANCE($B$40,""close"",AP$2,TODAY()),2,2))"),49.15)</f>
        <v>49.15</v>
      </c>
      <c r="AQ40" s="1">
        <f ca="1">IFERROR(__xludf.DUMMYFUNCTION("if(AQ$2="""","""", index(GOOGLEFINANCE($B$40,""close"",AQ$2,TODAY()),2,2))"),52.4)</f>
        <v>52.4</v>
      </c>
      <c r="AR40" s="1">
        <f ca="1">IFERROR(__xludf.DUMMYFUNCTION("if(AR$2="""","""", index(GOOGLEFINANCE($B$40,""close"",AR$2,TODAY()),2,2))"),49.93)</f>
        <v>49.93</v>
      </c>
      <c r="AS40" s="1">
        <f ca="1">IFERROR(__xludf.DUMMYFUNCTION("if(AS$2="""","""", index(GOOGLEFINANCE($B$40,""close"",AS$2,TODAY()),2,2))"),52.3)</f>
        <v>52.3</v>
      </c>
      <c r="AT40" s="1">
        <f ca="1">IFERROR(__xludf.DUMMYFUNCTION("if(AT$2="""","""", index(GOOGLEFINANCE($B$40,""close"",AT$2,TODAY()),2,2))"),51.77)</f>
        <v>51.77</v>
      </c>
      <c r="AU40" s="1">
        <f ca="1">IFERROR(__xludf.DUMMYFUNCTION("if(AU$2="""","""", index(GOOGLEFINANCE($B$40,""close"",AU$2,TODAY()),2,2))"),50.81)</f>
        <v>50.81</v>
      </c>
      <c r="AV40" s="1">
        <f ca="1">IFERROR(__xludf.DUMMYFUNCTION("if(AV$2="""","""", index(GOOGLEFINANCE($B$40,""close"",AV$2,TODAY()),2,2))"),52.51)</f>
        <v>52.51</v>
      </c>
      <c r="AW40" s="1">
        <f ca="1">IFERROR(__xludf.DUMMYFUNCTION("if(AW$2="""","""", index(GOOGLEFINANCE($B$40,""close"",AW$2,TODAY()),2,2))"),51.93)</f>
        <v>51.93</v>
      </c>
      <c r="AX40" s="1">
        <f ca="1">IFERROR(__xludf.DUMMYFUNCTION("if(AX$2="""","""", index(GOOGLEFINANCE($B$40,""close"",AX$2,TODAY()),2,2))"),51.82)</f>
        <v>51.82</v>
      </c>
      <c r="AY40" s="1">
        <f ca="1">IFERROR(__xludf.DUMMYFUNCTION("if(AY$2="""","""", index(GOOGLEFINANCE($B$40,""close"",AY$2,TODAY()),2,2))"),49.87)</f>
        <v>49.87</v>
      </c>
      <c r="AZ40" s="1">
        <f ca="1">IFERROR(__xludf.DUMMYFUNCTION("if(AZ$2="""","""", index(GOOGLEFINANCE($B$40,""close"",AZ$2,TODAY()),2,2))"),52.57)</f>
        <v>52.57</v>
      </c>
      <c r="BA40" s="1">
        <f ca="1">IFERROR(__xludf.DUMMYFUNCTION("if(BA$2="""","""", index(GOOGLEFINANCE($B$40,""close"",BA$2,TODAY()),2,2))"),54.98)</f>
        <v>54.98</v>
      </c>
      <c r="BB40" s="1">
        <f ca="1">IFERROR(__xludf.DUMMYFUNCTION("if(BB$2="""","""", index(GOOGLEFINANCE($B$40,""close"",BB$2,TODAY()),2,2))"),54.95)</f>
        <v>54.95</v>
      </c>
      <c r="BC40" s="1">
        <f ca="1">IFERROR(__xludf.DUMMYFUNCTION("if(BC$2="""","""", index(GOOGLEFINANCE($B$40,""close"",BC$2,TODAY()),2,2))"),54.97)</f>
        <v>54.97</v>
      </c>
      <c r="BD40" s="1">
        <f ca="1">IFERROR(__xludf.DUMMYFUNCTION("if(BD$2="""","""", index(GOOGLEFINANCE($B$40,""close"",BD$2,TODAY()),2,2))"),55.24)</f>
        <v>55.24</v>
      </c>
      <c r="BE40" s="1">
        <f ca="1">IFERROR(__xludf.DUMMYFUNCTION("if(BE$2="""","""", index(GOOGLEFINANCE($B$40,""close"",BE$2,TODAY()),2,2))"),55.69)</f>
        <v>55.69</v>
      </c>
      <c r="BF40" s="1">
        <f ca="1">IFERROR(__xludf.DUMMYFUNCTION("if(BF$2="""","""", index(GOOGLEFINANCE($B$40,""close"",BF$2,TODAY()),2,2))"),55.5)</f>
        <v>55.5</v>
      </c>
      <c r="BG40" s="1">
        <f ca="1">IFERROR(__xludf.DUMMYFUNCTION("if(BG$2="""","""", index(GOOGLEFINANCE($B$40,""close"",BG$2,TODAY()),2,2))"),50.93)</f>
        <v>50.93</v>
      </c>
      <c r="BH40" s="1">
        <f ca="1">IFERROR(__xludf.DUMMYFUNCTION("if(BH$2="""","""", index(GOOGLEFINANCE($B$40,""close"",BH$2,TODAY()),2,2))"),49.9)</f>
        <v>49.9</v>
      </c>
      <c r="BI40" s="1">
        <f ca="1">IFERROR(__xludf.DUMMYFUNCTION("if(BI$2="""","""", index(GOOGLEFINANCE($B$40,""close"",BI$2,TODAY()),2,2))"),52.25)</f>
        <v>52.25</v>
      </c>
      <c r="BJ40" s="1">
        <f ca="1">IFERROR(__xludf.DUMMYFUNCTION("if(BJ$2="""","""", index(GOOGLEFINANCE($B$40,""close"",BJ$2,TODAY()),2,2))"),56.64)</f>
        <v>56.64</v>
      </c>
      <c r="BK40" s="1">
        <f ca="1">IFERROR(__xludf.DUMMYFUNCTION("if(BK$2="""","""", index(GOOGLEFINANCE($B$40,""close"",BK$2,TODAY()),2,2))"),55.9)</f>
        <v>55.9</v>
      </c>
      <c r="BL40" s="1">
        <f ca="1">IFERROR(__xludf.DUMMYFUNCTION("if(BL$2="""","""", index(GOOGLEFINANCE($B$40,""close"",BL$2,TODAY()),2,2))"),55.31)</f>
        <v>55.31</v>
      </c>
      <c r="BM40" s="1">
        <f ca="1">IFERROR(__xludf.DUMMYFUNCTION("if(BM$2="""","""", index(GOOGLEFINANCE($B$40,""close"",BM$2,TODAY()),2,2))"),58.36)</f>
        <v>58.36</v>
      </c>
      <c r="BN40" s="1">
        <f ca="1">IFERROR(__xludf.DUMMYFUNCTION("if(BN$2="""","""", index(GOOGLEFINANCE($B$40,""close"",BN$2,TODAY()),2,2))"),56.71)</f>
        <v>56.71</v>
      </c>
      <c r="BO40" s="1">
        <f ca="1">IFERROR(__xludf.DUMMYFUNCTION("if(BO$2="""","""", index(GOOGLEFINANCE($B$40,""close"",BO$2,TODAY()),2,2))"),57.34)</f>
        <v>57.34</v>
      </c>
      <c r="BP40" s="1">
        <f ca="1">IFERROR(__xludf.DUMMYFUNCTION("if(BP$2="""","""", index(GOOGLEFINANCE($B$40,""close"",BP$2,TODAY()),2,2))"),58.56)</f>
        <v>58.56</v>
      </c>
      <c r="BQ40" s="1">
        <f ca="1">IFERROR(__xludf.DUMMYFUNCTION("if(BQ$2="""","""", index(GOOGLEFINANCE($B$40,""close"",BQ$2,TODAY()),2,2))"),59.6)</f>
        <v>59.6</v>
      </c>
      <c r="BR40" s="1">
        <f ca="1">IFERROR(__xludf.DUMMYFUNCTION("if(BR$2="""","""", index(GOOGLEFINANCE($B$40,""close"",BR$2,TODAY()),2,2))"),60.19)</f>
        <v>60.19</v>
      </c>
      <c r="BS40" s="1">
        <f ca="1">IFERROR(__xludf.DUMMYFUNCTION("if(BS$2="""","""", index(GOOGLEFINANCE($B$40,""close"",BS$2,TODAY()),2,2))"),58.72)</f>
        <v>58.72</v>
      </c>
      <c r="BT40" s="1">
        <f ca="1">IFERROR(__xludf.DUMMYFUNCTION("if(BT$2="""","""", index(GOOGLEFINANCE($B$40,""close"",BT$2,TODAY()),2,2))"),57.9)</f>
        <v>57.9</v>
      </c>
      <c r="BU40" s="1">
        <f ca="1">IFERROR(__xludf.DUMMYFUNCTION("if(BU$2="""","""", index(GOOGLEFINANCE($B$40,""close"",BU$2,TODAY()),2,2))"),59.48)</f>
        <v>59.48</v>
      </c>
      <c r="BV40" s="1">
        <f ca="1">IFERROR(__xludf.DUMMYFUNCTION("if(BV$2="""","""", index(GOOGLEFINANCE($B$40,""close"",BV$2,TODAY()),2,2))"),60.28)</f>
        <v>60.28</v>
      </c>
      <c r="BW40" s="1">
        <f ca="1">IFERROR(__xludf.DUMMYFUNCTION("if(BW$2="""","""", index(GOOGLEFINANCE($B$40,""close"",BW$2,TODAY()),2,2))"),60.78)</f>
        <v>60.78</v>
      </c>
      <c r="BX40" s="1">
        <f ca="1">IFERROR(__xludf.DUMMYFUNCTION("if(BX$2="""","""", index(GOOGLEFINANCE($B$40,""close"",BX$2,TODAY()),2,2))"),61.43)</f>
        <v>61.43</v>
      </c>
      <c r="BY40" s="1">
        <f ca="1">IFERROR(__xludf.DUMMYFUNCTION("if(BY$2="""","""", index(GOOGLEFINANCE($B$40,""close"",BY$2,TODAY()),2,2))"),63.76)</f>
        <v>63.76</v>
      </c>
      <c r="BZ40" s="1">
        <f ca="1">IFERROR(__xludf.DUMMYFUNCTION("if(BZ$2="""","""", index(GOOGLEFINANCE($B$40,""close"",BZ$2,TODAY()),2,2))"),59.33)</f>
        <v>59.33</v>
      </c>
      <c r="CA40" s="1">
        <f ca="1">IFERROR(__xludf.DUMMYFUNCTION("if(CA$2="""","""", index(GOOGLEFINANCE($B$40,""close"",CA$2,TODAY()),2,2))"),58.33)</f>
        <v>58.33</v>
      </c>
      <c r="CB40" s="1">
        <f ca="1">IFERROR(__xludf.DUMMYFUNCTION("if(CB$2="""","""", index(GOOGLEFINANCE($B$40,""close"",CB$2,TODAY()),2,2))"),59.09)</f>
        <v>59.09</v>
      </c>
      <c r="CC40" s="1">
        <f ca="1">IFERROR(__xludf.DUMMYFUNCTION("if(CC$2="""","""", index(GOOGLEFINANCE($B$40,""close"",CC$2,TODAY()),2,2))"),57.99)</f>
        <v>57.99</v>
      </c>
      <c r="CD40" s="1">
        <f ca="1">IFERROR(__xludf.DUMMYFUNCTION("if(CD$2="""","""", index(GOOGLEFINANCE($B$40,""close"",CD$2,TODAY()),2,2))"),58.17)</f>
        <v>58.17</v>
      </c>
      <c r="CE40" s="1">
        <f ca="1">IFERROR(__xludf.DUMMYFUNCTION("if(CE$2="""","""", index(GOOGLEFINANCE($B$40,""close"",CE$2,TODAY()),2,2))"),59.12)</f>
        <v>59.12</v>
      </c>
      <c r="CF40" s="1">
        <f ca="1">IFERROR(__xludf.DUMMYFUNCTION("if(CF$2="""","""", index(GOOGLEFINANCE($B$40,""close"",CF$2,TODAY()),2,2))"),66.41)</f>
        <v>66.41</v>
      </c>
      <c r="CG40" s="1">
        <f ca="1">IFERROR(__xludf.DUMMYFUNCTION("if(CG$2="""","""", index(GOOGLEFINANCE($B$40,""close"",CG$2,TODAY()),2,2))"),65.96)</f>
        <v>65.959999999999994</v>
      </c>
      <c r="CH40" s="1">
        <f ca="1">IFERROR(__xludf.DUMMYFUNCTION("if(CH$2="""","""", index(GOOGLEFINANCE($B$40,""close"",CH$2,TODAY()),2,2))"),65.65)</f>
        <v>65.650000000000006</v>
      </c>
      <c r="CI40" s="1">
        <f ca="1">IFERROR(__xludf.DUMMYFUNCTION("if(CI$2="""","""", index(GOOGLEFINANCE($B$40,""close"",CI$2,TODAY()),2,2))"),66.65)</f>
        <v>66.650000000000006</v>
      </c>
      <c r="CJ40" s="1" t="str">
        <f ca="1">IFERROR(__xludf.DUMMYFUNCTION("if(CJ$2="""","""", index(GOOGLEFINANCE($B$40,""close"",CJ$2,TODAY()),2,2))"),"")</f>
        <v/>
      </c>
      <c r="CK40" s="1" t="str">
        <f ca="1">IFERROR(__xludf.DUMMYFUNCTION("if(CK$2="""","""", index(GOOGLEFINANCE($B$40,""close"",CK$2,TODAY()),2,2))"),"")</f>
        <v/>
      </c>
      <c r="CL40" s="1" t="str">
        <f ca="1">IFERROR(__xludf.DUMMYFUNCTION("if(CL$2="""","""", index(GOOGLEFINANCE($B$40,""close"",CL$2,TODAY()),2,2))"),"")</f>
        <v/>
      </c>
      <c r="CM40" s="1" t="str">
        <f ca="1">IFERROR(__xludf.DUMMYFUNCTION("if(CM$2="""","""", index(GOOGLEFINANCE($B$40,""close"",CM$2,TODAY()),2,2))"),"")</f>
        <v/>
      </c>
      <c r="CN40" s="1" t="str">
        <f ca="1">IFERROR(__xludf.DUMMYFUNCTION("if(CN$2="""","""", index(GOOGLEFINANCE($B$40,""close"",CN$2,TODAY()),2,2))"),"")</f>
        <v/>
      </c>
      <c r="CO40" s="1" t="str">
        <f ca="1">IFERROR(__xludf.DUMMYFUNCTION("if(CO$2="""","""", index(GOOGLEFINANCE($B$40,""close"",CO$2,TODAY()),2,2))"),"")</f>
        <v/>
      </c>
      <c r="CP40" s="1" t="str">
        <f ca="1">IFERROR(__xludf.DUMMYFUNCTION("if(CP$2="""","""", index(GOOGLEFINANCE($B$40,""close"",CP$2,TODAY()),2,2))"),"")</f>
        <v/>
      </c>
      <c r="CQ40" s="1" t="str">
        <f ca="1">IFERROR(__xludf.DUMMYFUNCTION("if(CQ$2="""","""", index(GOOGLEFINANCE($B$40,""close"",CQ$2,TODAY()),2,2))"),"")</f>
        <v/>
      </c>
      <c r="CR40" s="1" t="str">
        <f ca="1">IFERROR(__xludf.DUMMYFUNCTION("if(CR$2="""","""", index(GOOGLEFINANCE($B$40,""close"",CR$2,TODAY()),2,2))"),"")</f>
        <v/>
      </c>
      <c r="CS40" s="1" t="str">
        <f ca="1">IFERROR(__xludf.DUMMYFUNCTION("if(CS$2="""","""", index(GOOGLEFINANCE($B$40,""close"",CS$2,TODAY()),2,2))"),"")</f>
        <v/>
      </c>
      <c r="CT40" s="1" t="str">
        <f ca="1">IFERROR(__xludf.DUMMYFUNCTION("if(CT$2="""","""", index(GOOGLEFINANCE($B$40,""close"",CT$2,TODAY()),2,2))"),"")</f>
        <v/>
      </c>
      <c r="CU40" s="1" t="str">
        <f ca="1">IFERROR(__xludf.DUMMYFUNCTION("if(CU$2="""","""", index(GOOGLEFINANCE($B$40,""close"",CU$2,TODAY()),2,2))"),"")</f>
        <v/>
      </c>
      <c r="CV40" s="1" t="str">
        <f ca="1">IFERROR(__xludf.DUMMYFUNCTION("if(CV$2="""","""", index(GOOGLEFINANCE($B$40,""close"",CV$2,TODAY()),2,2))"),"")</f>
        <v/>
      </c>
      <c r="CW40" s="1" t="str">
        <f ca="1">IFERROR(__xludf.DUMMYFUNCTION("if(CW$2="""","""", index(GOOGLEFINANCE($B$40,""close"",CW$2,TODAY()),2,2))"),"")</f>
        <v/>
      </c>
      <c r="CX40" s="1" t="str">
        <f ca="1">IFERROR(__xludf.DUMMYFUNCTION("if(CX$2="""","""", index(GOOGLEFINANCE($B$40,""close"",CX$2,TODAY()),2,2))"),"")</f>
        <v/>
      </c>
      <c r="CY40" s="1" t="str">
        <f ca="1">IFERROR(__xludf.DUMMYFUNCTION("if(CY$2="""","""", index(GOOGLEFINANCE($B$40,""close"",CY$2,TODAY()),2,2))"),"")</f>
        <v/>
      </c>
      <c r="CZ40" s="1" t="str">
        <f ca="1">IFERROR(__xludf.DUMMYFUNCTION("if(CZ$2="""","""", index(GOOGLEFINANCE($B$40,""close"",CZ$2,TODAY()),2,2))"),"")</f>
        <v/>
      </c>
      <c r="DA40" s="1" t="str">
        <f ca="1">IFERROR(__xludf.DUMMYFUNCTION("if(DA$2="""","""", index(GOOGLEFINANCE($B$40,""close"",DA$2,TODAY()),2,2))"),"")</f>
        <v/>
      </c>
      <c r="DB40" s="1" t="str">
        <f ca="1">IFERROR(__xludf.DUMMYFUNCTION("if(DB$2="""","""", index(GOOGLEFINANCE($B$40,""close"",DB$2,TODAY()),2,2))"),"")</f>
        <v/>
      </c>
      <c r="DC40" s="1" t="str">
        <f ca="1">IFERROR(__xludf.DUMMYFUNCTION("if(DC$2="""","""", index(GOOGLEFINANCE($B$40,""close"",DC$2,TODAY()),2,2))"),"")</f>
        <v/>
      </c>
      <c r="DD40" s="1" t="str">
        <f ca="1">IFERROR(__xludf.DUMMYFUNCTION("if(DD$2="""","""", index(GOOGLEFINANCE($B$40,""close"",DD$2,TODAY()),2,2))"),"")</f>
        <v/>
      </c>
      <c r="DE40" s="1" t="str">
        <f ca="1">IFERROR(__xludf.DUMMYFUNCTION("if(DE$2="""","""", index(GOOGLEFINANCE($B$40,""close"",DE$2,TODAY()),2,2))"),"")</f>
        <v/>
      </c>
      <c r="DF40" s="1" t="str">
        <f ca="1">IFERROR(__xludf.DUMMYFUNCTION("if(DF$2="""","""", index(GOOGLEFINANCE($B$40,""close"",DF$2,TODAY()),2,2))"),"")</f>
        <v/>
      </c>
      <c r="DG40" s="1" t="str">
        <f ca="1">IFERROR(__xludf.DUMMYFUNCTION("if(DG$2="""","""", index(GOOGLEFINANCE($B$40,""close"",DG$2,TODAY()),2,2))"),"")</f>
        <v/>
      </c>
      <c r="DH40" s="1" t="str">
        <f ca="1">IFERROR(__xludf.DUMMYFUNCTION("if(DH$2="""","""", index(GOOGLEFINANCE($B$40,""close"",DH$2,TODAY()),2,2))"),"")</f>
        <v/>
      </c>
      <c r="DI40" s="1" t="str">
        <f ca="1">IFERROR(__xludf.DUMMYFUNCTION("if(DI$2="""","""", index(GOOGLEFINANCE($B$40,""close"",DI$2,TODAY()),2,2))"),"")</f>
        <v/>
      </c>
      <c r="DJ40" s="1" t="str">
        <f ca="1">IFERROR(__xludf.DUMMYFUNCTION("if(DJ$2="""","""", index(GOOGLEFINANCE($B$40,""close"",DJ$2,TODAY()),2,2))"),"")</f>
        <v/>
      </c>
      <c r="DK40" s="1" t="str">
        <f ca="1">IFERROR(__xludf.DUMMYFUNCTION("if(DK$2="""","""", index(GOOGLEFINANCE($B$40,""close"",DK$2,TODAY()),2,2))"),"")</f>
        <v/>
      </c>
      <c r="DL40" s="1" t="str">
        <f ca="1">IFERROR(__xludf.DUMMYFUNCTION("if(DL$2="""","""", index(GOOGLEFINANCE($B$40,""close"",DL$2,TODAY()),2,2))"),"")</f>
        <v/>
      </c>
      <c r="DM40" s="1" t="str">
        <f ca="1">IFERROR(__xludf.DUMMYFUNCTION("if(DM$2="""","""", index(GOOGLEFINANCE($B$40,""close"",DM$2,TODAY()),2,2))"),"")</f>
        <v/>
      </c>
      <c r="DN40" s="1" t="str">
        <f ca="1">IFERROR(__xludf.DUMMYFUNCTION("if(DN$2="""","""", index(GOOGLEFINANCE($B$40,""close"",DN$2,TODAY()),2,2))"),"")</f>
        <v/>
      </c>
      <c r="DO40" s="1" t="str">
        <f ca="1">IFERROR(__xludf.DUMMYFUNCTION("if(DO$2="""","""", index(GOOGLEFINANCE($B$40,""close"",DO$2,TODAY()),2,2))"),"")</f>
        <v/>
      </c>
      <c r="DP40" s="1" t="str">
        <f ca="1">IFERROR(__xludf.DUMMYFUNCTION("if(DP$2="""","""", index(GOOGLEFINANCE($B$40,""close"",DP$2,TODAY()),2,2))"),"")</f>
        <v/>
      </c>
      <c r="DQ40" s="1" t="str">
        <f ca="1">IFERROR(__xludf.DUMMYFUNCTION("if(DQ$2="""","""", index(GOOGLEFINANCE($B$40,""close"",DQ$2,TODAY()),2,2))"),"")</f>
        <v/>
      </c>
      <c r="DR40" s="1" t="str">
        <f ca="1">IFERROR(__xludf.DUMMYFUNCTION("if(DR$2="""","""", index(GOOGLEFINANCE($B$40,""close"",DR$2,TODAY()),2,2))"),"")</f>
        <v/>
      </c>
      <c r="DS40" s="1" t="str">
        <f ca="1">IFERROR(__xludf.DUMMYFUNCTION("if(DS$2="""","""", index(GOOGLEFINANCE($B$40,""close"",DS$2,TODAY()),2,2))"),"")</f>
        <v/>
      </c>
      <c r="DT40" s="1" t="str">
        <f ca="1">IFERROR(__xludf.DUMMYFUNCTION("if(DT$2="""","""", index(GOOGLEFINANCE($B$40,""close"",DT$2,TODAY()),2,2))"),"")</f>
        <v/>
      </c>
      <c r="DU40" s="1" t="str">
        <f ca="1">IFERROR(__xludf.DUMMYFUNCTION("if(DU$2="""","""", index(GOOGLEFINANCE($B$40,""close"",DU$2,TODAY()),2,2))"),"")</f>
        <v/>
      </c>
      <c r="DV40" s="1" t="str">
        <f ca="1">IFERROR(__xludf.DUMMYFUNCTION("if(DV$2="""","""", index(GOOGLEFINANCE($B$40,""close"",DV$2,TODAY()),2,2))"),"")</f>
        <v/>
      </c>
      <c r="DW40" s="1" t="str">
        <f ca="1">IFERROR(__xludf.DUMMYFUNCTION("if(DW$2="""","""", index(GOOGLEFINANCE($B$40,""close"",DW$2,TODAY()),2,2))"),"")</f>
        <v/>
      </c>
      <c r="DX40" s="1" t="str">
        <f ca="1">IFERROR(__xludf.DUMMYFUNCTION("if(DX$2="""","""", index(GOOGLEFINANCE($B$40,""close"",DX$2,TODAY()),2,2))"),"")</f>
        <v/>
      </c>
      <c r="DY40" s="1" t="str">
        <f ca="1">IFERROR(__xludf.DUMMYFUNCTION("if(DY$2="""","""", index(GOOGLEFINANCE($B$40,""close"",DY$2,TODAY()),2,2))"),"")</f>
        <v/>
      </c>
      <c r="DZ40" s="1" t="str">
        <f ca="1">IFERROR(__xludf.DUMMYFUNCTION("if(DZ$2="""","""", index(GOOGLEFINANCE($B$40,""close"",DZ$2,TODAY()),2,2))"),"")</f>
        <v/>
      </c>
      <c r="EA40" s="1" t="str">
        <f ca="1">IFERROR(__xludf.DUMMYFUNCTION("if(EA$2="""","""", index(GOOGLEFINANCE($B$40,""close"",EA$2,TODAY()),2,2))"),"")</f>
        <v/>
      </c>
      <c r="EB40" s="1" t="str">
        <f ca="1">IFERROR(__xludf.DUMMYFUNCTION("if(EB$2="""","""", index(GOOGLEFINANCE($B$40,""close"",EB$2,TODAY()),2,2))"),"")</f>
        <v/>
      </c>
      <c r="EC40" s="1" t="str">
        <f ca="1">IFERROR(__xludf.DUMMYFUNCTION("if(EC$2="""","""", index(GOOGLEFINANCE($B$40,""close"",EC$2,TODAY()),2,2))"),"")</f>
        <v/>
      </c>
      <c r="ED40" s="1" t="str">
        <f ca="1">IFERROR(__xludf.DUMMYFUNCTION("if(ED$2="""","""", index(GOOGLEFINANCE($B$40,""close"",ED$2,TODAY()),2,2))"),"")</f>
        <v/>
      </c>
      <c r="EE40" s="1" t="str">
        <f ca="1">IFERROR(__xludf.DUMMYFUNCTION("if(EE$2="""","""", index(GOOGLEFINANCE($B$40,""close"",EE$2,TODAY()),2,2))"),"")</f>
        <v/>
      </c>
      <c r="EF40" s="1" t="str">
        <f ca="1">IFERROR(__xludf.DUMMYFUNCTION("if(EF$2="""","""", index(GOOGLEFINANCE($B$40,""close"",EF$2,TODAY()),2,2))"),"")</f>
        <v/>
      </c>
      <c r="EG40" s="1" t="str">
        <f ca="1">IFERROR(__xludf.DUMMYFUNCTION("if(EG$2="""","""", index(GOOGLEFINANCE($B$40,""close"",EG$2,TODAY()),2,2))"),"")</f>
        <v/>
      </c>
      <c r="EH40" s="1" t="str">
        <f ca="1">IFERROR(__xludf.DUMMYFUNCTION("if(EH$2="""","""", index(GOOGLEFINANCE($B$40,""close"",EH$2,TODAY()),2,2))"),"")</f>
        <v/>
      </c>
      <c r="EI40" s="1" t="str">
        <f ca="1">IFERROR(__xludf.DUMMYFUNCTION("if(EI$2="""","""", index(GOOGLEFINANCE($B$40,""close"",EI$2,TODAY()),2,2))"),"")</f>
        <v/>
      </c>
      <c r="EJ40" s="1" t="str">
        <f ca="1">IFERROR(__xludf.DUMMYFUNCTION("if(EJ$2="""","""", index(GOOGLEFINANCE($B$40,""close"",EJ$2,TODAY()),2,2))"),"")</f>
        <v/>
      </c>
      <c r="EK40" s="1" t="str">
        <f ca="1">IFERROR(__xludf.DUMMYFUNCTION("if(EK$2="""","""", index(GOOGLEFINANCE($B$40,""close"",EK$2,TODAY()),2,2))"),"")</f>
        <v/>
      </c>
      <c r="EL40" s="1" t="str">
        <f ca="1">IFERROR(__xludf.DUMMYFUNCTION("if(EL$2="""","""", index(GOOGLEFINANCE($B$40,""close"",EL$2,TODAY()),2,2))"),"")</f>
        <v/>
      </c>
      <c r="EM40" s="1" t="str">
        <f ca="1">IFERROR(__xludf.DUMMYFUNCTION("if(EM$2="""","""", index(GOOGLEFINANCE($B$40,""close"",EM$2,TODAY()),2,2))"),"")</f>
        <v/>
      </c>
      <c r="EN40" s="1" t="str">
        <f ca="1">IFERROR(__xludf.DUMMYFUNCTION("if(EN$2="""","""", index(GOOGLEFINANCE($B$40,""close"",EN$2,TODAY()),2,2))"),"")</f>
        <v/>
      </c>
      <c r="EO40" s="1" t="str">
        <f ca="1">IFERROR(__xludf.DUMMYFUNCTION("if(EO$2="""","""", index(GOOGLEFINANCE($B$40,""close"",EO$2,TODAY()),2,2))"),"")</f>
        <v/>
      </c>
      <c r="EP40" s="1" t="str">
        <f ca="1">IFERROR(__xludf.DUMMYFUNCTION("if(EP$2="""","""", index(GOOGLEFINANCE($B$40,""close"",EP$2,TODAY()),2,2))"),"")</f>
        <v/>
      </c>
      <c r="EQ40" s="1" t="str">
        <f ca="1">IFERROR(__xludf.DUMMYFUNCTION("if(EQ$2="""","""", index(GOOGLEFINANCE($B$40,""close"",EQ$2,TODAY()),2,2))"),"")</f>
        <v/>
      </c>
      <c r="ER40" s="1" t="str">
        <f ca="1">IFERROR(__xludf.DUMMYFUNCTION("if(ER$2="""","""", index(GOOGLEFINANCE($B$40,""close"",ER$2,TODAY()),2,2))"),"")</f>
        <v/>
      </c>
      <c r="ES40" s="1" t="str">
        <f ca="1">IFERROR(__xludf.DUMMYFUNCTION("if(ES$2="""","""", index(GOOGLEFINANCE($B$40,""close"",ES$2,TODAY()),2,2))"),"")</f>
        <v/>
      </c>
      <c r="ET40" s="1" t="str">
        <f ca="1">IFERROR(__xludf.DUMMYFUNCTION("if(ET$2="""","""", index(GOOGLEFINANCE($B$40,""close"",ET$2,TODAY()),2,2))"),"")</f>
        <v/>
      </c>
      <c r="EU40" s="1" t="str">
        <f ca="1">IFERROR(__xludf.DUMMYFUNCTION("if(EU$2="""","""", index(GOOGLEFINANCE($B$40,""close"",EU$2,TODAY()),2,2))"),"")</f>
        <v/>
      </c>
      <c r="EV40" s="1" t="str">
        <f ca="1">IFERROR(__xludf.DUMMYFUNCTION("if(EV$2="""","""", index(GOOGLEFINANCE($B$40,""close"",EV$2,TODAY()),2,2))"),"")</f>
        <v/>
      </c>
      <c r="EW40" s="1" t="str">
        <f ca="1">IFERROR(__xludf.DUMMYFUNCTION("if(EW$2="""","""", index(GOOGLEFINANCE($B$40,""close"",EW$2,TODAY()),2,2))"),"")</f>
        <v/>
      </c>
      <c r="EX40" s="1" t="str">
        <f ca="1">IFERROR(__xludf.DUMMYFUNCTION("if(EX$2="""","""", index(GOOGLEFINANCE($B$40,""close"",EX$2,TODAY()),2,2))"),"")</f>
        <v/>
      </c>
      <c r="EY40" s="1" t="str">
        <f ca="1">IFERROR(__xludf.DUMMYFUNCTION("if(EY$2="""","""", index(GOOGLEFINANCE($B$40,""close"",EY$2,TODAY()),2,2))"),"")</f>
        <v/>
      </c>
      <c r="EZ40" s="1" t="str">
        <f ca="1">IFERROR(__xludf.DUMMYFUNCTION("if(EZ$2="""","""", index(GOOGLEFINANCE($B$40,""close"",EZ$2,TODAY()),2,2))"),"")</f>
        <v/>
      </c>
      <c r="FA40" s="1" t="str">
        <f ca="1">IFERROR(__xludf.DUMMYFUNCTION("if(FA$2="""","""", index(GOOGLEFINANCE($B$40,""close"",FA$2,TODAY()),2,2))"),"")</f>
        <v/>
      </c>
      <c r="FB40" s="1" t="str">
        <f ca="1">IFERROR(__xludf.DUMMYFUNCTION("if(FB$2="""","""", index(GOOGLEFINANCE($B$40,""close"",FB$2,TODAY()),2,2))"),"")</f>
        <v/>
      </c>
      <c r="FC40" s="1" t="str">
        <f ca="1">IFERROR(__xludf.DUMMYFUNCTION("if(FC$2="""","""", index(GOOGLEFINANCE($B$40,""close"",FC$2,TODAY()),2,2))"),"")</f>
        <v/>
      </c>
      <c r="FD40" s="1" t="str">
        <f ca="1">IFERROR(__xludf.DUMMYFUNCTION("if(FD$2="""","""", index(GOOGLEFINANCE($B$40,""close"",FD$2,TODAY()),2,2))"),"")</f>
        <v/>
      </c>
      <c r="FE40" s="1" t="str">
        <f ca="1">IFERROR(__xludf.DUMMYFUNCTION("if(FE$2="""","""", index(GOOGLEFINANCE($B$40,""close"",FE$2,TODAY()),2,2))"),"")</f>
        <v/>
      </c>
      <c r="FF40" s="1" t="str">
        <f ca="1">IFERROR(__xludf.DUMMYFUNCTION("if(FF$2="""","""", index(GOOGLEFINANCE($B$40,""close"",FF$2,TODAY()),2,2))"),"")</f>
        <v/>
      </c>
      <c r="FG40" s="1" t="str">
        <f ca="1">IFERROR(__xludf.DUMMYFUNCTION("if(FG$2="""","""", index(GOOGLEFINANCE($B$40,""close"",FG$2,TODAY()),2,2))"),"")</f>
        <v/>
      </c>
      <c r="FH40" s="1" t="str">
        <f ca="1">IFERROR(__xludf.DUMMYFUNCTION("if(FH$2="""","""", index(GOOGLEFINANCE($B$40,""close"",FH$2,TODAY()),2,2))"),"")</f>
        <v/>
      </c>
      <c r="FI40" s="1" t="str">
        <f ca="1">IFERROR(__xludf.DUMMYFUNCTION("if(FI$2="""","""", index(GOOGLEFINANCE($B$40,""close"",FI$2,TODAY()),2,2))"),"")</f>
        <v/>
      </c>
      <c r="FJ40" s="1" t="str">
        <f ca="1">IFERROR(__xludf.DUMMYFUNCTION("if(FJ$2="""","""", index(GOOGLEFINANCE($B$40,""close"",FJ$2,TODAY()),2,2))"),"")</f>
        <v/>
      </c>
      <c r="FK40" s="1" t="str">
        <f ca="1">IFERROR(__xludf.DUMMYFUNCTION("if(FK$2="""","""", index(GOOGLEFINANCE($B$40,""close"",FK$2,TODAY()),2,2))"),"")</f>
        <v/>
      </c>
      <c r="FL40" s="1" t="str">
        <f ca="1">IFERROR(__xludf.DUMMYFUNCTION("if(FL$2="""","""", index(GOOGLEFINANCE($B$40,""close"",FL$2,TODAY()),2,2))"),"")</f>
        <v/>
      </c>
      <c r="FM40" s="1" t="str">
        <f ca="1">IFERROR(__xludf.DUMMYFUNCTION("if(FM$2="""","""", index(GOOGLEFINANCE($B$40,""close"",FM$2,TODAY()),2,2))"),"")</f>
        <v/>
      </c>
      <c r="FN40" s="1" t="str">
        <f ca="1">IFERROR(__xludf.DUMMYFUNCTION("if(FN$2="""","""", index(GOOGLEFINANCE($B$40,""close"",FN$2,TODAY()),2,2))"),"")</f>
        <v/>
      </c>
      <c r="FO40" s="1" t="str">
        <f ca="1">IFERROR(__xludf.DUMMYFUNCTION("if(FO$2="""","""", index(GOOGLEFINANCE($B$40,""close"",FO$2,TODAY()),2,2))"),"")</f>
        <v/>
      </c>
      <c r="FP40" s="1" t="str">
        <f ca="1">IFERROR(__xludf.DUMMYFUNCTION("if(FP$2="""","""", index(GOOGLEFINANCE($B$40,""close"",FP$2,TODAY()),2,2))"),"")</f>
        <v/>
      </c>
      <c r="FQ40" s="1" t="str">
        <f ca="1">IFERROR(__xludf.DUMMYFUNCTION("if(FQ$2="""","""", index(GOOGLEFINANCE($B$40,""close"",FQ$2,TODAY()),2,2))"),"")</f>
        <v/>
      </c>
      <c r="FR40" s="1" t="str">
        <f ca="1">IFERROR(__xludf.DUMMYFUNCTION("if(FR$2="""","""", index(GOOGLEFINANCE($B$40,""close"",FR$2,TODAY()),2,2))"),"")</f>
        <v/>
      </c>
      <c r="FS40" s="1" t="str">
        <f ca="1">IFERROR(__xludf.DUMMYFUNCTION("if(FS$2="""","""", index(GOOGLEFINANCE($B$40,""close"",FS$2,TODAY()),2,2))"),"")</f>
        <v/>
      </c>
      <c r="FT40" s="1" t="str">
        <f ca="1">IFERROR(__xludf.DUMMYFUNCTION("if(FT$2="""","""", index(GOOGLEFINANCE($B$40,""close"",FT$2,TODAY()),2,2))"),"")</f>
        <v/>
      </c>
      <c r="FU40" s="1" t="str">
        <f ca="1">IFERROR(__xludf.DUMMYFUNCTION("if(FU$2="""","""", index(GOOGLEFINANCE($B$40,""close"",FU$2,TODAY()),2,2))"),"")</f>
        <v/>
      </c>
      <c r="FV40" s="1" t="str">
        <f ca="1">IFERROR(__xludf.DUMMYFUNCTION("if(FV$2="""","""", index(GOOGLEFINANCE($B$40,""close"",FV$2,TODAY()),2,2))"),"")</f>
        <v/>
      </c>
      <c r="FW40" s="1" t="str">
        <f ca="1">IFERROR(__xludf.DUMMYFUNCTION("if(FW$2="""","""", index(GOOGLEFINANCE($B$40,""close"",FW$2,TODAY()),2,2))"),"")</f>
        <v/>
      </c>
      <c r="FX40" s="1" t="str">
        <f ca="1">IFERROR(__xludf.DUMMYFUNCTION("if(FX$2="""","""", index(GOOGLEFINANCE($B$40,""close"",FX$2,TODAY()),2,2))"),"")</f>
        <v/>
      </c>
      <c r="FY40" s="1" t="str">
        <f ca="1">IFERROR(__xludf.DUMMYFUNCTION("if(FY$2="""","""", index(GOOGLEFINANCE($B$40,""close"",FY$2,TODAY()),2,2))"),"")</f>
        <v/>
      </c>
      <c r="FZ40" s="1" t="str">
        <f ca="1">IFERROR(__xludf.DUMMYFUNCTION("if(FZ$2="""","""", index(GOOGLEFINANCE($B$40,""close"",FZ$2,TODAY()),2,2))"),"")</f>
        <v/>
      </c>
      <c r="GA40" s="1" t="str">
        <f ca="1">IFERROR(__xludf.DUMMYFUNCTION("if(GA$2="""","""", index(GOOGLEFINANCE($B$40,""close"",GA$2,TODAY()),2,2))"),"")</f>
        <v/>
      </c>
      <c r="GB40" s="1" t="str">
        <f ca="1">IFERROR(__xludf.DUMMYFUNCTION("if(GB$2="""","""", index(GOOGLEFINANCE($B$40,""close"",GB$2,TODAY()),2,2))"),"")</f>
        <v/>
      </c>
      <c r="GC40" s="1" t="str">
        <f ca="1">IFERROR(__xludf.DUMMYFUNCTION("if(GC$2="""","""", index(GOOGLEFINANCE($B$40,""close"",GC$2,TODAY()),2,2))"),"")</f>
        <v/>
      </c>
      <c r="GD40" s="1" t="str">
        <f ca="1">IFERROR(__xludf.DUMMYFUNCTION("if(GD$2="""","""", index(GOOGLEFINANCE($B$40,""close"",GD$2,TODAY()),2,2))"),"")</f>
        <v/>
      </c>
      <c r="GE40" s="1" t="str">
        <f ca="1">IFERROR(__xludf.DUMMYFUNCTION("if(GE$2="""","""", index(GOOGLEFINANCE($B$40,""close"",GE$2,TODAY()),2,2))"),"")</f>
        <v/>
      </c>
      <c r="GF40" s="1" t="str">
        <f ca="1">IFERROR(__xludf.DUMMYFUNCTION("if(GF$2="""","""", index(GOOGLEFINANCE($B$40,""close"",GF$2,TODAY()),2,2))"),"")</f>
        <v/>
      </c>
      <c r="GG40" s="1" t="str">
        <f ca="1">IFERROR(__xludf.DUMMYFUNCTION("if(GG$2="""","""", index(GOOGLEFINANCE($B$40,""close"",GG$2,TODAY()),2,2))"),"")</f>
        <v/>
      </c>
      <c r="GH40" s="1" t="str">
        <f ca="1">IFERROR(__xludf.DUMMYFUNCTION("if(GH$2="""","""", index(GOOGLEFINANCE($B$40,""close"",GH$2,TODAY()),2,2))"),"")</f>
        <v/>
      </c>
      <c r="GI40" s="1" t="str">
        <f ca="1">IFERROR(__xludf.DUMMYFUNCTION("if(GI$2="""","""", index(GOOGLEFINANCE($B$40,""close"",GI$2,TODAY()),2,2))"),"")</f>
        <v/>
      </c>
      <c r="GJ40" s="1" t="str">
        <f ca="1">IFERROR(__xludf.DUMMYFUNCTION("if(GJ$2="""","""", index(GOOGLEFINANCE($B$40,""close"",GJ$2,TODAY()),2,2))"),"")</f>
        <v/>
      </c>
      <c r="GK40" s="1" t="str">
        <f ca="1">IFERROR(__xludf.DUMMYFUNCTION("if(GK$2="""","""", index(GOOGLEFINANCE($B$40,""close"",GK$2,TODAY()),2,2))"),"")</f>
        <v/>
      </c>
      <c r="GL40" s="1" t="str">
        <f ca="1">IFERROR(__xludf.DUMMYFUNCTION("if(GL$2="""","""", index(GOOGLEFINANCE($B$40,""close"",GL$2,TODAY()),2,2))"),"")</f>
        <v/>
      </c>
      <c r="GM40" s="1" t="str">
        <f ca="1">IFERROR(__xludf.DUMMYFUNCTION("if(GM$2="""","""", index(GOOGLEFINANCE($B$40,""close"",GM$2,TODAY()),2,2))"),"")</f>
        <v/>
      </c>
      <c r="GN40" s="1" t="str">
        <f ca="1">IFERROR(__xludf.DUMMYFUNCTION("if(GN$2="""","""", index(GOOGLEFINANCE($B$40,""close"",GN$2,TODAY()),2,2))"),"")</f>
        <v/>
      </c>
      <c r="GO40" s="1" t="str">
        <f ca="1">IFERROR(__xludf.DUMMYFUNCTION("if(GO$2="""","""", index(GOOGLEFINANCE($B$40,""close"",GO$2,TODAY()),2,2))"),"")</f>
        <v/>
      </c>
      <c r="GP40" s="1" t="str">
        <f ca="1">IFERROR(__xludf.DUMMYFUNCTION("if(GP$2="""","""", index(GOOGLEFINANCE($B$40,""close"",GP$2,TODAY()),2,2))"),"")</f>
        <v/>
      </c>
      <c r="GQ40" s="1" t="str">
        <f ca="1">IFERROR(__xludf.DUMMYFUNCTION("if(GQ$2="""","""", index(GOOGLEFINANCE($B$40,""close"",GQ$2,TODAY()),2,2))"),"")</f>
        <v/>
      </c>
      <c r="GR40" s="1" t="str">
        <f ca="1">IFERROR(__xludf.DUMMYFUNCTION("if(GR$2="""","""", index(GOOGLEFINANCE($B$40,""close"",GR$2,TODAY()),2,2))"),"")</f>
        <v/>
      </c>
      <c r="GS40" s="1" t="str">
        <f ca="1">IFERROR(__xludf.DUMMYFUNCTION("if(GS$2="""","""", index(GOOGLEFINANCE($B$40,""close"",GS$2,TODAY()),2,2))"),"")</f>
        <v/>
      </c>
      <c r="GT40" s="1" t="str">
        <f ca="1">IFERROR(__xludf.DUMMYFUNCTION("if(GT$2="""","""", index(GOOGLEFINANCE($B$40,""close"",GT$2,TODAY()),2,2))"),"")</f>
        <v/>
      </c>
      <c r="GU40" s="1" t="str">
        <f ca="1">IFERROR(__xludf.DUMMYFUNCTION("if(GU$2="""","""", index(GOOGLEFINANCE($B$40,""close"",GU$2,TODAY()),2,2))"),"")</f>
        <v/>
      </c>
      <c r="GV40" s="1" t="str">
        <f ca="1">IFERROR(__xludf.DUMMYFUNCTION("if(GV$2="""","""", index(GOOGLEFINANCE($B$40,""close"",GV$2,TODAY()),2,2))"),"")</f>
        <v/>
      </c>
      <c r="GW40" s="1" t="str">
        <f ca="1">IFERROR(__xludf.DUMMYFUNCTION("if(GW$2="""","""", index(GOOGLEFINANCE($B$40,""close"",GW$2,TODAY()),2,2))"),"")</f>
        <v/>
      </c>
      <c r="GX40" s="1" t="str">
        <f ca="1">IFERROR(__xludf.DUMMYFUNCTION("if(GX$2="""","""", index(GOOGLEFINANCE($B$40,""close"",GX$2,TODAY()),2,2))"),"")</f>
        <v/>
      </c>
      <c r="GY40" s="1" t="str">
        <f ca="1">IFERROR(__xludf.DUMMYFUNCTION("if(GY$2="""","""", index(GOOGLEFINANCE($B$40,""close"",GY$2,TODAY()),2,2))"),"")</f>
        <v/>
      </c>
      <c r="GZ40" s="1" t="str">
        <f ca="1">IFERROR(__xludf.DUMMYFUNCTION("if(GZ$2="""","""", index(GOOGLEFINANCE($B$40,""close"",GZ$2,TODAY()),2,2))"),"")</f>
        <v/>
      </c>
      <c r="HA40" s="1" t="str">
        <f ca="1">IFERROR(__xludf.DUMMYFUNCTION("if(HA$2="""","""", index(GOOGLEFINANCE($B$40,""close"",HA$2,TODAY()),2,2))"),"")</f>
        <v/>
      </c>
      <c r="HB40" s="1" t="str">
        <f ca="1">IFERROR(__xludf.DUMMYFUNCTION("if(HB$2="""","""", index(GOOGLEFINANCE($B$40,""close"",HB$2,TODAY()),2,2))"),"")</f>
        <v/>
      </c>
      <c r="HC40" s="1" t="str">
        <f ca="1">IFERROR(__xludf.DUMMYFUNCTION("if(HC$2="""","""", index(GOOGLEFINANCE($B$40,""close"",HC$2,TODAY()),2,2))"),"")</f>
        <v/>
      </c>
      <c r="HD40" s="1" t="str">
        <f ca="1">IFERROR(__xludf.DUMMYFUNCTION("if(HD$2="""","""", index(GOOGLEFINANCE($B$40,""close"",HD$2,TODAY()),2,2))"),"")</f>
        <v/>
      </c>
      <c r="HE40" s="1" t="str">
        <f ca="1">IFERROR(__xludf.DUMMYFUNCTION("if(HE$2="""","""", index(GOOGLEFINANCE($B$40,""close"",HE$2,TODAY()),2,2))"),"")</f>
        <v/>
      </c>
      <c r="HF40" s="1" t="str">
        <f ca="1">IFERROR(__xludf.DUMMYFUNCTION("if(HF$2="""","""", index(GOOGLEFINANCE($B$40,""close"",HF$2,TODAY()),2,2))"),"")</f>
        <v/>
      </c>
      <c r="HG40" s="1" t="str">
        <f ca="1">IFERROR(__xludf.DUMMYFUNCTION("if(HG$2="""","""", index(GOOGLEFINANCE($B$40,""close"",HG$2,TODAY()),2,2))"),"")</f>
        <v/>
      </c>
      <c r="HH40" s="1" t="str">
        <f ca="1">IFERROR(__xludf.DUMMYFUNCTION("if(HH$2="""","""", index(GOOGLEFINANCE($B$40,""close"",HH$2,TODAY()),2,2))"),"")</f>
        <v/>
      </c>
      <c r="HI40" s="1" t="str">
        <f ca="1">IFERROR(__xludf.DUMMYFUNCTION("if(HI$2="""","""", index(GOOGLEFINANCE($B$40,""close"",HI$2,TODAY()),2,2))"),"")</f>
        <v/>
      </c>
      <c r="HJ40" s="1" t="str">
        <f ca="1">IFERROR(__xludf.DUMMYFUNCTION("if(HJ$2="""","""", index(GOOGLEFINANCE($B$40,""close"",HJ$2,TODAY()),2,2))"),"")</f>
        <v/>
      </c>
      <c r="HK40" s="1" t="str">
        <f ca="1">IFERROR(__xludf.DUMMYFUNCTION("if(HK$2="""","""", index(GOOGLEFINANCE($B$40,""close"",HK$2,TODAY()),2,2))"),"")</f>
        <v/>
      </c>
      <c r="HL40" s="1" t="str">
        <f ca="1">IFERROR(__xludf.DUMMYFUNCTION("if(HL$2="""","""", index(GOOGLEFINANCE($B$40,""close"",HL$2,TODAY()),2,2))"),"")</f>
        <v/>
      </c>
      <c r="HM40" s="1" t="str">
        <f ca="1">IFERROR(__xludf.DUMMYFUNCTION("if(HM$2="""","""", index(GOOGLEFINANCE($B$40,""close"",HM$2,TODAY()),2,2))"),"")</f>
        <v/>
      </c>
      <c r="HN40" s="1" t="str">
        <f ca="1">IFERROR(__xludf.DUMMYFUNCTION("if(HN$2="""","""", index(GOOGLEFINANCE($B$40,""close"",HN$2,TODAY()),2,2))"),"")</f>
        <v/>
      </c>
      <c r="HO40" s="1" t="str">
        <f ca="1">IFERROR(__xludf.DUMMYFUNCTION("if(HO$2="""","""", index(GOOGLEFINANCE($B$40,""close"",HO$2,TODAY()),2,2))"),"")</f>
        <v/>
      </c>
      <c r="HP40" s="1" t="str">
        <f ca="1">IFERROR(__xludf.DUMMYFUNCTION("if(HP$2="""","""", index(GOOGLEFINANCE($B$40,""close"",HP$2,TODAY()),2,2))"),"")</f>
        <v/>
      </c>
      <c r="HQ40" s="1" t="str">
        <f ca="1">IFERROR(__xludf.DUMMYFUNCTION("if(HQ$2="""","""", index(GOOGLEFINANCE($B$40,""close"",HQ$2,TODAY()),2,2))"),"")</f>
        <v/>
      </c>
      <c r="HR40" s="1" t="str">
        <f ca="1">IFERROR(__xludf.DUMMYFUNCTION("if(HR$2="""","""", index(GOOGLEFINANCE($B$40,""close"",HR$2,TODAY()),2,2))"),"")</f>
        <v/>
      </c>
      <c r="HS40" s="1" t="str">
        <f ca="1">IFERROR(__xludf.DUMMYFUNCTION("if(HS$2="""","""", index(GOOGLEFINANCE($B$40,""close"",HS$2,TODAY()),2,2))"),"")</f>
        <v/>
      </c>
      <c r="HT40" s="1" t="str">
        <f ca="1">IFERROR(__xludf.DUMMYFUNCTION("if(HT$2="""","""", index(GOOGLEFINANCE($B$40,""close"",HT$2,TODAY()),2,2))"),"")</f>
        <v/>
      </c>
      <c r="HU40" s="1" t="str">
        <f ca="1">IFERROR(__xludf.DUMMYFUNCTION("if(HU$2="""","""", index(GOOGLEFINANCE($B$40,""close"",HU$2,TODAY()),2,2))"),"")</f>
        <v/>
      </c>
      <c r="HV40" s="1" t="str">
        <f ca="1">IFERROR(__xludf.DUMMYFUNCTION("if(HV$2="""","""", index(GOOGLEFINANCE($B$40,""close"",HV$2,TODAY()),2,2))"),"")</f>
        <v/>
      </c>
      <c r="HW40" s="1" t="str">
        <f ca="1">IFERROR(__xludf.DUMMYFUNCTION("if(HW$2="""","""", index(GOOGLEFINANCE($B$40,""close"",HW$2,TODAY()),2,2))"),"")</f>
        <v/>
      </c>
      <c r="HX40" s="1" t="str">
        <f ca="1">IFERROR(__xludf.DUMMYFUNCTION("if(HX$2="""","""", index(GOOGLEFINANCE($B$40,""close"",HX$2,TODAY()),2,2))"),"")</f>
        <v/>
      </c>
      <c r="HY40" s="1" t="str">
        <f ca="1">IFERROR(__xludf.DUMMYFUNCTION("if(HY$2="""","""", index(GOOGLEFINANCE($B$40,""close"",HY$2,TODAY()),2,2))"),"")</f>
        <v/>
      </c>
      <c r="HZ40" s="1" t="str">
        <f ca="1">IFERROR(__xludf.DUMMYFUNCTION("if(HZ$2="""","""", index(GOOGLEFINANCE($B$40,""close"",HZ$2,TODAY()),2,2))"),"")</f>
        <v/>
      </c>
      <c r="IA40" s="1" t="str">
        <f ca="1">IFERROR(__xludf.DUMMYFUNCTION("if(IA$2="""","""", index(GOOGLEFINANCE($B$40,""close"",IA$2,TODAY()),2,2))"),"")</f>
        <v/>
      </c>
      <c r="IB40" s="1" t="str">
        <f ca="1">IFERROR(__xludf.DUMMYFUNCTION("if(IB$2="""","""", index(GOOGLEFINANCE($B$40,""close"",IB$2,TODAY()),2,2))"),"")</f>
        <v/>
      </c>
      <c r="IC40" s="1" t="str">
        <f ca="1">IFERROR(__xludf.DUMMYFUNCTION("if(IC$2="""","""", index(GOOGLEFINANCE($B$40,""close"",IC$2,TODAY()),2,2))"),"")</f>
        <v/>
      </c>
      <c r="ID40" s="1" t="str">
        <f ca="1">IFERROR(__xludf.DUMMYFUNCTION("if(ID$2="""","""", index(GOOGLEFINANCE($B$40,""close"",ID$2,TODAY()),2,2))"),"")</f>
        <v/>
      </c>
      <c r="IE40" s="1" t="str">
        <f ca="1">IFERROR(__xludf.DUMMYFUNCTION("if(IE$2="""","""", index(GOOGLEFINANCE($B$40,""close"",IE$2,TODAY()),2,2))"),"")</f>
        <v/>
      </c>
      <c r="IF40" s="1" t="str">
        <f ca="1">IFERROR(__xludf.DUMMYFUNCTION("if(IF$2="""","""", index(GOOGLEFINANCE($B$40,""close"",IF$2,TODAY()),2,2))"),"")</f>
        <v/>
      </c>
      <c r="IG40" s="1" t="str">
        <f ca="1">IFERROR(__xludf.DUMMYFUNCTION("if(IG$2="""","""", index(GOOGLEFINANCE($B$40,""close"",IG$2,TODAY()),2,2))"),"")</f>
        <v/>
      </c>
      <c r="IH40" s="1" t="str">
        <f ca="1">IFERROR(__xludf.DUMMYFUNCTION("if(IH$2="""","""", index(GOOGLEFINANCE($B$40,""close"",IH$2,TODAY()),2,2))"),"")</f>
        <v/>
      </c>
      <c r="II40" s="1" t="str">
        <f ca="1">IFERROR(__xludf.DUMMYFUNCTION("if(II$2="""","""", index(GOOGLEFINANCE($B$40,""close"",II$2,TODAY()),2,2))"),"")</f>
        <v/>
      </c>
      <c r="IJ40" s="1" t="str">
        <f ca="1">IFERROR(__xludf.DUMMYFUNCTION("if(IJ$2="""","""", index(GOOGLEFINANCE($B$40,""close"",IJ$2,TODAY()),2,2))"),"")</f>
        <v/>
      </c>
      <c r="IK40" s="1" t="str">
        <f ca="1">IFERROR(__xludf.DUMMYFUNCTION("if(IK$2="""","""", index(GOOGLEFINANCE($B$40,""close"",IK$2,TODAY()),2,2))"),"")</f>
        <v/>
      </c>
      <c r="IL40" s="1" t="str">
        <f ca="1">IFERROR(__xludf.DUMMYFUNCTION("if(IL$2="""","""", index(GOOGLEFINANCE($B$40,""close"",IL$2,TODAY()),2,2))"),"")</f>
        <v/>
      </c>
      <c r="IM40" s="1" t="str">
        <f ca="1">IFERROR(__xludf.DUMMYFUNCTION("if(IM$2="""","""", index(GOOGLEFINANCE($B$40,""close"",IM$2,TODAY()),2,2))"),"")</f>
        <v/>
      </c>
      <c r="IN40" s="1" t="str">
        <f ca="1">IFERROR(__xludf.DUMMYFUNCTION("if(IN$2="""","""", index(GOOGLEFINANCE($B$40,""close"",IN$2,TODAY()),2,2))"),"")</f>
        <v/>
      </c>
      <c r="IO40" s="1" t="str">
        <f ca="1">IFERROR(__xludf.DUMMYFUNCTION("if(IO$2="""","""", index(GOOGLEFINANCE($B$40,""close"",IO$2,TODAY()),2,2))"),"")</f>
        <v/>
      </c>
      <c r="IP40" s="1" t="str">
        <f ca="1">IFERROR(__xludf.DUMMYFUNCTION("if(IP$2="""","""", index(GOOGLEFINANCE($B$40,""close"",IP$2,TODAY()),2,2))"),"")</f>
        <v/>
      </c>
      <c r="IQ40" s="1" t="str">
        <f ca="1">IFERROR(__xludf.DUMMYFUNCTION("if(IQ$2="""","""", index(GOOGLEFINANCE($B$40,""close"",IQ$2,TODAY()),2,2))"),"")</f>
        <v/>
      </c>
      <c r="IR40" s="1" t="str">
        <f ca="1">IFERROR(__xludf.DUMMYFUNCTION("if(IR$2="""","""", index(GOOGLEFINANCE($B$40,""close"",IR$2,TODAY()),2,2))"),"")</f>
        <v/>
      </c>
      <c r="IS40" s="1" t="str">
        <f ca="1">IFERROR(__xludf.DUMMYFUNCTION("if(IS$2="""","""", index(GOOGLEFINANCE($B$40,""close"",IS$2,TODAY()),2,2))"),"")</f>
        <v/>
      </c>
      <c r="IT40" s="1" t="str">
        <f ca="1">IFERROR(__xludf.DUMMYFUNCTION("if(IT$2="""","""", index(GOOGLEFINANCE($B$40,""close"",IT$2,TODAY()),2,2))"),"")</f>
        <v/>
      </c>
      <c r="IU40" s="1" t="str">
        <f ca="1">IFERROR(__xludf.DUMMYFUNCTION("if(IU$2="""","""", index(GOOGLEFINANCE($B$40,""close"",IU$2,TODAY()),2,2))"),"")</f>
        <v/>
      </c>
      <c r="IV40" s="1" t="str">
        <f ca="1">IFERROR(__xludf.DUMMYFUNCTION("if(IV$2="""","""", index(GOOGLEFINANCE($B$40,""close"",IV$2,TODAY()),2,2))"),"")</f>
        <v/>
      </c>
      <c r="IW40" s="1" t="str">
        <f ca="1">IFERROR(__xludf.DUMMYFUNCTION("if(IW$2="""","""", index(GOOGLEFINANCE($B$40,""close"",IW$2,TODAY()),2,2))"),"")</f>
        <v/>
      </c>
      <c r="IX40" s="1" t="str">
        <f ca="1">IFERROR(__xludf.DUMMYFUNCTION("if(IX$2="""","""", index(GOOGLEFINANCE($B$40,""close"",IX$2,TODAY()),2,2))"),"")</f>
        <v/>
      </c>
      <c r="IY40" s="1" t="str">
        <f ca="1">IFERROR(__xludf.DUMMYFUNCTION("if(IY$2="""","""", index(GOOGLEFINANCE($B$40,""close"",IY$2,TODAY()),2,2))"),"")</f>
        <v/>
      </c>
      <c r="IZ40" s="1" t="str">
        <f ca="1">IFERROR(__xludf.DUMMYFUNCTION("if(IZ$2="""","""", index(GOOGLEFINANCE($B$40,""close"",IZ$2,TODAY()),2,2))"),"")</f>
        <v/>
      </c>
      <c r="JA40" s="1" t="str">
        <f ca="1">IFERROR(__xludf.DUMMYFUNCTION("if(JA$2="""","""", index(GOOGLEFINANCE($B$40,""close"",JA$2,TODAY()),2,2))"),"")</f>
        <v/>
      </c>
      <c r="JB40" s="1" t="str">
        <f ca="1">IFERROR(__xludf.DUMMYFUNCTION("if(JB$2="""","""", index(GOOGLEFINANCE($B$40,""close"",JB$2,TODAY()),2,2))"),"")</f>
        <v/>
      </c>
      <c r="JC40" s="1" t="str">
        <f ca="1">IFERROR(__xludf.DUMMYFUNCTION("if(JC$2="""","""", index(GOOGLEFINANCE($B$40,""close"",JC$2,TODAY()),2,2))"),"")</f>
        <v/>
      </c>
      <c r="JD40" s="1" t="str">
        <f ca="1">IFERROR(__xludf.DUMMYFUNCTION("if(JD$2="""","""", index(GOOGLEFINANCE($B$40,""close"",JD$2,TODAY()),2,2))"),"")</f>
        <v/>
      </c>
      <c r="JE40" s="1" t="str">
        <f ca="1">IFERROR(__xludf.DUMMYFUNCTION("if(JE$2="""","""", index(GOOGLEFINANCE($B$40,""close"",JE$2,TODAY()),2,2))"),"")</f>
        <v/>
      </c>
      <c r="JF40" s="1" t="str">
        <f ca="1">IFERROR(__xludf.DUMMYFUNCTION("if(JF$2="""","""", index(GOOGLEFINANCE($B$40,""close"",JF$2,TODAY()),2,2))"),"")</f>
        <v/>
      </c>
      <c r="JG40" s="1" t="str">
        <f ca="1">IFERROR(__xludf.DUMMYFUNCTION("if(JG$2="""","""", index(GOOGLEFINANCE($B$40,""close"",JG$2,TODAY()),2,2))"),"")</f>
        <v/>
      </c>
      <c r="JH40" s="1" t="str">
        <f ca="1">IFERROR(__xludf.DUMMYFUNCTION("if(JH$2="""","""", index(GOOGLEFINANCE($B$40,""close"",JH$2,TODAY()),2,2))"),"")</f>
        <v/>
      </c>
      <c r="JI40" s="1" t="str">
        <f ca="1">IFERROR(__xludf.DUMMYFUNCTION("if(JI$2="""","""", index(GOOGLEFINANCE($B$40,""close"",JI$2,TODAY()),2,2))"),"")</f>
        <v/>
      </c>
      <c r="JJ40" s="1" t="str">
        <f ca="1">IFERROR(__xludf.DUMMYFUNCTION("if(JJ$2="""","""", index(GOOGLEFINANCE($B$40,""close"",JJ$2,TODAY()),2,2))"),"")</f>
        <v/>
      </c>
      <c r="JK40" s="1" t="str">
        <f ca="1">IFERROR(__xludf.DUMMYFUNCTION("if(JK$2="""","""", index(GOOGLEFINANCE($B$40,""close"",JK$2,TODAY()),2,2))"),"")</f>
        <v/>
      </c>
      <c r="JL40" s="1" t="str">
        <f ca="1">IFERROR(__xludf.DUMMYFUNCTION("if(JL$2="""","""", index(GOOGLEFINANCE($B$40,""close"",JL$2,TODAY()),2,2))"),"")</f>
        <v/>
      </c>
      <c r="JM40" s="1" t="str">
        <f ca="1">IFERROR(__xludf.DUMMYFUNCTION("if(JM$2="""","""", index(GOOGLEFINANCE($B$40,""close"",JM$2,TODAY()),2,2))"),"")</f>
        <v/>
      </c>
      <c r="JN40" s="1" t="str">
        <f ca="1">IFERROR(__xludf.DUMMYFUNCTION("if(JN$2="""","""", index(GOOGLEFINANCE($B$40,""close"",JN$2,TODAY()),2,2))"),"")</f>
        <v/>
      </c>
      <c r="JO40" s="1" t="str">
        <f ca="1">IFERROR(__xludf.DUMMYFUNCTION("if(JO$2="""","""", index(GOOGLEFINANCE($B$40,""close"",JO$2,TODAY()),2,2))"),"")</f>
        <v/>
      </c>
      <c r="JP40" s="1" t="str">
        <f ca="1">IFERROR(__xludf.DUMMYFUNCTION("if(JP$2="""","""", index(GOOGLEFINANCE($B$40,""close"",JP$2,TODAY()),2,2))"),"")</f>
        <v/>
      </c>
      <c r="JQ40" s="1" t="str">
        <f ca="1">IFERROR(__xludf.DUMMYFUNCTION("if(JQ$2="""","""", index(GOOGLEFINANCE($B$40,""close"",JQ$2,TODAY()),2,2))"),"")</f>
        <v/>
      </c>
      <c r="JR40" s="1" t="str">
        <f ca="1">IFERROR(__xludf.DUMMYFUNCTION("if(JR$2="""","""", index(GOOGLEFINANCE($B$40,""close"",JR$2,TODAY()),2,2))"),"")</f>
        <v/>
      </c>
      <c r="JS40" s="1" t="str">
        <f ca="1">IFERROR(__xludf.DUMMYFUNCTION("if(JS$2="""","""", index(GOOGLEFINANCE($B$40,""close"",JS$2,TODAY()),2,2))"),"")</f>
        <v/>
      </c>
      <c r="JT40" s="1" t="str">
        <f ca="1">IFERROR(__xludf.DUMMYFUNCTION("if(JT$2="""","""", index(GOOGLEFINANCE($B$40,""close"",JT$2,TODAY()),2,2))"),"")</f>
        <v/>
      </c>
      <c r="JU40" s="1" t="str">
        <f ca="1">IFERROR(__xludf.DUMMYFUNCTION("if(JU$2="""","""", index(GOOGLEFINANCE($B$40,""close"",JU$2,TODAY()),2,2))"),"")</f>
        <v/>
      </c>
      <c r="JV40" s="1" t="str">
        <f ca="1">IFERROR(__xludf.DUMMYFUNCTION("if(JV$2="""","""", index(GOOGLEFINANCE($B$40,""close"",JV$2,TODAY()),2,2))"),"")</f>
        <v/>
      </c>
      <c r="JW40" s="1" t="str">
        <f ca="1">IFERROR(__xludf.DUMMYFUNCTION("if(JW$2="""","""", index(GOOGLEFINANCE($B$40,""close"",JW$2,TODAY()),2,2))"),"")</f>
        <v/>
      </c>
      <c r="JX40" s="1" t="str">
        <f ca="1">IFERROR(__xludf.DUMMYFUNCTION("if(JX$2="""","""", index(GOOGLEFINANCE($B$40,""close"",JX$2,TODAY()),2,2))"),"")</f>
        <v/>
      </c>
      <c r="JY40" s="1" t="str">
        <f ca="1">IFERROR(__xludf.DUMMYFUNCTION("if(JY$2="""","""", index(GOOGLEFINANCE($B$40,""close"",JY$2,TODAY()),2,2))"),"")</f>
        <v/>
      </c>
      <c r="JZ40" s="1" t="str">
        <f ca="1">IFERROR(__xludf.DUMMYFUNCTION("if(JZ$2="""","""", index(GOOGLEFINANCE($B$40,""close"",JZ$2,TODAY()),2,2))"),"")</f>
        <v/>
      </c>
      <c r="KA40" s="1" t="str">
        <f ca="1">IFERROR(__xludf.DUMMYFUNCTION("if(KA$2="""","""", index(GOOGLEFINANCE($B$40,""close"",KA$2,TODAY()),2,2))"),"")</f>
        <v/>
      </c>
      <c r="KB40" s="1" t="str">
        <f ca="1">IFERROR(__xludf.DUMMYFUNCTION("if(KB$2="""","""", index(GOOGLEFINANCE($B$40,""close"",KB$2,TODAY()),2,2))"),"")</f>
        <v/>
      </c>
      <c r="KC40" s="1" t="str">
        <f ca="1">IFERROR(__xludf.DUMMYFUNCTION("if(KC$2="""","""", index(GOOGLEFINANCE($B$40,""close"",KC$2,TODAY()),2,2))"),"")</f>
        <v/>
      </c>
      <c r="KD40" s="1" t="str">
        <f ca="1">IFERROR(__xludf.DUMMYFUNCTION("if(KD$2="""","""", index(GOOGLEFINANCE($B$40,""close"",KD$2,TODAY()),2,2))"),"")</f>
        <v/>
      </c>
      <c r="KE40" s="1" t="str">
        <f ca="1">IFERROR(__xludf.DUMMYFUNCTION("if(KE$2="""","""", index(GOOGLEFINANCE($B$40,""close"",KE$2,TODAY()),2,2))"),"")</f>
        <v/>
      </c>
      <c r="KF40" s="1" t="str">
        <f ca="1">IFERROR(__xludf.DUMMYFUNCTION("if(KF$2="""","""", index(GOOGLEFINANCE($B$40,""close"",KF$2,TODAY()),2,2))"),"")</f>
        <v/>
      </c>
      <c r="KG40" s="1" t="str">
        <f ca="1">IFERROR(__xludf.DUMMYFUNCTION("if(KG$2="""","""", index(GOOGLEFINANCE($B$40,""close"",KG$2,TODAY()),2,2))"),"")</f>
        <v/>
      </c>
    </row>
    <row r="41" spans="1:293" ht="15.75" customHeight="1">
      <c r="A41" s="18" t="s">
        <v>30</v>
      </c>
      <c r="B41" s="6" t="s">
        <v>83</v>
      </c>
      <c r="C41" s="1">
        <f ca="1">IFERROR(__xludf.DUMMYFUNCTION("if(C$2="""","""", index(GOOGLEFINANCE($B$41,""close"",C$2,TODAY()),2,2))"),17.68)</f>
        <v>17.68</v>
      </c>
      <c r="D41" s="1">
        <f ca="1">IFERROR(__xludf.DUMMYFUNCTION("if(D$2="""","""", index(GOOGLEFINANCE($B$41,""close"",D$2,TODAY()),2,2))"),17.8)</f>
        <v>17.8</v>
      </c>
      <c r="E41" s="1">
        <f ca="1">IFERROR(__xludf.DUMMYFUNCTION("if(E$2="""","""", index(GOOGLEFINANCE($B$41,""close"",E$2,TODAY()),2,2))"),17.27)</f>
        <v>17.27</v>
      </c>
      <c r="F41" s="1">
        <f ca="1">IFERROR(__xludf.DUMMYFUNCTION("if(F$2="""","""", index(GOOGLEFINANCE($B$41,""close"",F$2,TODAY()),2,2))"),17.3)</f>
        <v>17.3</v>
      </c>
      <c r="G41" s="1">
        <f ca="1">IFERROR(__xludf.DUMMYFUNCTION("if(G$2="""","""", index(GOOGLEFINANCE($B$41,""close"",G$2,TODAY()),2,2))"),16.99)</f>
        <v>16.989999999999998</v>
      </c>
      <c r="H41" s="1">
        <f ca="1">IFERROR(__xludf.DUMMYFUNCTION("if(H$2="""","""", index(GOOGLEFINANCE($B$41,""close"",H$2,TODAY()),2,2))"),17.02)</f>
        <v>17.02</v>
      </c>
      <c r="I41" s="1">
        <f ca="1">IFERROR(__xludf.DUMMYFUNCTION("if(I$2="""","""", index(GOOGLEFINANCE($B$41,""close"",I$2,TODAY()),2,2))"),17.23)</f>
        <v>17.23</v>
      </c>
      <c r="J41" s="1">
        <f ca="1">IFERROR(__xludf.DUMMYFUNCTION("if(J$2="""","""", index(GOOGLEFINANCE($B$41,""close"",J$2,TODAY()),2,2))"),17.29)</f>
        <v>17.29</v>
      </c>
      <c r="K41" s="1">
        <f ca="1">IFERROR(__xludf.DUMMYFUNCTION("if(K$2="""","""", index(GOOGLEFINANCE($B$41,""close"",K$2,TODAY()),2,2))"),17.11)</f>
        <v>17.11</v>
      </c>
      <c r="L41" s="1">
        <f ca="1">IFERROR(__xludf.DUMMYFUNCTION("if(L$2="""","""", index(GOOGLEFINANCE($B$41,""close"",L$2,TODAY()),2,2))"),17.12)</f>
        <v>17.12</v>
      </c>
      <c r="M41" s="1">
        <f ca="1">IFERROR(__xludf.DUMMYFUNCTION("if(M$2="""","""", index(GOOGLEFINANCE($B$41,""close"",M$2,TODAY()),2,2))"),16.9)</f>
        <v>16.899999999999999</v>
      </c>
      <c r="N41" s="1">
        <f ca="1">IFERROR(__xludf.DUMMYFUNCTION("if(N$2="""","""", index(GOOGLEFINANCE($B$41,""close"",N$2,TODAY()),2,2))"),16.42)</f>
        <v>16.420000000000002</v>
      </c>
      <c r="O41" s="1">
        <f ca="1">IFERROR(__xludf.DUMMYFUNCTION("if(O$2="""","""", index(GOOGLEFINANCE($B$41,""close"",O$2,TODAY()),2,2))"),16.07)</f>
        <v>16.07</v>
      </c>
      <c r="P41" s="1">
        <f ca="1">IFERROR(__xludf.DUMMYFUNCTION("if(P$2="""","""", index(GOOGLEFINANCE($B$41,""close"",P$2,TODAY()),2,2))"),15.91)</f>
        <v>15.91</v>
      </c>
      <c r="Q41" s="1">
        <f ca="1">IFERROR(__xludf.DUMMYFUNCTION("if(Q$2="""","""", index(GOOGLEFINANCE($B$41,""close"",Q$2,TODAY()),2,2))"),16.07)</f>
        <v>16.07</v>
      </c>
      <c r="R41" s="1">
        <f ca="1">IFERROR(__xludf.DUMMYFUNCTION("if(R$2="""","""", index(GOOGLEFINANCE($B$41,""close"",R$2,TODAY()),2,2))"),15.69)</f>
        <v>15.69</v>
      </c>
      <c r="S41" s="1">
        <f ca="1">IFERROR(__xludf.DUMMYFUNCTION("if(S$2="""","""", index(GOOGLEFINANCE($B$41,""close"",S$2,TODAY()),2,2))"),15.4)</f>
        <v>15.4</v>
      </c>
      <c r="T41" s="1">
        <f ca="1">IFERROR(__xludf.DUMMYFUNCTION("if(T$2="""","""", index(GOOGLEFINANCE($B$41,""close"",T$2,TODAY()),2,2))"),15.45)</f>
        <v>15.45</v>
      </c>
      <c r="U41" s="1">
        <f ca="1">IFERROR(__xludf.DUMMYFUNCTION("if(U$2="""","""", index(GOOGLEFINANCE($B$41,""close"",U$2,TODAY()),2,2))"),15.8)</f>
        <v>15.8</v>
      </c>
      <c r="V41" s="1">
        <f ca="1">IFERROR(__xludf.DUMMYFUNCTION("if(V$2="""","""", index(GOOGLEFINANCE($B$41,""close"",V$2,TODAY()),2,2))"),16.22)</f>
        <v>16.22</v>
      </c>
      <c r="W41" s="1">
        <f ca="1">IFERROR(__xludf.DUMMYFUNCTION("if(W$2="""","""", index(GOOGLEFINANCE($B$41,""close"",W$2,TODAY()),2,2))"),16.41)</f>
        <v>16.41</v>
      </c>
      <c r="X41" s="1">
        <f ca="1">IFERROR(__xludf.DUMMYFUNCTION("if(X$2="""","""", index(GOOGLEFINANCE($B$41,""close"",X$2,TODAY()),2,2))"),16.65)</f>
        <v>16.649999999999999</v>
      </c>
      <c r="Y41" s="1">
        <f ca="1">IFERROR(__xludf.DUMMYFUNCTION("if(Y$2="""","""", index(GOOGLEFINANCE($B$41,""close"",Y$2,TODAY()),2,2))"),16.42)</f>
        <v>16.420000000000002</v>
      </c>
      <c r="Z41" s="1">
        <f ca="1">IFERROR(__xludf.DUMMYFUNCTION("if(Z$2="""","""", index(GOOGLEFINANCE($B$41,""close"",Z$2,TODAY()),2,2))"),16.5)</f>
        <v>16.5</v>
      </c>
      <c r="AA41" s="1">
        <f ca="1">IFERROR(__xludf.DUMMYFUNCTION("if(AA$2="""","""", index(GOOGLEFINANCE($B$41,""close"",AA$2,TODAY()),2,2))"),16.53)</f>
        <v>16.53</v>
      </c>
      <c r="AB41" s="1">
        <f ca="1">IFERROR(__xludf.DUMMYFUNCTION("if(AB$2="""","""", index(GOOGLEFINANCE($B$41,""close"",AB$2,TODAY()),2,2))"),16.88)</f>
        <v>16.88</v>
      </c>
      <c r="AC41" s="1">
        <f ca="1">IFERROR(__xludf.DUMMYFUNCTION("if(AC$2="""","""", index(GOOGLEFINANCE($B$41,""close"",AC$2,TODAY()),2,2))"),17.53)</f>
        <v>17.53</v>
      </c>
      <c r="AD41" s="1">
        <f ca="1">IFERROR(__xludf.DUMMYFUNCTION("if(AD$2="""","""", index(GOOGLEFINANCE($B$41,""close"",AD$2,TODAY()),2,2))"),17.88)</f>
        <v>17.88</v>
      </c>
      <c r="AE41" s="1">
        <f ca="1">IFERROR(__xludf.DUMMYFUNCTION("if(AE$2="""","""", index(GOOGLEFINANCE($B$41,""close"",AE$2,TODAY()),2,2))"),18.2)</f>
        <v>18.2</v>
      </c>
      <c r="AF41" s="1">
        <f ca="1">IFERROR(__xludf.DUMMYFUNCTION("if(AF$2="""","""", index(GOOGLEFINANCE($B$41,""close"",AF$2,TODAY()),2,2))"),18.19)</f>
        <v>18.190000000000001</v>
      </c>
      <c r="AG41" s="1">
        <f ca="1">IFERROR(__xludf.DUMMYFUNCTION("if(AG$2="""","""", index(GOOGLEFINANCE($B$41,""close"",AG$2,TODAY()),2,2))"),18.78)</f>
        <v>18.78</v>
      </c>
      <c r="AH41" s="1">
        <f ca="1">IFERROR(__xludf.DUMMYFUNCTION("if(AH$2="""","""", index(GOOGLEFINANCE($B$41,""close"",AH$2,TODAY()),2,2))"),19.75)</f>
        <v>19.75</v>
      </c>
      <c r="AI41" s="1">
        <f ca="1">IFERROR(__xludf.DUMMYFUNCTION("if(AI$2="""","""", index(GOOGLEFINANCE($B$41,""close"",AI$2,TODAY()),2,2))"),19.79)</f>
        <v>19.79</v>
      </c>
      <c r="AJ41" s="1">
        <f ca="1">IFERROR(__xludf.DUMMYFUNCTION("if(AJ$2="""","""", index(GOOGLEFINANCE($B$41,""close"",AJ$2,TODAY()),2,2))"),19.53)</f>
        <v>19.53</v>
      </c>
      <c r="AK41" s="1">
        <f ca="1">IFERROR(__xludf.DUMMYFUNCTION("if(AK$2="""","""", index(GOOGLEFINANCE($B$41,""close"",AK$2,TODAY()),2,2))"),19.81)</f>
        <v>19.809999999999999</v>
      </c>
      <c r="AL41" s="1">
        <f ca="1">IFERROR(__xludf.DUMMYFUNCTION("if(AL$2="""","""", index(GOOGLEFINANCE($B$41,""close"",AL$2,TODAY()),2,2))"),19.14)</f>
        <v>19.14</v>
      </c>
      <c r="AM41" s="1">
        <f ca="1">IFERROR(__xludf.DUMMYFUNCTION("if(AM$2="""","""", index(GOOGLEFINANCE($B$41,""close"",AM$2,TODAY()),2,2))"),19.18)</f>
        <v>19.18</v>
      </c>
      <c r="AN41" s="1">
        <f ca="1">IFERROR(__xludf.DUMMYFUNCTION("if(AN$2="""","""", index(GOOGLEFINANCE($B$41,""close"",AN$2,TODAY()),2,2))"),19.48)</f>
        <v>19.48</v>
      </c>
      <c r="AO41" s="1">
        <f ca="1">IFERROR(__xludf.DUMMYFUNCTION("if(AO$2="""","""", index(GOOGLEFINANCE($B$41,""close"",AO$2,TODAY()),2,2))"),19.9)</f>
        <v>19.899999999999999</v>
      </c>
      <c r="AP41" s="1">
        <f ca="1">IFERROR(__xludf.DUMMYFUNCTION("if(AP$2="""","""", index(GOOGLEFINANCE($B$41,""close"",AP$2,TODAY()),2,2))"),19.64)</f>
        <v>19.64</v>
      </c>
      <c r="AQ41" s="1">
        <f ca="1">IFERROR(__xludf.DUMMYFUNCTION("if(AQ$2="""","""", index(GOOGLEFINANCE($B$41,""close"",AQ$2,TODAY()),2,2))"),19.87)</f>
        <v>19.87</v>
      </c>
      <c r="AR41" s="1">
        <f ca="1">IFERROR(__xludf.DUMMYFUNCTION("if(AR$2="""","""", index(GOOGLEFINANCE($B$41,""close"",AR$2,TODAY()),2,2))"),19.99)</f>
        <v>19.989999999999998</v>
      </c>
      <c r="AS41" s="1">
        <f ca="1">IFERROR(__xludf.DUMMYFUNCTION("if(AS$2="""","""", index(GOOGLEFINANCE($B$41,""close"",AS$2,TODAY()),2,2))"),19.74)</f>
        <v>19.739999999999998</v>
      </c>
      <c r="AT41" s="1">
        <f ca="1">IFERROR(__xludf.DUMMYFUNCTION("if(AT$2="""","""", index(GOOGLEFINANCE($B$41,""close"",AT$2,TODAY()),2,2))"),19.06)</f>
        <v>19.059999999999999</v>
      </c>
      <c r="AU41" s="1">
        <f ca="1">IFERROR(__xludf.DUMMYFUNCTION("if(AU$2="""","""", index(GOOGLEFINANCE($B$41,""close"",AU$2,TODAY()),2,2))"),18.78)</f>
        <v>18.78</v>
      </c>
      <c r="AV41" s="1">
        <f ca="1">IFERROR(__xludf.DUMMYFUNCTION("if(AV$2="""","""", index(GOOGLEFINANCE($B$41,""close"",AV$2,TODAY()),2,2))"),19.4)</f>
        <v>19.399999999999999</v>
      </c>
      <c r="AW41" s="1">
        <f ca="1">IFERROR(__xludf.DUMMYFUNCTION("if(AW$2="""","""", index(GOOGLEFINANCE($B$41,""close"",AW$2,TODAY()),2,2))"),19.05)</f>
        <v>19.05</v>
      </c>
      <c r="AX41" s="1">
        <f ca="1">IFERROR(__xludf.DUMMYFUNCTION("if(AX$2="""","""", index(GOOGLEFINANCE($B$41,""close"",AX$2,TODAY()),2,2))"),18.29)</f>
        <v>18.29</v>
      </c>
      <c r="AY41" s="1">
        <f ca="1">IFERROR(__xludf.DUMMYFUNCTION("if(AY$2="""","""", index(GOOGLEFINANCE($B$41,""close"",AY$2,TODAY()),2,2))"),18.4)</f>
        <v>18.399999999999999</v>
      </c>
      <c r="AZ41" s="1">
        <f ca="1">IFERROR(__xludf.DUMMYFUNCTION("if(AZ$2="""","""", index(GOOGLEFINANCE($B$41,""close"",AZ$2,TODAY()),2,2))"),18.46)</f>
        <v>18.46</v>
      </c>
      <c r="BA41" s="1">
        <f ca="1">IFERROR(__xludf.DUMMYFUNCTION("if(BA$2="""","""", index(GOOGLEFINANCE($B$41,""close"",BA$2,TODAY()),2,2))"),19.38)</f>
        <v>19.38</v>
      </c>
      <c r="BB41" s="1">
        <f ca="1">IFERROR(__xludf.DUMMYFUNCTION("if(BB$2="""","""", index(GOOGLEFINANCE($B$41,""close"",BB$2,TODAY()),2,2))"),19.25)</f>
        <v>19.25</v>
      </c>
      <c r="BC41" s="1">
        <f ca="1">IFERROR(__xludf.DUMMYFUNCTION("if(BC$2="""","""", index(GOOGLEFINANCE($B$41,""close"",BC$2,TODAY()),2,2))"),19.19)</f>
        <v>19.190000000000001</v>
      </c>
      <c r="BD41" s="1">
        <f ca="1">IFERROR(__xludf.DUMMYFUNCTION("if(BD$2="""","""", index(GOOGLEFINANCE($B$41,""close"",BD$2,TODAY()),2,2))"),19.23)</f>
        <v>19.23</v>
      </c>
      <c r="BE41" s="1">
        <f ca="1">IFERROR(__xludf.DUMMYFUNCTION("if(BE$2="""","""", index(GOOGLEFINANCE($B$41,""close"",BE$2,TODAY()),2,2))"),19.31)</f>
        <v>19.309999999999999</v>
      </c>
      <c r="BF41" s="1">
        <f ca="1">IFERROR(__xludf.DUMMYFUNCTION("if(BF$2="""","""", index(GOOGLEFINANCE($B$41,""close"",BF$2,TODAY()),2,2))"),19.09)</f>
        <v>19.09</v>
      </c>
      <c r="BG41" s="1">
        <f ca="1">IFERROR(__xludf.DUMMYFUNCTION("if(BG$2="""","""", index(GOOGLEFINANCE($B$41,""close"",BG$2,TODAY()),2,2))"),19.5)</f>
        <v>19.5</v>
      </c>
      <c r="BH41" s="1">
        <f ca="1">IFERROR(__xludf.DUMMYFUNCTION("if(BH$2="""","""", index(GOOGLEFINANCE($B$41,""close"",BH$2,TODAY()),2,2))"),19.79)</f>
        <v>19.79</v>
      </c>
      <c r="BI41" s="1">
        <f ca="1">IFERROR(__xludf.DUMMYFUNCTION("if(BI$2="""","""", index(GOOGLEFINANCE($B$41,""close"",BI$2,TODAY()),2,2))"),19.69)</f>
        <v>19.690000000000001</v>
      </c>
      <c r="BJ41" s="1">
        <f ca="1">IFERROR(__xludf.DUMMYFUNCTION("if(BJ$2="""","""", index(GOOGLEFINANCE($B$41,""close"",BJ$2,TODAY()),2,2))"),20.03)</f>
        <v>20.03</v>
      </c>
      <c r="BK41" s="1">
        <f ca="1">IFERROR(__xludf.DUMMYFUNCTION("if(BK$2="""","""", index(GOOGLEFINANCE($B$41,""close"",BK$2,TODAY()),2,2))"),19.77)</f>
        <v>19.77</v>
      </c>
      <c r="BL41" s="1">
        <f ca="1">IFERROR(__xludf.DUMMYFUNCTION("if(BL$2="""","""", index(GOOGLEFINANCE($B$41,""close"",BL$2,TODAY()),2,2))"),19.55)</f>
        <v>19.55</v>
      </c>
      <c r="BM41" s="1">
        <f ca="1">IFERROR(__xludf.DUMMYFUNCTION("if(BM$2="""","""", index(GOOGLEFINANCE($B$41,""close"",BM$2,TODAY()),2,2))"),19.67)</f>
        <v>19.670000000000002</v>
      </c>
      <c r="BN41" s="1">
        <f ca="1">IFERROR(__xludf.DUMMYFUNCTION("if(BN$2="""","""", index(GOOGLEFINANCE($B$41,""close"",BN$2,TODAY()),2,2))"),19.98)</f>
        <v>19.98</v>
      </c>
      <c r="BO41" s="1">
        <f ca="1">IFERROR(__xludf.DUMMYFUNCTION("if(BO$2="""","""", index(GOOGLEFINANCE($B$41,""close"",BO$2,TODAY()),2,2))"),19.43)</f>
        <v>19.43</v>
      </c>
      <c r="BP41" s="1">
        <f ca="1">IFERROR(__xludf.DUMMYFUNCTION("if(BP$2="""","""", index(GOOGLEFINANCE($B$41,""close"",BP$2,TODAY()),2,2))"),18.82)</f>
        <v>18.82</v>
      </c>
      <c r="BQ41" s="1">
        <f ca="1">IFERROR(__xludf.DUMMYFUNCTION("if(BQ$2="""","""", index(GOOGLEFINANCE($B$41,""close"",BQ$2,TODAY()),2,2))"),18.9)</f>
        <v>18.899999999999999</v>
      </c>
      <c r="BR41" s="1">
        <f ca="1">IFERROR(__xludf.DUMMYFUNCTION("if(BR$2="""","""", index(GOOGLEFINANCE($B$41,""close"",BR$2,TODAY()),2,2))"),19.19)</f>
        <v>19.190000000000001</v>
      </c>
      <c r="BS41" s="1">
        <f ca="1">IFERROR(__xludf.DUMMYFUNCTION("if(BS$2="""","""", index(GOOGLEFINANCE($B$41,""close"",BS$2,TODAY()),2,2))"),19.47)</f>
        <v>19.47</v>
      </c>
      <c r="BT41" s="1">
        <f ca="1">IFERROR(__xludf.DUMMYFUNCTION("if(BT$2="""","""", index(GOOGLEFINANCE($B$41,""close"",BT$2,TODAY()),2,2))"),19.77)</f>
        <v>19.77</v>
      </c>
      <c r="BU41" s="1">
        <f ca="1">IFERROR(__xludf.DUMMYFUNCTION("if(BU$2="""","""", index(GOOGLEFINANCE($B$41,""close"",BU$2,TODAY()),2,2))"),20.28)</f>
        <v>20.28</v>
      </c>
      <c r="BV41" s="1">
        <f ca="1">IFERROR(__xludf.DUMMYFUNCTION("if(BV$2="""","""", index(GOOGLEFINANCE($B$41,""close"",BV$2,TODAY()),2,2))"),20.06)</f>
        <v>20.059999999999999</v>
      </c>
      <c r="BW41" s="1">
        <f ca="1">IFERROR(__xludf.DUMMYFUNCTION("if(BW$2="""","""", index(GOOGLEFINANCE($B$41,""close"",BW$2,TODAY()),2,2))"),20.22)</f>
        <v>20.22</v>
      </c>
      <c r="BX41" s="1">
        <f ca="1">IFERROR(__xludf.DUMMYFUNCTION("if(BX$2="""","""", index(GOOGLEFINANCE($B$41,""close"",BX$2,TODAY()),2,2))"),20.84)</f>
        <v>20.84</v>
      </c>
      <c r="BY41" s="1">
        <f ca="1">IFERROR(__xludf.DUMMYFUNCTION("if(BY$2="""","""", index(GOOGLEFINANCE($B$41,""close"",BY$2,TODAY()),2,2))"),21.02)</f>
        <v>21.02</v>
      </c>
      <c r="BZ41" s="1">
        <f ca="1">IFERROR(__xludf.DUMMYFUNCTION("if(BZ$2="""","""", index(GOOGLEFINANCE($B$41,""close"",BZ$2,TODAY()),2,2))"),20.33)</f>
        <v>20.329999999999998</v>
      </c>
      <c r="CA41" s="1">
        <f ca="1">IFERROR(__xludf.DUMMYFUNCTION("if(CA$2="""","""", index(GOOGLEFINANCE($B$41,""close"",CA$2,TODAY()),2,2))"),19.95)</f>
        <v>19.95</v>
      </c>
      <c r="CB41" s="1">
        <f ca="1">IFERROR(__xludf.DUMMYFUNCTION("if(CB$2="""","""", index(GOOGLEFINANCE($B$41,""close"",CB$2,TODAY()),2,2))"),20.21)</f>
        <v>20.21</v>
      </c>
      <c r="CC41" s="1">
        <f ca="1">IFERROR(__xludf.DUMMYFUNCTION("if(CC$2="""","""", index(GOOGLEFINANCE($B$41,""close"",CC$2,TODAY()),2,2))"),20)</f>
        <v>20</v>
      </c>
      <c r="CD41" s="1">
        <f ca="1">IFERROR(__xludf.DUMMYFUNCTION("if(CD$2="""","""", index(GOOGLEFINANCE($B$41,""close"",CD$2,TODAY()),2,2))"),20.22)</f>
        <v>20.22</v>
      </c>
      <c r="CE41" s="1">
        <f ca="1">IFERROR(__xludf.DUMMYFUNCTION("if(CE$2="""","""", index(GOOGLEFINANCE($B$41,""close"",CE$2,TODAY()),2,2))"),20.63)</f>
        <v>20.63</v>
      </c>
      <c r="CF41" s="1">
        <f ca="1">IFERROR(__xludf.DUMMYFUNCTION("if(CF$2="""","""", index(GOOGLEFINANCE($B$41,""close"",CF$2,TODAY()),2,2))"),20.25)</f>
        <v>20.25</v>
      </c>
      <c r="CG41" s="1">
        <f ca="1">IFERROR(__xludf.DUMMYFUNCTION("if(CG$2="""","""", index(GOOGLEFINANCE($B$41,""close"",CG$2,TODAY()),2,2))"),20.81)</f>
        <v>20.81</v>
      </c>
      <c r="CH41" s="1">
        <f ca="1">IFERROR(__xludf.DUMMYFUNCTION("if(CH$2="""","""", index(GOOGLEFINANCE($B$41,""close"",CH$2,TODAY()),2,2))"),20.77)</f>
        <v>20.77</v>
      </c>
      <c r="CI41" s="1">
        <f ca="1">IFERROR(__xludf.DUMMYFUNCTION("if(CI$2="""","""", index(GOOGLEFINANCE($B$41,""close"",CI$2,TODAY()),2,2))"),17.32)</f>
        <v>17.32</v>
      </c>
      <c r="CJ41" s="1" t="str">
        <f ca="1">IFERROR(__xludf.DUMMYFUNCTION("if(CJ$2="""","""", index(GOOGLEFINANCE($B$41,""close"",CJ$2,TODAY()),2,2))"),"")</f>
        <v/>
      </c>
      <c r="CK41" s="1" t="str">
        <f ca="1">IFERROR(__xludf.DUMMYFUNCTION("if(CK$2="""","""", index(GOOGLEFINANCE($B$41,""close"",CK$2,TODAY()),2,2))"),"")</f>
        <v/>
      </c>
      <c r="CL41" s="1" t="str">
        <f ca="1">IFERROR(__xludf.DUMMYFUNCTION("if(CL$2="""","""", index(GOOGLEFINANCE($B$41,""close"",CL$2,TODAY()),2,2))"),"")</f>
        <v/>
      </c>
      <c r="CM41" s="1" t="str">
        <f ca="1">IFERROR(__xludf.DUMMYFUNCTION("if(CM$2="""","""", index(GOOGLEFINANCE($B$41,""close"",CM$2,TODAY()),2,2))"),"")</f>
        <v/>
      </c>
      <c r="CN41" s="1" t="str">
        <f ca="1">IFERROR(__xludf.DUMMYFUNCTION("if(CN$2="""","""", index(GOOGLEFINANCE($B$41,""close"",CN$2,TODAY()),2,2))"),"")</f>
        <v/>
      </c>
      <c r="CO41" s="1" t="str">
        <f ca="1">IFERROR(__xludf.DUMMYFUNCTION("if(CO$2="""","""", index(GOOGLEFINANCE($B$41,""close"",CO$2,TODAY()),2,2))"),"")</f>
        <v/>
      </c>
      <c r="CP41" s="1" t="str">
        <f ca="1">IFERROR(__xludf.DUMMYFUNCTION("if(CP$2="""","""", index(GOOGLEFINANCE($B$41,""close"",CP$2,TODAY()),2,2))"),"")</f>
        <v/>
      </c>
      <c r="CQ41" s="1" t="str">
        <f ca="1">IFERROR(__xludf.DUMMYFUNCTION("if(CQ$2="""","""", index(GOOGLEFINANCE($B$41,""close"",CQ$2,TODAY()),2,2))"),"")</f>
        <v/>
      </c>
      <c r="CR41" s="1" t="str">
        <f ca="1">IFERROR(__xludf.DUMMYFUNCTION("if(CR$2="""","""", index(GOOGLEFINANCE($B$41,""close"",CR$2,TODAY()),2,2))"),"")</f>
        <v/>
      </c>
      <c r="CS41" s="1" t="str">
        <f ca="1">IFERROR(__xludf.DUMMYFUNCTION("if(CS$2="""","""", index(GOOGLEFINANCE($B$41,""close"",CS$2,TODAY()),2,2))"),"")</f>
        <v/>
      </c>
      <c r="CT41" s="1" t="str">
        <f ca="1">IFERROR(__xludf.DUMMYFUNCTION("if(CT$2="""","""", index(GOOGLEFINANCE($B$41,""close"",CT$2,TODAY()),2,2))"),"")</f>
        <v/>
      </c>
      <c r="CU41" s="1" t="str">
        <f ca="1">IFERROR(__xludf.DUMMYFUNCTION("if(CU$2="""","""", index(GOOGLEFINANCE($B$41,""close"",CU$2,TODAY()),2,2))"),"")</f>
        <v/>
      </c>
      <c r="CV41" s="1" t="str">
        <f ca="1">IFERROR(__xludf.DUMMYFUNCTION("if(CV$2="""","""", index(GOOGLEFINANCE($B$41,""close"",CV$2,TODAY()),2,2))"),"")</f>
        <v/>
      </c>
      <c r="CW41" s="1" t="str">
        <f ca="1">IFERROR(__xludf.DUMMYFUNCTION("if(CW$2="""","""", index(GOOGLEFINANCE($B$41,""close"",CW$2,TODAY()),2,2))"),"")</f>
        <v/>
      </c>
      <c r="CX41" s="1" t="str">
        <f ca="1">IFERROR(__xludf.DUMMYFUNCTION("if(CX$2="""","""", index(GOOGLEFINANCE($B$41,""close"",CX$2,TODAY()),2,2))"),"")</f>
        <v/>
      </c>
      <c r="CY41" s="1" t="str">
        <f ca="1">IFERROR(__xludf.DUMMYFUNCTION("if(CY$2="""","""", index(GOOGLEFINANCE($B$41,""close"",CY$2,TODAY()),2,2))"),"")</f>
        <v/>
      </c>
      <c r="CZ41" s="1" t="str">
        <f ca="1">IFERROR(__xludf.DUMMYFUNCTION("if(CZ$2="""","""", index(GOOGLEFINANCE($B$41,""close"",CZ$2,TODAY()),2,2))"),"")</f>
        <v/>
      </c>
      <c r="DA41" s="1" t="str">
        <f ca="1">IFERROR(__xludf.DUMMYFUNCTION("if(DA$2="""","""", index(GOOGLEFINANCE($B$41,""close"",DA$2,TODAY()),2,2))"),"")</f>
        <v/>
      </c>
      <c r="DB41" s="1" t="str">
        <f ca="1">IFERROR(__xludf.DUMMYFUNCTION("if(DB$2="""","""", index(GOOGLEFINANCE($B$41,""close"",DB$2,TODAY()),2,2))"),"")</f>
        <v/>
      </c>
      <c r="DC41" s="1" t="str">
        <f ca="1">IFERROR(__xludf.DUMMYFUNCTION("if(DC$2="""","""", index(GOOGLEFINANCE($B$41,""close"",DC$2,TODAY()),2,2))"),"")</f>
        <v/>
      </c>
      <c r="DD41" s="1" t="str">
        <f ca="1">IFERROR(__xludf.DUMMYFUNCTION("if(DD$2="""","""", index(GOOGLEFINANCE($B$41,""close"",DD$2,TODAY()),2,2))"),"")</f>
        <v/>
      </c>
      <c r="DE41" s="1" t="str">
        <f ca="1">IFERROR(__xludf.DUMMYFUNCTION("if(DE$2="""","""", index(GOOGLEFINANCE($B$41,""close"",DE$2,TODAY()),2,2))"),"")</f>
        <v/>
      </c>
      <c r="DF41" s="1" t="str">
        <f ca="1">IFERROR(__xludf.DUMMYFUNCTION("if(DF$2="""","""", index(GOOGLEFINANCE($B$41,""close"",DF$2,TODAY()),2,2))"),"")</f>
        <v/>
      </c>
      <c r="DG41" s="1" t="str">
        <f ca="1">IFERROR(__xludf.DUMMYFUNCTION("if(DG$2="""","""", index(GOOGLEFINANCE($B$41,""close"",DG$2,TODAY()),2,2))"),"")</f>
        <v/>
      </c>
      <c r="DH41" s="1" t="str">
        <f ca="1">IFERROR(__xludf.DUMMYFUNCTION("if(DH$2="""","""", index(GOOGLEFINANCE($B$41,""close"",DH$2,TODAY()),2,2))"),"")</f>
        <v/>
      </c>
      <c r="DI41" s="1" t="str">
        <f ca="1">IFERROR(__xludf.DUMMYFUNCTION("if(DI$2="""","""", index(GOOGLEFINANCE($B$41,""close"",DI$2,TODAY()),2,2))"),"")</f>
        <v/>
      </c>
      <c r="DJ41" s="1" t="str">
        <f ca="1">IFERROR(__xludf.DUMMYFUNCTION("if(DJ$2="""","""", index(GOOGLEFINANCE($B$41,""close"",DJ$2,TODAY()),2,2))"),"")</f>
        <v/>
      </c>
      <c r="DK41" s="1" t="str">
        <f ca="1">IFERROR(__xludf.DUMMYFUNCTION("if(DK$2="""","""", index(GOOGLEFINANCE($B$41,""close"",DK$2,TODAY()),2,2))"),"")</f>
        <v/>
      </c>
      <c r="DL41" s="1" t="str">
        <f ca="1">IFERROR(__xludf.DUMMYFUNCTION("if(DL$2="""","""", index(GOOGLEFINANCE($B$41,""close"",DL$2,TODAY()),2,2))"),"")</f>
        <v/>
      </c>
      <c r="DM41" s="1" t="str">
        <f ca="1">IFERROR(__xludf.DUMMYFUNCTION("if(DM$2="""","""", index(GOOGLEFINANCE($B$41,""close"",DM$2,TODAY()),2,2))"),"")</f>
        <v/>
      </c>
      <c r="DN41" s="1" t="str">
        <f ca="1">IFERROR(__xludf.DUMMYFUNCTION("if(DN$2="""","""", index(GOOGLEFINANCE($B$41,""close"",DN$2,TODAY()),2,2))"),"")</f>
        <v/>
      </c>
      <c r="DO41" s="1" t="str">
        <f ca="1">IFERROR(__xludf.DUMMYFUNCTION("if(DO$2="""","""", index(GOOGLEFINANCE($B$41,""close"",DO$2,TODAY()),2,2))"),"")</f>
        <v/>
      </c>
      <c r="DP41" s="1" t="str">
        <f ca="1">IFERROR(__xludf.DUMMYFUNCTION("if(DP$2="""","""", index(GOOGLEFINANCE($B$41,""close"",DP$2,TODAY()),2,2))"),"")</f>
        <v/>
      </c>
      <c r="DQ41" s="1" t="str">
        <f ca="1">IFERROR(__xludf.DUMMYFUNCTION("if(DQ$2="""","""", index(GOOGLEFINANCE($B$41,""close"",DQ$2,TODAY()),2,2))"),"")</f>
        <v/>
      </c>
      <c r="DR41" s="1" t="str">
        <f ca="1">IFERROR(__xludf.DUMMYFUNCTION("if(DR$2="""","""", index(GOOGLEFINANCE($B$41,""close"",DR$2,TODAY()),2,2))"),"")</f>
        <v/>
      </c>
      <c r="DS41" s="1" t="str">
        <f ca="1">IFERROR(__xludf.DUMMYFUNCTION("if(DS$2="""","""", index(GOOGLEFINANCE($B$41,""close"",DS$2,TODAY()),2,2))"),"")</f>
        <v/>
      </c>
      <c r="DT41" s="1" t="str">
        <f ca="1">IFERROR(__xludf.DUMMYFUNCTION("if(DT$2="""","""", index(GOOGLEFINANCE($B$41,""close"",DT$2,TODAY()),2,2))"),"")</f>
        <v/>
      </c>
      <c r="DU41" s="1" t="str">
        <f ca="1">IFERROR(__xludf.DUMMYFUNCTION("if(DU$2="""","""", index(GOOGLEFINANCE($B$41,""close"",DU$2,TODAY()),2,2))"),"")</f>
        <v/>
      </c>
      <c r="DV41" s="1" t="str">
        <f ca="1">IFERROR(__xludf.DUMMYFUNCTION("if(DV$2="""","""", index(GOOGLEFINANCE($B$41,""close"",DV$2,TODAY()),2,2))"),"")</f>
        <v/>
      </c>
      <c r="DW41" s="1" t="str">
        <f ca="1">IFERROR(__xludf.DUMMYFUNCTION("if(DW$2="""","""", index(GOOGLEFINANCE($B$41,""close"",DW$2,TODAY()),2,2))"),"")</f>
        <v/>
      </c>
      <c r="DX41" s="1" t="str">
        <f ca="1">IFERROR(__xludf.DUMMYFUNCTION("if(DX$2="""","""", index(GOOGLEFINANCE($B$41,""close"",DX$2,TODAY()),2,2))"),"")</f>
        <v/>
      </c>
      <c r="DY41" s="1" t="str">
        <f ca="1">IFERROR(__xludf.DUMMYFUNCTION("if(DY$2="""","""", index(GOOGLEFINANCE($B$41,""close"",DY$2,TODAY()),2,2))"),"")</f>
        <v/>
      </c>
      <c r="DZ41" s="1" t="str">
        <f ca="1">IFERROR(__xludf.DUMMYFUNCTION("if(DZ$2="""","""", index(GOOGLEFINANCE($B$41,""close"",DZ$2,TODAY()),2,2))"),"")</f>
        <v/>
      </c>
      <c r="EA41" s="1" t="str">
        <f ca="1">IFERROR(__xludf.DUMMYFUNCTION("if(EA$2="""","""", index(GOOGLEFINANCE($B$41,""close"",EA$2,TODAY()),2,2))"),"")</f>
        <v/>
      </c>
      <c r="EB41" s="1" t="str">
        <f ca="1">IFERROR(__xludf.DUMMYFUNCTION("if(EB$2="""","""", index(GOOGLEFINANCE($B$41,""close"",EB$2,TODAY()),2,2))"),"")</f>
        <v/>
      </c>
      <c r="EC41" s="1" t="str">
        <f ca="1">IFERROR(__xludf.DUMMYFUNCTION("if(EC$2="""","""", index(GOOGLEFINANCE($B$41,""close"",EC$2,TODAY()),2,2))"),"")</f>
        <v/>
      </c>
      <c r="ED41" s="1" t="str">
        <f ca="1">IFERROR(__xludf.DUMMYFUNCTION("if(ED$2="""","""", index(GOOGLEFINANCE($B$41,""close"",ED$2,TODAY()),2,2))"),"")</f>
        <v/>
      </c>
      <c r="EE41" s="1" t="str">
        <f ca="1">IFERROR(__xludf.DUMMYFUNCTION("if(EE$2="""","""", index(GOOGLEFINANCE($B$41,""close"",EE$2,TODAY()),2,2))"),"")</f>
        <v/>
      </c>
      <c r="EF41" s="1" t="str">
        <f ca="1">IFERROR(__xludf.DUMMYFUNCTION("if(EF$2="""","""", index(GOOGLEFINANCE($B$41,""close"",EF$2,TODAY()),2,2))"),"")</f>
        <v/>
      </c>
      <c r="EG41" s="1" t="str">
        <f ca="1">IFERROR(__xludf.DUMMYFUNCTION("if(EG$2="""","""", index(GOOGLEFINANCE($B$41,""close"",EG$2,TODAY()),2,2))"),"")</f>
        <v/>
      </c>
      <c r="EH41" s="1" t="str">
        <f ca="1">IFERROR(__xludf.DUMMYFUNCTION("if(EH$2="""","""", index(GOOGLEFINANCE($B$41,""close"",EH$2,TODAY()),2,2))"),"")</f>
        <v/>
      </c>
      <c r="EI41" s="1" t="str">
        <f ca="1">IFERROR(__xludf.DUMMYFUNCTION("if(EI$2="""","""", index(GOOGLEFINANCE($B$41,""close"",EI$2,TODAY()),2,2))"),"")</f>
        <v/>
      </c>
      <c r="EJ41" s="1" t="str">
        <f ca="1">IFERROR(__xludf.DUMMYFUNCTION("if(EJ$2="""","""", index(GOOGLEFINANCE($B$41,""close"",EJ$2,TODAY()),2,2))"),"")</f>
        <v/>
      </c>
      <c r="EK41" s="1" t="str">
        <f ca="1">IFERROR(__xludf.DUMMYFUNCTION("if(EK$2="""","""", index(GOOGLEFINANCE($B$41,""close"",EK$2,TODAY()),2,2))"),"")</f>
        <v/>
      </c>
      <c r="EL41" s="1" t="str">
        <f ca="1">IFERROR(__xludf.DUMMYFUNCTION("if(EL$2="""","""", index(GOOGLEFINANCE($B$41,""close"",EL$2,TODAY()),2,2))"),"")</f>
        <v/>
      </c>
      <c r="EM41" s="1" t="str">
        <f ca="1">IFERROR(__xludf.DUMMYFUNCTION("if(EM$2="""","""", index(GOOGLEFINANCE($B$41,""close"",EM$2,TODAY()),2,2))"),"")</f>
        <v/>
      </c>
      <c r="EN41" s="1" t="str">
        <f ca="1">IFERROR(__xludf.DUMMYFUNCTION("if(EN$2="""","""", index(GOOGLEFINANCE($B$41,""close"",EN$2,TODAY()),2,2))"),"")</f>
        <v/>
      </c>
      <c r="EO41" s="1" t="str">
        <f ca="1">IFERROR(__xludf.DUMMYFUNCTION("if(EO$2="""","""", index(GOOGLEFINANCE($B$41,""close"",EO$2,TODAY()),2,2))"),"")</f>
        <v/>
      </c>
      <c r="EP41" s="1" t="str">
        <f ca="1">IFERROR(__xludf.DUMMYFUNCTION("if(EP$2="""","""", index(GOOGLEFINANCE($B$41,""close"",EP$2,TODAY()),2,2))"),"")</f>
        <v/>
      </c>
      <c r="EQ41" s="1" t="str">
        <f ca="1">IFERROR(__xludf.DUMMYFUNCTION("if(EQ$2="""","""", index(GOOGLEFINANCE($B$41,""close"",EQ$2,TODAY()),2,2))"),"")</f>
        <v/>
      </c>
      <c r="ER41" s="1" t="str">
        <f ca="1">IFERROR(__xludf.DUMMYFUNCTION("if(ER$2="""","""", index(GOOGLEFINANCE($B$41,""close"",ER$2,TODAY()),2,2))"),"")</f>
        <v/>
      </c>
      <c r="ES41" s="1" t="str">
        <f ca="1">IFERROR(__xludf.DUMMYFUNCTION("if(ES$2="""","""", index(GOOGLEFINANCE($B$41,""close"",ES$2,TODAY()),2,2))"),"")</f>
        <v/>
      </c>
      <c r="ET41" s="1" t="str">
        <f ca="1">IFERROR(__xludf.DUMMYFUNCTION("if(ET$2="""","""", index(GOOGLEFINANCE($B$41,""close"",ET$2,TODAY()),2,2))"),"")</f>
        <v/>
      </c>
      <c r="EU41" s="1" t="str">
        <f ca="1">IFERROR(__xludf.DUMMYFUNCTION("if(EU$2="""","""", index(GOOGLEFINANCE($B$41,""close"",EU$2,TODAY()),2,2))"),"")</f>
        <v/>
      </c>
      <c r="EV41" s="1" t="str">
        <f ca="1">IFERROR(__xludf.DUMMYFUNCTION("if(EV$2="""","""", index(GOOGLEFINANCE($B$41,""close"",EV$2,TODAY()),2,2))"),"")</f>
        <v/>
      </c>
      <c r="EW41" s="1" t="str">
        <f ca="1">IFERROR(__xludf.DUMMYFUNCTION("if(EW$2="""","""", index(GOOGLEFINANCE($B$41,""close"",EW$2,TODAY()),2,2))"),"")</f>
        <v/>
      </c>
      <c r="EX41" s="1" t="str">
        <f ca="1">IFERROR(__xludf.DUMMYFUNCTION("if(EX$2="""","""", index(GOOGLEFINANCE($B$41,""close"",EX$2,TODAY()),2,2))"),"")</f>
        <v/>
      </c>
      <c r="EY41" s="1" t="str">
        <f ca="1">IFERROR(__xludf.DUMMYFUNCTION("if(EY$2="""","""", index(GOOGLEFINANCE($B$41,""close"",EY$2,TODAY()),2,2))"),"")</f>
        <v/>
      </c>
      <c r="EZ41" s="1" t="str">
        <f ca="1">IFERROR(__xludf.DUMMYFUNCTION("if(EZ$2="""","""", index(GOOGLEFINANCE($B$41,""close"",EZ$2,TODAY()),2,2))"),"")</f>
        <v/>
      </c>
      <c r="FA41" s="1" t="str">
        <f ca="1">IFERROR(__xludf.DUMMYFUNCTION("if(FA$2="""","""", index(GOOGLEFINANCE($B$41,""close"",FA$2,TODAY()),2,2))"),"")</f>
        <v/>
      </c>
      <c r="FB41" s="1" t="str">
        <f ca="1">IFERROR(__xludf.DUMMYFUNCTION("if(FB$2="""","""", index(GOOGLEFINANCE($B$41,""close"",FB$2,TODAY()),2,2))"),"")</f>
        <v/>
      </c>
      <c r="FC41" s="1" t="str">
        <f ca="1">IFERROR(__xludf.DUMMYFUNCTION("if(FC$2="""","""", index(GOOGLEFINANCE($B$41,""close"",FC$2,TODAY()),2,2))"),"")</f>
        <v/>
      </c>
      <c r="FD41" s="1" t="str">
        <f ca="1">IFERROR(__xludf.DUMMYFUNCTION("if(FD$2="""","""", index(GOOGLEFINANCE($B$41,""close"",FD$2,TODAY()),2,2))"),"")</f>
        <v/>
      </c>
      <c r="FE41" s="1" t="str">
        <f ca="1">IFERROR(__xludf.DUMMYFUNCTION("if(FE$2="""","""", index(GOOGLEFINANCE($B$41,""close"",FE$2,TODAY()),2,2))"),"")</f>
        <v/>
      </c>
      <c r="FF41" s="1" t="str">
        <f ca="1">IFERROR(__xludf.DUMMYFUNCTION("if(FF$2="""","""", index(GOOGLEFINANCE($B$41,""close"",FF$2,TODAY()),2,2))"),"")</f>
        <v/>
      </c>
      <c r="FG41" s="1" t="str">
        <f ca="1">IFERROR(__xludf.DUMMYFUNCTION("if(FG$2="""","""", index(GOOGLEFINANCE($B$41,""close"",FG$2,TODAY()),2,2))"),"")</f>
        <v/>
      </c>
      <c r="FH41" s="1" t="str">
        <f ca="1">IFERROR(__xludf.DUMMYFUNCTION("if(FH$2="""","""", index(GOOGLEFINANCE($B$41,""close"",FH$2,TODAY()),2,2))"),"")</f>
        <v/>
      </c>
      <c r="FI41" s="1" t="str">
        <f ca="1">IFERROR(__xludf.DUMMYFUNCTION("if(FI$2="""","""", index(GOOGLEFINANCE($B$41,""close"",FI$2,TODAY()),2,2))"),"")</f>
        <v/>
      </c>
      <c r="FJ41" s="1" t="str">
        <f ca="1">IFERROR(__xludf.DUMMYFUNCTION("if(FJ$2="""","""", index(GOOGLEFINANCE($B$41,""close"",FJ$2,TODAY()),2,2))"),"")</f>
        <v/>
      </c>
      <c r="FK41" s="1" t="str">
        <f ca="1">IFERROR(__xludf.DUMMYFUNCTION("if(FK$2="""","""", index(GOOGLEFINANCE($B$41,""close"",FK$2,TODAY()),2,2))"),"")</f>
        <v/>
      </c>
      <c r="FL41" s="1" t="str">
        <f ca="1">IFERROR(__xludf.DUMMYFUNCTION("if(FL$2="""","""", index(GOOGLEFINANCE($B$41,""close"",FL$2,TODAY()),2,2))"),"")</f>
        <v/>
      </c>
      <c r="FM41" s="1" t="str">
        <f ca="1">IFERROR(__xludf.DUMMYFUNCTION("if(FM$2="""","""", index(GOOGLEFINANCE($B$41,""close"",FM$2,TODAY()),2,2))"),"")</f>
        <v/>
      </c>
      <c r="FN41" s="1" t="str">
        <f ca="1">IFERROR(__xludf.DUMMYFUNCTION("if(FN$2="""","""", index(GOOGLEFINANCE($B$41,""close"",FN$2,TODAY()),2,2))"),"")</f>
        <v/>
      </c>
      <c r="FO41" s="1" t="str">
        <f ca="1">IFERROR(__xludf.DUMMYFUNCTION("if(FO$2="""","""", index(GOOGLEFINANCE($B$41,""close"",FO$2,TODAY()),2,2))"),"")</f>
        <v/>
      </c>
      <c r="FP41" s="1" t="str">
        <f ca="1">IFERROR(__xludf.DUMMYFUNCTION("if(FP$2="""","""", index(GOOGLEFINANCE($B$41,""close"",FP$2,TODAY()),2,2))"),"")</f>
        <v/>
      </c>
      <c r="FQ41" s="1" t="str">
        <f ca="1">IFERROR(__xludf.DUMMYFUNCTION("if(FQ$2="""","""", index(GOOGLEFINANCE($B$41,""close"",FQ$2,TODAY()),2,2))"),"")</f>
        <v/>
      </c>
      <c r="FR41" s="1" t="str">
        <f ca="1">IFERROR(__xludf.DUMMYFUNCTION("if(FR$2="""","""", index(GOOGLEFINANCE($B$41,""close"",FR$2,TODAY()),2,2))"),"")</f>
        <v/>
      </c>
      <c r="FS41" s="1" t="str">
        <f ca="1">IFERROR(__xludf.DUMMYFUNCTION("if(FS$2="""","""", index(GOOGLEFINANCE($B$41,""close"",FS$2,TODAY()),2,2))"),"")</f>
        <v/>
      </c>
      <c r="FT41" s="1" t="str">
        <f ca="1">IFERROR(__xludf.DUMMYFUNCTION("if(FT$2="""","""", index(GOOGLEFINANCE($B$41,""close"",FT$2,TODAY()),2,2))"),"")</f>
        <v/>
      </c>
      <c r="FU41" s="1" t="str">
        <f ca="1">IFERROR(__xludf.DUMMYFUNCTION("if(FU$2="""","""", index(GOOGLEFINANCE($B$41,""close"",FU$2,TODAY()),2,2))"),"")</f>
        <v/>
      </c>
      <c r="FV41" s="1" t="str">
        <f ca="1">IFERROR(__xludf.DUMMYFUNCTION("if(FV$2="""","""", index(GOOGLEFINANCE($B$41,""close"",FV$2,TODAY()),2,2))"),"")</f>
        <v/>
      </c>
      <c r="FW41" s="1" t="str">
        <f ca="1">IFERROR(__xludf.DUMMYFUNCTION("if(FW$2="""","""", index(GOOGLEFINANCE($B$41,""close"",FW$2,TODAY()),2,2))"),"")</f>
        <v/>
      </c>
      <c r="FX41" s="1" t="str">
        <f ca="1">IFERROR(__xludf.DUMMYFUNCTION("if(FX$2="""","""", index(GOOGLEFINANCE($B$41,""close"",FX$2,TODAY()),2,2))"),"")</f>
        <v/>
      </c>
      <c r="FY41" s="1" t="str">
        <f ca="1">IFERROR(__xludf.DUMMYFUNCTION("if(FY$2="""","""", index(GOOGLEFINANCE($B$41,""close"",FY$2,TODAY()),2,2))"),"")</f>
        <v/>
      </c>
      <c r="FZ41" s="1" t="str">
        <f ca="1">IFERROR(__xludf.DUMMYFUNCTION("if(FZ$2="""","""", index(GOOGLEFINANCE($B$41,""close"",FZ$2,TODAY()),2,2))"),"")</f>
        <v/>
      </c>
      <c r="GA41" s="1" t="str">
        <f ca="1">IFERROR(__xludf.DUMMYFUNCTION("if(GA$2="""","""", index(GOOGLEFINANCE($B$41,""close"",GA$2,TODAY()),2,2))"),"")</f>
        <v/>
      </c>
      <c r="GB41" s="1" t="str">
        <f ca="1">IFERROR(__xludf.DUMMYFUNCTION("if(GB$2="""","""", index(GOOGLEFINANCE($B$41,""close"",GB$2,TODAY()),2,2))"),"")</f>
        <v/>
      </c>
      <c r="GC41" s="1" t="str">
        <f ca="1">IFERROR(__xludf.DUMMYFUNCTION("if(GC$2="""","""", index(GOOGLEFINANCE($B$41,""close"",GC$2,TODAY()),2,2))"),"")</f>
        <v/>
      </c>
      <c r="GD41" s="1" t="str">
        <f ca="1">IFERROR(__xludf.DUMMYFUNCTION("if(GD$2="""","""", index(GOOGLEFINANCE($B$41,""close"",GD$2,TODAY()),2,2))"),"")</f>
        <v/>
      </c>
      <c r="GE41" s="1" t="str">
        <f ca="1">IFERROR(__xludf.DUMMYFUNCTION("if(GE$2="""","""", index(GOOGLEFINANCE($B$41,""close"",GE$2,TODAY()),2,2))"),"")</f>
        <v/>
      </c>
      <c r="GF41" s="1" t="str">
        <f ca="1">IFERROR(__xludf.DUMMYFUNCTION("if(GF$2="""","""", index(GOOGLEFINANCE($B$41,""close"",GF$2,TODAY()),2,2))"),"")</f>
        <v/>
      </c>
      <c r="GG41" s="1" t="str">
        <f ca="1">IFERROR(__xludf.DUMMYFUNCTION("if(GG$2="""","""", index(GOOGLEFINANCE($B$41,""close"",GG$2,TODAY()),2,2))"),"")</f>
        <v/>
      </c>
      <c r="GH41" s="1" t="str">
        <f ca="1">IFERROR(__xludf.DUMMYFUNCTION("if(GH$2="""","""", index(GOOGLEFINANCE($B$41,""close"",GH$2,TODAY()),2,2))"),"")</f>
        <v/>
      </c>
      <c r="GI41" s="1" t="str">
        <f ca="1">IFERROR(__xludf.DUMMYFUNCTION("if(GI$2="""","""", index(GOOGLEFINANCE($B$41,""close"",GI$2,TODAY()),2,2))"),"")</f>
        <v/>
      </c>
      <c r="GJ41" s="1" t="str">
        <f ca="1">IFERROR(__xludf.DUMMYFUNCTION("if(GJ$2="""","""", index(GOOGLEFINANCE($B$41,""close"",GJ$2,TODAY()),2,2))"),"")</f>
        <v/>
      </c>
      <c r="GK41" s="1" t="str">
        <f ca="1">IFERROR(__xludf.DUMMYFUNCTION("if(GK$2="""","""", index(GOOGLEFINANCE($B$41,""close"",GK$2,TODAY()),2,2))"),"")</f>
        <v/>
      </c>
      <c r="GL41" s="1" t="str">
        <f ca="1">IFERROR(__xludf.DUMMYFUNCTION("if(GL$2="""","""", index(GOOGLEFINANCE($B$41,""close"",GL$2,TODAY()),2,2))"),"")</f>
        <v/>
      </c>
      <c r="GM41" s="1" t="str">
        <f ca="1">IFERROR(__xludf.DUMMYFUNCTION("if(GM$2="""","""", index(GOOGLEFINANCE($B$41,""close"",GM$2,TODAY()),2,2))"),"")</f>
        <v/>
      </c>
      <c r="GN41" s="1" t="str">
        <f ca="1">IFERROR(__xludf.DUMMYFUNCTION("if(GN$2="""","""", index(GOOGLEFINANCE($B$41,""close"",GN$2,TODAY()),2,2))"),"")</f>
        <v/>
      </c>
      <c r="GO41" s="1" t="str">
        <f ca="1">IFERROR(__xludf.DUMMYFUNCTION("if(GO$2="""","""", index(GOOGLEFINANCE($B$41,""close"",GO$2,TODAY()),2,2))"),"")</f>
        <v/>
      </c>
      <c r="GP41" s="1" t="str">
        <f ca="1">IFERROR(__xludf.DUMMYFUNCTION("if(GP$2="""","""", index(GOOGLEFINANCE($B$41,""close"",GP$2,TODAY()),2,2))"),"")</f>
        <v/>
      </c>
      <c r="GQ41" s="1" t="str">
        <f ca="1">IFERROR(__xludf.DUMMYFUNCTION("if(GQ$2="""","""", index(GOOGLEFINANCE($B$41,""close"",GQ$2,TODAY()),2,2))"),"")</f>
        <v/>
      </c>
      <c r="GR41" s="1" t="str">
        <f ca="1">IFERROR(__xludf.DUMMYFUNCTION("if(GR$2="""","""", index(GOOGLEFINANCE($B$41,""close"",GR$2,TODAY()),2,2))"),"")</f>
        <v/>
      </c>
      <c r="GS41" s="1" t="str">
        <f ca="1">IFERROR(__xludf.DUMMYFUNCTION("if(GS$2="""","""", index(GOOGLEFINANCE($B$41,""close"",GS$2,TODAY()),2,2))"),"")</f>
        <v/>
      </c>
      <c r="GT41" s="1" t="str">
        <f ca="1">IFERROR(__xludf.DUMMYFUNCTION("if(GT$2="""","""", index(GOOGLEFINANCE($B$41,""close"",GT$2,TODAY()),2,2))"),"")</f>
        <v/>
      </c>
      <c r="GU41" s="1" t="str">
        <f ca="1">IFERROR(__xludf.DUMMYFUNCTION("if(GU$2="""","""", index(GOOGLEFINANCE($B$41,""close"",GU$2,TODAY()),2,2))"),"")</f>
        <v/>
      </c>
      <c r="GV41" s="1" t="str">
        <f ca="1">IFERROR(__xludf.DUMMYFUNCTION("if(GV$2="""","""", index(GOOGLEFINANCE($B$41,""close"",GV$2,TODAY()),2,2))"),"")</f>
        <v/>
      </c>
      <c r="GW41" s="1" t="str">
        <f ca="1">IFERROR(__xludf.DUMMYFUNCTION("if(GW$2="""","""", index(GOOGLEFINANCE($B$41,""close"",GW$2,TODAY()),2,2))"),"")</f>
        <v/>
      </c>
      <c r="GX41" s="1" t="str">
        <f ca="1">IFERROR(__xludf.DUMMYFUNCTION("if(GX$2="""","""", index(GOOGLEFINANCE($B$41,""close"",GX$2,TODAY()),2,2))"),"")</f>
        <v/>
      </c>
      <c r="GY41" s="1" t="str">
        <f ca="1">IFERROR(__xludf.DUMMYFUNCTION("if(GY$2="""","""", index(GOOGLEFINANCE($B$41,""close"",GY$2,TODAY()),2,2))"),"")</f>
        <v/>
      </c>
      <c r="GZ41" s="1" t="str">
        <f ca="1">IFERROR(__xludf.DUMMYFUNCTION("if(GZ$2="""","""", index(GOOGLEFINANCE($B$41,""close"",GZ$2,TODAY()),2,2))"),"")</f>
        <v/>
      </c>
      <c r="HA41" s="1" t="str">
        <f ca="1">IFERROR(__xludf.DUMMYFUNCTION("if(HA$2="""","""", index(GOOGLEFINANCE($B$41,""close"",HA$2,TODAY()),2,2))"),"")</f>
        <v/>
      </c>
      <c r="HB41" s="1" t="str">
        <f ca="1">IFERROR(__xludf.DUMMYFUNCTION("if(HB$2="""","""", index(GOOGLEFINANCE($B$41,""close"",HB$2,TODAY()),2,2))"),"")</f>
        <v/>
      </c>
      <c r="HC41" s="1" t="str">
        <f ca="1">IFERROR(__xludf.DUMMYFUNCTION("if(HC$2="""","""", index(GOOGLEFINANCE($B$41,""close"",HC$2,TODAY()),2,2))"),"")</f>
        <v/>
      </c>
      <c r="HD41" s="1" t="str">
        <f ca="1">IFERROR(__xludf.DUMMYFUNCTION("if(HD$2="""","""", index(GOOGLEFINANCE($B$41,""close"",HD$2,TODAY()),2,2))"),"")</f>
        <v/>
      </c>
      <c r="HE41" s="1" t="str">
        <f ca="1">IFERROR(__xludf.DUMMYFUNCTION("if(HE$2="""","""", index(GOOGLEFINANCE($B$41,""close"",HE$2,TODAY()),2,2))"),"")</f>
        <v/>
      </c>
      <c r="HF41" s="1" t="str">
        <f ca="1">IFERROR(__xludf.DUMMYFUNCTION("if(HF$2="""","""", index(GOOGLEFINANCE($B$41,""close"",HF$2,TODAY()),2,2))"),"")</f>
        <v/>
      </c>
      <c r="HG41" s="1" t="str">
        <f ca="1">IFERROR(__xludf.DUMMYFUNCTION("if(HG$2="""","""", index(GOOGLEFINANCE($B$41,""close"",HG$2,TODAY()),2,2))"),"")</f>
        <v/>
      </c>
      <c r="HH41" s="1" t="str">
        <f ca="1">IFERROR(__xludf.DUMMYFUNCTION("if(HH$2="""","""", index(GOOGLEFINANCE($B$41,""close"",HH$2,TODAY()),2,2))"),"")</f>
        <v/>
      </c>
      <c r="HI41" s="1" t="str">
        <f ca="1">IFERROR(__xludf.DUMMYFUNCTION("if(HI$2="""","""", index(GOOGLEFINANCE($B$41,""close"",HI$2,TODAY()),2,2))"),"")</f>
        <v/>
      </c>
      <c r="HJ41" s="1" t="str">
        <f ca="1">IFERROR(__xludf.DUMMYFUNCTION("if(HJ$2="""","""", index(GOOGLEFINANCE($B$41,""close"",HJ$2,TODAY()),2,2))"),"")</f>
        <v/>
      </c>
      <c r="HK41" s="1" t="str">
        <f ca="1">IFERROR(__xludf.DUMMYFUNCTION("if(HK$2="""","""", index(GOOGLEFINANCE($B$41,""close"",HK$2,TODAY()),2,2))"),"")</f>
        <v/>
      </c>
      <c r="HL41" s="1" t="str">
        <f ca="1">IFERROR(__xludf.DUMMYFUNCTION("if(HL$2="""","""", index(GOOGLEFINANCE($B$41,""close"",HL$2,TODAY()),2,2))"),"")</f>
        <v/>
      </c>
      <c r="HM41" s="1" t="str">
        <f ca="1">IFERROR(__xludf.DUMMYFUNCTION("if(HM$2="""","""", index(GOOGLEFINANCE($B$41,""close"",HM$2,TODAY()),2,2))"),"")</f>
        <v/>
      </c>
      <c r="HN41" s="1" t="str">
        <f ca="1">IFERROR(__xludf.DUMMYFUNCTION("if(HN$2="""","""", index(GOOGLEFINANCE($B$41,""close"",HN$2,TODAY()),2,2))"),"")</f>
        <v/>
      </c>
      <c r="HO41" s="1" t="str">
        <f ca="1">IFERROR(__xludf.DUMMYFUNCTION("if(HO$2="""","""", index(GOOGLEFINANCE($B$41,""close"",HO$2,TODAY()),2,2))"),"")</f>
        <v/>
      </c>
      <c r="HP41" s="1" t="str">
        <f ca="1">IFERROR(__xludf.DUMMYFUNCTION("if(HP$2="""","""", index(GOOGLEFINANCE($B$41,""close"",HP$2,TODAY()),2,2))"),"")</f>
        <v/>
      </c>
      <c r="HQ41" s="1" t="str">
        <f ca="1">IFERROR(__xludf.DUMMYFUNCTION("if(HQ$2="""","""", index(GOOGLEFINANCE($B$41,""close"",HQ$2,TODAY()),2,2))"),"")</f>
        <v/>
      </c>
      <c r="HR41" s="1" t="str">
        <f ca="1">IFERROR(__xludf.DUMMYFUNCTION("if(HR$2="""","""", index(GOOGLEFINANCE($B$41,""close"",HR$2,TODAY()),2,2))"),"")</f>
        <v/>
      </c>
      <c r="HS41" s="1" t="str">
        <f ca="1">IFERROR(__xludf.DUMMYFUNCTION("if(HS$2="""","""", index(GOOGLEFINANCE($B$41,""close"",HS$2,TODAY()),2,2))"),"")</f>
        <v/>
      </c>
      <c r="HT41" s="1" t="str">
        <f ca="1">IFERROR(__xludf.DUMMYFUNCTION("if(HT$2="""","""", index(GOOGLEFINANCE($B$41,""close"",HT$2,TODAY()),2,2))"),"")</f>
        <v/>
      </c>
      <c r="HU41" s="1" t="str">
        <f ca="1">IFERROR(__xludf.DUMMYFUNCTION("if(HU$2="""","""", index(GOOGLEFINANCE($B$41,""close"",HU$2,TODAY()),2,2))"),"")</f>
        <v/>
      </c>
      <c r="HV41" s="1" t="str">
        <f ca="1">IFERROR(__xludf.DUMMYFUNCTION("if(HV$2="""","""", index(GOOGLEFINANCE($B$41,""close"",HV$2,TODAY()),2,2))"),"")</f>
        <v/>
      </c>
      <c r="HW41" s="1" t="str">
        <f ca="1">IFERROR(__xludf.DUMMYFUNCTION("if(HW$2="""","""", index(GOOGLEFINANCE($B$41,""close"",HW$2,TODAY()),2,2))"),"")</f>
        <v/>
      </c>
      <c r="HX41" s="1" t="str">
        <f ca="1">IFERROR(__xludf.DUMMYFUNCTION("if(HX$2="""","""", index(GOOGLEFINANCE($B$41,""close"",HX$2,TODAY()),2,2))"),"")</f>
        <v/>
      </c>
      <c r="HY41" s="1" t="str">
        <f ca="1">IFERROR(__xludf.DUMMYFUNCTION("if(HY$2="""","""", index(GOOGLEFINANCE($B$41,""close"",HY$2,TODAY()),2,2))"),"")</f>
        <v/>
      </c>
      <c r="HZ41" s="1" t="str">
        <f ca="1">IFERROR(__xludf.DUMMYFUNCTION("if(HZ$2="""","""", index(GOOGLEFINANCE($B$41,""close"",HZ$2,TODAY()),2,2))"),"")</f>
        <v/>
      </c>
      <c r="IA41" s="1" t="str">
        <f ca="1">IFERROR(__xludf.DUMMYFUNCTION("if(IA$2="""","""", index(GOOGLEFINANCE($B$41,""close"",IA$2,TODAY()),2,2))"),"")</f>
        <v/>
      </c>
      <c r="IB41" s="1" t="str">
        <f ca="1">IFERROR(__xludf.DUMMYFUNCTION("if(IB$2="""","""", index(GOOGLEFINANCE($B$41,""close"",IB$2,TODAY()),2,2))"),"")</f>
        <v/>
      </c>
      <c r="IC41" s="1" t="str">
        <f ca="1">IFERROR(__xludf.DUMMYFUNCTION("if(IC$2="""","""", index(GOOGLEFINANCE($B$41,""close"",IC$2,TODAY()),2,2))"),"")</f>
        <v/>
      </c>
      <c r="ID41" s="1" t="str">
        <f ca="1">IFERROR(__xludf.DUMMYFUNCTION("if(ID$2="""","""", index(GOOGLEFINANCE($B$41,""close"",ID$2,TODAY()),2,2))"),"")</f>
        <v/>
      </c>
      <c r="IE41" s="1" t="str">
        <f ca="1">IFERROR(__xludf.DUMMYFUNCTION("if(IE$2="""","""", index(GOOGLEFINANCE($B$41,""close"",IE$2,TODAY()),2,2))"),"")</f>
        <v/>
      </c>
      <c r="IF41" s="1" t="str">
        <f ca="1">IFERROR(__xludf.DUMMYFUNCTION("if(IF$2="""","""", index(GOOGLEFINANCE($B$41,""close"",IF$2,TODAY()),2,2))"),"")</f>
        <v/>
      </c>
      <c r="IG41" s="1" t="str">
        <f ca="1">IFERROR(__xludf.DUMMYFUNCTION("if(IG$2="""","""", index(GOOGLEFINANCE($B$41,""close"",IG$2,TODAY()),2,2))"),"")</f>
        <v/>
      </c>
      <c r="IH41" s="1" t="str">
        <f ca="1">IFERROR(__xludf.DUMMYFUNCTION("if(IH$2="""","""", index(GOOGLEFINANCE($B$41,""close"",IH$2,TODAY()),2,2))"),"")</f>
        <v/>
      </c>
      <c r="II41" s="1" t="str">
        <f ca="1">IFERROR(__xludf.DUMMYFUNCTION("if(II$2="""","""", index(GOOGLEFINANCE($B$41,""close"",II$2,TODAY()),2,2))"),"")</f>
        <v/>
      </c>
      <c r="IJ41" s="1" t="str">
        <f ca="1">IFERROR(__xludf.DUMMYFUNCTION("if(IJ$2="""","""", index(GOOGLEFINANCE($B$41,""close"",IJ$2,TODAY()),2,2))"),"")</f>
        <v/>
      </c>
      <c r="IK41" s="1" t="str">
        <f ca="1">IFERROR(__xludf.DUMMYFUNCTION("if(IK$2="""","""", index(GOOGLEFINANCE($B$41,""close"",IK$2,TODAY()),2,2))"),"")</f>
        <v/>
      </c>
      <c r="IL41" s="1" t="str">
        <f ca="1">IFERROR(__xludf.DUMMYFUNCTION("if(IL$2="""","""", index(GOOGLEFINANCE($B$41,""close"",IL$2,TODAY()),2,2))"),"")</f>
        <v/>
      </c>
      <c r="IM41" s="1" t="str">
        <f ca="1">IFERROR(__xludf.DUMMYFUNCTION("if(IM$2="""","""", index(GOOGLEFINANCE($B$41,""close"",IM$2,TODAY()),2,2))"),"")</f>
        <v/>
      </c>
      <c r="IN41" s="1" t="str">
        <f ca="1">IFERROR(__xludf.DUMMYFUNCTION("if(IN$2="""","""", index(GOOGLEFINANCE($B$41,""close"",IN$2,TODAY()),2,2))"),"")</f>
        <v/>
      </c>
      <c r="IO41" s="1" t="str">
        <f ca="1">IFERROR(__xludf.DUMMYFUNCTION("if(IO$2="""","""", index(GOOGLEFINANCE($B$41,""close"",IO$2,TODAY()),2,2))"),"")</f>
        <v/>
      </c>
      <c r="IP41" s="1" t="str">
        <f ca="1">IFERROR(__xludf.DUMMYFUNCTION("if(IP$2="""","""", index(GOOGLEFINANCE($B$41,""close"",IP$2,TODAY()),2,2))"),"")</f>
        <v/>
      </c>
      <c r="IQ41" s="1" t="str">
        <f ca="1">IFERROR(__xludf.DUMMYFUNCTION("if(IQ$2="""","""", index(GOOGLEFINANCE($B$41,""close"",IQ$2,TODAY()),2,2))"),"")</f>
        <v/>
      </c>
      <c r="IR41" s="1" t="str">
        <f ca="1">IFERROR(__xludf.DUMMYFUNCTION("if(IR$2="""","""", index(GOOGLEFINANCE($B$41,""close"",IR$2,TODAY()),2,2))"),"")</f>
        <v/>
      </c>
      <c r="IS41" s="1" t="str">
        <f ca="1">IFERROR(__xludf.DUMMYFUNCTION("if(IS$2="""","""", index(GOOGLEFINANCE($B$41,""close"",IS$2,TODAY()),2,2))"),"")</f>
        <v/>
      </c>
      <c r="IT41" s="1" t="str">
        <f ca="1">IFERROR(__xludf.DUMMYFUNCTION("if(IT$2="""","""", index(GOOGLEFINANCE($B$41,""close"",IT$2,TODAY()),2,2))"),"")</f>
        <v/>
      </c>
      <c r="IU41" s="1" t="str">
        <f ca="1">IFERROR(__xludf.DUMMYFUNCTION("if(IU$2="""","""", index(GOOGLEFINANCE($B$41,""close"",IU$2,TODAY()),2,2))"),"")</f>
        <v/>
      </c>
      <c r="IV41" s="1" t="str">
        <f ca="1">IFERROR(__xludf.DUMMYFUNCTION("if(IV$2="""","""", index(GOOGLEFINANCE($B$41,""close"",IV$2,TODAY()),2,2))"),"")</f>
        <v/>
      </c>
      <c r="IW41" s="1" t="str">
        <f ca="1">IFERROR(__xludf.DUMMYFUNCTION("if(IW$2="""","""", index(GOOGLEFINANCE($B$41,""close"",IW$2,TODAY()),2,2))"),"")</f>
        <v/>
      </c>
      <c r="IX41" s="1" t="str">
        <f ca="1">IFERROR(__xludf.DUMMYFUNCTION("if(IX$2="""","""", index(GOOGLEFINANCE($B$41,""close"",IX$2,TODAY()),2,2))"),"")</f>
        <v/>
      </c>
      <c r="IY41" s="1" t="str">
        <f ca="1">IFERROR(__xludf.DUMMYFUNCTION("if(IY$2="""","""", index(GOOGLEFINANCE($B$41,""close"",IY$2,TODAY()),2,2))"),"")</f>
        <v/>
      </c>
      <c r="IZ41" s="1" t="str">
        <f ca="1">IFERROR(__xludf.DUMMYFUNCTION("if(IZ$2="""","""", index(GOOGLEFINANCE($B$41,""close"",IZ$2,TODAY()),2,2))"),"")</f>
        <v/>
      </c>
      <c r="JA41" s="1" t="str">
        <f ca="1">IFERROR(__xludf.DUMMYFUNCTION("if(JA$2="""","""", index(GOOGLEFINANCE($B$41,""close"",JA$2,TODAY()),2,2))"),"")</f>
        <v/>
      </c>
      <c r="JB41" s="1" t="str">
        <f ca="1">IFERROR(__xludf.DUMMYFUNCTION("if(JB$2="""","""", index(GOOGLEFINANCE($B$41,""close"",JB$2,TODAY()),2,2))"),"")</f>
        <v/>
      </c>
      <c r="JC41" s="1" t="str">
        <f ca="1">IFERROR(__xludf.DUMMYFUNCTION("if(JC$2="""","""", index(GOOGLEFINANCE($B$41,""close"",JC$2,TODAY()),2,2))"),"")</f>
        <v/>
      </c>
      <c r="JD41" s="1" t="str">
        <f ca="1">IFERROR(__xludf.DUMMYFUNCTION("if(JD$2="""","""", index(GOOGLEFINANCE($B$41,""close"",JD$2,TODAY()),2,2))"),"")</f>
        <v/>
      </c>
      <c r="JE41" s="1" t="str">
        <f ca="1">IFERROR(__xludf.DUMMYFUNCTION("if(JE$2="""","""", index(GOOGLEFINANCE($B$41,""close"",JE$2,TODAY()),2,2))"),"")</f>
        <v/>
      </c>
      <c r="JF41" s="1" t="str">
        <f ca="1">IFERROR(__xludf.DUMMYFUNCTION("if(JF$2="""","""", index(GOOGLEFINANCE($B$41,""close"",JF$2,TODAY()),2,2))"),"")</f>
        <v/>
      </c>
      <c r="JG41" s="1" t="str">
        <f ca="1">IFERROR(__xludf.DUMMYFUNCTION("if(JG$2="""","""", index(GOOGLEFINANCE($B$41,""close"",JG$2,TODAY()),2,2))"),"")</f>
        <v/>
      </c>
      <c r="JH41" s="1" t="str">
        <f ca="1">IFERROR(__xludf.DUMMYFUNCTION("if(JH$2="""","""", index(GOOGLEFINANCE($B$41,""close"",JH$2,TODAY()),2,2))"),"")</f>
        <v/>
      </c>
      <c r="JI41" s="1" t="str">
        <f ca="1">IFERROR(__xludf.DUMMYFUNCTION("if(JI$2="""","""", index(GOOGLEFINANCE($B$41,""close"",JI$2,TODAY()),2,2))"),"")</f>
        <v/>
      </c>
      <c r="JJ41" s="1" t="str">
        <f ca="1">IFERROR(__xludf.DUMMYFUNCTION("if(JJ$2="""","""", index(GOOGLEFINANCE($B$41,""close"",JJ$2,TODAY()),2,2))"),"")</f>
        <v/>
      </c>
      <c r="JK41" s="1" t="str">
        <f ca="1">IFERROR(__xludf.DUMMYFUNCTION("if(JK$2="""","""", index(GOOGLEFINANCE($B$41,""close"",JK$2,TODAY()),2,2))"),"")</f>
        <v/>
      </c>
      <c r="JL41" s="1" t="str">
        <f ca="1">IFERROR(__xludf.DUMMYFUNCTION("if(JL$2="""","""", index(GOOGLEFINANCE($B$41,""close"",JL$2,TODAY()),2,2))"),"")</f>
        <v/>
      </c>
      <c r="JM41" s="1" t="str">
        <f ca="1">IFERROR(__xludf.DUMMYFUNCTION("if(JM$2="""","""", index(GOOGLEFINANCE($B$41,""close"",JM$2,TODAY()),2,2))"),"")</f>
        <v/>
      </c>
      <c r="JN41" s="1" t="str">
        <f ca="1">IFERROR(__xludf.DUMMYFUNCTION("if(JN$2="""","""", index(GOOGLEFINANCE($B$41,""close"",JN$2,TODAY()),2,2))"),"")</f>
        <v/>
      </c>
      <c r="JO41" s="1" t="str">
        <f ca="1">IFERROR(__xludf.DUMMYFUNCTION("if(JO$2="""","""", index(GOOGLEFINANCE($B$41,""close"",JO$2,TODAY()),2,2))"),"")</f>
        <v/>
      </c>
      <c r="JP41" s="1" t="str">
        <f ca="1">IFERROR(__xludf.DUMMYFUNCTION("if(JP$2="""","""", index(GOOGLEFINANCE($B$41,""close"",JP$2,TODAY()),2,2))"),"")</f>
        <v/>
      </c>
      <c r="JQ41" s="1" t="str">
        <f ca="1">IFERROR(__xludf.DUMMYFUNCTION("if(JQ$2="""","""", index(GOOGLEFINANCE($B$41,""close"",JQ$2,TODAY()),2,2))"),"")</f>
        <v/>
      </c>
      <c r="JR41" s="1" t="str">
        <f ca="1">IFERROR(__xludf.DUMMYFUNCTION("if(JR$2="""","""", index(GOOGLEFINANCE($B$41,""close"",JR$2,TODAY()),2,2))"),"")</f>
        <v/>
      </c>
      <c r="JS41" s="1" t="str">
        <f ca="1">IFERROR(__xludf.DUMMYFUNCTION("if(JS$2="""","""", index(GOOGLEFINANCE($B$41,""close"",JS$2,TODAY()),2,2))"),"")</f>
        <v/>
      </c>
      <c r="JT41" s="1" t="str">
        <f ca="1">IFERROR(__xludf.DUMMYFUNCTION("if(JT$2="""","""", index(GOOGLEFINANCE($B$41,""close"",JT$2,TODAY()),2,2))"),"")</f>
        <v/>
      </c>
      <c r="JU41" s="1" t="str">
        <f ca="1">IFERROR(__xludf.DUMMYFUNCTION("if(JU$2="""","""", index(GOOGLEFINANCE($B$41,""close"",JU$2,TODAY()),2,2))"),"")</f>
        <v/>
      </c>
      <c r="JV41" s="1" t="str">
        <f ca="1">IFERROR(__xludf.DUMMYFUNCTION("if(JV$2="""","""", index(GOOGLEFINANCE($B$41,""close"",JV$2,TODAY()),2,2))"),"")</f>
        <v/>
      </c>
      <c r="JW41" s="1" t="str">
        <f ca="1">IFERROR(__xludf.DUMMYFUNCTION("if(JW$2="""","""", index(GOOGLEFINANCE($B$41,""close"",JW$2,TODAY()),2,2))"),"")</f>
        <v/>
      </c>
      <c r="JX41" s="1" t="str">
        <f ca="1">IFERROR(__xludf.DUMMYFUNCTION("if(JX$2="""","""", index(GOOGLEFINANCE($B$41,""close"",JX$2,TODAY()),2,2))"),"")</f>
        <v/>
      </c>
      <c r="JY41" s="1" t="str">
        <f ca="1">IFERROR(__xludf.DUMMYFUNCTION("if(JY$2="""","""", index(GOOGLEFINANCE($B$41,""close"",JY$2,TODAY()),2,2))"),"")</f>
        <v/>
      </c>
      <c r="JZ41" s="1" t="str">
        <f ca="1">IFERROR(__xludf.DUMMYFUNCTION("if(JZ$2="""","""", index(GOOGLEFINANCE($B$41,""close"",JZ$2,TODAY()),2,2))"),"")</f>
        <v/>
      </c>
      <c r="KA41" s="1" t="str">
        <f ca="1">IFERROR(__xludf.DUMMYFUNCTION("if(KA$2="""","""", index(GOOGLEFINANCE($B$41,""close"",KA$2,TODAY()),2,2))"),"")</f>
        <v/>
      </c>
      <c r="KB41" s="1" t="str">
        <f ca="1">IFERROR(__xludf.DUMMYFUNCTION("if(KB$2="""","""", index(GOOGLEFINANCE($B$41,""close"",KB$2,TODAY()),2,2))"),"")</f>
        <v/>
      </c>
      <c r="KC41" s="1" t="str">
        <f ca="1">IFERROR(__xludf.DUMMYFUNCTION("if(KC$2="""","""", index(GOOGLEFINANCE($B$41,""close"",KC$2,TODAY()),2,2))"),"")</f>
        <v/>
      </c>
      <c r="KD41" s="1" t="str">
        <f ca="1">IFERROR(__xludf.DUMMYFUNCTION("if(KD$2="""","""", index(GOOGLEFINANCE($B$41,""close"",KD$2,TODAY()),2,2))"),"")</f>
        <v/>
      </c>
      <c r="KE41" s="1" t="str">
        <f ca="1">IFERROR(__xludf.DUMMYFUNCTION("if(KE$2="""","""", index(GOOGLEFINANCE($B$41,""close"",KE$2,TODAY()),2,2))"),"")</f>
        <v/>
      </c>
      <c r="KF41" s="1" t="str">
        <f ca="1">IFERROR(__xludf.DUMMYFUNCTION("if(KF$2="""","""", index(GOOGLEFINANCE($B$41,""close"",KF$2,TODAY()),2,2))"),"")</f>
        <v/>
      </c>
      <c r="KG41" s="1" t="str">
        <f ca="1">IFERROR(__xludf.DUMMYFUNCTION("if(KG$2="""","""", index(GOOGLEFINANCE($B$41,""close"",KG$2,TODAY()),2,2))"),"")</f>
        <v/>
      </c>
    </row>
    <row r="42" spans="1:293" ht="15.75" customHeight="1">
      <c r="A42" s="18" t="s">
        <v>30</v>
      </c>
      <c r="B42" s="6" t="s">
        <v>84</v>
      </c>
      <c r="C42" s="1">
        <f ca="1">IFERROR(__xludf.DUMMYFUNCTION("if(C$2="""","""", index(GOOGLEFINANCE($B$42,""close"",C$2,TODAY()),2,2))"),10.15)</f>
        <v>10.15</v>
      </c>
      <c r="D42" s="1">
        <f ca="1">IFERROR(__xludf.DUMMYFUNCTION("if(D$2="""","""", index(GOOGLEFINANCE($B$42,""close"",D$2,TODAY()),2,2))"),10.76)</f>
        <v>10.76</v>
      </c>
      <c r="E42" s="1">
        <f ca="1">IFERROR(__xludf.DUMMYFUNCTION("if(E$2="""","""", index(GOOGLEFINANCE($B$42,""close"",E$2,TODAY()),2,2))"),10.76)</f>
        <v>10.76</v>
      </c>
      <c r="F42" s="1">
        <f ca="1">IFERROR(__xludf.DUMMYFUNCTION("if(F$2="""","""", index(GOOGLEFINANCE($B$42,""close"",F$2,TODAY()),2,2))"),10.88)</f>
        <v>10.88</v>
      </c>
      <c r="G42" s="1">
        <f ca="1">IFERROR(__xludf.DUMMYFUNCTION("if(G$2="""","""", index(GOOGLEFINANCE($B$42,""close"",G$2,TODAY()),2,2))"),10.93)</f>
        <v>10.93</v>
      </c>
      <c r="H42" s="1">
        <f ca="1">IFERROR(__xludf.DUMMYFUNCTION("if(H$2="""","""", index(GOOGLEFINANCE($B$42,""close"",H$2,TODAY()),2,2))"),10.34)</f>
        <v>10.34</v>
      </c>
      <c r="I42" s="1">
        <f ca="1">IFERROR(__xludf.DUMMYFUNCTION("if(I$2="""","""", index(GOOGLEFINANCE($B$42,""close"",I$2,TODAY()),2,2))"),11.42)</f>
        <v>11.42</v>
      </c>
      <c r="J42" s="1">
        <f ca="1">IFERROR(__xludf.DUMMYFUNCTION("if(J$2="""","""", index(GOOGLEFINANCE($B$42,""close"",J$2,TODAY()),2,2))"),11.43)</f>
        <v>11.43</v>
      </c>
      <c r="K42" s="1">
        <f ca="1">IFERROR(__xludf.DUMMYFUNCTION("if(K$2="""","""", index(GOOGLEFINANCE($B$42,""close"",K$2,TODAY()),2,2))"),11.05)</f>
        <v>11.05</v>
      </c>
      <c r="L42" s="1">
        <f ca="1">IFERROR(__xludf.DUMMYFUNCTION("if(L$2="""","""", index(GOOGLEFINANCE($B$42,""close"",L$2,TODAY()),2,2))"),11.31)</f>
        <v>11.31</v>
      </c>
      <c r="M42" s="1">
        <f ca="1">IFERROR(__xludf.DUMMYFUNCTION("if(M$2="""","""", index(GOOGLEFINANCE($B$42,""close"",M$2,TODAY()),2,2))"),11.07)</f>
        <v>11.07</v>
      </c>
      <c r="N42" s="1">
        <f ca="1">IFERROR(__xludf.DUMMYFUNCTION("if(N$2="""","""", index(GOOGLEFINANCE($B$42,""close"",N$2,TODAY()),2,2))"),11.02)</f>
        <v>11.02</v>
      </c>
      <c r="O42" s="1">
        <f ca="1">IFERROR(__xludf.DUMMYFUNCTION("if(O$2="""","""", index(GOOGLEFINANCE($B$42,""close"",O$2,TODAY()),2,2))"),10.23)</f>
        <v>10.23</v>
      </c>
      <c r="P42" s="1">
        <f ca="1">IFERROR(__xludf.DUMMYFUNCTION("if(P$2="""","""", index(GOOGLEFINANCE($B$42,""close"",P$2,TODAY()),2,2))"),9.78)</f>
        <v>9.7799999999999994</v>
      </c>
      <c r="Q42" s="1">
        <f ca="1">IFERROR(__xludf.DUMMYFUNCTION("if(Q$2="""","""", index(GOOGLEFINANCE($B$42,""close"",Q$2,TODAY()),2,2))"),10.13)</f>
        <v>10.130000000000001</v>
      </c>
      <c r="R42" s="1">
        <f ca="1">IFERROR(__xludf.DUMMYFUNCTION("if(R$2="""","""", index(GOOGLEFINANCE($B$42,""close"",R$2,TODAY()),2,2))"),10.47)</f>
        <v>10.47</v>
      </c>
      <c r="S42" s="1">
        <f ca="1">IFERROR(__xludf.DUMMYFUNCTION("if(S$2="""","""", index(GOOGLEFINANCE($B$42,""close"",S$2,TODAY()),2,2))"),10.19)</f>
        <v>10.19</v>
      </c>
      <c r="T42" s="1">
        <f ca="1">IFERROR(__xludf.DUMMYFUNCTION("if(T$2="""","""", index(GOOGLEFINANCE($B$42,""close"",T$2,TODAY()),2,2))"),10.24)</f>
        <v>10.24</v>
      </c>
      <c r="U42" s="1">
        <f ca="1">IFERROR(__xludf.DUMMYFUNCTION("if(U$2="""","""", index(GOOGLEFINANCE($B$42,""close"",U$2,TODAY()),2,2))"),10.3)</f>
        <v>10.3</v>
      </c>
      <c r="V42" s="1">
        <f ca="1">IFERROR(__xludf.DUMMYFUNCTION("if(V$2="""","""", index(GOOGLEFINANCE($B$42,""close"",V$2,TODAY()),2,2))"),10.64)</f>
        <v>10.64</v>
      </c>
      <c r="W42" s="1">
        <f ca="1">IFERROR(__xludf.DUMMYFUNCTION("if(W$2="""","""", index(GOOGLEFINANCE($B$42,""close"",W$2,TODAY()),2,2))"),11.29)</f>
        <v>11.29</v>
      </c>
      <c r="X42" s="1">
        <f ca="1">IFERROR(__xludf.DUMMYFUNCTION("if(X$2="""","""", index(GOOGLEFINANCE($B$42,""close"",X$2,TODAY()),2,2))"),11.35)</f>
        <v>11.35</v>
      </c>
      <c r="Y42" s="1">
        <f ca="1">IFERROR(__xludf.DUMMYFUNCTION("if(Y$2="""","""", index(GOOGLEFINANCE($B$42,""close"",Y$2,TODAY()),2,2))"),11.17)</f>
        <v>11.17</v>
      </c>
      <c r="Z42" s="1">
        <f ca="1">IFERROR(__xludf.DUMMYFUNCTION("if(Z$2="""","""", index(GOOGLEFINANCE($B$42,""close"",Z$2,TODAY()),2,2))"),11.63)</f>
        <v>11.63</v>
      </c>
      <c r="AA42" s="1">
        <f ca="1">IFERROR(__xludf.DUMMYFUNCTION("if(AA$2="""","""", index(GOOGLEFINANCE($B$42,""close"",AA$2,TODAY()),2,2))"),11.63)</f>
        <v>11.63</v>
      </c>
      <c r="AB42" s="1">
        <f ca="1">IFERROR(__xludf.DUMMYFUNCTION("if(AB$2="""","""", index(GOOGLEFINANCE($B$42,""close"",AB$2,TODAY()),2,2))"),10.91)</f>
        <v>10.91</v>
      </c>
      <c r="AC42" s="1">
        <f ca="1">IFERROR(__xludf.DUMMYFUNCTION("if(AC$2="""","""", index(GOOGLEFINANCE($B$42,""close"",AC$2,TODAY()),2,2))"),11.08)</f>
        <v>11.08</v>
      </c>
      <c r="AD42" s="1">
        <f ca="1">IFERROR(__xludf.DUMMYFUNCTION("if(AD$2="""","""", index(GOOGLEFINANCE($B$42,""close"",AD$2,TODAY()),2,2))"),11.53)</f>
        <v>11.53</v>
      </c>
      <c r="AE42" s="1">
        <f ca="1">IFERROR(__xludf.DUMMYFUNCTION("if(AE$2="""","""", index(GOOGLEFINANCE($B$42,""close"",AE$2,TODAY()),2,2))"),12.8)</f>
        <v>12.8</v>
      </c>
      <c r="AF42" s="1">
        <f ca="1">IFERROR(__xludf.DUMMYFUNCTION("if(AF$2="""","""", index(GOOGLEFINANCE($B$42,""close"",AF$2,TODAY()),2,2))"),12.15)</f>
        <v>12.15</v>
      </c>
      <c r="AG42" s="1">
        <f ca="1">IFERROR(__xludf.DUMMYFUNCTION("if(AG$2="""","""", index(GOOGLEFINANCE($B$42,""close"",AG$2,TODAY()),2,2))"),11.87)</f>
        <v>11.87</v>
      </c>
      <c r="AH42" s="1">
        <f ca="1">IFERROR(__xludf.DUMMYFUNCTION("if(AH$2="""","""", index(GOOGLEFINANCE($B$42,""close"",AH$2,TODAY()),2,2))"),12.46)</f>
        <v>12.46</v>
      </c>
      <c r="AI42" s="1">
        <f ca="1">IFERROR(__xludf.DUMMYFUNCTION("if(AI$2="""","""", index(GOOGLEFINANCE($B$42,""close"",AI$2,TODAY()),2,2))"),12.6)</f>
        <v>12.6</v>
      </c>
      <c r="AJ42" s="1">
        <f ca="1">IFERROR(__xludf.DUMMYFUNCTION("if(AJ$2="""","""", index(GOOGLEFINANCE($B$42,""close"",AJ$2,TODAY()),2,2))"),12.16)</f>
        <v>12.16</v>
      </c>
      <c r="AK42" s="1">
        <f ca="1">IFERROR(__xludf.DUMMYFUNCTION("if(AK$2="""","""", index(GOOGLEFINANCE($B$42,""close"",AK$2,TODAY()),2,2))"),12.28)</f>
        <v>12.28</v>
      </c>
      <c r="AL42" s="1">
        <f ca="1">IFERROR(__xludf.DUMMYFUNCTION("if(AL$2="""","""", index(GOOGLEFINANCE($B$42,""close"",AL$2,TODAY()),2,2))"),12.88)</f>
        <v>12.88</v>
      </c>
      <c r="AM42" s="1">
        <f ca="1">IFERROR(__xludf.DUMMYFUNCTION("if(AM$2="""","""", index(GOOGLEFINANCE($B$42,""close"",AM$2,TODAY()),2,2))"),13.18)</f>
        <v>13.18</v>
      </c>
      <c r="AN42" s="1">
        <f ca="1">IFERROR(__xludf.DUMMYFUNCTION("if(AN$2="""","""", index(GOOGLEFINANCE($B$42,""close"",AN$2,TODAY()),2,2))"),14.12)</f>
        <v>14.12</v>
      </c>
      <c r="AO42" s="1">
        <f ca="1">IFERROR(__xludf.DUMMYFUNCTION("if(AO$2="""","""", index(GOOGLEFINANCE($B$42,""close"",AO$2,TODAY()),2,2))"),15.71)</f>
        <v>15.71</v>
      </c>
      <c r="AP42" s="1">
        <f ca="1">IFERROR(__xludf.DUMMYFUNCTION("if(AP$2="""","""", index(GOOGLEFINANCE($B$42,""close"",AP$2,TODAY()),2,2))"),17.14)</f>
        <v>17.14</v>
      </c>
      <c r="AQ42" s="1">
        <f ca="1">IFERROR(__xludf.DUMMYFUNCTION("if(AQ$2="""","""", index(GOOGLEFINANCE($B$42,""close"",AQ$2,TODAY()),2,2))"),17.36)</f>
        <v>17.36</v>
      </c>
      <c r="AR42" s="1">
        <f ca="1">IFERROR(__xludf.DUMMYFUNCTION("if(AR$2="""","""", index(GOOGLEFINANCE($B$42,""close"",AR$2,TODAY()),2,2))"),17.34)</f>
        <v>17.34</v>
      </c>
      <c r="AS42" s="1">
        <f ca="1">IFERROR(__xludf.DUMMYFUNCTION("if(AS$2="""","""", index(GOOGLEFINANCE($B$42,""close"",AS$2,TODAY()),2,2))"),18.09)</f>
        <v>18.09</v>
      </c>
      <c r="AT42" s="1">
        <f ca="1">IFERROR(__xludf.DUMMYFUNCTION("if(AT$2="""","""", index(GOOGLEFINANCE($B$42,""close"",AT$2,TODAY()),2,2))"),18.58)</f>
        <v>18.579999999999998</v>
      </c>
      <c r="AU42" s="1">
        <f ca="1">IFERROR(__xludf.DUMMYFUNCTION("if(AU$2="""","""", index(GOOGLEFINANCE($B$42,""close"",AU$2,TODAY()),2,2))"),17.47)</f>
        <v>17.47</v>
      </c>
      <c r="AV42" s="1">
        <f ca="1">IFERROR(__xludf.DUMMYFUNCTION("if(AV$2="""","""", index(GOOGLEFINANCE($B$42,""close"",AV$2,TODAY()),2,2))"),16.76)</f>
        <v>16.760000000000002</v>
      </c>
      <c r="AW42" s="1">
        <f ca="1">IFERROR(__xludf.DUMMYFUNCTION("if(AW$2="""","""", index(GOOGLEFINANCE($B$42,""close"",AW$2,TODAY()),2,2))"),16.74)</f>
        <v>16.739999999999998</v>
      </c>
      <c r="AX42" s="1">
        <f ca="1">IFERROR(__xludf.DUMMYFUNCTION("if(AX$2="""","""", index(GOOGLEFINANCE($B$42,""close"",AX$2,TODAY()),2,2))"),15.69)</f>
        <v>15.69</v>
      </c>
      <c r="AY42" s="1">
        <f ca="1">IFERROR(__xludf.DUMMYFUNCTION("if(AY$2="""","""", index(GOOGLEFINANCE($B$42,""close"",AY$2,TODAY()),2,2))"),14.93)</f>
        <v>14.93</v>
      </c>
      <c r="AZ42" s="1">
        <f ca="1">IFERROR(__xludf.DUMMYFUNCTION("if(AZ$2="""","""", index(GOOGLEFINANCE($B$42,""close"",AZ$2,TODAY()),2,2))"),14.55)</f>
        <v>14.55</v>
      </c>
      <c r="BA42" s="1">
        <f ca="1">IFERROR(__xludf.DUMMYFUNCTION("if(BA$2="""","""", index(GOOGLEFINANCE($B$42,""close"",BA$2,TODAY()),2,2))"),14.21)</f>
        <v>14.21</v>
      </c>
      <c r="BB42" s="1">
        <f ca="1">IFERROR(__xludf.DUMMYFUNCTION("if(BB$2="""","""", index(GOOGLEFINANCE($B$42,""close"",BB$2,TODAY()),2,2))"),15.32)</f>
        <v>15.32</v>
      </c>
      <c r="BC42" s="1">
        <f ca="1">IFERROR(__xludf.DUMMYFUNCTION("if(BC$2="""","""", index(GOOGLEFINANCE($B$42,""close"",BC$2,TODAY()),2,2))"),15.13)</f>
        <v>15.13</v>
      </c>
      <c r="BD42" s="1">
        <f ca="1">IFERROR(__xludf.DUMMYFUNCTION("if(BD$2="""","""", index(GOOGLEFINANCE($B$42,""close"",BD$2,TODAY()),2,2))"),15.48)</f>
        <v>15.48</v>
      </c>
      <c r="BE42" s="1">
        <f ca="1">IFERROR(__xludf.DUMMYFUNCTION("if(BE$2="""","""", index(GOOGLEFINANCE($B$42,""close"",BE$2,TODAY()),2,2))"),15.54)</f>
        <v>15.54</v>
      </c>
      <c r="BF42" s="1">
        <f ca="1">IFERROR(__xludf.DUMMYFUNCTION("if(BF$2="""","""", index(GOOGLEFINANCE($B$42,""close"",BF$2,TODAY()),2,2))"),15.74)</f>
        <v>15.74</v>
      </c>
      <c r="BG42" s="1">
        <f ca="1">IFERROR(__xludf.DUMMYFUNCTION("if(BG$2="""","""", index(GOOGLEFINANCE($B$42,""close"",BG$2,TODAY()),2,2))"),15.78)</f>
        <v>15.78</v>
      </c>
      <c r="BH42" s="1">
        <f ca="1">IFERROR(__xludf.DUMMYFUNCTION("if(BH$2="""","""", index(GOOGLEFINANCE($B$42,""close"",BH$2,TODAY()),2,2))"),16.6)</f>
        <v>16.600000000000001</v>
      </c>
      <c r="BI42" s="1">
        <f ca="1">IFERROR(__xludf.DUMMYFUNCTION("if(BI$2="""","""", index(GOOGLEFINANCE($B$42,""close"",BI$2,TODAY()),2,2))"),15.91)</f>
        <v>15.91</v>
      </c>
      <c r="BJ42" s="1">
        <f ca="1">IFERROR(__xludf.DUMMYFUNCTION("if(BJ$2="""","""", index(GOOGLEFINANCE($B$42,""close"",BJ$2,TODAY()),2,2))"),15.87)</f>
        <v>15.87</v>
      </c>
      <c r="BK42" s="1">
        <f ca="1">IFERROR(__xludf.DUMMYFUNCTION("if(BK$2="""","""", index(GOOGLEFINANCE($B$42,""close"",BK$2,TODAY()),2,2))"),16.51)</f>
        <v>16.510000000000002</v>
      </c>
      <c r="BL42" s="1">
        <f ca="1">IFERROR(__xludf.DUMMYFUNCTION("if(BL$2="""","""", index(GOOGLEFINANCE($B$42,""close"",BL$2,TODAY()),2,2))"),15.79)</f>
        <v>15.79</v>
      </c>
      <c r="BM42" s="1">
        <f ca="1">IFERROR(__xludf.DUMMYFUNCTION("if(BM$2="""","""", index(GOOGLEFINANCE($B$42,""close"",BM$2,TODAY()),2,2))"),17.05)</f>
        <v>17.05</v>
      </c>
      <c r="BN42" s="1">
        <f ca="1">IFERROR(__xludf.DUMMYFUNCTION("if(BN$2="""","""", index(GOOGLEFINANCE($B$42,""close"",BN$2,TODAY()),2,2))"),17.21)</f>
        <v>17.21</v>
      </c>
      <c r="BO42" s="1">
        <f ca="1">IFERROR(__xludf.DUMMYFUNCTION("if(BO$2="""","""", index(GOOGLEFINANCE($B$42,""close"",BO$2,TODAY()),2,2))"),16.8)</f>
        <v>16.8</v>
      </c>
      <c r="BP42" s="1">
        <f ca="1">IFERROR(__xludf.DUMMYFUNCTION("if(BP$2="""","""", index(GOOGLEFINANCE($B$42,""close"",BP$2,TODAY()),2,2))"),17.37)</f>
        <v>17.37</v>
      </c>
      <c r="BQ42" s="1">
        <f ca="1">IFERROR(__xludf.DUMMYFUNCTION("if(BQ$2="""","""", index(GOOGLEFINANCE($B$42,""close"",BQ$2,TODAY()),2,2))"),17.8)</f>
        <v>17.8</v>
      </c>
      <c r="BR42" s="1">
        <f ca="1">IFERROR(__xludf.DUMMYFUNCTION("if(BR$2="""","""", index(GOOGLEFINANCE($B$42,""close"",BR$2,TODAY()),2,2))"),18.73)</f>
        <v>18.73</v>
      </c>
      <c r="BS42" s="1">
        <f ca="1">IFERROR(__xludf.DUMMYFUNCTION("if(BS$2="""","""", index(GOOGLEFINANCE($B$42,""close"",BS$2,TODAY()),2,2))"),18.13)</f>
        <v>18.13</v>
      </c>
      <c r="BT42" s="1">
        <f ca="1">IFERROR(__xludf.DUMMYFUNCTION("if(BT$2="""","""", index(GOOGLEFINANCE($B$42,""close"",BT$2,TODAY()),2,2))"),18.6)</f>
        <v>18.600000000000001</v>
      </c>
      <c r="BU42" s="1">
        <f ca="1">IFERROR(__xludf.DUMMYFUNCTION("if(BU$2="""","""", index(GOOGLEFINANCE($B$42,""close"",BU$2,TODAY()),2,2))"),18.76)</f>
        <v>18.760000000000002</v>
      </c>
      <c r="BV42" s="1">
        <f ca="1">IFERROR(__xludf.DUMMYFUNCTION("if(BV$2="""","""", index(GOOGLEFINANCE($B$42,""close"",BV$2,TODAY()),2,2))"),19.95)</f>
        <v>19.95</v>
      </c>
      <c r="BW42" s="1">
        <f ca="1">IFERROR(__xludf.DUMMYFUNCTION("if(BW$2="""","""", index(GOOGLEFINANCE($B$42,""close"",BW$2,TODAY()),2,2))"),20)</f>
        <v>20</v>
      </c>
      <c r="BX42" s="1">
        <f ca="1">IFERROR(__xludf.DUMMYFUNCTION("if(BX$2="""","""", index(GOOGLEFINANCE($B$42,""close"",BX$2,TODAY()),2,2))"),19.6)</f>
        <v>19.600000000000001</v>
      </c>
      <c r="BY42" s="1">
        <f ca="1">IFERROR(__xludf.DUMMYFUNCTION("if(BY$2="""","""", index(GOOGLEFINANCE($B$42,""close"",BY$2,TODAY()),2,2))"),20.15)</f>
        <v>20.149999999999999</v>
      </c>
      <c r="BZ42" s="1">
        <f ca="1">IFERROR(__xludf.DUMMYFUNCTION("if(BZ$2="""","""", index(GOOGLEFINANCE($B$42,""close"",BZ$2,TODAY()),2,2))"),18.86)</f>
        <v>18.86</v>
      </c>
      <c r="CA42" s="1">
        <f ca="1">IFERROR(__xludf.DUMMYFUNCTION("if(CA$2="""","""", index(GOOGLEFINANCE($B$42,""close"",CA$2,TODAY()),2,2))"),18.02)</f>
        <v>18.02</v>
      </c>
      <c r="CB42" s="1">
        <f ca="1">IFERROR(__xludf.DUMMYFUNCTION("if(CB$2="""","""", index(GOOGLEFINANCE($B$42,""close"",CB$2,TODAY()),2,2))"),17.97)</f>
        <v>17.97</v>
      </c>
      <c r="CC42" s="1">
        <f ca="1">IFERROR(__xludf.DUMMYFUNCTION("if(CC$2="""","""", index(GOOGLEFINANCE($B$42,""close"",CC$2,TODAY()),2,2))"),17.86)</f>
        <v>17.86</v>
      </c>
      <c r="CD42" s="1">
        <f ca="1">IFERROR(__xludf.DUMMYFUNCTION("if(CD$2="""","""", index(GOOGLEFINANCE($B$42,""close"",CD$2,TODAY()),2,2))"),18.18)</f>
        <v>18.18</v>
      </c>
      <c r="CE42" s="1">
        <f ca="1">IFERROR(__xludf.DUMMYFUNCTION("if(CE$2="""","""", index(GOOGLEFINANCE($B$42,""close"",CE$2,TODAY()),2,2))"),18.86)</f>
        <v>18.86</v>
      </c>
      <c r="CF42" s="1">
        <f ca="1">IFERROR(__xludf.DUMMYFUNCTION("if(CF$2="""","""", index(GOOGLEFINANCE($B$42,""close"",CF$2,TODAY()),2,2))"),18.17)</f>
        <v>18.170000000000002</v>
      </c>
      <c r="CG42" s="1">
        <f ca="1">IFERROR(__xludf.DUMMYFUNCTION("if(CG$2="""","""", index(GOOGLEFINANCE($B$42,""close"",CG$2,TODAY()),2,2))"),18.16)</f>
        <v>18.16</v>
      </c>
      <c r="CH42" s="1">
        <f ca="1">IFERROR(__xludf.DUMMYFUNCTION("if(CH$2="""","""", index(GOOGLEFINANCE($B$42,""close"",CH$2,TODAY()),2,2))"),19.55)</f>
        <v>19.55</v>
      </c>
      <c r="CI42" s="1">
        <f ca="1">IFERROR(__xludf.DUMMYFUNCTION("if(CI$2="""","""", index(GOOGLEFINANCE($B$42,""close"",CI$2,TODAY()),2,2))"),20.8)</f>
        <v>20.8</v>
      </c>
      <c r="CJ42" s="1" t="str">
        <f ca="1">IFERROR(__xludf.DUMMYFUNCTION("if(CJ$2="""","""", index(GOOGLEFINANCE($B$42,""close"",CJ$2,TODAY()),2,2))"),"")</f>
        <v/>
      </c>
      <c r="CK42" s="1" t="str">
        <f ca="1">IFERROR(__xludf.DUMMYFUNCTION("if(CK$2="""","""", index(GOOGLEFINANCE($B$42,""close"",CK$2,TODAY()),2,2))"),"")</f>
        <v/>
      </c>
      <c r="CL42" s="1" t="str">
        <f ca="1">IFERROR(__xludf.DUMMYFUNCTION("if(CL$2="""","""", index(GOOGLEFINANCE($B$42,""close"",CL$2,TODAY()),2,2))"),"")</f>
        <v/>
      </c>
      <c r="CM42" s="1" t="str">
        <f ca="1">IFERROR(__xludf.DUMMYFUNCTION("if(CM$2="""","""", index(GOOGLEFINANCE($B$42,""close"",CM$2,TODAY()),2,2))"),"")</f>
        <v/>
      </c>
      <c r="CN42" s="1" t="str">
        <f ca="1">IFERROR(__xludf.DUMMYFUNCTION("if(CN$2="""","""", index(GOOGLEFINANCE($B$42,""close"",CN$2,TODAY()),2,2))"),"")</f>
        <v/>
      </c>
      <c r="CO42" s="1" t="str">
        <f ca="1">IFERROR(__xludf.DUMMYFUNCTION("if(CO$2="""","""", index(GOOGLEFINANCE($B$42,""close"",CO$2,TODAY()),2,2))"),"")</f>
        <v/>
      </c>
      <c r="CP42" s="1" t="str">
        <f ca="1">IFERROR(__xludf.DUMMYFUNCTION("if(CP$2="""","""", index(GOOGLEFINANCE($B$42,""close"",CP$2,TODAY()),2,2))"),"")</f>
        <v/>
      </c>
      <c r="CQ42" s="1" t="str">
        <f ca="1">IFERROR(__xludf.DUMMYFUNCTION("if(CQ$2="""","""", index(GOOGLEFINANCE($B$42,""close"",CQ$2,TODAY()),2,2))"),"")</f>
        <v/>
      </c>
      <c r="CR42" s="1" t="str">
        <f ca="1">IFERROR(__xludf.DUMMYFUNCTION("if(CR$2="""","""", index(GOOGLEFINANCE($B$42,""close"",CR$2,TODAY()),2,2))"),"")</f>
        <v/>
      </c>
      <c r="CS42" s="1" t="str">
        <f ca="1">IFERROR(__xludf.DUMMYFUNCTION("if(CS$2="""","""", index(GOOGLEFINANCE($B$42,""close"",CS$2,TODAY()),2,2))"),"")</f>
        <v/>
      </c>
      <c r="CT42" s="1" t="str">
        <f ca="1">IFERROR(__xludf.DUMMYFUNCTION("if(CT$2="""","""", index(GOOGLEFINANCE($B$42,""close"",CT$2,TODAY()),2,2))"),"")</f>
        <v/>
      </c>
      <c r="CU42" s="1" t="str">
        <f ca="1">IFERROR(__xludf.DUMMYFUNCTION("if(CU$2="""","""", index(GOOGLEFINANCE($B$42,""close"",CU$2,TODAY()),2,2))"),"")</f>
        <v/>
      </c>
      <c r="CV42" s="1" t="str">
        <f ca="1">IFERROR(__xludf.DUMMYFUNCTION("if(CV$2="""","""", index(GOOGLEFINANCE($B$42,""close"",CV$2,TODAY()),2,2))"),"")</f>
        <v/>
      </c>
      <c r="CW42" s="1" t="str">
        <f ca="1">IFERROR(__xludf.DUMMYFUNCTION("if(CW$2="""","""", index(GOOGLEFINANCE($B$42,""close"",CW$2,TODAY()),2,2))"),"")</f>
        <v/>
      </c>
      <c r="CX42" s="1" t="str">
        <f ca="1">IFERROR(__xludf.DUMMYFUNCTION("if(CX$2="""","""", index(GOOGLEFINANCE($B$42,""close"",CX$2,TODAY()),2,2))"),"")</f>
        <v/>
      </c>
      <c r="CY42" s="1" t="str">
        <f ca="1">IFERROR(__xludf.DUMMYFUNCTION("if(CY$2="""","""", index(GOOGLEFINANCE($B$42,""close"",CY$2,TODAY()),2,2))"),"")</f>
        <v/>
      </c>
      <c r="CZ42" s="1" t="str">
        <f ca="1">IFERROR(__xludf.DUMMYFUNCTION("if(CZ$2="""","""", index(GOOGLEFINANCE($B$42,""close"",CZ$2,TODAY()),2,2))"),"")</f>
        <v/>
      </c>
      <c r="DA42" s="1" t="str">
        <f ca="1">IFERROR(__xludf.DUMMYFUNCTION("if(DA$2="""","""", index(GOOGLEFINANCE($B$42,""close"",DA$2,TODAY()),2,2))"),"")</f>
        <v/>
      </c>
      <c r="DB42" s="1" t="str">
        <f ca="1">IFERROR(__xludf.DUMMYFUNCTION("if(DB$2="""","""", index(GOOGLEFINANCE($B$42,""close"",DB$2,TODAY()),2,2))"),"")</f>
        <v/>
      </c>
      <c r="DC42" s="1" t="str">
        <f ca="1">IFERROR(__xludf.DUMMYFUNCTION("if(DC$2="""","""", index(GOOGLEFINANCE($B$42,""close"",DC$2,TODAY()),2,2))"),"")</f>
        <v/>
      </c>
      <c r="DD42" s="1" t="str">
        <f ca="1">IFERROR(__xludf.DUMMYFUNCTION("if(DD$2="""","""", index(GOOGLEFINANCE($B$42,""close"",DD$2,TODAY()),2,2))"),"")</f>
        <v/>
      </c>
      <c r="DE42" s="1" t="str">
        <f ca="1">IFERROR(__xludf.DUMMYFUNCTION("if(DE$2="""","""", index(GOOGLEFINANCE($B$42,""close"",DE$2,TODAY()),2,2))"),"")</f>
        <v/>
      </c>
      <c r="DF42" s="1" t="str">
        <f ca="1">IFERROR(__xludf.DUMMYFUNCTION("if(DF$2="""","""", index(GOOGLEFINANCE($B$42,""close"",DF$2,TODAY()),2,2))"),"")</f>
        <v/>
      </c>
      <c r="DG42" s="1" t="str">
        <f ca="1">IFERROR(__xludf.DUMMYFUNCTION("if(DG$2="""","""", index(GOOGLEFINANCE($B$42,""close"",DG$2,TODAY()),2,2))"),"")</f>
        <v/>
      </c>
      <c r="DH42" s="1" t="str">
        <f ca="1">IFERROR(__xludf.DUMMYFUNCTION("if(DH$2="""","""", index(GOOGLEFINANCE($B$42,""close"",DH$2,TODAY()),2,2))"),"")</f>
        <v/>
      </c>
      <c r="DI42" s="1" t="str">
        <f ca="1">IFERROR(__xludf.DUMMYFUNCTION("if(DI$2="""","""", index(GOOGLEFINANCE($B$42,""close"",DI$2,TODAY()),2,2))"),"")</f>
        <v/>
      </c>
      <c r="DJ42" s="1" t="str">
        <f ca="1">IFERROR(__xludf.DUMMYFUNCTION("if(DJ$2="""","""", index(GOOGLEFINANCE($B$42,""close"",DJ$2,TODAY()),2,2))"),"")</f>
        <v/>
      </c>
      <c r="DK42" s="1" t="str">
        <f ca="1">IFERROR(__xludf.DUMMYFUNCTION("if(DK$2="""","""", index(GOOGLEFINANCE($B$42,""close"",DK$2,TODAY()),2,2))"),"")</f>
        <v/>
      </c>
      <c r="DL42" s="1" t="str">
        <f ca="1">IFERROR(__xludf.DUMMYFUNCTION("if(DL$2="""","""", index(GOOGLEFINANCE($B$42,""close"",DL$2,TODAY()),2,2))"),"")</f>
        <v/>
      </c>
      <c r="DM42" s="1" t="str">
        <f ca="1">IFERROR(__xludf.DUMMYFUNCTION("if(DM$2="""","""", index(GOOGLEFINANCE($B$42,""close"",DM$2,TODAY()),2,2))"),"")</f>
        <v/>
      </c>
      <c r="DN42" s="1" t="str">
        <f ca="1">IFERROR(__xludf.DUMMYFUNCTION("if(DN$2="""","""", index(GOOGLEFINANCE($B$42,""close"",DN$2,TODAY()),2,2))"),"")</f>
        <v/>
      </c>
      <c r="DO42" s="1" t="str">
        <f ca="1">IFERROR(__xludf.DUMMYFUNCTION("if(DO$2="""","""", index(GOOGLEFINANCE($B$42,""close"",DO$2,TODAY()),2,2))"),"")</f>
        <v/>
      </c>
      <c r="DP42" s="1" t="str">
        <f ca="1">IFERROR(__xludf.DUMMYFUNCTION("if(DP$2="""","""", index(GOOGLEFINANCE($B$42,""close"",DP$2,TODAY()),2,2))"),"")</f>
        <v/>
      </c>
      <c r="DQ42" s="1" t="str">
        <f ca="1">IFERROR(__xludf.DUMMYFUNCTION("if(DQ$2="""","""", index(GOOGLEFINANCE($B$42,""close"",DQ$2,TODAY()),2,2))"),"")</f>
        <v/>
      </c>
      <c r="DR42" s="1" t="str">
        <f ca="1">IFERROR(__xludf.DUMMYFUNCTION("if(DR$2="""","""", index(GOOGLEFINANCE($B$42,""close"",DR$2,TODAY()),2,2))"),"")</f>
        <v/>
      </c>
      <c r="DS42" s="1" t="str">
        <f ca="1">IFERROR(__xludf.DUMMYFUNCTION("if(DS$2="""","""", index(GOOGLEFINANCE($B$42,""close"",DS$2,TODAY()),2,2))"),"")</f>
        <v/>
      </c>
      <c r="DT42" s="1" t="str">
        <f ca="1">IFERROR(__xludf.DUMMYFUNCTION("if(DT$2="""","""", index(GOOGLEFINANCE($B$42,""close"",DT$2,TODAY()),2,2))"),"")</f>
        <v/>
      </c>
      <c r="DU42" s="1" t="str">
        <f ca="1">IFERROR(__xludf.DUMMYFUNCTION("if(DU$2="""","""", index(GOOGLEFINANCE($B$42,""close"",DU$2,TODAY()),2,2))"),"")</f>
        <v/>
      </c>
      <c r="DV42" s="1" t="str">
        <f ca="1">IFERROR(__xludf.DUMMYFUNCTION("if(DV$2="""","""", index(GOOGLEFINANCE($B$42,""close"",DV$2,TODAY()),2,2))"),"")</f>
        <v/>
      </c>
      <c r="DW42" s="1" t="str">
        <f ca="1">IFERROR(__xludf.DUMMYFUNCTION("if(DW$2="""","""", index(GOOGLEFINANCE($B$42,""close"",DW$2,TODAY()),2,2))"),"")</f>
        <v/>
      </c>
      <c r="DX42" s="1" t="str">
        <f ca="1">IFERROR(__xludf.DUMMYFUNCTION("if(DX$2="""","""", index(GOOGLEFINANCE($B$42,""close"",DX$2,TODAY()),2,2))"),"")</f>
        <v/>
      </c>
      <c r="DY42" s="1" t="str">
        <f ca="1">IFERROR(__xludf.DUMMYFUNCTION("if(DY$2="""","""", index(GOOGLEFINANCE($B$42,""close"",DY$2,TODAY()),2,2))"),"")</f>
        <v/>
      </c>
      <c r="DZ42" s="1" t="str">
        <f ca="1">IFERROR(__xludf.DUMMYFUNCTION("if(DZ$2="""","""", index(GOOGLEFINANCE($B$42,""close"",DZ$2,TODAY()),2,2))"),"")</f>
        <v/>
      </c>
      <c r="EA42" s="1" t="str">
        <f ca="1">IFERROR(__xludf.DUMMYFUNCTION("if(EA$2="""","""", index(GOOGLEFINANCE($B$42,""close"",EA$2,TODAY()),2,2))"),"")</f>
        <v/>
      </c>
      <c r="EB42" s="1" t="str">
        <f ca="1">IFERROR(__xludf.DUMMYFUNCTION("if(EB$2="""","""", index(GOOGLEFINANCE($B$42,""close"",EB$2,TODAY()),2,2))"),"")</f>
        <v/>
      </c>
      <c r="EC42" s="1" t="str">
        <f ca="1">IFERROR(__xludf.DUMMYFUNCTION("if(EC$2="""","""", index(GOOGLEFINANCE($B$42,""close"",EC$2,TODAY()),2,2))"),"")</f>
        <v/>
      </c>
      <c r="ED42" s="1" t="str">
        <f ca="1">IFERROR(__xludf.DUMMYFUNCTION("if(ED$2="""","""", index(GOOGLEFINANCE($B$42,""close"",ED$2,TODAY()),2,2))"),"")</f>
        <v/>
      </c>
      <c r="EE42" s="1" t="str">
        <f ca="1">IFERROR(__xludf.DUMMYFUNCTION("if(EE$2="""","""", index(GOOGLEFINANCE($B$42,""close"",EE$2,TODAY()),2,2))"),"")</f>
        <v/>
      </c>
      <c r="EF42" s="1" t="str">
        <f ca="1">IFERROR(__xludf.DUMMYFUNCTION("if(EF$2="""","""", index(GOOGLEFINANCE($B$42,""close"",EF$2,TODAY()),2,2))"),"")</f>
        <v/>
      </c>
      <c r="EG42" s="1" t="str">
        <f ca="1">IFERROR(__xludf.DUMMYFUNCTION("if(EG$2="""","""", index(GOOGLEFINANCE($B$42,""close"",EG$2,TODAY()),2,2))"),"")</f>
        <v/>
      </c>
      <c r="EH42" s="1" t="str">
        <f ca="1">IFERROR(__xludf.DUMMYFUNCTION("if(EH$2="""","""", index(GOOGLEFINANCE($B$42,""close"",EH$2,TODAY()),2,2))"),"")</f>
        <v/>
      </c>
      <c r="EI42" s="1" t="str">
        <f ca="1">IFERROR(__xludf.DUMMYFUNCTION("if(EI$2="""","""", index(GOOGLEFINANCE($B$42,""close"",EI$2,TODAY()),2,2))"),"")</f>
        <v/>
      </c>
      <c r="EJ42" s="1" t="str">
        <f ca="1">IFERROR(__xludf.DUMMYFUNCTION("if(EJ$2="""","""", index(GOOGLEFINANCE($B$42,""close"",EJ$2,TODAY()),2,2))"),"")</f>
        <v/>
      </c>
      <c r="EK42" s="1" t="str">
        <f ca="1">IFERROR(__xludf.DUMMYFUNCTION("if(EK$2="""","""", index(GOOGLEFINANCE($B$42,""close"",EK$2,TODAY()),2,2))"),"")</f>
        <v/>
      </c>
      <c r="EL42" s="1" t="str">
        <f ca="1">IFERROR(__xludf.DUMMYFUNCTION("if(EL$2="""","""", index(GOOGLEFINANCE($B$42,""close"",EL$2,TODAY()),2,2))"),"")</f>
        <v/>
      </c>
      <c r="EM42" s="1" t="str">
        <f ca="1">IFERROR(__xludf.DUMMYFUNCTION("if(EM$2="""","""", index(GOOGLEFINANCE($B$42,""close"",EM$2,TODAY()),2,2))"),"")</f>
        <v/>
      </c>
      <c r="EN42" s="1" t="str">
        <f ca="1">IFERROR(__xludf.DUMMYFUNCTION("if(EN$2="""","""", index(GOOGLEFINANCE($B$42,""close"",EN$2,TODAY()),2,2))"),"")</f>
        <v/>
      </c>
      <c r="EO42" s="1" t="str">
        <f ca="1">IFERROR(__xludf.DUMMYFUNCTION("if(EO$2="""","""", index(GOOGLEFINANCE($B$42,""close"",EO$2,TODAY()),2,2))"),"")</f>
        <v/>
      </c>
      <c r="EP42" s="1" t="str">
        <f ca="1">IFERROR(__xludf.DUMMYFUNCTION("if(EP$2="""","""", index(GOOGLEFINANCE($B$42,""close"",EP$2,TODAY()),2,2))"),"")</f>
        <v/>
      </c>
      <c r="EQ42" s="1" t="str">
        <f ca="1">IFERROR(__xludf.DUMMYFUNCTION("if(EQ$2="""","""", index(GOOGLEFINANCE($B$42,""close"",EQ$2,TODAY()),2,2))"),"")</f>
        <v/>
      </c>
      <c r="ER42" s="1" t="str">
        <f ca="1">IFERROR(__xludf.DUMMYFUNCTION("if(ER$2="""","""", index(GOOGLEFINANCE($B$42,""close"",ER$2,TODAY()),2,2))"),"")</f>
        <v/>
      </c>
      <c r="ES42" s="1" t="str">
        <f ca="1">IFERROR(__xludf.DUMMYFUNCTION("if(ES$2="""","""", index(GOOGLEFINANCE($B$42,""close"",ES$2,TODAY()),2,2))"),"")</f>
        <v/>
      </c>
      <c r="ET42" s="1" t="str">
        <f ca="1">IFERROR(__xludf.DUMMYFUNCTION("if(ET$2="""","""", index(GOOGLEFINANCE($B$42,""close"",ET$2,TODAY()),2,2))"),"")</f>
        <v/>
      </c>
      <c r="EU42" s="1" t="str">
        <f ca="1">IFERROR(__xludf.DUMMYFUNCTION("if(EU$2="""","""", index(GOOGLEFINANCE($B$42,""close"",EU$2,TODAY()),2,2))"),"")</f>
        <v/>
      </c>
      <c r="EV42" s="1" t="str">
        <f ca="1">IFERROR(__xludf.DUMMYFUNCTION("if(EV$2="""","""", index(GOOGLEFINANCE($B$42,""close"",EV$2,TODAY()),2,2))"),"")</f>
        <v/>
      </c>
      <c r="EW42" s="1" t="str">
        <f ca="1">IFERROR(__xludf.DUMMYFUNCTION("if(EW$2="""","""", index(GOOGLEFINANCE($B$42,""close"",EW$2,TODAY()),2,2))"),"")</f>
        <v/>
      </c>
      <c r="EX42" s="1" t="str">
        <f ca="1">IFERROR(__xludf.DUMMYFUNCTION("if(EX$2="""","""", index(GOOGLEFINANCE($B$42,""close"",EX$2,TODAY()),2,2))"),"")</f>
        <v/>
      </c>
      <c r="EY42" s="1" t="str">
        <f ca="1">IFERROR(__xludf.DUMMYFUNCTION("if(EY$2="""","""", index(GOOGLEFINANCE($B$42,""close"",EY$2,TODAY()),2,2))"),"")</f>
        <v/>
      </c>
      <c r="EZ42" s="1" t="str">
        <f ca="1">IFERROR(__xludf.DUMMYFUNCTION("if(EZ$2="""","""", index(GOOGLEFINANCE($B$42,""close"",EZ$2,TODAY()),2,2))"),"")</f>
        <v/>
      </c>
      <c r="FA42" s="1" t="str">
        <f ca="1">IFERROR(__xludf.DUMMYFUNCTION("if(FA$2="""","""", index(GOOGLEFINANCE($B$42,""close"",FA$2,TODAY()),2,2))"),"")</f>
        <v/>
      </c>
      <c r="FB42" s="1" t="str">
        <f ca="1">IFERROR(__xludf.DUMMYFUNCTION("if(FB$2="""","""", index(GOOGLEFINANCE($B$42,""close"",FB$2,TODAY()),2,2))"),"")</f>
        <v/>
      </c>
      <c r="FC42" s="1" t="str">
        <f ca="1">IFERROR(__xludf.DUMMYFUNCTION("if(FC$2="""","""", index(GOOGLEFINANCE($B$42,""close"",FC$2,TODAY()),2,2))"),"")</f>
        <v/>
      </c>
      <c r="FD42" s="1" t="str">
        <f ca="1">IFERROR(__xludf.DUMMYFUNCTION("if(FD$2="""","""", index(GOOGLEFINANCE($B$42,""close"",FD$2,TODAY()),2,2))"),"")</f>
        <v/>
      </c>
      <c r="FE42" s="1" t="str">
        <f ca="1">IFERROR(__xludf.DUMMYFUNCTION("if(FE$2="""","""", index(GOOGLEFINANCE($B$42,""close"",FE$2,TODAY()),2,2))"),"")</f>
        <v/>
      </c>
      <c r="FF42" s="1" t="str">
        <f ca="1">IFERROR(__xludf.DUMMYFUNCTION("if(FF$2="""","""", index(GOOGLEFINANCE($B$42,""close"",FF$2,TODAY()),2,2))"),"")</f>
        <v/>
      </c>
      <c r="FG42" s="1" t="str">
        <f ca="1">IFERROR(__xludf.DUMMYFUNCTION("if(FG$2="""","""", index(GOOGLEFINANCE($B$42,""close"",FG$2,TODAY()),2,2))"),"")</f>
        <v/>
      </c>
      <c r="FH42" s="1" t="str">
        <f ca="1">IFERROR(__xludf.DUMMYFUNCTION("if(FH$2="""","""", index(GOOGLEFINANCE($B$42,""close"",FH$2,TODAY()),2,2))"),"")</f>
        <v/>
      </c>
      <c r="FI42" s="1" t="str">
        <f ca="1">IFERROR(__xludf.DUMMYFUNCTION("if(FI$2="""","""", index(GOOGLEFINANCE($B$42,""close"",FI$2,TODAY()),2,2))"),"")</f>
        <v/>
      </c>
      <c r="FJ42" s="1" t="str">
        <f ca="1">IFERROR(__xludf.DUMMYFUNCTION("if(FJ$2="""","""", index(GOOGLEFINANCE($B$42,""close"",FJ$2,TODAY()),2,2))"),"")</f>
        <v/>
      </c>
      <c r="FK42" s="1" t="str">
        <f ca="1">IFERROR(__xludf.DUMMYFUNCTION("if(FK$2="""","""", index(GOOGLEFINANCE($B$42,""close"",FK$2,TODAY()),2,2))"),"")</f>
        <v/>
      </c>
      <c r="FL42" s="1" t="str">
        <f ca="1">IFERROR(__xludf.DUMMYFUNCTION("if(FL$2="""","""", index(GOOGLEFINANCE($B$42,""close"",FL$2,TODAY()),2,2))"),"")</f>
        <v/>
      </c>
      <c r="FM42" s="1" t="str">
        <f ca="1">IFERROR(__xludf.DUMMYFUNCTION("if(FM$2="""","""", index(GOOGLEFINANCE($B$42,""close"",FM$2,TODAY()),2,2))"),"")</f>
        <v/>
      </c>
      <c r="FN42" s="1" t="str">
        <f ca="1">IFERROR(__xludf.DUMMYFUNCTION("if(FN$2="""","""", index(GOOGLEFINANCE($B$42,""close"",FN$2,TODAY()),2,2))"),"")</f>
        <v/>
      </c>
      <c r="FO42" s="1" t="str">
        <f ca="1">IFERROR(__xludf.DUMMYFUNCTION("if(FO$2="""","""", index(GOOGLEFINANCE($B$42,""close"",FO$2,TODAY()),2,2))"),"")</f>
        <v/>
      </c>
      <c r="FP42" s="1" t="str">
        <f ca="1">IFERROR(__xludf.DUMMYFUNCTION("if(FP$2="""","""", index(GOOGLEFINANCE($B$42,""close"",FP$2,TODAY()),2,2))"),"")</f>
        <v/>
      </c>
      <c r="FQ42" s="1" t="str">
        <f ca="1">IFERROR(__xludf.DUMMYFUNCTION("if(FQ$2="""","""", index(GOOGLEFINANCE($B$42,""close"",FQ$2,TODAY()),2,2))"),"")</f>
        <v/>
      </c>
      <c r="FR42" s="1" t="str">
        <f ca="1">IFERROR(__xludf.DUMMYFUNCTION("if(FR$2="""","""", index(GOOGLEFINANCE($B$42,""close"",FR$2,TODAY()),2,2))"),"")</f>
        <v/>
      </c>
      <c r="FS42" s="1" t="str">
        <f ca="1">IFERROR(__xludf.DUMMYFUNCTION("if(FS$2="""","""", index(GOOGLEFINANCE($B$42,""close"",FS$2,TODAY()),2,2))"),"")</f>
        <v/>
      </c>
      <c r="FT42" s="1" t="str">
        <f ca="1">IFERROR(__xludf.DUMMYFUNCTION("if(FT$2="""","""", index(GOOGLEFINANCE($B$42,""close"",FT$2,TODAY()),2,2))"),"")</f>
        <v/>
      </c>
      <c r="FU42" s="1" t="str">
        <f ca="1">IFERROR(__xludf.DUMMYFUNCTION("if(FU$2="""","""", index(GOOGLEFINANCE($B$42,""close"",FU$2,TODAY()),2,2))"),"")</f>
        <v/>
      </c>
      <c r="FV42" s="1" t="str">
        <f ca="1">IFERROR(__xludf.DUMMYFUNCTION("if(FV$2="""","""", index(GOOGLEFINANCE($B$42,""close"",FV$2,TODAY()),2,2))"),"")</f>
        <v/>
      </c>
      <c r="FW42" s="1" t="str">
        <f ca="1">IFERROR(__xludf.DUMMYFUNCTION("if(FW$2="""","""", index(GOOGLEFINANCE($B$42,""close"",FW$2,TODAY()),2,2))"),"")</f>
        <v/>
      </c>
      <c r="FX42" s="1" t="str">
        <f ca="1">IFERROR(__xludf.DUMMYFUNCTION("if(FX$2="""","""", index(GOOGLEFINANCE($B$42,""close"",FX$2,TODAY()),2,2))"),"")</f>
        <v/>
      </c>
      <c r="FY42" s="1" t="str">
        <f ca="1">IFERROR(__xludf.DUMMYFUNCTION("if(FY$2="""","""", index(GOOGLEFINANCE($B$42,""close"",FY$2,TODAY()),2,2))"),"")</f>
        <v/>
      </c>
      <c r="FZ42" s="1" t="str">
        <f ca="1">IFERROR(__xludf.DUMMYFUNCTION("if(FZ$2="""","""", index(GOOGLEFINANCE($B$42,""close"",FZ$2,TODAY()),2,2))"),"")</f>
        <v/>
      </c>
      <c r="GA42" s="1" t="str">
        <f ca="1">IFERROR(__xludf.DUMMYFUNCTION("if(GA$2="""","""", index(GOOGLEFINANCE($B$42,""close"",GA$2,TODAY()),2,2))"),"")</f>
        <v/>
      </c>
      <c r="GB42" s="1" t="str">
        <f ca="1">IFERROR(__xludf.DUMMYFUNCTION("if(GB$2="""","""", index(GOOGLEFINANCE($B$42,""close"",GB$2,TODAY()),2,2))"),"")</f>
        <v/>
      </c>
      <c r="GC42" s="1" t="str">
        <f ca="1">IFERROR(__xludf.DUMMYFUNCTION("if(GC$2="""","""", index(GOOGLEFINANCE($B$42,""close"",GC$2,TODAY()),2,2))"),"")</f>
        <v/>
      </c>
      <c r="GD42" s="1" t="str">
        <f ca="1">IFERROR(__xludf.DUMMYFUNCTION("if(GD$2="""","""", index(GOOGLEFINANCE($B$42,""close"",GD$2,TODAY()),2,2))"),"")</f>
        <v/>
      </c>
      <c r="GE42" s="1" t="str">
        <f ca="1">IFERROR(__xludf.DUMMYFUNCTION("if(GE$2="""","""", index(GOOGLEFINANCE($B$42,""close"",GE$2,TODAY()),2,2))"),"")</f>
        <v/>
      </c>
      <c r="GF42" s="1" t="str">
        <f ca="1">IFERROR(__xludf.DUMMYFUNCTION("if(GF$2="""","""", index(GOOGLEFINANCE($B$42,""close"",GF$2,TODAY()),2,2))"),"")</f>
        <v/>
      </c>
      <c r="GG42" s="1" t="str">
        <f ca="1">IFERROR(__xludf.DUMMYFUNCTION("if(GG$2="""","""", index(GOOGLEFINANCE($B$42,""close"",GG$2,TODAY()),2,2))"),"")</f>
        <v/>
      </c>
      <c r="GH42" s="1" t="str">
        <f ca="1">IFERROR(__xludf.DUMMYFUNCTION("if(GH$2="""","""", index(GOOGLEFINANCE($B$42,""close"",GH$2,TODAY()),2,2))"),"")</f>
        <v/>
      </c>
      <c r="GI42" s="1" t="str">
        <f ca="1">IFERROR(__xludf.DUMMYFUNCTION("if(GI$2="""","""", index(GOOGLEFINANCE($B$42,""close"",GI$2,TODAY()),2,2))"),"")</f>
        <v/>
      </c>
      <c r="GJ42" s="1" t="str">
        <f ca="1">IFERROR(__xludf.DUMMYFUNCTION("if(GJ$2="""","""", index(GOOGLEFINANCE($B$42,""close"",GJ$2,TODAY()),2,2))"),"")</f>
        <v/>
      </c>
      <c r="GK42" s="1" t="str">
        <f ca="1">IFERROR(__xludf.DUMMYFUNCTION("if(GK$2="""","""", index(GOOGLEFINANCE($B$42,""close"",GK$2,TODAY()),2,2))"),"")</f>
        <v/>
      </c>
      <c r="GL42" s="1" t="str">
        <f ca="1">IFERROR(__xludf.DUMMYFUNCTION("if(GL$2="""","""", index(GOOGLEFINANCE($B$42,""close"",GL$2,TODAY()),2,2))"),"")</f>
        <v/>
      </c>
      <c r="GM42" s="1" t="str">
        <f ca="1">IFERROR(__xludf.DUMMYFUNCTION("if(GM$2="""","""", index(GOOGLEFINANCE($B$42,""close"",GM$2,TODAY()),2,2))"),"")</f>
        <v/>
      </c>
      <c r="GN42" s="1" t="str">
        <f ca="1">IFERROR(__xludf.DUMMYFUNCTION("if(GN$2="""","""", index(GOOGLEFINANCE($B$42,""close"",GN$2,TODAY()),2,2))"),"")</f>
        <v/>
      </c>
      <c r="GO42" s="1" t="str">
        <f ca="1">IFERROR(__xludf.DUMMYFUNCTION("if(GO$2="""","""", index(GOOGLEFINANCE($B$42,""close"",GO$2,TODAY()),2,2))"),"")</f>
        <v/>
      </c>
      <c r="GP42" s="1" t="str">
        <f ca="1">IFERROR(__xludf.DUMMYFUNCTION("if(GP$2="""","""", index(GOOGLEFINANCE($B$42,""close"",GP$2,TODAY()),2,2))"),"")</f>
        <v/>
      </c>
      <c r="GQ42" s="1" t="str">
        <f ca="1">IFERROR(__xludf.DUMMYFUNCTION("if(GQ$2="""","""", index(GOOGLEFINANCE($B$42,""close"",GQ$2,TODAY()),2,2))"),"")</f>
        <v/>
      </c>
      <c r="GR42" s="1" t="str">
        <f ca="1">IFERROR(__xludf.DUMMYFUNCTION("if(GR$2="""","""", index(GOOGLEFINANCE($B$42,""close"",GR$2,TODAY()),2,2))"),"")</f>
        <v/>
      </c>
      <c r="GS42" s="1" t="str">
        <f ca="1">IFERROR(__xludf.DUMMYFUNCTION("if(GS$2="""","""", index(GOOGLEFINANCE($B$42,""close"",GS$2,TODAY()),2,2))"),"")</f>
        <v/>
      </c>
      <c r="GT42" s="1" t="str">
        <f ca="1">IFERROR(__xludf.DUMMYFUNCTION("if(GT$2="""","""", index(GOOGLEFINANCE($B$42,""close"",GT$2,TODAY()),2,2))"),"")</f>
        <v/>
      </c>
      <c r="GU42" s="1" t="str">
        <f ca="1">IFERROR(__xludf.DUMMYFUNCTION("if(GU$2="""","""", index(GOOGLEFINANCE($B$42,""close"",GU$2,TODAY()),2,2))"),"")</f>
        <v/>
      </c>
      <c r="GV42" s="1" t="str">
        <f ca="1">IFERROR(__xludf.DUMMYFUNCTION("if(GV$2="""","""", index(GOOGLEFINANCE($B$42,""close"",GV$2,TODAY()),2,2))"),"")</f>
        <v/>
      </c>
      <c r="GW42" s="1" t="str">
        <f ca="1">IFERROR(__xludf.DUMMYFUNCTION("if(GW$2="""","""", index(GOOGLEFINANCE($B$42,""close"",GW$2,TODAY()),2,2))"),"")</f>
        <v/>
      </c>
      <c r="GX42" s="1" t="str">
        <f ca="1">IFERROR(__xludf.DUMMYFUNCTION("if(GX$2="""","""", index(GOOGLEFINANCE($B$42,""close"",GX$2,TODAY()),2,2))"),"")</f>
        <v/>
      </c>
      <c r="GY42" s="1" t="str">
        <f ca="1">IFERROR(__xludf.DUMMYFUNCTION("if(GY$2="""","""", index(GOOGLEFINANCE($B$42,""close"",GY$2,TODAY()),2,2))"),"")</f>
        <v/>
      </c>
      <c r="GZ42" s="1" t="str">
        <f ca="1">IFERROR(__xludf.DUMMYFUNCTION("if(GZ$2="""","""", index(GOOGLEFINANCE($B$42,""close"",GZ$2,TODAY()),2,2))"),"")</f>
        <v/>
      </c>
      <c r="HA42" s="1" t="str">
        <f ca="1">IFERROR(__xludf.DUMMYFUNCTION("if(HA$2="""","""", index(GOOGLEFINANCE($B$42,""close"",HA$2,TODAY()),2,2))"),"")</f>
        <v/>
      </c>
      <c r="HB42" s="1" t="str">
        <f ca="1">IFERROR(__xludf.DUMMYFUNCTION("if(HB$2="""","""", index(GOOGLEFINANCE($B$42,""close"",HB$2,TODAY()),2,2))"),"")</f>
        <v/>
      </c>
      <c r="HC42" s="1" t="str">
        <f ca="1">IFERROR(__xludf.DUMMYFUNCTION("if(HC$2="""","""", index(GOOGLEFINANCE($B$42,""close"",HC$2,TODAY()),2,2))"),"")</f>
        <v/>
      </c>
      <c r="HD42" s="1" t="str">
        <f ca="1">IFERROR(__xludf.DUMMYFUNCTION("if(HD$2="""","""", index(GOOGLEFINANCE($B$42,""close"",HD$2,TODAY()),2,2))"),"")</f>
        <v/>
      </c>
      <c r="HE42" s="1" t="str">
        <f ca="1">IFERROR(__xludf.DUMMYFUNCTION("if(HE$2="""","""", index(GOOGLEFINANCE($B$42,""close"",HE$2,TODAY()),2,2))"),"")</f>
        <v/>
      </c>
      <c r="HF42" s="1" t="str">
        <f ca="1">IFERROR(__xludf.DUMMYFUNCTION("if(HF$2="""","""", index(GOOGLEFINANCE($B$42,""close"",HF$2,TODAY()),2,2))"),"")</f>
        <v/>
      </c>
      <c r="HG42" s="1" t="str">
        <f ca="1">IFERROR(__xludf.DUMMYFUNCTION("if(HG$2="""","""", index(GOOGLEFINANCE($B$42,""close"",HG$2,TODAY()),2,2))"),"")</f>
        <v/>
      </c>
      <c r="HH42" s="1" t="str">
        <f ca="1">IFERROR(__xludf.DUMMYFUNCTION("if(HH$2="""","""", index(GOOGLEFINANCE($B$42,""close"",HH$2,TODAY()),2,2))"),"")</f>
        <v/>
      </c>
      <c r="HI42" s="1" t="str">
        <f ca="1">IFERROR(__xludf.DUMMYFUNCTION("if(HI$2="""","""", index(GOOGLEFINANCE($B$42,""close"",HI$2,TODAY()),2,2))"),"")</f>
        <v/>
      </c>
      <c r="HJ42" s="1" t="str">
        <f ca="1">IFERROR(__xludf.DUMMYFUNCTION("if(HJ$2="""","""", index(GOOGLEFINANCE($B$42,""close"",HJ$2,TODAY()),2,2))"),"")</f>
        <v/>
      </c>
      <c r="HK42" s="1" t="str">
        <f ca="1">IFERROR(__xludf.DUMMYFUNCTION("if(HK$2="""","""", index(GOOGLEFINANCE($B$42,""close"",HK$2,TODAY()),2,2))"),"")</f>
        <v/>
      </c>
      <c r="HL42" s="1" t="str">
        <f ca="1">IFERROR(__xludf.DUMMYFUNCTION("if(HL$2="""","""", index(GOOGLEFINANCE($B$42,""close"",HL$2,TODAY()),2,2))"),"")</f>
        <v/>
      </c>
      <c r="HM42" s="1" t="str">
        <f ca="1">IFERROR(__xludf.DUMMYFUNCTION("if(HM$2="""","""", index(GOOGLEFINANCE($B$42,""close"",HM$2,TODAY()),2,2))"),"")</f>
        <v/>
      </c>
      <c r="HN42" s="1" t="str">
        <f ca="1">IFERROR(__xludf.DUMMYFUNCTION("if(HN$2="""","""", index(GOOGLEFINANCE($B$42,""close"",HN$2,TODAY()),2,2))"),"")</f>
        <v/>
      </c>
      <c r="HO42" s="1" t="str">
        <f ca="1">IFERROR(__xludf.DUMMYFUNCTION("if(HO$2="""","""", index(GOOGLEFINANCE($B$42,""close"",HO$2,TODAY()),2,2))"),"")</f>
        <v/>
      </c>
      <c r="HP42" s="1" t="str">
        <f ca="1">IFERROR(__xludf.DUMMYFUNCTION("if(HP$2="""","""", index(GOOGLEFINANCE($B$42,""close"",HP$2,TODAY()),2,2))"),"")</f>
        <v/>
      </c>
      <c r="HQ42" s="1" t="str">
        <f ca="1">IFERROR(__xludf.DUMMYFUNCTION("if(HQ$2="""","""", index(GOOGLEFINANCE($B$42,""close"",HQ$2,TODAY()),2,2))"),"")</f>
        <v/>
      </c>
      <c r="HR42" s="1" t="str">
        <f ca="1">IFERROR(__xludf.DUMMYFUNCTION("if(HR$2="""","""", index(GOOGLEFINANCE($B$42,""close"",HR$2,TODAY()),2,2))"),"")</f>
        <v/>
      </c>
      <c r="HS42" s="1" t="str">
        <f ca="1">IFERROR(__xludf.DUMMYFUNCTION("if(HS$2="""","""", index(GOOGLEFINANCE($B$42,""close"",HS$2,TODAY()),2,2))"),"")</f>
        <v/>
      </c>
      <c r="HT42" s="1" t="str">
        <f ca="1">IFERROR(__xludf.DUMMYFUNCTION("if(HT$2="""","""", index(GOOGLEFINANCE($B$42,""close"",HT$2,TODAY()),2,2))"),"")</f>
        <v/>
      </c>
      <c r="HU42" s="1" t="str">
        <f ca="1">IFERROR(__xludf.DUMMYFUNCTION("if(HU$2="""","""", index(GOOGLEFINANCE($B$42,""close"",HU$2,TODAY()),2,2))"),"")</f>
        <v/>
      </c>
      <c r="HV42" s="1" t="str">
        <f ca="1">IFERROR(__xludf.DUMMYFUNCTION("if(HV$2="""","""", index(GOOGLEFINANCE($B$42,""close"",HV$2,TODAY()),2,2))"),"")</f>
        <v/>
      </c>
      <c r="HW42" s="1" t="str">
        <f ca="1">IFERROR(__xludf.DUMMYFUNCTION("if(HW$2="""","""", index(GOOGLEFINANCE($B$42,""close"",HW$2,TODAY()),2,2))"),"")</f>
        <v/>
      </c>
      <c r="HX42" s="1" t="str">
        <f ca="1">IFERROR(__xludf.DUMMYFUNCTION("if(HX$2="""","""", index(GOOGLEFINANCE($B$42,""close"",HX$2,TODAY()),2,2))"),"")</f>
        <v/>
      </c>
      <c r="HY42" s="1" t="str">
        <f ca="1">IFERROR(__xludf.DUMMYFUNCTION("if(HY$2="""","""", index(GOOGLEFINANCE($B$42,""close"",HY$2,TODAY()),2,2))"),"")</f>
        <v/>
      </c>
      <c r="HZ42" s="1" t="str">
        <f ca="1">IFERROR(__xludf.DUMMYFUNCTION("if(HZ$2="""","""", index(GOOGLEFINANCE($B$42,""close"",HZ$2,TODAY()),2,2))"),"")</f>
        <v/>
      </c>
      <c r="IA42" s="1" t="str">
        <f ca="1">IFERROR(__xludf.DUMMYFUNCTION("if(IA$2="""","""", index(GOOGLEFINANCE($B$42,""close"",IA$2,TODAY()),2,2))"),"")</f>
        <v/>
      </c>
      <c r="IB42" s="1" t="str">
        <f ca="1">IFERROR(__xludf.DUMMYFUNCTION("if(IB$2="""","""", index(GOOGLEFINANCE($B$42,""close"",IB$2,TODAY()),2,2))"),"")</f>
        <v/>
      </c>
      <c r="IC42" s="1" t="str">
        <f ca="1">IFERROR(__xludf.DUMMYFUNCTION("if(IC$2="""","""", index(GOOGLEFINANCE($B$42,""close"",IC$2,TODAY()),2,2))"),"")</f>
        <v/>
      </c>
      <c r="ID42" s="1" t="str">
        <f ca="1">IFERROR(__xludf.DUMMYFUNCTION("if(ID$2="""","""", index(GOOGLEFINANCE($B$42,""close"",ID$2,TODAY()),2,2))"),"")</f>
        <v/>
      </c>
      <c r="IE42" s="1" t="str">
        <f ca="1">IFERROR(__xludf.DUMMYFUNCTION("if(IE$2="""","""", index(GOOGLEFINANCE($B$42,""close"",IE$2,TODAY()),2,2))"),"")</f>
        <v/>
      </c>
      <c r="IF42" s="1" t="str">
        <f ca="1">IFERROR(__xludf.DUMMYFUNCTION("if(IF$2="""","""", index(GOOGLEFINANCE($B$42,""close"",IF$2,TODAY()),2,2))"),"")</f>
        <v/>
      </c>
      <c r="IG42" s="1" t="str">
        <f ca="1">IFERROR(__xludf.DUMMYFUNCTION("if(IG$2="""","""", index(GOOGLEFINANCE($B$42,""close"",IG$2,TODAY()),2,2))"),"")</f>
        <v/>
      </c>
      <c r="IH42" s="1" t="str">
        <f ca="1">IFERROR(__xludf.DUMMYFUNCTION("if(IH$2="""","""", index(GOOGLEFINANCE($B$42,""close"",IH$2,TODAY()),2,2))"),"")</f>
        <v/>
      </c>
      <c r="II42" s="1" t="str">
        <f ca="1">IFERROR(__xludf.DUMMYFUNCTION("if(II$2="""","""", index(GOOGLEFINANCE($B$42,""close"",II$2,TODAY()),2,2))"),"")</f>
        <v/>
      </c>
      <c r="IJ42" s="1" t="str">
        <f ca="1">IFERROR(__xludf.DUMMYFUNCTION("if(IJ$2="""","""", index(GOOGLEFINANCE($B$42,""close"",IJ$2,TODAY()),2,2))"),"")</f>
        <v/>
      </c>
      <c r="IK42" s="1" t="str">
        <f ca="1">IFERROR(__xludf.DUMMYFUNCTION("if(IK$2="""","""", index(GOOGLEFINANCE($B$42,""close"",IK$2,TODAY()),2,2))"),"")</f>
        <v/>
      </c>
      <c r="IL42" s="1" t="str">
        <f ca="1">IFERROR(__xludf.DUMMYFUNCTION("if(IL$2="""","""", index(GOOGLEFINANCE($B$42,""close"",IL$2,TODAY()),2,2))"),"")</f>
        <v/>
      </c>
      <c r="IM42" s="1" t="str">
        <f ca="1">IFERROR(__xludf.DUMMYFUNCTION("if(IM$2="""","""", index(GOOGLEFINANCE($B$42,""close"",IM$2,TODAY()),2,2))"),"")</f>
        <v/>
      </c>
      <c r="IN42" s="1" t="str">
        <f ca="1">IFERROR(__xludf.DUMMYFUNCTION("if(IN$2="""","""", index(GOOGLEFINANCE($B$42,""close"",IN$2,TODAY()),2,2))"),"")</f>
        <v/>
      </c>
      <c r="IO42" s="1" t="str">
        <f ca="1">IFERROR(__xludf.DUMMYFUNCTION("if(IO$2="""","""", index(GOOGLEFINANCE($B$42,""close"",IO$2,TODAY()),2,2))"),"")</f>
        <v/>
      </c>
      <c r="IP42" s="1" t="str">
        <f ca="1">IFERROR(__xludf.DUMMYFUNCTION("if(IP$2="""","""", index(GOOGLEFINANCE($B$42,""close"",IP$2,TODAY()),2,2))"),"")</f>
        <v/>
      </c>
      <c r="IQ42" s="1" t="str">
        <f ca="1">IFERROR(__xludf.DUMMYFUNCTION("if(IQ$2="""","""", index(GOOGLEFINANCE($B$42,""close"",IQ$2,TODAY()),2,2))"),"")</f>
        <v/>
      </c>
      <c r="IR42" s="1" t="str">
        <f ca="1">IFERROR(__xludf.DUMMYFUNCTION("if(IR$2="""","""", index(GOOGLEFINANCE($B$42,""close"",IR$2,TODAY()),2,2))"),"")</f>
        <v/>
      </c>
      <c r="IS42" s="1" t="str">
        <f ca="1">IFERROR(__xludf.DUMMYFUNCTION("if(IS$2="""","""", index(GOOGLEFINANCE($B$42,""close"",IS$2,TODAY()),2,2))"),"")</f>
        <v/>
      </c>
      <c r="IT42" s="1" t="str">
        <f ca="1">IFERROR(__xludf.DUMMYFUNCTION("if(IT$2="""","""", index(GOOGLEFINANCE($B$42,""close"",IT$2,TODAY()),2,2))"),"")</f>
        <v/>
      </c>
      <c r="IU42" s="1" t="str">
        <f ca="1">IFERROR(__xludf.DUMMYFUNCTION("if(IU$2="""","""", index(GOOGLEFINANCE($B$42,""close"",IU$2,TODAY()),2,2))"),"")</f>
        <v/>
      </c>
      <c r="IV42" s="1" t="str">
        <f ca="1">IFERROR(__xludf.DUMMYFUNCTION("if(IV$2="""","""", index(GOOGLEFINANCE($B$42,""close"",IV$2,TODAY()),2,2))"),"")</f>
        <v/>
      </c>
      <c r="IW42" s="1" t="str">
        <f ca="1">IFERROR(__xludf.DUMMYFUNCTION("if(IW$2="""","""", index(GOOGLEFINANCE($B$42,""close"",IW$2,TODAY()),2,2))"),"")</f>
        <v/>
      </c>
      <c r="IX42" s="1" t="str">
        <f ca="1">IFERROR(__xludf.DUMMYFUNCTION("if(IX$2="""","""", index(GOOGLEFINANCE($B$42,""close"",IX$2,TODAY()),2,2))"),"")</f>
        <v/>
      </c>
      <c r="IY42" s="1" t="str">
        <f ca="1">IFERROR(__xludf.DUMMYFUNCTION("if(IY$2="""","""", index(GOOGLEFINANCE($B$42,""close"",IY$2,TODAY()),2,2))"),"")</f>
        <v/>
      </c>
      <c r="IZ42" s="1" t="str">
        <f ca="1">IFERROR(__xludf.DUMMYFUNCTION("if(IZ$2="""","""", index(GOOGLEFINANCE($B$42,""close"",IZ$2,TODAY()),2,2))"),"")</f>
        <v/>
      </c>
      <c r="JA42" s="1" t="str">
        <f ca="1">IFERROR(__xludf.DUMMYFUNCTION("if(JA$2="""","""", index(GOOGLEFINANCE($B$42,""close"",JA$2,TODAY()),2,2))"),"")</f>
        <v/>
      </c>
      <c r="JB42" s="1" t="str">
        <f ca="1">IFERROR(__xludf.DUMMYFUNCTION("if(JB$2="""","""", index(GOOGLEFINANCE($B$42,""close"",JB$2,TODAY()),2,2))"),"")</f>
        <v/>
      </c>
      <c r="JC42" s="1" t="str">
        <f ca="1">IFERROR(__xludf.DUMMYFUNCTION("if(JC$2="""","""", index(GOOGLEFINANCE($B$42,""close"",JC$2,TODAY()),2,2))"),"")</f>
        <v/>
      </c>
      <c r="JD42" s="1" t="str">
        <f ca="1">IFERROR(__xludf.DUMMYFUNCTION("if(JD$2="""","""", index(GOOGLEFINANCE($B$42,""close"",JD$2,TODAY()),2,2))"),"")</f>
        <v/>
      </c>
      <c r="JE42" s="1" t="str">
        <f ca="1">IFERROR(__xludf.DUMMYFUNCTION("if(JE$2="""","""", index(GOOGLEFINANCE($B$42,""close"",JE$2,TODAY()),2,2))"),"")</f>
        <v/>
      </c>
      <c r="JF42" s="1" t="str">
        <f ca="1">IFERROR(__xludf.DUMMYFUNCTION("if(JF$2="""","""", index(GOOGLEFINANCE($B$42,""close"",JF$2,TODAY()),2,2))"),"")</f>
        <v/>
      </c>
      <c r="JG42" s="1" t="str">
        <f ca="1">IFERROR(__xludf.DUMMYFUNCTION("if(JG$2="""","""", index(GOOGLEFINANCE($B$42,""close"",JG$2,TODAY()),2,2))"),"")</f>
        <v/>
      </c>
      <c r="JH42" s="1" t="str">
        <f ca="1">IFERROR(__xludf.DUMMYFUNCTION("if(JH$2="""","""", index(GOOGLEFINANCE($B$42,""close"",JH$2,TODAY()),2,2))"),"")</f>
        <v/>
      </c>
      <c r="JI42" s="1" t="str">
        <f ca="1">IFERROR(__xludf.DUMMYFUNCTION("if(JI$2="""","""", index(GOOGLEFINANCE($B$42,""close"",JI$2,TODAY()),2,2))"),"")</f>
        <v/>
      </c>
      <c r="JJ42" s="1" t="str">
        <f ca="1">IFERROR(__xludf.DUMMYFUNCTION("if(JJ$2="""","""", index(GOOGLEFINANCE($B$42,""close"",JJ$2,TODAY()),2,2))"),"")</f>
        <v/>
      </c>
      <c r="JK42" s="1" t="str">
        <f ca="1">IFERROR(__xludf.DUMMYFUNCTION("if(JK$2="""","""", index(GOOGLEFINANCE($B$42,""close"",JK$2,TODAY()),2,2))"),"")</f>
        <v/>
      </c>
      <c r="JL42" s="1" t="str">
        <f ca="1">IFERROR(__xludf.DUMMYFUNCTION("if(JL$2="""","""", index(GOOGLEFINANCE($B$42,""close"",JL$2,TODAY()),2,2))"),"")</f>
        <v/>
      </c>
      <c r="JM42" s="1" t="str">
        <f ca="1">IFERROR(__xludf.DUMMYFUNCTION("if(JM$2="""","""", index(GOOGLEFINANCE($B$42,""close"",JM$2,TODAY()),2,2))"),"")</f>
        <v/>
      </c>
      <c r="JN42" s="1" t="str">
        <f ca="1">IFERROR(__xludf.DUMMYFUNCTION("if(JN$2="""","""", index(GOOGLEFINANCE($B$42,""close"",JN$2,TODAY()),2,2))"),"")</f>
        <v/>
      </c>
      <c r="JO42" s="1" t="str">
        <f ca="1">IFERROR(__xludf.DUMMYFUNCTION("if(JO$2="""","""", index(GOOGLEFINANCE($B$42,""close"",JO$2,TODAY()),2,2))"),"")</f>
        <v/>
      </c>
      <c r="JP42" s="1" t="str">
        <f ca="1">IFERROR(__xludf.DUMMYFUNCTION("if(JP$2="""","""", index(GOOGLEFINANCE($B$42,""close"",JP$2,TODAY()),2,2))"),"")</f>
        <v/>
      </c>
      <c r="JQ42" s="1" t="str">
        <f ca="1">IFERROR(__xludf.DUMMYFUNCTION("if(JQ$2="""","""", index(GOOGLEFINANCE($B$42,""close"",JQ$2,TODAY()),2,2))"),"")</f>
        <v/>
      </c>
      <c r="JR42" s="1" t="str">
        <f ca="1">IFERROR(__xludf.DUMMYFUNCTION("if(JR$2="""","""", index(GOOGLEFINANCE($B$42,""close"",JR$2,TODAY()),2,2))"),"")</f>
        <v/>
      </c>
      <c r="JS42" s="1" t="str">
        <f ca="1">IFERROR(__xludf.DUMMYFUNCTION("if(JS$2="""","""", index(GOOGLEFINANCE($B$42,""close"",JS$2,TODAY()),2,2))"),"")</f>
        <v/>
      </c>
      <c r="JT42" s="1" t="str">
        <f ca="1">IFERROR(__xludf.DUMMYFUNCTION("if(JT$2="""","""", index(GOOGLEFINANCE($B$42,""close"",JT$2,TODAY()),2,2))"),"")</f>
        <v/>
      </c>
      <c r="JU42" s="1" t="str">
        <f ca="1">IFERROR(__xludf.DUMMYFUNCTION("if(JU$2="""","""", index(GOOGLEFINANCE($B$42,""close"",JU$2,TODAY()),2,2))"),"")</f>
        <v/>
      </c>
      <c r="JV42" s="1" t="str">
        <f ca="1">IFERROR(__xludf.DUMMYFUNCTION("if(JV$2="""","""", index(GOOGLEFINANCE($B$42,""close"",JV$2,TODAY()),2,2))"),"")</f>
        <v/>
      </c>
      <c r="JW42" s="1" t="str">
        <f ca="1">IFERROR(__xludf.DUMMYFUNCTION("if(JW$2="""","""", index(GOOGLEFINANCE($B$42,""close"",JW$2,TODAY()),2,2))"),"")</f>
        <v/>
      </c>
      <c r="JX42" s="1" t="str">
        <f ca="1">IFERROR(__xludf.DUMMYFUNCTION("if(JX$2="""","""", index(GOOGLEFINANCE($B$42,""close"",JX$2,TODAY()),2,2))"),"")</f>
        <v/>
      </c>
      <c r="JY42" s="1" t="str">
        <f ca="1">IFERROR(__xludf.DUMMYFUNCTION("if(JY$2="""","""", index(GOOGLEFINANCE($B$42,""close"",JY$2,TODAY()),2,2))"),"")</f>
        <v/>
      </c>
      <c r="JZ42" s="1" t="str">
        <f ca="1">IFERROR(__xludf.DUMMYFUNCTION("if(JZ$2="""","""", index(GOOGLEFINANCE($B$42,""close"",JZ$2,TODAY()),2,2))"),"")</f>
        <v/>
      </c>
      <c r="KA42" s="1" t="str">
        <f ca="1">IFERROR(__xludf.DUMMYFUNCTION("if(KA$2="""","""", index(GOOGLEFINANCE($B$42,""close"",KA$2,TODAY()),2,2))"),"")</f>
        <v/>
      </c>
      <c r="KB42" s="1" t="str">
        <f ca="1">IFERROR(__xludf.DUMMYFUNCTION("if(KB$2="""","""", index(GOOGLEFINANCE($B$42,""close"",KB$2,TODAY()),2,2))"),"")</f>
        <v/>
      </c>
      <c r="KC42" s="1" t="str">
        <f ca="1">IFERROR(__xludf.DUMMYFUNCTION("if(KC$2="""","""", index(GOOGLEFINANCE($B$42,""close"",KC$2,TODAY()),2,2))"),"")</f>
        <v/>
      </c>
      <c r="KD42" s="1" t="str">
        <f ca="1">IFERROR(__xludf.DUMMYFUNCTION("if(KD$2="""","""", index(GOOGLEFINANCE($B$42,""close"",KD$2,TODAY()),2,2))"),"")</f>
        <v/>
      </c>
      <c r="KE42" s="1" t="str">
        <f ca="1">IFERROR(__xludf.DUMMYFUNCTION("if(KE$2="""","""", index(GOOGLEFINANCE($B$42,""close"",KE$2,TODAY()),2,2))"),"")</f>
        <v/>
      </c>
      <c r="KF42" s="1" t="str">
        <f ca="1">IFERROR(__xludf.DUMMYFUNCTION("if(KF$2="""","""", index(GOOGLEFINANCE($B$42,""close"",KF$2,TODAY()),2,2))"),"")</f>
        <v/>
      </c>
      <c r="KG42" s="1" t="str">
        <f ca="1">IFERROR(__xludf.DUMMYFUNCTION("if(KG$2="""","""", index(GOOGLEFINANCE($B$42,""close"",KG$2,TODAY()),2,2))"),"")</f>
        <v/>
      </c>
    </row>
    <row r="43" spans="1:293" ht="15.75" customHeight="1">
      <c r="A43" s="18" t="s">
        <v>30</v>
      </c>
      <c r="B43" s="6" t="s">
        <v>85</v>
      </c>
      <c r="C43" s="1">
        <f ca="1">IFERROR(__xludf.DUMMYFUNCTION("if(C$2="""","""", index(GOOGLEFINANCE($B$43,""close"",C$2,TODAY()),2,2))"),25.75)</f>
        <v>25.75</v>
      </c>
      <c r="D43" s="1">
        <f ca="1">IFERROR(__xludf.DUMMYFUNCTION("if(D$2="""","""", index(GOOGLEFINANCE($B$43,""close"",D$2,TODAY()),2,2))"),26.33)</f>
        <v>26.33</v>
      </c>
      <c r="E43" s="1">
        <f ca="1">IFERROR(__xludf.DUMMYFUNCTION("if(E$2="""","""", index(GOOGLEFINANCE($B$43,""close"",E$2,TODAY()),2,2))"),26.01)</f>
        <v>26.01</v>
      </c>
      <c r="F43" s="1">
        <f ca="1">IFERROR(__xludf.DUMMYFUNCTION("if(F$2="""","""", index(GOOGLEFINANCE($B$43,""close"",F$2,TODAY()),2,2))"),26.59)</f>
        <v>26.59</v>
      </c>
      <c r="G43" s="1">
        <f ca="1">IFERROR(__xludf.DUMMYFUNCTION("if(G$2="""","""", index(GOOGLEFINANCE($B$43,""close"",G$2,TODAY()),2,2))"),26.36)</f>
        <v>26.36</v>
      </c>
      <c r="H43" s="1">
        <f ca="1">IFERROR(__xludf.DUMMYFUNCTION("if(H$2="""","""", index(GOOGLEFINANCE($B$43,""close"",H$2,TODAY()),2,2))"),25.96)</f>
        <v>25.96</v>
      </c>
      <c r="I43" s="1">
        <f ca="1">IFERROR(__xludf.DUMMYFUNCTION("if(I$2="""","""", index(GOOGLEFINANCE($B$43,""close"",I$2,TODAY()),2,2))"),25.63)</f>
        <v>25.63</v>
      </c>
      <c r="J43" s="1">
        <f ca="1">IFERROR(__xludf.DUMMYFUNCTION("if(J$2="""","""", index(GOOGLEFINANCE($B$43,""close"",J$2,TODAY()),2,2))"),25.57)</f>
        <v>25.57</v>
      </c>
      <c r="K43" s="1">
        <f ca="1">IFERROR(__xludf.DUMMYFUNCTION("if(K$2="""","""", index(GOOGLEFINANCE($B$43,""close"",K$2,TODAY()),2,2))"),25.63)</f>
        <v>25.63</v>
      </c>
      <c r="L43" s="1">
        <f ca="1">IFERROR(__xludf.DUMMYFUNCTION("if(L$2="""","""", index(GOOGLEFINANCE($B$43,""close"",L$2,TODAY()),2,2))"),26.03)</f>
        <v>26.03</v>
      </c>
      <c r="M43" s="1">
        <f ca="1">IFERROR(__xludf.DUMMYFUNCTION("if(M$2="""","""", index(GOOGLEFINANCE($B$43,""close"",M$2,TODAY()),2,2))"),25.76)</f>
        <v>25.76</v>
      </c>
      <c r="N43" s="1">
        <f ca="1">IFERROR(__xludf.DUMMYFUNCTION("if(N$2="""","""", index(GOOGLEFINANCE($B$43,""close"",N$2,TODAY()),2,2))"),25.65)</f>
        <v>25.65</v>
      </c>
      <c r="O43" s="1">
        <f ca="1">IFERROR(__xludf.DUMMYFUNCTION("if(O$2="""","""", index(GOOGLEFINANCE($B$43,""close"",O$2,TODAY()),2,2))"),25.42)</f>
        <v>25.42</v>
      </c>
      <c r="P43" s="1">
        <f ca="1">IFERROR(__xludf.DUMMYFUNCTION("if(P$2="""","""", index(GOOGLEFINANCE($B$43,""close"",P$2,TODAY()),2,2))"),25.58)</f>
        <v>25.58</v>
      </c>
      <c r="Q43" s="1">
        <f ca="1">IFERROR(__xludf.DUMMYFUNCTION("if(Q$2="""","""", index(GOOGLEFINANCE($B$43,""close"",Q$2,TODAY()),2,2))"),28.42)</f>
        <v>28.42</v>
      </c>
      <c r="R43" s="1">
        <f ca="1">IFERROR(__xludf.DUMMYFUNCTION("if(R$2="""","""", index(GOOGLEFINANCE($B$43,""close"",R$2,TODAY()),2,2))"),30.64)</f>
        <v>30.64</v>
      </c>
      <c r="S43" s="1">
        <f ca="1">IFERROR(__xludf.DUMMYFUNCTION("if(S$2="""","""", index(GOOGLEFINANCE($B$43,""close"",S$2,TODAY()),2,2))"),29.95)</f>
        <v>29.95</v>
      </c>
      <c r="T43" s="1">
        <f ca="1">IFERROR(__xludf.DUMMYFUNCTION("if(T$2="""","""", index(GOOGLEFINANCE($B$43,""close"",T$2,TODAY()),2,2))"),30.07)</f>
        <v>30.07</v>
      </c>
      <c r="U43" s="1">
        <f ca="1">IFERROR(__xludf.DUMMYFUNCTION("if(U$2="""","""", index(GOOGLEFINANCE($B$43,""close"",U$2,TODAY()),2,2))"),30)</f>
        <v>30</v>
      </c>
      <c r="V43" s="1">
        <f ca="1">IFERROR(__xludf.DUMMYFUNCTION("if(V$2="""","""", index(GOOGLEFINANCE($B$43,""close"",V$2,TODAY()),2,2))"),28.55)</f>
        <v>28.55</v>
      </c>
      <c r="W43" s="1">
        <f ca="1">IFERROR(__xludf.DUMMYFUNCTION("if(W$2="""","""", index(GOOGLEFINANCE($B$43,""close"",W$2,TODAY()),2,2))"),29.27)</f>
        <v>29.27</v>
      </c>
      <c r="X43" s="1">
        <f ca="1">IFERROR(__xludf.DUMMYFUNCTION("if(X$2="""","""", index(GOOGLEFINANCE($B$43,""close"",X$2,TODAY()),2,2))"),28.7)</f>
        <v>28.7</v>
      </c>
      <c r="Y43" s="1">
        <f ca="1">IFERROR(__xludf.DUMMYFUNCTION("if(Y$2="""","""", index(GOOGLEFINANCE($B$43,""close"",Y$2,TODAY()),2,2))"),28.64)</f>
        <v>28.64</v>
      </c>
      <c r="Z43" s="1">
        <f ca="1">IFERROR(__xludf.DUMMYFUNCTION("if(Z$2="""","""", index(GOOGLEFINANCE($B$43,""close"",Z$2,TODAY()),2,2))"),28.51)</f>
        <v>28.51</v>
      </c>
      <c r="AA43" s="1">
        <f ca="1">IFERROR(__xludf.DUMMYFUNCTION("if(AA$2="""","""", index(GOOGLEFINANCE($B$43,""close"",AA$2,TODAY()),2,2))"),27.55)</f>
        <v>27.55</v>
      </c>
      <c r="AB43" s="1">
        <f ca="1">IFERROR(__xludf.DUMMYFUNCTION("if(AB$2="""","""", index(GOOGLEFINANCE($B$43,""close"",AB$2,TODAY()),2,2))"),27.59)</f>
        <v>27.59</v>
      </c>
      <c r="AC43" s="1">
        <f ca="1">IFERROR(__xludf.DUMMYFUNCTION("if(AC$2="""","""", index(GOOGLEFINANCE($B$43,""close"",AC$2,TODAY()),2,2))"),27.49)</f>
        <v>27.49</v>
      </c>
      <c r="AD43" s="1">
        <f ca="1">IFERROR(__xludf.DUMMYFUNCTION("if(AD$2="""","""", index(GOOGLEFINANCE($B$43,""close"",AD$2,TODAY()),2,2))"),27.5)</f>
        <v>27.5</v>
      </c>
      <c r="AE43" s="1">
        <f ca="1">IFERROR(__xludf.DUMMYFUNCTION("if(AE$2="""","""", index(GOOGLEFINANCE($B$43,""close"",AE$2,TODAY()),2,2))"),27.1)</f>
        <v>27.1</v>
      </c>
      <c r="AF43" s="1">
        <f ca="1">IFERROR(__xludf.DUMMYFUNCTION("if(AF$2="""","""", index(GOOGLEFINANCE($B$43,""close"",AF$2,TODAY()),2,2))"),26.6)</f>
        <v>26.6</v>
      </c>
      <c r="AG43" s="1">
        <f ca="1">IFERROR(__xludf.DUMMYFUNCTION("if(AG$2="""","""", index(GOOGLEFINANCE($B$43,""close"",AG$2,TODAY()),2,2))"),27.49)</f>
        <v>27.49</v>
      </c>
      <c r="AH43" s="1">
        <f ca="1">IFERROR(__xludf.DUMMYFUNCTION("if(AH$2="""","""", index(GOOGLEFINANCE($B$43,""close"",AH$2,TODAY()),2,2))"),28.6)</f>
        <v>28.6</v>
      </c>
      <c r="AI43" s="1">
        <f ca="1">IFERROR(__xludf.DUMMYFUNCTION("if(AI$2="""","""", index(GOOGLEFINANCE($B$43,""close"",AI$2,TODAY()),2,2))"),28.71)</f>
        <v>28.71</v>
      </c>
      <c r="AJ43" s="1">
        <f ca="1">IFERROR(__xludf.DUMMYFUNCTION("if(AJ$2="""","""", index(GOOGLEFINANCE($B$43,""close"",AJ$2,TODAY()),2,2))"),28.87)</f>
        <v>28.87</v>
      </c>
      <c r="AK43" s="1">
        <f ca="1">IFERROR(__xludf.DUMMYFUNCTION("if(AK$2="""","""", index(GOOGLEFINANCE($B$43,""close"",AK$2,TODAY()),2,2))"),27.93)</f>
        <v>27.93</v>
      </c>
      <c r="AL43" s="1">
        <f ca="1">IFERROR(__xludf.DUMMYFUNCTION("if(AL$2="""","""", index(GOOGLEFINANCE($B$43,""close"",AL$2,TODAY()),2,2))"),27.96)</f>
        <v>27.96</v>
      </c>
      <c r="AM43" s="1">
        <f ca="1">IFERROR(__xludf.DUMMYFUNCTION("if(AM$2="""","""", index(GOOGLEFINANCE($B$43,""close"",AM$2,TODAY()),2,2))"),27.98)</f>
        <v>27.98</v>
      </c>
      <c r="AN43" s="1">
        <f ca="1">IFERROR(__xludf.DUMMYFUNCTION("if(AN$2="""","""", index(GOOGLEFINANCE($B$43,""close"",AN$2,TODAY()),2,2))"),28.44)</f>
        <v>28.44</v>
      </c>
      <c r="AO43" s="1">
        <f ca="1">IFERROR(__xludf.DUMMYFUNCTION("if(AO$2="""","""", index(GOOGLEFINANCE($B$43,""close"",AO$2,TODAY()),2,2))"),28.71)</f>
        <v>28.71</v>
      </c>
      <c r="AP43" s="1">
        <f ca="1">IFERROR(__xludf.DUMMYFUNCTION("if(AP$2="""","""", index(GOOGLEFINANCE($B$43,""close"",AP$2,TODAY()),2,2))"),28.07)</f>
        <v>28.07</v>
      </c>
      <c r="AQ43" s="1">
        <f ca="1">IFERROR(__xludf.DUMMYFUNCTION("if(AQ$2="""","""", index(GOOGLEFINANCE($B$43,""close"",AQ$2,TODAY()),2,2))"),29.82)</f>
        <v>29.82</v>
      </c>
      <c r="AR43" s="1">
        <f ca="1">IFERROR(__xludf.DUMMYFUNCTION("if(AR$2="""","""", index(GOOGLEFINANCE($B$43,""close"",AR$2,TODAY()),2,2))"),29.51)</f>
        <v>29.51</v>
      </c>
      <c r="AS43" s="1">
        <f ca="1">IFERROR(__xludf.DUMMYFUNCTION("if(AS$2="""","""", index(GOOGLEFINANCE($B$43,""close"",AS$2,TODAY()),2,2))"),29.78)</f>
        <v>29.78</v>
      </c>
      <c r="AT43" s="1">
        <f ca="1">IFERROR(__xludf.DUMMYFUNCTION("if(AT$2="""","""", index(GOOGLEFINANCE($B$43,""close"",AT$2,TODAY()),2,2))"),30.48)</f>
        <v>30.48</v>
      </c>
      <c r="AU43" s="1">
        <f ca="1">IFERROR(__xludf.DUMMYFUNCTION("if(AU$2="""","""", index(GOOGLEFINANCE($B$43,""close"",AU$2,TODAY()),2,2))"),31.45)</f>
        <v>31.45</v>
      </c>
      <c r="AV43" s="1">
        <f ca="1">IFERROR(__xludf.DUMMYFUNCTION("if(AV$2="""","""", index(GOOGLEFINANCE($B$43,""close"",AV$2,TODAY()),2,2))"),30.92)</f>
        <v>30.92</v>
      </c>
      <c r="AW43" s="1">
        <f ca="1">IFERROR(__xludf.DUMMYFUNCTION("if(AW$2="""","""", index(GOOGLEFINANCE($B$43,""close"",AW$2,TODAY()),2,2))"),31.22)</f>
        <v>31.22</v>
      </c>
      <c r="AX43" s="1">
        <f ca="1">IFERROR(__xludf.DUMMYFUNCTION("if(AX$2="""","""", index(GOOGLEFINANCE($B$43,""close"",AX$2,TODAY()),2,2))"),31.15)</f>
        <v>31.15</v>
      </c>
      <c r="AY43" s="1">
        <f ca="1">IFERROR(__xludf.DUMMYFUNCTION("if(AY$2="""","""", index(GOOGLEFINANCE($B$43,""close"",AY$2,TODAY()),2,2))"),31.06)</f>
        <v>31.06</v>
      </c>
      <c r="AZ43" s="1">
        <f ca="1">IFERROR(__xludf.DUMMYFUNCTION("if(AZ$2="""","""", index(GOOGLEFINANCE($B$43,""close"",AZ$2,TODAY()),2,2))"),30.1)</f>
        <v>30.1</v>
      </c>
      <c r="BA43" s="1">
        <f ca="1">IFERROR(__xludf.DUMMYFUNCTION("if(BA$2="""","""", index(GOOGLEFINANCE($B$43,""close"",BA$2,TODAY()),2,2))"),29.79)</f>
        <v>29.79</v>
      </c>
      <c r="BB43" s="1">
        <f ca="1">IFERROR(__xludf.DUMMYFUNCTION("if(BB$2="""","""", index(GOOGLEFINANCE($B$43,""close"",BB$2,TODAY()),2,2))"),31.36)</f>
        <v>31.36</v>
      </c>
      <c r="BC43" s="1">
        <f ca="1">IFERROR(__xludf.DUMMYFUNCTION("if(BC$2="""","""", index(GOOGLEFINANCE($B$43,""close"",BC$2,TODAY()),2,2))"),30.72)</f>
        <v>30.72</v>
      </c>
      <c r="BD43" s="1">
        <f ca="1">IFERROR(__xludf.DUMMYFUNCTION("if(BD$2="""","""", index(GOOGLEFINANCE($B$43,""close"",BD$2,TODAY()),2,2))"),30.86)</f>
        <v>30.86</v>
      </c>
      <c r="BE43" s="1">
        <f ca="1">IFERROR(__xludf.DUMMYFUNCTION("if(BE$2="""","""", index(GOOGLEFINANCE($B$43,""close"",BE$2,TODAY()),2,2))"),30.04)</f>
        <v>30.04</v>
      </c>
      <c r="BF43" s="1">
        <f ca="1">IFERROR(__xludf.DUMMYFUNCTION("if(BF$2="""","""", index(GOOGLEFINANCE($B$43,""close"",BF$2,TODAY()),2,2))"),30.1)</f>
        <v>30.1</v>
      </c>
      <c r="BG43" s="1">
        <f ca="1">IFERROR(__xludf.DUMMYFUNCTION("if(BG$2="""","""", index(GOOGLEFINANCE($B$43,""close"",BG$2,TODAY()),2,2))"),31.28)</f>
        <v>31.28</v>
      </c>
      <c r="BH43" s="1">
        <f ca="1">IFERROR(__xludf.DUMMYFUNCTION("if(BH$2="""","""", index(GOOGLEFINANCE($B$43,""close"",BH$2,TODAY()),2,2))"),28.65)</f>
        <v>28.65</v>
      </c>
      <c r="BI43" s="1">
        <f ca="1">IFERROR(__xludf.DUMMYFUNCTION("if(BI$2="""","""", index(GOOGLEFINANCE($B$43,""close"",BI$2,TODAY()),2,2))"),27.11)</f>
        <v>27.11</v>
      </c>
      <c r="BJ43" s="1">
        <f ca="1">IFERROR(__xludf.DUMMYFUNCTION("if(BJ$2="""","""", index(GOOGLEFINANCE($B$43,""close"",BJ$2,TODAY()),2,2))"),28)</f>
        <v>28</v>
      </c>
      <c r="BK43" s="1">
        <f ca="1">IFERROR(__xludf.DUMMYFUNCTION("if(BK$2="""","""", index(GOOGLEFINANCE($B$43,""close"",BK$2,TODAY()),2,2))"),27.32)</f>
        <v>27.32</v>
      </c>
      <c r="BL43" s="1">
        <f ca="1">IFERROR(__xludf.DUMMYFUNCTION("if(BL$2="""","""", index(GOOGLEFINANCE($B$43,""close"",BL$2,TODAY()),2,2))"),27.09)</f>
        <v>27.09</v>
      </c>
      <c r="BM43" s="1">
        <f ca="1">IFERROR(__xludf.DUMMYFUNCTION("if(BM$2="""","""", index(GOOGLEFINANCE($B$43,""close"",BM$2,TODAY()),2,2))"),27.53)</f>
        <v>27.53</v>
      </c>
      <c r="BN43" s="1">
        <f ca="1">IFERROR(__xludf.DUMMYFUNCTION("if(BN$2="""","""", index(GOOGLEFINANCE($B$43,""close"",BN$2,TODAY()),2,2))"),27.2)</f>
        <v>27.2</v>
      </c>
      <c r="BO43" s="1">
        <f ca="1">IFERROR(__xludf.DUMMYFUNCTION("if(BO$2="""","""", index(GOOGLEFINANCE($B$43,""close"",BO$2,TODAY()),2,2))"),26.74)</f>
        <v>26.74</v>
      </c>
      <c r="BP43" s="1">
        <f ca="1">IFERROR(__xludf.DUMMYFUNCTION("if(BP$2="""","""", index(GOOGLEFINANCE($B$43,""close"",BP$2,TODAY()),2,2))"),25.97)</f>
        <v>25.97</v>
      </c>
      <c r="BQ43" s="1">
        <f ca="1">IFERROR(__xludf.DUMMYFUNCTION("if(BQ$2="""","""", index(GOOGLEFINANCE($B$43,""close"",BQ$2,TODAY()),2,2))"),25.5)</f>
        <v>25.5</v>
      </c>
      <c r="BR43" s="1">
        <f ca="1">IFERROR(__xludf.DUMMYFUNCTION("if(BR$2="""","""", index(GOOGLEFINANCE($B$43,""close"",BR$2,TODAY()),2,2))"),25.07)</f>
        <v>25.07</v>
      </c>
      <c r="BS43" s="1">
        <f ca="1">IFERROR(__xludf.DUMMYFUNCTION("if(BS$2="""","""", index(GOOGLEFINANCE($B$43,""close"",BS$2,TODAY()),2,2))"),24.55)</f>
        <v>24.55</v>
      </c>
      <c r="BT43" s="1">
        <f ca="1">IFERROR(__xludf.DUMMYFUNCTION("if(BT$2="""","""", index(GOOGLEFINANCE($B$43,""close"",BT$2,TODAY()),2,2))"),24.72)</f>
        <v>24.72</v>
      </c>
      <c r="BU43" s="1">
        <f ca="1">IFERROR(__xludf.DUMMYFUNCTION("if(BU$2="""","""", index(GOOGLEFINANCE($B$43,""close"",BU$2,TODAY()),2,2))"),25.36)</f>
        <v>25.36</v>
      </c>
      <c r="BV43" s="1">
        <f ca="1">IFERROR(__xludf.DUMMYFUNCTION("if(BV$2="""","""", index(GOOGLEFINANCE($B$43,""close"",BV$2,TODAY()),2,2))"),25.13)</f>
        <v>25.13</v>
      </c>
      <c r="BW43" s="1">
        <f ca="1">IFERROR(__xludf.DUMMYFUNCTION("if(BW$2="""","""", index(GOOGLEFINANCE($B$43,""close"",BW$2,TODAY()),2,2))"),26.1)</f>
        <v>26.1</v>
      </c>
      <c r="BX43" s="1">
        <f ca="1">IFERROR(__xludf.DUMMYFUNCTION("if(BX$2="""","""", index(GOOGLEFINANCE($B$43,""close"",BX$2,TODAY()),2,2))"),26.04)</f>
        <v>26.04</v>
      </c>
      <c r="BY43" s="1">
        <f ca="1">IFERROR(__xludf.DUMMYFUNCTION("if(BY$2="""","""", index(GOOGLEFINANCE($B$43,""close"",BY$2,TODAY()),2,2))"),25.98)</f>
        <v>25.98</v>
      </c>
      <c r="BZ43" s="1">
        <f ca="1">IFERROR(__xludf.DUMMYFUNCTION("if(BZ$2="""","""", index(GOOGLEFINANCE($B$43,""close"",BZ$2,TODAY()),2,2))"),25.63)</f>
        <v>25.63</v>
      </c>
      <c r="CA43" s="1">
        <f ca="1">IFERROR(__xludf.DUMMYFUNCTION("if(CA$2="""","""", index(GOOGLEFINANCE($B$43,""close"",CA$2,TODAY()),2,2))"),25)</f>
        <v>25</v>
      </c>
      <c r="CB43" s="1">
        <f ca="1">IFERROR(__xludf.DUMMYFUNCTION("if(CB$2="""","""", index(GOOGLEFINANCE($B$43,""close"",CB$2,TODAY()),2,2))"),24.23)</f>
        <v>24.23</v>
      </c>
      <c r="CC43" s="1">
        <f ca="1">IFERROR(__xludf.DUMMYFUNCTION("if(CC$2="""","""", index(GOOGLEFINANCE($B$43,""close"",CC$2,TODAY()),2,2))"),23.41)</f>
        <v>23.41</v>
      </c>
      <c r="CD43" s="1">
        <f ca="1">IFERROR(__xludf.DUMMYFUNCTION("if(CD$2="""","""", index(GOOGLEFINANCE($B$43,""close"",CD$2,TODAY()),2,2))"),23.16)</f>
        <v>23.16</v>
      </c>
      <c r="CE43" s="1">
        <f ca="1">IFERROR(__xludf.DUMMYFUNCTION("if(CE$2="""","""", index(GOOGLEFINANCE($B$43,""close"",CE$2,TODAY()),2,2))"),24.17)</f>
        <v>24.17</v>
      </c>
      <c r="CF43" s="1">
        <f ca="1">IFERROR(__xludf.DUMMYFUNCTION("if(CF$2="""","""", index(GOOGLEFINANCE($B$43,""close"",CF$2,TODAY()),2,2))"),23.63)</f>
        <v>23.63</v>
      </c>
      <c r="CG43" s="1">
        <f ca="1">IFERROR(__xludf.DUMMYFUNCTION("if(CG$2="""","""", index(GOOGLEFINANCE($B$43,""close"",CG$2,TODAY()),2,2))"),23.48)</f>
        <v>23.48</v>
      </c>
      <c r="CH43" s="1">
        <f ca="1">IFERROR(__xludf.DUMMYFUNCTION("if(CH$2="""","""", index(GOOGLEFINANCE($B$43,""close"",CH$2,TODAY()),2,2))"),23.66)</f>
        <v>23.66</v>
      </c>
      <c r="CI43" s="1">
        <f ca="1">IFERROR(__xludf.DUMMYFUNCTION("if(CI$2="""","""", index(GOOGLEFINANCE($B$43,""close"",CI$2,TODAY()),2,2))"),24.21)</f>
        <v>24.21</v>
      </c>
      <c r="CJ43" s="1" t="str">
        <f ca="1">IFERROR(__xludf.DUMMYFUNCTION("if(CJ$2="""","""", index(GOOGLEFINANCE($B$43,""close"",CJ$2,TODAY()),2,2))"),"")</f>
        <v/>
      </c>
      <c r="CK43" s="1" t="str">
        <f ca="1">IFERROR(__xludf.DUMMYFUNCTION("if(CK$2="""","""", index(GOOGLEFINANCE($B$43,""close"",CK$2,TODAY()),2,2))"),"")</f>
        <v/>
      </c>
      <c r="CL43" s="1" t="str">
        <f ca="1">IFERROR(__xludf.DUMMYFUNCTION("if(CL$2="""","""", index(GOOGLEFINANCE($B$43,""close"",CL$2,TODAY()),2,2))"),"")</f>
        <v/>
      </c>
      <c r="CM43" s="1" t="str">
        <f ca="1">IFERROR(__xludf.DUMMYFUNCTION("if(CM$2="""","""", index(GOOGLEFINANCE($B$43,""close"",CM$2,TODAY()),2,2))"),"")</f>
        <v/>
      </c>
      <c r="CN43" s="1" t="str">
        <f ca="1">IFERROR(__xludf.DUMMYFUNCTION("if(CN$2="""","""", index(GOOGLEFINANCE($B$43,""close"",CN$2,TODAY()),2,2))"),"")</f>
        <v/>
      </c>
      <c r="CO43" s="1" t="str">
        <f ca="1">IFERROR(__xludf.DUMMYFUNCTION("if(CO$2="""","""", index(GOOGLEFINANCE($B$43,""close"",CO$2,TODAY()),2,2))"),"")</f>
        <v/>
      </c>
      <c r="CP43" s="1" t="str">
        <f ca="1">IFERROR(__xludf.DUMMYFUNCTION("if(CP$2="""","""", index(GOOGLEFINANCE($B$43,""close"",CP$2,TODAY()),2,2))"),"")</f>
        <v/>
      </c>
      <c r="CQ43" s="1" t="str">
        <f ca="1">IFERROR(__xludf.DUMMYFUNCTION("if(CQ$2="""","""", index(GOOGLEFINANCE($B$43,""close"",CQ$2,TODAY()),2,2))"),"")</f>
        <v/>
      </c>
      <c r="CR43" s="1" t="str">
        <f ca="1">IFERROR(__xludf.DUMMYFUNCTION("if(CR$2="""","""", index(GOOGLEFINANCE($B$43,""close"",CR$2,TODAY()),2,2))"),"")</f>
        <v/>
      </c>
      <c r="CS43" s="1" t="str">
        <f ca="1">IFERROR(__xludf.DUMMYFUNCTION("if(CS$2="""","""", index(GOOGLEFINANCE($B$43,""close"",CS$2,TODAY()),2,2))"),"")</f>
        <v/>
      </c>
      <c r="CT43" s="1" t="str">
        <f ca="1">IFERROR(__xludf.DUMMYFUNCTION("if(CT$2="""","""", index(GOOGLEFINANCE($B$43,""close"",CT$2,TODAY()),2,2))"),"")</f>
        <v/>
      </c>
      <c r="CU43" s="1" t="str">
        <f ca="1">IFERROR(__xludf.DUMMYFUNCTION("if(CU$2="""","""", index(GOOGLEFINANCE($B$43,""close"",CU$2,TODAY()),2,2))"),"")</f>
        <v/>
      </c>
      <c r="CV43" s="1" t="str">
        <f ca="1">IFERROR(__xludf.DUMMYFUNCTION("if(CV$2="""","""", index(GOOGLEFINANCE($B$43,""close"",CV$2,TODAY()),2,2))"),"")</f>
        <v/>
      </c>
      <c r="CW43" s="1" t="str">
        <f ca="1">IFERROR(__xludf.DUMMYFUNCTION("if(CW$2="""","""", index(GOOGLEFINANCE($B$43,""close"",CW$2,TODAY()),2,2))"),"")</f>
        <v/>
      </c>
      <c r="CX43" s="1" t="str">
        <f ca="1">IFERROR(__xludf.DUMMYFUNCTION("if(CX$2="""","""", index(GOOGLEFINANCE($B$43,""close"",CX$2,TODAY()),2,2))"),"")</f>
        <v/>
      </c>
      <c r="CY43" s="1" t="str">
        <f ca="1">IFERROR(__xludf.DUMMYFUNCTION("if(CY$2="""","""", index(GOOGLEFINANCE($B$43,""close"",CY$2,TODAY()),2,2))"),"")</f>
        <v/>
      </c>
      <c r="CZ43" s="1" t="str">
        <f ca="1">IFERROR(__xludf.DUMMYFUNCTION("if(CZ$2="""","""", index(GOOGLEFINANCE($B$43,""close"",CZ$2,TODAY()),2,2))"),"")</f>
        <v/>
      </c>
      <c r="DA43" s="1" t="str">
        <f ca="1">IFERROR(__xludf.DUMMYFUNCTION("if(DA$2="""","""", index(GOOGLEFINANCE($B$43,""close"",DA$2,TODAY()),2,2))"),"")</f>
        <v/>
      </c>
      <c r="DB43" s="1" t="str">
        <f ca="1">IFERROR(__xludf.DUMMYFUNCTION("if(DB$2="""","""", index(GOOGLEFINANCE($B$43,""close"",DB$2,TODAY()),2,2))"),"")</f>
        <v/>
      </c>
      <c r="DC43" s="1" t="str">
        <f ca="1">IFERROR(__xludf.DUMMYFUNCTION("if(DC$2="""","""", index(GOOGLEFINANCE($B$43,""close"",DC$2,TODAY()),2,2))"),"")</f>
        <v/>
      </c>
      <c r="DD43" s="1" t="str">
        <f ca="1">IFERROR(__xludf.DUMMYFUNCTION("if(DD$2="""","""", index(GOOGLEFINANCE($B$43,""close"",DD$2,TODAY()),2,2))"),"")</f>
        <v/>
      </c>
      <c r="DE43" s="1" t="str">
        <f ca="1">IFERROR(__xludf.DUMMYFUNCTION("if(DE$2="""","""", index(GOOGLEFINANCE($B$43,""close"",DE$2,TODAY()),2,2))"),"")</f>
        <v/>
      </c>
      <c r="DF43" s="1" t="str">
        <f ca="1">IFERROR(__xludf.DUMMYFUNCTION("if(DF$2="""","""", index(GOOGLEFINANCE($B$43,""close"",DF$2,TODAY()),2,2))"),"")</f>
        <v/>
      </c>
      <c r="DG43" s="1" t="str">
        <f ca="1">IFERROR(__xludf.DUMMYFUNCTION("if(DG$2="""","""", index(GOOGLEFINANCE($B$43,""close"",DG$2,TODAY()),2,2))"),"")</f>
        <v/>
      </c>
      <c r="DH43" s="1" t="str">
        <f ca="1">IFERROR(__xludf.DUMMYFUNCTION("if(DH$2="""","""", index(GOOGLEFINANCE($B$43,""close"",DH$2,TODAY()),2,2))"),"")</f>
        <v/>
      </c>
      <c r="DI43" s="1" t="str">
        <f ca="1">IFERROR(__xludf.DUMMYFUNCTION("if(DI$2="""","""", index(GOOGLEFINANCE($B$43,""close"",DI$2,TODAY()),2,2))"),"")</f>
        <v/>
      </c>
      <c r="DJ43" s="1" t="str">
        <f ca="1">IFERROR(__xludf.DUMMYFUNCTION("if(DJ$2="""","""", index(GOOGLEFINANCE($B$43,""close"",DJ$2,TODAY()),2,2))"),"")</f>
        <v/>
      </c>
      <c r="DK43" s="1" t="str">
        <f ca="1">IFERROR(__xludf.DUMMYFUNCTION("if(DK$2="""","""", index(GOOGLEFINANCE($B$43,""close"",DK$2,TODAY()),2,2))"),"")</f>
        <v/>
      </c>
      <c r="DL43" s="1" t="str">
        <f ca="1">IFERROR(__xludf.DUMMYFUNCTION("if(DL$2="""","""", index(GOOGLEFINANCE($B$43,""close"",DL$2,TODAY()),2,2))"),"")</f>
        <v/>
      </c>
      <c r="DM43" s="1" t="str">
        <f ca="1">IFERROR(__xludf.DUMMYFUNCTION("if(DM$2="""","""", index(GOOGLEFINANCE($B$43,""close"",DM$2,TODAY()),2,2))"),"")</f>
        <v/>
      </c>
      <c r="DN43" s="1" t="str">
        <f ca="1">IFERROR(__xludf.DUMMYFUNCTION("if(DN$2="""","""", index(GOOGLEFINANCE($B$43,""close"",DN$2,TODAY()),2,2))"),"")</f>
        <v/>
      </c>
      <c r="DO43" s="1" t="str">
        <f ca="1">IFERROR(__xludf.DUMMYFUNCTION("if(DO$2="""","""", index(GOOGLEFINANCE($B$43,""close"",DO$2,TODAY()),2,2))"),"")</f>
        <v/>
      </c>
      <c r="DP43" s="1" t="str">
        <f ca="1">IFERROR(__xludf.DUMMYFUNCTION("if(DP$2="""","""", index(GOOGLEFINANCE($B$43,""close"",DP$2,TODAY()),2,2))"),"")</f>
        <v/>
      </c>
      <c r="DQ43" s="1" t="str">
        <f ca="1">IFERROR(__xludf.DUMMYFUNCTION("if(DQ$2="""","""", index(GOOGLEFINANCE($B$43,""close"",DQ$2,TODAY()),2,2))"),"")</f>
        <v/>
      </c>
      <c r="DR43" s="1" t="str">
        <f ca="1">IFERROR(__xludf.DUMMYFUNCTION("if(DR$2="""","""", index(GOOGLEFINANCE($B$43,""close"",DR$2,TODAY()),2,2))"),"")</f>
        <v/>
      </c>
      <c r="DS43" s="1" t="str">
        <f ca="1">IFERROR(__xludf.DUMMYFUNCTION("if(DS$2="""","""", index(GOOGLEFINANCE($B$43,""close"",DS$2,TODAY()),2,2))"),"")</f>
        <v/>
      </c>
      <c r="DT43" s="1" t="str">
        <f ca="1">IFERROR(__xludf.DUMMYFUNCTION("if(DT$2="""","""", index(GOOGLEFINANCE($B$43,""close"",DT$2,TODAY()),2,2))"),"")</f>
        <v/>
      </c>
      <c r="DU43" s="1" t="str">
        <f ca="1">IFERROR(__xludf.DUMMYFUNCTION("if(DU$2="""","""", index(GOOGLEFINANCE($B$43,""close"",DU$2,TODAY()),2,2))"),"")</f>
        <v/>
      </c>
      <c r="DV43" s="1" t="str">
        <f ca="1">IFERROR(__xludf.DUMMYFUNCTION("if(DV$2="""","""", index(GOOGLEFINANCE($B$43,""close"",DV$2,TODAY()),2,2))"),"")</f>
        <v/>
      </c>
      <c r="DW43" s="1" t="str">
        <f ca="1">IFERROR(__xludf.DUMMYFUNCTION("if(DW$2="""","""", index(GOOGLEFINANCE($B$43,""close"",DW$2,TODAY()),2,2))"),"")</f>
        <v/>
      </c>
      <c r="DX43" s="1" t="str">
        <f ca="1">IFERROR(__xludf.DUMMYFUNCTION("if(DX$2="""","""", index(GOOGLEFINANCE($B$43,""close"",DX$2,TODAY()),2,2))"),"")</f>
        <v/>
      </c>
      <c r="DY43" s="1" t="str">
        <f ca="1">IFERROR(__xludf.DUMMYFUNCTION("if(DY$2="""","""", index(GOOGLEFINANCE($B$43,""close"",DY$2,TODAY()),2,2))"),"")</f>
        <v/>
      </c>
      <c r="DZ43" s="1" t="str">
        <f ca="1">IFERROR(__xludf.DUMMYFUNCTION("if(DZ$2="""","""", index(GOOGLEFINANCE($B$43,""close"",DZ$2,TODAY()),2,2))"),"")</f>
        <v/>
      </c>
      <c r="EA43" s="1" t="str">
        <f ca="1">IFERROR(__xludf.DUMMYFUNCTION("if(EA$2="""","""", index(GOOGLEFINANCE($B$43,""close"",EA$2,TODAY()),2,2))"),"")</f>
        <v/>
      </c>
      <c r="EB43" s="1" t="str">
        <f ca="1">IFERROR(__xludf.DUMMYFUNCTION("if(EB$2="""","""", index(GOOGLEFINANCE($B$43,""close"",EB$2,TODAY()),2,2))"),"")</f>
        <v/>
      </c>
      <c r="EC43" s="1" t="str">
        <f ca="1">IFERROR(__xludf.DUMMYFUNCTION("if(EC$2="""","""", index(GOOGLEFINANCE($B$43,""close"",EC$2,TODAY()),2,2))"),"")</f>
        <v/>
      </c>
      <c r="ED43" s="1" t="str">
        <f ca="1">IFERROR(__xludf.DUMMYFUNCTION("if(ED$2="""","""", index(GOOGLEFINANCE($B$43,""close"",ED$2,TODAY()),2,2))"),"")</f>
        <v/>
      </c>
      <c r="EE43" s="1" t="str">
        <f ca="1">IFERROR(__xludf.DUMMYFUNCTION("if(EE$2="""","""", index(GOOGLEFINANCE($B$43,""close"",EE$2,TODAY()),2,2))"),"")</f>
        <v/>
      </c>
      <c r="EF43" s="1" t="str">
        <f ca="1">IFERROR(__xludf.DUMMYFUNCTION("if(EF$2="""","""", index(GOOGLEFINANCE($B$43,""close"",EF$2,TODAY()),2,2))"),"")</f>
        <v/>
      </c>
      <c r="EG43" s="1" t="str">
        <f ca="1">IFERROR(__xludf.DUMMYFUNCTION("if(EG$2="""","""", index(GOOGLEFINANCE($B$43,""close"",EG$2,TODAY()),2,2))"),"")</f>
        <v/>
      </c>
      <c r="EH43" s="1" t="str">
        <f ca="1">IFERROR(__xludf.DUMMYFUNCTION("if(EH$2="""","""", index(GOOGLEFINANCE($B$43,""close"",EH$2,TODAY()),2,2))"),"")</f>
        <v/>
      </c>
      <c r="EI43" s="1" t="str">
        <f ca="1">IFERROR(__xludf.DUMMYFUNCTION("if(EI$2="""","""", index(GOOGLEFINANCE($B$43,""close"",EI$2,TODAY()),2,2))"),"")</f>
        <v/>
      </c>
      <c r="EJ43" s="1" t="str">
        <f ca="1">IFERROR(__xludf.DUMMYFUNCTION("if(EJ$2="""","""", index(GOOGLEFINANCE($B$43,""close"",EJ$2,TODAY()),2,2))"),"")</f>
        <v/>
      </c>
      <c r="EK43" s="1" t="str">
        <f ca="1">IFERROR(__xludf.DUMMYFUNCTION("if(EK$2="""","""", index(GOOGLEFINANCE($B$43,""close"",EK$2,TODAY()),2,2))"),"")</f>
        <v/>
      </c>
      <c r="EL43" s="1" t="str">
        <f ca="1">IFERROR(__xludf.DUMMYFUNCTION("if(EL$2="""","""", index(GOOGLEFINANCE($B$43,""close"",EL$2,TODAY()),2,2))"),"")</f>
        <v/>
      </c>
      <c r="EM43" s="1" t="str">
        <f ca="1">IFERROR(__xludf.DUMMYFUNCTION("if(EM$2="""","""", index(GOOGLEFINANCE($B$43,""close"",EM$2,TODAY()),2,2))"),"")</f>
        <v/>
      </c>
      <c r="EN43" s="1" t="str">
        <f ca="1">IFERROR(__xludf.DUMMYFUNCTION("if(EN$2="""","""", index(GOOGLEFINANCE($B$43,""close"",EN$2,TODAY()),2,2))"),"")</f>
        <v/>
      </c>
      <c r="EO43" s="1" t="str">
        <f ca="1">IFERROR(__xludf.DUMMYFUNCTION("if(EO$2="""","""", index(GOOGLEFINANCE($B$43,""close"",EO$2,TODAY()),2,2))"),"")</f>
        <v/>
      </c>
      <c r="EP43" s="1" t="str">
        <f ca="1">IFERROR(__xludf.DUMMYFUNCTION("if(EP$2="""","""", index(GOOGLEFINANCE($B$43,""close"",EP$2,TODAY()),2,2))"),"")</f>
        <v/>
      </c>
      <c r="EQ43" s="1" t="str">
        <f ca="1">IFERROR(__xludf.DUMMYFUNCTION("if(EQ$2="""","""", index(GOOGLEFINANCE($B$43,""close"",EQ$2,TODAY()),2,2))"),"")</f>
        <v/>
      </c>
      <c r="ER43" s="1" t="str">
        <f ca="1">IFERROR(__xludf.DUMMYFUNCTION("if(ER$2="""","""", index(GOOGLEFINANCE($B$43,""close"",ER$2,TODAY()),2,2))"),"")</f>
        <v/>
      </c>
      <c r="ES43" s="1" t="str">
        <f ca="1">IFERROR(__xludf.DUMMYFUNCTION("if(ES$2="""","""", index(GOOGLEFINANCE($B$43,""close"",ES$2,TODAY()),2,2))"),"")</f>
        <v/>
      </c>
      <c r="ET43" s="1" t="str">
        <f ca="1">IFERROR(__xludf.DUMMYFUNCTION("if(ET$2="""","""", index(GOOGLEFINANCE($B$43,""close"",ET$2,TODAY()),2,2))"),"")</f>
        <v/>
      </c>
      <c r="EU43" s="1" t="str">
        <f ca="1">IFERROR(__xludf.DUMMYFUNCTION("if(EU$2="""","""", index(GOOGLEFINANCE($B$43,""close"",EU$2,TODAY()),2,2))"),"")</f>
        <v/>
      </c>
      <c r="EV43" s="1" t="str">
        <f ca="1">IFERROR(__xludf.DUMMYFUNCTION("if(EV$2="""","""", index(GOOGLEFINANCE($B$43,""close"",EV$2,TODAY()),2,2))"),"")</f>
        <v/>
      </c>
      <c r="EW43" s="1" t="str">
        <f ca="1">IFERROR(__xludf.DUMMYFUNCTION("if(EW$2="""","""", index(GOOGLEFINANCE($B$43,""close"",EW$2,TODAY()),2,2))"),"")</f>
        <v/>
      </c>
      <c r="EX43" s="1" t="str">
        <f ca="1">IFERROR(__xludf.DUMMYFUNCTION("if(EX$2="""","""", index(GOOGLEFINANCE($B$43,""close"",EX$2,TODAY()),2,2))"),"")</f>
        <v/>
      </c>
      <c r="EY43" s="1" t="str">
        <f ca="1">IFERROR(__xludf.DUMMYFUNCTION("if(EY$2="""","""", index(GOOGLEFINANCE($B$43,""close"",EY$2,TODAY()),2,2))"),"")</f>
        <v/>
      </c>
      <c r="EZ43" s="1" t="str">
        <f ca="1">IFERROR(__xludf.DUMMYFUNCTION("if(EZ$2="""","""", index(GOOGLEFINANCE($B$43,""close"",EZ$2,TODAY()),2,2))"),"")</f>
        <v/>
      </c>
      <c r="FA43" s="1" t="str">
        <f ca="1">IFERROR(__xludf.DUMMYFUNCTION("if(FA$2="""","""", index(GOOGLEFINANCE($B$43,""close"",FA$2,TODAY()),2,2))"),"")</f>
        <v/>
      </c>
      <c r="FB43" s="1" t="str">
        <f ca="1">IFERROR(__xludf.DUMMYFUNCTION("if(FB$2="""","""", index(GOOGLEFINANCE($B$43,""close"",FB$2,TODAY()),2,2))"),"")</f>
        <v/>
      </c>
      <c r="FC43" s="1" t="str">
        <f ca="1">IFERROR(__xludf.DUMMYFUNCTION("if(FC$2="""","""", index(GOOGLEFINANCE($B$43,""close"",FC$2,TODAY()),2,2))"),"")</f>
        <v/>
      </c>
      <c r="FD43" s="1" t="str">
        <f ca="1">IFERROR(__xludf.DUMMYFUNCTION("if(FD$2="""","""", index(GOOGLEFINANCE($B$43,""close"",FD$2,TODAY()),2,2))"),"")</f>
        <v/>
      </c>
      <c r="FE43" s="1" t="str">
        <f ca="1">IFERROR(__xludf.DUMMYFUNCTION("if(FE$2="""","""", index(GOOGLEFINANCE($B$43,""close"",FE$2,TODAY()),2,2))"),"")</f>
        <v/>
      </c>
      <c r="FF43" s="1" t="str">
        <f ca="1">IFERROR(__xludf.DUMMYFUNCTION("if(FF$2="""","""", index(GOOGLEFINANCE($B$43,""close"",FF$2,TODAY()),2,2))"),"")</f>
        <v/>
      </c>
      <c r="FG43" s="1" t="str">
        <f ca="1">IFERROR(__xludf.DUMMYFUNCTION("if(FG$2="""","""", index(GOOGLEFINANCE($B$43,""close"",FG$2,TODAY()),2,2))"),"")</f>
        <v/>
      </c>
      <c r="FH43" s="1" t="str">
        <f ca="1">IFERROR(__xludf.DUMMYFUNCTION("if(FH$2="""","""", index(GOOGLEFINANCE($B$43,""close"",FH$2,TODAY()),2,2))"),"")</f>
        <v/>
      </c>
      <c r="FI43" s="1" t="str">
        <f ca="1">IFERROR(__xludf.DUMMYFUNCTION("if(FI$2="""","""", index(GOOGLEFINANCE($B$43,""close"",FI$2,TODAY()),2,2))"),"")</f>
        <v/>
      </c>
      <c r="FJ43" s="1" t="str">
        <f ca="1">IFERROR(__xludf.DUMMYFUNCTION("if(FJ$2="""","""", index(GOOGLEFINANCE($B$43,""close"",FJ$2,TODAY()),2,2))"),"")</f>
        <v/>
      </c>
      <c r="FK43" s="1" t="str">
        <f ca="1">IFERROR(__xludf.DUMMYFUNCTION("if(FK$2="""","""", index(GOOGLEFINANCE($B$43,""close"",FK$2,TODAY()),2,2))"),"")</f>
        <v/>
      </c>
      <c r="FL43" s="1" t="str">
        <f ca="1">IFERROR(__xludf.DUMMYFUNCTION("if(FL$2="""","""", index(GOOGLEFINANCE($B$43,""close"",FL$2,TODAY()),2,2))"),"")</f>
        <v/>
      </c>
      <c r="FM43" s="1" t="str">
        <f ca="1">IFERROR(__xludf.DUMMYFUNCTION("if(FM$2="""","""", index(GOOGLEFINANCE($B$43,""close"",FM$2,TODAY()),2,2))"),"")</f>
        <v/>
      </c>
      <c r="FN43" s="1" t="str">
        <f ca="1">IFERROR(__xludf.DUMMYFUNCTION("if(FN$2="""","""", index(GOOGLEFINANCE($B$43,""close"",FN$2,TODAY()),2,2))"),"")</f>
        <v/>
      </c>
      <c r="FO43" s="1" t="str">
        <f ca="1">IFERROR(__xludf.DUMMYFUNCTION("if(FO$2="""","""", index(GOOGLEFINANCE($B$43,""close"",FO$2,TODAY()),2,2))"),"")</f>
        <v/>
      </c>
      <c r="FP43" s="1" t="str">
        <f ca="1">IFERROR(__xludf.DUMMYFUNCTION("if(FP$2="""","""", index(GOOGLEFINANCE($B$43,""close"",FP$2,TODAY()),2,2))"),"")</f>
        <v/>
      </c>
      <c r="FQ43" s="1" t="str">
        <f ca="1">IFERROR(__xludf.DUMMYFUNCTION("if(FQ$2="""","""", index(GOOGLEFINANCE($B$43,""close"",FQ$2,TODAY()),2,2))"),"")</f>
        <v/>
      </c>
      <c r="FR43" s="1" t="str">
        <f ca="1">IFERROR(__xludf.DUMMYFUNCTION("if(FR$2="""","""", index(GOOGLEFINANCE($B$43,""close"",FR$2,TODAY()),2,2))"),"")</f>
        <v/>
      </c>
      <c r="FS43" s="1" t="str">
        <f ca="1">IFERROR(__xludf.DUMMYFUNCTION("if(FS$2="""","""", index(GOOGLEFINANCE($B$43,""close"",FS$2,TODAY()),2,2))"),"")</f>
        <v/>
      </c>
      <c r="FT43" s="1" t="str">
        <f ca="1">IFERROR(__xludf.DUMMYFUNCTION("if(FT$2="""","""", index(GOOGLEFINANCE($B$43,""close"",FT$2,TODAY()),2,2))"),"")</f>
        <v/>
      </c>
      <c r="FU43" s="1" t="str">
        <f ca="1">IFERROR(__xludf.DUMMYFUNCTION("if(FU$2="""","""", index(GOOGLEFINANCE($B$43,""close"",FU$2,TODAY()),2,2))"),"")</f>
        <v/>
      </c>
      <c r="FV43" s="1" t="str">
        <f ca="1">IFERROR(__xludf.DUMMYFUNCTION("if(FV$2="""","""", index(GOOGLEFINANCE($B$43,""close"",FV$2,TODAY()),2,2))"),"")</f>
        <v/>
      </c>
      <c r="FW43" s="1" t="str">
        <f ca="1">IFERROR(__xludf.DUMMYFUNCTION("if(FW$2="""","""", index(GOOGLEFINANCE($B$43,""close"",FW$2,TODAY()),2,2))"),"")</f>
        <v/>
      </c>
      <c r="FX43" s="1" t="str">
        <f ca="1">IFERROR(__xludf.DUMMYFUNCTION("if(FX$2="""","""", index(GOOGLEFINANCE($B$43,""close"",FX$2,TODAY()),2,2))"),"")</f>
        <v/>
      </c>
      <c r="FY43" s="1" t="str">
        <f ca="1">IFERROR(__xludf.DUMMYFUNCTION("if(FY$2="""","""", index(GOOGLEFINANCE($B$43,""close"",FY$2,TODAY()),2,2))"),"")</f>
        <v/>
      </c>
      <c r="FZ43" s="1" t="str">
        <f ca="1">IFERROR(__xludf.DUMMYFUNCTION("if(FZ$2="""","""", index(GOOGLEFINANCE($B$43,""close"",FZ$2,TODAY()),2,2))"),"")</f>
        <v/>
      </c>
      <c r="GA43" s="1" t="str">
        <f ca="1">IFERROR(__xludf.DUMMYFUNCTION("if(GA$2="""","""", index(GOOGLEFINANCE($B$43,""close"",GA$2,TODAY()),2,2))"),"")</f>
        <v/>
      </c>
      <c r="GB43" s="1" t="str">
        <f ca="1">IFERROR(__xludf.DUMMYFUNCTION("if(GB$2="""","""", index(GOOGLEFINANCE($B$43,""close"",GB$2,TODAY()),2,2))"),"")</f>
        <v/>
      </c>
      <c r="GC43" s="1" t="str">
        <f ca="1">IFERROR(__xludf.DUMMYFUNCTION("if(GC$2="""","""", index(GOOGLEFINANCE($B$43,""close"",GC$2,TODAY()),2,2))"),"")</f>
        <v/>
      </c>
      <c r="GD43" s="1" t="str">
        <f ca="1">IFERROR(__xludf.DUMMYFUNCTION("if(GD$2="""","""", index(GOOGLEFINANCE($B$43,""close"",GD$2,TODAY()),2,2))"),"")</f>
        <v/>
      </c>
      <c r="GE43" s="1" t="str">
        <f ca="1">IFERROR(__xludf.DUMMYFUNCTION("if(GE$2="""","""", index(GOOGLEFINANCE($B$43,""close"",GE$2,TODAY()),2,2))"),"")</f>
        <v/>
      </c>
      <c r="GF43" s="1" t="str">
        <f ca="1">IFERROR(__xludf.DUMMYFUNCTION("if(GF$2="""","""", index(GOOGLEFINANCE($B$43,""close"",GF$2,TODAY()),2,2))"),"")</f>
        <v/>
      </c>
      <c r="GG43" s="1" t="str">
        <f ca="1">IFERROR(__xludf.DUMMYFUNCTION("if(GG$2="""","""", index(GOOGLEFINANCE($B$43,""close"",GG$2,TODAY()),2,2))"),"")</f>
        <v/>
      </c>
      <c r="GH43" s="1" t="str">
        <f ca="1">IFERROR(__xludf.DUMMYFUNCTION("if(GH$2="""","""", index(GOOGLEFINANCE($B$43,""close"",GH$2,TODAY()),2,2))"),"")</f>
        <v/>
      </c>
      <c r="GI43" s="1" t="str">
        <f ca="1">IFERROR(__xludf.DUMMYFUNCTION("if(GI$2="""","""", index(GOOGLEFINANCE($B$43,""close"",GI$2,TODAY()),2,2))"),"")</f>
        <v/>
      </c>
      <c r="GJ43" s="1" t="str">
        <f ca="1">IFERROR(__xludf.DUMMYFUNCTION("if(GJ$2="""","""", index(GOOGLEFINANCE($B$43,""close"",GJ$2,TODAY()),2,2))"),"")</f>
        <v/>
      </c>
      <c r="GK43" s="1" t="str">
        <f ca="1">IFERROR(__xludf.DUMMYFUNCTION("if(GK$2="""","""", index(GOOGLEFINANCE($B$43,""close"",GK$2,TODAY()),2,2))"),"")</f>
        <v/>
      </c>
      <c r="GL43" s="1" t="str">
        <f ca="1">IFERROR(__xludf.DUMMYFUNCTION("if(GL$2="""","""", index(GOOGLEFINANCE($B$43,""close"",GL$2,TODAY()),2,2))"),"")</f>
        <v/>
      </c>
      <c r="GM43" s="1" t="str">
        <f ca="1">IFERROR(__xludf.DUMMYFUNCTION("if(GM$2="""","""", index(GOOGLEFINANCE($B$43,""close"",GM$2,TODAY()),2,2))"),"")</f>
        <v/>
      </c>
      <c r="GN43" s="1" t="str">
        <f ca="1">IFERROR(__xludf.DUMMYFUNCTION("if(GN$2="""","""", index(GOOGLEFINANCE($B$43,""close"",GN$2,TODAY()),2,2))"),"")</f>
        <v/>
      </c>
      <c r="GO43" s="1" t="str">
        <f ca="1">IFERROR(__xludf.DUMMYFUNCTION("if(GO$2="""","""", index(GOOGLEFINANCE($B$43,""close"",GO$2,TODAY()),2,2))"),"")</f>
        <v/>
      </c>
      <c r="GP43" s="1" t="str">
        <f ca="1">IFERROR(__xludf.DUMMYFUNCTION("if(GP$2="""","""", index(GOOGLEFINANCE($B$43,""close"",GP$2,TODAY()),2,2))"),"")</f>
        <v/>
      </c>
      <c r="GQ43" s="1" t="str">
        <f ca="1">IFERROR(__xludf.DUMMYFUNCTION("if(GQ$2="""","""", index(GOOGLEFINANCE($B$43,""close"",GQ$2,TODAY()),2,2))"),"")</f>
        <v/>
      </c>
      <c r="GR43" s="1" t="str">
        <f ca="1">IFERROR(__xludf.DUMMYFUNCTION("if(GR$2="""","""", index(GOOGLEFINANCE($B$43,""close"",GR$2,TODAY()),2,2))"),"")</f>
        <v/>
      </c>
      <c r="GS43" s="1" t="str">
        <f ca="1">IFERROR(__xludf.DUMMYFUNCTION("if(GS$2="""","""", index(GOOGLEFINANCE($B$43,""close"",GS$2,TODAY()),2,2))"),"")</f>
        <v/>
      </c>
      <c r="GT43" s="1" t="str">
        <f ca="1">IFERROR(__xludf.DUMMYFUNCTION("if(GT$2="""","""", index(GOOGLEFINANCE($B$43,""close"",GT$2,TODAY()),2,2))"),"")</f>
        <v/>
      </c>
      <c r="GU43" s="1" t="str">
        <f ca="1">IFERROR(__xludf.DUMMYFUNCTION("if(GU$2="""","""", index(GOOGLEFINANCE($B$43,""close"",GU$2,TODAY()),2,2))"),"")</f>
        <v/>
      </c>
      <c r="GV43" s="1" t="str">
        <f ca="1">IFERROR(__xludf.DUMMYFUNCTION("if(GV$2="""","""", index(GOOGLEFINANCE($B$43,""close"",GV$2,TODAY()),2,2))"),"")</f>
        <v/>
      </c>
      <c r="GW43" s="1" t="str">
        <f ca="1">IFERROR(__xludf.DUMMYFUNCTION("if(GW$2="""","""", index(GOOGLEFINANCE($B$43,""close"",GW$2,TODAY()),2,2))"),"")</f>
        <v/>
      </c>
      <c r="GX43" s="1" t="str">
        <f ca="1">IFERROR(__xludf.DUMMYFUNCTION("if(GX$2="""","""", index(GOOGLEFINANCE($B$43,""close"",GX$2,TODAY()),2,2))"),"")</f>
        <v/>
      </c>
      <c r="GY43" s="1" t="str">
        <f ca="1">IFERROR(__xludf.DUMMYFUNCTION("if(GY$2="""","""", index(GOOGLEFINANCE($B$43,""close"",GY$2,TODAY()),2,2))"),"")</f>
        <v/>
      </c>
      <c r="GZ43" s="1" t="str">
        <f ca="1">IFERROR(__xludf.DUMMYFUNCTION("if(GZ$2="""","""", index(GOOGLEFINANCE($B$43,""close"",GZ$2,TODAY()),2,2))"),"")</f>
        <v/>
      </c>
      <c r="HA43" s="1" t="str">
        <f ca="1">IFERROR(__xludf.DUMMYFUNCTION("if(HA$2="""","""", index(GOOGLEFINANCE($B$43,""close"",HA$2,TODAY()),2,2))"),"")</f>
        <v/>
      </c>
      <c r="HB43" s="1" t="str">
        <f ca="1">IFERROR(__xludf.DUMMYFUNCTION("if(HB$2="""","""", index(GOOGLEFINANCE($B$43,""close"",HB$2,TODAY()),2,2))"),"")</f>
        <v/>
      </c>
      <c r="HC43" s="1" t="str">
        <f ca="1">IFERROR(__xludf.DUMMYFUNCTION("if(HC$2="""","""", index(GOOGLEFINANCE($B$43,""close"",HC$2,TODAY()),2,2))"),"")</f>
        <v/>
      </c>
      <c r="HD43" s="1" t="str">
        <f ca="1">IFERROR(__xludf.DUMMYFUNCTION("if(HD$2="""","""", index(GOOGLEFINANCE($B$43,""close"",HD$2,TODAY()),2,2))"),"")</f>
        <v/>
      </c>
      <c r="HE43" s="1" t="str">
        <f ca="1">IFERROR(__xludf.DUMMYFUNCTION("if(HE$2="""","""", index(GOOGLEFINANCE($B$43,""close"",HE$2,TODAY()),2,2))"),"")</f>
        <v/>
      </c>
      <c r="HF43" s="1" t="str">
        <f ca="1">IFERROR(__xludf.DUMMYFUNCTION("if(HF$2="""","""", index(GOOGLEFINANCE($B$43,""close"",HF$2,TODAY()),2,2))"),"")</f>
        <v/>
      </c>
      <c r="HG43" s="1" t="str">
        <f ca="1">IFERROR(__xludf.DUMMYFUNCTION("if(HG$2="""","""", index(GOOGLEFINANCE($B$43,""close"",HG$2,TODAY()),2,2))"),"")</f>
        <v/>
      </c>
      <c r="HH43" s="1" t="str">
        <f ca="1">IFERROR(__xludf.DUMMYFUNCTION("if(HH$2="""","""", index(GOOGLEFINANCE($B$43,""close"",HH$2,TODAY()),2,2))"),"")</f>
        <v/>
      </c>
      <c r="HI43" s="1" t="str">
        <f ca="1">IFERROR(__xludf.DUMMYFUNCTION("if(HI$2="""","""", index(GOOGLEFINANCE($B$43,""close"",HI$2,TODAY()),2,2))"),"")</f>
        <v/>
      </c>
      <c r="HJ43" s="1" t="str">
        <f ca="1">IFERROR(__xludf.DUMMYFUNCTION("if(HJ$2="""","""", index(GOOGLEFINANCE($B$43,""close"",HJ$2,TODAY()),2,2))"),"")</f>
        <v/>
      </c>
      <c r="HK43" s="1" t="str">
        <f ca="1">IFERROR(__xludf.DUMMYFUNCTION("if(HK$2="""","""", index(GOOGLEFINANCE($B$43,""close"",HK$2,TODAY()),2,2))"),"")</f>
        <v/>
      </c>
      <c r="HL43" s="1" t="str">
        <f ca="1">IFERROR(__xludf.DUMMYFUNCTION("if(HL$2="""","""", index(GOOGLEFINANCE($B$43,""close"",HL$2,TODAY()),2,2))"),"")</f>
        <v/>
      </c>
      <c r="HM43" s="1" t="str">
        <f ca="1">IFERROR(__xludf.DUMMYFUNCTION("if(HM$2="""","""", index(GOOGLEFINANCE($B$43,""close"",HM$2,TODAY()),2,2))"),"")</f>
        <v/>
      </c>
      <c r="HN43" s="1" t="str">
        <f ca="1">IFERROR(__xludf.DUMMYFUNCTION("if(HN$2="""","""", index(GOOGLEFINANCE($B$43,""close"",HN$2,TODAY()),2,2))"),"")</f>
        <v/>
      </c>
      <c r="HO43" s="1" t="str">
        <f ca="1">IFERROR(__xludf.DUMMYFUNCTION("if(HO$2="""","""", index(GOOGLEFINANCE($B$43,""close"",HO$2,TODAY()),2,2))"),"")</f>
        <v/>
      </c>
      <c r="HP43" s="1" t="str">
        <f ca="1">IFERROR(__xludf.DUMMYFUNCTION("if(HP$2="""","""", index(GOOGLEFINANCE($B$43,""close"",HP$2,TODAY()),2,2))"),"")</f>
        <v/>
      </c>
      <c r="HQ43" s="1" t="str">
        <f ca="1">IFERROR(__xludf.DUMMYFUNCTION("if(HQ$2="""","""", index(GOOGLEFINANCE($B$43,""close"",HQ$2,TODAY()),2,2))"),"")</f>
        <v/>
      </c>
      <c r="HR43" s="1" t="str">
        <f ca="1">IFERROR(__xludf.DUMMYFUNCTION("if(HR$2="""","""", index(GOOGLEFINANCE($B$43,""close"",HR$2,TODAY()),2,2))"),"")</f>
        <v/>
      </c>
      <c r="HS43" s="1" t="str">
        <f ca="1">IFERROR(__xludf.DUMMYFUNCTION("if(HS$2="""","""", index(GOOGLEFINANCE($B$43,""close"",HS$2,TODAY()),2,2))"),"")</f>
        <v/>
      </c>
      <c r="HT43" s="1" t="str">
        <f ca="1">IFERROR(__xludf.DUMMYFUNCTION("if(HT$2="""","""", index(GOOGLEFINANCE($B$43,""close"",HT$2,TODAY()),2,2))"),"")</f>
        <v/>
      </c>
      <c r="HU43" s="1" t="str">
        <f ca="1">IFERROR(__xludf.DUMMYFUNCTION("if(HU$2="""","""", index(GOOGLEFINANCE($B$43,""close"",HU$2,TODAY()),2,2))"),"")</f>
        <v/>
      </c>
      <c r="HV43" s="1" t="str">
        <f ca="1">IFERROR(__xludf.DUMMYFUNCTION("if(HV$2="""","""", index(GOOGLEFINANCE($B$43,""close"",HV$2,TODAY()),2,2))"),"")</f>
        <v/>
      </c>
      <c r="HW43" s="1" t="str">
        <f ca="1">IFERROR(__xludf.DUMMYFUNCTION("if(HW$2="""","""", index(GOOGLEFINANCE($B$43,""close"",HW$2,TODAY()),2,2))"),"")</f>
        <v/>
      </c>
      <c r="HX43" s="1" t="str">
        <f ca="1">IFERROR(__xludf.DUMMYFUNCTION("if(HX$2="""","""", index(GOOGLEFINANCE($B$43,""close"",HX$2,TODAY()),2,2))"),"")</f>
        <v/>
      </c>
      <c r="HY43" s="1" t="str">
        <f ca="1">IFERROR(__xludf.DUMMYFUNCTION("if(HY$2="""","""", index(GOOGLEFINANCE($B$43,""close"",HY$2,TODAY()),2,2))"),"")</f>
        <v/>
      </c>
      <c r="HZ43" s="1" t="str">
        <f ca="1">IFERROR(__xludf.DUMMYFUNCTION("if(HZ$2="""","""", index(GOOGLEFINANCE($B$43,""close"",HZ$2,TODAY()),2,2))"),"")</f>
        <v/>
      </c>
      <c r="IA43" s="1" t="str">
        <f ca="1">IFERROR(__xludf.DUMMYFUNCTION("if(IA$2="""","""", index(GOOGLEFINANCE($B$43,""close"",IA$2,TODAY()),2,2))"),"")</f>
        <v/>
      </c>
      <c r="IB43" s="1" t="str">
        <f ca="1">IFERROR(__xludf.DUMMYFUNCTION("if(IB$2="""","""", index(GOOGLEFINANCE($B$43,""close"",IB$2,TODAY()),2,2))"),"")</f>
        <v/>
      </c>
      <c r="IC43" s="1" t="str">
        <f ca="1">IFERROR(__xludf.DUMMYFUNCTION("if(IC$2="""","""", index(GOOGLEFINANCE($B$43,""close"",IC$2,TODAY()),2,2))"),"")</f>
        <v/>
      </c>
      <c r="ID43" s="1" t="str">
        <f ca="1">IFERROR(__xludf.DUMMYFUNCTION("if(ID$2="""","""", index(GOOGLEFINANCE($B$43,""close"",ID$2,TODAY()),2,2))"),"")</f>
        <v/>
      </c>
      <c r="IE43" s="1" t="str">
        <f ca="1">IFERROR(__xludf.DUMMYFUNCTION("if(IE$2="""","""", index(GOOGLEFINANCE($B$43,""close"",IE$2,TODAY()),2,2))"),"")</f>
        <v/>
      </c>
      <c r="IF43" s="1" t="str">
        <f ca="1">IFERROR(__xludf.DUMMYFUNCTION("if(IF$2="""","""", index(GOOGLEFINANCE($B$43,""close"",IF$2,TODAY()),2,2))"),"")</f>
        <v/>
      </c>
      <c r="IG43" s="1" t="str">
        <f ca="1">IFERROR(__xludf.DUMMYFUNCTION("if(IG$2="""","""", index(GOOGLEFINANCE($B$43,""close"",IG$2,TODAY()),2,2))"),"")</f>
        <v/>
      </c>
      <c r="IH43" s="1" t="str">
        <f ca="1">IFERROR(__xludf.DUMMYFUNCTION("if(IH$2="""","""", index(GOOGLEFINANCE($B$43,""close"",IH$2,TODAY()),2,2))"),"")</f>
        <v/>
      </c>
      <c r="II43" s="1" t="str">
        <f ca="1">IFERROR(__xludf.DUMMYFUNCTION("if(II$2="""","""", index(GOOGLEFINANCE($B$43,""close"",II$2,TODAY()),2,2))"),"")</f>
        <v/>
      </c>
      <c r="IJ43" s="1" t="str">
        <f ca="1">IFERROR(__xludf.DUMMYFUNCTION("if(IJ$2="""","""", index(GOOGLEFINANCE($B$43,""close"",IJ$2,TODAY()),2,2))"),"")</f>
        <v/>
      </c>
      <c r="IK43" s="1" t="str">
        <f ca="1">IFERROR(__xludf.DUMMYFUNCTION("if(IK$2="""","""", index(GOOGLEFINANCE($B$43,""close"",IK$2,TODAY()),2,2))"),"")</f>
        <v/>
      </c>
      <c r="IL43" s="1" t="str">
        <f ca="1">IFERROR(__xludf.DUMMYFUNCTION("if(IL$2="""","""", index(GOOGLEFINANCE($B$43,""close"",IL$2,TODAY()),2,2))"),"")</f>
        <v/>
      </c>
      <c r="IM43" s="1" t="str">
        <f ca="1">IFERROR(__xludf.DUMMYFUNCTION("if(IM$2="""","""", index(GOOGLEFINANCE($B$43,""close"",IM$2,TODAY()),2,2))"),"")</f>
        <v/>
      </c>
      <c r="IN43" s="1" t="str">
        <f ca="1">IFERROR(__xludf.DUMMYFUNCTION("if(IN$2="""","""", index(GOOGLEFINANCE($B$43,""close"",IN$2,TODAY()),2,2))"),"")</f>
        <v/>
      </c>
      <c r="IO43" s="1" t="str">
        <f ca="1">IFERROR(__xludf.DUMMYFUNCTION("if(IO$2="""","""", index(GOOGLEFINANCE($B$43,""close"",IO$2,TODAY()),2,2))"),"")</f>
        <v/>
      </c>
      <c r="IP43" s="1" t="str">
        <f ca="1">IFERROR(__xludf.DUMMYFUNCTION("if(IP$2="""","""", index(GOOGLEFINANCE($B$43,""close"",IP$2,TODAY()),2,2))"),"")</f>
        <v/>
      </c>
      <c r="IQ43" s="1" t="str">
        <f ca="1">IFERROR(__xludf.DUMMYFUNCTION("if(IQ$2="""","""", index(GOOGLEFINANCE($B$43,""close"",IQ$2,TODAY()),2,2))"),"")</f>
        <v/>
      </c>
      <c r="IR43" s="1" t="str">
        <f ca="1">IFERROR(__xludf.DUMMYFUNCTION("if(IR$2="""","""", index(GOOGLEFINANCE($B$43,""close"",IR$2,TODAY()),2,2))"),"")</f>
        <v/>
      </c>
      <c r="IS43" s="1" t="str">
        <f ca="1">IFERROR(__xludf.DUMMYFUNCTION("if(IS$2="""","""", index(GOOGLEFINANCE($B$43,""close"",IS$2,TODAY()),2,2))"),"")</f>
        <v/>
      </c>
      <c r="IT43" s="1" t="str">
        <f ca="1">IFERROR(__xludf.DUMMYFUNCTION("if(IT$2="""","""", index(GOOGLEFINANCE($B$43,""close"",IT$2,TODAY()),2,2))"),"")</f>
        <v/>
      </c>
      <c r="IU43" s="1" t="str">
        <f ca="1">IFERROR(__xludf.DUMMYFUNCTION("if(IU$2="""","""", index(GOOGLEFINANCE($B$43,""close"",IU$2,TODAY()),2,2))"),"")</f>
        <v/>
      </c>
      <c r="IV43" s="1" t="str">
        <f ca="1">IFERROR(__xludf.DUMMYFUNCTION("if(IV$2="""","""", index(GOOGLEFINANCE($B$43,""close"",IV$2,TODAY()),2,2))"),"")</f>
        <v/>
      </c>
      <c r="IW43" s="1" t="str">
        <f ca="1">IFERROR(__xludf.DUMMYFUNCTION("if(IW$2="""","""", index(GOOGLEFINANCE($B$43,""close"",IW$2,TODAY()),2,2))"),"")</f>
        <v/>
      </c>
      <c r="IX43" s="1" t="str">
        <f ca="1">IFERROR(__xludf.DUMMYFUNCTION("if(IX$2="""","""", index(GOOGLEFINANCE($B$43,""close"",IX$2,TODAY()),2,2))"),"")</f>
        <v/>
      </c>
      <c r="IY43" s="1" t="str">
        <f ca="1">IFERROR(__xludf.DUMMYFUNCTION("if(IY$2="""","""", index(GOOGLEFINANCE($B$43,""close"",IY$2,TODAY()),2,2))"),"")</f>
        <v/>
      </c>
      <c r="IZ43" s="1" t="str">
        <f ca="1">IFERROR(__xludf.DUMMYFUNCTION("if(IZ$2="""","""", index(GOOGLEFINANCE($B$43,""close"",IZ$2,TODAY()),2,2))"),"")</f>
        <v/>
      </c>
      <c r="JA43" s="1" t="str">
        <f ca="1">IFERROR(__xludf.DUMMYFUNCTION("if(JA$2="""","""", index(GOOGLEFINANCE($B$43,""close"",JA$2,TODAY()),2,2))"),"")</f>
        <v/>
      </c>
      <c r="JB43" s="1" t="str">
        <f ca="1">IFERROR(__xludf.DUMMYFUNCTION("if(JB$2="""","""", index(GOOGLEFINANCE($B$43,""close"",JB$2,TODAY()),2,2))"),"")</f>
        <v/>
      </c>
      <c r="JC43" s="1" t="str">
        <f ca="1">IFERROR(__xludf.DUMMYFUNCTION("if(JC$2="""","""", index(GOOGLEFINANCE($B$43,""close"",JC$2,TODAY()),2,2))"),"")</f>
        <v/>
      </c>
      <c r="JD43" s="1" t="str">
        <f ca="1">IFERROR(__xludf.DUMMYFUNCTION("if(JD$2="""","""", index(GOOGLEFINANCE($B$43,""close"",JD$2,TODAY()),2,2))"),"")</f>
        <v/>
      </c>
      <c r="JE43" s="1" t="str">
        <f ca="1">IFERROR(__xludf.DUMMYFUNCTION("if(JE$2="""","""", index(GOOGLEFINANCE($B$43,""close"",JE$2,TODAY()),2,2))"),"")</f>
        <v/>
      </c>
      <c r="JF43" s="1" t="str">
        <f ca="1">IFERROR(__xludf.DUMMYFUNCTION("if(JF$2="""","""", index(GOOGLEFINANCE($B$43,""close"",JF$2,TODAY()),2,2))"),"")</f>
        <v/>
      </c>
      <c r="JG43" s="1" t="str">
        <f ca="1">IFERROR(__xludf.DUMMYFUNCTION("if(JG$2="""","""", index(GOOGLEFINANCE($B$43,""close"",JG$2,TODAY()),2,2))"),"")</f>
        <v/>
      </c>
      <c r="JH43" s="1" t="str">
        <f ca="1">IFERROR(__xludf.DUMMYFUNCTION("if(JH$2="""","""", index(GOOGLEFINANCE($B$43,""close"",JH$2,TODAY()),2,2))"),"")</f>
        <v/>
      </c>
      <c r="JI43" s="1" t="str">
        <f ca="1">IFERROR(__xludf.DUMMYFUNCTION("if(JI$2="""","""", index(GOOGLEFINANCE($B$43,""close"",JI$2,TODAY()),2,2))"),"")</f>
        <v/>
      </c>
      <c r="JJ43" s="1" t="str">
        <f ca="1">IFERROR(__xludf.DUMMYFUNCTION("if(JJ$2="""","""", index(GOOGLEFINANCE($B$43,""close"",JJ$2,TODAY()),2,2))"),"")</f>
        <v/>
      </c>
      <c r="JK43" s="1" t="str">
        <f ca="1">IFERROR(__xludf.DUMMYFUNCTION("if(JK$2="""","""", index(GOOGLEFINANCE($B$43,""close"",JK$2,TODAY()),2,2))"),"")</f>
        <v/>
      </c>
      <c r="JL43" s="1" t="str">
        <f ca="1">IFERROR(__xludf.DUMMYFUNCTION("if(JL$2="""","""", index(GOOGLEFINANCE($B$43,""close"",JL$2,TODAY()),2,2))"),"")</f>
        <v/>
      </c>
      <c r="JM43" s="1" t="str">
        <f ca="1">IFERROR(__xludf.DUMMYFUNCTION("if(JM$2="""","""", index(GOOGLEFINANCE($B$43,""close"",JM$2,TODAY()),2,2))"),"")</f>
        <v/>
      </c>
      <c r="JN43" s="1" t="str">
        <f ca="1">IFERROR(__xludf.DUMMYFUNCTION("if(JN$2="""","""", index(GOOGLEFINANCE($B$43,""close"",JN$2,TODAY()),2,2))"),"")</f>
        <v/>
      </c>
      <c r="JO43" s="1" t="str">
        <f ca="1">IFERROR(__xludf.DUMMYFUNCTION("if(JO$2="""","""", index(GOOGLEFINANCE($B$43,""close"",JO$2,TODAY()),2,2))"),"")</f>
        <v/>
      </c>
      <c r="JP43" s="1" t="str">
        <f ca="1">IFERROR(__xludf.DUMMYFUNCTION("if(JP$2="""","""", index(GOOGLEFINANCE($B$43,""close"",JP$2,TODAY()),2,2))"),"")</f>
        <v/>
      </c>
      <c r="JQ43" s="1" t="str">
        <f ca="1">IFERROR(__xludf.DUMMYFUNCTION("if(JQ$2="""","""", index(GOOGLEFINANCE($B$43,""close"",JQ$2,TODAY()),2,2))"),"")</f>
        <v/>
      </c>
      <c r="JR43" s="1" t="str">
        <f ca="1">IFERROR(__xludf.DUMMYFUNCTION("if(JR$2="""","""", index(GOOGLEFINANCE($B$43,""close"",JR$2,TODAY()),2,2))"),"")</f>
        <v/>
      </c>
      <c r="JS43" s="1" t="str">
        <f ca="1">IFERROR(__xludf.DUMMYFUNCTION("if(JS$2="""","""", index(GOOGLEFINANCE($B$43,""close"",JS$2,TODAY()),2,2))"),"")</f>
        <v/>
      </c>
      <c r="JT43" s="1" t="str">
        <f ca="1">IFERROR(__xludf.DUMMYFUNCTION("if(JT$2="""","""", index(GOOGLEFINANCE($B$43,""close"",JT$2,TODAY()),2,2))"),"")</f>
        <v/>
      </c>
      <c r="JU43" s="1" t="str">
        <f ca="1">IFERROR(__xludf.DUMMYFUNCTION("if(JU$2="""","""", index(GOOGLEFINANCE($B$43,""close"",JU$2,TODAY()),2,2))"),"")</f>
        <v/>
      </c>
      <c r="JV43" s="1" t="str">
        <f ca="1">IFERROR(__xludf.DUMMYFUNCTION("if(JV$2="""","""", index(GOOGLEFINANCE($B$43,""close"",JV$2,TODAY()),2,2))"),"")</f>
        <v/>
      </c>
      <c r="JW43" s="1" t="str">
        <f ca="1">IFERROR(__xludf.DUMMYFUNCTION("if(JW$2="""","""", index(GOOGLEFINANCE($B$43,""close"",JW$2,TODAY()),2,2))"),"")</f>
        <v/>
      </c>
      <c r="JX43" s="1" t="str">
        <f ca="1">IFERROR(__xludf.DUMMYFUNCTION("if(JX$2="""","""", index(GOOGLEFINANCE($B$43,""close"",JX$2,TODAY()),2,2))"),"")</f>
        <v/>
      </c>
      <c r="JY43" s="1" t="str">
        <f ca="1">IFERROR(__xludf.DUMMYFUNCTION("if(JY$2="""","""", index(GOOGLEFINANCE($B$43,""close"",JY$2,TODAY()),2,2))"),"")</f>
        <v/>
      </c>
      <c r="JZ43" s="1" t="str">
        <f ca="1">IFERROR(__xludf.DUMMYFUNCTION("if(JZ$2="""","""", index(GOOGLEFINANCE($B$43,""close"",JZ$2,TODAY()),2,2))"),"")</f>
        <v/>
      </c>
      <c r="KA43" s="1" t="str">
        <f ca="1">IFERROR(__xludf.DUMMYFUNCTION("if(KA$2="""","""", index(GOOGLEFINANCE($B$43,""close"",KA$2,TODAY()),2,2))"),"")</f>
        <v/>
      </c>
      <c r="KB43" s="1" t="str">
        <f ca="1">IFERROR(__xludf.DUMMYFUNCTION("if(KB$2="""","""", index(GOOGLEFINANCE($B$43,""close"",KB$2,TODAY()),2,2))"),"")</f>
        <v/>
      </c>
      <c r="KC43" s="1" t="str">
        <f ca="1">IFERROR(__xludf.DUMMYFUNCTION("if(KC$2="""","""", index(GOOGLEFINANCE($B$43,""close"",KC$2,TODAY()),2,2))"),"")</f>
        <v/>
      </c>
      <c r="KD43" s="1" t="str">
        <f ca="1">IFERROR(__xludf.DUMMYFUNCTION("if(KD$2="""","""", index(GOOGLEFINANCE($B$43,""close"",KD$2,TODAY()),2,2))"),"")</f>
        <v/>
      </c>
      <c r="KE43" s="1" t="str">
        <f ca="1">IFERROR(__xludf.DUMMYFUNCTION("if(KE$2="""","""", index(GOOGLEFINANCE($B$43,""close"",KE$2,TODAY()),2,2))"),"")</f>
        <v/>
      </c>
      <c r="KF43" s="1" t="str">
        <f ca="1">IFERROR(__xludf.DUMMYFUNCTION("if(KF$2="""","""", index(GOOGLEFINANCE($B$43,""close"",KF$2,TODAY()),2,2))"),"")</f>
        <v/>
      </c>
      <c r="KG43" s="1" t="str">
        <f ca="1">IFERROR(__xludf.DUMMYFUNCTION("if(KG$2="""","""", index(GOOGLEFINANCE($B$43,""close"",KG$2,TODAY()),2,2))"),"")</f>
        <v/>
      </c>
    </row>
    <row r="44" spans="1:293" ht="15.75" customHeight="1">
      <c r="A44" s="18" t="s">
        <v>30</v>
      </c>
      <c r="B44" s="6" t="s">
        <v>86</v>
      </c>
      <c r="C44" s="1">
        <f ca="1">IFERROR(__xludf.DUMMYFUNCTION("if(C$2="""","""", index(GOOGLEFINANCE($B$44,""close"",C$2,TODAY()),2,2))"),3.19)</f>
        <v>3.19</v>
      </c>
      <c r="D44" s="1">
        <f ca="1">IFERROR(__xludf.DUMMYFUNCTION("if(D$2="""","""", index(GOOGLEFINANCE($B$44,""close"",D$2,TODAY()),2,2))"),3.06)</f>
        <v>3.06</v>
      </c>
      <c r="E44" s="1">
        <f ca="1">IFERROR(__xludf.DUMMYFUNCTION("if(E$2="""","""", index(GOOGLEFINANCE($B$44,""close"",E$2,TODAY()),2,2))"),2.9)</f>
        <v>2.9</v>
      </c>
      <c r="F44" s="1">
        <f ca="1">IFERROR(__xludf.DUMMYFUNCTION("if(F$2="""","""", index(GOOGLEFINANCE($B$44,""close"",F$2,TODAY()),2,2))"),2.76)</f>
        <v>2.76</v>
      </c>
      <c r="G44" s="1">
        <f ca="1">IFERROR(__xludf.DUMMYFUNCTION("if(G$2="""","""", index(GOOGLEFINANCE($B$44,""close"",G$2,TODAY()),2,2))"),2.79)</f>
        <v>2.79</v>
      </c>
      <c r="H44" s="1">
        <f ca="1">IFERROR(__xludf.DUMMYFUNCTION("if(H$2="""","""", index(GOOGLEFINANCE($B$44,""close"",H$2,TODAY()),2,2))"),2.71)</f>
        <v>2.71</v>
      </c>
      <c r="I44" s="1">
        <f ca="1">IFERROR(__xludf.DUMMYFUNCTION("if(I$2="""","""", index(GOOGLEFINANCE($B$44,""close"",I$2,TODAY()),2,2))"),2.74)</f>
        <v>2.74</v>
      </c>
      <c r="J44" s="1">
        <f ca="1">IFERROR(__xludf.DUMMYFUNCTION("if(J$2="""","""", index(GOOGLEFINANCE($B$44,""close"",J$2,TODAY()),2,2))"),2.62)</f>
        <v>2.62</v>
      </c>
      <c r="K44" s="1">
        <f ca="1">IFERROR(__xludf.DUMMYFUNCTION("if(K$2="""","""", index(GOOGLEFINANCE($B$44,""close"",K$2,TODAY()),2,2))"),2.59)</f>
        <v>2.59</v>
      </c>
      <c r="L44" s="1">
        <f ca="1">IFERROR(__xludf.DUMMYFUNCTION("if(L$2="""","""", index(GOOGLEFINANCE($B$44,""close"",L$2,TODAY()),2,2))"),2.78)</f>
        <v>2.78</v>
      </c>
      <c r="M44" s="1">
        <f ca="1">IFERROR(__xludf.DUMMYFUNCTION("if(M$2="""","""", index(GOOGLEFINANCE($B$44,""close"",M$2,TODAY()),2,2))"),2.52)</f>
        <v>2.52</v>
      </c>
      <c r="N44" s="1">
        <f ca="1">IFERROR(__xludf.DUMMYFUNCTION("if(N$2="""","""", index(GOOGLEFINANCE($B$44,""close"",N$2,TODAY()),2,2))"),2.6)</f>
        <v>2.6</v>
      </c>
      <c r="O44" s="1">
        <f ca="1">IFERROR(__xludf.DUMMYFUNCTION("if(O$2="""","""", index(GOOGLEFINANCE($B$44,""close"",O$2,TODAY()),2,2))"),2.52)</f>
        <v>2.52</v>
      </c>
      <c r="P44" s="1">
        <f ca="1">IFERROR(__xludf.DUMMYFUNCTION("if(P$2="""","""", index(GOOGLEFINANCE($B$44,""close"",P$2,TODAY()),2,2))"),2.4)</f>
        <v>2.4</v>
      </c>
      <c r="Q44" s="1">
        <f ca="1">IFERROR(__xludf.DUMMYFUNCTION("if(Q$2="""","""", index(GOOGLEFINANCE($B$44,""close"",Q$2,TODAY()),2,2))"),2.43)</f>
        <v>2.4300000000000002</v>
      </c>
      <c r="R44" s="1">
        <f ca="1">IFERROR(__xludf.DUMMYFUNCTION("if(R$2="""","""", index(GOOGLEFINANCE($B$44,""close"",R$2,TODAY()),2,2))"),2.51)</f>
        <v>2.5099999999999998</v>
      </c>
      <c r="S44" s="1">
        <f ca="1">IFERROR(__xludf.DUMMYFUNCTION("if(S$2="""","""", index(GOOGLEFINANCE($B$44,""close"",S$2,TODAY()),2,2))"),2.33)</f>
        <v>2.33</v>
      </c>
      <c r="T44" s="1">
        <f ca="1">IFERROR(__xludf.DUMMYFUNCTION("if(T$2="""","""", index(GOOGLEFINANCE($B$44,""close"",T$2,TODAY()),2,2))"),2.25)</f>
        <v>2.25</v>
      </c>
      <c r="U44" s="1">
        <f ca="1">IFERROR(__xludf.DUMMYFUNCTION("if(U$2="""","""", index(GOOGLEFINANCE($B$44,""close"",U$2,TODAY()),2,2))"),2.28)</f>
        <v>2.2799999999999998</v>
      </c>
      <c r="V44" s="1">
        <f ca="1">IFERROR(__xludf.DUMMYFUNCTION("if(V$2="""","""", index(GOOGLEFINANCE($B$44,""close"",V$2,TODAY()),2,2))"),2.46)</f>
        <v>2.46</v>
      </c>
      <c r="W44" s="1">
        <f ca="1">IFERROR(__xludf.DUMMYFUNCTION("if(W$2="""","""", index(GOOGLEFINANCE($B$44,""close"",W$2,TODAY()),2,2))"),2.61)</f>
        <v>2.61</v>
      </c>
      <c r="X44" s="1">
        <f ca="1">IFERROR(__xludf.DUMMYFUNCTION("if(X$2="""","""", index(GOOGLEFINANCE($B$44,""close"",X$2,TODAY()),2,2))"),2.48)</f>
        <v>2.48</v>
      </c>
      <c r="Y44" s="1">
        <f ca="1">IFERROR(__xludf.DUMMYFUNCTION("if(Y$2="""","""", index(GOOGLEFINANCE($B$44,""close"",Y$2,TODAY()),2,2))"),2.4)</f>
        <v>2.4</v>
      </c>
      <c r="Z44" s="1">
        <f ca="1">IFERROR(__xludf.DUMMYFUNCTION("if(Z$2="""","""", index(GOOGLEFINANCE($B$44,""close"",Z$2,TODAY()),2,2))"),2.42)</f>
        <v>2.42</v>
      </c>
      <c r="AA44" s="1">
        <f ca="1">IFERROR(__xludf.DUMMYFUNCTION("if(AA$2="""","""", index(GOOGLEFINANCE($B$44,""close"",AA$2,TODAY()),2,2))"),2.43)</f>
        <v>2.4300000000000002</v>
      </c>
      <c r="AB44" s="1">
        <f ca="1">IFERROR(__xludf.DUMMYFUNCTION("if(AB$2="""","""", index(GOOGLEFINANCE($B$44,""close"",AB$2,TODAY()),2,2))"),2.36)</f>
        <v>2.36</v>
      </c>
      <c r="AC44" s="1">
        <f ca="1">IFERROR(__xludf.DUMMYFUNCTION("if(AC$2="""","""", index(GOOGLEFINANCE($B$44,""close"",AC$2,TODAY()),2,2))"),2.44)</f>
        <v>2.44</v>
      </c>
      <c r="AD44" s="1">
        <f ca="1">IFERROR(__xludf.DUMMYFUNCTION("if(AD$2="""","""", index(GOOGLEFINANCE($B$44,""close"",AD$2,TODAY()),2,2))"),2.34)</f>
        <v>2.34</v>
      </c>
      <c r="AE44" s="1">
        <f ca="1">IFERROR(__xludf.DUMMYFUNCTION("if(AE$2="""","""", index(GOOGLEFINANCE($B$44,""close"",AE$2,TODAY()),2,2))"),2.18)</f>
        <v>2.1800000000000002</v>
      </c>
      <c r="AF44" s="1">
        <f ca="1">IFERROR(__xludf.DUMMYFUNCTION("if(AF$2="""","""", index(GOOGLEFINANCE($B$44,""close"",AF$2,TODAY()),2,2))"),2.15)</f>
        <v>2.15</v>
      </c>
      <c r="AG44" s="1">
        <f ca="1">IFERROR(__xludf.DUMMYFUNCTION("if(AG$2="""","""", index(GOOGLEFINANCE($B$44,""close"",AG$2,TODAY()),2,2))"),2.31)</f>
        <v>2.31</v>
      </c>
      <c r="AH44" s="1">
        <f ca="1">IFERROR(__xludf.DUMMYFUNCTION("if(AH$2="""","""", index(GOOGLEFINANCE($B$44,""close"",AH$2,TODAY()),2,2))"),2.31)</f>
        <v>2.31</v>
      </c>
      <c r="AI44" s="1">
        <f ca="1">IFERROR(__xludf.DUMMYFUNCTION("if(AI$2="""","""", index(GOOGLEFINANCE($B$44,""close"",AI$2,TODAY()),2,2))"),2.18)</f>
        <v>2.1800000000000002</v>
      </c>
      <c r="AJ44" s="1">
        <f ca="1">IFERROR(__xludf.DUMMYFUNCTION("if(AJ$2="""","""", index(GOOGLEFINANCE($B$44,""close"",AJ$2,TODAY()),2,2))"),2.2)</f>
        <v>2.2000000000000002</v>
      </c>
      <c r="AK44" s="1">
        <f ca="1">IFERROR(__xludf.DUMMYFUNCTION("if(AK$2="""","""", index(GOOGLEFINANCE($B$44,""close"",AK$2,TODAY()),2,2))"),2.13)</f>
        <v>2.13</v>
      </c>
      <c r="AL44" s="1">
        <f ca="1">IFERROR(__xludf.DUMMYFUNCTION("if(AL$2="""","""", index(GOOGLEFINANCE($B$44,""close"",AL$2,TODAY()),2,2))"),2.17)</f>
        <v>2.17</v>
      </c>
      <c r="AM44" s="1">
        <f ca="1">IFERROR(__xludf.DUMMYFUNCTION("if(AM$2="""","""", index(GOOGLEFINANCE($B$44,""close"",AM$2,TODAY()),2,2))"),2.2)</f>
        <v>2.2000000000000002</v>
      </c>
      <c r="AN44" s="1">
        <f ca="1">IFERROR(__xludf.DUMMYFUNCTION("if(AN$2="""","""", index(GOOGLEFINANCE($B$44,""close"",AN$2,TODAY()),2,2))"),2.26)</f>
        <v>2.2599999999999998</v>
      </c>
      <c r="AO44" s="1">
        <f ca="1">IFERROR(__xludf.DUMMYFUNCTION("if(AO$2="""","""", index(GOOGLEFINANCE($B$44,""close"",AO$2,TODAY()),2,2))"),2.3)</f>
        <v>2.2999999999999998</v>
      </c>
      <c r="AP44" s="1">
        <f ca="1">IFERROR(__xludf.DUMMYFUNCTION("if(AP$2="""","""", index(GOOGLEFINANCE($B$44,""close"",AP$2,TODAY()),2,2))"),2.35)</f>
        <v>2.35</v>
      </c>
      <c r="AQ44" s="1">
        <f ca="1">IFERROR(__xludf.DUMMYFUNCTION("if(AQ$2="""","""", index(GOOGLEFINANCE($B$44,""close"",AQ$2,TODAY()),2,2))"),2.22)</f>
        <v>2.2200000000000002</v>
      </c>
      <c r="AR44" s="1">
        <f ca="1">IFERROR(__xludf.DUMMYFUNCTION("if(AR$2="""","""", index(GOOGLEFINANCE($B$44,""close"",AR$2,TODAY()),2,2))"),2.33)</f>
        <v>2.33</v>
      </c>
      <c r="AS44" s="1">
        <f ca="1">IFERROR(__xludf.DUMMYFUNCTION("if(AS$2="""","""", index(GOOGLEFINANCE($B$44,""close"",AS$2,TODAY()),2,2))"),2.52)</f>
        <v>2.52</v>
      </c>
      <c r="AT44" s="1">
        <f ca="1">IFERROR(__xludf.DUMMYFUNCTION("if(AT$2="""","""", index(GOOGLEFINANCE($B$44,""close"",AT$2,TODAY()),2,2))"),2.43)</f>
        <v>2.4300000000000002</v>
      </c>
      <c r="AU44" s="1">
        <f ca="1">IFERROR(__xludf.DUMMYFUNCTION("if(AU$2="""","""", index(GOOGLEFINANCE($B$44,""close"",AU$2,TODAY()),2,2))"),2.79)</f>
        <v>2.79</v>
      </c>
      <c r="AV44" s="1">
        <f ca="1">IFERROR(__xludf.DUMMYFUNCTION("if(AV$2="""","""", index(GOOGLEFINANCE($B$44,""close"",AV$2,TODAY()),2,2))"),2.97)</f>
        <v>2.97</v>
      </c>
      <c r="AW44" s="1">
        <f ca="1">IFERROR(__xludf.DUMMYFUNCTION("if(AW$2="""","""", index(GOOGLEFINANCE($B$44,""close"",AW$2,TODAY()),2,2))"),2.9)</f>
        <v>2.9</v>
      </c>
      <c r="AX44" s="1">
        <f ca="1">IFERROR(__xludf.DUMMYFUNCTION("if(AX$2="""","""", index(GOOGLEFINANCE($B$44,""close"",AX$2,TODAY()),2,2))"),2.63)</f>
        <v>2.63</v>
      </c>
      <c r="AY44" s="1">
        <f ca="1">IFERROR(__xludf.DUMMYFUNCTION("if(AY$2="""","""", index(GOOGLEFINANCE($B$44,""close"",AY$2,TODAY()),2,2))"),2.46)</f>
        <v>2.46</v>
      </c>
      <c r="AZ44" s="1">
        <f ca="1">IFERROR(__xludf.DUMMYFUNCTION("if(AZ$2="""","""", index(GOOGLEFINANCE($B$44,""close"",AZ$2,TODAY()),2,2))"),2.72)</f>
        <v>2.72</v>
      </c>
      <c r="BA44" s="1">
        <f ca="1">IFERROR(__xludf.DUMMYFUNCTION("if(BA$2="""","""", index(GOOGLEFINANCE($B$44,""close"",BA$2,TODAY()),2,2))"),2.97)</f>
        <v>2.97</v>
      </c>
      <c r="BB44" s="1">
        <f ca="1">IFERROR(__xludf.DUMMYFUNCTION("if(BB$2="""","""", index(GOOGLEFINANCE($B$44,""close"",BB$2,TODAY()),2,2))"),3.18)</f>
        <v>3.18</v>
      </c>
      <c r="BC44" s="1">
        <f ca="1">IFERROR(__xludf.DUMMYFUNCTION("if(BC$2="""","""", index(GOOGLEFINANCE($B$44,""close"",BC$2,TODAY()),2,2))"),3.24)</f>
        <v>3.24</v>
      </c>
      <c r="BD44" s="1">
        <f ca="1">IFERROR(__xludf.DUMMYFUNCTION("if(BD$2="""","""", index(GOOGLEFINANCE($B$44,""close"",BD$2,TODAY()),2,2))"),3.09)</f>
        <v>3.09</v>
      </c>
      <c r="BE44" s="1">
        <f ca="1">IFERROR(__xludf.DUMMYFUNCTION("if(BE$2="""","""", index(GOOGLEFINANCE($B$44,""close"",BE$2,TODAY()),2,2))"),3.15)</f>
        <v>3.15</v>
      </c>
      <c r="BF44" s="1">
        <f ca="1">IFERROR(__xludf.DUMMYFUNCTION("if(BF$2="""","""", index(GOOGLEFINANCE($B$44,""close"",BF$2,TODAY()),2,2))"),3.02)</f>
        <v>3.02</v>
      </c>
      <c r="BG44" s="1">
        <f ca="1">IFERROR(__xludf.DUMMYFUNCTION("if(BG$2="""","""", index(GOOGLEFINANCE($B$44,""close"",BG$2,TODAY()),2,2))"),2.91)</f>
        <v>2.91</v>
      </c>
      <c r="BH44" s="1">
        <f ca="1">IFERROR(__xludf.DUMMYFUNCTION("if(BH$2="""","""", index(GOOGLEFINANCE($B$44,""close"",BH$2,TODAY()),2,2))"),2.8)</f>
        <v>2.8</v>
      </c>
      <c r="BI44" s="1">
        <f ca="1">IFERROR(__xludf.DUMMYFUNCTION("if(BI$2="""","""", index(GOOGLEFINANCE($B$44,""close"",BI$2,TODAY()),2,2))"),2.73)</f>
        <v>2.73</v>
      </c>
      <c r="BJ44" s="1">
        <f ca="1">IFERROR(__xludf.DUMMYFUNCTION("if(BJ$2="""","""", index(GOOGLEFINANCE($B$44,""close"",BJ$2,TODAY()),2,2))"),2.92)</f>
        <v>2.92</v>
      </c>
      <c r="BK44" s="1">
        <f ca="1">IFERROR(__xludf.DUMMYFUNCTION("if(BK$2="""","""", index(GOOGLEFINANCE($B$44,""close"",BK$2,TODAY()),2,2))"),2.85)</f>
        <v>2.85</v>
      </c>
      <c r="BL44" s="1">
        <f ca="1">IFERROR(__xludf.DUMMYFUNCTION("if(BL$2="""","""", index(GOOGLEFINANCE($B$44,""close"",BL$2,TODAY()),2,2))"),2.88)</f>
        <v>2.88</v>
      </c>
      <c r="BM44" s="1">
        <f ca="1">IFERROR(__xludf.DUMMYFUNCTION("if(BM$2="""","""", index(GOOGLEFINANCE($B$44,""close"",BM$2,TODAY()),2,2))"),2.98)</f>
        <v>2.98</v>
      </c>
      <c r="BN44" s="1">
        <f ca="1">IFERROR(__xludf.DUMMYFUNCTION("if(BN$2="""","""", index(GOOGLEFINANCE($B$44,""close"",BN$2,TODAY()),2,2))"),3.18)</f>
        <v>3.18</v>
      </c>
      <c r="BO44" s="1">
        <f ca="1">IFERROR(__xludf.DUMMYFUNCTION("if(BO$2="""","""", index(GOOGLEFINANCE($B$44,""close"",BO$2,TODAY()),2,2))"),3.3)</f>
        <v>3.3</v>
      </c>
      <c r="BP44" s="1">
        <f ca="1">IFERROR(__xludf.DUMMYFUNCTION("if(BP$2="""","""", index(GOOGLEFINANCE($B$44,""close"",BP$2,TODAY()),2,2))"),3.21)</f>
        <v>3.21</v>
      </c>
      <c r="BQ44" s="1">
        <f ca="1">IFERROR(__xludf.DUMMYFUNCTION("if(BQ$2="""","""", index(GOOGLEFINANCE($B$44,""close"",BQ$2,TODAY()),2,2))"),3.12)</f>
        <v>3.12</v>
      </c>
      <c r="BR44" s="1">
        <f ca="1">IFERROR(__xludf.DUMMYFUNCTION("if(BR$2="""","""", index(GOOGLEFINANCE($B$44,""close"",BR$2,TODAY()),2,2))"),3.03)</f>
        <v>3.03</v>
      </c>
      <c r="BS44" s="1">
        <f ca="1">IFERROR(__xludf.DUMMYFUNCTION("if(BS$2="""","""", index(GOOGLEFINANCE($B$44,""close"",BS$2,TODAY()),2,2))"),2.83)</f>
        <v>2.83</v>
      </c>
      <c r="BT44" s="1">
        <f ca="1">IFERROR(__xludf.DUMMYFUNCTION("if(BT$2="""","""", index(GOOGLEFINANCE($B$44,""close"",BT$2,TODAY()),2,2))"),2.71)</f>
        <v>2.71</v>
      </c>
      <c r="BU44" s="1">
        <f ca="1">IFERROR(__xludf.DUMMYFUNCTION("if(BU$2="""","""", index(GOOGLEFINANCE($B$44,""close"",BU$2,TODAY()),2,2))"),2.88)</f>
        <v>2.88</v>
      </c>
      <c r="BV44" s="1">
        <f ca="1">IFERROR(__xludf.DUMMYFUNCTION("if(BV$2="""","""", index(GOOGLEFINANCE($B$44,""close"",BV$2,TODAY()),2,2))"),2.83)</f>
        <v>2.83</v>
      </c>
      <c r="BW44" s="1">
        <f ca="1">IFERROR(__xludf.DUMMYFUNCTION("if(BW$2="""","""", index(GOOGLEFINANCE($B$44,""close"",BW$2,TODAY()),2,2))"),2.8)</f>
        <v>2.8</v>
      </c>
      <c r="BX44" s="1">
        <f ca="1">IFERROR(__xludf.DUMMYFUNCTION("if(BX$2="""","""", index(GOOGLEFINANCE($B$44,""close"",BX$2,TODAY()),2,2))"),2.8)</f>
        <v>2.8</v>
      </c>
      <c r="BY44" s="1">
        <f ca="1">IFERROR(__xludf.DUMMYFUNCTION("if(BY$2="""","""", index(GOOGLEFINANCE($B$44,""close"",BY$2,TODAY()),2,2))"),2.77)</f>
        <v>2.77</v>
      </c>
      <c r="BZ44" s="1">
        <f ca="1">IFERROR(__xludf.DUMMYFUNCTION("if(BZ$2="""","""", index(GOOGLEFINANCE($B$44,""close"",BZ$2,TODAY()),2,2))"),2.72)</f>
        <v>2.72</v>
      </c>
      <c r="CA44" s="1">
        <f ca="1">IFERROR(__xludf.DUMMYFUNCTION("if(CA$2="""","""", index(GOOGLEFINANCE($B$44,""close"",CA$2,TODAY()),2,2))"),2.72)</f>
        <v>2.72</v>
      </c>
      <c r="CB44" s="1">
        <f ca="1">IFERROR(__xludf.DUMMYFUNCTION("if(CB$2="""","""", index(GOOGLEFINANCE($B$44,""close"",CB$2,TODAY()),2,2))"),2.8)</f>
        <v>2.8</v>
      </c>
      <c r="CC44" s="1">
        <f ca="1">IFERROR(__xludf.DUMMYFUNCTION("if(CC$2="""","""", index(GOOGLEFINANCE($B$44,""close"",CC$2,TODAY()),2,2))"),2.65)</f>
        <v>2.65</v>
      </c>
      <c r="CD44" s="1">
        <f ca="1">IFERROR(__xludf.DUMMYFUNCTION("if(CD$2="""","""", index(GOOGLEFINANCE($B$44,""close"",CD$2,TODAY()),2,2))"),2.5)</f>
        <v>2.5</v>
      </c>
      <c r="CE44" s="1">
        <f ca="1">IFERROR(__xludf.DUMMYFUNCTION("if(CE$2="""","""", index(GOOGLEFINANCE($B$44,""close"",CE$2,TODAY()),2,2))"),2.51)</f>
        <v>2.5099999999999998</v>
      </c>
      <c r="CF44" s="1">
        <f ca="1">IFERROR(__xludf.DUMMYFUNCTION("if(CF$2="""","""", index(GOOGLEFINANCE($B$44,""close"",CF$2,TODAY()),2,2))"),2.36)</f>
        <v>2.36</v>
      </c>
      <c r="CG44" s="1">
        <f ca="1">IFERROR(__xludf.DUMMYFUNCTION("if(CG$2="""","""", index(GOOGLEFINANCE($B$44,""close"",CG$2,TODAY()),2,2))"),2.31)</f>
        <v>2.31</v>
      </c>
      <c r="CH44" s="1">
        <f ca="1">IFERROR(__xludf.DUMMYFUNCTION("if(CH$2="""","""", index(GOOGLEFINANCE($B$44,""close"",CH$2,TODAY()),2,2))"),2.4)</f>
        <v>2.4</v>
      </c>
      <c r="CI44" s="1">
        <f ca="1">IFERROR(__xludf.DUMMYFUNCTION("if(CI$2="""","""", index(GOOGLEFINANCE($B$44,""close"",CI$2,TODAY()),2,2))"),2.46)</f>
        <v>2.46</v>
      </c>
      <c r="CJ44" s="1" t="str">
        <f ca="1">IFERROR(__xludf.DUMMYFUNCTION("if(CJ$2="""","""", index(GOOGLEFINANCE($B$44,""close"",CJ$2,TODAY()),2,2))"),"")</f>
        <v/>
      </c>
      <c r="CK44" s="1" t="str">
        <f ca="1">IFERROR(__xludf.DUMMYFUNCTION("if(CK$2="""","""", index(GOOGLEFINANCE($B$44,""close"",CK$2,TODAY()),2,2))"),"")</f>
        <v/>
      </c>
      <c r="CL44" s="1" t="str">
        <f ca="1">IFERROR(__xludf.DUMMYFUNCTION("if(CL$2="""","""", index(GOOGLEFINANCE($B$44,""close"",CL$2,TODAY()),2,2))"),"")</f>
        <v/>
      </c>
      <c r="CM44" s="1" t="str">
        <f ca="1">IFERROR(__xludf.DUMMYFUNCTION("if(CM$2="""","""", index(GOOGLEFINANCE($B$44,""close"",CM$2,TODAY()),2,2))"),"")</f>
        <v/>
      </c>
      <c r="CN44" s="1" t="str">
        <f ca="1">IFERROR(__xludf.DUMMYFUNCTION("if(CN$2="""","""", index(GOOGLEFINANCE($B$44,""close"",CN$2,TODAY()),2,2))"),"")</f>
        <v/>
      </c>
      <c r="CO44" s="1" t="str">
        <f ca="1">IFERROR(__xludf.DUMMYFUNCTION("if(CO$2="""","""", index(GOOGLEFINANCE($B$44,""close"",CO$2,TODAY()),2,2))"),"")</f>
        <v/>
      </c>
      <c r="CP44" s="1" t="str">
        <f ca="1">IFERROR(__xludf.DUMMYFUNCTION("if(CP$2="""","""", index(GOOGLEFINANCE($B$44,""close"",CP$2,TODAY()),2,2))"),"")</f>
        <v/>
      </c>
      <c r="CQ44" s="1" t="str">
        <f ca="1">IFERROR(__xludf.DUMMYFUNCTION("if(CQ$2="""","""", index(GOOGLEFINANCE($B$44,""close"",CQ$2,TODAY()),2,2))"),"")</f>
        <v/>
      </c>
      <c r="CR44" s="1" t="str">
        <f ca="1">IFERROR(__xludf.DUMMYFUNCTION("if(CR$2="""","""", index(GOOGLEFINANCE($B$44,""close"",CR$2,TODAY()),2,2))"),"")</f>
        <v/>
      </c>
      <c r="CS44" s="1" t="str">
        <f ca="1">IFERROR(__xludf.DUMMYFUNCTION("if(CS$2="""","""", index(GOOGLEFINANCE($B$44,""close"",CS$2,TODAY()),2,2))"),"")</f>
        <v/>
      </c>
      <c r="CT44" s="1" t="str">
        <f ca="1">IFERROR(__xludf.DUMMYFUNCTION("if(CT$2="""","""", index(GOOGLEFINANCE($B$44,""close"",CT$2,TODAY()),2,2))"),"")</f>
        <v/>
      </c>
      <c r="CU44" s="1" t="str">
        <f ca="1">IFERROR(__xludf.DUMMYFUNCTION("if(CU$2="""","""", index(GOOGLEFINANCE($B$44,""close"",CU$2,TODAY()),2,2))"),"")</f>
        <v/>
      </c>
      <c r="CV44" s="1" t="str">
        <f ca="1">IFERROR(__xludf.DUMMYFUNCTION("if(CV$2="""","""", index(GOOGLEFINANCE($B$44,""close"",CV$2,TODAY()),2,2))"),"")</f>
        <v/>
      </c>
      <c r="CW44" s="1" t="str">
        <f ca="1">IFERROR(__xludf.DUMMYFUNCTION("if(CW$2="""","""", index(GOOGLEFINANCE($B$44,""close"",CW$2,TODAY()),2,2))"),"")</f>
        <v/>
      </c>
      <c r="CX44" s="1" t="str">
        <f ca="1">IFERROR(__xludf.DUMMYFUNCTION("if(CX$2="""","""", index(GOOGLEFINANCE($B$44,""close"",CX$2,TODAY()),2,2))"),"")</f>
        <v/>
      </c>
      <c r="CY44" s="1" t="str">
        <f ca="1">IFERROR(__xludf.DUMMYFUNCTION("if(CY$2="""","""", index(GOOGLEFINANCE($B$44,""close"",CY$2,TODAY()),2,2))"),"")</f>
        <v/>
      </c>
      <c r="CZ44" s="1" t="str">
        <f ca="1">IFERROR(__xludf.DUMMYFUNCTION("if(CZ$2="""","""", index(GOOGLEFINANCE($B$44,""close"",CZ$2,TODAY()),2,2))"),"")</f>
        <v/>
      </c>
      <c r="DA44" s="1" t="str">
        <f ca="1">IFERROR(__xludf.DUMMYFUNCTION("if(DA$2="""","""", index(GOOGLEFINANCE($B$44,""close"",DA$2,TODAY()),2,2))"),"")</f>
        <v/>
      </c>
      <c r="DB44" s="1" t="str">
        <f ca="1">IFERROR(__xludf.DUMMYFUNCTION("if(DB$2="""","""", index(GOOGLEFINANCE($B$44,""close"",DB$2,TODAY()),2,2))"),"")</f>
        <v/>
      </c>
      <c r="DC44" s="1" t="str">
        <f ca="1">IFERROR(__xludf.DUMMYFUNCTION("if(DC$2="""","""", index(GOOGLEFINANCE($B$44,""close"",DC$2,TODAY()),2,2))"),"")</f>
        <v/>
      </c>
      <c r="DD44" s="1" t="str">
        <f ca="1">IFERROR(__xludf.DUMMYFUNCTION("if(DD$2="""","""", index(GOOGLEFINANCE($B$44,""close"",DD$2,TODAY()),2,2))"),"")</f>
        <v/>
      </c>
      <c r="DE44" s="1" t="str">
        <f ca="1">IFERROR(__xludf.DUMMYFUNCTION("if(DE$2="""","""", index(GOOGLEFINANCE($B$44,""close"",DE$2,TODAY()),2,2))"),"")</f>
        <v/>
      </c>
      <c r="DF44" s="1" t="str">
        <f ca="1">IFERROR(__xludf.DUMMYFUNCTION("if(DF$2="""","""", index(GOOGLEFINANCE($B$44,""close"",DF$2,TODAY()),2,2))"),"")</f>
        <v/>
      </c>
      <c r="DG44" s="1" t="str">
        <f ca="1">IFERROR(__xludf.DUMMYFUNCTION("if(DG$2="""","""", index(GOOGLEFINANCE($B$44,""close"",DG$2,TODAY()),2,2))"),"")</f>
        <v/>
      </c>
      <c r="DH44" s="1" t="str">
        <f ca="1">IFERROR(__xludf.DUMMYFUNCTION("if(DH$2="""","""", index(GOOGLEFINANCE($B$44,""close"",DH$2,TODAY()),2,2))"),"")</f>
        <v/>
      </c>
      <c r="DI44" s="1" t="str">
        <f ca="1">IFERROR(__xludf.DUMMYFUNCTION("if(DI$2="""","""", index(GOOGLEFINANCE($B$44,""close"",DI$2,TODAY()),2,2))"),"")</f>
        <v/>
      </c>
      <c r="DJ44" s="1" t="str">
        <f ca="1">IFERROR(__xludf.DUMMYFUNCTION("if(DJ$2="""","""", index(GOOGLEFINANCE($B$44,""close"",DJ$2,TODAY()),2,2))"),"")</f>
        <v/>
      </c>
      <c r="DK44" s="1" t="str">
        <f ca="1">IFERROR(__xludf.DUMMYFUNCTION("if(DK$2="""","""", index(GOOGLEFINANCE($B$44,""close"",DK$2,TODAY()),2,2))"),"")</f>
        <v/>
      </c>
      <c r="DL44" s="1" t="str">
        <f ca="1">IFERROR(__xludf.DUMMYFUNCTION("if(DL$2="""","""", index(GOOGLEFINANCE($B$44,""close"",DL$2,TODAY()),2,2))"),"")</f>
        <v/>
      </c>
      <c r="DM44" s="1" t="str">
        <f ca="1">IFERROR(__xludf.DUMMYFUNCTION("if(DM$2="""","""", index(GOOGLEFINANCE($B$44,""close"",DM$2,TODAY()),2,2))"),"")</f>
        <v/>
      </c>
      <c r="DN44" s="1" t="str">
        <f ca="1">IFERROR(__xludf.DUMMYFUNCTION("if(DN$2="""","""", index(GOOGLEFINANCE($B$44,""close"",DN$2,TODAY()),2,2))"),"")</f>
        <v/>
      </c>
      <c r="DO44" s="1" t="str">
        <f ca="1">IFERROR(__xludf.DUMMYFUNCTION("if(DO$2="""","""", index(GOOGLEFINANCE($B$44,""close"",DO$2,TODAY()),2,2))"),"")</f>
        <v/>
      </c>
      <c r="DP44" s="1" t="str">
        <f ca="1">IFERROR(__xludf.DUMMYFUNCTION("if(DP$2="""","""", index(GOOGLEFINANCE($B$44,""close"",DP$2,TODAY()),2,2))"),"")</f>
        <v/>
      </c>
      <c r="DQ44" s="1" t="str">
        <f ca="1">IFERROR(__xludf.DUMMYFUNCTION("if(DQ$2="""","""", index(GOOGLEFINANCE($B$44,""close"",DQ$2,TODAY()),2,2))"),"")</f>
        <v/>
      </c>
      <c r="DR44" s="1" t="str">
        <f ca="1">IFERROR(__xludf.DUMMYFUNCTION("if(DR$2="""","""", index(GOOGLEFINANCE($B$44,""close"",DR$2,TODAY()),2,2))"),"")</f>
        <v/>
      </c>
      <c r="DS44" s="1" t="str">
        <f ca="1">IFERROR(__xludf.DUMMYFUNCTION("if(DS$2="""","""", index(GOOGLEFINANCE($B$44,""close"",DS$2,TODAY()),2,2))"),"")</f>
        <v/>
      </c>
      <c r="DT44" s="1" t="str">
        <f ca="1">IFERROR(__xludf.DUMMYFUNCTION("if(DT$2="""","""", index(GOOGLEFINANCE($B$44,""close"",DT$2,TODAY()),2,2))"),"")</f>
        <v/>
      </c>
      <c r="DU44" s="1" t="str">
        <f ca="1">IFERROR(__xludf.DUMMYFUNCTION("if(DU$2="""","""", index(GOOGLEFINANCE($B$44,""close"",DU$2,TODAY()),2,2))"),"")</f>
        <v/>
      </c>
      <c r="DV44" s="1" t="str">
        <f ca="1">IFERROR(__xludf.DUMMYFUNCTION("if(DV$2="""","""", index(GOOGLEFINANCE($B$44,""close"",DV$2,TODAY()),2,2))"),"")</f>
        <v/>
      </c>
      <c r="DW44" s="1" t="str">
        <f ca="1">IFERROR(__xludf.DUMMYFUNCTION("if(DW$2="""","""", index(GOOGLEFINANCE($B$44,""close"",DW$2,TODAY()),2,2))"),"")</f>
        <v/>
      </c>
      <c r="DX44" s="1" t="str">
        <f ca="1">IFERROR(__xludf.DUMMYFUNCTION("if(DX$2="""","""", index(GOOGLEFINANCE($B$44,""close"",DX$2,TODAY()),2,2))"),"")</f>
        <v/>
      </c>
      <c r="DY44" s="1" t="str">
        <f ca="1">IFERROR(__xludf.DUMMYFUNCTION("if(DY$2="""","""", index(GOOGLEFINANCE($B$44,""close"",DY$2,TODAY()),2,2))"),"")</f>
        <v/>
      </c>
      <c r="DZ44" s="1" t="str">
        <f ca="1">IFERROR(__xludf.DUMMYFUNCTION("if(DZ$2="""","""", index(GOOGLEFINANCE($B$44,""close"",DZ$2,TODAY()),2,2))"),"")</f>
        <v/>
      </c>
      <c r="EA44" s="1" t="str">
        <f ca="1">IFERROR(__xludf.DUMMYFUNCTION("if(EA$2="""","""", index(GOOGLEFINANCE($B$44,""close"",EA$2,TODAY()),2,2))"),"")</f>
        <v/>
      </c>
      <c r="EB44" s="1" t="str">
        <f ca="1">IFERROR(__xludf.DUMMYFUNCTION("if(EB$2="""","""", index(GOOGLEFINANCE($B$44,""close"",EB$2,TODAY()),2,2))"),"")</f>
        <v/>
      </c>
      <c r="EC44" s="1" t="str">
        <f ca="1">IFERROR(__xludf.DUMMYFUNCTION("if(EC$2="""","""", index(GOOGLEFINANCE($B$44,""close"",EC$2,TODAY()),2,2))"),"")</f>
        <v/>
      </c>
      <c r="ED44" s="1" t="str">
        <f ca="1">IFERROR(__xludf.DUMMYFUNCTION("if(ED$2="""","""", index(GOOGLEFINANCE($B$44,""close"",ED$2,TODAY()),2,2))"),"")</f>
        <v/>
      </c>
      <c r="EE44" s="1" t="str">
        <f ca="1">IFERROR(__xludf.DUMMYFUNCTION("if(EE$2="""","""", index(GOOGLEFINANCE($B$44,""close"",EE$2,TODAY()),2,2))"),"")</f>
        <v/>
      </c>
      <c r="EF44" s="1" t="str">
        <f ca="1">IFERROR(__xludf.DUMMYFUNCTION("if(EF$2="""","""", index(GOOGLEFINANCE($B$44,""close"",EF$2,TODAY()),2,2))"),"")</f>
        <v/>
      </c>
      <c r="EG44" s="1" t="str">
        <f ca="1">IFERROR(__xludf.DUMMYFUNCTION("if(EG$2="""","""", index(GOOGLEFINANCE($B$44,""close"",EG$2,TODAY()),2,2))"),"")</f>
        <v/>
      </c>
      <c r="EH44" s="1" t="str">
        <f ca="1">IFERROR(__xludf.DUMMYFUNCTION("if(EH$2="""","""", index(GOOGLEFINANCE($B$44,""close"",EH$2,TODAY()),2,2))"),"")</f>
        <v/>
      </c>
      <c r="EI44" s="1" t="str">
        <f ca="1">IFERROR(__xludf.DUMMYFUNCTION("if(EI$2="""","""", index(GOOGLEFINANCE($B$44,""close"",EI$2,TODAY()),2,2))"),"")</f>
        <v/>
      </c>
      <c r="EJ44" s="1" t="str">
        <f ca="1">IFERROR(__xludf.DUMMYFUNCTION("if(EJ$2="""","""", index(GOOGLEFINANCE($B$44,""close"",EJ$2,TODAY()),2,2))"),"")</f>
        <v/>
      </c>
      <c r="EK44" s="1" t="str">
        <f ca="1">IFERROR(__xludf.DUMMYFUNCTION("if(EK$2="""","""", index(GOOGLEFINANCE($B$44,""close"",EK$2,TODAY()),2,2))"),"")</f>
        <v/>
      </c>
      <c r="EL44" s="1" t="str">
        <f ca="1">IFERROR(__xludf.DUMMYFUNCTION("if(EL$2="""","""", index(GOOGLEFINANCE($B$44,""close"",EL$2,TODAY()),2,2))"),"")</f>
        <v/>
      </c>
      <c r="EM44" s="1" t="str">
        <f ca="1">IFERROR(__xludf.DUMMYFUNCTION("if(EM$2="""","""", index(GOOGLEFINANCE($B$44,""close"",EM$2,TODAY()),2,2))"),"")</f>
        <v/>
      </c>
      <c r="EN44" s="1" t="str">
        <f ca="1">IFERROR(__xludf.DUMMYFUNCTION("if(EN$2="""","""", index(GOOGLEFINANCE($B$44,""close"",EN$2,TODAY()),2,2))"),"")</f>
        <v/>
      </c>
      <c r="EO44" s="1" t="str">
        <f ca="1">IFERROR(__xludf.DUMMYFUNCTION("if(EO$2="""","""", index(GOOGLEFINANCE($B$44,""close"",EO$2,TODAY()),2,2))"),"")</f>
        <v/>
      </c>
      <c r="EP44" s="1" t="str">
        <f ca="1">IFERROR(__xludf.DUMMYFUNCTION("if(EP$2="""","""", index(GOOGLEFINANCE($B$44,""close"",EP$2,TODAY()),2,2))"),"")</f>
        <v/>
      </c>
      <c r="EQ44" s="1" t="str">
        <f ca="1">IFERROR(__xludf.DUMMYFUNCTION("if(EQ$2="""","""", index(GOOGLEFINANCE($B$44,""close"",EQ$2,TODAY()),2,2))"),"")</f>
        <v/>
      </c>
      <c r="ER44" s="1" t="str">
        <f ca="1">IFERROR(__xludf.DUMMYFUNCTION("if(ER$2="""","""", index(GOOGLEFINANCE($B$44,""close"",ER$2,TODAY()),2,2))"),"")</f>
        <v/>
      </c>
      <c r="ES44" s="1" t="str">
        <f ca="1">IFERROR(__xludf.DUMMYFUNCTION("if(ES$2="""","""", index(GOOGLEFINANCE($B$44,""close"",ES$2,TODAY()),2,2))"),"")</f>
        <v/>
      </c>
      <c r="ET44" s="1" t="str">
        <f ca="1">IFERROR(__xludf.DUMMYFUNCTION("if(ET$2="""","""", index(GOOGLEFINANCE($B$44,""close"",ET$2,TODAY()),2,2))"),"")</f>
        <v/>
      </c>
      <c r="EU44" s="1" t="str">
        <f ca="1">IFERROR(__xludf.DUMMYFUNCTION("if(EU$2="""","""", index(GOOGLEFINANCE($B$44,""close"",EU$2,TODAY()),2,2))"),"")</f>
        <v/>
      </c>
      <c r="EV44" s="1" t="str">
        <f ca="1">IFERROR(__xludf.DUMMYFUNCTION("if(EV$2="""","""", index(GOOGLEFINANCE($B$44,""close"",EV$2,TODAY()),2,2))"),"")</f>
        <v/>
      </c>
      <c r="EW44" s="1" t="str">
        <f ca="1">IFERROR(__xludf.DUMMYFUNCTION("if(EW$2="""","""", index(GOOGLEFINANCE($B$44,""close"",EW$2,TODAY()),2,2))"),"")</f>
        <v/>
      </c>
      <c r="EX44" s="1" t="str">
        <f ca="1">IFERROR(__xludf.DUMMYFUNCTION("if(EX$2="""","""", index(GOOGLEFINANCE($B$44,""close"",EX$2,TODAY()),2,2))"),"")</f>
        <v/>
      </c>
      <c r="EY44" s="1" t="str">
        <f ca="1">IFERROR(__xludf.DUMMYFUNCTION("if(EY$2="""","""", index(GOOGLEFINANCE($B$44,""close"",EY$2,TODAY()),2,2))"),"")</f>
        <v/>
      </c>
      <c r="EZ44" s="1" t="str">
        <f ca="1">IFERROR(__xludf.DUMMYFUNCTION("if(EZ$2="""","""", index(GOOGLEFINANCE($B$44,""close"",EZ$2,TODAY()),2,2))"),"")</f>
        <v/>
      </c>
      <c r="FA44" s="1" t="str">
        <f ca="1">IFERROR(__xludf.DUMMYFUNCTION("if(FA$2="""","""", index(GOOGLEFINANCE($B$44,""close"",FA$2,TODAY()),2,2))"),"")</f>
        <v/>
      </c>
      <c r="FB44" s="1" t="str">
        <f ca="1">IFERROR(__xludf.DUMMYFUNCTION("if(FB$2="""","""", index(GOOGLEFINANCE($B$44,""close"",FB$2,TODAY()),2,2))"),"")</f>
        <v/>
      </c>
      <c r="FC44" s="1" t="str">
        <f ca="1">IFERROR(__xludf.DUMMYFUNCTION("if(FC$2="""","""", index(GOOGLEFINANCE($B$44,""close"",FC$2,TODAY()),2,2))"),"")</f>
        <v/>
      </c>
      <c r="FD44" s="1" t="str">
        <f ca="1">IFERROR(__xludf.DUMMYFUNCTION("if(FD$2="""","""", index(GOOGLEFINANCE($B$44,""close"",FD$2,TODAY()),2,2))"),"")</f>
        <v/>
      </c>
      <c r="FE44" s="1" t="str">
        <f ca="1">IFERROR(__xludf.DUMMYFUNCTION("if(FE$2="""","""", index(GOOGLEFINANCE($B$44,""close"",FE$2,TODAY()),2,2))"),"")</f>
        <v/>
      </c>
      <c r="FF44" s="1" t="str">
        <f ca="1">IFERROR(__xludf.DUMMYFUNCTION("if(FF$2="""","""", index(GOOGLEFINANCE($B$44,""close"",FF$2,TODAY()),2,2))"),"")</f>
        <v/>
      </c>
      <c r="FG44" s="1" t="str">
        <f ca="1">IFERROR(__xludf.DUMMYFUNCTION("if(FG$2="""","""", index(GOOGLEFINANCE($B$44,""close"",FG$2,TODAY()),2,2))"),"")</f>
        <v/>
      </c>
      <c r="FH44" s="1" t="str">
        <f ca="1">IFERROR(__xludf.DUMMYFUNCTION("if(FH$2="""","""", index(GOOGLEFINANCE($B$44,""close"",FH$2,TODAY()),2,2))"),"")</f>
        <v/>
      </c>
      <c r="FI44" s="1" t="str">
        <f ca="1">IFERROR(__xludf.DUMMYFUNCTION("if(FI$2="""","""", index(GOOGLEFINANCE($B$44,""close"",FI$2,TODAY()),2,2))"),"")</f>
        <v/>
      </c>
      <c r="FJ44" s="1" t="str">
        <f ca="1">IFERROR(__xludf.DUMMYFUNCTION("if(FJ$2="""","""", index(GOOGLEFINANCE($B$44,""close"",FJ$2,TODAY()),2,2))"),"")</f>
        <v/>
      </c>
      <c r="FK44" s="1" t="str">
        <f ca="1">IFERROR(__xludf.DUMMYFUNCTION("if(FK$2="""","""", index(GOOGLEFINANCE($B$44,""close"",FK$2,TODAY()),2,2))"),"")</f>
        <v/>
      </c>
      <c r="FL44" s="1" t="str">
        <f ca="1">IFERROR(__xludf.DUMMYFUNCTION("if(FL$2="""","""", index(GOOGLEFINANCE($B$44,""close"",FL$2,TODAY()),2,2))"),"")</f>
        <v/>
      </c>
      <c r="FM44" s="1" t="str">
        <f ca="1">IFERROR(__xludf.DUMMYFUNCTION("if(FM$2="""","""", index(GOOGLEFINANCE($B$44,""close"",FM$2,TODAY()),2,2))"),"")</f>
        <v/>
      </c>
      <c r="FN44" s="1" t="str">
        <f ca="1">IFERROR(__xludf.DUMMYFUNCTION("if(FN$2="""","""", index(GOOGLEFINANCE($B$44,""close"",FN$2,TODAY()),2,2))"),"")</f>
        <v/>
      </c>
      <c r="FO44" s="1" t="str">
        <f ca="1">IFERROR(__xludf.DUMMYFUNCTION("if(FO$2="""","""", index(GOOGLEFINANCE($B$44,""close"",FO$2,TODAY()),2,2))"),"")</f>
        <v/>
      </c>
      <c r="FP44" s="1" t="str">
        <f ca="1">IFERROR(__xludf.DUMMYFUNCTION("if(FP$2="""","""", index(GOOGLEFINANCE($B$44,""close"",FP$2,TODAY()),2,2))"),"")</f>
        <v/>
      </c>
      <c r="FQ44" s="1" t="str">
        <f ca="1">IFERROR(__xludf.DUMMYFUNCTION("if(FQ$2="""","""", index(GOOGLEFINANCE($B$44,""close"",FQ$2,TODAY()),2,2))"),"")</f>
        <v/>
      </c>
      <c r="FR44" s="1" t="str">
        <f ca="1">IFERROR(__xludf.DUMMYFUNCTION("if(FR$2="""","""", index(GOOGLEFINANCE($B$44,""close"",FR$2,TODAY()),2,2))"),"")</f>
        <v/>
      </c>
      <c r="FS44" s="1" t="str">
        <f ca="1">IFERROR(__xludf.DUMMYFUNCTION("if(FS$2="""","""", index(GOOGLEFINANCE($B$44,""close"",FS$2,TODAY()),2,2))"),"")</f>
        <v/>
      </c>
      <c r="FT44" s="1" t="str">
        <f ca="1">IFERROR(__xludf.DUMMYFUNCTION("if(FT$2="""","""", index(GOOGLEFINANCE($B$44,""close"",FT$2,TODAY()),2,2))"),"")</f>
        <v/>
      </c>
      <c r="FU44" s="1" t="str">
        <f ca="1">IFERROR(__xludf.DUMMYFUNCTION("if(FU$2="""","""", index(GOOGLEFINANCE($B$44,""close"",FU$2,TODAY()),2,2))"),"")</f>
        <v/>
      </c>
      <c r="FV44" s="1" t="str">
        <f ca="1">IFERROR(__xludf.DUMMYFUNCTION("if(FV$2="""","""", index(GOOGLEFINANCE($B$44,""close"",FV$2,TODAY()),2,2))"),"")</f>
        <v/>
      </c>
      <c r="FW44" s="1" t="str">
        <f ca="1">IFERROR(__xludf.DUMMYFUNCTION("if(FW$2="""","""", index(GOOGLEFINANCE($B$44,""close"",FW$2,TODAY()),2,2))"),"")</f>
        <v/>
      </c>
      <c r="FX44" s="1" t="str">
        <f ca="1">IFERROR(__xludf.DUMMYFUNCTION("if(FX$2="""","""", index(GOOGLEFINANCE($B$44,""close"",FX$2,TODAY()),2,2))"),"")</f>
        <v/>
      </c>
      <c r="FY44" s="1" t="str">
        <f ca="1">IFERROR(__xludf.DUMMYFUNCTION("if(FY$2="""","""", index(GOOGLEFINANCE($B$44,""close"",FY$2,TODAY()),2,2))"),"")</f>
        <v/>
      </c>
      <c r="FZ44" s="1" t="str">
        <f ca="1">IFERROR(__xludf.DUMMYFUNCTION("if(FZ$2="""","""", index(GOOGLEFINANCE($B$44,""close"",FZ$2,TODAY()),2,2))"),"")</f>
        <v/>
      </c>
      <c r="GA44" s="1" t="str">
        <f ca="1">IFERROR(__xludf.DUMMYFUNCTION("if(GA$2="""","""", index(GOOGLEFINANCE($B$44,""close"",GA$2,TODAY()),2,2))"),"")</f>
        <v/>
      </c>
      <c r="GB44" s="1" t="str">
        <f ca="1">IFERROR(__xludf.DUMMYFUNCTION("if(GB$2="""","""", index(GOOGLEFINANCE($B$44,""close"",GB$2,TODAY()),2,2))"),"")</f>
        <v/>
      </c>
      <c r="GC44" s="1" t="str">
        <f ca="1">IFERROR(__xludf.DUMMYFUNCTION("if(GC$2="""","""", index(GOOGLEFINANCE($B$44,""close"",GC$2,TODAY()),2,2))"),"")</f>
        <v/>
      </c>
      <c r="GD44" s="1" t="str">
        <f ca="1">IFERROR(__xludf.DUMMYFUNCTION("if(GD$2="""","""", index(GOOGLEFINANCE($B$44,""close"",GD$2,TODAY()),2,2))"),"")</f>
        <v/>
      </c>
      <c r="GE44" s="1" t="str">
        <f ca="1">IFERROR(__xludf.DUMMYFUNCTION("if(GE$2="""","""", index(GOOGLEFINANCE($B$44,""close"",GE$2,TODAY()),2,2))"),"")</f>
        <v/>
      </c>
      <c r="GF44" s="1" t="str">
        <f ca="1">IFERROR(__xludf.DUMMYFUNCTION("if(GF$2="""","""", index(GOOGLEFINANCE($B$44,""close"",GF$2,TODAY()),2,2))"),"")</f>
        <v/>
      </c>
      <c r="GG44" s="1" t="str">
        <f ca="1">IFERROR(__xludf.DUMMYFUNCTION("if(GG$2="""","""", index(GOOGLEFINANCE($B$44,""close"",GG$2,TODAY()),2,2))"),"")</f>
        <v/>
      </c>
      <c r="GH44" s="1" t="str">
        <f ca="1">IFERROR(__xludf.DUMMYFUNCTION("if(GH$2="""","""", index(GOOGLEFINANCE($B$44,""close"",GH$2,TODAY()),2,2))"),"")</f>
        <v/>
      </c>
      <c r="GI44" s="1" t="str">
        <f ca="1">IFERROR(__xludf.DUMMYFUNCTION("if(GI$2="""","""", index(GOOGLEFINANCE($B$44,""close"",GI$2,TODAY()),2,2))"),"")</f>
        <v/>
      </c>
      <c r="GJ44" s="1" t="str">
        <f ca="1">IFERROR(__xludf.DUMMYFUNCTION("if(GJ$2="""","""", index(GOOGLEFINANCE($B$44,""close"",GJ$2,TODAY()),2,2))"),"")</f>
        <v/>
      </c>
      <c r="GK44" s="1" t="str">
        <f ca="1">IFERROR(__xludf.DUMMYFUNCTION("if(GK$2="""","""", index(GOOGLEFINANCE($B$44,""close"",GK$2,TODAY()),2,2))"),"")</f>
        <v/>
      </c>
      <c r="GL44" s="1" t="str">
        <f ca="1">IFERROR(__xludf.DUMMYFUNCTION("if(GL$2="""","""", index(GOOGLEFINANCE($B$44,""close"",GL$2,TODAY()),2,2))"),"")</f>
        <v/>
      </c>
      <c r="GM44" s="1" t="str">
        <f ca="1">IFERROR(__xludf.DUMMYFUNCTION("if(GM$2="""","""", index(GOOGLEFINANCE($B$44,""close"",GM$2,TODAY()),2,2))"),"")</f>
        <v/>
      </c>
      <c r="GN44" s="1" t="str">
        <f ca="1">IFERROR(__xludf.DUMMYFUNCTION("if(GN$2="""","""", index(GOOGLEFINANCE($B$44,""close"",GN$2,TODAY()),2,2))"),"")</f>
        <v/>
      </c>
      <c r="GO44" s="1" t="str">
        <f ca="1">IFERROR(__xludf.DUMMYFUNCTION("if(GO$2="""","""", index(GOOGLEFINANCE($B$44,""close"",GO$2,TODAY()),2,2))"),"")</f>
        <v/>
      </c>
      <c r="GP44" s="1" t="str">
        <f ca="1">IFERROR(__xludf.DUMMYFUNCTION("if(GP$2="""","""", index(GOOGLEFINANCE($B$44,""close"",GP$2,TODAY()),2,2))"),"")</f>
        <v/>
      </c>
      <c r="GQ44" s="1" t="str">
        <f ca="1">IFERROR(__xludf.DUMMYFUNCTION("if(GQ$2="""","""", index(GOOGLEFINANCE($B$44,""close"",GQ$2,TODAY()),2,2))"),"")</f>
        <v/>
      </c>
      <c r="GR44" s="1" t="str">
        <f ca="1">IFERROR(__xludf.DUMMYFUNCTION("if(GR$2="""","""", index(GOOGLEFINANCE($B$44,""close"",GR$2,TODAY()),2,2))"),"")</f>
        <v/>
      </c>
      <c r="GS44" s="1" t="str">
        <f ca="1">IFERROR(__xludf.DUMMYFUNCTION("if(GS$2="""","""", index(GOOGLEFINANCE($B$44,""close"",GS$2,TODAY()),2,2))"),"")</f>
        <v/>
      </c>
      <c r="GT44" s="1" t="str">
        <f ca="1">IFERROR(__xludf.DUMMYFUNCTION("if(GT$2="""","""", index(GOOGLEFINANCE($B$44,""close"",GT$2,TODAY()),2,2))"),"")</f>
        <v/>
      </c>
      <c r="GU44" s="1" t="str">
        <f ca="1">IFERROR(__xludf.DUMMYFUNCTION("if(GU$2="""","""", index(GOOGLEFINANCE($B$44,""close"",GU$2,TODAY()),2,2))"),"")</f>
        <v/>
      </c>
      <c r="GV44" s="1" t="str">
        <f ca="1">IFERROR(__xludf.DUMMYFUNCTION("if(GV$2="""","""", index(GOOGLEFINANCE($B$44,""close"",GV$2,TODAY()),2,2))"),"")</f>
        <v/>
      </c>
      <c r="GW44" s="1" t="str">
        <f ca="1">IFERROR(__xludf.DUMMYFUNCTION("if(GW$2="""","""", index(GOOGLEFINANCE($B$44,""close"",GW$2,TODAY()),2,2))"),"")</f>
        <v/>
      </c>
      <c r="GX44" s="1" t="str">
        <f ca="1">IFERROR(__xludf.DUMMYFUNCTION("if(GX$2="""","""", index(GOOGLEFINANCE($B$44,""close"",GX$2,TODAY()),2,2))"),"")</f>
        <v/>
      </c>
      <c r="GY44" s="1" t="str">
        <f ca="1">IFERROR(__xludf.DUMMYFUNCTION("if(GY$2="""","""", index(GOOGLEFINANCE($B$44,""close"",GY$2,TODAY()),2,2))"),"")</f>
        <v/>
      </c>
      <c r="GZ44" s="1" t="str">
        <f ca="1">IFERROR(__xludf.DUMMYFUNCTION("if(GZ$2="""","""", index(GOOGLEFINANCE($B$44,""close"",GZ$2,TODAY()),2,2))"),"")</f>
        <v/>
      </c>
      <c r="HA44" s="1" t="str">
        <f ca="1">IFERROR(__xludf.DUMMYFUNCTION("if(HA$2="""","""", index(GOOGLEFINANCE($B$44,""close"",HA$2,TODAY()),2,2))"),"")</f>
        <v/>
      </c>
      <c r="HB44" s="1" t="str">
        <f ca="1">IFERROR(__xludf.DUMMYFUNCTION("if(HB$2="""","""", index(GOOGLEFINANCE($B$44,""close"",HB$2,TODAY()),2,2))"),"")</f>
        <v/>
      </c>
      <c r="HC44" s="1" t="str">
        <f ca="1">IFERROR(__xludf.DUMMYFUNCTION("if(HC$2="""","""", index(GOOGLEFINANCE($B$44,""close"",HC$2,TODAY()),2,2))"),"")</f>
        <v/>
      </c>
      <c r="HD44" s="1" t="str">
        <f ca="1">IFERROR(__xludf.DUMMYFUNCTION("if(HD$2="""","""", index(GOOGLEFINANCE($B$44,""close"",HD$2,TODAY()),2,2))"),"")</f>
        <v/>
      </c>
      <c r="HE44" s="1" t="str">
        <f ca="1">IFERROR(__xludf.DUMMYFUNCTION("if(HE$2="""","""", index(GOOGLEFINANCE($B$44,""close"",HE$2,TODAY()),2,2))"),"")</f>
        <v/>
      </c>
      <c r="HF44" s="1" t="str">
        <f ca="1">IFERROR(__xludf.DUMMYFUNCTION("if(HF$2="""","""", index(GOOGLEFINANCE($B$44,""close"",HF$2,TODAY()),2,2))"),"")</f>
        <v/>
      </c>
      <c r="HG44" s="1" t="str">
        <f ca="1">IFERROR(__xludf.DUMMYFUNCTION("if(HG$2="""","""", index(GOOGLEFINANCE($B$44,""close"",HG$2,TODAY()),2,2))"),"")</f>
        <v/>
      </c>
      <c r="HH44" s="1" t="str">
        <f ca="1">IFERROR(__xludf.DUMMYFUNCTION("if(HH$2="""","""", index(GOOGLEFINANCE($B$44,""close"",HH$2,TODAY()),2,2))"),"")</f>
        <v/>
      </c>
      <c r="HI44" s="1" t="str">
        <f ca="1">IFERROR(__xludf.DUMMYFUNCTION("if(HI$2="""","""", index(GOOGLEFINANCE($B$44,""close"",HI$2,TODAY()),2,2))"),"")</f>
        <v/>
      </c>
      <c r="HJ44" s="1" t="str">
        <f ca="1">IFERROR(__xludf.DUMMYFUNCTION("if(HJ$2="""","""", index(GOOGLEFINANCE($B$44,""close"",HJ$2,TODAY()),2,2))"),"")</f>
        <v/>
      </c>
      <c r="HK44" s="1" t="str">
        <f ca="1">IFERROR(__xludf.DUMMYFUNCTION("if(HK$2="""","""", index(GOOGLEFINANCE($B$44,""close"",HK$2,TODAY()),2,2))"),"")</f>
        <v/>
      </c>
      <c r="HL44" s="1" t="str">
        <f ca="1">IFERROR(__xludf.DUMMYFUNCTION("if(HL$2="""","""", index(GOOGLEFINANCE($B$44,""close"",HL$2,TODAY()),2,2))"),"")</f>
        <v/>
      </c>
      <c r="HM44" s="1" t="str">
        <f ca="1">IFERROR(__xludf.DUMMYFUNCTION("if(HM$2="""","""", index(GOOGLEFINANCE($B$44,""close"",HM$2,TODAY()),2,2))"),"")</f>
        <v/>
      </c>
      <c r="HN44" s="1" t="str">
        <f ca="1">IFERROR(__xludf.DUMMYFUNCTION("if(HN$2="""","""", index(GOOGLEFINANCE($B$44,""close"",HN$2,TODAY()),2,2))"),"")</f>
        <v/>
      </c>
      <c r="HO44" s="1" t="str">
        <f ca="1">IFERROR(__xludf.DUMMYFUNCTION("if(HO$2="""","""", index(GOOGLEFINANCE($B$44,""close"",HO$2,TODAY()),2,2))"),"")</f>
        <v/>
      </c>
      <c r="HP44" s="1" t="str">
        <f ca="1">IFERROR(__xludf.DUMMYFUNCTION("if(HP$2="""","""", index(GOOGLEFINANCE($B$44,""close"",HP$2,TODAY()),2,2))"),"")</f>
        <v/>
      </c>
      <c r="HQ44" s="1" t="str">
        <f ca="1">IFERROR(__xludf.DUMMYFUNCTION("if(HQ$2="""","""", index(GOOGLEFINANCE($B$44,""close"",HQ$2,TODAY()),2,2))"),"")</f>
        <v/>
      </c>
      <c r="HR44" s="1" t="str">
        <f ca="1">IFERROR(__xludf.DUMMYFUNCTION("if(HR$2="""","""", index(GOOGLEFINANCE($B$44,""close"",HR$2,TODAY()),2,2))"),"")</f>
        <v/>
      </c>
      <c r="HS44" s="1" t="str">
        <f ca="1">IFERROR(__xludf.DUMMYFUNCTION("if(HS$2="""","""", index(GOOGLEFINANCE($B$44,""close"",HS$2,TODAY()),2,2))"),"")</f>
        <v/>
      </c>
      <c r="HT44" s="1" t="str">
        <f ca="1">IFERROR(__xludf.DUMMYFUNCTION("if(HT$2="""","""", index(GOOGLEFINANCE($B$44,""close"",HT$2,TODAY()),2,2))"),"")</f>
        <v/>
      </c>
      <c r="HU44" s="1" t="str">
        <f ca="1">IFERROR(__xludf.DUMMYFUNCTION("if(HU$2="""","""", index(GOOGLEFINANCE($B$44,""close"",HU$2,TODAY()),2,2))"),"")</f>
        <v/>
      </c>
      <c r="HV44" s="1" t="str">
        <f ca="1">IFERROR(__xludf.DUMMYFUNCTION("if(HV$2="""","""", index(GOOGLEFINANCE($B$44,""close"",HV$2,TODAY()),2,2))"),"")</f>
        <v/>
      </c>
      <c r="HW44" s="1" t="str">
        <f ca="1">IFERROR(__xludf.DUMMYFUNCTION("if(HW$2="""","""", index(GOOGLEFINANCE($B$44,""close"",HW$2,TODAY()),2,2))"),"")</f>
        <v/>
      </c>
      <c r="HX44" s="1" t="str">
        <f ca="1">IFERROR(__xludf.DUMMYFUNCTION("if(HX$2="""","""", index(GOOGLEFINANCE($B$44,""close"",HX$2,TODAY()),2,2))"),"")</f>
        <v/>
      </c>
      <c r="HY44" s="1" t="str">
        <f ca="1">IFERROR(__xludf.DUMMYFUNCTION("if(HY$2="""","""", index(GOOGLEFINANCE($B$44,""close"",HY$2,TODAY()),2,2))"),"")</f>
        <v/>
      </c>
      <c r="HZ44" s="1" t="str">
        <f ca="1">IFERROR(__xludf.DUMMYFUNCTION("if(HZ$2="""","""", index(GOOGLEFINANCE($B$44,""close"",HZ$2,TODAY()),2,2))"),"")</f>
        <v/>
      </c>
      <c r="IA44" s="1" t="str">
        <f ca="1">IFERROR(__xludf.DUMMYFUNCTION("if(IA$2="""","""", index(GOOGLEFINANCE($B$44,""close"",IA$2,TODAY()),2,2))"),"")</f>
        <v/>
      </c>
      <c r="IB44" s="1" t="str">
        <f ca="1">IFERROR(__xludf.DUMMYFUNCTION("if(IB$2="""","""", index(GOOGLEFINANCE($B$44,""close"",IB$2,TODAY()),2,2))"),"")</f>
        <v/>
      </c>
      <c r="IC44" s="1" t="str">
        <f ca="1">IFERROR(__xludf.DUMMYFUNCTION("if(IC$2="""","""", index(GOOGLEFINANCE($B$44,""close"",IC$2,TODAY()),2,2))"),"")</f>
        <v/>
      </c>
      <c r="ID44" s="1" t="str">
        <f ca="1">IFERROR(__xludf.DUMMYFUNCTION("if(ID$2="""","""", index(GOOGLEFINANCE($B$44,""close"",ID$2,TODAY()),2,2))"),"")</f>
        <v/>
      </c>
      <c r="IE44" s="1" t="str">
        <f ca="1">IFERROR(__xludf.DUMMYFUNCTION("if(IE$2="""","""", index(GOOGLEFINANCE($B$44,""close"",IE$2,TODAY()),2,2))"),"")</f>
        <v/>
      </c>
      <c r="IF44" s="1" t="str">
        <f ca="1">IFERROR(__xludf.DUMMYFUNCTION("if(IF$2="""","""", index(GOOGLEFINANCE($B$44,""close"",IF$2,TODAY()),2,2))"),"")</f>
        <v/>
      </c>
      <c r="IG44" s="1" t="str">
        <f ca="1">IFERROR(__xludf.DUMMYFUNCTION("if(IG$2="""","""", index(GOOGLEFINANCE($B$44,""close"",IG$2,TODAY()),2,2))"),"")</f>
        <v/>
      </c>
      <c r="IH44" s="1" t="str">
        <f ca="1">IFERROR(__xludf.DUMMYFUNCTION("if(IH$2="""","""", index(GOOGLEFINANCE($B$44,""close"",IH$2,TODAY()),2,2))"),"")</f>
        <v/>
      </c>
      <c r="II44" s="1" t="str">
        <f ca="1">IFERROR(__xludf.DUMMYFUNCTION("if(II$2="""","""", index(GOOGLEFINANCE($B$44,""close"",II$2,TODAY()),2,2))"),"")</f>
        <v/>
      </c>
      <c r="IJ44" s="1" t="str">
        <f ca="1">IFERROR(__xludf.DUMMYFUNCTION("if(IJ$2="""","""", index(GOOGLEFINANCE($B$44,""close"",IJ$2,TODAY()),2,2))"),"")</f>
        <v/>
      </c>
      <c r="IK44" s="1" t="str">
        <f ca="1">IFERROR(__xludf.DUMMYFUNCTION("if(IK$2="""","""", index(GOOGLEFINANCE($B$44,""close"",IK$2,TODAY()),2,2))"),"")</f>
        <v/>
      </c>
      <c r="IL44" s="1" t="str">
        <f ca="1">IFERROR(__xludf.DUMMYFUNCTION("if(IL$2="""","""", index(GOOGLEFINANCE($B$44,""close"",IL$2,TODAY()),2,2))"),"")</f>
        <v/>
      </c>
      <c r="IM44" s="1" t="str">
        <f ca="1">IFERROR(__xludf.DUMMYFUNCTION("if(IM$2="""","""", index(GOOGLEFINANCE($B$44,""close"",IM$2,TODAY()),2,2))"),"")</f>
        <v/>
      </c>
      <c r="IN44" s="1" t="str">
        <f ca="1">IFERROR(__xludf.DUMMYFUNCTION("if(IN$2="""","""", index(GOOGLEFINANCE($B$44,""close"",IN$2,TODAY()),2,2))"),"")</f>
        <v/>
      </c>
      <c r="IO44" s="1" t="str">
        <f ca="1">IFERROR(__xludf.DUMMYFUNCTION("if(IO$2="""","""", index(GOOGLEFINANCE($B$44,""close"",IO$2,TODAY()),2,2))"),"")</f>
        <v/>
      </c>
      <c r="IP44" s="1" t="str">
        <f ca="1">IFERROR(__xludf.DUMMYFUNCTION("if(IP$2="""","""", index(GOOGLEFINANCE($B$44,""close"",IP$2,TODAY()),2,2))"),"")</f>
        <v/>
      </c>
      <c r="IQ44" s="1" t="str">
        <f ca="1">IFERROR(__xludf.DUMMYFUNCTION("if(IQ$2="""","""", index(GOOGLEFINANCE($B$44,""close"",IQ$2,TODAY()),2,2))"),"")</f>
        <v/>
      </c>
      <c r="IR44" s="1" t="str">
        <f ca="1">IFERROR(__xludf.DUMMYFUNCTION("if(IR$2="""","""", index(GOOGLEFINANCE($B$44,""close"",IR$2,TODAY()),2,2))"),"")</f>
        <v/>
      </c>
      <c r="IS44" s="1" t="str">
        <f ca="1">IFERROR(__xludf.DUMMYFUNCTION("if(IS$2="""","""", index(GOOGLEFINANCE($B$44,""close"",IS$2,TODAY()),2,2))"),"")</f>
        <v/>
      </c>
      <c r="IT44" s="1" t="str">
        <f ca="1">IFERROR(__xludf.DUMMYFUNCTION("if(IT$2="""","""", index(GOOGLEFINANCE($B$44,""close"",IT$2,TODAY()),2,2))"),"")</f>
        <v/>
      </c>
      <c r="IU44" s="1" t="str">
        <f ca="1">IFERROR(__xludf.DUMMYFUNCTION("if(IU$2="""","""", index(GOOGLEFINANCE($B$44,""close"",IU$2,TODAY()),2,2))"),"")</f>
        <v/>
      </c>
      <c r="IV44" s="1" t="str">
        <f ca="1">IFERROR(__xludf.DUMMYFUNCTION("if(IV$2="""","""", index(GOOGLEFINANCE($B$44,""close"",IV$2,TODAY()),2,2))"),"")</f>
        <v/>
      </c>
      <c r="IW44" s="1" t="str">
        <f ca="1">IFERROR(__xludf.DUMMYFUNCTION("if(IW$2="""","""", index(GOOGLEFINANCE($B$44,""close"",IW$2,TODAY()),2,2))"),"")</f>
        <v/>
      </c>
      <c r="IX44" s="1" t="str">
        <f ca="1">IFERROR(__xludf.DUMMYFUNCTION("if(IX$2="""","""", index(GOOGLEFINANCE($B$44,""close"",IX$2,TODAY()),2,2))"),"")</f>
        <v/>
      </c>
      <c r="IY44" s="1" t="str">
        <f ca="1">IFERROR(__xludf.DUMMYFUNCTION("if(IY$2="""","""", index(GOOGLEFINANCE($B$44,""close"",IY$2,TODAY()),2,2))"),"")</f>
        <v/>
      </c>
      <c r="IZ44" s="1" t="str">
        <f ca="1">IFERROR(__xludf.DUMMYFUNCTION("if(IZ$2="""","""", index(GOOGLEFINANCE($B$44,""close"",IZ$2,TODAY()),2,2))"),"")</f>
        <v/>
      </c>
      <c r="JA44" s="1" t="str">
        <f ca="1">IFERROR(__xludf.DUMMYFUNCTION("if(JA$2="""","""", index(GOOGLEFINANCE($B$44,""close"",JA$2,TODAY()),2,2))"),"")</f>
        <v/>
      </c>
      <c r="JB44" s="1" t="str">
        <f ca="1">IFERROR(__xludf.DUMMYFUNCTION("if(JB$2="""","""", index(GOOGLEFINANCE($B$44,""close"",JB$2,TODAY()),2,2))"),"")</f>
        <v/>
      </c>
      <c r="JC44" s="1" t="str">
        <f ca="1">IFERROR(__xludf.DUMMYFUNCTION("if(JC$2="""","""", index(GOOGLEFINANCE($B$44,""close"",JC$2,TODAY()),2,2))"),"")</f>
        <v/>
      </c>
      <c r="JD44" s="1" t="str">
        <f ca="1">IFERROR(__xludf.DUMMYFUNCTION("if(JD$2="""","""", index(GOOGLEFINANCE($B$44,""close"",JD$2,TODAY()),2,2))"),"")</f>
        <v/>
      </c>
      <c r="JE44" s="1" t="str">
        <f ca="1">IFERROR(__xludf.DUMMYFUNCTION("if(JE$2="""","""", index(GOOGLEFINANCE($B$44,""close"",JE$2,TODAY()),2,2))"),"")</f>
        <v/>
      </c>
      <c r="JF44" s="1" t="str">
        <f ca="1">IFERROR(__xludf.DUMMYFUNCTION("if(JF$2="""","""", index(GOOGLEFINANCE($B$44,""close"",JF$2,TODAY()),2,2))"),"")</f>
        <v/>
      </c>
      <c r="JG44" s="1" t="str">
        <f ca="1">IFERROR(__xludf.DUMMYFUNCTION("if(JG$2="""","""", index(GOOGLEFINANCE($B$44,""close"",JG$2,TODAY()),2,2))"),"")</f>
        <v/>
      </c>
      <c r="JH44" s="1" t="str">
        <f ca="1">IFERROR(__xludf.DUMMYFUNCTION("if(JH$2="""","""", index(GOOGLEFINANCE($B$44,""close"",JH$2,TODAY()),2,2))"),"")</f>
        <v/>
      </c>
      <c r="JI44" s="1" t="str">
        <f ca="1">IFERROR(__xludf.DUMMYFUNCTION("if(JI$2="""","""", index(GOOGLEFINANCE($B$44,""close"",JI$2,TODAY()),2,2))"),"")</f>
        <v/>
      </c>
      <c r="JJ44" s="1" t="str">
        <f ca="1">IFERROR(__xludf.DUMMYFUNCTION("if(JJ$2="""","""", index(GOOGLEFINANCE($B$44,""close"",JJ$2,TODAY()),2,2))"),"")</f>
        <v/>
      </c>
      <c r="JK44" s="1" t="str">
        <f ca="1">IFERROR(__xludf.DUMMYFUNCTION("if(JK$2="""","""", index(GOOGLEFINANCE($B$44,""close"",JK$2,TODAY()),2,2))"),"")</f>
        <v/>
      </c>
      <c r="JL44" s="1" t="str">
        <f ca="1">IFERROR(__xludf.DUMMYFUNCTION("if(JL$2="""","""", index(GOOGLEFINANCE($B$44,""close"",JL$2,TODAY()),2,2))"),"")</f>
        <v/>
      </c>
      <c r="JM44" s="1" t="str">
        <f ca="1">IFERROR(__xludf.DUMMYFUNCTION("if(JM$2="""","""", index(GOOGLEFINANCE($B$44,""close"",JM$2,TODAY()),2,2))"),"")</f>
        <v/>
      </c>
      <c r="JN44" s="1" t="str">
        <f ca="1">IFERROR(__xludf.DUMMYFUNCTION("if(JN$2="""","""", index(GOOGLEFINANCE($B$44,""close"",JN$2,TODAY()),2,2))"),"")</f>
        <v/>
      </c>
      <c r="JO44" s="1" t="str">
        <f ca="1">IFERROR(__xludf.DUMMYFUNCTION("if(JO$2="""","""", index(GOOGLEFINANCE($B$44,""close"",JO$2,TODAY()),2,2))"),"")</f>
        <v/>
      </c>
      <c r="JP44" s="1" t="str">
        <f ca="1">IFERROR(__xludf.DUMMYFUNCTION("if(JP$2="""","""", index(GOOGLEFINANCE($B$44,""close"",JP$2,TODAY()),2,2))"),"")</f>
        <v/>
      </c>
      <c r="JQ44" s="1" t="str">
        <f ca="1">IFERROR(__xludf.DUMMYFUNCTION("if(JQ$2="""","""", index(GOOGLEFINANCE($B$44,""close"",JQ$2,TODAY()),2,2))"),"")</f>
        <v/>
      </c>
      <c r="JR44" s="1" t="str">
        <f ca="1">IFERROR(__xludf.DUMMYFUNCTION("if(JR$2="""","""", index(GOOGLEFINANCE($B$44,""close"",JR$2,TODAY()),2,2))"),"")</f>
        <v/>
      </c>
      <c r="JS44" s="1" t="str">
        <f ca="1">IFERROR(__xludf.DUMMYFUNCTION("if(JS$2="""","""", index(GOOGLEFINANCE($B$44,""close"",JS$2,TODAY()),2,2))"),"")</f>
        <v/>
      </c>
      <c r="JT44" s="1" t="str">
        <f ca="1">IFERROR(__xludf.DUMMYFUNCTION("if(JT$2="""","""", index(GOOGLEFINANCE($B$44,""close"",JT$2,TODAY()),2,2))"),"")</f>
        <v/>
      </c>
      <c r="JU44" s="1" t="str">
        <f ca="1">IFERROR(__xludf.DUMMYFUNCTION("if(JU$2="""","""", index(GOOGLEFINANCE($B$44,""close"",JU$2,TODAY()),2,2))"),"")</f>
        <v/>
      </c>
      <c r="JV44" s="1" t="str">
        <f ca="1">IFERROR(__xludf.DUMMYFUNCTION("if(JV$2="""","""", index(GOOGLEFINANCE($B$44,""close"",JV$2,TODAY()),2,2))"),"")</f>
        <v/>
      </c>
      <c r="JW44" s="1" t="str">
        <f ca="1">IFERROR(__xludf.DUMMYFUNCTION("if(JW$2="""","""", index(GOOGLEFINANCE($B$44,""close"",JW$2,TODAY()),2,2))"),"")</f>
        <v/>
      </c>
      <c r="JX44" s="1" t="str">
        <f ca="1">IFERROR(__xludf.DUMMYFUNCTION("if(JX$2="""","""", index(GOOGLEFINANCE($B$44,""close"",JX$2,TODAY()),2,2))"),"")</f>
        <v/>
      </c>
      <c r="JY44" s="1" t="str">
        <f ca="1">IFERROR(__xludf.DUMMYFUNCTION("if(JY$2="""","""", index(GOOGLEFINANCE($B$44,""close"",JY$2,TODAY()),2,2))"),"")</f>
        <v/>
      </c>
      <c r="JZ44" s="1" t="str">
        <f ca="1">IFERROR(__xludf.DUMMYFUNCTION("if(JZ$2="""","""", index(GOOGLEFINANCE($B$44,""close"",JZ$2,TODAY()),2,2))"),"")</f>
        <v/>
      </c>
      <c r="KA44" s="1" t="str">
        <f ca="1">IFERROR(__xludf.DUMMYFUNCTION("if(KA$2="""","""", index(GOOGLEFINANCE($B$44,""close"",KA$2,TODAY()),2,2))"),"")</f>
        <v/>
      </c>
      <c r="KB44" s="1" t="str">
        <f ca="1">IFERROR(__xludf.DUMMYFUNCTION("if(KB$2="""","""", index(GOOGLEFINANCE($B$44,""close"",KB$2,TODAY()),2,2))"),"")</f>
        <v/>
      </c>
      <c r="KC44" s="1" t="str">
        <f ca="1">IFERROR(__xludf.DUMMYFUNCTION("if(KC$2="""","""", index(GOOGLEFINANCE($B$44,""close"",KC$2,TODAY()),2,2))"),"")</f>
        <v/>
      </c>
      <c r="KD44" s="1" t="str">
        <f ca="1">IFERROR(__xludf.DUMMYFUNCTION("if(KD$2="""","""", index(GOOGLEFINANCE($B$44,""close"",KD$2,TODAY()),2,2))"),"")</f>
        <v/>
      </c>
      <c r="KE44" s="1" t="str">
        <f ca="1">IFERROR(__xludf.DUMMYFUNCTION("if(KE$2="""","""", index(GOOGLEFINANCE($B$44,""close"",KE$2,TODAY()),2,2))"),"")</f>
        <v/>
      </c>
      <c r="KF44" s="1" t="str">
        <f ca="1">IFERROR(__xludf.DUMMYFUNCTION("if(KF$2="""","""", index(GOOGLEFINANCE($B$44,""close"",KF$2,TODAY()),2,2))"),"")</f>
        <v/>
      </c>
      <c r="KG44" s="1" t="str">
        <f ca="1">IFERROR(__xludf.DUMMYFUNCTION("if(KG$2="""","""", index(GOOGLEFINANCE($B$44,""close"",KG$2,TODAY()),2,2))"),"")</f>
        <v/>
      </c>
    </row>
    <row r="45" spans="1:293" ht="15.75" customHeight="1">
      <c r="A45" s="18" t="s">
        <v>30</v>
      </c>
      <c r="B45" s="6" t="s">
        <v>87</v>
      </c>
      <c r="C45" s="1">
        <f ca="1">IFERROR(__xludf.DUMMYFUNCTION("if(C$2="""","""", index(GOOGLEFINANCE($B$45,""close"",C$2,TODAY()),2,2))"),2.11)</f>
        <v>2.11</v>
      </c>
      <c r="D45" s="1">
        <f ca="1">IFERROR(__xludf.DUMMYFUNCTION("if(D$2="""","""", index(GOOGLEFINANCE($B$45,""close"",D$2,TODAY()),2,2))"),2.11)</f>
        <v>2.11</v>
      </c>
      <c r="E45" s="1">
        <f ca="1">IFERROR(__xludf.DUMMYFUNCTION("if(E$2="""","""", index(GOOGLEFINANCE($B$45,""close"",E$2,TODAY()),2,2))"),1.99)</f>
        <v>1.99</v>
      </c>
      <c r="F45" s="1">
        <f ca="1">IFERROR(__xludf.DUMMYFUNCTION("if(F$2="""","""", index(GOOGLEFINANCE($B$45,""close"",F$2,TODAY()),2,2))"),1.96)</f>
        <v>1.96</v>
      </c>
      <c r="G45" s="1">
        <f ca="1">IFERROR(__xludf.DUMMYFUNCTION("if(G$2="""","""", index(GOOGLEFINANCE($B$45,""close"",G$2,TODAY()),2,2))"),1.95)</f>
        <v>1.95</v>
      </c>
      <c r="H45" s="1">
        <f ca="1">IFERROR(__xludf.DUMMYFUNCTION("if(H$2="""","""", index(GOOGLEFINANCE($B$45,""close"",H$2,TODAY()),2,2))"),1.9)</f>
        <v>1.9</v>
      </c>
      <c r="I45" s="1">
        <f ca="1">IFERROR(__xludf.DUMMYFUNCTION("if(I$2="""","""", index(GOOGLEFINANCE($B$45,""close"",I$2,TODAY()),2,2))"),1.91)</f>
        <v>1.91</v>
      </c>
      <c r="J45" s="1">
        <f ca="1">IFERROR(__xludf.DUMMYFUNCTION("if(J$2="""","""", index(GOOGLEFINANCE($B$45,""close"",J$2,TODAY()),2,2))"),1.88)</f>
        <v>1.88</v>
      </c>
      <c r="K45" s="1">
        <f ca="1">IFERROR(__xludf.DUMMYFUNCTION("if(K$2="""","""", index(GOOGLEFINANCE($B$45,""close"",K$2,TODAY()),2,2))"),1.85)</f>
        <v>1.85</v>
      </c>
      <c r="L45" s="1">
        <f ca="1">IFERROR(__xludf.DUMMYFUNCTION("if(L$2="""","""", index(GOOGLEFINANCE($B$45,""close"",L$2,TODAY()),2,2))"),1.86)</f>
        <v>1.86</v>
      </c>
      <c r="M45" s="1">
        <f ca="1">IFERROR(__xludf.DUMMYFUNCTION("if(M$2="""","""", index(GOOGLEFINANCE($B$45,""close"",M$2,TODAY()),2,2))"),1.76)</f>
        <v>1.76</v>
      </c>
      <c r="N45" s="1">
        <f ca="1">IFERROR(__xludf.DUMMYFUNCTION("if(N$2="""","""", index(GOOGLEFINANCE($B$45,""close"",N$2,TODAY()),2,2))"),1.68)</f>
        <v>1.68</v>
      </c>
      <c r="O45" s="1">
        <f ca="1">IFERROR(__xludf.DUMMYFUNCTION("if(O$2="""","""", index(GOOGLEFINANCE($B$45,""close"",O$2,TODAY()),2,2))"),1.63)</f>
        <v>1.63</v>
      </c>
      <c r="P45" s="1">
        <f ca="1">IFERROR(__xludf.DUMMYFUNCTION("if(P$2="""","""", index(GOOGLEFINANCE($B$45,""close"",P$2,TODAY()),2,2))"),1.51)</f>
        <v>1.51</v>
      </c>
      <c r="Q45" s="1">
        <f ca="1">IFERROR(__xludf.DUMMYFUNCTION("if(Q$2="""","""", index(GOOGLEFINANCE($B$45,""close"",Q$2,TODAY()),2,2))"),1.53)</f>
        <v>1.53</v>
      </c>
      <c r="R45" s="1">
        <f ca="1">IFERROR(__xludf.DUMMYFUNCTION("if(R$2="""","""", index(GOOGLEFINANCE($B$45,""close"",R$2,TODAY()),2,2))"),1.57)</f>
        <v>1.57</v>
      </c>
      <c r="S45" s="1">
        <f ca="1">IFERROR(__xludf.DUMMYFUNCTION("if(S$2="""","""", index(GOOGLEFINANCE($B$45,""close"",S$2,TODAY()),2,2))"),1.48)</f>
        <v>1.48</v>
      </c>
      <c r="T45" s="1">
        <f ca="1">IFERROR(__xludf.DUMMYFUNCTION("if(T$2="""","""", index(GOOGLEFINANCE($B$45,""close"",T$2,TODAY()),2,2))"),1.46)</f>
        <v>1.46</v>
      </c>
      <c r="U45" s="1">
        <f ca="1">IFERROR(__xludf.DUMMYFUNCTION("if(U$2="""","""", index(GOOGLEFINANCE($B$45,""close"",U$2,TODAY()),2,2))"),1.47)</f>
        <v>1.47</v>
      </c>
      <c r="V45" s="1">
        <f ca="1">IFERROR(__xludf.DUMMYFUNCTION("if(V$2="""","""", index(GOOGLEFINANCE($B$45,""close"",V$2,TODAY()),2,2))"),1.6)</f>
        <v>1.6</v>
      </c>
      <c r="W45" s="1">
        <f ca="1">IFERROR(__xludf.DUMMYFUNCTION("if(W$2="""","""", index(GOOGLEFINANCE($B$45,""close"",W$2,TODAY()),2,2))"),1.61)</f>
        <v>1.61</v>
      </c>
      <c r="X45" s="1">
        <f ca="1">IFERROR(__xludf.DUMMYFUNCTION("if(X$2="""","""", index(GOOGLEFINANCE($B$45,""close"",X$2,TODAY()),2,2))"),1.55)</f>
        <v>1.55</v>
      </c>
      <c r="Y45" s="1">
        <f ca="1">IFERROR(__xludf.DUMMYFUNCTION("if(Y$2="""","""", index(GOOGLEFINANCE($B$45,""close"",Y$2,TODAY()),2,2))"),1.46)</f>
        <v>1.46</v>
      </c>
      <c r="Z45" s="1">
        <f ca="1">IFERROR(__xludf.DUMMYFUNCTION("if(Z$2="""","""", index(GOOGLEFINANCE($B$45,""close"",Z$2,TODAY()),2,2))"),1.5)</f>
        <v>1.5</v>
      </c>
      <c r="AA45" s="1">
        <f ca="1">IFERROR(__xludf.DUMMYFUNCTION("if(AA$2="""","""", index(GOOGLEFINANCE($B$45,""close"",AA$2,TODAY()),2,2))"),1.49)</f>
        <v>1.49</v>
      </c>
      <c r="AB45" s="1">
        <f ca="1">IFERROR(__xludf.DUMMYFUNCTION("if(AB$2="""","""", index(GOOGLEFINANCE($B$45,""close"",AB$2,TODAY()),2,2))"),1.46)</f>
        <v>1.46</v>
      </c>
      <c r="AC45" s="1">
        <f ca="1">IFERROR(__xludf.DUMMYFUNCTION("if(AC$2="""","""", index(GOOGLEFINANCE($B$45,""close"",AC$2,TODAY()),2,2))"),1.44)</f>
        <v>1.44</v>
      </c>
      <c r="AD45" s="1">
        <f ca="1">IFERROR(__xludf.DUMMYFUNCTION("if(AD$2="""","""", index(GOOGLEFINANCE($B$45,""close"",AD$2,TODAY()),2,2))"),1.36)</f>
        <v>1.36</v>
      </c>
      <c r="AE45" s="1">
        <f ca="1">IFERROR(__xludf.DUMMYFUNCTION("if(AE$2="""","""", index(GOOGLEFINANCE($B$45,""close"",AE$2,TODAY()),2,2))"),1.32)</f>
        <v>1.32</v>
      </c>
      <c r="AF45" s="1">
        <f ca="1">IFERROR(__xludf.DUMMYFUNCTION("if(AF$2="""","""", index(GOOGLEFINANCE($B$45,""close"",AF$2,TODAY()),2,2))"),1.3)</f>
        <v>1.3</v>
      </c>
      <c r="AG45" s="1">
        <f ca="1">IFERROR(__xludf.DUMMYFUNCTION("if(AG$2="""","""", index(GOOGLEFINANCE($B$45,""close"",AG$2,TODAY()),2,2))"),1.43)</f>
        <v>1.43</v>
      </c>
      <c r="AH45" s="1">
        <f ca="1">IFERROR(__xludf.DUMMYFUNCTION("if(AH$2="""","""", index(GOOGLEFINANCE($B$45,""close"",AH$2,TODAY()),2,2))"),1.47)</f>
        <v>1.47</v>
      </c>
      <c r="AI45" s="1">
        <f ca="1">IFERROR(__xludf.DUMMYFUNCTION("if(AI$2="""","""", index(GOOGLEFINANCE($B$45,""close"",AI$2,TODAY()),2,2))"),1.4)</f>
        <v>1.4</v>
      </c>
      <c r="AJ45" s="1">
        <f ca="1">IFERROR(__xludf.DUMMYFUNCTION("if(AJ$2="""","""", index(GOOGLEFINANCE($B$45,""close"",AJ$2,TODAY()),2,2))"),1.39)</f>
        <v>1.39</v>
      </c>
      <c r="AK45" s="1">
        <f ca="1">IFERROR(__xludf.DUMMYFUNCTION("if(AK$2="""","""", index(GOOGLEFINANCE($B$45,""close"",AK$2,TODAY()),2,2))"),1.29)</f>
        <v>1.29</v>
      </c>
      <c r="AL45" s="1">
        <f ca="1">IFERROR(__xludf.DUMMYFUNCTION("if(AL$2="""","""", index(GOOGLEFINANCE($B$45,""close"",AL$2,TODAY()),2,2))"),1.25)</f>
        <v>1.25</v>
      </c>
      <c r="AM45" s="1">
        <f ca="1">IFERROR(__xludf.DUMMYFUNCTION("if(AM$2="""","""", index(GOOGLEFINANCE($B$45,""close"",AM$2,TODAY()),2,2))"),1.35)</f>
        <v>1.35</v>
      </c>
      <c r="AN45" s="1">
        <f ca="1">IFERROR(__xludf.DUMMYFUNCTION("if(AN$2="""","""", index(GOOGLEFINANCE($B$45,""close"",AN$2,TODAY()),2,2))"),1.34)</f>
        <v>1.34</v>
      </c>
      <c r="AO45" s="1">
        <f ca="1">IFERROR(__xludf.DUMMYFUNCTION("if(AO$2="""","""", index(GOOGLEFINANCE($B$45,""close"",AO$2,TODAY()),2,2))"),1.42)</f>
        <v>1.42</v>
      </c>
      <c r="AP45" s="1">
        <f ca="1">IFERROR(__xludf.DUMMYFUNCTION("if(AP$2="""","""", index(GOOGLEFINANCE($B$45,""close"",AP$2,TODAY()),2,2))"),1.39)</f>
        <v>1.39</v>
      </c>
      <c r="AQ45" s="1">
        <f ca="1">IFERROR(__xludf.DUMMYFUNCTION("if(AQ$2="""","""", index(GOOGLEFINANCE($B$45,""close"",AQ$2,TODAY()),2,2))"),1.46)</f>
        <v>1.46</v>
      </c>
      <c r="AR45" s="1">
        <f ca="1">IFERROR(__xludf.DUMMYFUNCTION("if(AR$2="""","""", index(GOOGLEFINANCE($B$45,""close"",AR$2,TODAY()),2,2))"),1.54)</f>
        <v>1.54</v>
      </c>
      <c r="AS45" s="1">
        <f ca="1">IFERROR(__xludf.DUMMYFUNCTION("if(AS$2="""","""", index(GOOGLEFINANCE($B$45,""close"",AS$2,TODAY()),2,2))"),1.42)</f>
        <v>1.42</v>
      </c>
      <c r="AT45" s="1">
        <f ca="1">IFERROR(__xludf.DUMMYFUNCTION("if(AT$2="""","""", index(GOOGLEFINANCE($B$45,""close"",AT$2,TODAY()),2,2))"),1.51)</f>
        <v>1.51</v>
      </c>
      <c r="AU45" s="1">
        <f ca="1">IFERROR(__xludf.DUMMYFUNCTION("if(AU$2="""","""", index(GOOGLEFINANCE($B$45,""close"",AU$2,TODAY()),2,2))"),1.48)</f>
        <v>1.48</v>
      </c>
      <c r="AV45" s="1">
        <f ca="1">IFERROR(__xludf.DUMMYFUNCTION("if(AV$2="""","""", index(GOOGLEFINANCE($B$45,""close"",AV$2,TODAY()),2,2))"),1.8)</f>
        <v>1.8</v>
      </c>
      <c r="AW45" s="1">
        <f ca="1">IFERROR(__xludf.DUMMYFUNCTION("if(AW$2="""","""", index(GOOGLEFINANCE($B$45,""close"",AW$2,TODAY()),2,2))"),1.85)</f>
        <v>1.85</v>
      </c>
      <c r="AX45" s="1">
        <f ca="1">IFERROR(__xludf.DUMMYFUNCTION("if(AX$2="""","""", index(GOOGLEFINANCE($B$45,""close"",AX$2,TODAY()),2,2))"),1.78)</f>
        <v>1.78</v>
      </c>
      <c r="AY45" s="1">
        <f ca="1">IFERROR(__xludf.DUMMYFUNCTION("if(AY$2="""","""", index(GOOGLEFINANCE($B$45,""close"",AY$2,TODAY()),2,2))"),1.75)</f>
        <v>1.75</v>
      </c>
      <c r="AZ45" s="1">
        <f ca="1">IFERROR(__xludf.DUMMYFUNCTION("if(AZ$2="""","""", index(GOOGLEFINANCE($B$45,""close"",AZ$2,TODAY()),2,2))"),1.81)</f>
        <v>1.81</v>
      </c>
      <c r="BA45" s="1">
        <f ca="1">IFERROR(__xludf.DUMMYFUNCTION("if(BA$2="""","""", index(GOOGLEFINANCE($B$45,""close"",BA$2,TODAY()),2,2))"),2.08)</f>
        <v>2.08</v>
      </c>
      <c r="BB45" s="1">
        <f ca="1">IFERROR(__xludf.DUMMYFUNCTION("if(BB$2="""","""", index(GOOGLEFINANCE($B$45,""close"",BB$2,TODAY()),2,2))"),2.18)</f>
        <v>2.1800000000000002</v>
      </c>
      <c r="BC45" s="1">
        <f ca="1">IFERROR(__xludf.DUMMYFUNCTION("if(BC$2="""","""", index(GOOGLEFINANCE($B$45,""close"",BC$2,TODAY()),2,2))"),2.29)</f>
        <v>2.29</v>
      </c>
      <c r="BD45" s="1">
        <f ca="1">IFERROR(__xludf.DUMMYFUNCTION("if(BD$2="""","""", index(GOOGLEFINANCE($B$45,""close"",BD$2,TODAY()),2,2))"),2.21)</f>
        <v>2.21</v>
      </c>
      <c r="BE45" s="1">
        <f ca="1">IFERROR(__xludf.DUMMYFUNCTION("if(BE$2="""","""", index(GOOGLEFINANCE($B$45,""close"",BE$2,TODAY()),2,2))"),2.2)</f>
        <v>2.2000000000000002</v>
      </c>
      <c r="BF45" s="1">
        <f ca="1">IFERROR(__xludf.DUMMYFUNCTION("if(BF$2="""","""", index(GOOGLEFINANCE($B$45,""close"",BF$2,TODAY()),2,2))"),2.07)</f>
        <v>2.0699999999999998</v>
      </c>
      <c r="BG45" s="1">
        <f ca="1">IFERROR(__xludf.DUMMYFUNCTION("if(BG$2="""","""", index(GOOGLEFINANCE($B$45,""close"",BG$2,TODAY()),2,2))"),2.03)</f>
        <v>2.0299999999999998</v>
      </c>
      <c r="BH45" s="1">
        <f ca="1">IFERROR(__xludf.DUMMYFUNCTION("if(BH$2="""","""", index(GOOGLEFINANCE($B$45,""close"",BH$2,TODAY()),2,2))"),2.06)</f>
        <v>2.06</v>
      </c>
      <c r="BI45" s="1">
        <f ca="1">IFERROR(__xludf.DUMMYFUNCTION("if(BI$2="""","""", index(GOOGLEFINANCE($B$45,""close"",BI$2,TODAY()),2,2))"),2.15)</f>
        <v>2.15</v>
      </c>
      <c r="BJ45" s="1">
        <f ca="1">IFERROR(__xludf.DUMMYFUNCTION("if(BJ$2="""","""", index(GOOGLEFINANCE($B$45,""close"",BJ$2,TODAY()),2,2))"),2.19)</f>
        <v>2.19</v>
      </c>
      <c r="BK45" s="1">
        <f ca="1">IFERROR(__xludf.DUMMYFUNCTION("if(BK$2="""","""", index(GOOGLEFINANCE($B$45,""close"",BK$2,TODAY()),2,2))"),2.09)</f>
        <v>2.09</v>
      </c>
      <c r="BL45" s="1">
        <f ca="1">IFERROR(__xludf.DUMMYFUNCTION("if(BL$2="""","""", index(GOOGLEFINANCE($B$45,""close"",BL$2,TODAY()),2,2))"),2.08)</f>
        <v>2.08</v>
      </c>
      <c r="BM45" s="1">
        <f ca="1">IFERROR(__xludf.DUMMYFUNCTION("if(BM$2="""","""", index(GOOGLEFINANCE($B$45,""close"",BM$2,TODAY()),2,2))"),2.01)</f>
        <v>2.0099999999999998</v>
      </c>
      <c r="BN45" s="1">
        <f ca="1">IFERROR(__xludf.DUMMYFUNCTION("if(BN$2="""","""", index(GOOGLEFINANCE($B$45,""close"",BN$2,TODAY()),2,2))"),2.03)</f>
        <v>2.0299999999999998</v>
      </c>
      <c r="BO45" s="1">
        <f ca="1">IFERROR(__xludf.DUMMYFUNCTION("if(BO$2="""","""", index(GOOGLEFINANCE($B$45,""close"",BO$2,TODAY()),2,2))"),1.95)</f>
        <v>1.95</v>
      </c>
      <c r="BP45" s="1">
        <f ca="1">IFERROR(__xludf.DUMMYFUNCTION("if(BP$2="""","""", index(GOOGLEFINANCE($B$45,""close"",BP$2,TODAY()),2,2))"),1.78)</f>
        <v>1.78</v>
      </c>
      <c r="BQ45" s="1">
        <f ca="1">IFERROR(__xludf.DUMMYFUNCTION("if(BQ$2="""","""", index(GOOGLEFINANCE($B$45,""close"",BQ$2,TODAY()),2,2))"),1.63)</f>
        <v>1.63</v>
      </c>
      <c r="BR45" s="1">
        <f ca="1">IFERROR(__xludf.DUMMYFUNCTION("if(BR$2="""","""", index(GOOGLEFINANCE($B$45,""close"",BR$2,TODAY()),2,2))"),1.72)</f>
        <v>1.72</v>
      </c>
      <c r="BS45" s="1">
        <f ca="1">IFERROR(__xludf.DUMMYFUNCTION("if(BS$2="""","""", index(GOOGLEFINANCE($B$45,""close"",BS$2,TODAY()),2,2))"),1.66)</f>
        <v>1.66</v>
      </c>
      <c r="BT45" s="1">
        <f ca="1">IFERROR(__xludf.DUMMYFUNCTION("if(BT$2="""","""", index(GOOGLEFINANCE($B$45,""close"",BT$2,TODAY()),2,2))"),1.66)</f>
        <v>1.66</v>
      </c>
      <c r="BU45" s="1">
        <f ca="1">IFERROR(__xludf.DUMMYFUNCTION("if(BU$2="""","""", index(GOOGLEFINANCE($B$45,""close"",BU$2,TODAY()),2,2))"),1.72)</f>
        <v>1.72</v>
      </c>
      <c r="BV45" s="1">
        <f ca="1">IFERROR(__xludf.DUMMYFUNCTION("if(BV$2="""","""", index(GOOGLEFINANCE($B$45,""close"",BV$2,TODAY()),2,2))"),1.64)</f>
        <v>1.64</v>
      </c>
      <c r="BW45" s="1">
        <f ca="1">IFERROR(__xludf.DUMMYFUNCTION("if(BW$2="""","""", index(GOOGLEFINANCE($B$45,""close"",BW$2,TODAY()),2,2))"),1.55)</f>
        <v>1.55</v>
      </c>
      <c r="BX45" s="1">
        <f ca="1">IFERROR(__xludf.DUMMYFUNCTION("if(BX$2="""","""", index(GOOGLEFINANCE($B$45,""close"",BX$2,TODAY()),2,2))"),1.66)</f>
        <v>1.66</v>
      </c>
      <c r="BY45" s="1">
        <f ca="1">IFERROR(__xludf.DUMMYFUNCTION("if(BY$2="""","""", index(GOOGLEFINANCE($B$45,""close"",BY$2,TODAY()),2,2))"),1.66)</f>
        <v>1.66</v>
      </c>
      <c r="BZ45" s="1">
        <f ca="1">IFERROR(__xludf.DUMMYFUNCTION("if(BZ$2="""","""", index(GOOGLEFINANCE($B$45,""close"",BZ$2,TODAY()),2,2))"),1.55)</f>
        <v>1.55</v>
      </c>
      <c r="CA45" s="1">
        <f ca="1">IFERROR(__xludf.DUMMYFUNCTION("if(CA$2="""","""", index(GOOGLEFINANCE($B$45,""close"",CA$2,TODAY()),2,2))"),1.55)</f>
        <v>1.55</v>
      </c>
      <c r="CB45" s="1">
        <f ca="1">IFERROR(__xludf.DUMMYFUNCTION("if(CB$2="""","""", index(GOOGLEFINANCE($B$45,""close"",CB$2,TODAY()),2,2))"),1.46)</f>
        <v>1.46</v>
      </c>
      <c r="CC45" s="1">
        <f ca="1">IFERROR(__xludf.DUMMYFUNCTION("if(CC$2="""","""", index(GOOGLEFINANCE($B$45,""close"",CC$2,TODAY()),2,2))"),1.37)</f>
        <v>1.37</v>
      </c>
      <c r="CD45" s="1">
        <f ca="1">IFERROR(__xludf.DUMMYFUNCTION("if(CD$2="""","""", index(GOOGLEFINANCE($B$45,""close"",CD$2,TODAY()),2,2))"),1.32)</f>
        <v>1.32</v>
      </c>
      <c r="CE45" s="1">
        <f ca="1">IFERROR(__xludf.DUMMYFUNCTION("if(CE$2="""","""", index(GOOGLEFINANCE($B$45,""close"",CE$2,TODAY()),2,2))"),1.35)</f>
        <v>1.35</v>
      </c>
      <c r="CF45" s="1">
        <f ca="1">IFERROR(__xludf.DUMMYFUNCTION("if(CF$2="""","""", index(GOOGLEFINANCE($B$45,""close"",CF$2,TODAY()),2,2))"),1.34)</f>
        <v>1.34</v>
      </c>
      <c r="CG45" s="1">
        <f ca="1">IFERROR(__xludf.DUMMYFUNCTION("if(CG$2="""","""", index(GOOGLEFINANCE($B$45,""close"",CG$2,TODAY()),2,2))"),1.36)</f>
        <v>1.36</v>
      </c>
      <c r="CH45" s="1">
        <f ca="1">IFERROR(__xludf.DUMMYFUNCTION("if(CH$2="""","""", index(GOOGLEFINANCE($B$45,""close"",CH$2,TODAY()),2,2))"),1.29)</f>
        <v>1.29</v>
      </c>
      <c r="CI45" s="1">
        <f ca="1">IFERROR(__xludf.DUMMYFUNCTION("if(CI$2="""","""", index(GOOGLEFINANCE($B$45,""close"",CI$2,TODAY()),2,2))"),1.28)</f>
        <v>1.28</v>
      </c>
      <c r="CJ45" s="1" t="str">
        <f ca="1">IFERROR(__xludf.DUMMYFUNCTION("if(CJ$2="""","""", index(GOOGLEFINANCE($B$45,""close"",CJ$2,TODAY()),2,2))"),"")</f>
        <v/>
      </c>
      <c r="CK45" s="1" t="str">
        <f ca="1">IFERROR(__xludf.DUMMYFUNCTION("if(CK$2="""","""", index(GOOGLEFINANCE($B$45,""close"",CK$2,TODAY()),2,2))"),"")</f>
        <v/>
      </c>
      <c r="CL45" s="1" t="str">
        <f ca="1">IFERROR(__xludf.DUMMYFUNCTION("if(CL$2="""","""", index(GOOGLEFINANCE($B$45,""close"",CL$2,TODAY()),2,2))"),"")</f>
        <v/>
      </c>
      <c r="CM45" s="1" t="str">
        <f ca="1">IFERROR(__xludf.DUMMYFUNCTION("if(CM$2="""","""", index(GOOGLEFINANCE($B$45,""close"",CM$2,TODAY()),2,2))"),"")</f>
        <v/>
      </c>
      <c r="CN45" s="1" t="str">
        <f ca="1">IFERROR(__xludf.DUMMYFUNCTION("if(CN$2="""","""", index(GOOGLEFINANCE($B$45,""close"",CN$2,TODAY()),2,2))"),"")</f>
        <v/>
      </c>
      <c r="CO45" s="1" t="str">
        <f ca="1">IFERROR(__xludf.DUMMYFUNCTION("if(CO$2="""","""", index(GOOGLEFINANCE($B$45,""close"",CO$2,TODAY()),2,2))"),"")</f>
        <v/>
      </c>
      <c r="CP45" s="1" t="str">
        <f ca="1">IFERROR(__xludf.DUMMYFUNCTION("if(CP$2="""","""", index(GOOGLEFINANCE($B$45,""close"",CP$2,TODAY()),2,2))"),"")</f>
        <v/>
      </c>
      <c r="CQ45" s="1" t="str">
        <f ca="1">IFERROR(__xludf.DUMMYFUNCTION("if(CQ$2="""","""", index(GOOGLEFINANCE($B$45,""close"",CQ$2,TODAY()),2,2))"),"")</f>
        <v/>
      </c>
      <c r="CR45" s="1" t="str">
        <f ca="1">IFERROR(__xludf.DUMMYFUNCTION("if(CR$2="""","""", index(GOOGLEFINANCE($B$45,""close"",CR$2,TODAY()),2,2))"),"")</f>
        <v/>
      </c>
      <c r="CS45" s="1" t="str">
        <f ca="1">IFERROR(__xludf.DUMMYFUNCTION("if(CS$2="""","""", index(GOOGLEFINANCE($B$45,""close"",CS$2,TODAY()),2,2))"),"")</f>
        <v/>
      </c>
      <c r="CT45" s="1" t="str">
        <f ca="1">IFERROR(__xludf.DUMMYFUNCTION("if(CT$2="""","""", index(GOOGLEFINANCE($B$45,""close"",CT$2,TODAY()),2,2))"),"")</f>
        <v/>
      </c>
      <c r="CU45" s="1" t="str">
        <f ca="1">IFERROR(__xludf.DUMMYFUNCTION("if(CU$2="""","""", index(GOOGLEFINANCE($B$45,""close"",CU$2,TODAY()),2,2))"),"")</f>
        <v/>
      </c>
      <c r="CV45" s="1" t="str">
        <f ca="1">IFERROR(__xludf.DUMMYFUNCTION("if(CV$2="""","""", index(GOOGLEFINANCE($B$45,""close"",CV$2,TODAY()),2,2))"),"")</f>
        <v/>
      </c>
      <c r="CW45" s="1" t="str">
        <f ca="1">IFERROR(__xludf.DUMMYFUNCTION("if(CW$2="""","""", index(GOOGLEFINANCE($B$45,""close"",CW$2,TODAY()),2,2))"),"")</f>
        <v/>
      </c>
      <c r="CX45" s="1" t="str">
        <f ca="1">IFERROR(__xludf.DUMMYFUNCTION("if(CX$2="""","""", index(GOOGLEFINANCE($B$45,""close"",CX$2,TODAY()),2,2))"),"")</f>
        <v/>
      </c>
      <c r="CY45" s="1" t="str">
        <f ca="1">IFERROR(__xludf.DUMMYFUNCTION("if(CY$2="""","""", index(GOOGLEFINANCE($B$45,""close"",CY$2,TODAY()),2,2))"),"")</f>
        <v/>
      </c>
      <c r="CZ45" s="1" t="str">
        <f ca="1">IFERROR(__xludf.DUMMYFUNCTION("if(CZ$2="""","""", index(GOOGLEFINANCE($B$45,""close"",CZ$2,TODAY()),2,2))"),"")</f>
        <v/>
      </c>
      <c r="DA45" s="1" t="str">
        <f ca="1">IFERROR(__xludf.DUMMYFUNCTION("if(DA$2="""","""", index(GOOGLEFINANCE($B$45,""close"",DA$2,TODAY()),2,2))"),"")</f>
        <v/>
      </c>
      <c r="DB45" s="1" t="str">
        <f ca="1">IFERROR(__xludf.DUMMYFUNCTION("if(DB$2="""","""", index(GOOGLEFINANCE($B$45,""close"",DB$2,TODAY()),2,2))"),"")</f>
        <v/>
      </c>
      <c r="DC45" s="1" t="str">
        <f ca="1">IFERROR(__xludf.DUMMYFUNCTION("if(DC$2="""","""", index(GOOGLEFINANCE($B$45,""close"",DC$2,TODAY()),2,2))"),"")</f>
        <v/>
      </c>
      <c r="DD45" s="1" t="str">
        <f ca="1">IFERROR(__xludf.DUMMYFUNCTION("if(DD$2="""","""", index(GOOGLEFINANCE($B$45,""close"",DD$2,TODAY()),2,2))"),"")</f>
        <v/>
      </c>
      <c r="DE45" s="1" t="str">
        <f ca="1">IFERROR(__xludf.DUMMYFUNCTION("if(DE$2="""","""", index(GOOGLEFINANCE($B$45,""close"",DE$2,TODAY()),2,2))"),"")</f>
        <v/>
      </c>
      <c r="DF45" s="1" t="str">
        <f ca="1">IFERROR(__xludf.DUMMYFUNCTION("if(DF$2="""","""", index(GOOGLEFINANCE($B$45,""close"",DF$2,TODAY()),2,2))"),"")</f>
        <v/>
      </c>
      <c r="DG45" s="1" t="str">
        <f ca="1">IFERROR(__xludf.DUMMYFUNCTION("if(DG$2="""","""", index(GOOGLEFINANCE($B$45,""close"",DG$2,TODAY()),2,2))"),"")</f>
        <v/>
      </c>
      <c r="DH45" s="1" t="str">
        <f ca="1">IFERROR(__xludf.DUMMYFUNCTION("if(DH$2="""","""", index(GOOGLEFINANCE($B$45,""close"",DH$2,TODAY()),2,2))"),"")</f>
        <v/>
      </c>
      <c r="DI45" s="1" t="str">
        <f ca="1">IFERROR(__xludf.DUMMYFUNCTION("if(DI$2="""","""", index(GOOGLEFINANCE($B$45,""close"",DI$2,TODAY()),2,2))"),"")</f>
        <v/>
      </c>
      <c r="DJ45" s="1" t="str">
        <f ca="1">IFERROR(__xludf.DUMMYFUNCTION("if(DJ$2="""","""", index(GOOGLEFINANCE($B$45,""close"",DJ$2,TODAY()),2,2))"),"")</f>
        <v/>
      </c>
      <c r="DK45" s="1" t="str">
        <f ca="1">IFERROR(__xludf.DUMMYFUNCTION("if(DK$2="""","""", index(GOOGLEFINANCE($B$45,""close"",DK$2,TODAY()),2,2))"),"")</f>
        <v/>
      </c>
      <c r="DL45" s="1" t="str">
        <f ca="1">IFERROR(__xludf.DUMMYFUNCTION("if(DL$2="""","""", index(GOOGLEFINANCE($B$45,""close"",DL$2,TODAY()),2,2))"),"")</f>
        <v/>
      </c>
      <c r="DM45" s="1" t="str">
        <f ca="1">IFERROR(__xludf.DUMMYFUNCTION("if(DM$2="""","""", index(GOOGLEFINANCE($B$45,""close"",DM$2,TODAY()),2,2))"),"")</f>
        <v/>
      </c>
      <c r="DN45" s="1" t="str">
        <f ca="1">IFERROR(__xludf.DUMMYFUNCTION("if(DN$2="""","""", index(GOOGLEFINANCE($B$45,""close"",DN$2,TODAY()),2,2))"),"")</f>
        <v/>
      </c>
      <c r="DO45" s="1" t="str">
        <f ca="1">IFERROR(__xludf.DUMMYFUNCTION("if(DO$2="""","""", index(GOOGLEFINANCE($B$45,""close"",DO$2,TODAY()),2,2))"),"")</f>
        <v/>
      </c>
      <c r="DP45" s="1" t="str">
        <f ca="1">IFERROR(__xludf.DUMMYFUNCTION("if(DP$2="""","""", index(GOOGLEFINANCE($B$45,""close"",DP$2,TODAY()),2,2))"),"")</f>
        <v/>
      </c>
      <c r="DQ45" s="1" t="str">
        <f ca="1">IFERROR(__xludf.DUMMYFUNCTION("if(DQ$2="""","""", index(GOOGLEFINANCE($B$45,""close"",DQ$2,TODAY()),2,2))"),"")</f>
        <v/>
      </c>
      <c r="DR45" s="1" t="str">
        <f ca="1">IFERROR(__xludf.DUMMYFUNCTION("if(DR$2="""","""", index(GOOGLEFINANCE($B$45,""close"",DR$2,TODAY()),2,2))"),"")</f>
        <v/>
      </c>
      <c r="DS45" s="1" t="str">
        <f ca="1">IFERROR(__xludf.DUMMYFUNCTION("if(DS$2="""","""", index(GOOGLEFINANCE($B$45,""close"",DS$2,TODAY()),2,2))"),"")</f>
        <v/>
      </c>
      <c r="DT45" s="1" t="str">
        <f ca="1">IFERROR(__xludf.DUMMYFUNCTION("if(DT$2="""","""", index(GOOGLEFINANCE($B$45,""close"",DT$2,TODAY()),2,2))"),"")</f>
        <v/>
      </c>
      <c r="DU45" s="1" t="str">
        <f ca="1">IFERROR(__xludf.DUMMYFUNCTION("if(DU$2="""","""", index(GOOGLEFINANCE($B$45,""close"",DU$2,TODAY()),2,2))"),"")</f>
        <v/>
      </c>
      <c r="DV45" s="1" t="str">
        <f ca="1">IFERROR(__xludf.DUMMYFUNCTION("if(DV$2="""","""", index(GOOGLEFINANCE($B$45,""close"",DV$2,TODAY()),2,2))"),"")</f>
        <v/>
      </c>
      <c r="DW45" s="1" t="str">
        <f ca="1">IFERROR(__xludf.DUMMYFUNCTION("if(DW$2="""","""", index(GOOGLEFINANCE($B$45,""close"",DW$2,TODAY()),2,2))"),"")</f>
        <v/>
      </c>
      <c r="DX45" s="1" t="str">
        <f ca="1">IFERROR(__xludf.DUMMYFUNCTION("if(DX$2="""","""", index(GOOGLEFINANCE($B$45,""close"",DX$2,TODAY()),2,2))"),"")</f>
        <v/>
      </c>
      <c r="DY45" s="1" t="str">
        <f ca="1">IFERROR(__xludf.DUMMYFUNCTION("if(DY$2="""","""", index(GOOGLEFINANCE($B$45,""close"",DY$2,TODAY()),2,2))"),"")</f>
        <v/>
      </c>
      <c r="DZ45" s="1" t="str">
        <f ca="1">IFERROR(__xludf.DUMMYFUNCTION("if(DZ$2="""","""", index(GOOGLEFINANCE($B$45,""close"",DZ$2,TODAY()),2,2))"),"")</f>
        <v/>
      </c>
      <c r="EA45" s="1" t="str">
        <f ca="1">IFERROR(__xludf.DUMMYFUNCTION("if(EA$2="""","""", index(GOOGLEFINANCE($B$45,""close"",EA$2,TODAY()),2,2))"),"")</f>
        <v/>
      </c>
      <c r="EB45" s="1" t="str">
        <f ca="1">IFERROR(__xludf.DUMMYFUNCTION("if(EB$2="""","""", index(GOOGLEFINANCE($B$45,""close"",EB$2,TODAY()),2,2))"),"")</f>
        <v/>
      </c>
      <c r="EC45" s="1" t="str">
        <f ca="1">IFERROR(__xludf.DUMMYFUNCTION("if(EC$2="""","""", index(GOOGLEFINANCE($B$45,""close"",EC$2,TODAY()),2,2))"),"")</f>
        <v/>
      </c>
      <c r="ED45" s="1" t="str">
        <f ca="1">IFERROR(__xludf.DUMMYFUNCTION("if(ED$2="""","""", index(GOOGLEFINANCE($B$45,""close"",ED$2,TODAY()),2,2))"),"")</f>
        <v/>
      </c>
      <c r="EE45" s="1" t="str">
        <f ca="1">IFERROR(__xludf.DUMMYFUNCTION("if(EE$2="""","""", index(GOOGLEFINANCE($B$45,""close"",EE$2,TODAY()),2,2))"),"")</f>
        <v/>
      </c>
      <c r="EF45" s="1" t="str">
        <f ca="1">IFERROR(__xludf.DUMMYFUNCTION("if(EF$2="""","""", index(GOOGLEFINANCE($B$45,""close"",EF$2,TODAY()),2,2))"),"")</f>
        <v/>
      </c>
      <c r="EG45" s="1" t="str">
        <f ca="1">IFERROR(__xludf.DUMMYFUNCTION("if(EG$2="""","""", index(GOOGLEFINANCE($B$45,""close"",EG$2,TODAY()),2,2))"),"")</f>
        <v/>
      </c>
      <c r="EH45" s="1" t="str">
        <f ca="1">IFERROR(__xludf.DUMMYFUNCTION("if(EH$2="""","""", index(GOOGLEFINANCE($B$45,""close"",EH$2,TODAY()),2,2))"),"")</f>
        <v/>
      </c>
      <c r="EI45" s="1" t="str">
        <f ca="1">IFERROR(__xludf.DUMMYFUNCTION("if(EI$2="""","""", index(GOOGLEFINANCE($B$45,""close"",EI$2,TODAY()),2,2))"),"")</f>
        <v/>
      </c>
      <c r="EJ45" s="1" t="str">
        <f ca="1">IFERROR(__xludf.DUMMYFUNCTION("if(EJ$2="""","""", index(GOOGLEFINANCE($B$45,""close"",EJ$2,TODAY()),2,2))"),"")</f>
        <v/>
      </c>
      <c r="EK45" s="1" t="str">
        <f ca="1">IFERROR(__xludf.DUMMYFUNCTION("if(EK$2="""","""", index(GOOGLEFINANCE($B$45,""close"",EK$2,TODAY()),2,2))"),"")</f>
        <v/>
      </c>
      <c r="EL45" s="1" t="str">
        <f ca="1">IFERROR(__xludf.DUMMYFUNCTION("if(EL$2="""","""", index(GOOGLEFINANCE($B$45,""close"",EL$2,TODAY()),2,2))"),"")</f>
        <v/>
      </c>
      <c r="EM45" s="1" t="str">
        <f ca="1">IFERROR(__xludf.DUMMYFUNCTION("if(EM$2="""","""", index(GOOGLEFINANCE($B$45,""close"",EM$2,TODAY()),2,2))"),"")</f>
        <v/>
      </c>
      <c r="EN45" s="1" t="str">
        <f ca="1">IFERROR(__xludf.DUMMYFUNCTION("if(EN$2="""","""", index(GOOGLEFINANCE($B$45,""close"",EN$2,TODAY()),2,2))"),"")</f>
        <v/>
      </c>
      <c r="EO45" s="1" t="str">
        <f ca="1">IFERROR(__xludf.DUMMYFUNCTION("if(EO$2="""","""", index(GOOGLEFINANCE($B$45,""close"",EO$2,TODAY()),2,2))"),"")</f>
        <v/>
      </c>
      <c r="EP45" s="1" t="str">
        <f ca="1">IFERROR(__xludf.DUMMYFUNCTION("if(EP$2="""","""", index(GOOGLEFINANCE($B$45,""close"",EP$2,TODAY()),2,2))"),"")</f>
        <v/>
      </c>
      <c r="EQ45" s="1" t="str">
        <f ca="1">IFERROR(__xludf.DUMMYFUNCTION("if(EQ$2="""","""", index(GOOGLEFINANCE($B$45,""close"",EQ$2,TODAY()),2,2))"),"")</f>
        <v/>
      </c>
      <c r="ER45" s="1" t="str">
        <f ca="1">IFERROR(__xludf.DUMMYFUNCTION("if(ER$2="""","""", index(GOOGLEFINANCE($B$45,""close"",ER$2,TODAY()),2,2))"),"")</f>
        <v/>
      </c>
      <c r="ES45" s="1" t="str">
        <f ca="1">IFERROR(__xludf.DUMMYFUNCTION("if(ES$2="""","""", index(GOOGLEFINANCE($B$45,""close"",ES$2,TODAY()),2,2))"),"")</f>
        <v/>
      </c>
      <c r="ET45" s="1" t="str">
        <f ca="1">IFERROR(__xludf.DUMMYFUNCTION("if(ET$2="""","""", index(GOOGLEFINANCE($B$45,""close"",ET$2,TODAY()),2,2))"),"")</f>
        <v/>
      </c>
      <c r="EU45" s="1" t="str">
        <f ca="1">IFERROR(__xludf.DUMMYFUNCTION("if(EU$2="""","""", index(GOOGLEFINANCE($B$45,""close"",EU$2,TODAY()),2,2))"),"")</f>
        <v/>
      </c>
      <c r="EV45" s="1" t="str">
        <f ca="1">IFERROR(__xludf.DUMMYFUNCTION("if(EV$2="""","""", index(GOOGLEFINANCE($B$45,""close"",EV$2,TODAY()),2,2))"),"")</f>
        <v/>
      </c>
      <c r="EW45" s="1" t="str">
        <f ca="1">IFERROR(__xludf.DUMMYFUNCTION("if(EW$2="""","""", index(GOOGLEFINANCE($B$45,""close"",EW$2,TODAY()),2,2))"),"")</f>
        <v/>
      </c>
      <c r="EX45" s="1" t="str">
        <f ca="1">IFERROR(__xludf.DUMMYFUNCTION("if(EX$2="""","""", index(GOOGLEFINANCE($B$45,""close"",EX$2,TODAY()),2,2))"),"")</f>
        <v/>
      </c>
      <c r="EY45" s="1" t="str">
        <f ca="1">IFERROR(__xludf.DUMMYFUNCTION("if(EY$2="""","""", index(GOOGLEFINANCE($B$45,""close"",EY$2,TODAY()),2,2))"),"")</f>
        <v/>
      </c>
      <c r="EZ45" s="1" t="str">
        <f ca="1">IFERROR(__xludf.DUMMYFUNCTION("if(EZ$2="""","""", index(GOOGLEFINANCE($B$45,""close"",EZ$2,TODAY()),2,2))"),"")</f>
        <v/>
      </c>
      <c r="FA45" s="1" t="str">
        <f ca="1">IFERROR(__xludf.DUMMYFUNCTION("if(FA$2="""","""", index(GOOGLEFINANCE($B$45,""close"",FA$2,TODAY()),2,2))"),"")</f>
        <v/>
      </c>
      <c r="FB45" s="1" t="str">
        <f ca="1">IFERROR(__xludf.DUMMYFUNCTION("if(FB$2="""","""", index(GOOGLEFINANCE($B$45,""close"",FB$2,TODAY()),2,2))"),"")</f>
        <v/>
      </c>
      <c r="FC45" s="1" t="str">
        <f ca="1">IFERROR(__xludf.DUMMYFUNCTION("if(FC$2="""","""", index(GOOGLEFINANCE($B$45,""close"",FC$2,TODAY()),2,2))"),"")</f>
        <v/>
      </c>
      <c r="FD45" s="1" t="str">
        <f ca="1">IFERROR(__xludf.DUMMYFUNCTION("if(FD$2="""","""", index(GOOGLEFINANCE($B$45,""close"",FD$2,TODAY()),2,2))"),"")</f>
        <v/>
      </c>
      <c r="FE45" s="1" t="str">
        <f ca="1">IFERROR(__xludf.DUMMYFUNCTION("if(FE$2="""","""", index(GOOGLEFINANCE($B$45,""close"",FE$2,TODAY()),2,2))"),"")</f>
        <v/>
      </c>
      <c r="FF45" s="1" t="str">
        <f ca="1">IFERROR(__xludf.DUMMYFUNCTION("if(FF$2="""","""", index(GOOGLEFINANCE($B$45,""close"",FF$2,TODAY()),2,2))"),"")</f>
        <v/>
      </c>
      <c r="FG45" s="1" t="str">
        <f ca="1">IFERROR(__xludf.DUMMYFUNCTION("if(FG$2="""","""", index(GOOGLEFINANCE($B$45,""close"",FG$2,TODAY()),2,2))"),"")</f>
        <v/>
      </c>
      <c r="FH45" s="1" t="str">
        <f ca="1">IFERROR(__xludf.DUMMYFUNCTION("if(FH$2="""","""", index(GOOGLEFINANCE($B$45,""close"",FH$2,TODAY()),2,2))"),"")</f>
        <v/>
      </c>
      <c r="FI45" s="1" t="str">
        <f ca="1">IFERROR(__xludf.DUMMYFUNCTION("if(FI$2="""","""", index(GOOGLEFINANCE($B$45,""close"",FI$2,TODAY()),2,2))"),"")</f>
        <v/>
      </c>
      <c r="FJ45" s="1" t="str">
        <f ca="1">IFERROR(__xludf.DUMMYFUNCTION("if(FJ$2="""","""", index(GOOGLEFINANCE($B$45,""close"",FJ$2,TODAY()),2,2))"),"")</f>
        <v/>
      </c>
      <c r="FK45" s="1" t="str">
        <f ca="1">IFERROR(__xludf.DUMMYFUNCTION("if(FK$2="""","""", index(GOOGLEFINANCE($B$45,""close"",FK$2,TODAY()),2,2))"),"")</f>
        <v/>
      </c>
      <c r="FL45" s="1" t="str">
        <f ca="1">IFERROR(__xludf.DUMMYFUNCTION("if(FL$2="""","""", index(GOOGLEFINANCE($B$45,""close"",FL$2,TODAY()),2,2))"),"")</f>
        <v/>
      </c>
      <c r="FM45" s="1" t="str">
        <f ca="1">IFERROR(__xludf.DUMMYFUNCTION("if(FM$2="""","""", index(GOOGLEFINANCE($B$45,""close"",FM$2,TODAY()),2,2))"),"")</f>
        <v/>
      </c>
      <c r="FN45" s="1" t="str">
        <f ca="1">IFERROR(__xludf.DUMMYFUNCTION("if(FN$2="""","""", index(GOOGLEFINANCE($B$45,""close"",FN$2,TODAY()),2,2))"),"")</f>
        <v/>
      </c>
      <c r="FO45" s="1" t="str">
        <f ca="1">IFERROR(__xludf.DUMMYFUNCTION("if(FO$2="""","""", index(GOOGLEFINANCE($B$45,""close"",FO$2,TODAY()),2,2))"),"")</f>
        <v/>
      </c>
      <c r="FP45" s="1" t="str">
        <f ca="1">IFERROR(__xludf.DUMMYFUNCTION("if(FP$2="""","""", index(GOOGLEFINANCE($B$45,""close"",FP$2,TODAY()),2,2))"),"")</f>
        <v/>
      </c>
      <c r="FQ45" s="1" t="str">
        <f ca="1">IFERROR(__xludf.DUMMYFUNCTION("if(FQ$2="""","""", index(GOOGLEFINANCE($B$45,""close"",FQ$2,TODAY()),2,2))"),"")</f>
        <v/>
      </c>
      <c r="FR45" s="1" t="str">
        <f ca="1">IFERROR(__xludf.DUMMYFUNCTION("if(FR$2="""","""", index(GOOGLEFINANCE($B$45,""close"",FR$2,TODAY()),2,2))"),"")</f>
        <v/>
      </c>
      <c r="FS45" s="1" t="str">
        <f ca="1">IFERROR(__xludf.DUMMYFUNCTION("if(FS$2="""","""", index(GOOGLEFINANCE($B$45,""close"",FS$2,TODAY()),2,2))"),"")</f>
        <v/>
      </c>
      <c r="FT45" s="1" t="str">
        <f ca="1">IFERROR(__xludf.DUMMYFUNCTION("if(FT$2="""","""", index(GOOGLEFINANCE($B$45,""close"",FT$2,TODAY()),2,2))"),"")</f>
        <v/>
      </c>
      <c r="FU45" s="1" t="str">
        <f ca="1">IFERROR(__xludf.DUMMYFUNCTION("if(FU$2="""","""", index(GOOGLEFINANCE($B$45,""close"",FU$2,TODAY()),2,2))"),"")</f>
        <v/>
      </c>
      <c r="FV45" s="1" t="str">
        <f ca="1">IFERROR(__xludf.DUMMYFUNCTION("if(FV$2="""","""", index(GOOGLEFINANCE($B$45,""close"",FV$2,TODAY()),2,2))"),"")</f>
        <v/>
      </c>
      <c r="FW45" s="1" t="str">
        <f ca="1">IFERROR(__xludf.DUMMYFUNCTION("if(FW$2="""","""", index(GOOGLEFINANCE($B$45,""close"",FW$2,TODAY()),2,2))"),"")</f>
        <v/>
      </c>
      <c r="FX45" s="1" t="str">
        <f ca="1">IFERROR(__xludf.DUMMYFUNCTION("if(FX$2="""","""", index(GOOGLEFINANCE($B$45,""close"",FX$2,TODAY()),2,2))"),"")</f>
        <v/>
      </c>
      <c r="FY45" s="1" t="str">
        <f ca="1">IFERROR(__xludf.DUMMYFUNCTION("if(FY$2="""","""", index(GOOGLEFINANCE($B$45,""close"",FY$2,TODAY()),2,2))"),"")</f>
        <v/>
      </c>
      <c r="FZ45" s="1" t="str">
        <f ca="1">IFERROR(__xludf.DUMMYFUNCTION("if(FZ$2="""","""", index(GOOGLEFINANCE($B$45,""close"",FZ$2,TODAY()),2,2))"),"")</f>
        <v/>
      </c>
      <c r="GA45" s="1" t="str">
        <f ca="1">IFERROR(__xludf.DUMMYFUNCTION("if(GA$2="""","""", index(GOOGLEFINANCE($B$45,""close"",GA$2,TODAY()),2,2))"),"")</f>
        <v/>
      </c>
      <c r="GB45" s="1" t="str">
        <f ca="1">IFERROR(__xludf.DUMMYFUNCTION("if(GB$2="""","""", index(GOOGLEFINANCE($B$45,""close"",GB$2,TODAY()),2,2))"),"")</f>
        <v/>
      </c>
      <c r="GC45" s="1" t="str">
        <f ca="1">IFERROR(__xludf.DUMMYFUNCTION("if(GC$2="""","""", index(GOOGLEFINANCE($B$45,""close"",GC$2,TODAY()),2,2))"),"")</f>
        <v/>
      </c>
      <c r="GD45" s="1" t="str">
        <f ca="1">IFERROR(__xludf.DUMMYFUNCTION("if(GD$2="""","""", index(GOOGLEFINANCE($B$45,""close"",GD$2,TODAY()),2,2))"),"")</f>
        <v/>
      </c>
      <c r="GE45" s="1" t="str">
        <f ca="1">IFERROR(__xludf.DUMMYFUNCTION("if(GE$2="""","""", index(GOOGLEFINANCE($B$45,""close"",GE$2,TODAY()),2,2))"),"")</f>
        <v/>
      </c>
      <c r="GF45" s="1" t="str">
        <f ca="1">IFERROR(__xludf.DUMMYFUNCTION("if(GF$2="""","""", index(GOOGLEFINANCE($B$45,""close"",GF$2,TODAY()),2,2))"),"")</f>
        <v/>
      </c>
      <c r="GG45" s="1" t="str">
        <f ca="1">IFERROR(__xludf.DUMMYFUNCTION("if(GG$2="""","""", index(GOOGLEFINANCE($B$45,""close"",GG$2,TODAY()),2,2))"),"")</f>
        <v/>
      </c>
      <c r="GH45" s="1" t="str">
        <f ca="1">IFERROR(__xludf.DUMMYFUNCTION("if(GH$2="""","""", index(GOOGLEFINANCE($B$45,""close"",GH$2,TODAY()),2,2))"),"")</f>
        <v/>
      </c>
      <c r="GI45" s="1" t="str">
        <f ca="1">IFERROR(__xludf.DUMMYFUNCTION("if(GI$2="""","""", index(GOOGLEFINANCE($B$45,""close"",GI$2,TODAY()),2,2))"),"")</f>
        <v/>
      </c>
      <c r="GJ45" s="1" t="str">
        <f ca="1">IFERROR(__xludf.DUMMYFUNCTION("if(GJ$2="""","""", index(GOOGLEFINANCE($B$45,""close"",GJ$2,TODAY()),2,2))"),"")</f>
        <v/>
      </c>
      <c r="GK45" s="1" t="str">
        <f ca="1">IFERROR(__xludf.DUMMYFUNCTION("if(GK$2="""","""", index(GOOGLEFINANCE($B$45,""close"",GK$2,TODAY()),2,2))"),"")</f>
        <v/>
      </c>
      <c r="GL45" s="1" t="str">
        <f ca="1">IFERROR(__xludf.DUMMYFUNCTION("if(GL$2="""","""", index(GOOGLEFINANCE($B$45,""close"",GL$2,TODAY()),2,2))"),"")</f>
        <v/>
      </c>
      <c r="GM45" s="1" t="str">
        <f ca="1">IFERROR(__xludf.DUMMYFUNCTION("if(GM$2="""","""", index(GOOGLEFINANCE($B$45,""close"",GM$2,TODAY()),2,2))"),"")</f>
        <v/>
      </c>
      <c r="GN45" s="1" t="str">
        <f ca="1">IFERROR(__xludf.DUMMYFUNCTION("if(GN$2="""","""", index(GOOGLEFINANCE($B$45,""close"",GN$2,TODAY()),2,2))"),"")</f>
        <v/>
      </c>
      <c r="GO45" s="1" t="str">
        <f ca="1">IFERROR(__xludf.DUMMYFUNCTION("if(GO$2="""","""", index(GOOGLEFINANCE($B$45,""close"",GO$2,TODAY()),2,2))"),"")</f>
        <v/>
      </c>
      <c r="GP45" s="1" t="str">
        <f ca="1">IFERROR(__xludf.DUMMYFUNCTION("if(GP$2="""","""", index(GOOGLEFINANCE($B$45,""close"",GP$2,TODAY()),2,2))"),"")</f>
        <v/>
      </c>
      <c r="GQ45" s="1" t="str">
        <f ca="1">IFERROR(__xludf.DUMMYFUNCTION("if(GQ$2="""","""", index(GOOGLEFINANCE($B$45,""close"",GQ$2,TODAY()),2,2))"),"")</f>
        <v/>
      </c>
      <c r="GR45" s="1" t="str">
        <f ca="1">IFERROR(__xludf.DUMMYFUNCTION("if(GR$2="""","""", index(GOOGLEFINANCE($B$45,""close"",GR$2,TODAY()),2,2))"),"")</f>
        <v/>
      </c>
      <c r="GS45" s="1" t="str">
        <f ca="1">IFERROR(__xludf.DUMMYFUNCTION("if(GS$2="""","""", index(GOOGLEFINANCE($B$45,""close"",GS$2,TODAY()),2,2))"),"")</f>
        <v/>
      </c>
      <c r="GT45" s="1" t="str">
        <f ca="1">IFERROR(__xludf.DUMMYFUNCTION("if(GT$2="""","""", index(GOOGLEFINANCE($B$45,""close"",GT$2,TODAY()),2,2))"),"")</f>
        <v/>
      </c>
      <c r="GU45" s="1" t="str">
        <f ca="1">IFERROR(__xludf.DUMMYFUNCTION("if(GU$2="""","""", index(GOOGLEFINANCE($B$45,""close"",GU$2,TODAY()),2,2))"),"")</f>
        <v/>
      </c>
      <c r="GV45" s="1" t="str">
        <f ca="1">IFERROR(__xludf.DUMMYFUNCTION("if(GV$2="""","""", index(GOOGLEFINANCE($B$45,""close"",GV$2,TODAY()),2,2))"),"")</f>
        <v/>
      </c>
      <c r="GW45" s="1" t="str">
        <f ca="1">IFERROR(__xludf.DUMMYFUNCTION("if(GW$2="""","""", index(GOOGLEFINANCE($B$45,""close"",GW$2,TODAY()),2,2))"),"")</f>
        <v/>
      </c>
      <c r="GX45" s="1" t="str">
        <f ca="1">IFERROR(__xludf.DUMMYFUNCTION("if(GX$2="""","""", index(GOOGLEFINANCE($B$45,""close"",GX$2,TODAY()),2,2))"),"")</f>
        <v/>
      </c>
      <c r="GY45" s="1" t="str">
        <f ca="1">IFERROR(__xludf.DUMMYFUNCTION("if(GY$2="""","""", index(GOOGLEFINANCE($B$45,""close"",GY$2,TODAY()),2,2))"),"")</f>
        <v/>
      </c>
      <c r="GZ45" s="1" t="str">
        <f ca="1">IFERROR(__xludf.DUMMYFUNCTION("if(GZ$2="""","""", index(GOOGLEFINANCE($B$45,""close"",GZ$2,TODAY()),2,2))"),"")</f>
        <v/>
      </c>
      <c r="HA45" s="1" t="str">
        <f ca="1">IFERROR(__xludf.DUMMYFUNCTION("if(HA$2="""","""", index(GOOGLEFINANCE($B$45,""close"",HA$2,TODAY()),2,2))"),"")</f>
        <v/>
      </c>
      <c r="HB45" s="1" t="str">
        <f ca="1">IFERROR(__xludf.DUMMYFUNCTION("if(HB$2="""","""", index(GOOGLEFINANCE($B$45,""close"",HB$2,TODAY()),2,2))"),"")</f>
        <v/>
      </c>
      <c r="HC45" s="1" t="str">
        <f ca="1">IFERROR(__xludf.DUMMYFUNCTION("if(HC$2="""","""", index(GOOGLEFINANCE($B$45,""close"",HC$2,TODAY()),2,2))"),"")</f>
        <v/>
      </c>
      <c r="HD45" s="1" t="str">
        <f ca="1">IFERROR(__xludf.DUMMYFUNCTION("if(HD$2="""","""", index(GOOGLEFINANCE($B$45,""close"",HD$2,TODAY()),2,2))"),"")</f>
        <v/>
      </c>
      <c r="HE45" s="1" t="str">
        <f ca="1">IFERROR(__xludf.DUMMYFUNCTION("if(HE$2="""","""", index(GOOGLEFINANCE($B$45,""close"",HE$2,TODAY()),2,2))"),"")</f>
        <v/>
      </c>
      <c r="HF45" s="1" t="str">
        <f ca="1">IFERROR(__xludf.DUMMYFUNCTION("if(HF$2="""","""", index(GOOGLEFINANCE($B$45,""close"",HF$2,TODAY()),2,2))"),"")</f>
        <v/>
      </c>
      <c r="HG45" s="1" t="str">
        <f ca="1">IFERROR(__xludf.DUMMYFUNCTION("if(HG$2="""","""", index(GOOGLEFINANCE($B$45,""close"",HG$2,TODAY()),2,2))"),"")</f>
        <v/>
      </c>
      <c r="HH45" s="1" t="str">
        <f ca="1">IFERROR(__xludf.DUMMYFUNCTION("if(HH$2="""","""", index(GOOGLEFINANCE($B$45,""close"",HH$2,TODAY()),2,2))"),"")</f>
        <v/>
      </c>
      <c r="HI45" s="1" t="str">
        <f ca="1">IFERROR(__xludf.DUMMYFUNCTION("if(HI$2="""","""", index(GOOGLEFINANCE($B$45,""close"",HI$2,TODAY()),2,2))"),"")</f>
        <v/>
      </c>
      <c r="HJ45" s="1" t="str">
        <f ca="1">IFERROR(__xludf.DUMMYFUNCTION("if(HJ$2="""","""", index(GOOGLEFINANCE($B$45,""close"",HJ$2,TODAY()),2,2))"),"")</f>
        <v/>
      </c>
      <c r="HK45" s="1" t="str">
        <f ca="1">IFERROR(__xludf.DUMMYFUNCTION("if(HK$2="""","""", index(GOOGLEFINANCE($B$45,""close"",HK$2,TODAY()),2,2))"),"")</f>
        <v/>
      </c>
      <c r="HL45" s="1" t="str">
        <f ca="1">IFERROR(__xludf.DUMMYFUNCTION("if(HL$2="""","""", index(GOOGLEFINANCE($B$45,""close"",HL$2,TODAY()),2,2))"),"")</f>
        <v/>
      </c>
      <c r="HM45" s="1" t="str">
        <f ca="1">IFERROR(__xludf.DUMMYFUNCTION("if(HM$2="""","""", index(GOOGLEFINANCE($B$45,""close"",HM$2,TODAY()),2,2))"),"")</f>
        <v/>
      </c>
      <c r="HN45" s="1" t="str">
        <f ca="1">IFERROR(__xludf.DUMMYFUNCTION("if(HN$2="""","""", index(GOOGLEFINANCE($B$45,""close"",HN$2,TODAY()),2,2))"),"")</f>
        <v/>
      </c>
      <c r="HO45" s="1" t="str">
        <f ca="1">IFERROR(__xludf.DUMMYFUNCTION("if(HO$2="""","""", index(GOOGLEFINANCE($B$45,""close"",HO$2,TODAY()),2,2))"),"")</f>
        <v/>
      </c>
      <c r="HP45" s="1" t="str">
        <f ca="1">IFERROR(__xludf.DUMMYFUNCTION("if(HP$2="""","""", index(GOOGLEFINANCE($B$45,""close"",HP$2,TODAY()),2,2))"),"")</f>
        <v/>
      </c>
      <c r="HQ45" s="1" t="str">
        <f ca="1">IFERROR(__xludf.DUMMYFUNCTION("if(HQ$2="""","""", index(GOOGLEFINANCE($B$45,""close"",HQ$2,TODAY()),2,2))"),"")</f>
        <v/>
      </c>
      <c r="HR45" s="1" t="str">
        <f ca="1">IFERROR(__xludf.DUMMYFUNCTION("if(HR$2="""","""", index(GOOGLEFINANCE($B$45,""close"",HR$2,TODAY()),2,2))"),"")</f>
        <v/>
      </c>
      <c r="HS45" s="1" t="str">
        <f ca="1">IFERROR(__xludf.DUMMYFUNCTION("if(HS$2="""","""", index(GOOGLEFINANCE($B$45,""close"",HS$2,TODAY()),2,2))"),"")</f>
        <v/>
      </c>
      <c r="HT45" s="1" t="str">
        <f ca="1">IFERROR(__xludf.DUMMYFUNCTION("if(HT$2="""","""", index(GOOGLEFINANCE($B$45,""close"",HT$2,TODAY()),2,2))"),"")</f>
        <v/>
      </c>
      <c r="HU45" s="1" t="str">
        <f ca="1">IFERROR(__xludf.DUMMYFUNCTION("if(HU$2="""","""", index(GOOGLEFINANCE($B$45,""close"",HU$2,TODAY()),2,2))"),"")</f>
        <v/>
      </c>
      <c r="HV45" s="1" t="str">
        <f ca="1">IFERROR(__xludf.DUMMYFUNCTION("if(HV$2="""","""", index(GOOGLEFINANCE($B$45,""close"",HV$2,TODAY()),2,2))"),"")</f>
        <v/>
      </c>
      <c r="HW45" s="1" t="str">
        <f ca="1">IFERROR(__xludf.DUMMYFUNCTION("if(HW$2="""","""", index(GOOGLEFINANCE($B$45,""close"",HW$2,TODAY()),2,2))"),"")</f>
        <v/>
      </c>
      <c r="HX45" s="1" t="str">
        <f ca="1">IFERROR(__xludf.DUMMYFUNCTION("if(HX$2="""","""", index(GOOGLEFINANCE($B$45,""close"",HX$2,TODAY()),2,2))"),"")</f>
        <v/>
      </c>
      <c r="HY45" s="1" t="str">
        <f ca="1">IFERROR(__xludf.DUMMYFUNCTION("if(HY$2="""","""", index(GOOGLEFINANCE($B$45,""close"",HY$2,TODAY()),2,2))"),"")</f>
        <v/>
      </c>
      <c r="HZ45" s="1" t="str">
        <f ca="1">IFERROR(__xludf.DUMMYFUNCTION("if(HZ$2="""","""", index(GOOGLEFINANCE($B$45,""close"",HZ$2,TODAY()),2,2))"),"")</f>
        <v/>
      </c>
      <c r="IA45" s="1" t="str">
        <f ca="1">IFERROR(__xludf.DUMMYFUNCTION("if(IA$2="""","""", index(GOOGLEFINANCE($B$45,""close"",IA$2,TODAY()),2,2))"),"")</f>
        <v/>
      </c>
      <c r="IB45" s="1" t="str">
        <f ca="1">IFERROR(__xludf.DUMMYFUNCTION("if(IB$2="""","""", index(GOOGLEFINANCE($B$45,""close"",IB$2,TODAY()),2,2))"),"")</f>
        <v/>
      </c>
      <c r="IC45" s="1" t="str">
        <f ca="1">IFERROR(__xludf.DUMMYFUNCTION("if(IC$2="""","""", index(GOOGLEFINANCE($B$45,""close"",IC$2,TODAY()),2,2))"),"")</f>
        <v/>
      </c>
      <c r="ID45" s="1" t="str">
        <f ca="1">IFERROR(__xludf.DUMMYFUNCTION("if(ID$2="""","""", index(GOOGLEFINANCE($B$45,""close"",ID$2,TODAY()),2,2))"),"")</f>
        <v/>
      </c>
      <c r="IE45" s="1" t="str">
        <f ca="1">IFERROR(__xludf.DUMMYFUNCTION("if(IE$2="""","""", index(GOOGLEFINANCE($B$45,""close"",IE$2,TODAY()),2,2))"),"")</f>
        <v/>
      </c>
      <c r="IF45" s="1" t="str">
        <f ca="1">IFERROR(__xludf.DUMMYFUNCTION("if(IF$2="""","""", index(GOOGLEFINANCE($B$45,""close"",IF$2,TODAY()),2,2))"),"")</f>
        <v/>
      </c>
      <c r="IG45" s="1" t="str">
        <f ca="1">IFERROR(__xludf.DUMMYFUNCTION("if(IG$2="""","""", index(GOOGLEFINANCE($B$45,""close"",IG$2,TODAY()),2,2))"),"")</f>
        <v/>
      </c>
      <c r="IH45" s="1" t="str">
        <f ca="1">IFERROR(__xludf.DUMMYFUNCTION("if(IH$2="""","""", index(GOOGLEFINANCE($B$45,""close"",IH$2,TODAY()),2,2))"),"")</f>
        <v/>
      </c>
      <c r="II45" s="1" t="str">
        <f ca="1">IFERROR(__xludf.DUMMYFUNCTION("if(II$2="""","""", index(GOOGLEFINANCE($B$45,""close"",II$2,TODAY()),2,2))"),"")</f>
        <v/>
      </c>
      <c r="IJ45" s="1" t="str">
        <f ca="1">IFERROR(__xludf.DUMMYFUNCTION("if(IJ$2="""","""", index(GOOGLEFINANCE($B$45,""close"",IJ$2,TODAY()),2,2))"),"")</f>
        <v/>
      </c>
      <c r="IK45" s="1" t="str">
        <f ca="1">IFERROR(__xludf.DUMMYFUNCTION("if(IK$2="""","""", index(GOOGLEFINANCE($B$45,""close"",IK$2,TODAY()),2,2))"),"")</f>
        <v/>
      </c>
      <c r="IL45" s="1" t="str">
        <f ca="1">IFERROR(__xludf.DUMMYFUNCTION("if(IL$2="""","""", index(GOOGLEFINANCE($B$45,""close"",IL$2,TODAY()),2,2))"),"")</f>
        <v/>
      </c>
      <c r="IM45" s="1" t="str">
        <f ca="1">IFERROR(__xludf.DUMMYFUNCTION("if(IM$2="""","""", index(GOOGLEFINANCE($B$45,""close"",IM$2,TODAY()),2,2))"),"")</f>
        <v/>
      </c>
      <c r="IN45" s="1" t="str">
        <f ca="1">IFERROR(__xludf.DUMMYFUNCTION("if(IN$2="""","""", index(GOOGLEFINANCE($B$45,""close"",IN$2,TODAY()),2,2))"),"")</f>
        <v/>
      </c>
      <c r="IO45" s="1" t="str">
        <f ca="1">IFERROR(__xludf.DUMMYFUNCTION("if(IO$2="""","""", index(GOOGLEFINANCE($B$45,""close"",IO$2,TODAY()),2,2))"),"")</f>
        <v/>
      </c>
      <c r="IP45" s="1" t="str">
        <f ca="1">IFERROR(__xludf.DUMMYFUNCTION("if(IP$2="""","""", index(GOOGLEFINANCE($B$45,""close"",IP$2,TODAY()),2,2))"),"")</f>
        <v/>
      </c>
      <c r="IQ45" s="1" t="str">
        <f ca="1">IFERROR(__xludf.DUMMYFUNCTION("if(IQ$2="""","""", index(GOOGLEFINANCE($B$45,""close"",IQ$2,TODAY()),2,2))"),"")</f>
        <v/>
      </c>
      <c r="IR45" s="1" t="str">
        <f ca="1">IFERROR(__xludf.DUMMYFUNCTION("if(IR$2="""","""", index(GOOGLEFINANCE($B$45,""close"",IR$2,TODAY()),2,2))"),"")</f>
        <v/>
      </c>
      <c r="IS45" s="1" t="str">
        <f ca="1">IFERROR(__xludf.DUMMYFUNCTION("if(IS$2="""","""", index(GOOGLEFINANCE($B$45,""close"",IS$2,TODAY()),2,2))"),"")</f>
        <v/>
      </c>
      <c r="IT45" s="1" t="str">
        <f ca="1">IFERROR(__xludf.DUMMYFUNCTION("if(IT$2="""","""", index(GOOGLEFINANCE($B$45,""close"",IT$2,TODAY()),2,2))"),"")</f>
        <v/>
      </c>
      <c r="IU45" s="1" t="str">
        <f ca="1">IFERROR(__xludf.DUMMYFUNCTION("if(IU$2="""","""", index(GOOGLEFINANCE($B$45,""close"",IU$2,TODAY()),2,2))"),"")</f>
        <v/>
      </c>
      <c r="IV45" s="1" t="str">
        <f ca="1">IFERROR(__xludf.DUMMYFUNCTION("if(IV$2="""","""", index(GOOGLEFINANCE($B$45,""close"",IV$2,TODAY()),2,2))"),"")</f>
        <v/>
      </c>
      <c r="IW45" s="1" t="str">
        <f ca="1">IFERROR(__xludf.DUMMYFUNCTION("if(IW$2="""","""", index(GOOGLEFINANCE($B$45,""close"",IW$2,TODAY()),2,2))"),"")</f>
        <v/>
      </c>
      <c r="IX45" s="1" t="str">
        <f ca="1">IFERROR(__xludf.DUMMYFUNCTION("if(IX$2="""","""", index(GOOGLEFINANCE($B$45,""close"",IX$2,TODAY()),2,2))"),"")</f>
        <v/>
      </c>
      <c r="IY45" s="1" t="str">
        <f ca="1">IFERROR(__xludf.DUMMYFUNCTION("if(IY$2="""","""", index(GOOGLEFINANCE($B$45,""close"",IY$2,TODAY()),2,2))"),"")</f>
        <v/>
      </c>
      <c r="IZ45" s="1" t="str">
        <f ca="1">IFERROR(__xludf.DUMMYFUNCTION("if(IZ$2="""","""", index(GOOGLEFINANCE($B$45,""close"",IZ$2,TODAY()),2,2))"),"")</f>
        <v/>
      </c>
      <c r="JA45" s="1" t="str">
        <f ca="1">IFERROR(__xludf.DUMMYFUNCTION("if(JA$2="""","""", index(GOOGLEFINANCE($B$45,""close"",JA$2,TODAY()),2,2))"),"")</f>
        <v/>
      </c>
      <c r="JB45" s="1" t="str">
        <f ca="1">IFERROR(__xludf.DUMMYFUNCTION("if(JB$2="""","""", index(GOOGLEFINANCE($B$45,""close"",JB$2,TODAY()),2,2))"),"")</f>
        <v/>
      </c>
      <c r="JC45" s="1" t="str">
        <f ca="1">IFERROR(__xludf.DUMMYFUNCTION("if(JC$2="""","""", index(GOOGLEFINANCE($B$45,""close"",JC$2,TODAY()),2,2))"),"")</f>
        <v/>
      </c>
      <c r="JD45" s="1" t="str">
        <f ca="1">IFERROR(__xludf.DUMMYFUNCTION("if(JD$2="""","""", index(GOOGLEFINANCE($B$45,""close"",JD$2,TODAY()),2,2))"),"")</f>
        <v/>
      </c>
      <c r="JE45" s="1" t="str">
        <f ca="1">IFERROR(__xludf.DUMMYFUNCTION("if(JE$2="""","""", index(GOOGLEFINANCE($B$45,""close"",JE$2,TODAY()),2,2))"),"")</f>
        <v/>
      </c>
      <c r="JF45" s="1" t="str">
        <f ca="1">IFERROR(__xludf.DUMMYFUNCTION("if(JF$2="""","""", index(GOOGLEFINANCE($B$45,""close"",JF$2,TODAY()),2,2))"),"")</f>
        <v/>
      </c>
      <c r="JG45" s="1" t="str">
        <f ca="1">IFERROR(__xludf.DUMMYFUNCTION("if(JG$2="""","""", index(GOOGLEFINANCE($B$45,""close"",JG$2,TODAY()),2,2))"),"")</f>
        <v/>
      </c>
      <c r="JH45" s="1" t="str">
        <f ca="1">IFERROR(__xludf.DUMMYFUNCTION("if(JH$2="""","""", index(GOOGLEFINANCE($B$45,""close"",JH$2,TODAY()),2,2))"),"")</f>
        <v/>
      </c>
      <c r="JI45" s="1" t="str">
        <f ca="1">IFERROR(__xludf.DUMMYFUNCTION("if(JI$2="""","""", index(GOOGLEFINANCE($B$45,""close"",JI$2,TODAY()),2,2))"),"")</f>
        <v/>
      </c>
      <c r="JJ45" s="1" t="str">
        <f ca="1">IFERROR(__xludf.DUMMYFUNCTION("if(JJ$2="""","""", index(GOOGLEFINANCE($B$45,""close"",JJ$2,TODAY()),2,2))"),"")</f>
        <v/>
      </c>
      <c r="JK45" s="1" t="str">
        <f ca="1">IFERROR(__xludf.DUMMYFUNCTION("if(JK$2="""","""", index(GOOGLEFINANCE($B$45,""close"",JK$2,TODAY()),2,2))"),"")</f>
        <v/>
      </c>
      <c r="JL45" s="1" t="str">
        <f ca="1">IFERROR(__xludf.DUMMYFUNCTION("if(JL$2="""","""", index(GOOGLEFINANCE($B$45,""close"",JL$2,TODAY()),2,2))"),"")</f>
        <v/>
      </c>
      <c r="JM45" s="1" t="str">
        <f ca="1">IFERROR(__xludf.DUMMYFUNCTION("if(JM$2="""","""", index(GOOGLEFINANCE($B$45,""close"",JM$2,TODAY()),2,2))"),"")</f>
        <v/>
      </c>
      <c r="JN45" s="1" t="str">
        <f ca="1">IFERROR(__xludf.DUMMYFUNCTION("if(JN$2="""","""", index(GOOGLEFINANCE($B$45,""close"",JN$2,TODAY()),2,2))"),"")</f>
        <v/>
      </c>
      <c r="JO45" s="1" t="str">
        <f ca="1">IFERROR(__xludf.DUMMYFUNCTION("if(JO$2="""","""", index(GOOGLEFINANCE($B$45,""close"",JO$2,TODAY()),2,2))"),"")</f>
        <v/>
      </c>
      <c r="JP45" s="1" t="str">
        <f ca="1">IFERROR(__xludf.DUMMYFUNCTION("if(JP$2="""","""", index(GOOGLEFINANCE($B$45,""close"",JP$2,TODAY()),2,2))"),"")</f>
        <v/>
      </c>
      <c r="JQ45" s="1" t="str">
        <f ca="1">IFERROR(__xludf.DUMMYFUNCTION("if(JQ$2="""","""", index(GOOGLEFINANCE($B$45,""close"",JQ$2,TODAY()),2,2))"),"")</f>
        <v/>
      </c>
      <c r="JR45" s="1" t="str">
        <f ca="1">IFERROR(__xludf.DUMMYFUNCTION("if(JR$2="""","""", index(GOOGLEFINANCE($B$45,""close"",JR$2,TODAY()),2,2))"),"")</f>
        <v/>
      </c>
      <c r="JS45" s="1" t="str">
        <f ca="1">IFERROR(__xludf.DUMMYFUNCTION("if(JS$2="""","""", index(GOOGLEFINANCE($B$45,""close"",JS$2,TODAY()),2,2))"),"")</f>
        <v/>
      </c>
      <c r="JT45" s="1" t="str">
        <f ca="1">IFERROR(__xludf.DUMMYFUNCTION("if(JT$2="""","""", index(GOOGLEFINANCE($B$45,""close"",JT$2,TODAY()),2,2))"),"")</f>
        <v/>
      </c>
      <c r="JU45" s="1" t="str">
        <f ca="1">IFERROR(__xludf.DUMMYFUNCTION("if(JU$2="""","""", index(GOOGLEFINANCE($B$45,""close"",JU$2,TODAY()),2,2))"),"")</f>
        <v/>
      </c>
      <c r="JV45" s="1" t="str">
        <f ca="1">IFERROR(__xludf.DUMMYFUNCTION("if(JV$2="""","""", index(GOOGLEFINANCE($B$45,""close"",JV$2,TODAY()),2,2))"),"")</f>
        <v/>
      </c>
      <c r="JW45" s="1" t="str">
        <f ca="1">IFERROR(__xludf.DUMMYFUNCTION("if(JW$2="""","""", index(GOOGLEFINANCE($B$45,""close"",JW$2,TODAY()),2,2))"),"")</f>
        <v/>
      </c>
      <c r="JX45" s="1" t="str">
        <f ca="1">IFERROR(__xludf.DUMMYFUNCTION("if(JX$2="""","""", index(GOOGLEFINANCE($B$45,""close"",JX$2,TODAY()),2,2))"),"")</f>
        <v/>
      </c>
      <c r="JY45" s="1" t="str">
        <f ca="1">IFERROR(__xludf.DUMMYFUNCTION("if(JY$2="""","""", index(GOOGLEFINANCE($B$45,""close"",JY$2,TODAY()),2,2))"),"")</f>
        <v/>
      </c>
      <c r="JZ45" s="1" t="str">
        <f ca="1">IFERROR(__xludf.DUMMYFUNCTION("if(JZ$2="""","""", index(GOOGLEFINANCE($B$45,""close"",JZ$2,TODAY()),2,2))"),"")</f>
        <v/>
      </c>
      <c r="KA45" s="1" t="str">
        <f ca="1">IFERROR(__xludf.DUMMYFUNCTION("if(KA$2="""","""", index(GOOGLEFINANCE($B$45,""close"",KA$2,TODAY()),2,2))"),"")</f>
        <v/>
      </c>
      <c r="KB45" s="1" t="str">
        <f ca="1">IFERROR(__xludf.DUMMYFUNCTION("if(KB$2="""","""", index(GOOGLEFINANCE($B$45,""close"",KB$2,TODAY()),2,2))"),"")</f>
        <v/>
      </c>
      <c r="KC45" s="1" t="str">
        <f ca="1">IFERROR(__xludf.DUMMYFUNCTION("if(KC$2="""","""", index(GOOGLEFINANCE($B$45,""close"",KC$2,TODAY()),2,2))"),"")</f>
        <v/>
      </c>
      <c r="KD45" s="1" t="str">
        <f ca="1">IFERROR(__xludf.DUMMYFUNCTION("if(KD$2="""","""", index(GOOGLEFINANCE($B$45,""close"",KD$2,TODAY()),2,2))"),"")</f>
        <v/>
      </c>
      <c r="KE45" s="1" t="str">
        <f ca="1">IFERROR(__xludf.DUMMYFUNCTION("if(KE$2="""","""", index(GOOGLEFINANCE($B$45,""close"",KE$2,TODAY()),2,2))"),"")</f>
        <v/>
      </c>
      <c r="KF45" s="1" t="str">
        <f ca="1">IFERROR(__xludf.DUMMYFUNCTION("if(KF$2="""","""", index(GOOGLEFINANCE($B$45,""close"",KF$2,TODAY()),2,2))"),"")</f>
        <v/>
      </c>
      <c r="KG45" s="1" t="str">
        <f ca="1">IFERROR(__xludf.DUMMYFUNCTION("if(KG$2="""","""", index(GOOGLEFINANCE($B$45,""close"",KG$2,TODAY()),2,2))"),"")</f>
        <v/>
      </c>
    </row>
    <row r="46" spans="1:293" ht="15.75" customHeight="1">
      <c r="A46" s="18" t="s">
        <v>30</v>
      </c>
      <c r="B46" s="6" t="s">
        <v>88</v>
      </c>
      <c r="C46" s="1">
        <f ca="1">IFERROR(__xludf.DUMMYFUNCTION("if(C$2="""","""", index(GOOGLEFINANCE($B$46,""close"",C$2,TODAY()),2,2))"),23.95)</f>
        <v>23.95</v>
      </c>
      <c r="D46" s="1">
        <f ca="1">IFERROR(__xludf.DUMMYFUNCTION("if(D$2="""","""", index(GOOGLEFINANCE($B$46,""close"",D$2,TODAY()),2,2))"),24.71)</f>
        <v>24.71</v>
      </c>
      <c r="E46" s="1">
        <f ca="1">IFERROR(__xludf.DUMMYFUNCTION("if(E$2="""","""", index(GOOGLEFINANCE($B$46,""close"",E$2,TODAY()),2,2))"),23.54)</f>
        <v>23.54</v>
      </c>
      <c r="F46" s="1">
        <f ca="1">IFERROR(__xludf.DUMMYFUNCTION("if(F$2="""","""", index(GOOGLEFINANCE($B$46,""close"",F$2,TODAY()),2,2))"),25.76)</f>
        <v>25.76</v>
      </c>
      <c r="G46" s="1">
        <f ca="1">IFERROR(__xludf.DUMMYFUNCTION("if(G$2="""","""", index(GOOGLEFINANCE($B$46,""close"",G$2,TODAY()),2,2))"),24.09)</f>
        <v>24.09</v>
      </c>
      <c r="H46" s="1">
        <f ca="1">IFERROR(__xludf.DUMMYFUNCTION("if(H$2="""","""", index(GOOGLEFINANCE($B$46,""close"",H$2,TODAY()),2,2))"),23.86)</f>
        <v>23.86</v>
      </c>
      <c r="I46" s="1">
        <f ca="1">IFERROR(__xludf.DUMMYFUNCTION("if(I$2="""","""", index(GOOGLEFINANCE($B$46,""close"",I$2,TODAY()),2,2))"),23.68)</f>
        <v>23.68</v>
      </c>
      <c r="J46" s="1">
        <f ca="1">IFERROR(__xludf.DUMMYFUNCTION("if(J$2="""","""", index(GOOGLEFINANCE($B$46,""close"",J$2,TODAY()),2,2))"),23.85)</f>
        <v>23.85</v>
      </c>
      <c r="K46" s="1">
        <f ca="1">IFERROR(__xludf.DUMMYFUNCTION("if(K$2="""","""", index(GOOGLEFINANCE($B$46,""close"",K$2,TODAY()),2,2))"),24.59)</f>
        <v>24.59</v>
      </c>
      <c r="L46" s="1">
        <f ca="1">IFERROR(__xludf.DUMMYFUNCTION("if(L$2="""","""", index(GOOGLEFINANCE($B$46,""close"",L$2,TODAY()),2,2))"),22.87)</f>
        <v>22.87</v>
      </c>
      <c r="M46" s="1">
        <f ca="1">IFERROR(__xludf.DUMMYFUNCTION("if(M$2="""","""", index(GOOGLEFINANCE($B$46,""close"",M$2,TODAY()),2,2))"),22.74)</f>
        <v>22.74</v>
      </c>
      <c r="N46" s="1">
        <f ca="1">IFERROR(__xludf.DUMMYFUNCTION("if(N$2="""","""", index(GOOGLEFINANCE($B$46,""close"",N$2,TODAY()),2,2))"),22.92)</f>
        <v>22.92</v>
      </c>
      <c r="O46" s="1">
        <f ca="1">IFERROR(__xludf.DUMMYFUNCTION("if(O$2="""","""", index(GOOGLEFINANCE($B$46,""close"",O$2,TODAY()),2,2))"),22.37)</f>
        <v>22.37</v>
      </c>
      <c r="P46" s="1">
        <f ca="1">IFERROR(__xludf.DUMMYFUNCTION("if(P$2="""","""", index(GOOGLEFINANCE($B$46,""close"",P$2,TODAY()),2,2))"),22.84)</f>
        <v>22.84</v>
      </c>
      <c r="Q46" s="1">
        <f ca="1">IFERROR(__xludf.DUMMYFUNCTION("if(Q$2="""","""", index(GOOGLEFINANCE($B$46,""close"",Q$2,TODAY()),2,2))"),25.47)</f>
        <v>25.47</v>
      </c>
      <c r="R46" s="1">
        <f ca="1">IFERROR(__xludf.DUMMYFUNCTION("if(R$2="""","""", index(GOOGLEFINANCE($B$46,""close"",R$2,TODAY()),2,2))"),24.97)</f>
        <v>24.97</v>
      </c>
      <c r="S46" s="1">
        <f ca="1">IFERROR(__xludf.DUMMYFUNCTION("if(S$2="""","""", index(GOOGLEFINANCE($B$46,""close"",S$2,TODAY()),2,2))"),23.82)</f>
        <v>23.82</v>
      </c>
      <c r="T46" s="1">
        <f ca="1">IFERROR(__xludf.DUMMYFUNCTION("if(T$2="""","""", index(GOOGLEFINANCE($B$46,""close"",T$2,TODAY()),2,2))"),23.35)</f>
        <v>23.35</v>
      </c>
      <c r="U46" s="1">
        <f ca="1">IFERROR(__xludf.DUMMYFUNCTION("if(U$2="""","""", index(GOOGLEFINANCE($B$46,""close"",U$2,TODAY()),2,2))"),23.85)</f>
        <v>23.85</v>
      </c>
      <c r="V46" s="1">
        <f ca="1">IFERROR(__xludf.DUMMYFUNCTION("if(V$2="""","""", index(GOOGLEFINANCE($B$46,""close"",V$2,TODAY()),2,2))"),24.27)</f>
        <v>24.27</v>
      </c>
      <c r="W46" s="1">
        <f ca="1">IFERROR(__xludf.DUMMYFUNCTION("if(W$2="""","""", index(GOOGLEFINANCE($B$46,""close"",W$2,TODAY()),2,2))"),24.52)</f>
        <v>24.52</v>
      </c>
      <c r="X46" s="1">
        <f ca="1">IFERROR(__xludf.DUMMYFUNCTION("if(X$2="""","""", index(GOOGLEFINANCE($B$46,""close"",X$2,TODAY()),2,2))"),23.79)</f>
        <v>23.79</v>
      </c>
      <c r="Y46" s="1">
        <f ca="1">IFERROR(__xludf.DUMMYFUNCTION("if(Y$2="""","""", index(GOOGLEFINANCE($B$46,""close"",Y$2,TODAY()),2,2))"),23.1)</f>
        <v>23.1</v>
      </c>
      <c r="Z46" s="1">
        <f ca="1">IFERROR(__xludf.DUMMYFUNCTION("if(Z$2="""","""", index(GOOGLEFINANCE($B$46,""close"",Z$2,TODAY()),2,2))"),22.6)</f>
        <v>22.6</v>
      </c>
      <c r="AA46" s="1">
        <f ca="1">IFERROR(__xludf.DUMMYFUNCTION("if(AA$2="""","""", index(GOOGLEFINANCE($B$46,""close"",AA$2,TODAY()),2,2))"),22.96)</f>
        <v>22.96</v>
      </c>
      <c r="AB46" s="1">
        <f ca="1">IFERROR(__xludf.DUMMYFUNCTION("if(AB$2="""","""", index(GOOGLEFINANCE($B$46,""close"",AB$2,TODAY()),2,2))"),23.78)</f>
        <v>23.78</v>
      </c>
      <c r="AC46" s="1">
        <f ca="1">IFERROR(__xludf.DUMMYFUNCTION("if(AC$2="""","""", index(GOOGLEFINANCE($B$46,""close"",AC$2,TODAY()),2,2))"),24.17)</f>
        <v>24.17</v>
      </c>
      <c r="AD46" s="1">
        <f ca="1">IFERROR(__xludf.DUMMYFUNCTION("if(AD$2="""","""", index(GOOGLEFINANCE($B$46,""close"",AD$2,TODAY()),2,2))"),23.37)</f>
        <v>23.37</v>
      </c>
      <c r="AE46" s="1">
        <f ca="1">IFERROR(__xludf.DUMMYFUNCTION("if(AE$2="""","""", index(GOOGLEFINANCE($B$46,""close"",AE$2,TODAY()),2,2))"),22.59)</f>
        <v>22.59</v>
      </c>
      <c r="AF46" s="1">
        <f ca="1">IFERROR(__xludf.DUMMYFUNCTION("if(AF$2="""","""", index(GOOGLEFINANCE($B$46,""close"",AF$2,TODAY()),2,2))"),22.62)</f>
        <v>22.62</v>
      </c>
      <c r="AG46" s="1">
        <f ca="1">IFERROR(__xludf.DUMMYFUNCTION("if(AG$2="""","""", index(GOOGLEFINANCE($B$46,""close"",AG$2,TODAY()),2,2))"),23.84)</f>
        <v>23.84</v>
      </c>
      <c r="AH46" s="1">
        <f ca="1">IFERROR(__xludf.DUMMYFUNCTION("if(AH$2="""","""", index(GOOGLEFINANCE($B$46,""close"",AH$2,TODAY()),2,2))"),23.42)</f>
        <v>23.42</v>
      </c>
      <c r="AI46" s="1">
        <f ca="1">IFERROR(__xludf.DUMMYFUNCTION("if(AI$2="""","""", index(GOOGLEFINANCE($B$46,""close"",AI$2,TODAY()),2,2))"),22.79)</f>
        <v>22.79</v>
      </c>
      <c r="AJ46" s="1">
        <f ca="1">IFERROR(__xludf.DUMMYFUNCTION("if(AJ$2="""","""", index(GOOGLEFINANCE($B$46,""close"",AJ$2,TODAY()),2,2))"),21.43)</f>
        <v>21.43</v>
      </c>
      <c r="AK46" s="1">
        <f ca="1">IFERROR(__xludf.DUMMYFUNCTION("if(AK$2="""","""", index(GOOGLEFINANCE($B$46,""close"",AK$2,TODAY()),2,2))"),19.58)</f>
        <v>19.579999999999998</v>
      </c>
      <c r="AL46" s="1">
        <f ca="1">IFERROR(__xludf.DUMMYFUNCTION("if(AL$2="""","""", index(GOOGLEFINANCE($B$46,""close"",AL$2,TODAY()),2,2))"),19.14)</f>
        <v>19.14</v>
      </c>
      <c r="AM46" s="1">
        <f ca="1">IFERROR(__xludf.DUMMYFUNCTION("if(AM$2="""","""", index(GOOGLEFINANCE($B$46,""close"",AM$2,TODAY()),2,2))"),18.64)</f>
        <v>18.64</v>
      </c>
      <c r="AN46" s="1">
        <f ca="1">IFERROR(__xludf.DUMMYFUNCTION("if(AN$2="""","""", index(GOOGLEFINANCE($B$46,""close"",AN$2,TODAY()),2,2))"),19.04)</f>
        <v>19.04</v>
      </c>
      <c r="AO46" s="1">
        <f ca="1">IFERROR(__xludf.DUMMYFUNCTION("if(AO$2="""","""", index(GOOGLEFINANCE($B$46,""close"",AO$2,TODAY()),2,2))"),18.34)</f>
        <v>18.34</v>
      </c>
      <c r="AP46" s="1">
        <f ca="1">IFERROR(__xludf.DUMMYFUNCTION("if(AP$2="""","""", index(GOOGLEFINANCE($B$46,""close"",AP$2,TODAY()),2,2))"),17.97)</f>
        <v>17.97</v>
      </c>
      <c r="AQ46" s="1">
        <f ca="1">IFERROR(__xludf.DUMMYFUNCTION("if(AQ$2="""","""", index(GOOGLEFINANCE($B$46,""close"",AQ$2,TODAY()),2,2))"),19.43)</f>
        <v>19.43</v>
      </c>
      <c r="AR46" s="1">
        <f ca="1">IFERROR(__xludf.DUMMYFUNCTION("if(AR$2="""","""", index(GOOGLEFINANCE($B$46,""close"",AR$2,TODAY()),2,2))"),19.02)</f>
        <v>19.02</v>
      </c>
      <c r="AS46" s="1">
        <f ca="1">IFERROR(__xludf.DUMMYFUNCTION("if(AS$2="""","""", index(GOOGLEFINANCE($B$46,""close"",AS$2,TODAY()),2,2))"),18.88)</f>
        <v>18.88</v>
      </c>
      <c r="AT46" s="1">
        <f ca="1">IFERROR(__xludf.DUMMYFUNCTION("if(AT$2="""","""", index(GOOGLEFINANCE($B$46,""close"",AT$2,TODAY()),2,2))"),17.59)</f>
        <v>17.59</v>
      </c>
      <c r="AU46" s="1">
        <f ca="1">IFERROR(__xludf.DUMMYFUNCTION("if(AU$2="""","""", index(GOOGLEFINANCE($B$46,""close"",AU$2,TODAY()),2,2))"),18.67)</f>
        <v>18.670000000000002</v>
      </c>
      <c r="AV46" s="1">
        <f ca="1">IFERROR(__xludf.DUMMYFUNCTION("if(AV$2="""","""", index(GOOGLEFINANCE($B$46,""close"",AV$2,TODAY()),2,2))"),19.85)</f>
        <v>19.850000000000001</v>
      </c>
      <c r="AW46" s="1">
        <f ca="1">IFERROR(__xludf.DUMMYFUNCTION("if(AW$2="""","""", index(GOOGLEFINANCE($B$46,""close"",AW$2,TODAY()),2,2))"),18.94)</f>
        <v>18.940000000000001</v>
      </c>
      <c r="AX46" s="1">
        <f ca="1">IFERROR(__xludf.DUMMYFUNCTION("if(AX$2="""","""", index(GOOGLEFINANCE($B$46,""close"",AX$2,TODAY()),2,2))"),18.52)</f>
        <v>18.52</v>
      </c>
      <c r="AY46" s="1">
        <f ca="1">IFERROR(__xludf.DUMMYFUNCTION("if(AY$2="""","""", index(GOOGLEFINANCE($B$46,""close"",AY$2,TODAY()),2,2))"),19.07)</f>
        <v>19.07</v>
      </c>
      <c r="AZ46" s="1">
        <f ca="1">IFERROR(__xludf.DUMMYFUNCTION("if(AZ$2="""","""", index(GOOGLEFINANCE($B$46,""close"",AZ$2,TODAY()),2,2))"),18.93)</f>
        <v>18.93</v>
      </c>
      <c r="BA46" s="1">
        <f ca="1">IFERROR(__xludf.DUMMYFUNCTION("if(BA$2="""","""", index(GOOGLEFINANCE($B$46,""close"",BA$2,TODAY()),2,2))"),19.56)</f>
        <v>19.559999999999999</v>
      </c>
      <c r="BB46" s="1">
        <f ca="1">IFERROR(__xludf.DUMMYFUNCTION("if(BB$2="""","""", index(GOOGLEFINANCE($B$46,""close"",BB$2,TODAY()),2,2))"),19.88)</f>
        <v>19.88</v>
      </c>
      <c r="BC46" s="1">
        <f ca="1">IFERROR(__xludf.DUMMYFUNCTION("if(BC$2="""","""", index(GOOGLEFINANCE($B$46,""close"",BC$2,TODAY()),2,2))"),19.86)</f>
        <v>19.86</v>
      </c>
      <c r="BD46" s="1">
        <f ca="1">IFERROR(__xludf.DUMMYFUNCTION("if(BD$2="""","""", index(GOOGLEFINANCE($B$46,""close"",BD$2,TODAY()),2,2))"),19.72)</f>
        <v>19.72</v>
      </c>
      <c r="BE46" s="1">
        <f ca="1">IFERROR(__xludf.DUMMYFUNCTION("if(BE$2="""","""", index(GOOGLEFINANCE($B$46,""close"",BE$2,TODAY()),2,2))"),21.06)</f>
        <v>21.06</v>
      </c>
      <c r="BF46" s="1">
        <f ca="1">IFERROR(__xludf.DUMMYFUNCTION("if(BF$2="""","""", index(GOOGLEFINANCE($B$46,""close"",BF$2,TODAY()),2,2))"),20.22)</f>
        <v>20.22</v>
      </c>
      <c r="BG46" s="1">
        <f ca="1">IFERROR(__xludf.DUMMYFUNCTION("if(BG$2="""","""", index(GOOGLEFINANCE($B$46,""close"",BG$2,TODAY()),2,2))"),20.15)</f>
        <v>20.149999999999999</v>
      </c>
      <c r="BH46" s="1">
        <f ca="1">IFERROR(__xludf.DUMMYFUNCTION("if(BH$2="""","""", index(GOOGLEFINANCE($B$46,""close"",BH$2,TODAY()),2,2))"),19.37)</f>
        <v>19.37</v>
      </c>
      <c r="BI46" s="1">
        <f ca="1">IFERROR(__xludf.DUMMYFUNCTION("if(BI$2="""","""", index(GOOGLEFINANCE($B$46,""close"",BI$2,TODAY()),2,2))"),20.41)</f>
        <v>20.41</v>
      </c>
      <c r="BJ46" s="1">
        <f ca="1">IFERROR(__xludf.DUMMYFUNCTION("if(BJ$2="""","""", index(GOOGLEFINANCE($B$46,""close"",BJ$2,TODAY()),2,2))"),18.96)</f>
        <v>18.96</v>
      </c>
      <c r="BK46" s="1">
        <f ca="1">IFERROR(__xludf.DUMMYFUNCTION("if(BK$2="""","""", index(GOOGLEFINANCE($B$46,""close"",BK$2,TODAY()),2,2))"),16.97)</f>
        <v>16.97</v>
      </c>
      <c r="BL46" s="1">
        <f ca="1">IFERROR(__xludf.DUMMYFUNCTION("if(BL$2="""","""", index(GOOGLEFINANCE($B$46,""close"",BL$2,TODAY()),2,2))"),15.41)</f>
        <v>15.41</v>
      </c>
      <c r="BM46" s="1">
        <f ca="1">IFERROR(__xludf.DUMMYFUNCTION("if(BM$2="""","""", index(GOOGLEFINANCE($B$46,""close"",BM$2,TODAY()),2,2))"),15.06)</f>
        <v>15.06</v>
      </c>
      <c r="BN46" s="1">
        <f ca="1">IFERROR(__xludf.DUMMYFUNCTION("if(BN$2="""","""", index(GOOGLEFINANCE($B$46,""close"",BN$2,TODAY()),2,2))"),15.59)</f>
        <v>15.59</v>
      </c>
      <c r="BO46" s="1">
        <f ca="1">IFERROR(__xludf.DUMMYFUNCTION("if(BO$2="""","""", index(GOOGLEFINANCE($B$46,""close"",BO$2,TODAY()),2,2))"),15.12)</f>
        <v>15.12</v>
      </c>
      <c r="BP46" s="1">
        <f ca="1">IFERROR(__xludf.DUMMYFUNCTION("if(BP$2="""","""", index(GOOGLEFINANCE($B$46,""close"",BP$2,TODAY()),2,2))"),15)</f>
        <v>15</v>
      </c>
      <c r="BQ46" s="1">
        <f ca="1">IFERROR(__xludf.DUMMYFUNCTION("if(BQ$2="""","""", index(GOOGLEFINANCE($B$46,""close"",BQ$2,TODAY()),2,2))"),15.42)</f>
        <v>15.42</v>
      </c>
      <c r="BR46" s="1">
        <f ca="1">IFERROR(__xludf.DUMMYFUNCTION("if(BR$2="""","""", index(GOOGLEFINANCE($B$46,""close"",BR$2,TODAY()),2,2))"),16.55)</f>
        <v>16.55</v>
      </c>
      <c r="BS46" s="1">
        <f ca="1">IFERROR(__xludf.DUMMYFUNCTION("if(BS$2="""","""", index(GOOGLEFINANCE($B$46,""close"",BS$2,TODAY()),2,2))"),16.55)</f>
        <v>16.55</v>
      </c>
      <c r="BT46" s="1">
        <f ca="1">IFERROR(__xludf.DUMMYFUNCTION("if(BT$2="""","""", index(GOOGLEFINANCE($B$46,""close"",BT$2,TODAY()),2,2))"),16.34)</f>
        <v>16.34</v>
      </c>
      <c r="BU46" s="1">
        <f ca="1">IFERROR(__xludf.DUMMYFUNCTION("if(BU$2="""","""", index(GOOGLEFINANCE($B$46,""close"",BU$2,TODAY()),2,2))"),16.56)</f>
        <v>16.559999999999999</v>
      </c>
      <c r="BV46" s="1">
        <f ca="1">IFERROR(__xludf.DUMMYFUNCTION("if(BV$2="""","""", index(GOOGLEFINANCE($B$46,""close"",BV$2,TODAY()),2,2))"),16.06)</f>
        <v>16.059999999999999</v>
      </c>
      <c r="BW46" s="1">
        <f ca="1">IFERROR(__xludf.DUMMYFUNCTION("if(BW$2="""","""", index(GOOGLEFINANCE($B$46,""close"",BW$2,TODAY()),2,2))"),15.83)</f>
        <v>15.83</v>
      </c>
      <c r="BX46" s="1">
        <f ca="1">IFERROR(__xludf.DUMMYFUNCTION("if(BX$2="""","""", index(GOOGLEFINANCE($B$46,""close"",BX$2,TODAY()),2,2))"),16.66)</f>
        <v>16.66</v>
      </c>
      <c r="BY46" s="1">
        <f ca="1">IFERROR(__xludf.DUMMYFUNCTION("if(BY$2="""","""", index(GOOGLEFINANCE($B$46,""close"",BY$2,TODAY()),2,2))"),16.54)</f>
        <v>16.54</v>
      </c>
      <c r="BZ46" s="1">
        <f ca="1">IFERROR(__xludf.DUMMYFUNCTION("if(BZ$2="""","""", index(GOOGLEFINANCE($B$46,""close"",BZ$2,TODAY()),2,2))"),16.56)</f>
        <v>16.559999999999999</v>
      </c>
      <c r="CA46" s="1">
        <f ca="1">IFERROR(__xludf.DUMMYFUNCTION("if(CA$2="""","""", index(GOOGLEFINANCE($B$46,""close"",CA$2,TODAY()),2,2))"),15.93)</f>
        <v>15.93</v>
      </c>
      <c r="CB46" s="1">
        <f ca="1">IFERROR(__xludf.DUMMYFUNCTION("if(CB$2="""","""", index(GOOGLEFINANCE($B$46,""close"",CB$2,TODAY()),2,2))"),16.27)</f>
        <v>16.27</v>
      </c>
      <c r="CC46" s="1">
        <f ca="1">IFERROR(__xludf.DUMMYFUNCTION("if(CC$2="""","""", index(GOOGLEFINANCE($B$46,""close"",CC$2,TODAY()),2,2))"),15.68)</f>
        <v>15.68</v>
      </c>
      <c r="CD46" s="1">
        <f ca="1">IFERROR(__xludf.DUMMYFUNCTION("if(CD$2="""","""", index(GOOGLEFINANCE($B$46,""close"",CD$2,TODAY()),2,2))"),15.64)</f>
        <v>15.64</v>
      </c>
      <c r="CE46" s="1">
        <f ca="1">IFERROR(__xludf.DUMMYFUNCTION("if(CE$2="""","""", index(GOOGLEFINANCE($B$46,""close"",CE$2,TODAY()),2,2))"),16.37)</f>
        <v>16.37</v>
      </c>
      <c r="CF46" s="1">
        <f ca="1">IFERROR(__xludf.DUMMYFUNCTION("if(CF$2="""","""", index(GOOGLEFINANCE($B$46,""close"",CF$2,TODAY()),2,2))"),15.65)</f>
        <v>15.65</v>
      </c>
      <c r="CG46" s="1">
        <f ca="1">IFERROR(__xludf.DUMMYFUNCTION("if(CG$2="""","""", index(GOOGLEFINANCE($B$46,""close"",CG$2,TODAY()),2,2))"),15.78)</f>
        <v>15.78</v>
      </c>
      <c r="CH46" s="1">
        <f ca="1">IFERROR(__xludf.DUMMYFUNCTION("if(CH$2="""","""", index(GOOGLEFINANCE($B$46,""close"",CH$2,TODAY()),2,2))"),15.91)</f>
        <v>15.91</v>
      </c>
      <c r="CI46" s="1">
        <f ca="1">IFERROR(__xludf.DUMMYFUNCTION("if(CI$2="""","""", index(GOOGLEFINANCE($B$46,""close"",CI$2,TODAY()),2,2))"),16.69)</f>
        <v>16.690000000000001</v>
      </c>
      <c r="CJ46" s="1" t="str">
        <f ca="1">IFERROR(__xludf.DUMMYFUNCTION("if(CJ$2="""","""", index(GOOGLEFINANCE($B$46,""close"",CJ$2,TODAY()),2,2))"),"")</f>
        <v/>
      </c>
      <c r="CK46" s="1" t="str">
        <f ca="1">IFERROR(__xludf.DUMMYFUNCTION("if(CK$2="""","""", index(GOOGLEFINANCE($B$46,""close"",CK$2,TODAY()),2,2))"),"")</f>
        <v/>
      </c>
      <c r="CL46" s="1" t="str">
        <f ca="1">IFERROR(__xludf.DUMMYFUNCTION("if(CL$2="""","""", index(GOOGLEFINANCE($B$46,""close"",CL$2,TODAY()),2,2))"),"")</f>
        <v/>
      </c>
      <c r="CM46" s="1" t="str">
        <f ca="1">IFERROR(__xludf.DUMMYFUNCTION("if(CM$2="""","""", index(GOOGLEFINANCE($B$46,""close"",CM$2,TODAY()),2,2))"),"")</f>
        <v/>
      </c>
      <c r="CN46" s="1" t="str">
        <f ca="1">IFERROR(__xludf.DUMMYFUNCTION("if(CN$2="""","""", index(GOOGLEFINANCE($B$46,""close"",CN$2,TODAY()),2,2))"),"")</f>
        <v/>
      </c>
      <c r="CO46" s="1" t="str">
        <f ca="1">IFERROR(__xludf.DUMMYFUNCTION("if(CO$2="""","""", index(GOOGLEFINANCE($B$46,""close"",CO$2,TODAY()),2,2))"),"")</f>
        <v/>
      </c>
      <c r="CP46" s="1" t="str">
        <f ca="1">IFERROR(__xludf.DUMMYFUNCTION("if(CP$2="""","""", index(GOOGLEFINANCE($B$46,""close"",CP$2,TODAY()),2,2))"),"")</f>
        <v/>
      </c>
      <c r="CQ46" s="1" t="str">
        <f ca="1">IFERROR(__xludf.DUMMYFUNCTION("if(CQ$2="""","""", index(GOOGLEFINANCE($B$46,""close"",CQ$2,TODAY()),2,2))"),"")</f>
        <v/>
      </c>
      <c r="CR46" s="1" t="str">
        <f ca="1">IFERROR(__xludf.DUMMYFUNCTION("if(CR$2="""","""", index(GOOGLEFINANCE($B$46,""close"",CR$2,TODAY()),2,2))"),"")</f>
        <v/>
      </c>
      <c r="CS46" s="1" t="str">
        <f ca="1">IFERROR(__xludf.DUMMYFUNCTION("if(CS$2="""","""", index(GOOGLEFINANCE($B$46,""close"",CS$2,TODAY()),2,2))"),"")</f>
        <v/>
      </c>
      <c r="CT46" s="1" t="str">
        <f ca="1">IFERROR(__xludf.DUMMYFUNCTION("if(CT$2="""","""", index(GOOGLEFINANCE($B$46,""close"",CT$2,TODAY()),2,2))"),"")</f>
        <v/>
      </c>
      <c r="CU46" s="1" t="str">
        <f ca="1">IFERROR(__xludf.DUMMYFUNCTION("if(CU$2="""","""", index(GOOGLEFINANCE($B$46,""close"",CU$2,TODAY()),2,2))"),"")</f>
        <v/>
      </c>
      <c r="CV46" s="1" t="str">
        <f ca="1">IFERROR(__xludf.DUMMYFUNCTION("if(CV$2="""","""", index(GOOGLEFINANCE($B$46,""close"",CV$2,TODAY()),2,2))"),"")</f>
        <v/>
      </c>
      <c r="CW46" s="1" t="str">
        <f ca="1">IFERROR(__xludf.DUMMYFUNCTION("if(CW$2="""","""", index(GOOGLEFINANCE($B$46,""close"",CW$2,TODAY()),2,2))"),"")</f>
        <v/>
      </c>
      <c r="CX46" s="1" t="str">
        <f ca="1">IFERROR(__xludf.DUMMYFUNCTION("if(CX$2="""","""", index(GOOGLEFINANCE($B$46,""close"",CX$2,TODAY()),2,2))"),"")</f>
        <v/>
      </c>
      <c r="CY46" s="1" t="str">
        <f ca="1">IFERROR(__xludf.DUMMYFUNCTION("if(CY$2="""","""", index(GOOGLEFINANCE($B$46,""close"",CY$2,TODAY()),2,2))"),"")</f>
        <v/>
      </c>
      <c r="CZ46" s="1" t="str">
        <f ca="1">IFERROR(__xludf.DUMMYFUNCTION("if(CZ$2="""","""", index(GOOGLEFINANCE($B$46,""close"",CZ$2,TODAY()),2,2))"),"")</f>
        <v/>
      </c>
      <c r="DA46" s="1" t="str">
        <f ca="1">IFERROR(__xludf.DUMMYFUNCTION("if(DA$2="""","""", index(GOOGLEFINANCE($B$46,""close"",DA$2,TODAY()),2,2))"),"")</f>
        <v/>
      </c>
      <c r="DB46" s="1" t="str">
        <f ca="1">IFERROR(__xludf.DUMMYFUNCTION("if(DB$2="""","""", index(GOOGLEFINANCE($B$46,""close"",DB$2,TODAY()),2,2))"),"")</f>
        <v/>
      </c>
      <c r="DC46" s="1" t="str">
        <f ca="1">IFERROR(__xludf.DUMMYFUNCTION("if(DC$2="""","""", index(GOOGLEFINANCE($B$46,""close"",DC$2,TODAY()),2,2))"),"")</f>
        <v/>
      </c>
      <c r="DD46" s="1" t="str">
        <f ca="1">IFERROR(__xludf.DUMMYFUNCTION("if(DD$2="""","""", index(GOOGLEFINANCE($B$46,""close"",DD$2,TODAY()),2,2))"),"")</f>
        <v/>
      </c>
      <c r="DE46" s="1" t="str">
        <f ca="1">IFERROR(__xludf.DUMMYFUNCTION("if(DE$2="""","""", index(GOOGLEFINANCE($B$46,""close"",DE$2,TODAY()),2,2))"),"")</f>
        <v/>
      </c>
      <c r="DF46" s="1" t="str">
        <f ca="1">IFERROR(__xludf.DUMMYFUNCTION("if(DF$2="""","""", index(GOOGLEFINANCE($B$46,""close"",DF$2,TODAY()),2,2))"),"")</f>
        <v/>
      </c>
      <c r="DG46" s="1" t="str">
        <f ca="1">IFERROR(__xludf.DUMMYFUNCTION("if(DG$2="""","""", index(GOOGLEFINANCE($B$46,""close"",DG$2,TODAY()),2,2))"),"")</f>
        <v/>
      </c>
      <c r="DH46" s="1" t="str">
        <f ca="1">IFERROR(__xludf.DUMMYFUNCTION("if(DH$2="""","""", index(GOOGLEFINANCE($B$46,""close"",DH$2,TODAY()),2,2))"),"")</f>
        <v/>
      </c>
      <c r="DI46" s="1" t="str">
        <f ca="1">IFERROR(__xludf.DUMMYFUNCTION("if(DI$2="""","""", index(GOOGLEFINANCE($B$46,""close"",DI$2,TODAY()),2,2))"),"")</f>
        <v/>
      </c>
      <c r="DJ46" s="1" t="str">
        <f ca="1">IFERROR(__xludf.DUMMYFUNCTION("if(DJ$2="""","""", index(GOOGLEFINANCE($B$46,""close"",DJ$2,TODAY()),2,2))"),"")</f>
        <v/>
      </c>
      <c r="DK46" s="1" t="str">
        <f ca="1">IFERROR(__xludf.DUMMYFUNCTION("if(DK$2="""","""", index(GOOGLEFINANCE($B$46,""close"",DK$2,TODAY()),2,2))"),"")</f>
        <v/>
      </c>
      <c r="DL46" s="1" t="str">
        <f ca="1">IFERROR(__xludf.DUMMYFUNCTION("if(DL$2="""","""", index(GOOGLEFINANCE($B$46,""close"",DL$2,TODAY()),2,2))"),"")</f>
        <v/>
      </c>
      <c r="DM46" s="1" t="str">
        <f ca="1">IFERROR(__xludf.DUMMYFUNCTION("if(DM$2="""","""", index(GOOGLEFINANCE($B$46,""close"",DM$2,TODAY()),2,2))"),"")</f>
        <v/>
      </c>
      <c r="DN46" s="1" t="str">
        <f ca="1">IFERROR(__xludf.DUMMYFUNCTION("if(DN$2="""","""", index(GOOGLEFINANCE($B$46,""close"",DN$2,TODAY()),2,2))"),"")</f>
        <v/>
      </c>
      <c r="DO46" s="1" t="str">
        <f ca="1">IFERROR(__xludf.DUMMYFUNCTION("if(DO$2="""","""", index(GOOGLEFINANCE($B$46,""close"",DO$2,TODAY()),2,2))"),"")</f>
        <v/>
      </c>
      <c r="DP46" s="1" t="str">
        <f ca="1">IFERROR(__xludf.DUMMYFUNCTION("if(DP$2="""","""", index(GOOGLEFINANCE($B$46,""close"",DP$2,TODAY()),2,2))"),"")</f>
        <v/>
      </c>
      <c r="DQ46" s="1" t="str">
        <f ca="1">IFERROR(__xludf.DUMMYFUNCTION("if(DQ$2="""","""", index(GOOGLEFINANCE($B$46,""close"",DQ$2,TODAY()),2,2))"),"")</f>
        <v/>
      </c>
      <c r="DR46" s="1" t="str">
        <f ca="1">IFERROR(__xludf.DUMMYFUNCTION("if(DR$2="""","""", index(GOOGLEFINANCE($B$46,""close"",DR$2,TODAY()),2,2))"),"")</f>
        <v/>
      </c>
      <c r="DS46" s="1" t="str">
        <f ca="1">IFERROR(__xludf.DUMMYFUNCTION("if(DS$2="""","""", index(GOOGLEFINANCE($B$46,""close"",DS$2,TODAY()),2,2))"),"")</f>
        <v/>
      </c>
      <c r="DT46" s="1" t="str">
        <f ca="1">IFERROR(__xludf.DUMMYFUNCTION("if(DT$2="""","""", index(GOOGLEFINANCE($B$46,""close"",DT$2,TODAY()),2,2))"),"")</f>
        <v/>
      </c>
      <c r="DU46" s="1" t="str">
        <f ca="1">IFERROR(__xludf.DUMMYFUNCTION("if(DU$2="""","""", index(GOOGLEFINANCE($B$46,""close"",DU$2,TODAY()),2,2))"),"")</f>
        <v/>
      </c>
      <c r="DV46" s="1" t="str">
        <f ca="1">IFERROR(__xludf.DUMMYFUNCTION("if(DV$2="""","""", index(GOOGLEFINANCE($B$46,""close"",DV$2,TODAY()),2,2))"),"")</f>
        <v/>
      </c>
      <c r="DW46" s="1" t="str">
        <f ca="1">IFERROR(__xludf.DUMMYFUNCTION("if(DW$2="""","""", index(GOOGLEFINANCE($B$46,""close"",DW$2,TODAY()),2,2))"),"")</f>
        <v/>
      </c>
      <c r="DX46" s="1" t="str">
        <f ca="1">IFERROR(__xludf.DUMMYFUNCTION("if(DX$2="""","""", index(GOOGLEFINANCE($B$46,""close"",DX$2,TODAY()),2,2))"),"")</f>
        <v/>
      </c>
      <c r="DY46" s="1" t="str">
        <f ca="1">IFERROR(__xludf.DUMMYFUNCTION("if(DY$2="""","""", index(GOOGLEFINANCE($B$46,""close"",DY$2,TODAY()),2,2))"),"")</f>
        <v/>
      </c>
      <c r="DZ46" s="1" t="str">
        <f ca="1">IFERROR(__xludf.DUMMYFUNCTION("if(DZ$2="""","""", index(GOOGLEFINANCE($B$46,""close"",DZ$2,TODAY()),2,2))"),"")</f>
        <v/>
      </c>
      <c r="EA46" s="1" t="str">
        <f ca="1">IFERROR(__xludf.DUMMYFUNCTION("if(EA$2="""","""", index(GOOGLEFINANCE($B$46,""close"",EA$2,TODAY()),2,2))"),"")</f>
        <v/>
      </c>
      <c r="EB46" s="1" t="str">
        <f ca="1">IFERROR(__xludf.DUMMYFUNCTION("if(EB$2="""","""", index(GOOGLEFINANCE($B$46,""close"",EB$2,TODAY()),2,2))"),"")</f>
        <v/>
      </c>
      <c r="EC46" s="1" t="str">
        <f ca="1">IFERROR(__xludf.DUMMYFUNCTION("if(EC$2="""","""", index(GOOGLEFINANCE($B$46,""close"",EC$2,TODAY()),2,2))"),"")</f>
        <v/>
      </c>
      <c r="ED46" s="1" t="str">
        <f ca="1">IFERROR(__xludf.DUMMYFUNCTION("if(ED$2="""","""", index(GOOGLEFINANCE($B$46,""close"",ED$2,TODAY()),2,2))"),"")</f>
        <v/>
      </c>
      <c r="EE46" s="1" t="str">
        <f ca="1">IFERROR(__xludf.DUMMYFUNCTION("if(EE$2="""","""", index(GOOGLEFINANCE($B$46,""close"",EE$2,TODAY()),2,2))"),"")</f>
        <v/>
      </c>
      <c r="EF46" s="1" t="str">
        <f ca="1">IFERROR(__xludf.DUMMYFUNCTION("if(EF$2="""","""", index(GOOGLEFINANCE($B$46,""close"",EF$2,TODAY()),2,2))"),"")</f>
        <v/>
      </c>
      <c r="EG46" s="1" t="str">
        <f ca="1">IFERROR(__xludf.DUMMYFUNCTION("if(EG$2="""","""", index(GOOGLEFINANCE($B$46,""close"",EG$2,TODAY()),2,2))"),"")</f>
        <v/>
      </c>
      <c r="EH46" s="1" t="str">
        <f ca="1">IFERROR(__xludf.DUMMYFUNCTION("if(EH$2="""","""", index(GOOGLEFINANCE($B$46,""close"",EH$2,TODAY()),2,2))"),"")</f>
        <v/>
      </c>
      <c r="EI46" s="1" t="str">
        <f ca="1">IFERROR(__xludf.DUMMYFUNCTION("if(EI$2="""","""", index(GOOGLEFINANCE($B$46,""close"",EI$2,TODAY()),2,2))"),"")</f>
        <v/>
      </c>
      <c r="EJ46" s="1" t="str">
        <f ca="1">IFERROR(__xludf.DUMMYFUNCTION("if(EJ$2="""","""", index(GOOGLEFINANCE($B$46,""close"",EJ$2,TODAY()),2,2))"),"")</f>
        <v/>
      </c>
      <c r="EK46" s="1" t="str">
        <f ca="1">IFERROR(__xludf.DUMMYFUNCTION("if(EK$2="""","""", index(GOOGLEFINANCE($B$46,""close"",EK$2,TODAY()),2,2))"),"")</f>
        <v/>
      </c>
      <c r="EL46" s="1" t="str">
        <f ca="1">IFERROR(__xludf.DUMMYFUNCTION("if(EL$2="""","""", index(GOOGLEFINANCE($B$46,""close"",EL$2,TODAY()),2,2))"),"")</f>
        <v/>
      </c>
      <c r="EM46" s="1" t="str">
        <f ca="1">IFERROR(__xludf.DUMMYFUNCTION("if(EM$2="""","""", index(GOOGLEFINANCE($B$46,""close"",EM$2,TODAY()),2,2))"),"")</f>
        <v/>
      </c>
      <c r="EN46" s="1" t="str">
        <f ca="1">IFERROR(__xludf.DUMMYFUNCTION("if(EN$2="""","""", index(GOOGLEFINANCE($B$46,""close"",EN$2,TODAY()),2,2))"),"")</f>
        <v/>
      </c>
      <c r="EO46" s="1" t="str">
        <f ca="1">IFERROR(__xludf.DUMMYFUNCTION("if(EO$2="""","""", index(GOOGLEFINANCE($B$46,""close"",EO$2,TODAY()),2,2))"),"")</f>
        <v/>
      </c>
      <c r="EP46" s="1" t="str">
        <f ca="1">IFERROR(__xludf.DUMMYFUNCTION("if(EP$2="""","""", index(GOOGLEFINANCE($B$46,""close"",EP$2,TODAY()),2,2))"),"")</f>
        <v/>
      </c>
      <c r="EQ46" s="1" t="str">
        <f ca="1">IFERROR(__xludf.DUMMYFUNCTION("if(EQ$2="""","""", index(GOOGLEFINANCE($B$46,""close"",EQ$2,TODAY()),2,2))"),"")</f>
        <v/>
      </c>
      <c r="ER46" s="1" t="str">
        <f ca="1">IFERROR(__xludf.DUMMYFUNCTION("if(ER$2="""","""", index(GOOGLEFINANCE($B$46,""close"",ER$2,TODAY()),2,2))"),"")</f>
        <v/>
      </c>
      <c r="ES46" s="1" t="str">
        <f ca="1">IFERROR(__xludf.DUMMYFUNCTION("if(ES$2="""","""", index(GOOGLEFINANCE($B$46,""close"",ES$2,TODAY()),2,2))"),"")</f>
        <v/>
      </c>
      <c r="ET46" s="1" t="str">
        <f ca="1">IFERROR(__xludf.DUMMYFUNCTION("if(ET$2="""","""", index(GOOGLEFINANCE($B$46,""close"",ET$2,TODAY()),2,2))"),"")</f>
        <v/>
      </c>
      <c r="EU46" s="1" t="str">
        <f ca="1">IFERROR(__xludf.DUMMYFUNCTION("if(EU$2="""","""", index(GOOGLEFINANCE($B$46,""close"",EU$2,TODAY()),2,2))"),"")</f>
        <v/>
      </c>
      <c r="EV46" s="1" t="str">
        <f ca="1">IFERROR(__xludf.DUMMYFUNCTION("if(EV$2="""","""", index(GOOGLEFINANCE($B$46,""close"",EV$2,TODAY()),2,2))"),"")</f>
        <v/>
      </c>
      <c r="EW46" s="1" t="str">
        <f ca="1">IFERROR(__xludf.DUMMYFUNCTION("if(EW$2="""","""", index(GOOGLEFINANCE($B$46,""close"",EW$2,TODAY()),2,2))"),"")</f>
        <v/>
      </c>
      <c r="EX46" s="1" t="str">
        <f ca="1">IFERROR(__xludf.DUMMYFUNCTION("if(EX$2="""","""", index(GOOGLEFINANCE($B$46,""close"",EX$2,TODAY()),2,2))"),"")</f>
        <v/>
      </c>
      <c r="EY46" s="1" t="str">
        <f ca="1">IFERROR(__xludf.DUMMYFUNCTION("if(EY$2="""","""", index(GOOGLEFINANCE($B$46,""close"",EY$2,TODAY()),2,2))"),"")</f>
        <v/>
      </c>
      <c r="EZ46" s="1" t="str">
        <f ca="1">IFERROR(__xludf.DUMMYFUNCTION("if(EZ$2="""","""", index(GOOGLEFINANCE($B$46,""close"",EZ$2,TODAY()),2,2))"),"")</f>
        <v/>
      </c>
      <c r="FA46" s="1" t="str">
        <f ca="1">IFERROR(__xludf.DUMMYFUNCTION("if(FA$2="""","""", index(GOOGLEFINANCE($B$46,""close"",FA$2,TODAY()),2,2))"),"")</f>
        <v/>
      </c>
      <c r="FB46" s="1" t="str">
        <f ca="1">IFERROR(__xludf.DUMMYFUNCTION("if(FB$2="""","""", index(GOOGLEFINANCE($B$46,""close"",FB$2,TODAY()),2,2))"),"")</f>
        <v/>
      </c>
      <c r="FC46" s="1" t="str">
        <f ca="1">IFERROR(__xludf.DUMMYFUNCTION("if(FC$2="""","""", index(GOOGLEFINANCE($B$46,""close"",FC$2,TODAY()),2,2))"),"")</f>
        <v/>
      </c>
      <c r="FD46" s="1" t="str">
        <f ca="1">IFERROR(__xludf.DUMMYFUNCTION("if(FD$2="""","""", index(GOOGLEFINANCE($B$46,""close"",FD$2,TODAY()),2,2))"),"")</f>
        <v/>
      </c>
      <c r="FE46" s="1" t="str">
        <f ca="1">IFERROR(__xludf.DUMMYFUNCTION("if(FE$2="""","""", index(GOOGLEFINANCE($B$46,""close"",FE$2,TODAY()),2,2))"),"")</f>
        <v/>
      </c>
      <c r="FF46" s="1" t="str">
        <f ca="1">IFERROR(__xludf.DUMMYFUNCTION("if(FF$2="""","""", index(GOOGLEFINANCE($B$46,""close"",FF$2,TODAY()),2,2))"),"")</f>
        <v/>
      </c>
      <c r="FG46" s="1" t="str">
        <f ca="1">IFERROR(__xludf.DUMMYFUNCTION("if(FG$2="""","""", index(GOOGLEFINANCE($B$46,""close"",FG$2,TODAY()),2,2))"),"")</f>
        <v/>
      </c>
      <c r="FH46" s="1" t="str">
        <f ca="1">IFERROR(__xludf.DUMMYFUNCTION("if(FH$2="""","""", index(GOOGLEFINANCE($B$46,""close"",FH$2,TODAY()),2,2))"),"")</f>
        <v/>
      </c>
      <c r="FI46" s="1" t="str">
        <f ca="1">IFERROR(__xludf.DUMMYFUNCTION("if(FI$2="""","""", index(GOOGLEFINANCE($B$46,""close"",FI$2,TODAY()),2,2))"),"")</f>
        <v/>
      </c>
      <c r="FJ46" s="1" t="str">
        <f ca="1">IFERROR(__xludf.DUMMYFUNCTION("if(FJ$2="""","""", index(GOOGLEFINANCE($B$46,""close"",FJ$2,TODAY()),2,2))"),"")</f>
        <v/>
      </c>
      <c r="FK46" s="1" t="str">
        <f ca="1">IFERROR(__xludf.DUMMYFUNCTION("if(FK$2="""","""", index(GOOGLEFINANCE($B$46,""close"",FK$2,TODAY()),2,2))"),"")</f>
        <v/>
      </c>
      <c r="FL46" s="1" t="str">
        <f ca="1">IFERROR(__xludf.DUMMYFUNCTION("if(FL$2="""","""", index(GOOGLEFINANCE($B$46,""close"",FL$2,TODAY()),2,2))"),"")</f>
        <v/>
      </c>
      <c r="FM46" s="1" t="str">
        <f ca="1">IFERROR(__xludf.DUMMYFUNCTION("if(FM$2="""","""", index(GOOGLEFINANCE($B$46,""close"",FM$2,TODAY()),2,2))"),"")</f>
        <v/>
      </c>
      <c r="FN46" s="1" t="str">
        <f ca="1">IFERROR(__xludf.DUMMYFUNCTION("if(FN$2="""","""", index(GOOGLEFINANCE($B$46,""close"",FN$2,TODAY()),2,2))"),"")</f>
        <v/>
      </c>
      <c r="FO46" s="1" t="str">
        <f ca="1">IFERROR(__xludf.DUMMYFUNCTION("if(FO$2="""","""", index(GOOGLEFINANCE($B$46,""close"",FO$2,TODAY()),2,2))"),"")</f>
        <v/>
      </c>
      <c r="FP46" s="1" t="str">
        <f ca="1">IFERROR(__xludf.DUMMYFUNCTION("if(FP$2="""","""", index(GOOGLEFINANCE($B$46,""close"",FP$2,TODAY()),2,2))"),"")</f>
        <v/>
      </c>
      <c r="FQ46" s="1" t="str">
        <f ca="1">IFERROR(__xludf.DUMMYFUNCTION("if(FQ$2="""","""", index(GOOGLEFINANCE($B$46,""close"",FQ$2,TODAY()),2,2))"),"")</f>
        <v/>
      </c>
      <c r="FR46" s="1" t="str">
        <f ca="1">IFERROR(__xludf.DUMMYFUNCTION("if(FR$2="""","""", index(GOOGLEFINANCE($B$46,""close"",FR$2,TODAY()),2,2))"),"")</f>
        <v/>
      </c>
      <c r="FS46" s="1" t="str">
        <f ca="1">IFERROR(__xludf.DUMMYFUNCTION("if(FS$2="""","""", index(GOOGLEFINANCE($B$46,""close"",FS$2,TODAY()),2,2))"),"")</f>
        <v/>
      </c>
      <c r="FT46" s="1" t="str">
        <f ca="1">IFERROR(__xludf.DUMMYFUNCTION("if(FT$2="""","""", index(GOOGLEFINANCE($B$46,""close"",FT$2,TODAY()),2,2))"),"")</f>
        <v/>
      </c>
      <c r="FU46" s="1" t="str">
        <f ca="1">IFERROR(__xludf.DUMMYFUNCTION("if(FU$2="""","""", index(GOOGLEFINANCE($B$46,""close"",FU$2,TODAY()),2,2))"),"")</f>
        <v/>
      </c>
      <c r="FV46" s="1" t="str">
        <f ca="1">IFERROR(__xludf.DUMMYFUNCTION("if(FV$2="""","""", index(GOOGLEFINANCE($B$46,""close"",FV$2,TODAY()),2,2))"),"")</f>
        <v/>
      </c>
      <c r="FW46" s="1" t="str">
        <f ca="1">IFERROR(__xludf.DUMMYFUNCTION("if(FW$2="""","""", index(GOOGLEFINANCE($B$46,""close"",FW$2,TODAY()),2,2))"),"")</f>
        <v/>
      </c>
      <c r="FX46" s="1" t="str">
        <f ca="1">IFERROR(__xludf.DUMMYFUNCTION("if(FX$2="""","""", index(GOOGLEFINANCE($B$46,""close"",FX$2,TODAY()),2,2))"),"")</f>
        <v/>
      </c>
      <c r="FY46" s="1" t="str">
        <f ca="1">IFERROR(__xludf.DUMMYFUNCTION("if(FY$2="""","""", index(GOOGLEFINANCE($B$46,""close"",FY$2,TODAY()),2,2))"),"")</f>
        <v/>
      </c>
      <c r="FZ46" s="1" t="str">
        <f ca="1">IFERROR(__xludf.DUMMYFUNCTION("if(FZ$2="""","""", index(GOOGLEFINANCE($B$46,""close"",FZ$2,TODAY()),2,2))"),"")</f>
        <v/>
      </c>
      <c r="GA46" s="1" t="str">
        <f ca="1">IFERROR(__xludf.DUMMYFUNCTION("if(GA$2="""","""", index(GOOGLEFINANCE($B$46,""close"",GA$2,TODAY()),2,2))"),"")</f>
        <v/>
      </c>
      <c r="GB46" s="1" t="str">
        <f ca="1">IFERROR(__xludf.DUMMYFUNCTION("if(GB$2="""","""", index(GOOGLEFINANCE($B$46,""close"",GB$2,TODAY()),2,2))"),"")</f>
        <v/>
      </c>
      <c r="GC46" s="1" t="str">
        <f ca="1">IFERROR(__xludf.DUMMYFUNCTION("if(GC$2="""","""", index(GOOGLEFINANCE($B$46,""close"",GC$2,TODAY()),2,2))"),"")</f>
        <v/>
      </c>
      <c r="GD46" s="1" t="str">
        <f ca="1">IFERROR(__xludf.DUMMYFUNCTION("if(GD$2="""","""", index(GOOGLEFINANCE($B$46,""close"",GD$2,TODAY()),2,2))"),"")</f>
        <v/>
      </c>
      <c r="GE46" s="1" t="str">
        <f ca="1">IFERROR(__xludf.DUMMYFUNCTION("if(GE$2="""","""", index(GOOGLEFINANCE($B$46,""close"",GE$2,TODAY()),2,2))"),"")</f>
        <v/>
      </c>
      <c r="GF46" s="1" t="str">
        <f ca="1">IFERROR(__xludf.DUMMYFUNCTION("if(GF$2="""","""", index(GOOGLEFINANCE($B$46,""close"",GF$2,TODAY()),2,2))"),"")</f>
        <v/>
      </c>
      <c r="GG46" s="1" t="str">
        <f ca="1">IFERROR(__xludf.DUMMYFUNCTION("if(GG$2="""","""", index(GOOGLEFINANCE($B$46,""close"",GG$2,TODAY()),2,2))"),"")</f>
        <v/>
      </c>
      <c r="GH46" s="1" t="str">
        <f ca="1">IFERROR(__xludf.DUMMYFUNCTION("if(GH$2="""","""", index(GOOGLEFINANCE($B$46,""close"",GH$2,TODAY()),2,2))"),"")</f>
        <v/>
      </c>
      <c r="GI46" s="1" t="str">
        <f ca="1">IFERROR(__xludf.DUMMYFUNCTION("if(GI$2="""","""", index(GOOGLEFINANCE($B$46,""close"",GI$2,TODAY()),2,2))"),"")</f>
        <v/>
      </c>
      <c r="GJ46" s="1" t="str">
        <f ca="1">IFERROR(__xludf.DUMMYFUNCTION("if(GJ$2="""","""", index(GOOGLEFINANCE($B$46,""close"",GJ$2,TODAY()),2,2))"),"")</f>
        <v/>
      </c>
      <c r="GK46" s="1" t="str">
        <f ca="1">IFERROR(__xludf.DUMMYFUNCTION("if(GK$2="""","""", index(GOOGLEFINANCE($B$46,""close"",GK$2,TODAY()),2,2))"),"")</f>
        <v/>
      </c>
      <c r="GL46" s="1" t="str">
        <f ca="1">IFERROR(__xludf.DUMMYFUNCTION("if(GL$2="""","""", index(GOOGLEFINANCE($B$46,""close"",GL$2,TODAY()),2,2))"),"")</f>
        <v/>
      </c>
      <c r="GM46" s="1" t="str">
        <f ca="1">IFERROR(__xludf.DUMMYFUNCTION("if(GM$2="""","""", index(GOOGLEFINANCE($B$46,""close"",GM$2,TODAY()),2,2))"),"")</f>
        <v/>
      </c>
      <c r="GN46" s="1" t="str">
        <f ca="1">IFERROR(__xludf.DUMMYFUNCTION("if(GN$2="""","""", index(GOOGLEFINANCE($B$46,""close"",GN$2,TODAY()),2,2))"),"")</f>
        <v/>
      </c>
      <c r="GO46" s="1" t="str">
        <f ca="1">IFERROR(__xludf.DUMMYFUNCTION("if(GO$2="""","""", index(GOOGLEFINANCE($B$46,""close"",GO$2,TODAY()),2,2))"),"")</f>
        <v/>
      </c>
      <c r="GP46" s="1" t="str">
        <f ca="1">IFERROR(__xludf.DUMMYFUNCTION("if(GP$2="""","""", index(GOOGLEFINANCE($B$46,""close"",GP$2,TODAY()),2,2))"),"")</f>
        <v/>
      </c>
      <c r="GQ46" s="1" t="str">
        <f ca="1">IFERROR(__xludf.DUMMYFUNCTION("if(GQ$2="""","""", index(GOOGLEFINANCE($B$46,""close"",GQ$2,TODAY()),2,2))"),"")</f>
        <v/>
      </c>
      <c r="GR46" s="1" t="str">
        <f ca="1">IFERROR(__xludf.DUMMYFUNCTION("if(GR$2="""","""", index(GOOGLEFINANCE($B$46,""close"",GR$2,TODAY()),2,2))"),"")</f>
        <v/>
      </c>
      <c r="GS46" s="1" t="str">
        <f ca="1">IFERROR(__xludf.DUMMYFUNCTION("if(GS$2="""","""", index(GOOGLEFINANCE($B$46,""close"",GS$2,TODAY()),2,2))"),"")</f>
        <v/>
      </c>
      <c r="GT46" s="1" t="str">
        <f ca="1">IFERROR(__xludf.DUMMYFUNCTION("if(GT$2="""","""", index(GOOGLEFINANCE($B$46,""close"",GT$2,TODAY()),2,2))"),"")</f>
        <v/>
      </c>
      <c r="GU46" s="1" t="str">
        <f ca="1">IFERROR(__xludf.DUMMYFUNCTION("if(GU$2="""","""", index(GOOGLEFINANCE($B$46,""close"",GU$2,TODAY()),2,2))"),"")</f>
        <v/>
      </c>
      <c r="GV46" s="1" t="str">
        <f ca="1">IFERROR(__xludf.DUMMYFUNCTION("if(GV$2="""","""", index(GOOGLEFINANCE($B$46,""close"",GV$2,TODAY()),2,2))"),"")</f>
        <v/>
      </c>
      <c r="GW46" s="1" t="str">
        <f ca="1">IFERROR(__xludf.DUMMYFUNCTION("if(GW$2="""","""", index(GOOGLEFINANCE($B$46,""close"",GW$2,TODAY()),2,2))"),"")</f>
        <v/>
      </c>
      <c r="GX46" s="1" t="str">
        <f ca="1">IFERROR(__xludf.DUMMYFUNCTION("if(GX$2="""","""", index(GOOGLEFINANCE($B$46,""close"",GX$2,TODAY()),2,2))"),"")</f>
        <v/>
      </c>
      <c r="GY46" s="1" t="str">
        <f ca="1">IFERROR(__xludf.DUMMYFUNCTION("if(GY$2="""","""", index(GOOGLEFINANCE($B$46,""close"",GY$2,TODAY()),2,2))"),"")</f>
        <v/>
      </c>
      <c r="GZ46" s="1" t="str">
        <f ca="1">IFERROR(__xludf.DUMMYFUNCTION("if(GZ$2="""","""", index(GOOGLEFINANCE($B$46,""close"",GZ$2,TODAY()),2,2))"),"")</f>
        <v/>
      </c>
      <c r="HA46" s="1" t="str">
        <f ca="1">IFERROR(__xludf.DUMMYFUNCTION("if(HA$2="""","""", index(GOOGLEFINANCE($B$46,""close"",HA$2,TODAY()),2,2))"),"")</f>
        <v/>
      </c>
      <c r="HB46" s="1" t="str">
        <f ca="1">IFERROR(__xludf.DUMMYFUNCTION("if(HB$2="""","""", index(GOOGLEFINANCE($B$46,""close"",HB$2,TODAY()),2,2))"),"")</f>
        <v/>
      </c>
      <c r="HC46" s="1" t="str">
        <f ca="1">IFERROR(__xludf.DUMMYFUNCTION("if(HC$2="""","""", index(GOOGLEFINANCE($B$46,""close"",HC$2,TODAY()),2,2))"),"")</f>
        <v/>
      </c>
      <c r="HD46" s="1" t="str">
        <f ca="1">IFERROR(__xludf.DUMMYFUNCTION("if(HD$2="""","""", index(GOOGLEFINANCE($B$46,""close"",HD$2,TODAY()),2,2))"),"")</f>
        <v/>
      </c>
      <c r="HE46" s="1" t="str">
        <f ca="1">IFERROR(__xludf.DUMMYFUNCTION("if(HE$2="""","""", index(GOOGLEFINANCE($B$46,""close"",HE$2,TODAY()),2,2))"),"")</f>
        <v/>
      </c>
      <c r="HF46" s="1" t="str">
        <f ca="1">IFERROR(__xludf.DUMMYFUNCTION("if(HF$2="""","""", index(GOOGLEFINANCE($B$46,""close"",HF$2,TODAY()),2,2))"),"")</f>
        <v/>
      </c>
      <c r="HG46" s="1" t="str">
        <f ca="1">IFERROR(__xludf.DUMMYFUNCTION("if(HG$2="""","""", index(GOOGLEFINANCE($B$46,""close"",HG$2,TODAY()),2,2))"),"")</f>
        <v/>
      </c>
      <c r="HH46" s="1" t="str">
        <f ca="1">IFERROR(__xludf.DUMMYFUNCTION("if(HH$2="""","""", index(GOOGLEFINANCE($B$46,""close"",HH$2,TODAY()),2,2))"),"")</f>
        <v/>
      </c>
      <c r="HI46" s="1" t="str">
        <f ca="1">IFERROR(__xludf.DUMMYFUNCTION("if(HI$2="""","""", index(GOOGLEFINANCE($B$46,""close"",HI$2,TODAY()),2,2))"),"")</f>
        <v/>
      </c>
      <c r="HJ46" s="1" t="str">
        <f ca="1">IFERROR(__xludf.DUMMYFUNCTION("if(HJ$2="""","""", index(GOOGLEFINANCE($B$46,""close"",HJ$2,TODAY()),2,2))"),"")</f>
        <v/>
      </c>
      <c r="HK46" s="1" t="str">
        <f ca="1">IFERROR(__xludf.DUMMYFUNCTION("if(HK$2="""","""", index(GOOGLEFINANCE($B$46,""close"",HK$2,TODAY()),2,2))"),"")</f>
        <v/>
      </c>
      <c r="HL46" s="1" t="str">
        <f ca="1">IFERROR(__xludf.DUMMYFUNCTION("if(HL$2="""","""", index(GOOGLEFINANCE($B$46,""close"",HL$2,TODAY()),2,2))"),"")</f>
        <v/>
      </c>
      <c r="HM46" s="1" t="str">
        <f ca="1">IFERROR(__xludf.DUMMYFUNCTION("if(HM$2="""","""", index(GOOGLEFINANCE($B$46,""close"",HM$2,TODAY()),2,2))"),"")</f>
        <v/>
      </c>
      <c r="HN46" s="1" t="str">
        <f ca="1">IFERROR(__xludf.DUMMYFUNCTION("if(HN$2="""","""", index(GOOGLEFINANCE($B$46,""close"",HN$2,TODAY()),2,2))"),"")</f>
        <v/>
      </c>
      <c r="HO46" s="1" t="str">
        <f ca="1">IFERROR(__xludf.DUMMYFUNCTION("if(HO$2="""","""", index(GOOGLEFINANCE($B$46,""close"",HO$2,TODAY()),2,2))"),"")</f>
        <v/>
      </c>
      <c r="HP46" s="1" t="str">
        <f ca="1">IFERROR(__xludf.DUMMYFUNCTION("if(HP$2="""","""", index(GOOGLEFINANCE($B$46,""close"",HP$2,TODAY()),2,2))"),"")</f>
        <v/>
      </c>
      <c r="HQ46" s="1" t="str">
        <f ca="1">IFERROR(__xludf.DUMMYFUNCTION("if(HQ$2="""","""", index(GOOGLEFINANCE($B$46,""close"",HQ$2,TODAY()),2,2))"),"")</f>
        <v/>
      </c>
      <c r="HR46" s="1" t="str">
        <f ca="1">IFERROR(__xludf.DUMMYFUNCTION("if(HR$2="""","""", index(GOOGLEFINANCE($B$46,""close"",HR$2,TODAY()),2,2))"),"")</f>
        <v/>
      </c>
      <c r="HS46" s="1" t="str">
        <f ca="1">IFERROR(__xludf.DUMMYFUNCTION("if(HS$2="""","""", index(GOOGLEFINANCE($B$46,""close"",HS$2,TODAY()),2,2))"),"")</f>
        <v/>
      </c>
      <c r="HT46" s="1" t="str">
        <f ca="1">IFERROR(__xludf.DUMMYFUNCTION("if(HT$2="""","""", index(GOOGLEFINANCE($B$46,""close"",HT$2,TODAY()),2,2))"),"")</f>
        <v/>
      </c>
      <c r="HU46" s="1" t="str">
        <f ca="1">IFERROR(__xludf.DUMMYFUNCTION("if(HU$2="""","""", index(GOOGLEFINANCE($B$46,""close"",HU$2,TODAY()),2,2))"),"")</f>
        <v/>
      </c>
      <c r="HV46" s="1" t="str">
        <f ca="1">IFERROR(__xludf.DUMMYFUNCTION("if(HV$2="""","""", index(GOOGLEFINANCE($B$46,""close"",HV$2,TODAY()),2,2))"),"")</f>
        <v/>
      </c>
      <c r="HW46" s="1" t="str">
        <f ca="1">IFERROR(__xludf.DUMMYFUNCTION("if(HW$2="""","""", index(GOOGLEFINANCE($B$46,""close"",HW$2,TODAY()),2,2))"),"")</f>
        <v/>
      </c>
      <c r="HX46" s="1" t="str">
        <f ca="1">IFERROR(__xludf.DUMMYFUNCTION("if(HX$2="""","""", index(GOOGLEFINANCE($B$46,""close"",HX$2,TODAY()),2,2))"),"")</f>
        <v/>
      </c>
      <c r="HY46" s="1" t="str">
        <f ca="1">IFERROR(__xludf.DUMMYFUNCTION("if(HY$2="""","""", index(GOOGLEFINANCE($B$46,""close"",HY$2,TODAY()),2,2))"),"")</f>
        <v/>
      </c>
      <c r="HZ46" s="1" t="str">
        <f ca="1">IFERROR(__xludf.DUMMYFUNCTION("if(HZ$2="""","""", index(GOOGLEFINANCE($B$46,""close"",HZ$2,TODAY()),2,2))"),"")</f>
        <v/>
      </c>
      <c r="IA46" s="1" t="str">
        <f ca="1">IFERROR(__xludf.DUMMYFUNCTION("if(IA$2="""","""", index(GOOGLEFINANCE($B$46,""close"",IA$2,TODAY()),2,2))"),"")</f>
        <v/>
      </c>
      <c r="IB46" s="1" t="str">
        <f ca="1">IFERROR(__xludf.DUMMYFUNCTION("if(IB$2="""","""", index(GOOGLEFINANCE($B$46,""close"",IB$2,TODAY()),2,2))"),"")</f>
        <v/>
      </c>
      <c r="IC46" s="1" t="str">
        <f ca="1">IFERROR(__xludf.DUMMYFUNCTION("if(IC$2="""","""", index(GOOGLEFINANCE($B$46,""close"",IC$2,TODAY()),2,2))"),"")</f>
        <v/>
      </c>
      <c r="ID46" s="1" t="str">
        <f ca="1">IFERROR(__xludf.DUMMYFUNCTION("if(ID$2="""","""", index(GOOGLEFINANCE($B$46,""close"",ID$2,TODAY()),2,2))"),"")</f>
        <v/>
      </c>
      <c r="IE46" s="1" t="str">
        <f ca="1">IFERROR(__xludf.DUMMYFUNCTION("if(IE$2="""","""", index(GOOGLEFINANCE($B$46,""close"",IE$2,TODAY()),2,2))"),"")</f>
        <v/>
      </c>
      <c r="IF46" s="1" t="str">
        <f ca="1">IFERROR(__xludf.DUMMYFUNCTION("if(IF$2="""","""", index(GOOGLEFINANCE($B$46,""close"",IF$2,TODAY()),2,2))"),"")</f>
        <v/>
      </c>
      <c r="IG46" s="1" t="str">
        <f ca="1">IFERROR(__xludf.DUMMYFUNCTION("if(IG$2="""","""", index(GOOGLEFINANCE($B$46,""close"",IG$2,TODAY()),2,2))"),"")</f>
        <v/>
      </c>
      <c r="IH46" s="1" t="str">
        <f ca="1">IFERROR(__xludf.DUMMYFUNCTION("if(IH$2="""","""", index(GOOGLEFINANCE($B$46,""close"",IH$2,TODAY()),2,2))"),"")</f>
        <v/>
      </c>
      <c r="II46" s="1" t="str">
        <f ca="1">IFERROR(__xludf.DUMMYFUNCTION("if(II$2="""","""", index(GOOGLEFINANCE($B$46,""close"",II$2,TODAY()),2,2))"),"")</f>
        <v/>
      </c>
      <c r="IJ46" s="1" t="str">
        <f ca="1">IFERROR(__xludf.DUMMYFUNCTION("if(IJ$2="""","""", index(GOOGLEFINANCE($B$46,""close"",IJ$2,TODAY()),2,2))"),"")</f>
        <v/>
      </c>
      <c r="IK46" s="1" t="str">
        <f ca="1">IFERROR(__xludf.DUMMYFUNCTION("if(IK$2="""","""", index(GOOGLEFINANCE($B$46,""close"",IK$2,TODAY()),2,2))"),"")</f>
        <v/>
      </c>
      <c r="IL46" s="1" t="str">
        <f ca="1">IFERROR(__xludf.DUMMYFUNCTION("if(IL$2="""","""", index(GOOGLEFINANCE($B$46,""close"",IL$2,TODAY()),2,2))"),"")</f>
        <v/>
      </c>
      <c r="IM46" s="1" t="str">
        <f ca="1">IFERROR(__xludf.DUMMYFUNCTION("if(IM$2="""","""", index(GOOGLEFINANCE($B$46,""close"",IM$2,TODAY()),2,2))"),"")</f>
        <v/>
      </c>
      <c r="IN46" s="1" t="str">
        <f ca="1">IFERROR(__xludf.DUMMYFUNCTION("if(IN$2="""","""", index(GOOGLEFINANCE($B$46,""close"",IN$2,TODAY()),2,2))"),"")</f>
        <v/>
      </c>
      <c r="IO46" s="1" t="str">
        <f ca="1">IFERROR(__xludf.DUMMYFUNCTION("if(IO$2="""","""", index(GOOGLEFINANCE($B$46,""close"",IO$2,TODAY()),2,2))"),"")</f>
        <v/>
      </c>
      <c r="IP46" s="1" t="str">
        <f ca="1">IFERROR(__xludf.DUMMYFUNCTION("if(IP$2="""","""", index(GOOGLEFINANCE($B$46,""close"",IP$2,TODAY()),2,2))"),"")</f>
        <v/>
      </c>
      <c r="IQ46" s="1" t="str">
        <f ca="1">IFERROR(__xludf.DUMMYFUNCTION("if(IQ$2="""","""", index(GOOGLEFINANCE($B$46,""close"",IQ$2,TODAY()),2,2))"),"")</f>
        <v/>
      </c>
      <c r="IR46" s="1" t="str">
        <f ca="1">IFERROR(__xludf.DUMMYFUNCTION("if(IR$2="""","""", index(GOOGLEFINANCE($B$46,""close"",IR$2,TODAY()),2,2))"),"")</f>
        <v/>
      </c>
      <c r="IS46" s="1" t="str">
        <f ca="1">IFERROR(__xludf.DUMMYFUNCTION("if(IS$2="""","""", index(GOOGLEFINANCE($B$46,""close"",IS$2,TODAY()),2,2))"),"")</f>
        <v/>
      </c>
      <c r="IT46" s="1" t="str">
        <f ca="1">IFERROR(__xludf.DUMMYFUNCTION("if(IT$2="""","""", index(GOOGLEFINANCE($B$46,""close"",IT$2,TODAY()),2,2))"),"")</f>
        <v/>
      </c>
      <c r="IU46" s="1" t="str">
        <f ca="1">IFERROR(__xludf.DUMMYFUNCTION("if(IU$2="""","""", index(GOOGLEFINANCE($B$46,""close"",IU$2,TODAY()),2,2))"),"")</f>
        <v/>
      </c>
      <c r="IV46" s="1" t="str">
        <f ca="1">IFERROR(__xludf.DUMMYFUNCTION("if(IV$2="""","""", index(GOOGLEFINANCE($B$46,""close"",IV$2,TODAY()),2,2))"),"")</f>
        <v/>
      </c>
      <c r="IW46" s="1" t="str">
        <f ca="1">IFERROR(__xludf.DUMMYFUNCTION("if(IW$2="""","""", index(GOOGLEFINANCE($B$46,""close"",IW$2,TODAY()),2,2))"),"")</f>
        <v/>
      </c>
      <c r="IX46" s="1" t="str">
        <f ca="1">IFERROR(__xludf.DUMMYFUNCTION("if(IX$2="""","""", index(GOOGLEFINANCE($B$46,""close"",IX$2,TODAY()),2,2))"),"")</f>
        <v/>
      </c>
      <c r="IY46" s="1" t="str">
        <f ca="1">IFERROR(__xludf.DUMMYFUNCTION("if(IY$2="""","""", index(GOOGLEFINANCE($B$46,""close"",IY$2,TODAY()),2,2))"),"")</f>
        <v/>
      </c>
      <c r="IZ46" s="1" t="str">
        <f ca="1">IFERROR(__xludf.DUMMYFUNCTION("if(IZ$2="""","""", index(GOOGLEFINANCE($B$46,""close"",IZ$2,TODAY()),2,2))"),"")</f>
        <v/>
      </c>
      <c r="JA46" s="1" t="str">
        <f ca="1">IFERROR(__xludf.DUMMYFUNCTION("if(JA$2="""","""", index(GOOGLEFINANCE($B$46,""close"",JA$2,TODAY()),2,2))"),"")</f>
        <v/>
      </c>
      <c r="JB46" s="1" t="str">
        <f ca="1">IFERROR(__xludf.DUMMYFUNCTION("if(JB$2="""","""", index(GOOGLEFINANCE($B$46,""close"",JB$2,TODAY()),2,2))"),"")</f>
        <v/>
      </c>
      <c r="JC46" s="1" t="str">
        <f ca="1">IFERROR(__xludf.DUMMYFUNCTION("if(JC$2="""","""", index(GOOGLEFINANCE($B$46,""close"",JC$2,TODAY()),2,2))"),"")</f>
        <v/>
      </c>
      <c r="JD46" s="1" t="str">
        <f ca="1">IFERROR(__xludf.DUMMYFUNCTION("if(JD$2="""","""", index(GOOGLEFINANCE($B$46,""close"",JD$2,TODAY()),2,2))"),"")</f>
        <v/>
      </c>
      <c r="JE46" s="1" t="str">
        <f ca="1">IFERROR(__xludf.DUMMYFUNCTION("if(JE$2="""","""", index(GOOGLEFINANCE($B$46,""close"",JE$2,TODAY()),2,2))"),"")</f>
        <v/>
      </c>
      <c r="JF46" s="1" t="str">
        <f ca="1">IFERROR(__xludf.DUMMYFUNCTION("if(JF$2="""","""", index(GOOGLEFINANCE($B$46,""close"",JF$2,TODAY()),2,2))"),"")</f>
        <v/>
      </c>
      <c r="JG46" s="1" t="str">
        <f ca="1">IFERROR(__xludf.DUMMYFUNCTION("if(JG$2="""","""", index(GOOGLEFINANCE($B$46,""close"",JG$2,TODAY()),2,2))"),"")</f>
        <v/>
      </c>
      <c r="JH46" s="1" t="str">
        <f ca="1">IFERROR(__xludf.DUMMYFUNCTION("if(JH$2="""","""", index(GOOGLEFINANCE($B$46,""close"",JH$2,TODAY()),2,2))"),"")</f>
        <v/>
      </c>
      <c r="JI46" s="1" t="str">
        <f ca="1">IFERROR(__xludf.DUMMYFUNCTION("if(JI$2="""","""", index(GOOGLEFINANCE($B$46,""close"",JI$2,TODAY()),2,2))"),"")</f>
        <v/>
      </c>
      <c r="JJ46" s="1" t="str">
        <f ca="1">IFERROR(__xludf.DUMMYFUNCTION("if(JJ$2="""","""", index(GOOGLEFINANCE($B$46,""close"",JJ$2,TODAY()),2,2))"),"")</f>
        <v/>
      </c>
      <c r="JK46" s="1" t="str">
        <f ca="1">IFERROR(__xludf.DUMMYFUNCTION("if(JK$2="""","""", index(GOOGLEFINANCE($B$46,""close"",JK$2,TODAY()),2,2))"),"")</f>
        <v/>
      </c>
      <c r="JL46" s="1" t="str">
        <f ca="1">IFERROR(__xludf.DUMMYFUNCTION("if(JL$2="""","""", index(GOOGLEFINANCE($B$46,""close"",JL$2,TODAY()),2,2))"),"")</f>
        <v/>
      </c>
      <c r="JM46" s="1" t="str">
        <f ca="1">IFERROR(__xludf.DUMMYFUNCTION("if(JM$2="""","""", index(GOOGLEFINANCE($B$46,""close"",JM$2,TODAY()),2,2))"),"")</f>
        <v/>
      </c>
      <c r="JN46" s="1" t="str">
        <f ca="1">IFERROR(__xludf.DUMMYFUNCTION("if(JN$2="""","""", index(GOOGLEFINANCE($B$46,""close"",JN$2,TODAY()),2,2))"),"")</f>
        <v/>
      </c>
      <c r="JO46" s="1" t="str">
        <f ca="1">IFERROR(__xludf.DUMMYFUNCTION("if(JO$2="""","""", index(GOOGLEFINANCE($B$46,""close"",JO$2,TODAY()),2,2))"),"")</f>
        <v/>
      </c>
      <c r="JP46" s="1" t="str">
        <f ca="1">IFERROR(__xludf.DUMMYFUNCTION("if(JP$2="""","""", index(GOOGLEFINANCE($B$46,""close"",JP$2,TODAY()),2,2))"),"")</f>
        <v/>
      </c>
      <c r="JQ46" s="1" t="str">
        <f ca="1">IFERROR(__xludf.DUMMYFUNCTION("if(JQ$2="""","""", index(GOOGLEFINANCE($B$46,""close"",JQ$2,TODAY()),2,2))"),"")</f>
        <v/>
      </c>
      <c r="JR46" s="1" t="str">
        <f ca="1">IFERROR(__xludf.DUMMYFUNCTION("if(JR$2="""","""", index(GOOGLEFINANCE($B$46,""close"",JR$2,TODAY()),2,2))"),"")</f>
        <v/>
      </c>
      <c r="JS46" s="1" t="str">
        <f ca="1">IFERROR(__xludf.DUMMYFUNCTION("if(JS$2="""","""", index(GOOGLEFINANCE($B$46,""close"",JS$2,TODAY()),2,2))"),"")</f>
        <v/>
      </c>
      <c r="JT46" s="1" t="str">
        <f ca="1">IFERROR(__xludf.DUMMYFUNCTION("if(JT$2="""","""", index(GOOGLEFINANCE($B$46,""close"",JT$2,TODAY()),2,2))"),"")</f>
        <v/>
      </c>
      <c r="JU46" s="1" t="str">
        <f ca="1">IFERROR(__xludf.DUMMYFUNCTION("if(JU$2="""","""", index(GOOGLEFINANCE($B$46,""close"",JU$2,TODAY()),2,2))"),"")</f>
        <v/>
      </c>
      <c r="JV46" s="1" t="str">
        <f ca="1">IFERROR(__xludf.DUMMYFUNCTION("if(JV$2="""","""", index(GOOGLEFINANCE($B$46,""close"",JV$2,TODAY()),2,2))"),"")</f>
        <v/>
      </c>
      <c r="JW46" s="1" t="str">
        <f ca="1">IFERROR(__xludf.DUMMYFUNCTION("if(JW$2="""","""", index(GOOGLEFINANCE($B$46,""close"",JW$2,TODAY()),2,2))"),"")</f>
        <v/>
      </c>
      <c r="JX46" s="1" t="str">
        <f ca="1">IFERROR(__xludf.DUMMYFUNCTION("if(JX$2="""","""", index(GOOGLEFINANCE($B$46,""close"",JX$2,TODAY()),2,2))"),"")</f>
        <v/>
      </c>
      <c r="JY46" s="1" t="str">
        <f ca="1">IFERROR(__xludf.DUMMYFUNCTION("if(JY$2="""","""", index(GOOGLEFINANCE($B$46,""close"",JY$2,TODAY()),2,2))"),"")</f>
        <v/>
      </c>
      <c r="JZ46" s="1" t="str">
        <f ca="1">IFERROR(__xludf.DUMMYFUNCTION("if(JZ$2="""","""", index(GOOGLEFINANCE($B$46,""close"",JZ$2,TODAY()),2,2))"),"")</f>
        <v/>
      </c>
      <c r="KA46" s="1" t="str">
        <f ca="1">IFERROR(__xludf.DUMMYFUNCTION("if(KA$2="""","""", index(GOOGLEFINANCE($B$46,""close"",KA$2,TODAY()),2,2))"),"")</f>
        <v/>
      </c>
      <c r="KB46" s="1" t="str">
        <f ca="1">IFERROR(__xludf.DUMMYFUNCTION("if(KB$2="""","""", index(GOOGLEFINANCE($B$46,""close"",KB$2,TODAY()),2,2))"),"")</f>
        <v/>
      </c>
      <c r="KC46" s="1" t="str">
        <f ca="1">IFERROR(__xludf.DUMMYFUNCTION("if(KC$2="""","""", index(GOOGLEFINANCE($B$46,""close"",KC$2,TODAY()),2,2))"),"")</f>
        <v/>
      </c>
      <c r="KD46" s="1" t="str">
        <f ca="1">IFERROR(__xludf.DUMMYFUNCTION("if(KD$2="""","""", index(GOOGLEFINANCE($B$46,""close"",KD$2,TODAY()),2,2))"),"")</f>
        <v/>
      </c>
      <c r="KE46" s="1" t="str">
        <f ca="1">IFERROR(__xludf.DUMMYFUNCTION("if(KE$2="""","""", index(GOOGLEFINANCE($B$46,""close"",KE$2,TODAY()),2,2))"),"")</f>
        <v/>
      </c>
      <c r="KF46" s="1" t="str">
        <f ca="1">IFERROR(__xludf.DUMMYFUNCTION("if(KF$2="""","""", index(GOOGLEFINANCE($B$46,""close"",KF$2,TODAY()),2,2))"),"")</f>
        <v/>
      </c>
      <c r="KG46" s="1" t="str">
        <f ca="1">IFERROR(__xludf.DUMMYFUNCTION("if(KG$2="""","""", index(GOOGLEFINANCE($B$46,""close"",KG$2,TODAY()),2,2))"),"")</f>
        <v/>
      </c>
    </row>
    <row r="47" spans="1:293" ht="15.75" customHeight="1">
      <c r="A47" s="18" t="s">
        <v>30</v>
      </c>
      <c r="B47" s="6" t="s">
        <v>89</v>
      </c>
      <c r="C47" s="1">
        <f ca="1">IFERROR(__xludf.DUMMYFUNCTION("if(C$2="""","""", index(GOOGLEFINANCE($B$47,""close"",C$2,TODAY()),2,2))"),2.8)</f>
        <v>2.8</v>
      </c>
      <c r="D47" s="1">
        <f ca="1">IFERROR(__xludf.DUMMYFUNCTION("if(D$2="""","""", index(GOOGLEFINANCE($B$47,""close"",D$2,TODAY()),2,2))"),2.8)</f>
        <v>2.8</v>
      </c>
      <c r="E47" s="1">
        <f ca="1">IFERROR(__xludf.DUMMYFUNCTION("if(E$2="""","""", index(GOOGLEFINANCE($B$47,""close"",E$2,TODAY()),2,2))"),2.91)</f>
        <v>2.91</v>
      </c>
      <c r="F47" s="1">
        <f ca="1">IFERROR(__xludf.DUMMYFUNCTION("if(F$2="""","""", index(GOOGLEFINANCE($B$47,""close"",F$2,TODAY()),2,2))"),2.77)</f>
        <v>2.77</v>
      </c>
      <c r="G47" s="1">
        <f ca="1">IFERROR(__xludf.DUMMYFUNCTION("if(G$2="""","""", index(GOOGLEFINANCE($B$47,""close"",G$2,TODAY()),2,2))"),2.73)</f>
        <v>2.73</v>
      </c>
      <c r="H47" s="1">
        <f ca="1">IFERROR(__xludf.DUMMYFUNCTION("if(H$2="""","""", index(GOOGLEFINANCE($B$47,""close"",H$2,TODAY()),2,2))"),2.7)</f>
        <v>2.7</v>
      </c>
      <c r="I47" s="1">
        <f ca="1">IFERROR(__xludf.DUMMYFUNCTION("if(I$2="""","""", index(GOOGLEFINANCE($B$47,""close"",I$2,TODAY()),2,2))"),2.66)</f>
        <v>2.66</v>
      </c>
      <c r="J47" s="1">
        <f ca="1">IFERROR(__xludf.DUMMYFUNCTION("if(J$2="""","""", index(GOOGLEFINANCE($B$47,""close"",J$2,TODAY()),2,2))"),2.79)</f>
        <v>2.79</v>
      </c>
      <c r="K47" s="1">
        <f ca="1">IFERROR(__xludf.DUMMYFUNCTION("if(K$2="""","""", index(GOOGLEFINANCE($B$47,""close"",K$2,TODAY()),2,2))"),2.82)</f>
        <v>2.82</v>
      </c>
      <c r="L47" s="1">
        <f ca="1">IFERROR(__xludf.DUMMYFUNCTION("if(L$2="""","""", index(GOOGLEFINANCE($B$47,""close"",L$2,TODAY()),2,2))"),2.76)</f>
        <v>2.76</v>
      </c>
      <c r="M47" s="1">
        <f ca="1">IFERROR(__xludf.DUMMYFUNCTION("if(M$2="""","""", index(GOOGLEFINANCE($B$47,""close"",M$2,TODAY()),2,2))"),2.74)</f>
        <v>2.74</v>
      </c>
      <c r="N47" s="1">
        <f ca="1">IFERROR(__xludf.DUMMYFUNCTION("if(N$2="""","""", index(GOOGLEFINANCE($B$47,""close"",N$2,TODAY()),2,2))"),2.72)</f>
        <v>2.72</v>
      </c>
      <c r="O47" s="1">
        <f ca="1">IFERROR(__xludf.DUMMYFUNCTION("if(O$2="""","""", index(GOOGLEFINANCE($B$47,""close"",O$2,TODAY()),2,2))"),2.64)</f>
        <v>2.64</v>
      </c>
      <c r="P47" s="1">
        <f ca="1">IFERROR(__xludf.DUMMYFUNCTION("if(P$2="""","""", index(GOOGLEFINANCE($B$47,""close"",P$2,TODAY()),2,2))"),2.61)</f>
        <v>2.61</v>
      </c>
      <c r="Q47" s="1">
        <f ca="1">IFERROR(__xludf.DUMMYFUNCTION("if(Q$2="""","""", index(GOOGLEFINANCE($B$47,""close"",Q$2,TODAY()),2,2))"),2.66)</f>
        <v>2.66</v>
      </c>
      <c r="R47" s="1">
        <f ca="1">IFERROR(__xludf.DUMMYFUNCTION("if(R$2="""","""", index(GOOGLEFINANCE($B$47,""close"",R$2,TODAY()),2,2))"),2.52)</f>
        <v>2.52</v>
      </c>
      <c r="S47" s="1">
        <f ca="1">IFERROR(__xludf.DUMMYFUNCTION("if(S$2="""","""", index(GOOGLEFINANCE($B$47,""close"",S$2,TODAY()),2,2))"),2.44)</f>
        <v>2.44</v>
      </c>
      <c r="T47" s="1">
        <f ca="1">IFERROR(__xludf.DUMMYFUNCTION("if(T$2="""","""", index(GOOGLEFINANCE($B$47,""close"",T$2,TODAY()),2,2))"),2.28)</f>
        <v>2.2799999999999998</v>
      </c>
      <c r="U47" s="1">
        <f ca="1">IFERROR(__xludf.DUMMYFUNCTION("if(U$2="""","""", index(GOOGLEFINANCE($B$47,""close"",U$2,TODAY()),2,2))"),2.22)</f>
        <v>2.2200000000000002</v>
      </c>
      <c r="V47" s="1">
        <f ca="1">IFERROR(__xludf.DUMMYFUNCTION("if(V$2="""","""", index(GOOGLEFINANCE($B$47,""close"",V$2,TODAY()),2,2))"),2.25)</f>
        <v>2.25</v>
      </c>
      <c r="W47" s="1">
        <f ca="1">IFERROR(__xludf.DUMMYFUNCTION("if(W$2="""","""", index(GOOGLEFINANCE($B$47,""close"",W$2,TODAY()),2,2))"),2.28)</f>
        <v>2.2799999999999998</v>
      </c>
      <c r="X47" s="1">
        <f ca="1">IFERROR(__xludf.DUMMYFUNCTION("if(X$2="""","""", index(GOOGLEFINANCE($B$47,""close"",X$2,TODAY()),2,2))"),2.16)</f>
        <v>2.16</v>
      </c>
      <c r="Y47" s="1">
        <f ca="1">IFERROR(__xludf.DUMMYFUNCTION("if(Y$2="""","""", index(GOOGLEFINANCE($B$47,""close"",Y$2,TODAY()),2,2))"),2.05)</f>
        <v>2.0499999999999998</v>
      </c>
      <c r="Z47" s="1">
        <f ca="1">IFERROR(__xludf.DUMMYFUNCTION("if(Z$2="""","""", index(GOOGLEFINANCE($B$47,""close"",Z$2,TODAY()),2,2))"),2.14)</f>
        <v>2.14</v>
      </c>
      <c r="AA47" s="1">
        <f ca="1">IFERROR(__xludf.DUMMYFUNCTION("if(AA$2="""","""", index(GOOGLEFINANCE($B$47,""close"",AA$2,TODAY()),2,2))"),2.16)</f>
        <v>2.16</v>
      </c>
      <c r="AB47" s="1">
        <f ca="1">IFERROR(__xludf.DUMMYFUNCTION("if(AB$2="""","""", index(GOOGLEFINANCE($B$47,""close"",AB$2,TODAY()),2,2))"),2.27)</f>
        <v>2.27</v>
      </c>
      <c r="AC47" s="1">
        <f ca="1">IFERROR(__xludf.DUMMYFUNCTION("if(AC$2="""","""", index(GOOGLEFINANCE($B$47,""close"",AC$2,TODAY()),2,2))"),2.39)</f>
        <v>2.39</v>
      </c>
      <c r="AD47" s="1">
        <f ca="1">IFERROR(__xludf.DUMMYFUNCTION("if(AD$2="""","""", index(GOOGLEFINANCE($B$47,""close"",AD$2,TODAY()),2,2))"),2.24)</f>
        <v>2.2400000000000002</v>
      </c>
      <c r="AE47" s="1">
        <f ca="1">IFERROR(__xludf.DUMMYFUNCTION("if(AE$2="""","""", index(GOOGLEFINANCE($B$47,""close"",AE$2,TODAY()),2,2))"),2.12)</f>
        <v>2.12</v>
      </c>
      <c r="AF47" s="1">
        <f ca="1">IFERROR(__xludf.DUMMYFUNCTION("if(AF$2="""","""", index(GOOGLEFINANCE($B$47,""close"",AF$2,TODAY()),2,2))"),2.06)</f>
        <v>2.06</v>
      </c>
      <c r="AG47" s="1">
        <f ca="1">IFERROR(__xludf.DUMMYFUNCTION("if(AG$2="""","""", index(GOOGLEFINANCE($B$47,""close"",AG$2,TODAY()),2,2))"),2.22)</f>
        <v>2.2200000000000002</v>
      </c>
      <c r="AH47" s="1">
        <f ca="1">IFERROR(__xludf.DUMMYFUNCTION("if(AH$2="""","""", index(GOOGLEFINANCE($B$47,""close"",AH$2,TODAY()),2,2))"),2.17)</f>
        <v>2.17</v>
      </c>
      <c r="AI47" s="1">
        <f ca="1">IFERROR(__xludf.DUMMYFUNCTION("if(AI$2="""","""", index(GOOGLEFINANCE($B$47,""close"",AI$2,TODAY()),2,2))"),2.1)</f>
        <v>2.1</v>
      </c>
      <c r="AJ47" s="1">
        <f ca="1">IFERROR(__xludf.DUMMYFUNCTION("if(AJ$2="""","""", index(GOOGLEFINANCE($B$47,""close"",AJ$2,TODAY()),2,2))"),2.12)</f>
        <v>2.12</v>
      </c>
      <c r="AK47" s="1">
        <f ca="1">IFERROR(__xludf.DUMMYFUNCTION("if(AK$2="""","""", index(GOOGLEFINANCE($B$47,""close"",AK$2,TODAY()),2,2))"),2)</f>
        <v>2</v>
      </c>
      <c r="AL47" s="1">
        <f ca="1">IFERROR(__xludf.DUMMYFUNCTION("if(AL$2="""","""", index(GOOGLEFINANCE($B$47,""close"",AL$2,TODAY()),2,2))"),2)</f>
        <v>2</v>
      </c>
      <c r="AM47" s="1">
        <f ca="1">IFERROR(__xludf.DUMMYFUNCTION("if(AM$2="""","""", index(GOOGLEFINANCE($B$47,""close"",AM$2,TODAY()),2,2))"),2)</f>
        <v>2</v>
      </c>
      <c r="AN47" s="1">
        <f ca="1">IFERROR(__xludf.DUMMYFUNCTION("if(AN$2="""","""", index(GOOGLEFINANCE($B$47,""close"",AN$2,TODAY()),2,2))"),2.11)</f>
        <v>2.11</v>
      </c>
      <c r="AO47" s="1">
        <f ca="1">IFERROR(__xludf.DUMMYFUNCTION("if(AO$2="""","""", index(GOOGLEFINANCE($B$47,""close"",AO$2,TODAY()),2,2))"),2.05)</f>
        <v>2.0499999999999998</v>
      </c>
      <c r="AP47" s="1">
        <f ca="1">IFERROR(__xludf.DUMMYFUNCTION("if(AP$2="""","""", index(GOOGLEFINANCE($B$47,""close"",AP$2,TODAY()),2,2))"),2.02)</f>
        <v>2.02</v>
      </c>
      <c r="AQ47" s="1">
        <f ca="1">IFERROR(__xludf.DUMMYFUNCTION("if(AQ$2="""","""", index(GOOGLEFINANCE($B$47,""close"",AQ$2,TODAY()),2,2))"),2)</f>
        <v>2</v>
      </c>
      <c r="AR47" s="1">
        <f ca="1">IFERROR(__xludf.DUMMYFUNCTION("if(AR$2="""","""", index(GOOGLEFINANCE($B$47,""close"",AR$2,TODAY()),2,2))"),2.09)</f>
        <v>2.09</v>
      </c>
      <c r="AS47" s="1">
        <f ca="1">IFERROR(__xludf.DUMMYFUNCTION("if(AS$2="""","""", index(GOOGLEFINANCE($B$47,""close"",AS$2,TODAY()),2,2))"),2.17)</f>
        <v>2.17</v>
      </c>
      <c r="AT47" s="1">
        <f ca="1">IFERROR(__xludf.DUMMYFUNCTION("if(AT$2="""","""", index(GOOGLEFINANCE($B$47,""close"",AT$2,TODAY()),2,2))"),2.23)</f>
        <v>2.23</v>
      </c>
      <c r="AU47" s="1">
        <f ca="1">IFERROR(__xludf.DUMMYFUNCTION("if(AU$2="""","""", index(GOOGLEFINANCE($B$47,""close"",AU$2,TODAY()),2,2))"),2.34)</f>
        <v>2.34</v>
      </c>
      <c r="AV47" s="1">
        <f ca="1">IFERROR(__xludf.DUMMYFUNCTION("if(AV$2="""","""", index(GOOGLEFINANCE($B$47,""close"",AV$2,TODAY()),2,2))"),1.6)</f>
        <v>1.6</v>
      </c>
      <c r="AW47" s="1">
        <f ca="1">IFERROR(__xludf.DUMMYFUNCTION("if(AW$2="""","""", index(GOOGLEFINANCE($B$47,""close"",AW$2,TODAY()),2,2))"),1.52)</f>
        <v>1.52</v>
      </c>
      <c r="AX47" s="1">
        <f ca="1">IFERROR(__xludf.DUMMYFUNCTION("if(AX$2="""","""", index(GOOGLEFINANCE($B$47,""close"",AX$2,TODAY()),2,2))"),1.45)</f>
        <v>1.45</v>
      </c>
      <c r="AY47" s="1">
        <f ca="1">IFERROR(__xludf.DUMMYFUNCTION("if(AY$2="""","""", index(GOOGLEFINANCE($B$47,""close"",AY$2,TODAY()),2,2))"),1.39)</f>
        <v>1.39</v>
      </c>
      <c r="AZ47" s="1">
        <f ca="1">IFERROR(__xludf.DUMMYFUNCTION("if(AZ$2="""","""", index(GOOGLEFINANCE($B$47,""close"",AZ$2,TODAY()),2,2))"),1.56)</f>
        <v>1.56</v>
      </c>
      <c r="BA47" s="1">
        <f ca="1">IFERROR(__xludf.DUMMYFUNCTION("if(BA$2="""","""", index(GOOGLEFINANCE($B$47,""close"",BA$2,TODAY()),2,2))"),1.6)</f>
        <v>1.6</v>
      </c>
      <c r="BB47" s="1">
        <f ca="1">IFERROR(__xludf.DUMMYFUNCTION("if(BB$2="""","""", index(GOOGLEFINANCE($B$47,""close"",BB$2,TODAY()),2,2))"),1.69)</f>
        <v>1.69</v>
      </c>
      <c r="BC47" s="1">
        <f ca="1">IFERROR(__xludf.DUMMYFUNCTION("if(BC$2="""","""", index(GOOGLEFINANCE($B$47,""close"",BC$2,TODAY()),2,2))"),1.73)</f>
        <v>1.73</v>
      </c>
      <c r="BD47" s="1">
        <f ca="1">IFERROR(__xludf.DUMMYFUNCTION("if(BD$2="""","""", index(GOOGLEFINANCE($B$47,""close"",BD$2,TODAY()),2,2))"),1.59)</f>
        <v>1.59</v>
      </c>
      <c r="BE47" s="1">
        <f ca="1">IFERROR(__xludf.DUMMYFUNCTION("if(BE$2="""","""", index(GOOGLEFINANCE($B$47,""close"",BE$2,TODAY()),2,2))"),1.6)</f>
        <v>1.6</v>
      </c>
      <c r="BF47" s="1">
        <f ca="1">IFERROR(__xludf.DUMMYFUNCTION("if(BF$2="""","""", index(GOOGLEFINANCE($B$47,""close"",BF$2,TODAY()),2,2))"),1.6)</f>
        <v>1.6</v>
      </c>
      <c r="BG47" s="1">
        <f ca="1">IFERROR(__xludf.DUMMYFUNCTION("if(BG$2="""","""", index(GOOGLEFINANCE($B$47,""close"",BG$2,TODAY()),2,2))"),1.59)</f>
        <v>1.59</v>
      </c>
      <c r="BH47" s="1">
        <f ca="1">IFERROR(__xludf.DUMMYFUNCTION("if(BH$2="""","""", index(GOOGLEFINANCE($B$47,""close"",BH$2,TODAY()),2,2))"),1.57)</f>
        <v>1.57</v>
      </c>
      <c r="BI47" s="1">
        <f ca="1">IFERROR(__xludf.DUMMYFUNCTION("if(BI$2="""","""", index(GOOGLEFINANCE($B$47,""close"",BI$2,TODAY()),2,2))"),1.48)</f>
        <v>1.48</v>
      </c>
      <c r="BJ47" s="1">
        <f ca="1">IFERROR(__xludf.DUMMYFUNCTION("if(BJ$2="""","""", index(GOOGLEFINANCE($B$47,""close"",BJ$2,TODAY()),2,2))"),1.47)</f>
        <v>1.47</v>
      </c>
      <c r="BK47" s="1">
        <f ca="1">IFERROR(__xludf.DUMMYFUNCTION("if(BK$2="""","""", index(GOOGLEFINANCE($B$47,""close"",BK$2,TODAY()),2,2))"),1.46)</f>
        <v>1.46</v>
      </c>
      <c r="BL47" s="1">
        <f ca="1">IFERROR(__xludf.DUMMYFUNCTION("if(BL$2="""","""", index(GOOGLEFINANCE($B$47,""close"",BL$2,TODAY()),2,2))"),1.41)</f>
        <v>1.41</v>
      </c>
      <c r="BM47" s="1">
        <f ca="1">IFERROR(__xludf.DUMMYFUNCTION("if(BM$2="""","""", index(GOOGLEFINANCE($B$47,""close"",BM$2,TODAY()),2,2))"),1.48)</f>
        <v>1.48</v>
      </c>
      <c r="BN47" s="1">
        <f ca="1">IFERROR(__xludf.DUMMYFUNCTION("if(BN$2="""","""", index(GOOGLEFINANCE($B$47,""close"",BN$2,TODAY()),2,2))"),1.5)</f>
        <v>1.5</v>
      </c>
      <c r="BO47" s="1">
        <f ca="1">IFERROR(__xludf.DUMMYFUNCTION("if(BO$2="""","""", index(GOOGLEFINANCE($B$47,""close"",BO$2,TODAY()),2,2))"),1.49)</f>
        <v>1.49</v>
      </c>
      <c r="BP47" s="1">
        <f ca="1">IFERROR(__xludf.DUMMYFUNCTION("if(BP$2="""","""", index(GOOGLEFINANCE($B$47,""close"",BP$2,TODAY()),2,2))"),1.47)</f>
        <v>1.47</v>
      </c>
      <c r="BQ47" s="1">
        <f ca="1">IFERROR(__xludf.DUMMYFUNCTION("if(BQ$2="""","""", index(GOOGLEFINANCE($B$47,""close"",BQ$2,TODAY()),2,2))"),1.44)</f>
        <v>1.44</v>
      </c>
      <c r="BR47" s="1">
        <f ca="1">IFERROR(__xludf.DUMMYFUNCTION("if(BR$2="""","""", index(GOOGLEFINANCE($B$47,""close"",BR$2,TODAY()),2,2))"),1.46)</f>
        <v>1.46</v>
      </c>
      <c r="BS47" s="1">
        <f ca="1">IFERROR(__xludf.DUMMYFUNCTION("if(BS$2="""","""", index(GOOGLEFINANCE($B$47,""close"",BS$2,TODAY()),2,2))"),1.41)</f>
        <v>1.41</v>
      </c>
      <c r="BT47" s="1">
        <f ca="1">IFERROR(__xludf.DUMMYFUNCTION("if(BT$2="""","""", index(GOOGLEFINANCE($B$47,""close"",BT$2,TODAY()),2,2))"),1.42)</f>
        <v>1.42</v>
      </c>
      <c r="BU47" s="1">
        <f ca="1">IFERROR(__xludf.DUMMYFUNCTION("if(BU$2="""","""", index(GOOGLEFINANCE($B$47,""close"",BU$2,TODAY()),2,2))"),1.5)</f>
        <v>1.5</v>
      </c>
      <c r="BV47" s="1">
        <f ca="1">IFERROR(__xludf.DUMMYFUNCTION("if(BV$2="""","""", index(GOOGLEFINANCE($B$47,""close"",BV$2,TODAY()),2,2))"),1.46)</f>
        <v>1.46</v>
      </c>
      <c r="BW47" s="1">
        <f ca="1">IFERROR(__xludf.DUMMYFUNCTION("if(BW$2="""","""", index(GOOGLEFINANCE($B$47,""close"",BW$2,TODAY()),2,2))"),1.45)</f>
        <v>1.45</v>
      </c>
      <c r="BX47" s="1">
        <f ca="1">IFERROR(__xludf.DUMMYFUNCTION("if(BX$2="""","""", index(GOOGLEFINANCE($B$47,""close"",BX$2,TODAY()),2,2))"),1.49)</f>
        <v>1.49</v>
      </c>
      <c r="BY47" s="1">
        <f ca="1">IFERROR(__xludf.DUMMYFUNCTION("if(BY$2="""","""", index(GOOGLEFINANCE($B$47,""close"",BY$2,TODAY()),2,2))"),1.56)</f>
        <v>1.56</v>
      </c>
      <c r="BZ47" s="1">
        <f ca="1">IFERROR(__xludf.DUMMYFUNCTION("if(BZ$2="""","""", index(GOOGLEFINANCE($B$47,""close"",BZ$2,TODAY()),2,2))"),1.53)</f>
        <v>1.53</v>
      </c>
      <c r="CA47" s="1">
        <f ca="1">IFERROR(__xludf.DUMMYFUNCTION("if(CA$2="""","""", index(GOOGLEFINANCE($B$47,""close"",CA$2,TODAY()),2,2))"),1.44)</f>
        <v>1.44</v>
      </c>
      <c r="CB47" s="1">
        <f ca="1">IFERROR(__xludf.DUMMYFUNCTION("if(CB$2="""","""", index(GOOGLEFINANCE($B$47,""close"",CB$2,TODAY()),2,2))"),1.49)</f>
        <v>1.49</v>
      </c>
      <c r="CC47" s="1">
        <f ca="1">IFERROR(__xludf.DUMMYFUNCTION("if(CC$2="""","""", index(GOOGLEFINANCE($B$47,""close"",CC$2,TODAY()),2,2))"),1.5)</f>
        <v>1.5</v>
      </c>
      <c r="CD47" s="1">
        <f ca="1">IFERROR(__xludf.DUMMYFUNCTION("if(CD$2="""","""", index(GOOGLEFINANCE($B$47,""close"",CD$2,TODAY()),2,2))"),1.58)</f>
        <v>1.58</v>
      </c>
      <c r="CE47" s="1">
        <f ca="1">IFERROR(__xludf.DUMMYFUNCTION("if(CE$2="""","""", index(GOOGLEFINANCE($B$47,""close"",CE$2,TODAY()),2,2))"),1.61)</f>
        <v>1.61</v>
      </c>
      <c r="CF47" s="1">
        <f ca="1">IFERROR(__xludf.DUMMYFUNCTION("if(CF$2="""","""", index(GOOGLEFINANCE($B$47,""close"",CF$2,TODAY()),2,2))"),1.66)</f>
        <v>1.66</v>
      </c>
      <c r="CG47" s="1">
        <f ca="1">IFERROR(__xludf.DUMMYFUNCTION("if(CG$2="""","""", index(GOOGLEFINANCE($B$47,""close"",CG$2,TODAY()),2,2))"),1.55)</f>
        <v>1.55</v>
      </c>
      <c r="CH47" s="1">
        <f ca="1">IFERROR(__xludf.DUMMYFUNCTION("if(CH$2="""","""", index(GOOGLEFINANCE($B$47,""close"",CH$2,TODAY()),2,2))"),1.57)</f>
        <v>1.57</v>
      </c>
      <c r="CI47" s="1">
        <f ca="1">IFERROR(__xludf.DUMMYFUNCTION("if(CI$2="""","""", index(GOOGLEFINANCE($B$47,""close"",CI$2,TODAY()),2,2))"),1.63)</f>
        <v>1.63</v>
      </c>
      <c r="CJ47" s="1" t="str">
        <f ca="1">IFERROR(__xludf.DUMMYFUNCTION("if(CJ$2="""","""", index(GOOGLEFINANCE($B$47,""close"",CJ$2,TODAY()),2,2))"),"")</f>
        <v/>
      </c>
      <c r="CK47" s="1" t="str">
        <f ca="1">IFERROR(__xludf.DUMMYFUNCTION("if(CK$2="""","""", index(GOOGLEFINANCE($B$47,""close"",CK$2,TODAY()),2,2))"),"")</f>
        <v/>
      </c>
      <c r="CL47" s="1" t="str">
        <f ca="1">IFERROR(__xludf.DUMMYFUNCTION("if(CL$2="""","""", index(GOOGLEFINANCE($B$47,""close"",CL$2,TODAY()),2,2))"),"")</f>
        <v/>
      </c>
      <c r="CM47" s="1" t="str">
        <f ca="1">IFERROR(__xludf.DUMMYFUNCTION("if(CM$2="""","""", index(GOOGLEFINANCE($B$47,""close"",CM$2,TODAY()),2,2))"),"")</f>
        <v/>
      </c>
      <c r="CN47" s="1" t="str">
        <f ca="1">IFERROR(__xludf.DUMMYFUNCTION("if(CN$2="""","""", index(GOOGLEFINANCE($B$47,""close"",CN$2,TODAY()),2,2))"),"")</f>
        <v/>
      </c>
      <c r="CO47" s="1" t="str">
        <f ca="1">IFERROR(__xludf.DUMMYFUNCTION("if(CO$2="""","""", index(GOOGLEFINANCE($B$47,""close"",CO$2,TODAY()),2,2))"),"")</f>
        <v/>
      </c>
      <c r="CP47" s="1" t="str">
        <f ca="1">IFERROR(__xludf.DUMMYFUNCTION("if(CP$2="""","""", index(GOOGLEFINANCE($B$47,""close"",CP$2,TODAY()),2,2))"),"")</f>
        <v/>
      </c>
      <c r="CQ47" s="1" t="str">
        <f ca="1">IFERROR(__xludf.DUMMYFUNCTION("if(CQ$2="""","""", index(GOOGLEFINANCE($B$47,""close"",CQ$2,TODAY()),2,2))"),"")</f>
        <v/>
      </c>
      <c r="CR47" s="1" t="str">
        <f ca="1">IFERROR(__xludf.DUMMYFUNCTION("if(CR$2="""","""", index(GOOGLEFINANCE($B$47,""close"",CR$2,TODAY()),2,2))"),"")</f>
        <v/>
      </c>
      <c r="CS47" s="1" t="str">
        <f ca="1">IFERROR(__xludf.DUMMYFUNCTION("if(CS$2="""","""", index(GOOGLEFINANCE($B$47,""close"",CS$2,TODAY()),2,2))"),"")</f>
        <v/>
      </c>
      <c r="CT47" s="1" t="str">
        <f ca="1">IFERROR(__xludf.DUMMYFUNCTION("if(CT$2="""","""", index(GOOGLEFINANCE($B$47,""close"",CT$2,TODAY()),2,2))"),"")</f>
        <v/>
      </c>
      <c r="CU47" s="1" t="str">
        <f ca="1">IFERROR(__xludf.DUMMYFUNCTION("if(CU$2="""","""", index(GOOGLEFINANCE($B$47,""close"",CU$2,TODAY()),2,2))"),"")</f>
        <v/>
      </c>
      <c r="CV47" s="1" t="str">
        <f ca="1">IFERROR(__xludf.DUMMYFUNCTION("if(CV$2="""","""", index(GOOGLEFINANCE($B$47,""close"",CV$2,TODAY()),2,2))"),"")</f>
        <v/>
      </c>
      <c r="CW47" s="1" t="str">
        <f ca="1">IFERROR(__xludf.DUMMYFUNCTION("if(CW$2="""","""", index(GOOGLEFINANCE($B$47,""close"",CW$2,TODAY()),2,2))"),"")</f>
        <v/>
      </c>
      <c r="CX47" s="1" t="str">
        <f ca="1">IFERROR(__xludf.DUMMYFUNCTION("if(CX$2="""","""", index(GOOGLEFINANCE($B$47,""close"",CX$2,TODAY()),2,2))"),"")</f>
        <v/>
      </c>
      <c r="CY47" s="1" t="str">
        <f ca="1">IFERROR(__xludf.DUMMYFUNCTION("if(CY$2="""","""", index(GOOGLEFINANCE($B$47,""close"",CY$2,TODAY()),2,2))"),"")</f>
        <v/>
      </c>
      <c r="CZ47" s="1" t="str">
        <f ca="1">IFERROR(__xludf.DUMMYFUNCTION("if(CZ$2="""","""", index(GOOGLEFINANCE($B$47,""close"",CZ$2,TODAY()),2,2))"),"")</f>
        <v/>
      </c>
      <c r="DA47" s="1" t="str">
        <f ca="1">IFERROR(__xludf.DUMMYFUNCTION("if(DA$2="""","""", index(GOOGLEFINANCE($B$47,""close"",DA$2,TODAY()),2,2))"),"")</f>
        <v/>
      </c>
      <c r="DB47" s="1" t="str">
        <f ca="1">IFERROR(__xludf.DUMMYFUNCTION("if(DB$2="""","""", index(GOOGLEFINANCE($B$47,""close"",DB$2,TODAY()),2,2))"),"")</f>
        <v/>
      </c>
      <c r="DC47" s="1" t="str">
        <f ca="1">IFERROR(__xludf.DUMMYFUNCTION("if(DC$2="""","""", index(GOOGLEFINANCE($B$47,""close"",DC$2,TODAY()),2,2))"),"")</f>
        <v/>
      </c>
      <c r="DD47" s="1" t="str">
        <f ca="1">IFERROR(__xludf.DUMMYFUNCTION("if(DD$2="""","""", index(GOOGLEFINANCE($B$47,""close"",DD$2,TODAY()),2,2))"),"")</f>
        <v/>
      </c>
      <c r="DE47" s="1" t="str">
        <f ca="1">IFERROR(__xludf.DUMMYFUNCTION("if(DE$2="""","""", index(GOOGLEFINANCE($B$47,""close"",DE$2,TODAY()),2,2))"),"")</f>
        <v/>
      </c>
      <c r="DF47" s="1" t="str">
        <f ca="1">IFERROR(__xludf.DUMMYFUNCTION("if(DF$2="""","""", index(GOOGLEFINANCE($B$47,""close"",DF$2,TODAY()),2,2))"),"")</f>
        <v/>
      </c>
      <c r="DG47" s="1" t="str">
        <f ca="1">IFERROR(__xludf.DUMMYFUNCTION("if(DG$2="""","""", index(GOOGLEFINANCE($B$47,""close"",DG$2,TODAY()),2,2))"),"")</f>
        <v/>
      </c>
      <c r="DH47" s="1" t="str">
        <f ca="1">IFERROR(__xludf.DUMMYFUNCTION("if(DH$2="""","""", index(GOOGLEFINANCE($B$47,""close"",DH$2,TODAY()),2,2))"),"")</f>
        <v/>
      </c>
      <c r="DI47" s="1" t="str">
        <f ca="1">IFERROR(__xludf.DUMMYFUNCTION("if(DI$2="""","""", index(GOOGLEFINANCE($B$47,""close"",DI$2,TODAY()),2,2))"),"")</f>
        <v/>
      </c>
      <c r="DJ47" s="1" t="str">
        <f ca="1">IFERROR(__xludf.DUMMYFUNCTION("if(DJ$2="""","""", index(GOOGLEFINANCE($B$47,""close"",DJ$2,TODAY()),2,2))"),"")</f>
        <v/>
      </c>
      <c r="DK47" s="1" t="str">
        <f ca="1">IFERROR(__xludf.DUMMYFUNCTION("if(DK$2="""","""", index(GOOGLEFINANCE($B$47,""close"",DK$2,TODAY()),2,2))"),"")</f>
        <v/>
      </c>
      <c r="DL47" s="1" t="str">
        <f ca="1">IFERROR(__xludf.DUMMYFUNCTION("if(DL$2="""","""", index(GOOGLEFINANCE($B$47,""close"",DL$2,TODAY()),2,2))"),"")</f>
        <v/>
      </c>
      <c r="DM47" s="1" t="str">
        <f ca="1">IFERROR(__xludf.DUMMYFUNCTION("if(DM$2="""","""", index(GOOGLEFINANCE($B$47,""close"",DM$2,TODAY()),2,2))"),"")</f>
        <v/>
      </c>
      <c r="DN47" s="1" t="str">
        <f ca="1">IFERROR(__xludf.DUMMYFUNCTION("if(DN$2="""","""", index(GOOGLEFINANCE($B$47,""close"",DN$2,TODAY()),2,2))"),"")</f>
        <v/>
      </c>
      <c r="DO47" s="1" t="str">
        <f ca="1">IFERROR(__xludf.DUMMYFUNCTION("if(DO$2="""","""", index(GOOGLEFINANCE($B$47,""close"",DO$2,TODAY()),2,2))"),"")</f>
        <v/>
      </c>
      <c r="DP47" s="1" t="str">
        <f ca="1">IFERROR(__xludf.DUMMYFUNCTION("if(DP$2="""","""", index(GOOGLEFINANCE($B$47,""close"",DP$2,TODAY()),2,2))"),"")</f>
        <v/>
      </c>
      <c r="DQ47" s="1" t="str">
        <f ca="1">IFERROR(__xludf.DUMMYFUNCTION("if(DQ$2="""","""", index(GOOGLEFINANCE($B$47,""close"",DQ$2,TODAY()),2,2))"),"")</f>
        <v/>
      </c>
      <c r="DR47" s="1" t="str">
        <f ca="1">IFERROR(__xludf.DUMMYFUNCTION("if(DR$2="""","""", index(GOOGLEFINANCE($B$47,""close"",DR$2,TODAY()),2,2))"),"")</f>
        <v/>
      </c>
      <c r="DS47" s="1" t="str">
        <f ca="1">IFERROR(__xludf.DUMMYFUNCTION("if(DS$2="""","""", index(GOOGLEFINANCE($B$47,""close"",DS$2,TODAY()),2,2))"),"")</f>
        <v/>
      </c>
      <c r="DT47" s="1" t="str">
        <f ca="1">IFERROR(__xludf.DUMMYFUNCTION("if(DT$2="""","""", index(GOOGLEFINANCE($B$47,""close"",DT$2,TODAY()),2,2))"),"")</f>
        <v/>
      </c>
      <c r="DU47" s="1" t="str">
        <f ca="1">IFERROR(__xludf.DUMMYFUNCTION("if(DU$2="""","""", index(GOOGLEFINANCE($B$47,""close"",DU$2,TODAY()),2,2))"),"")</f>
        <v/>
      </c>
      <c r="DV47" s="1" t="str">
        <f ca="1">IFERROR(__xludf.DUMMYFUNCTION("if(DV$2="""","""", index(GOOGLEFINANCE($B$47,""close"",DV$2,TODAY()),2,2))"),"")</f>
        <v/>
      </c>
      <c r="DW47" s="1" t="str">
        <f ca="1">IFERROR(__xludf.DUMMYFUNCTION("if(DW$2="""","""", index(GOOGLEFINANCE($B$47,""close"",DW$2,TODAY()),2,2))"),"")</f>
        <v/>
      </c>
      <c r="DX47" s="1" t="str">
        <f ca="1">IFERROR(__xludf.DUMMYFUNCTION("if(DX$2="""","""", index(GOOGLEFINANCE($B$47,""close"",DX$2,TODAY()),2,2))"),"")</f>
        <v/>
      </c>
      <c r="DY47" s="1" t="str">
        <f ca="1">IFERROR(__xludf.DUMMYFUNCTION("if(DY$2="""","""", index(GOOGLEFINANCE($B$47,""close"",DY$2,TODAY()),2,2))"),"")</f>
        <v/>
      </c>
      <c r="DZ47" s="1" t="str">
        <f ca="1">IFERROR(__xludf.DUMMYFUNCTION("if(DZ$2="""","""", index(GOOGLEFINANCE($B$47,""close"",DZ$2,TODAY()),2,2))"),"")</f>
        <v/>
      </c>
      <c r="EA47" s="1" t="str">
        <f ca="1">IFERROR(__xludf.DUMMYFUNCTION("if(EA$2="""","""", index(GOOGLEFINANCE($B$47,""close"",EA$2,TODAY()),2,2))"),"")</f>
        <v/>
      </c>
      <c r="EB47" s="1" t="str">
        <f ca="1">IFERROR(__xludf.DUMMYFUNCTION("if(EB$2="""","""", index(GOOGLEFINANCE($B$47,""close"",EB$2,TODAY()),2,2))"),"")</f>
        <v/>
      </c>
      <c r="EC47" s="1" t="str">
        <f ca="1">IFERROR(__xludf.DUMMYFUNCTION("if(EC$2="""","""", index(GOOGLEFINANCE($B$47,""close"",EC$2,TODAY()),2,2))"),"")</f>
        <v/>
      </c>
      <c r="ED47" s="1" t="str">
        <f ca="1">IFERROR(__xludf.DUMMYFUNCTION("if(ED$2="""","""", index(GOOGLEFINANCE($B$47,""close"",ED$2,TODAY()),2,2))"),"")</f>
        <v/>
      </c>
      <c r="EE47" s="1" t="str">
        <f ca="1">IFERROR(__xludf.DUMMYFUNCTION("if(EE$2="""","""", index(GOOGLEFINANCE($B$47,""close"",EE$2,TODAY()),2,2))"),"")</f>
        <v/>
      </c>
      <c r="EF47" s="1" t="str">
        <f ca="1">IFERROR(__xludf.DUMMYFUNCTION("if(EF$2="""","""", index(GOOGLEFINANCE($B$47,""close"",EF$2,TODAY()),2,2))"),"")</f>
        <v/>
      </c>
      <c r="EG47" s="1" t="str">
        <f ca="1">IFERROR(__xludf.DUMMYFUNCTION("if(EG$2="""","""", index(GOOGLEFINANCE($B$47,""close"",EG$2,TODAY()),2,2))"),"")</f>
        <v/>
      </c>
      <c r="EH47" s="1" t="str">
        <f ca="1">IFERROR(__xludf.DUMMYFUNCTION("if(EH$2="""","""", index(GOOGLEFINANCE($B$47,""close"",EH$2,TODAY()),2,2))"),"")</f>
        <v/>
      </c>
      <c r="EI47" s="1" t="str">
        <f ca="1">IFERROR(__xludf.DUMMYFUNCTION("if(EI$2="""","""", index(GOOGLEFINANCE($B$47,""close"",EI$2,TODAY()),2,2))"),"")</f>
        <v/>
      </c>
      <c r="EJ47" s="1" t="str">
        <f ca="1">IFERROR(__xludf.DUMMYFUNCTION("if(EJ$2="""","""", index(GOOGLEFINANCE($B$47,""close"",EJ$2,TODAY()),2,2))"),"")</f>
        <v/>
      </c>
      <c r="EK47" s="1" t="str">
        <f ca="1">IFERROR(__xludf.DUMMYFUNCTION("if(EK$2="""","""", index(GOOGLEFINANCE($B$47,""close"",EK$2,TODAY()),2,2))"),"")</f>
        <v/>
      </c>
      <c r="EL47" s="1" t="str">
        <f ca="1">IFERROR(__xludf.DUMMYFUNCTION("if(EL$2="""","""", index(GOOGLEFINANCE($B$47,""close"",EL$2,TODAY()),2,2))"),"")</f>
        <v/>
      </c>
      <c r="EM47" s="1" t="str">
        <f ca="1">IFERROR(__xludf.DUMMYFUNCTION("if(EM$2="""","""", index(GOOGLEFINANCE($B$47,""close"",EM$2,TODAY()),2,2))"),"")</f>
        <v/>
      </c>
      <c r="EN47" s="1" t="str">
        <f ca="1">IFERROR(__xludf.DUMMYFUNCTION("if(EN$2="""","""", index(GOOGLEFINANCE($B$47,""close"",EN$2,TODAY()),2,2))"),"")</f>
        <v/>
      </c>
      <c r="EO47" s="1" t="str">
        <f ca="1">IFERROR(__xludf.DUMMYFUNCTION("if(EO$2="""","""", index(GOOGLEFINANCE($B$47,""close"",EO$2,TODAY()),2,2))"),"")</f>
        <v/>
      </c>
      <c r="EP47" s="1" t="str">
        <f ca="1">IFERROR(__xludf.DUMMYFUNCTION("if(EP$2="""","""", index(GOOGLEFINANCE($B$47,""close"",EP$2,TODAY()),2,2))"),"")</f>
        <v/>
      </c>
      <c r="EQ47" s="1" t="str">
        <f ca="1">IFERROR(__xludf.DUMMYFUNCTION("if(EQ$2="""","""", index(GOOGLEFINANCE($B$47,""close"",EQ$2,TODAY()),2,2))"),"")</f>
        <v/>
      </c>
      <c r="ER47" s="1" t="str">
        <f ca="1">IFERROR(__xludf.DUMMYFUNCTION("if(ER$2="""","""", index(GOOGLEFINANCE($B$47,""close"",ER$2,TODAY()),2,2))"),"")</f>
        <v/>
      </c>
      <c r="ES47" s="1" t="str">
        <f ca="1">IFERROR(__xludf.DUMMYFUNCTION("if(ES$2="""","""", index(GOOGLEFINANCE($B$47,""close"",ES$2,TODAY()),2,2))"),"")</f>
        <v/>
      </c>
      <c r="ET47" s="1" t="str">
        <f ca="1">IFERROR(__xludf.DUMMYFUNCTION("if(ET$2="""","""", index(GOOGLEFINANCE($B$47,""close"",ET$2,TODAY()),2,2))"),"")</f>
        <v/>
      </c>
      <c r="EU47" s="1" t="str">
        <f ca="1">IFERROR(__xludf.DUMMYFUNCTION("if(EU$2="""","""", index(GOOGLEFINANCE($B$47,""close"",EU$2,TODAY()),2,2))"),"")</f>
        <v/>
      </c>
      <c r="EV47" s="1" t="str">
        <f ca="1">IFERROR(__xludf.DUMMYFUNCTION("if(EV$2="""","""", index(GOOGLEFINANCE($B$47,""close"",EV$2,TODAY()),2,2))"),"")</f>
        <v/>
      </c>
      <c r="EW47" s="1" t="str">
        <f ca="1">IFERROR(__xludf.DUMMYFUNCTION("if(EW$2="""","""", index(GOOGLEFINANCE($B$47,""close"",EW$2,TODAY()),2,2))"),"")</f>
        <v/>
      </c>
      <c r="EX47" s="1" t="str">
        <f ca="1">IFERROR(__xludf.DUMMYFUNCTION("if(EX$2="""","""", index(GOOGLEFINANCE($B$47,""close"",EX$2,TODAY()),2,2))"),"")</f>
        <v/>
      </c>
      <c r="EY47" s="1" t="str">
        <f ca="1">IFERROR(__xludf.DUMMYFUNCTION("if(EY$2="""","""", index(GOOGLEFINANCE($B$47,""close"",EY$2,TODAY()),2,2))"),"")</f>
        <v/>
      </c>
      <c r="EZ47" s="1" t="str">
        <f ca="1">IFERROR(__xludf.DUMMYFUNCTION("if(EZ$2="""","""", index(GOOGLEFINANCE($B$47,""close"",EZ$2,TODAY()),2,2))"),"")</f>
        <v/>
      </c>
      <c r="FA47" s="1" t="str">
        <f ca="1">IFERROR(__xludf.DUMMYFUNCTION("if(FA$2="""","""", index(GOOGLEFINANCE($B$47,""close"",FA$2,TODAY()),2,2))"),"")</f>
        <v/>
      </c>
      <c r="FB47" s="1" t="str">
        <f ca="1">IFERROR(__xludf.DUMMYFUNCTION("if(FB$2="""","""", index(GOOGLEFINANCE($B$47,""close"",FB$2,TODAY()),2,2))"),"")</f>
        <v/>
      </c>
      <c r="FC47" s="1" t="str">
        <f ca="1">IFERROR(__xludf.DUMMYFUNCTION("if(FC$2="""","""", index(GOOGLEFINANCE($B$47,""close"",FC$2,TODAY()),2,2))"),"")</f>
        <v/>
      </c>
      <c r="FD47" s="1" t="str">
        <f ca="1">IFERROR(__xludf.DUMMYFUNCTION("if(FD$2="""","""", index(GOOGLEFINANCE($B$47,""close"",FD$2,TODAY()),2,2))"),"")</f>
        <v/>
      </c>
      <c r="FE47" s="1" t="str">
        <f ca="1">IFERROR(__xludf.DUMMYFUNCTION("if(FE$2="""","""", index(GOOGLEFINANCE($B$47,""close"",FE$2,TODAY()),2,2))"),"")</f>
        <v/>
      </c>
      <c r="FF47" s="1" t="str">
        <f ca="1">IFERROR(__xludf.DUMMYFUNCTION("if(FF$2="""","""", index(GOOGLEFINANCE($B$47,""close"",FF$2,TODAY()),2,2))"),"")</f>
        <v/>
      </c>
      <c r="FG47" s="1" t="str">
        <f ca="1">IFERROR(__xludf.DUMMYFUNCTION("if(FG$2="""","""", index(GOOGLEFINANCE($B$47,""close"",FG$2,TODAY()),2,2))"),"")</f>
        <v/>
      </c>
      <c r="FH47" s="1" t="str">
        <f ca="1">IFERROR(__xludf.DUMMYFUNCTION("if(FH$2="""","""", index(GOOGLEFINANCE($B$47,""close"",FH$2,TODAY()),2,2))"),"")</f>
        <v/>
      </c>
      <c r="FI47" s="1" t="str">
        <f ca="1">IFERROR(__xludf.DUMMYFUNCTION("if(FI$2="""","""", index(GOOGLEFINANCE($B$47,""close"",FI$2,TODAY()),2,2))"),"")</f>
        <v/>
      </c>
      <c r="FJ47" s="1" t="str">
        <f ca="1">IFERROR(__xludf.DUMMYFUNCTION("if(FJ$2="""","""", index(GOOGLEFINANCE($B$47,""close"",FJ$2,TODAY()),2,2))"),"")</f>
        <v/>
      </c>
      <c r="FK47" s="1" t="str">
        <f ca="1">IFERROR(__xludf.DUMMYFUNCTION("if(FK$2="""","""", index(GOOGLEFINANCE($B$47,""close"",FK$2,TODAY()),2,2))"),"")</f>
        <v/>
      </c>
      <c r="FL47" s="1" t="str">
        <f ca="1">IFERROR(__xludf.DUMMYFUNCTION("if(FL$2="""","""", index(GOOGLEFINANCE($B$47,""close"",FL$2,TODAY()),2,2))"),"")</f>
        <v/>
      </c>
      <c r="FM47" s="1" t="str">
        <f ca="1">IFERROR(__xludf.DUMMYFUNCTION("if(FM$2="""","""", index(GOOGLEFINANCE($B$47,""close"",FM$2,TODAY()),2,2))"),"")</f>
        <v/>
      </c>
      <c r="FN47" s="1" t="str">
        <f ca="1">IFERROR(__xludf.DUMMYFUNCTION("if(FN$2="""","""", index(GOOGLEFINANCE($B$47,""close"",FN$2,TODAY()),2,2))"),"")</f>
        <v/>
      </c>
      <c r="FO47" s="1" t="str">
        <f ca="1">IFERROR(__xludf.DUMMYFUNCTION("if(FO$2="""","""", index(GOOGLEFINANCE($B$47,""close"",FO$2,TODAY()),2,2))"),"")</f>
        <v/>
      </c>
      <c r="FP47" s="1" t="str">
        <f ca="1">IFERROR(__xludf.DUMMYFUNCTION("if(FP$2="""","""", index(GOOGLEFINANCE($B$47,""close"",FP$2,TODAY()),2,2))"),"")</f>
        <v/>
      </c>
      <c r="FQ47" s="1" t="str">
        <f ca="1">IFERROR(__xludf.DUMMYFUNCTION("if(FQ$2="""","""", index(GOOGLEFINANCE($B$47,""close"",FQ$2,TODAY()),2,2))"),"")</f>
        <v/>
      </c>
      <c r="FR47" s="1" t="str">
        <f ca="1">IFERROR(__xludf.DUMMYFUNCTION("if(FR$2="""","""", index(GOOGLEFINANCE($B$47,""close"",FR$2,TODAY()),2,2))"),"")</f>
        <v/>
      </c>
      <c r="FS47" s="1" t="str">
        <f ca="1">IFERROR(__xludf.DUMMYFUNCTION("if(FS$2="""","""", index(GOOGLEFINANCE($B$47,""close"",FS$2,TODAY()),2,2))"),"")</f>
        <v/>
      </c>
      <c r="FT47" s="1" t="str">
        <f ca="1">IFERROR(__xludf.DUMMYFUNCTION("if(FT$2="""","""", index(GOOGLEFINANCE($B$47,""close"",FT$2,TODAY()),2,2))"),"")</f>
        <v/>
      </c>
      <c r="FU47" s="1" t="str">
        <f ca="1">IFERROR(__xludf.DUMMYFUNCTION("if(FU$2="""","""", index(GOOGLEFINANCE($B$47,""close"",FU$2,TODAY()),2,2))"),"")</f>
        <v/>
      </c>
      <c r="FV47" s="1" t="str">
        <f ca="1">IFERROR(__xludf.DUMMYFUNCTION("if(FV$2="""","""", index(GOOGLEFINANCE($B$47,""close"",FV$2,TODAY()),2,2))"),"")</f>
        <v/>
      </c>
      <c r="FW47" s="1" t="str">
        <f ca="1">IFERROR(__xludf.DUMMYFUNCTION("if(FW$2="""","""", index(GOOGLEFINANCE($B$47,""close"",FW$2,TODAY()),2,2))"),"")</f>
        <v/>
      </c>
      <c r="FX47" s="1" t="str">
        <f ca="1">IFERROR(__xludf.DUMMYFUNCTION("if(FX$2="""","""", index(GOOGLEFINANCE($B$47,""close"",FX$2,TODAY()),2,2))"),"")</f>
        <v/>
      </c>
      <c r="FY47" s="1" t="str">
        <f ca="1">IFERROR(__xludf.DUMMYFUNCTION("if(FY$2="""","""", index(GOOGLEFINANCE($B$47,""close"",FY$2,TODAY()),2,2))"),"")</f>
        <v/>
      </c>
      <c r="FZ47" s="1" t="str">
        <f ca="1">IFERROR(__xludf.DUMMYFUNCTION("if(FZ$2="""","""", index(GOOGLEFINANCE($B$47,""close"",FZ$2,TODAY()),2,2))"),"")</f>
        <v/>
      </c>
      <c r="GA47" s="1" t="str">
        <f ca="1">IFERROR(__xludf.DUMMYFUNCTION("if(GA$2="""","""", index(GOOGLEFINANCE($B$47,""close"",GA$2,TODAY()),2,2))"),"")</f>
        <v/>
      </c>
      <c r="GB47" s="1" t="str">
        <f ca="1">IFERROR(__xludf.DUMMYFUNCTION("if(GB$2="""","""", index(GOOGLEFINANCE($B$47,""close"",GB$2,TODAY()),2,2))"),"")</f>
        <v/>
      </c>
      <c r="GC47" s="1" t="str">
        <f ca="1">IFERROR(__xludf.DUMMYFUNCTION("if(GC$2="""","""", index(GOOGLEFINANCE($B$47,""close"",GC$2,TODAY()),2,2))"),"")</f>
        <v/>
      </c>
      <c r="GD47" s="1" t="str">
        <f ca="1">IFERROR(__xludf.DUMMYFUNCTION("if(GD$2="""","""", index(GOOGLEFINANCE($B$47,""close"",GD$2,TODAY()),2,2))"),"")</f>
        <v/>
      </c>
      <c r="GE47" s="1" t="str">
        <f ca="1">IFERROR(__xludf.DUMMYFUNCTION("if(GE$2="""","""", index(GOOGLEFINANCE($B$47,""close"",GE$2,TODAY()),2,2))"),"")</f>
        <v/>
      </c>
      <c r="GF47" s="1" t="str">
        <f ca="1">IFERROR(__xludf.DUMMYFUNCTION("if(GF$2="""","""", index(GOOGLEFINANCE($B$47,""close"",GF$2,TODAY()),2,2))"),"")</f>
        <v/>
      </c>
      <c r="GG47" s="1" t="str">
        <f ca="1">IFERROR(__xludf.DUMMYFUNCTION("if(GG$2="""","""", index(GOOGLEFINANCE($B$47,""close"",GG$2,TODAY()),2,2))"),"")</f>
        <v/>
      </c>
      <c r="GH47" s="1" t="str">
        <f ca="1">IFERROR(__xludf.DUMMYFUNCTION("if(GH$2="""","""", index(GOOGLEFINANCE($B$47,""close"",GH$2,TODAY()),2,2))"),"")</f>
        <v/>
      </c>
      <c r="GI47" s="1" t="str">
        <f ca="1">IFERROR(__xludf.DUMMYFUNCTION("if(GI$2="""","""", index(GOOGLEFINANCE($B$47,""close"",GI$2,TODAY()),2,2))"),"")</f>
        <v/>
      </c>
      <c r="GJ47" s="1" t="str">
        <f ca="1">IFERROR(__xludf.DUMMYFUNCTION("if(GJ$2="""","""", index(GOOGLEFINANCE($B$47,""close"",GJ$2,TODAY()),2,2))"),"")</f>
        <v/>
      </c>
      <c r="GK47" s="1" t="str">
        <f ca="1">IFERROR(__xludf.DUMMYFUNCTION("if(GK$2="""","""", index(GOOGLEFINANCE($B$47,""close"",GK$2,TODAY()),2,2))"),"")</f>
        <v/>
      </c>
      <c r="GL47" s="1" t="str">
        <f ca="1">IFERROR(__xludf.DUMMYFUNCTION("if(GL$2="""","""", index(GOOGLEFINANCE($B$47,""close"",GL$2,TODAY()),2,2))"),"")</f>
        <v/>
      </c>
      <c r="GM47" s="1" t="str">
        <f ca="1">IFERROR(__xludf.DUMMYFUNCTION("if(GM$2="""","""", index(GOOGLEFINANCE($B$47,""close"",GM$2,TODAY()),2,2))"),"")</f>
        <v/>
      </c>
      <c r="GN47" s="1" t="str">
        <f ca="1">IFERROR(__xludf.DUMMYFUNCTION("if(GN$2="""","""", index(GOOGLEFINANCE($B$47,""close"",GN$2,TODAY()),2,2))"),"")</f>
        <v/>
      </c>
      <c r="GO47" s="1" t="str">
        <f ca="1">IFERROR(__xludf.DUMMYFUNCTION("if(GO$2="""","""", index(GOOGLEFINANCE($B$47,""close"",GO$2,TODAY()),2,2))"),"")</f>
        <v/>
      </c>
      <c r="GP47" s="1" t="str">
        <f ca="1">IFERROR(__xludf.DUMMYFUNCTION("if(GP$2="""","""", index(GOOGLEFINANCE($B$47,""close"",GP$2,TODAY()),2,2))"),"")</f>
        <v/>
      </c>
      <c r="GQ47" s="1" t="str">
        <f ca="1">IFERROR(__xludf.DUMMYFUNCTION("if(GQ$2="""","""", index(GOOGLEFINANCE($B$47,""close"",GQ$2,TODAY()),2,2))"),"")</f>
        <v/>
      </c>
      <c r="GR47" s="1" t="str">
        <f ca="1">IFERROR(__xludf.DUMMYFUNCTION("if(GR$2="""","""", index(GOOGLEFINANCE($B$47,""close"",GR$2,TODAY()),2,2))"),"")</f>
        <v/>
      </c>
      <c r="GS47" s="1" t="str">
        <f ca="1">IFERROR(__xludf.DUMMYFUNCTION("if(GS$2="""","""", index(GOOGLEFINANCE($B$47,""close"",GS$2,TODAY()),2,2))"),"")</f>
        <v/>
      </c>
      <c r="GT47" s="1" t="str">
        <f ca="1">IFERROR(__xludf.DUMMYFUNCTION("if(GT$2="""","""", index(GOOGLEFINANCE($B$47,""close"",GT$2,TODAY()),2,2))"),"")</f>
        <v/>
      </c>
      <c r="GU47" s="1" t="str">
        <f ca="1">IFERROR(__xludf.DUMMYFUNCTION("if(GU$2="""","""", index(GOOGLEFINANCE($B$47,""close"",GU$2,TODAY()),2,2))"),"")</f>
        <v/>
      </c>
      <c r="GV47" s="1" t="str">
        <f ca="1">IFERROR(__xludf.DUMMYFUNCTION("if(GV$2="""","""", index(GOOGLEFINANCE($B$47,""close"",GV$2,TODAY()),2,2))"),"")</f>
        <v/>
      </c>
      <c r="GW47" s="1" t="str">
        <f ca="1">IFERROR(__xludf.DUMMYFUNCTION("if(GW$2="""","""", index(GOOGLEFINANCE($B$47,""close"",GW$2,TODAY()),2,2))"),"")</f>
        <v/>
      </c>
      <c r="GX47" s="1" t="str">
        <f ca="1">IFERROR(__xludf.DUMMYFUNCTION("if(GX$2="""","""", index(GOOGLEFINANCE($B$47,""close"",GX$2,TODAY()),2,2))"),"")</f>
        <v/>
      </c>
      <c r="GY47" s="1" t="str">
        <f ca="1">IFERROR(__xludf.DUMMYFUNCTION("if(GY$2="""","""", index(GOOGLEFINANCE($B$47,""close"",GY$2,TODAY()),2,2))"),"")</f>
        <v/>
      </c>
      <c r="GZ47" s="1" t="str">
        <f ca="1">IFERROR(__xludf.DUMMYFUNCTION("if(GZ$2="""","""", index(GOOGLEFINANCE($B$47,""close"",GZ$2,TODAY()),2,2))"),"")</f>
        <v/>
      </c>
      <c r="HA47" s="1" t="str">
        <f ca="1">IFERROR(__xludf.DUMMYFUNCTION("if(HA$2="""","""", index(GOOGLEFINANCE($B$47,""close"",HA$2,TODAY()),2,2))"),"")</f>
        <v/>
      </c>
      <c r="HB47" s="1" t="str">
        <f ca="1">IFERROR(__xludf.DUMMYFUNCTION("if(HB$2="""","""", index(GOOGLEFINANCE($B$47,""close"",HB$2,TODAY()),2,2))"),"")</f>
        <v/>
      </c>
      <c r="HC47" s="1" t="str">
        <f ca="1">IFERROR(__xludf.DUMMYFUNCTION("if(HC$2="""","""", index(GOOGLEFINANCE($B$47,""close"",HC$2,TODAY()),2,2))"),"")</f>
        <v/>
      </c>
      <c r="HD47" s="1" t="str">
        <f ca="1">IFERROR(__xludf.DUMMYFUNCTION("if(HD$2="""","""", index(GOOGLEFINANCE($B$47,""close"",HD$2,TODAY()),2,2))"),"")</f>
        <v/>
      </c>
      <c r="HE47" s="1" t="str">
        <f ca="1">IFERROR(__xludf.DUMMYFUNCTION("if(HE$2="""","""", index(GOOGLEFINANCE($B$47,""close"",HE$2,TODAY()),2,2))"),"")</f>
        <v/>
      </c>
      <c r="HF47" s="1" t="str">
        <f ca="1">IFERROR(__xludf.DUMMYFUNCTION("if(HF$2="""","""", index(GOOGLEFINANCE($B$47,""close"",HF$2,TODAY()),2,2))"),"")</f>
        <v/>
      </c>
      <c r="HG47" s="1" t="str">
        <f ca="1">IFERROR(__xludf.DUMMYFUNCTION("if(HG$2="""","""", index(GOOGLEFINANCE($B$47,""close"",HG$2,TODAY()),2,2))"),"")</f>
        <v/>
      </c>
      <c r="HH47" s="1" t="str">
        <f ca="1">IFERROR(__xludf.DUMMYFUNCTION("if(HH$2="""","""", index(GOOGLEFINANCE($B$47,""close"",HH$2,TODAY()),2,2))"),"")</f>
        <v/>
      </c>
      <c r="HI47" s="1" t="str">
        <f ca="1">IFERROR(__xludf.DUMMYFUNCTION("if(HI$2="""","""", index(GOOGLEFINANCE($B$47,""close"",HI$2,TODAY()),2,2))"),"")</f>
        <v/>
      </c>
      <c r="HJ47" s="1" t="str">
        <f ca="1">IFERROR(__xludf.DUMMYFUNCTION("if(HJ$2="""","""", index(GOOGLEFINANCE($B$47,""close"",HJ$2,TODAY()),2,2))"),"")</f>
        <v/>
      </c>
      <c r="HK47" s="1" t="str">
        <f ca="1">IFERROR(__xludf.DUMMYFUNCTION("if(HK$2="""","""", index(GOOGLEFINANCE($B$47,""close"",HK$2,TODAY()),2,2))"),"")</f>
        <v/>
      </c>
      <c r="HL47" s="1" t="str">
        <f ca="1">IFERROR(__xludf.DUMMYFUNCTION("if(HL$2="""","""", index(GOOGLEFINANCE($B$47,""close"",HL$2,TODAY()),2,2))"),"")</f>
        <v/>
      </c>
      <c r="HM47" s="1" t="str">
        <f ca="1">IFERROR(__xludf.DUMMYFUNCTION("if(HM$2="""","""", index(GOOGLEFINANCE($B$47,""close"",HM$2,TODAY()),2,2))"),"")</f>
        <v/>
      </c>
      <c r="HN47" s="1" t="str">
        <f ca="1">IFERROR(__xludf.DUMMYFUNCTION("if(HN$2="""","""", index(GOOGLEFINANCE($B$47,""close"",HN$2,TODAY()),2,2))"),"")</f>
        <v/>
      </c>
      <c r="HO47" s="1" t="str">
        <f ca="1">IFERROR(__xludf.DUMMYFUNCTION("if(HO$2="""","""", index(GOOGLEFINANCE($B$47,""close"",HO$2,TODAY()),2,2))"),"")</f>
        <v/>
      </c>
      <c r="HP47" s="1" t="str">
        <f ca="1">IFERROR(__xludf.DUMMYFUNCTION("if(HP$2="""","""", index(GOOGLEFINANCE($B$47,""close"",HP$2,TODAY()),2,2))"),"")</f>
        <v/>
      </c>
      <c r="HQ47" s="1" t="str">
        <f ca="1">IFERROR(__xludf.DUMMYFUNCTION("if(HQ$2="""","""", index(GOOGLEFINANCE($B$47,""close"",HQ$2,TODAY()),2,2))"),"")</f>
        <v/>
      </c>
      <c r="HR47" s="1" t="str">
        <f ca="1">IFERROR(__xludf.DUMMYFUNCTION("if(HR$2="""","""", index(GOOGLEFINANCE($B$47,""close"",HR$2,TODAY()),2,2))"),"")</f>
        <v/>
      </c>
      <c r="HS47" s="1" t="str">
        <f ca="1">IFERROR(__xludf.DUMMYFUNCTION("if(HS$2="""","""", index(GOOGLEFINANCE($B$47,""close"",HS$2,TODAY()),2,2))"),"")</f>
        <v/>
      </c>
      <c r="HT47" s="1" t="str">
        <f ca="1">IFERROR(__xludf.DUMMYFUNCTION("if(HT$2="""","""", index(GOOGLEFINANCE($B$47,""close"",HT$2,TODAY()),2,2))"),"")</f>
        <v/>
      </c>
      <c r="HU47" s="1" t="str">
        <f ca="1">IFERROR(__xludf.DUMMYFUNCTION("if(HU$2="""","""", index(GOOGLEFINANCE($B$47,""close"",HU$2,TODAY()),2,2))"),"")</f>
        <v/>
      </c>
      <c r="HV47" s="1" t="str">
        <f ca="1">IFERROR(__xludf.DUMMYFUNCTION("if(HV$2="""","""", index(GOOGLEFINANCE($B$47,""close"",HV$2,TODAY()),2,2))"),"")</f>
        <v/>
      </c>
      <c r="HW47" s="1" t="str">
        <f ca="1">IFERROR(__xludf.DUMMYFUNCTION("if(HW$2="""","""", index(GOOGLEFINANCE($B$47,""close"",HW$2,TODAY()),2,2))"),"")</f>
        <v/>
      </c>
      <c r="HX47" s="1" t="str">
        <f ca="1">IFERROR(__xludf.DUMMYFUNCTION("if(HX$2="""","""", index(GOOGLEFINANCE($B$47,""close"",HX$2,TODAY()),2,2))"),"")</f>
        <v/>
      </c>
      <c r="HY47" s="1" t="str">
        <f ca="1">IFERROR(__xludf.DUMMYFUNCTION("if(HY$2="""","""", index(GOOGLEFINANCE($B$47,""close"",HY$2,TODAY()),2,2))"),"")</f>
        <v/>
      </c>
      <c r="HZ47" s="1" t="str">
        <f ca="1">IFERROR(__xludf.DUMMYFUNCTION("if(HZ$2="""","""", index(GOOGLEFINANCE($B$47,""close"",HZ$2,TODAY()),2,2))"),"")</f>
        <v/>
      </c>
      <c r="IA47" s="1" t="str">
        <f ca="1">IFERROR(__xludf.DUMMYFUNCTION("if(IA$2="""","""", index(GOOGLEFINANCE($B$47,""close"",IA$2,TODAY()),2,2))"),"")</f>
        <v/>
      </c>
      <c r="IB47" s="1" t="str">
        <f ca="1">IFERROR(__xludf.DUMMYFUNCTION("if(IB$2="""","""", index(GOOGLEFINANCE($B$47,""close"",IB$2,TODAY()),2,2))"),"")</f>
        <v/>
      </c>
      <c r="IC47" s="1" t="str">
        <f ca="1">IFERROR(__xludf.DUMMYFUNCTION("if(IC$2="""","""", index(GOOGLEFINANCE($B$47,""close"",IC$2,TODAY()),2,2))"),"")</f>
        <v/>
      </c>
      <c r="ID47" s="1" t="str">
        <f ca="1">IFERROR(__xludf.DUMMYFUNCTION("if(ID$2="""","""", index(GOOGLEFINANCE($B$47,""close"",ID$2,TODAY()),2,2))"),"")</f>
        <v/>
      </c>
      <c r="IE47" s="1" t="str">
        <f ca="1">IFERROR(__xludf.DUMMYFUNCTION("if(IE$2="""","""", index(GOOGLEFINANCE($B$47,""close"",IE$2,TODAY()),2,2))"),"")</f>
        <v/>
      </c>
      <c r="IF47" s="1" t="str">
        <f ca="1">IFERROR(__xludf.DUMMYFUNCTION("if(IF$2="""","""", index(GOOGLEFINANCE($B$47,""close"",IF$2,TODAY()),2,2))"),"")</f>
        <v/>
      </c>
      <c r="IG47" s="1" t="str">
        <f ca="1">IFERROR(__xludf.DUMMYFUNCTION("if(IG$2="""","""", index(GOOGLEFINANCE($B$47,""close"",IG$2,TODAY()),2,2))"),"")</f>
        <v/>
      </c>
      <c r="IH47" s="1" t="str">
        <f ca="1">IFERROR(__xludf.DUMMYFUNCTION("if(IH$2="""","""", index(GOOGLEFINANCE($B$47,""close"",IH$2,TODAY()),2,2))"),"")</f>
        <v/>
      </c>
      <c r="II47" s="1" t="str">
        <f ca="1">IFERROR(__xludf.DUMMYFUNCTION("if(II$2="""","""", index(GOOGLEFINANCE($B$47,""close"",II$2,TODAY()),2,2))"),"")</f>
        <v/>
      </c>
      <c r="IJ47" s="1" t="str">
        <f ca="1">IFERROR(__xludf.DUMMYFUNCTION("if(IJ$2="""","""", index(GOOGLEFINANCE($B$47,""close"",IJ$2,TODAY()),2,2))"),"")</f>
        <v/>
      </c>
      <c r="IK47" s="1" t="str">
        <f ca="1">IFERROR(__xludf.DUMMYFUNCTION("if(IK$2="""","""", index(GOOGLEFINANCE($B$47,""close"",IK$2,TODAY()),2,2))"),"")</f>
        <v/>
      </c>
      <c r="IL47" s="1" t="str">
        <f ca="1">IFERROR(__xludf.DUMMYFUNCTION("if(IL$2="""","""", index(GOOGLEFINANCE($B$47,""close"",IL$2,TODAY()),2,2))"),"")</f>
        <v/>
      </c>
      <c r="IM47" s="1" t="str">
        <f ca="1">IFERROR(__xludf.DUMMYFUNCTION("if(IM$2="""","""", index(GOOGLEFINANCE($B$47,""close"",IM$2,TODAY()),2,2))"),"")</f>
        <v/>
      </c>
      <c r="IN47" s="1" t="str">
        <f ca="1">IFERROR(__xludf.DUMMYFUNCTION("if(IN$2="""","""", index(GOOGLEFINANCE($B$47,""close"",IN$2,TODAY()),2,2))"),"")</f>
        <v/>
      </c>
      <c r="IO47" s="1" t="str">
        <f ca="1">IFERROR(__xludf.DUMMYFUNCTION("if(IO$2="""","""", index(GOOGLEFINANCE($B$47,""close"",IO$2,TODAY()),2,2))"),"")</f>
        <v/>
      </c>
      <c r="IP47" s="1" t="str">
        <f ca="1">IFERROR(__xludf.DUMMYFUNCTION("if(IP$2="""","""", index(GOOGLEFINANCE($B$47,""close"",IP$2,TODAY()),2,2))"),"")</f>
        <v/>
      </c>
      <c r="IQ47" s="1" t="str">
        <f ca="1">IFERROR(__xludf.DUMMYFUNCTION("if(IQ$2="""","""", index(GOOGLEFINANCE($B$47,""close"",IQ$2,TODAY()),2,2))"),"")</f>
        <v/>
      </c>
      <c r="IR47" s="1" t="str">
        <f ca="1">IFERROR(__xludf.DUMMYFUNCTION("if(IR$2="""","""", index(GOOGLEFINANCE($B$47,""close"",IR$2,TODAY()),2,2))"),"")</f>
        <v/>
      </c>
      <c r="IS47" s="1" t="str">
        <f ca="1">IFERROR(__xludf.DUMMYFUNCTION("if(IS$2="""","""", index(GOOGLEFINANCE($B$47,""close"",IS$2,TODAY()),2,2))"),"")</f>
        <v/>
      </c>
      <c r="IT47" s="1" t="str">
        <f ca="1">IFERROR(__xludf.DUMMYFUNCTION("if(IT$2="""","""", index(GOOGLEFINANCE($B$47,""close"",IT$2,TODAY()),2,2))"),"")</f>
        <v/>
      </c>
      <c r="IU47" s="1" t="str">
        <f ca="1">IFERROR(__xludf.DUMMYFUNCTION("if(IU$2="""","""", index(GOOGLEFINANCE($B$47,""close"",IU$2,TODAY()),2,2))"),"")</f>
        <v/>
      </c>
      <c r="IV47" s="1" t="str">
        <f ca="1">IFERROR(__xludf.DUMMYFUNCTION("if(IV$2="""","""", index(GOOGLEFINANCE($B$47,""close"",IV$2,TODAY()),2,2))"),"")</f>
        <v/>
      </c>
      <c r="IW47" s="1" t="str">
        <f ca="1">IFERROR(__xludf.DUMMYFUNCTION("if(IW$2="""","""", index(GOOGLEFINANCE($B$47,""close"",IW$2,TODAY()),2,2))"),"")</f>
        <v/>
      </c>
      <c r="IX47" s="1" t="str">
        <f ca="1">IFERROR(__xludf.DUMMYFUNCTION("if(IX$2="""","""", index(GOOGLEFINANCE($B$47,""close"",IX$2,TODAY()),2,2))"),"")</f>
        <v/>
      </c>
      <c r="IY47" s="1" t="str">
        <f ca="1">IFERROR(__xludf.DUMMYFUNCTION("if(IY$2="""","""", index(GOOGLEFINANCE($B$47,""close"",IY$2,TODAY()),2,2))"),"")</f>
        <v/>
      </c>
      <c r="IZ47" s="1" t="str">
        <f ca="1">IFERROR(__xludf.DUMMYFUNCTION("if(IZ$2="""","""", index(GOOGLEFINANCE($B$47,""close"",IZ$2,TODAY()),2,2))"),"")</f>
        <v/>
      </c>
      <c r="JA47" s="1" t="str">
        <f ca="1">IFERROR(__xludf.DUMMYFUNCTION("if(JA$2="""","""", index(GOOGLEFINANCE($B$47,""close"",JA$2,TODAY()),2,2))"),"")</f>
        <v/>
      </c>
      <c r="JB47" s="1" t="str">
        <f ca="1">IFERROR(__xludf.DUMMYFUNCTION("if(JB$2="""","""", index(GOOGLEFINANCE($B$47,""close"",JB$2,TODAY()),2,2))"),"")</f>
        <v/>
      </c>
      <c r="JC47" s="1" t="str">
        <f ca="1">IFERROR(__xludf.DUMMYFUNCTION("if(JC$2="""","""", index(GOOGLEFINANCE($B$47,""close"",JC$2,TODAY()),2,2))"),"")</f>
        <v/>
      </c>
      <c r="JD47" s="1" t="str">
        <f ca="1">IFERROR(__xludf.DUMMYFUNCTION("if(JD$2="""","""", index(GOOGLEFINANCE($B$47,""close"",JD$2,TODAY()),2,2))"),"")</f>
        <v/>
      </c>
      <c r="JE47" s="1" t="str">
        <f ca="1">IFERROR(__xludf.DUMMYFUNCTION("if(JE$2="""","""", index(GOOGLEFINANCE($B$47,""close"",JE$2,TODAY()),2,2))"),"")</f>
        <v/>
      </c>
      <c r="JF47" s="1" t="str">
        <f ca="1">IFERROR(__xludf.DUMMYFUNCTION("if(JF$2="""","""", index(GOOGLEFINANCE($B$47,""close"",JF$2,TODAY()),2,2))"),"")</f>
        <v/>
      </c>
      <c r="JG47" s="1" t="str">
        <f ca="1">IFERROR(__xludf.DUMMYFUNCTION("if(JG$2="""","""", index(GOOGLEFINANCE($B$47,""close"",JG$2,TODAY()),2,2))"),"")</f>
        <v/>
      </c>
      <c r="JH47" s="1" t="str">
        <f ca="1">IFERROR(__xludf.DUMMYFUNCTION("if(JH$2="""","""", index(GOOGLEFINANCE($B$47,""close"",JH$2,TODAY()),2,2))"),"")</f>
        <v/>
      </c>
      <c r="JI47" s="1" t="str">
        <f ca="1">IFERROR(__xludf.DUMMYFUNCTION("if(JI$2="""","""", index(GOOGLEFINANCE($B$47,""close"",JI$2,TODAY()),2,2))"),"")</f>
        <v/>
      </c>
      <c r="JJ47" s="1" t="str">
        <f ca="1">IFERROR(__xludf.DUMMYFUNCTION("if(JJ$2="""","""", index(GOOGLEFINANCE($B$47,""close"",JJ$2,TODAY()),2,2))"),"")</f>
        <v/>
      </c>
      <c r="JK47" s="1" t="str">
        <f ca="1">IFERROR(__xludf.DUMMYFUNCTION("if(JK$2="""","""", index(GOOGLEFINANCE($B$47,""close"",JK$2,TODAY()),2,2))"),"")</f>
        <v/>
      </c>
      <c r="JL47" s="1" t="str">
        <f ca="1">IFERROR(__xludf.DUMMYFUNCTION("if(JL$2="""","""", index(GOOGLEFINANCE($B$47,""close"",JL$2,TODAY()),2,2))"),"")</f>
        <v/>
      </c>
      <c r="JM47" s="1" t="str">
        <f ca="1">IFERROR(__xludf.DUMMYFUNCTION("if(JM$2="""","""", index(GOOGLEFINANCE($B$47,""close"",JM$2,TODAY()),2,2))"),"")</f>
        <v/>
      </c>
      <c r="JN47" s="1" t="str">
        <f ca="1">IFERROR(__xludf.DUMMYFUNCTION("if(JN$2="""","""", index(GOOGLEFINANCE($B$47,""close"",JN$2,TODAY()),2,2))"),"")</f>
        <v/>
      </c>
      <c r="JO47" s="1" t="str">
        <f ca="1">IFERROR(__xludf.DUMMYFUNCTION("if(JO$2="""","""", index(GOOGLEFINANCE($B$47,""close"",JO$2,TODAY()),2,2))"),"")</f>
        <v/>
      </c>
      <c r="JP47" s="1" t="str">
        <f ca="1">IFERROR(__xludf.DUMMYFUNCTION("if(JP$2="""","""", index(GOOGLEFINANCE($B$47,""close"",JP$2,TODAY()),2,2))"),"")</f>
        <v/>
      </c>
      <c r="JQ47" s="1" t="str">
        <f ca="1">IFERROR(__xludf.DUMMYFUNCTION("if(JQ$2="""","""", index(GOOGLEFINANCE($B$47,""close"",JQ$2,TODAY()),2,2))"),"")</f>
        <v/>
      </c>
      <c r="JR47" s="1" t="str">
        <f ca="1">IFERROR(__xludf.DUMMYFUNCTION("if(JR$2="""","""", index(GOOGLEFINANCE($B$47,""close"",JR$2,TODAY()),2,2))"),"")</f>
        <v/>
      </c>
      <c r="JS47" s="1" t="str">
        <f ca="1">IFERROR(__xludf.DUMMYFUNCTION("if(JS$2="""","""", index(GOOGLEFINANCE($B$47,""close"",JS$2,TODAY()),2,2))"),"")</f>
        <v/>
      </c>
      <c r="JT47" s="1" t="str">
        <f ca="1">IFERROR(__xludf.DUMMYFUNCTION("if(JT$2="""","""", index(GOOGLEFINANCE($B$47,""close"",JT$2,TODAY()),2,2))"),"")</f>
        <v/>
      </c>
      <c r="JU47" s="1" t="str">
        <f ca="1">IFERROR(__xludf.DUMMYFUNCTION("if(JU$2="""","""", index(GOOGLEFINANCE($B$47,""close"",JU$2,TODAY()),2,2))"),"")</f>
        <v/>
      </c>
      <c r="JV47" s="1" t="str">
        <f ca="1">IFERROR(__xludf.DUMMYFUNCTION("if(JV$2="""","""", index(GOOGLEFINANCE($B$47,""close"",JV$2,TODAY()),2,2))"),"")</f>
        <v/>
      </c>
      <c r="JW47" s="1" t="str">
        <f ca="1">IFERROR(__xludf.DUMMYFUNCTION("if(JW$2="""","""", index(GOOGLEFINANCE($B$47,""close"",JW$2,TODAY()),2,2))"),"")</f>
        <v/>
      </c>
      <c r="JX47" s="1" t="str">
        <f ca="1">IFERROR(__xludf.DUMMYFUNCTION("if(JX$2="""","""", index(GOOGLEFINANCE($B$47,""close"",JX$2,TODAY()),2,2))"),"")</f>
        <v/>
      </c>
      <c r="JY47" s="1" t="str">
        <f ca="1">IFERROR(__xludf.DUMMYFUNCTION("if(JY$2="""","""", index(GOOGLEFINANCE($B$47,""close"",JY$2,TODAY()),2,2))"),"")</f>
        <v/>
      </c>
      <c r="JZ47" s="1" t="str">
        <f ca="1">IFERROR(__xludf.DUMMYFUNCTION("if(JZ$2="""","""", index(GOOGLEFINANCE($B$47,""close"",JZ$2,TODAY()),2,2))"),"")</f>
        <v/>
      </c>
      <c r="KA47" s="1" t="str">
        <f ca="1">IFERROR(__xludf.DUMMYFUNCTION("if(KA$2="""","""", index(GOOGLEFINANCE($B$47,""close"",KA$2,TODAY()),2,2))"),"")</f>
        <v/>
      </c>
      <c r="KB47" s="1" t="str">
        <f ca="1">IFERROR(__xludf.DUMMYFUNCTION("if(KB$2="""","""", index(GOOGLEFINANCE($B$47,""close"",KB$2,TODAY()),2,2))"),"")</f>
        <v/>
      </c>
      <c r="KC47" s="1" t="str">
        <f ca="1">IFERROR(__xludf.DUMMYFUNCTION("if(KC$2="""","""", index(GOOGLEFINANCE($B$47,""close"",KC$2,TODAY()),2,2))"),"")</f>
        <v/>
      </c>
      <c r="KD47" s="1" t="str">
        <f ca="1">IFERROR(__xludf.DUMMYFUNCTION("if(KD$2="""","""", index(GOOGLEFINANCE($B$47,""close"",KD$2,TODAY()),2,2))"),"")</f>
        <v/>
      </c>
      <c r="KE47" s="1" t="str">
        <f ca="1">IFERROR(__xludf.DUMMYFUNCTION("if(KE$2="""","""", index(GOOGLEFINANCE($B$47,""close"",KE$2,TODAY()),2,2))"),"")</f>
        <v/>
      </c>
      <c r="KF47" s="1" t="str">
        <f ca="1">IFERROR(__xludf.DUMMYFUNCTION("if(KF$2="""","""", index(GOOGLEFINANCE($B$47,""close"",KF$2,TODAY()),2,2))"),"")</f>
        <v/>
      </c>
      <c r="KG47" s="1" t="str">
        <f ca="1">IFERROR(__xludf.DUMMYFUNCTION("if(KG$2="""","""", index(GOOGLEFINANCE($B$47,""close"",KG$2,TODAY()),2,2))"),"")</f>
        <v/>
      </c>
    </row>
    <row r="48" spans="1:293" ht="15.75" customHeight="1">
      <c r="A48" s="18" t="s">
        <v>30</v>
      </c>
      <c r="B48" s="6" t="s">
        <v>90</v>
      </c>
      <c r="C48" s="1">
        <f ca="1">IFERROR(__xludf.DUMMYFUNCTION("if(C$2="""","""", index(GOOGLEFINANCE($B$48,""close"",C$2,TODAY()),2,2))"),9.49)</f>
        <v>9.49</v>
      </c>
      <c r="D48" s="1">
        <f ca="1">IFERROR(__xludf.DUMMYFUNCTION("if(D$2="""","""", index(GOOGLEFINANCE($B$48,""close"",D$2,TODAY()),2,2))"),9.44)</f>
        <v>9.44</v>
      </c>
      <c r="E48" s="1">
        <f ca="1">IFERROR(__xludf.DUMMYFUNCTION("if(E$2="""","""", index(GOOGLEFINANCE($B$48,""close"",E$2,TODAY()),2,2))"),9.13)</f>
        <v>9.1300000000000008</v>
      </c>
      <c r="F48" s="1">
        <f ca="1">IFERROR(__xludf.DUMMYFUNCTION("if(F$2="""","""", index(GOOGLEFINANCE($B$48,""close"",F$2,TODAY()),2,2))"),9)</f>
        <v>9</v>
      </c>
      <c r="G48" s="1">
        <f ca="1">IFERROR(__xludf.DUMMYFUNCTION("if(G$2="""","""", index(GOOGLEFINANCE($B$48,""close"",G$2,TODAY()),2,2))"),9.07)</f>
        <v>9.07</v>
      </c>
      <c r="H48" s="1">
        <f ca="1">IFERROR(__xludf.DUMMYFUNCTION("if(H$2="""","""", index(GOOGLEFINANCE($B$48,""close"",H$2,TODAY()),2,2))"),9.05)</f>
        <v>9.0500000000000007</v>
      </c>
      <c r="I48" s="1">
        <f ca="1">IFERROR(__xludf.DUMMYFUNCTION("if(I$2="""","""", index(GOOGLEFINANCE($B$48,""close"",I$2,TODAY()),2,2))"),9.3)</f>
        <v>9.3000000000000007</v>
      </c>
      <c r="J48" s="1">
        <f ca="1">IFERROR(__xludf.DUMMYFUNCTION("if(J$2="""","""", index(GOOGLEFINANCE($B$48,""close"",J$2,TODAY()),2,2))"),8.99)</f>
        <v>8.99</v>
      </c>
      <c r="K48" s="1">
        <f ca="1">IFERROR(__xludf.DUMMYFUNCTION("if(K$2="""","""", index(GOOGLEFINANCE($B$48,""close"",K$2,TODAY()),2,2))"),8.29)</f>
        <v>8.2899999999999991</v>
      </c>
      <c r="L48" s="1">
        <f ca="1">IFERROR(__xludf.DUMMYFUNCTION("if(L$2="""","""", index(GOOGLEFINANCE($B$48,""close"",L$2,TODAY()),2,2))"),8.32)</f>
        <v>8.32</v>
      </c>
      <c r="M48" s="1">
        <f ca="1">IFERROR(__xludf.DUMMYFUNCTION("if(M$2="""","""", index(GOOGLEFINANCE($B$48,""close"",M$2,TODAY()),2,2))"),8.01)</f>
        <v>8.01</v>
      </c>
      <c r="N48" s="1">
        <f ca="1">IFERROR(__xludf.DUMMYFUNCTION("if(N$2="""","""", index(GOOGLEFINANCE($B$48,""close"",N$2,TODAY()),2,2))"),8.1)</f>
        <v>8.1</v>
      </c>
      <c r="O48" s="1">
        <f ca="1">IFERROR(__xludf.DUMMYFUNCTION("if(O$2="""","""", index(GOOGLEFINANCE($B$48,""close"",O$2,TODAY()),2,2))"),7.93)</f>
        <v>7.93</v>
      </c>
      <c r="P48" s="1">
        <f ca="1">IFERROR(__xludf.DUMMYFUNCTION("if(P$2="""","""", index(GOOGLEFINANCE($B$48,""close"",P$2,TODAY()),2,2))"),7.75)</f>
        <v>7.75</v>
      </c>
      <c r="Q48" s="1">
        <f ca="1">IFERROR(__xludf.DUMMYFUNCTION("if(Q$2="""","""", index(GOOGLEFINANCE($B$48,""close"",Q$2,TODAY()),2,2))"),7.61)</f>
        <v>7.61</v>
      </c>
      <c r="R48" s="1">
        <f ca="1">IFERROR(__xludf.DUMMYFUNCTION("if(R$2="""","""", index(GOOGLEFINANCE($B$48,""close"",R$2,TODAY()),2,2))"),7.74)</f>
        <v>7.74</v>
      </c>
      <c r="S48" s="1">
        <f ca="1">IFERROR(__xludf.DUMMYFUNCTION("if(S$2="""","""", index(GOOGLEFINANCE($B$48,""close"",S$2,TODAY()),2,2))"),7.75)</f>
        <v>7.75</v>
      </c>
      <c r="T48" s="1">
        <f ca="1">IFERROR(__xludf.DUMMYFUNCTION("if(T$2="""","""", index(GOOGLEFINANCE($B$48,""close"",T$2,TODAY()),2,2))"),7.59)</f>
        <v>7.59</v>
      </c>
      <c r="U48" s="1">
        <f ca="1">IFERROR(__xludf.DUMMYFUNCTION("if(U$2="""","""", index(GOOGLEFINANCE($B$48,""close"",U$2,TODAY()),2,2))"),7.61)</f>
        <v>7.61</v>
      </c>
      <c r="V48" s="1">
        <f ca="1">IFERROR(__xludf.DUMMYFUNCTION("if(V$2="""","""", index(GOOGLEFINANCE($B$48,""close"",V$2,TODAY()),2,2))"),8.19)</f>
        <v>8.19</v>
      </c>
      <c r="W48" s="1">
        <f ca="1">IFERROR(__xludf.DUMMYFUNCTION("if(W$2="""","""", index(GOOGLEFINANCE($B$48,""close"",W$2,TODAY()),2,2))"),8.35)</f>
        <v>8.35</v>
      </c>
      <c r="X48" s="1">
        <f ca="1">IFERROR(__xludf.DUMMYFUNCTION("if(X$2="""","""", index(GOOGLEFINANCE($B$48,""close"",X$2,TODAY()),2,2))"),8.33)</f>
        <v>8.33</v>
      </c>
      <c r="Y48" s="1">
        <f ca="1">IFERROR(__xludf.DUMMYFUNCTION("if(Y$2="""","""", index(GOOGLEFINANCE($B$48,""close"",Y$2,TODAY()),2,2))"),7.89)</f>
        <v>7.89</v>
      </c>
      <c r="Z48" s="1">
        <f ca="1">IFERROR(__xludf.DUMMYFUNCTION("if(Z$2="""","""", index(GOOGLEFINANCE($B$48,""close"",Z$2,TODAY()),2,2))"),7.82)</f>
        <v>7.82</v>
      </c>
      <c r="AA48" s="1">
        <f ca="1">IFERROR(__xludf.DUMMYFUNCTION("if(AA$2="""","""", index(GOOGLEFINANCE($B$48,""close"",AA$2,TODAY()),2,2))"),7.79)</f>
        <v>7.79</v>
      </c>
      <c r="AB48" s="1">
        <f ca="1">IFERROR(__xludf.DUMMYFUNCTION("if(AB$2="""","""", index(GOOGLEFINANCE($B$48,""close"",AB$2,TODAY()),2,2))"),7.92)</f>
        <v>7.92</v>
      </c>
      <c r="AC48" s="1">
        <f ca="1">IFERROR(__xludf.DUMMYFUNCTION("if(AC$2="""","""", index(GOOGLEFINANCE($B$48,""close"",AC$2,TODAY()),2,2))"),8.09)</f>
        <v>8.09</v>
      </c>
      <c r="AD48" s="1">
        <f ca="1">IFERROR(__xludf.DUMMYFUNCTION("if(AD$2="""","""", index(GOOGLEFINANCE($B$48,""close"",AD$2,TODAY()),2,2))"),8.14)</f>
        <v>8.14</v>
      </c>
      <c r="AE48" s="1">
        <f ca="1">IFERROR(__xludf.DUMMYFUNCTION("if(AE$2="""","""", index(GOOGLEFINANCE($B$48,""close"",AE$2,TODAY()),2,2))"),8.24)</f>
        <v>8.24</v>
      </c>
      <c r="AF48" s="1">
        <f ca="1">IFERROR(__xludf.DUMMYFUNCTION("if(AF$2="""","""", index(GOOGLEFINANCE($B$48,""close"",AF$2,TODAY()),2,2))"),8.24)</f>
        <v>8.24</v>
      </c>
      <c r="AG48" s="1">
        <f ca="1">IFERROR(__xludf.DUMMYFUNCTION("if(AG$2="""","""", index(GOOGLEFINANCE($B$48,""close"",AG$2,TODAY()),2,2))"),8.38)</f>
        <v>8.3800000000000008</v>
      </c>
      <c r="AH48" s="1">
        <f ca="1">IFERROR(__xludf.DUMMYFUNCTION("if(AH$2="""","""", index(GOOGLEFINANCE($B$48,""close"",AH$2,TODAY()),2,2))"),8.41)</f>
        <v>8.41</v>
      </c>
      <c r="AI48" s="1">
        <f ca="1">IFERROR(__xludf.DUMMYFUNCTION("if(AI$2="""","""", index(GOOGLEFINANCE($B$48,""close"",AI$2,TODAY()),2,2))"),8.2)</f>
        <v>8.1999999999999993</v>
      </c>
      <c r="AJ48" s="1">
        <f ca="1">IFERROR(__xludf.DUMMYFUNCTION("if(AJ$2="""","""", index(GOOGLEFINANCE($B$48,""close"",AJ$2,TODAY()),2,2))"),7.9)</f>
        <v>7.9</v>
      </c>
      <c r="AK48" s="1">
        <f ca="1">IFERROR(__xludf.DUMMYFUNCTION("if(AK$2="""","""", index(GOOGLEFINANCE($B$48,""close"",AK$2,TODAY()),2,2))"),8.12)</f>
        <v>8.1199999999999992</v>
      </c>
      <c r="AL48" s="1">
        <f ca="1">IFERROR(__xludf.DUMMYFUNCTION("if(AL$2="""","""", index(GOOGLEFINANCE($B$48,""close"",AL$2,TODAY()),2,2))"),8.09)</f>
        <v>8.09</v>
      </c>
      <c r="AM48" s="1">
        <f ca="1">IFERROR(__xludf.DUMMYFUNCTION("if(AM$2="""","""", index(GOOGLEFINANCE($B$48,""close"",AM$2,TODAY()),2,2))"),8)</f>
        <v>8</v>
      </c>
      <c r="AN48" s="1">
        <f ca="1">IFERROR(__xludf.DUMMYFUNCTION("if(AN$2="""","""", index(GOOGLEFINANCE($B$48,""close"",AN$2,TODAY()),2,2))"),8.06)</f>
        <v>8.06</v>
      </c>
      <c r="AO48" s="1">
        <f ca="1">IFERROR(__xludf.DUMMYFUNCTION("if(AO$2="""","""", index(GOOGLEFINANCE($B$48,""close"",AO$2,TODAY()),2,2))"),8.38)</f>
        <v>8.3800000000000008</v>
      </c>
      <c r="AP48" s="1">
        <f ca="1">IFERROR(__xludf.DUMMYFUNCTION("if(AP$2="""","""", index(GOOGLEFINANCE($B$48,""close"",AP$2,TODAY()),2,2))"),8.32)</f>
        <v>8.32</v>
      </c>
      <c r="AQ48" s="1">
        <f ca="1">IFERROR(__xludf.DUMMYFUNCTION("if(AQ$2="""","""", index(GOOGLEFINANCE($B$48,""close"",AQ$2,TODAY()),2,2))"),8.59)</f>
        <v>8.59</v>
      </c>
      <c r="AR48" s="1">
        <f ca="1">IFERROR(__xludf.DUMMYFUNCTION("if(AR$2="""","""", index(GOOGLEFINANCE($B$48,""close"",AR$2,TODAY()),2,2))"),8.43)</f>
        <v>8.43</v>
      </c>
      <c r="AS48" s="1">
        <f ca="1">IFERROR(__xludf.DUMMYFUNCTION("if(AS$2="""","""", index(GOOGLEFINANCE($B$48,""close"",AS$2,TODAY()),2,2))"),8.14)</f>
        <v>8.14</v>
      </c>
      <c r="AT48" s="1">
        <f ca="1">IFERROR(__xludf.DUMMYFUNCTION("if(AT$2="""","""", index(GOOGLEFINANCE($B$48,""close"",AT$2,TODAY()),2,2))"),7.68)</f>
        <v>7.68</v>
      </c>
      <c r="AU48" s="1">
        <f ca="1">IFERROR(__xludf.DUMMYFUNCTION("if(AU$2="""","""", index(GOOGLEFINANCE($B$48,""close"",AU$2,TODAY()),2,2))"),7.7)</f>
        <v>7.7</v>
      </c>
      <c r="AV48" s="1">
        <f ca="1">IFERROR(__xludf.DUMMYFUNCTION("if(AV$2="""","""", index(GOOGLEFINANCE($B$48,""close"",AV$2,TODAY()),2,2))"),7.96)</f>
        <v>7.96</v>
      </c>
      <c r="AW48" s="1">
        <f ca="1">IFERROR(__xludf.DUMMYFUNCTION("if(AW$2="""","""", index(GOOGLEFINANCE($B$48,""close"",AW$2,TODAY()),2,2))"),7.99)</f>
        <v>7.99</v>
      </c>
      <c r="AX48" s="1">
        <f ca="1">IFERROR(__xludf.DUMMYFUNCTION("if(AX$2="""","""", index(GOOGLEFINANCE($B$48,""close"",AX$2,TODAY()),2,2))"),7.88)</f>
        <v>7.88</v>
      </c>
      <c r="AY48" s="1">
        <f ca="1">IFERROR(__xludf.DUMMYFUNCTION("if(AY$2="""","""", index(GOOGLEFINANCE($B$48,""close"",AY$2,TODAY()),2,2))"),7.69)</f>
        <v>7.69</v>
      </c>
      <c r="AZ48" s="1">
        <f ca="1">IFERROR(__xludf.DUMMYFUNCTION("if(AZ$2="""","""", index(GOOGLEFINANCE($B$48,""close"",AZ$2,TODAY()),2,2))"),7.97)</f>
        <v>7.97</v>
      </c>
      <c r="BA48" s="1">
        <f ca="1">IFERROR(__xludf.DUMMYFUNCTION("if(BA$2="""","""", index(GOOGLEFINANCE($B$48,""close"",BA$2,TODAY()),2,2))"),8.02)</f>
        <v>8.02</v>
      </c>
      <c r="BB48" s="1">
        <f ca="1">IFERROR(__xludf.DUMMYFUNCTION("if(BB$2="""","""", index(GOOGLEFINANCE($B$48,""close"",BB$2,TODAY()),2,2))"),8.4)</f>
        <v>8.4</v>
      </c>
      <c r="BC48" s="1">
        <f ca="1">IFERROR(__xludf.DUMMYFUNCTION("if(BC$2="""","""", index(GOOGLEFINANCE($B$48,""close"",BC$2,TODAY()),2,2))"),8.61)</f>
        <v>8.61</v>
      </c>
      <c r="BD48" s="1">
        <f ca="1">IFERROR(__xludf.DUMMYFUNCTION("if(BD$2="""","""", index(GOOGLEFINANCE($B$48,""close"",BD$2,TODAY()),2,2))"),8.44)</f>
        <v>8.44</v>
      </c>
      <c r="BE48" s="1">
        <f ca="1">IFERROR(__xludf.DUMMYFUNCTION("if(BE$2="""","""", index(GOOGLEFINANCE($B$48,""close"",BE$2,TODAY()),2,2))"),8.4)</f>
        <v>8.4</v>
      </c>
      <c r="BF48" s="1">
        <f ca="1">IFERROR(__xludf.DUMMYFUNCTION("if(BF$2="""","""", index(GOOGLEFINANCE($B$48,""close"",BF$2,TODAY()),2,2))"),8.33)</f>
        <v>8.33</v>
      </c>
      <c r="BG48" s="1">
        <f ca="1">IFERROR(__xludf.DUMMYFUNCTION("if(BG$2="""","""", index(GOOGLEFINANCE($B$48,""close"",BG$2,TODAY()),2,2))"),8.33)</f>
        <v>8.33</v>
      </c>
      <c r="BH48" s="1">
        <f ca="1">IFERROR(__xludf.DUMMYFUNCTION("if(BH$2="""","""", index(GOOGLEFINANCE($B$48,""close"",BH$2,TODAY()),2,2))"),8.34)</f>
        <v>8.34</v>
      </c>
      <c r="BI48" s="1">
        <f ca="1">IFERROR(__xludf.DUMMYFUNCTION("if(BI$2="""","""", index(GOOGLEFINANCE($B$48,""close"",BI$2,TODAY()),2,2))"),8.31)</f>
        <v>8.31</v>
      </c>
      <c r="BJ48" s="1">
        <f ca="1">IFERROR(__xludf.DUMMYFUNCTION("if(BJ$2="""","""", index(GOOGLEFINANCE($B$48,""close"",BJ$2,TODAY()),2,2))"),8.42)</f>
        <v>8.42</v>
      </c>
      <c r="BK48" s="1">
        <f ca="1">IFERROR(__xludf.DUMMYFUNCTION("if(BK$2="""","""", index(GOOGLEFINANCE($B$48,""close"",BK$2,TODAY()),2,2))"),8.18)</f>
        <v>8.18</v>
      </c>
      <c r="BL48" s="1">
        <f ca="1">IFERROR(__xludf.DUMMYFUNCTION("if(BL$2="""","""", index(GOOGLEFINANCE($B$48,""close"",BL$2,TODAY()),2,2))"),8.11)</f>
        <v>8.11</v>
      </c>
      <c r="BM48" s="1">
        <f ca="1">IFERROR(__xludf.DUMMYFUNCTION("if(BM$2="""","""", index(GOOGLEFINANCE($B$48,""close"",BM$2,TODAY()),2,2))"),8.48)</f>
        <v>8.48</v>
      </c>
      <c r="BN48" s="1">
        <f ca="1">IFERROR(__xludf.DUMMYFUNCTION("if(BN$2="""","""", index(GOOGLEFINANCE($B$48,""close"",BN$2,TODAY()),2,2))"),8.65)</f>
        <v>8.65</v>
      </c>
      <c r="BO48" s="1">
        <f ca="1">IFERROR(__xludf.DUMMYFUNCTION("if(BO$2="""","""", index(GOOGLEFINANCE($B$48,""close"",BO$2,TODAY()),2,2))"),8.79)</f>
        <v>8.7899999999999991</v>
      </c>
      <c r="BP48" s="1">
        <f ca="1">IFERROR(__xludf.DUMMYFUNCTION("if(BP$2="""","""", index(GOOGLEFINANCE($B$48,""close"",BP$2,TODAY()),2,2))"),8.93)</f>
        <v>8.93</v>
      </c>
      <c r="BQ48" s="1">
        <f ca="1">IFERROR(__xludf.DUMMYFUNCTION("if(BQ$2="""","""", index(GOOGLEFINANCE($B$48,""close"",BQ$2,TODAY()),2,2))"),8.8)</f>
        <v>8.8000000000000007</v>
      </c>
      <c r="BR48" s="1">
        <f ca="1">IFERROR(__xludf.DUMMYFUNCTION("if(BR$2="""","""", index(GOOGLEFINANCE($B$48,""close"",BR$2,TODAY()),2,2))"),8.78)</f>
        <v>8.7799999999999994</v>
      </c>
      <c r="BS48" s="1">
        <f ca="1">IFERROR(__xludf.DUMMYFUNCTION("if(BS$2="""","""", index(GOOGLEFINANCE($B$48,""close"",BS$2,TODAY()),2,2))"),8.06)</f>
        <v>8.06</v>
      </c>
      <c r="BT48" s="1">
        <f ca="1">IFERROR(__xludf.DUMMYFUNCTION("if(BT$2="""","""", index(GOOGLEFINANCE($B$48,""close"",BT$2,TODAY()),2,2))"),7.8)</f>
        <v>7.8</v>
      </c>
      <c r="BU48" s="1">
        <f ca="1">IFERROR(__xludf.DUMMYFUNCTION("if(BU$2="""","""", index(GOOGLEFINANCE($B$48,""close"",BU$2,TODAY()),2,2))"),7.84)</f>
        <v>7.84</v>
      </c>
      <c r="BV48" s="1">
        <f ca="1">IFERROR(__xludf.DUMMYFUNCTION("if(BV$2="""","""", index(GOOGLEFINANCE($B$48,""close"",BV$2,TODAY()),2,2))"),7.92)</f>
        <v>7.92</v>
      </c>
      <c r="BW48" s="1">
        <f ca="1">IFERROR(__xludf.DUMMYFUNCTION("if(BW$2="""","""", index(GOOGLEFINANCE($B$48,""close"",BW$2,TODAY()),2,2))"),7.57)</f>
        <v>7.57</v>
      </c>
      <c r="BX48" s="1">
        <f ca="1">IFERROR(__xludf.DUMMYFUNCTION("if(BX$2="""","""", index(GOOGLEFINANCE($B$48,""close"",BX$2,TODAY()),2,2))"),7.62)</f>
        <v>7.62</v>
      </c>
      <c r="BY48" s="1">
        <f ca="1">IFERROR(__xludf.DUMMYFUNCTION("if(BY$2="""","""", index(GOOGLEFINANCE($B$48,""close"",BY$2,TODAY()),2,2))"),7.59)</f>
        <v>7.59</v>
      </c>
      <c r="BZ48" s="1">
        <f ca="1">IFERROR(__xludf.DUMMYFUNCTION("if(BZ$2="""","""", index(GOOGLEFINANCE($B$48,""close"",BZ$2,TODAY()),2,2))"),7.24)</f>
        <v>7.24</v>
      </c>
      <c r="CA48" s="1">
        <f ca="1">IFERROR(__xludf.DUMMYFUNCTION("if(CA$2="""","""", index(GOOGLEFINANCE($B$48,""close"",CA$2,TODAY()),2,2))"),7.3)</f>
        <v>7.3</v>
      </c>
      <c r="CB48" s="1">
        <f ca="1">IFERROR(__xludf.DUMMYFUNCTION("if(CB$2="""","""", index(GOOGLEFINANCE($B$48,""close"",CB$2,TODAY()),2,2))"),7.24)</f>
        <v>7.24</v>
      </c>
      <c r="CC48" s="1">
        <f ca="1">IFERROR(__xludf.DUMMYFUNCTION("if(CC$2="""","""", index(GOOGLEFINANCE($B$48,""close"",CC$2,TODAY()),2,2))"),6.83)</f>
        <v>6.83</v>
      </c>
      <c r="CD48" s="1">
        <f ca="1">IFERROR(__xludf.DUMMYFUNCTION("if(CD$2="""","""", index(GOOGLEFINANCE($B$48,""close"",CD$2,TODAY()),2,2))"),6.63)</f>
        <v>6.63</v>
      </c>
      <c r="CE48" s="1">
        <f ca="1">IFERROR(__xludf.DUMMYFUNCTION("if(CE$2="""","""", index(GOOGLEFINANCE($B$48,""close"",CE$2,TODAY()),2,2))"),6.63)</f>
        <v>6.63</v>
      </c>
      <c r="CF48" s="1">
        <f ca="1">IFERROR(__xludf.DUMMYFUNCTION("if(CF$2="""","""", index(GOOGLEFINANCE($B$48,""close"",CF$2,TODAY()),2,2))"),6.57)</f>
        <v>6.57</v>
      </c>
      <c r="CG48" s="1">
        <f ca="1">IFERROR(__xludf.DUMMYFUNCTION("if(CG$2="""","""", index(GOOGLEFINANCE($B$48,""close"",CG$2,TODAY()),2,2))"),6.6)</f>
        <v>6.6</v>
      </c>
      <c r="CH48" s="1">
        <f ca="1">IFERROR(__xludf.DUMMYFUNCTION("if(CH$2="""","""", index(GOOGLEFINANCE($B$48,""close"",CH$2,TODAY()),2,2))"),6.51)</f>
        <v>6.51</v>
      </c>
      <c r="CI48" s="1">
        <f ca="1">IFERROR(__xludf.DUMMYFUNCTION("if(CI$2="""","""", index(GOOGLEFINANCE($B$48,""close"",CI$2,TODAY()),2,2))"),6.55)</f>
        <v>6.55</v>
      </c>
      <c r="CJ48" s="1" t="str">
        <f ca="1">IFERROR(__xludf.DUMMYFUNCTION("if(CJ$2="""","""", index(GOOGLEFINANCE($B$48,""close"",CJ$2,TODAY()),2,2))"),"")</f>
        <v/>
      </c>
      <c r="CK48" s="1" t="str">
        <f ca="1">IFERROR(__xludf.DUMMYFUNCTION("if(CK$2="""","""", index(GOOGLEFINANCE($B$48,""close"",CK$2,TODAY()),2,2))"),"")</f>
        <v/>
      </c>
      <c r="CL48" s="1" t="str">
        <f ca="1">IFERROR(__xludf.DUMMYFUNCTION("if(CL$2="""","""", index(GOOGLEFINANCE($B$48,""close"",CL$2,TODAY()),2,2))"),"")</f>
        <v/>
      </c>
      <c r="CM48" s="1" t="str">
        <f ca="1">IFERROR(__xludf.DUMMYFUNCTION("if(CM$2="""","""", index(GOOGLEFINANCE($B$48,""close"",CM$2,TODAY()),2,2))"),"")</f>
        <v/>
      </c>
      <c r="CN48" s="1" t="str">
        <f ca="1">IFERROR(__xludf.DUMMYFUNCTION("if(CN$2="""","""", index(GOOGLEFINANCE($B$48,""close"",CN$2,TODAY()),2,2))"),"")</f>
        <v/>
      </c>
      <c r="CO48" s="1" t="str">
        <f ca="1">IFERROR(__xludf.DUMMYFUNCTION("if(CO$2="""","""", index(GOOGLEFINANCE($B$48,""close"",CO$2,TODAY()),2,2))"),"")</f>
        <v/>
      </c>
      <c r="CP48" s="1" t="str">
        <f ca="1">IFERROR(__xludf.DUMMYFUNCTION("if(CP$2="""","""", index(GOOGLEFINANCE($B$48,""close"",CP$2,TODAY()),2,2))"),"")</f>
        <v/>
      </c>
      <c r="CQ48" s="1" t="str">
        <f ca="1">IFERROR(__xludf.DUMMYFUNCTION("if(CQ$2="""","""", index(GOOGLEFINANCE($B$48,""close"",CQ$2,TODAY()),2,2))"),"")</f>
        <v/>
      </c>
      <c r="CR48" s="1" t="str">
        <f ca="1">IFERROR(__xludf.DUMMYFUNCTION("if(CR$2="""","""", index(GOOGLEFINANCE($B$48,""close"",CR$2,TODAY()),2,2))"),"")</f>
        <v/>
      </c>
      <c r="CS48" s="1" t="str">
        <f ca="1">IFERROR(__xludf.DUMMYFUNCTION("if(CS$2="""","""", index(GOOGLEFINANCE($B$48,""close"",CS$2,TODAY()),2,2))"),"")</f>
        <v/>
      </c>
      <c r="CT48" s="1" t="str">
        <f ca="1">IFERROR(__xludf.DUMMYFUNCTION("if(CT$2="""","""", index(GOOGLEFINANCE($B$48,""close"",CT$2,TODAY()),2,2))"),"")</f>
        <v/>
      </c>
      <c r="CU48" s="1" t="str">
        <f ca="1">IFERROR(__xludf.DUMMYFUNCTION("if(CU$2="""","""", index(GOOGLEFINANCE($B$48,""close"",CU$2,TODAY()),2,2))"),"")</f>
        <v/>
      </c>
      <c r="CV48" s="1" t="str">
        <f ca="1">IFERROR(__xludf.DUMMYFUNCTION("if(CV$2="""","""", index(GOOGLEFINANCE($B$48,""close"",CV$2,TODAY()),2,2))"),"")</f>
        <v/>
      </c>
      <c r="CW48" s="1" t="str">
        <f ca="1">IFERROR(__xludf.DUMMYFUNCTION("if(CW$2="""","""", index(GOOGLEFINANCE($B$48,""close"",CW$2,TODAY()),2,2))"),"")</f>
        <v/>
      </c>
      <c r="CX48" s="1" t="str">
        <f ca="1">IFERROR(__xludf.DUMMYFUNCTION("if(CX$2="""","""", index(GOOGLEFINANCE($B$48,""close"",CX$2,TODAY()),2,2))"),"")</f>
        <v/>
      </c>
      <c r="CY48" s="1" t="str">
        <f ca="1">IFERROR(__xludf.DUMMYFUNCTION("if(CY$2="""","""", index(GOOGLEFINANCE($B$48,""close"",CY$2,TODAY()),2,2))"),"")</f>
        <v/>
      </c>
      <c r="CZ48" s="1" t="str">
        <f ca="1">IFERROR(__xludf.DUMMYFUNCTION("if(CZ$2="""","""", index(GOOGLEFINANCE($B$48,""close"",CZ$2,TODAY()),2,2))"),"")</f>
        <v/>
      </c>
      <c r="DA48" s="1" t="str">
        <f ca="1">IFERROR(__xludf.DUMMYFUNCTION("if(DA$2="""","""", index(GOOGLEFINANCE($B$48,""close"",DA$2,TODAY()),2,2))"),"")</f>
        <v/>
      </c>
      <c r="DB48" s="1" t="str">
        <f ca="1">IFERROR(__xludf.DUMMYFUNCTION("if(DB$2="""","""", index(GOOGLEFINANCE($B$48,""close"",DB$2,TODAY()),2,2))"),"")</f>
        <v/>
      </c>
      <c r="DC48" s="1" t="str">
        <f ca="1">IFERROR(__xludf.DUMMYFUNCTION("if(DC$2="""","""", index(GOOGLEFINANCE($B$48,""close"",DC$2,TODAY()),2,2))"),"")</f>
        <v/>
      </c>
      <c r="DD48" s="1" t="str">
        <f ca="1">IFERROR(__xludf.DUMMYFUNCTION("if(DD$2="""","""", index(GOOGLEFINANCE($B$48,""close"",DD$2,TODAY()),2,2))"),"")</f>
        <v/>
      </c>
      <c r="DE48" s="1" t="str">
        <f ca="1">IFERROR(__xludf.DUMMYFUNCTION("if(DE$2="""","""", index(GOOGLEFINANCE($B$48,""close"",DE$2,TODAY()),2,2))"),"")</f>
        <v/>
      </c>
      <c r="DF48" s="1" t="str">
        <f ca="1">IFERROR(__xludf.DUMMYFUNCTION("if(DF$2="""","""", index(GOOGLEFINANCE($B$48,""close"",DF$2,TODAY()),2,2))"),"")</f>
        <v/>
      </c>
      <c r="DG48" s="1" t="str">
        <f ca="1">IFERROR(__xludf.DUMMYFUNCTION("if(DG$2="""","""", index(GOOGLEFINANCE($B$48,""close"",DG$2,TODAY()),2,2))"),"")</f>
        <v/>
      </c>
      <c r="DH48" s="1" t="str">
        <f ca="1">IFERROR(__xludf.DUMMYFUNCTION("if(DH$2="""","""", index(GOOGLEFINANCE($B$48,""close"",DH$2,TODAY()),2,2))"),"")</f>
        <v/>
      </c>
      <c r="DI48" s="1" t="str">
        <f ca="1">IFERROR(__xludf.DUMMYFUNCTION("if(DI$2="""","""", index(GOOGLEFINANCE($B$48,""close"",DI$2,TODAY()),2,2))"),"")</f>
        <v/>
      </c>
      <c r="DJ48" s="1" t="str">
        <f ca="1">IFERROR(__xludf.DUMMYFUNCTION("if(DJ$2="""","""", index(GOOGLEFINANCE($B$48,""close"",DJ$2,TODAY()),2,2))"),"")</f>
        <v/>
      </c>
      <c r="DK48" s="1" t="str">
        <f ca="1">IFERROR(__xludf.DUMMYFUNCTION("if(DK$2="""","""", index(GOOGLEFINANCE($B$48,""close"",DK$2,TODAY()),2,2))"),"")</f>
        <v/>
      </c>
      <c r="DL48" s="1" t="str">
        <f ca="1">IFERROR(__xludf.DUMMYFUNCTION("if(DL$2="""","""", index(GOOGLEFINANCE($B$48,""close"",DL$2,TODAY()),2,2))"),"")</f>
        <v/>
      </c>
      <c r="DM48" s="1" t="str">
        <f ca="1">IFERROR(__xludf.DUMMYFUNCTION("if(DM$2="""","""", index(GOOGLEFINANCE($B$48,""close"",DM$2,TODAY()),2,2))"),"")</f>
        <v/>
      </c>
      <c r="DN48" s="1" t="str">
        <f ca="1">IFERROR(__xludf.DUMMYFUNCTION("if(DN$2="""","""", index(GOOGLEFINANCE($B$48,""close"",DN$2,TODAY()),2,2))"),"")</f>
        <v/>
      </c>
      <c r="DO48" s="1" t="str">
        <f ca="1">IFERROR(__xludf.DUMMYFUNCTION("if(DO$2="""","""", index(GOOGLEFINANCE($B$48,""close"",DO$2,TODAY()),2,2))"),"")</f>
        <v/>
      </c>
      <c r="DP48" s="1" t="str">
        <f ca="1">IFERROR(__xludf.DUMMYFUNCTION("if(DP$2="""","""", index(GOOGLEFINANCE($B$48,""close"",DP$2,TODAY()),2,2))"),"")</f>
        <v/>
      </c>
      <c r="DQ48" s="1" t="str">
        <f ca="1">IFERROR(__xludf.DUMMYFUNCTION("if(DQ$2="""","""", index(GOOGLEFINANCE($B$48,""close"",DQ$2,TODAY()),2,2))"),"")</f>
        <v/>
      </c>
      <c r="DR48" s="1" t="str">
        <f ca="1">IFERROR(__xludf.DUMMYFUNCTION("if(DR$2="""","""", index(GOOGLEFINANCE($B$48,""close"",DR$2,TODAY()),2,2))"),"")</f>
        <v/>
      </c>
      <c r="DS48" s="1" t="str">
        <f ca="1">IFERROR(__xludf.DUMMYFUNCTION("if(DS$2="""","""", index(GOOGLEFINANCE($B$48,""close"",DS$2,TODAY()),2,2))"),"")</f>
        <v/>
      </c>
      <c r="DT48" s="1" t="str">
        <f ca="1">IFERROR(__xludf.DUMMYFUNCTION("if(DT$2="""","""", index(GOOGLEFINANCE($B$48,""close"",DT$2,TODAY()),2,2))"),"")</f>
        <v/>
      </c>
      <c r="DU48" s="1" t="str">
        <f ca="1">IFERROR(__xludf.DUMMYFUNCTION("if(DU$2="""","""", index(GOOGLEFINANCE($B$48,""close"",DU$2,TODAY()),2,2))"),"")</f>
        <v/>
      </c>
      <c r="DV48" s="1" t="str">
        <f ca="1">IFERROR(__xludf.DUMMYFUNCTION("if(DV$2="""","""", index(GOOGLEFINANCE($B$48,""close"",DV$2,TODAY()),2,2))"),"")</f>
        <v/>
      </c>
      <c r="DW48" s="1" t="str">
        <f ca="1">IFERROR(__xludf.DUMMYFUNCTION("if(DW$2="""","""", index(GOOGLEFINANCE($B$48,""close"",DW$2,TODAY()),2,2))"),"")</f>
        <v/>
      </c>
      <c r="DX48" s="1" t="str">
        <f ca="1">IFERROR(__xludf.DUMMYFUNCTION("if(DX$2="""","""", index(GOOGLEFINANCE($B$48,""close"",DX$2,TODAY()),2,2))"),"")</f>
        <v/>
      </c>
      <c r="DY48" s="1" t="str">
        <f ca="1">IFERROR(__xludf.DUMMYFUNCTION("if(DY$2="""","""", index(GOOGLEFINANCE($B$48,""close"",DY$2,TODAY()),2,2))"),"")</f>
        <v/>
      </c>
      <c r="DZ48" s="1" t="str">
        <f ca="1">IFERROR(__xludf.DUMMYFUNCTION("if(DZ$2="""","""", index(GOOGLEFINANCE($B$48,""close"",DZ$2,TODAY()),2,2))"),"")</f>
        <v/>
      </c>
      <c r="EA48" s="1" t="str">
        <f ca="1">IFERROR(__xludf.DUMMYFUNCTION("if(EA$2="""","""", index(GOOGLEFINANCE($B$48,""close"",EA$2,TODAY()),2,2))"),"")</f>
        <v/>
      </c>
      <c r="EB48" s="1" t="str">
        <f ca="1">IFERROR(__xludf.DUMMYFUNCTION("if(EB$2="""","""", index(GOOGLEFINANCE($B$48,""close"",EB$2,TODAY()),2,2))"),"")</f>
        <v/>
      </c>
      <c r="EC48" s="1" t="str">
        <f ca="1">IFERROR(__xludf.DUMMYFUNCTION("if(EC$2="""","""", index(GOOGLEFINANCE($B$48,""close"",EC$2,TODAY()),2,2))"),"")</f>
        <v/>
      </c>
      <c r="ED48" s="1" t="str">
        <f ca="1">IFERROR(__xludf.DUMMYFUNCTION("if(ED$2="""","""", index(GOOGLEFINANCE($B$48,""close"",ED$2,TODAY()),2,2))"),"")</f>
        <v/>
      </c>
      <c r="EE48" s="1" t="str">
        <f ca="1">IFERROR(__xludf.DUMMYFUNCTION("if(EE$2="""","""", index(GOOGLEFINANCE($B$48,""close"",EE$2,TODAY()),2,2))"),"")</f>
        <v/>
      </c>
      <c r="EF48" s="1" t="str">
        <f ca="1">IFERROR(__xludf.DUMMYFUNCTION("if(EF$2="""","""", index(GOOGLEFINANCE($B$48,""close"",EF$2,TODAY()),2,2))"),"")</f>
        <v/>
      </c>
      <c r="EG48" s="1" t="str">
        <f ca="1">IFERROR(__xludf.DUMMYFUNCTION("if(EG$2="""","""", index(GOOGLEFINANCE($B$48,""close"",EG$2,TODAY()),2,2))"),"")</f>
        <v/>
      </c>
      <c r="EH48" s="1" t="str">
        <f ca="1">IFERROR(__xludf.DUMMYFUNCTION("if(EH$2="""","""", index(GOOGLEFINANCE($B$48,""close"",EH$2,TODAY()),2,2))"),"")</f>
        <v/>
      </c>
      <c r="EI48" s="1" t="str">
        <f ca="1">IFERROR(__xludf.DUMMYFUNCTION("if(EI$2="""","""", index(GOOGLEFINANCE($B$48,""close"",EI$2,TODAY()),2,2))"),"")</f>
        <v/>
      </c>
      <c r="EJ48" s="1" t="str">
        <f ca="1">IFERROR(__xludf.DUMMYFUNCTION("if(EJ$2="""","""", index(GOOGLEFINANCE($B$48,""close"",EJ$2,TODAY()),2,2))"),"")</f>
        <v/>
      </c>
      <c r="EK48" s="1" t="str">
        <f ca="1">IFERROR(__xludf.DUMMYFUNCTION("if(EK$2="""","""", index(GOOGLEFINANCE($B$48,""close"",EK$2,TODAY()),2,2))"),"")</f>
        <v/>
      </c>
      <c r="EL48" s="1" t="str">
        <f ca="1">IFERROR(__xludf.DUMMYFUNCTION("if(EL$2="""","""", index(GOOGLEFINANCE($B$48,""close"",EL$2,TODAY()),2,2))"),"")</f>
        <v/>
      </c>
      <c r="EM48" s="1" t="str">
        <f ca="1">IFERROR(__xludf.DUMMYFUNCTION("if(EM$2="""","""", index(GOOGLEFINANCE($B$48,""close"",EM$2,TODAY()),2,2))"),"")</f>
        <v/>
      </c>
      <c r="EN48" s="1" t="str">
        <f ca="1">IFERROR(__xludf.DUMMYFUNCTION("if(EN$2="""","""", index(GOOGLEFINANCE($B$48,""close"",EN$2,TODAY()),2,2))"),"")</f>
        <v/>
      </c>
      <c r="EO48" s="1" t="str">
        <f ca="1">IFERROR(__xludf.DUMMYFUNCTION("if(EO$2="""","""", index(GOOGLEFINANCE($B$48,""close"",EO$2,TODAY()),2,2))"),"")</f>
        <v/>
      </c>
      <c r="EP48" s="1" t="str">
        <f ca="1">IFERROR(__xludf.DUMMYFUNCTION("if(EP$2="""","""", index(GOOGLEFINANCE($B$48,""close"",EP$2,TODAY()),2,2))"),"")</f>
        <v/>
      </c>
      <c r="EQ48" s="1" t="str">
        <f ca="1">IFERROR(__xludf.DUMMYFUNCTION("if(EQ$2="""","""", index(GOOGLEFINANCE($B$48,""close"",EQ$2,TODAY()),2,2))"),"")</f>
        <v/>
      </c>
      <c r="ER48" s="1" t="str">
        <f ca="1">IFERROR(__xludf.DUMMYFUNCTION("if(ER$2="""","""", index(GOOGLEFINANCE($B$48,""close"",ER$2,TODAY()),2,2))"),"")</f>
        <v/>
      </c>
      <c r="ES48" s="1" t="str">
        <f ca="1">IFERROR(__xludf.DUMMYFUNCTION("if(ES$2="""","""", index(GOOGLEFINANCE($B$48,""close"",ES$2,TODAY()),2,2))"),"")</f>
        <v/>
      </c>
      <c r="ET48" s="1" t="str">
        <f ca="1">IFERROR(__xludf.DUMMYFUNCTION("if(ET$2="""","""", index(GOOGLEFINANCE($B$48,""close"",ET$2,TODAY()),2,2))"),"")</f>
        <v/>
      </c>
      <c r="EU48" s="1" t="str">
        <f ca="1">IFERROR(__xludf.DUMMYFUNCTION("if(EU$2="""","""", index(GOOGLEFINANCE($B$48,""close"",EU$2,TODAY()),2,2))"),"")</f>
        <v/>
      </c>
      <c r="EV48" s="1" t="str">
        <f ca="1">IFERROR(__xludf.DUMMYFUNCTION("if(EV$2="""","""", index(GOOGLEFINANCE($B$48,""close"",EV$2,TODAY()),2,2))"),"")</f>
        <v/>
      </c>
      <c r="EW48" s="1" t="str">
        <f ca="1">IFERROR(__xludf.DUMMYFUNCTION("if(EW$2="""","""", index(GOOGLEFINANCE($B$48,""close"",EW$2,TODAY()),2,2))"),"")</f>
        <v/>
      </c>
      <c r="EX48" s="1" t="str">
        <f ca="1">IFERROR(__xludf.DUMMYFUNCTION("if(EX$2="""","""", index(GOOGLEFINANCE($B$48,""close"",EX$2,TODAY()),2,2))"),"")</f>
        <v/>
      </c>
      <c r="EY48" s="1" t="str">
        <f ca="1">IFERROR(__xludf.DUMMYFUNCTION("if(EY$2="""","""", index(GOOGLEFINANCE($B$48,""close"",EY$2,TODAY()),2,2))"),"")</f>
        <v/>
      </c>
      <c r="EZ48" s="1" t="str">
        <f ca="1">IFERROR(__xludf.DUMMYFUNCTION("if(EZ$2="""","""", index(GOOGLEFINANCE($B$48,""close"",EZ$2,TODAY()),2,2))"),"")</f>
        <v/>
      </c>
      <c r="FA48" s="1" t="str">
        <f ca="1">IFERROR(__xludf.DUMMYFUNCTION("if(FA$2="""","""", index(GOOGLEFINANCE($B$48,""close"",FA$2,TODAY()),2,2))"),"")</f>
        <v/>
      </c>
      <c r="FB48" s="1" t="str">
        <f ca="1">IFERROR(__xludf.DUMMYFUNCTION("if(FB$2="""","""", index(GOOGLEFINANCE($B$48,""close"",FB$2,TODAY()),2,2))"),"")</f>
        <v/>
      </c>
      <c r="FC48" s="1" t="str">
        <f ca="1">IFERROR(__xludf.DUMMYFUNCTION("if(FC$2="""","""", index(GOOGLEFINANCE($B$48,""close"",FC$2,TODAY()),2,2))"),"")</f>
        <v/>
      </c>
      <c r="FD48" s="1" t="str">
        <f ca="1">IFERROR(__xludf.DUMMYFUNCTION("if(FD$2="""","""", index(GOOGLEFINANCE($B$48,""close"",FD$2,TODAY()),2,2))"),"")</f>
        <v/>
      </c>
      <c r="FE48" s="1" t="str">
        <f ca="1">IFERROR(__xludf.DUMMYFUNCTION("if(FE$2="""","""", index(GOOGLEFINANCE($B$48,""close"",FE$2,TODAY()),2,2))"),"")</f>
        <v/>
      </c>
      <c r="FF48" s="1" t="str">
        <f ca="1">IFERROR(__xludf.DUMMYFUNCTION("if(FF$2="""","""", index(GOOGLEFINANCE($B$48,""close"",FF$2,TODAY()),2,2))"),"")</f>
        <v/>
      </c>
      <c r="FG48" s="1" t="str">
        <f ca="1">IFERROR(__xludf.DUMMYFUNCTION("if(FG$2="""","""", index(GOOGLEFINANCE($B$48,""close"",FG$2,TODAY()),2,2))"),"")</f>
        <v/>
      </c>
      <c r="FH48" s="1" t="str">
        <f ca="1">IFERROR(__xludf.DUMMYFUNCTION("if(FH$2="""","""", index(GOOGLEFINANCE($B$48,""close"",FH$2,TODAY()),2,2))"),"")</f>
        <v/>
      </c>
      <c r="FI48" s="1" t="str">
        <f ca="1">IFERROR(__xludf.DUMMYFUNCTION("if(FI$2="""","""", index(GOOGLEFINANCE($B$48,""close"",FI$2,TODAY()),2,2))"),"")</f>
        <v/>
      </c>
      <c r="FJ48" s="1" t="str">
        <f ca="1">IFERROR(__xludf.DUMMYFUNCTION("if(FJ$2="""","""", index(GOOGLEFINANCE($B$48,""close"",FJ$2,TODAY()),2,2))"),"")</f>
        <v/>
      </c>
      <c r="FK48" s="1" t="str">
        <f ca="1">IFERROR(__xludf.DUMMYFUNCTION("if(FK$2="""","""", index(GOOGLEFINANCE($B$48,""close"",FK$2,TODAY()),2,2))"),"")</f>
        <v/>
      </c>
      <c r="FL48" s="1" t="str">
        <f ca="1">IFERROR(__xludf.DUMMYFUNCTION("if(FL$2="""","""", index(GOOGLEFINANCE($B$48,""close"",FL$2,TODAY()),2,2))"),"")</f>
        <v/>
      </c>
      <c r="FM48" s="1" t="str">
        <f ca="1">IFERROR(__xludf.DUMMYFUNCTION("if(FM$2="""","""", index(GOOGLEFINANCE($B$48,""close"",FM$2,TODAY()),2,2))"),"")</f>
        <v/>
      </c>
      <c r="FN48" s="1" t="str">
        <f ca="1">IFERROR(__xludf.DUMMYFUNCTION("if(FN$2="""","""", index(GOOGLEFINANCE($B$48,""close"",FN$2,TODAY()),2,2))"),"")</f>
        <v/>
      </c>
      <c r="FO48" s="1" t="str">
        <f ca="1">IFERROR(__xludf.DUMMYFUNCTION("if(FO$2="""","""", index(GOOGLEFINANCE($B$48,""close"",FO$2,TODAY()),2,2))"),"")</f>
        <v/>
      </c>
      <c r="FP48" s="1" t="str">
        <f ca="1">IFERROR(__xludf.DUMMYFUNCTION("if(FP$2="""","""", index(GOOGLEFINANCE($B$48,""close"",FP$2,TODAY()),2,2))"),"")</f>
        <v/>
      </c>
      <c r="FQ48" s="1" t="str">
        <f ca="1">IFERROR(__xludf.DUMMYFUNCTION("if(FQ$2="""","""", index(GOOGLEFINANCE($B$48,""close"",FQ$2,TODAY()),2,2))"),"")</f>
        <v/>
      </c>
      <c r="FR48" s="1" t="str">
        <f ca="1">IFERROR(__xludf.DUMMYFUNCTION("if(FR$2="""","""", index(GOOGLEFINANCE($B$48,""close"",FR$2,TODAY()),2,2))"),"")</f>
        <v/>
      </c>
      <c r="FS48" s="1" t="str">
        <f ca="1">IFERROR(__xludf.DUMMYFUNCTION("if(FS$2="""","""", index(GOOGLEFINANCE($B$48,""close"",FS$2,TODAY()),2,2))"),"")</f>
        <v/>
      </c>
      <c r="FT48" s="1" t="str">
        <f ca="1">IFERROR(__xludf.DUMMYFUNCTION("if(FT$2="""","""", index(GOOGLEFINANCE($B$48,""close"",FT$2,TODAY()),2,2))"),"")</f>
        <v/>
      </c>
      <c r="FU48" s="1" t="str">
        <f ca="1">IFERROR(__xludf.DUMMYFUNCTION("if(FU$2="""","""", index(GOOGLEFINANCE($B$48,""close"",FU$2,TODAY()),2,2))"),"")</f>
        <v/>
      </c>
      <c r="FV48" s="1" t="str">
        <f ca="1">IFERROR(__xludf.DUMMYFUNCTION("if(FV$2="""","""", index(GOOGLEFINANCE($B$48,""close"",FV$2,TODAY()),2,2))"),"")</f>
        <v/>
      </c>
      <c r="FW48" s="1" t="str">
        <f ca="1">IFERROR(__xludf.DUMMYFUNCTION("if(FW$2="""","""", index(GOOGLEFINANCE($B$48,""close"",FW$2,TODAY()),2,2))"),"")</f>
        <v/>
      </c>
      <c r="FX48" s="1" t="str">
        <f ca="1">IFERROR(__xludf.DUMMYFUNCTION("if(FX$2="""","""", index(GOOGLEFINANCE($B$48,""close"",FX$2,TODAY()),2,2))"),"")</f>
        <v/>
      </c>
      <c r="FY48" s="1" t="str">
        <f ca="1">IFERROR(__xludf.DUMMYFUNCTION("if(FY$2="""","""", index(GOOGLEFINANCE($B$48,""close"",FY$2,TODAY()),2,2))"),"")</f>
        <v/>
      </c>
      <c r="FZ48" s="1" t="str">
        <f ca="1">IFERROR(__xludf.DUMMYFUNCTION("if(FZ$2="""","""", index(GOOGLEFINANCE($B$48,""close"",FZ$2,TODAY()),2,2))"),"")</f>
        <v/>
      </c>
      <c r="GA48" s="1" t="str">
        <f ca="1">IFERROR(__xludf.DUMMYFUNCTION("if(GA$2="""","""", index(GOOGLEFINANCE($B$48,""close"",GA$2,TODAY()),2,2))"),"")</f>
        <v/>
      </c>
      <c r="GB48" s="1" t="str">
        <f ca="1">IFERROR(__xludf.DUMMYFUNCTION("if(GB$2="""","""", index(GOOGLEFINANCE($B$48,""close"",GB$2,TODAY()),2,2))"),"")</f>
        <v/>
      </c>
      <c r="GC48" s="1" t="str">
        <f ca="1">IFERROR(__xludf.DUMMYFUNCTION("if(GC$2="""","""", index(GOOGLEFINANCE($B$48,""close"",GC$2,TODAY()),2,2))"),"")</f>
        <v/>
      </c>
      <c r="GD48" s="1" t="str">
        <f ca="1">IFERROR(__xludf.DUMMYFUNCTION("if(GD$2="""","""", index(GOOGLEFINANCE($B$48,""close"",GD$2,TODAY()),2,2))"),"")</f>
        <v/>
      </c>
      <c r="GE48" s="1" t="str">
        <f ca="1">IFERROR(__xludf.DUMMYFUNCTION("if(GE$2="""","""", index(GOOGLEFINANCE($B$48,""close"",GE$2,TODAY()),2,2))"),"")</f>
        <v/>
      </c>
      <c r="GF48" s="1" t="str">
        <f ca="1">IFERROR(__xludf.DUMMYFUNCTION("if(GF$2="""","""", index(GOOGLEFINANCE($B$48,""close"",GF$2,TODAY()),2,2))"),"")</f>
        <v/>
      </c>
      <c r="GG48" s="1" t="str">
        <f ca="1">IFERROR(__xludf.DUMMYFUNCTION("if(GG$2="""","""", index(GOOGLEFINANCE($B$48,""close"",GG$2,TODAY()),2,2))"),"")</f>
        <v/>
      </c>
      <c r="GH48" s="1" t="str">
        <f ca="1">IFERROR(__xludf.DUMMYFUNCTION("if(GH$2="""","""", index(GOOGLEFINANCE($B$48,""close"",GH$2,TODAY()),2,2))"),"")</f>
        <v/>
      </c>
      <c r="GI48" s="1" t="str">
        <f ca="1">IFERROR(__xludf.DUMMYFUNCTION("if(GI$2="""","""", index(GOOGLEFINANCE($B$48,""close"",GI$2,TODAY()),2,2))"),"")</f>
        <v/>
      </c>
      <c r="GJ48" s="1" t="str">
        <f ca="1">IFERROR(__xludf.DUMMYFUNCTION("if(GJ$2="""","""", index(GOOGLEFINANCE($B$48,""close"",GJ$2,TODAY()),2,2))"),"")</f>
        <v/>
      </c>
      <c r="GK48" s="1" t="str">
        <f ca="1">IFERROR(__xludf.DUMMYFUNCTION("if(GK$2="""","""", index(GOOGLEFINANCE($B$48,""close"",GK$2,TODAY()),2,2))"),"")</f>
        <v/>
      </c>
      <c r="GL48" s="1" t="str">
        <f ca="1">IFERROR(__xludf.DUMMYFUNCTION("if(GL$2="""","""", index(GOOGLEFINANCE($B$48,""close"",GL$2,TODAY()),2,2))"),"")</f>
        <v/>
      </c>
      <c r="GM48" s="1" t="str">
        <f ca="1">IFERROR(__xludf.DUMMYFUNCTION("if(GM$2="""","""", index(GOOGLEFINANCE($B$48,""close"",GM$2,TODAY()),2,2))"),"")</f>
        <v/>
      </c>
      <c r="GN48" s="1" t="str">
        <f ca="1">IFERROR(__xludf.DUMMYFUNCTION("if(GN$2="""","""", index(GOOGLEFINANCE($B$48,""close"",GN$2,TODAY()),2,2))"),"")</f>
        <v/>
      </c>
      <c r="GO48" s="1" t="str">
        <f ca="1">IFERROR(__xludf.DUMMYFUNCTION("if(GO$2="""","""", index(GOOGLEFINANCE($B$48,""close"",GO$2,TODAY()),2,2))"),"")</f>
        <v/>
      </c>
      <c r="GP48" s="1" t="str">
        <f ca="1">IFERROR(__xludf.DUMMYFUNCTION("if(GP$2="""","""", index(GOOGLEFINANCE($B$48,""close"",GP$2,TODAY()),2,2))"),"")</f>
        <v/>
      </c>
      <c r="GQ48" s="1" t="str">
        <f ca="1">IFERROR(__xludf.DUMMYFUNCTION("if(GQ$2="""","""", index(GOOGLEFINANCE($B$48,""close"",GQ$2,TODAY()),2,2))"),"")</f>
        <v/>
      </c>
      <c r="GR48" s="1" t="str">
        <f ca="1">IFERROR(__xludf.DUMMYFUNCTION("if(GR$2="""","""", index(GOOGLEFINANCE($B$48,""close"",GR$2,TODAY()),2,2))"),"")</f>
        <v/>
      </c>
      <c r="GS48" s="1" t="str">
        <f ca="1">IFERROR(__xludf.DUMMYFUNCTION("if(GS$2="""","""", index(GOOGLEFINANCE($B$48,""close"",GS$2,TODAY()),2,2))"),"")</f>
        <v/>
      </c>
      <c r="GT48" s="1" t="str">
        <f ca="1">IFERROR(__xludf.DUMMYFUNCTION("if(GT$2="""","""", index(GOOGLEFINANCE($B$48,""close"",GT$2,TODAY()),2,2))"),"")</f>
        <v/>
      </c>
      <c r="GU48" s="1" t="str">
        <f ca="1">IFERROR(__xludf.DUMMYFUNCTION("if(GU$2="""","""", index(GOOGLEFINANCE($B$48,""close"",GU$2,TODAY()),2,2))"),"")</f>
        <v/>
      </c>
      <c r="GV48" s="1" t="str">
        <f ca="1">IFERROR(__xludf.DUMMYFUNCTION("if(GV$2="""","""", index(GOOGLEFINANCE($B$48,""close"",GV$2,TODAY()),2,2))"),"")</f>
        <v/>
      </c>
      <c r="GW48" s="1" t="str">
        <f ca="1">IFERROR(__xludf.DUMMYFUNCTION("if(GW$2="""","""", index(GOOGLEFINANCE($B$48,""close"",GW$2,TODAY()),2,2))"),"")</f>
        <v/>
      </c>
      <c r="GX48" s="1" t="str">
        <f ca="1">IFERROR(__xludf.DUMMYFUNCTION("if(GX$2="""","""", index(GOOGLEFINANCE($B$48,""close"",GX$2,TODAY()),2,2))"),"")</f>
        <v/>
      </c>
      <c r="GY48" s="1" t="str">
        <f ca="1">IFERROR(__xludf.DUMMYFUNCTION("if(GY$2="""","""", index(GOOGLEFINANCE($B$48,""close"",GY$2,TODAY()),2,2))"),"")</f>
        <v/>
      </c>
      <c r="GZ48" s="1" t="str">
        <f ca="1">IFERROR(__xludf.DUMMYFUNCTION("if(GZ$2="""","""", index(GOOGLEFINANCE($B$48,""close"",GZ$2,TODAY()),2,2))"),"")</f>
        <v/>
      </c>
      <c r="HA48" s="1" t="str">
        <f ca="1">IFERROR(__xludf.DUMMYFUNCTION("if(HA$2="""","""", index(GOOGLEFINANCE($B$48,""close"",HA$2,TODAY()),2,2))"),"")</f>
        <v/>
      </c>
      <c r="HB48" s="1" t="str">
        <f ca="1">IFERROR(__xludf.DUMMYFUNCTION("if(HB$2="""","""", index(GOOGLEFINANCE($B$48,""close"",HB$2,TODAY()),2,2))"),"")</f>
        <v/>
      </c>
      <c r="HC48" s="1" t="str">
        <f ca="1">IFERROR(__xludf.DUMMYFUNCTION("if(HC$2="""","""", index(GOOGLEFINANCE($B$48,""close"",HC$2,TODAY()),2,2))"),"")</f>
        <v/>
      </c>
      <c r="HD48" s="1" t="str">
        <f ca="1">IFERROR(__xludf.DUMMYFUNCTION("if(HD$2="""","""", index(GOOGLEFINANCE($B$48,""close"",HD$2,TODAY()),2,2))"),"")</f>
        <v/>
      </c>
      <c r="HE48" s="1" t="str">
        <f ca="1">IFERROR(__xludf.DUMMYFUNCTION("if(HE$2="""","""", index(GOOGLEFINANCE($B$48,""close"",HE$2,TODAY()),2,2))"),"")</f>
        <v/>
      </c>
      <c r="HF48" s="1" t="str">
        <f ca="1">IFERROR(__xludf.DUMMYFUNCTION("if(HF$2="""","""", index(GOOGLEFINANCE($B$48,""close"",HF$2,TODAY()),2,2))"),"")</f>
        <v/>
      </c>
      <c r="HG48" s="1" t="str">
        <f ca="1">IFERROR(__xludf.DUMMYFUNCTION("if(HG$2="""","""", index(GOOGLEFINANCE($B$48,""close"",HG$2,TODAY()),2,2))"),"")</f>
        <v/>
      </c>
      <c r="HH48" s="1" t="str">
        <f ca="1">IFERROR(__xludf.DUMMYFUNCTION("if(HH$2="""","""", index(GOOGLEFINANCE($B$48,""close"",HH$2,TODAY()),2,2))"),"")</f>
        <v/>
      </c>
      <c r="HI48" s="1" t="str">
        <f ca="1">IFERROR(__xludf.DUMMYFUNCTION("if(HI$2="""","""", index(GOOGLEFINANCE($B$48,""close"",HI$2,TODAY()),2,2))"),"")</f>
        <v/>
      </c>
      <c r="HJ48" s="1" t="str">
        <f ca="1">IFERROR(__xludf.DUMMYFUNCTION("if(HJ$2="""","""", index(GOOGLEFINANCE($B$48,""close"",HJ$2,TODAY()),2,2))"),"")</f>
        <v/>
      </c>
      <c r="HK48" s="1" t="str">
        <f ca="1">IFERROR(__xludf.DUMMYFUNCTION("if(HK$2="""","""", index(GOOGLEFINANCE($B$48,""close"",HK$2,TODAY()),2,2))"),"")</f>
        <v/>
      </c>
      <c r="HL48" s="1" t="str">
        <f ca="1">IFERROR(__xludf.DUMMYFUNCTION("if(HL$2="""","""", index(GOOGLEFINANCE($B$48,""close"",HL$2,TODAY()),2,2))"),"")</f>
        <v/>
      </c>
      <c r="HM48" s="1" t="str">
        <f ca="1">IFERROR(__xludf.DUMMYFUNCTION("if(HM$2="""","""", index(GOOGLEFINANCE($B$48,""close"",HM$2,TODAY()),2,2))"),"")</f>
        <v/>
      </c>
      <c r="HN48" s="1" t="str">
        <f ca="1">IFERROR(__xludf.DUMMYFUNCTION("if(HN$2="""","""", index(GOOGLEFINANCE($B$48,""close"",HN$2,TODAY()),2,2))"),"")</f>
        <v/>
      </c>
      <c r="HO48" s="1" t="str">
        <f ca="1">IFERROR(__xludf.DUMMYFUNCTION("if(HO$2="""","""", index(GOOGLEFINANCE($B$48,""close"",HO$2,TODAY()),2,2))"),"")</f>
        <v/>
      </c>
      <c r="HP48" s="1" t="str">
        <f ca="1">IFERROR(__xludf.DUMMYFUNCTION("if(HP$2="""","""", index(GOOGLEFINANCE($B$48,""close"",HP$2,TODAY()),2,2))"),"")</f>
        <v/>
      </c>
      <c r="HQ48" s="1" t="str">
        <f ca="1">IFERROR(__xludf.DUMMYFUNCTION("if(HQ$2="""","""", index(GOOGLEFINANCE($B$48,""close"",HQ$2,TODAY()),2,2))"),"")</f>
        <v/>
      </c>
      <c r="HR48" s="1" t="str">
        <f ca="1">IFERROR(__xludf.DUMMYFUNCTION("if(HR$2="""","""", index(GOOGLEFINANCE($B$48,""close"",HR$2,TODAY()),2,2))"),"")</f>
        <v/>
      </c>
      <c r="HS48" s="1" t="str">
        <f ca="1">IFERROR(__xludf.DUMMYFUNCTION("if(HS$2="""","""", index(GOOGLEFINANCE($B$48,""close"",HS$2,TODAY()),2,2))"),"")</f>
        <v/>
      </c>
      <c r="HT48" s="1" t="str">
        <f ca="1">IFERROR(__xludf.DUMMYFUNCTION("if(HT$2="""","""", index(GOOGLEFINANCE($B$48,""close"",HT$2,TODAY()),2,2))"),"")</f>
        <v/>
      </c>
      <c r="HU48" s="1" t="str">
        <f ca="1">IFERROR(__xludf.DUMMYFUNCTION("if(HU$2="""","""", index(GOOGLEFINANCE($B$48,""close"",HU$2,TODAY()),2,2))"),"")</f>
        <v/>
      </c>
      <c r="HV48" s="1" t="str">
        <f ca="1">IFERROR(__xludf.DUMMYFUNCTION("if(HV$2="""","""", index(GOOGLEFINANCE($B$48,""close"",HV$2,TODAY()),2,2))"),"")</f>
        <v/>
      </c>
      <c r="HW48" s="1" t="str">
        <f ca="1">IFERROR(__xludf.DUMMYFUNCTION("if(HW$2="""","""", index(GOOGLEFINANCE($B$48,""close"",HW$2,TODAY()),2,2))"),"")</f>
        <v/>
      </c>
      <c r="HX48" s="1" t="str">
        <f ca="1">IFERROR(__xludf.DUMMYFUNCTION("if(HX$2="""","""", index(GOOGLEFINANCE($B$48,""close"",HX$2,TODAY()),2,2))"),"")</f>
        <v/>
      </c>
      <c r="HY48" s="1" t="str">
        <f ca="1">IFERROR(__xludf.DUMMYFUNCTION("if(HY$2="""","""", index(GOOGLEFINANCE($B$48,""close"",HY$2,TODAY()),2,2))"),"")</f>
        <v/>
      </c>
      <c r="HZ48" s="1" t="str">
        <f ca="1">IFERROR(__xludf.DUMMYFUNCTION("if(HZ$2="""","""", index(GOOGLEFINANCE($B$48,""close"",HZ$2,TODAY()),2,2))"),"")</f>
        <v/>
      </c>
      <c r="IA48" s="1" t="str">
        <f ca="1">IFERROR(__xludf.DUMMYFUNCTION("if(IA$2="""","""", index(GOOGLEFINANCE($B$48,""close"",IA$2,TODAY()),2,2))"),"")</f>
        <v/>
      </c>
      <c r="IB48" s="1" t="str">
        <f ca="1">IFERROR(__xludf.DUMMYFUNCTION("if(IB$2="""","""", index(GOOGLEFINANCE($B$48,""close"",IB$2,TODAY()),2,2))"),"")</f>
        <v/>
      </c>
      <c r="IC48" s="1" t="str">
        <f ca="1">IFERROR(__xludf.DUMMYFUNCTION("if(IC$2="""","""", index(GOOGLEFINANCE($B$48,""close"",IC$2,TODAY()),2,2))"),"")</f>
        <v/>
      </c>
      <c r="ID48" s="1" t="str">
        <f ca="1">IFERROR(__xludf.DUMMYFUNCTION("if(ID$2="""","""", index(GOOGLEFINANCE($B$48,""close"",ID$2,TODAY()),2,2))"),"")</f>
        <v/>
      </c>
      <c r="IE48" s="1" t="str">
        <f ca="1">IFERROR(__xludf.DUMMYFUNCTION("if(IE$2="""","""", index(GOOGLEFINANCE($B$48,""close"",IE$2,TODAY()),2,2))"),"")</f>
        <v/>
      </c>
      <c r="IF48" s="1" t="str">
        <f ca="1">IFERROR(__xludf.DUMMYFUNCTION("if(IF$2="""","""", index(GOOGLEFINANCE($B$48,""close"",IF$2,TODAY()),2,2))"),"")</f>
        <v/>
      </c>
      <c r="IG48" s="1" t="str">
        <f ca="1">IFERROR(__xludf.DUMMYFUNCTION("if(IG$2="""","""", index(GOOGLEFINANCE($B$48,""close"",IG$2,TODAY()),2,2))"),"")</f>
        <v/>
      </c>
      <c r="IH48" s="1" t="str">
        <f ca="1">IFERROR(__xludf.DUMMYFUNCTION("if(IH$2="""","""", index(GOOGLEFINANCE($B$48,""close"",IH$2,TODAY()),2,2))"),"")</f>
        <v/>
      </c>
      <c r="II48" s="1" t="str">
        <f ca="1">IFERROR(__xludf.DUMMYFUNCTION("if(II$2="""","""", index(GOOGLEFINANCE($B$48,""close"",II$2,TODAY()),2,2))"),"")</f>
        <v/>
      </c>
      <c r="IJ48" s="1" t="str">
        <f ca="1">IFERROR(__xludf.DUMMYFUNCTION("if(IJ$2="""","""", index(GOOGLEFINANCE($B$48,""close"",IJ$2,TODAY()),2,2))"),"")</f>
        <v/>
      </c>
      <c r="IK48" s="1" t="str">
        <f ca="1">IFERROR(__xludf.DUMMYFUNCTION("if(IK$2="""","""", index(GOOGLEFINANCE($B$48,""close"",IK$2,TODAY()),2,2))"),"")</f>
        <v/>
      </c>
      <c r="IL48" s="1" t="str">
        <f ca="1">IFERROR(__xludf.DUMMYFUNCTION("if(IL$2="""","""", index(GOOGLEFINANCE($B$48,""close"",IL$2,TODAY()),2,2))"),"")</f>
        <v/>
      </c>
      <c r="IM48" s="1" t="str">
        <f ca="1">IFERROR(__xludf.DUMMYFUNCTION("if(IM$2="""","""", index(GOOGLEFINANCE($B$48,""close"",IM$2,TODAY()),2,2))"),"")</f>
        <v/>
      </c>
      <c r="IN48" s="1" t="str">
        <f ca="1">IFERROR(__xludf.DUMMYFUNCTION("if(IN$2="""","""", index(GOOGLEFINANCE($B$48,""close"",IN$2,TODAY()),2,2))"),"")</f>
        <v/>
      </c>
      <c r="IO48" s="1" t="str">
        <f ca="1">IFERROR(__xludf.DUMMYFUNCTION("if(IO$2="""","""", index(GOOGLEFINANCE($B$48,""close"",IO$2,TODAY()),2,2))"),"")</f>
        <v/>
      </c>
      <c r="IP48" s="1" t="str">
        <f ca="1">IFERROR(__xludf.DUMMYFUNCTION("if(IP$2="""","""", index(GOOGLEFINANCE($B$48,""close"",IP$2,TODAY()),2,2))"),"")</f>
        <v/>
      </c>
      <c r="IQ48" s="1" t="str">
        <f ca="1">IFERROR(__xludf.DUMMYFUNCTION("if(IQ$2="""","""", index(GOOGLEFINANCE($B$48,""close"",IQ$2,TODAY()),2,2))"),"")</f>
        <v/>
      </c>
      <c r="IR48" s="1" t="str">
        <f ca="1">IFERROR(__xludf.DUMMYFUNCTION("if(IR$2="""","""", index(GOOGLEFINANCE($B$48,""close"",IR$2,TODAY()),2,2))"),"")</f>
        <v/>
      </c>
      <c r="IS48" s="1" t="str">
        <f ca="1">IFERROR(__xludf.DUMMYFUNCTION("if(IS$2="""","""", index(GOOGLEFINANCE($B$48,""close"",IS$2,TODAY()),2,2))"),"")</f>
        <v/>
      </c>
      <c r="IT48" s="1" t="str">
        <f ca="1">IFERROR(__xludf.DUMMYFUNCTION("if(IT$2="""","""", index(GOOGLEFINANCE($B$48,""close"",IT$2,TODAY()),2,2))"),"")</f>
        <v/>
      </c>
      <c r="IU48" s="1" t="str">
        <f ca="1">IFERROR(__xludf.DUMMYFUNCTION("if(IU$2="""","""", index(GOOGLEFINANCE($B$48,""close"",IU$2,TODAY()),2,2))"),"")</f>
        <v/>
      </c>
      <c r="IV48" s="1" t="str">
        <f ca="1">IFERROR(__xludf.DUMMYFUNCTION("if(IV$2="""","""", index(GOOGLEFINANCE($B$48,""close"",IV$2,TODAY()),2,2))"),"")</f>
        <v/>
      </c>
      <c r="IW48" s="1" t="str">
        <f ca="1">IFERROR(__xludf.DUMMYFUNCTION("if(IW$2="""","""", index(GOOGLEFINANCE($B$48,""close"",IW$2,TODAY()),2,2))"),"")</f>
        <v/>
      </c>
      <c r="IX48" s="1" t="str">
        <f ca="1">IFERROR(__xludf.DUMMYFUNCTION("if(IX$2="""","""", index(GOOGLEFINANCE($B$48,""close"",IX$2,TODAY()),2,2))"),"")</f>
        <v/>
      </c>
      <c r="IY48" s="1" t="str">
        <f ca="1">IFERROR(__xludf.DUMMYFUNCTION("if(IY$2="""","""", index(GOOGLEFINANCE($B$48,""close"",IY$2,TODAY()),2,2))"),"")</f>
        <v/>
      </c>
      <c r="IZ48" s="1" t="str">
        <f ca="1">IFERROR(__xludf.DUMMYFUNCTION("if(IZ$2="""","""", index(GOOGLEFINANCE($B$48,""close"",IZ$2,TODAY()),2,2))"),"")</f>
        <v/>
      </c>
      <c r="JA48" s="1" t="str">
        <f ca="1">IFERROR(__xludf.DUMMYFUNCTION("if(JA$2="""","""", index(GOOGLEFINANCE($B$48,""close"",JA$2,TODAY()),2,2))"),"")</f>
        <v/>
      </c>
      <c r="JB48" s="1" t="str">
        <f ca="1">IFERROR(__xludf.DUMMYFUNCTION("if(JB$2="""","""", index(GOOGLEFINANCE($B$48,""close"",JB$2,TODAY()),2,2))"),"")</f>
        <v/>
      </c>
      <c r="JC48" s="1" t="str">
        <f ca="1">IFERROR(__xludf.DUMMYFUNCTION("if(JC$2="""","""", index(GOOGLEFINANCE($B$48,""close"",JC$2,TODAY()),2,2))"),"")</f>
        <v/>
      </c>
      <c r="JD48" s="1" t="str">
        <f ca="1">IFERROR(__xludf.DUMMYFUNCTION("if(JD$2="""","""", index(GOOGLEFINANCE($B$48,""close"",JD$2,TODAY()),2,2))"),"")</f>
        <v/>
      </c>
      <c r="JE48" s="1" t="str">
        <f ca="1">IFERROR(__xludf.DUMMYFUNCTION("if(JE$2="""","""", index(GOOGLEFINANCE($B$48,""close"",JE$2,TODAY()),2,2))"),"")</f>
        <v/>
      </c>
      <c r="JF48" s="1" t="str">
        <f ca="1">IFERROR(__xludf.DUMMYFUNCTION("if(JF$2="""","""", index(GOOGLEFINANCE($B$48,""close"",JF$2,TODAY()),2,2))"),"")</f>
        <v/>
      </c>
      <c r="JG48" s="1" t="str">
        <f ca="1">IFERROR(__xludf.DUMMYFUNCTION("if(JG$2="""","""", index(GOOGLEFINANCE($B$48,""close"",JG$2,TODAY()),2,2))"),"")</f>
        <v/>
      </c>
      <c r="JH48" s="1" t="str">
        <f ca="1">IFERROR(__xludf.DUMMYFUNCTION("if(JH$2="""","""", index(GOOGLEFINANCE($B$48,""close"",JH$2,TODAY()),2,2))"),"")</f>
        <v/>
      </c>
      <c r="JI48" s="1" t="str">
        <f ca="1">IFERROR(__xludf.DUMMYFUNCTION("if(JI$2="""","""", index(GOOGLEFINANCE($B$48,""close"",JI$2,TODAY()),2,2))"),"")</f>
        <v/>
      </c>
      <c r="JJ48" s="1" t="str">
        <f ca="1">IFERROR(__xludf.DUMMYFUNCTION("if(JJ$2="""","""", index(GOOGLEFINANCE($B$48,""close"",JJ$2,TODAY()),2,2))"),"")</f>
        <v/>
      </c>
      <c r="JK48" s="1" t="str">
        <f ca="1">IFERROR(__xludf.DUMMYFUNCTION("if(JK$2="""","""", index(GOOGLEFINANCE($B$48,""close"",JK$2,TODAY()),2,2))"),"")</f>
        <v/>
      </c>
      <c r="JL48" s="1" t="str">
        <f ca="1">IFERROR(__xludf.DUMMYFUNCTION("if(JL$2="""","""", index(GOOGLEFINANCE($B$48,""close"",JL$2,TODAY()),2,2))"),"")</f>
        <v/>
      </c>
      <c r="JM48" s="1" t="str">
        <f ca="1">IFERROR(__xludf.DUMMYFUNCTION("if(JM$2="""","""", index(GOOGLEFINANCE($B$48,""close"",JM$2,TODAY()),2,2))"),"")</f>
        <v/>
      </c>
      <c r="JN48" s="1" t="str">
        <f ca="1">IFERROR(__xludf.DUMMYFUNCTION("if(JN$2="""","""", index(GOOGLEFINANCE($B$48,""close"",JN$2,TODAY()),2,2))"),"")</f>
        <v/>
      </c>
      <c r="JO48" s="1" t="str">
        <f ca="1">IFERROR(__xludf.DUMMYFUNCTION("if(JO$2="""","""", index(GOOGLEFINANCE($B$48,""close"",JO$2,TODAY()),2,2))"),"")</f>
        <v/>
      </c>
      <c r="JP48" s="1" t="str">
        <f ca="1">IFERROR(__xludf.DUMMYFUNCTION("if(JP$2="""","""", index(GOOGLEFINANCE($B$48,""close"",JP$2,TODAY()),2,2))"),"")</f>
        <v/>
      </c>
      <c r="JQ48" s="1" t="str">
        <f ca="1">IFERROR(__xludf.DUMMYFUNCTION("if(JQ$2="""","""", index(GOOGLEFINANCE($B$48,""close"",JQ$2,TODAY()),2,2))"),"")</f>
        <v/>
      </c>
      <c r="JR48" s="1" t="str">
        <f ca="1">IFERROR(__xludf.DUMMYFUNCTION("if(JR$2="""","""", index(GOOGLEFINANCE($B$48,""close"",JR$2,TODAY()),2,2))"),"")</f>
        <v/>
      </c>
      <c r="JS48" s="1" t="str">
        <f ca="1">IFERROR(__xludf.DUMMYFUNCTION("if(JS$2="""","""", index(GOOGLEFINANCE($B$48,""close"",JS$2,TODAY()),2,2))"),"")</f>
        <v/>
      </c>
      <c r="JT48" s="1" t="str">
        <f ca="1">IFERROR(__xludf.DUMMYFUNCTION("if(JT$2="""","""", index(GOOGLEFINANCE($B$48,""close"",JT$2,TODAY()),2,2))"),"")</f>
        <v/>
      </c>
      <c r="JU48" s="1" t="str">
        <f ca="1">IFERROR(__xludf.DUMMYFUNCTION("if(JU$2="""","""", index(GOOGLEFINANCE($B$48,""close"",JU$2,TODAY()),2,2))"),"")</f>
        <v/>
      </c>
      <c r="JV48" s="1" t="str">
        <f ca="1">IFERROR(__xludf.DUMMYFUNCTION("if(JV$2="""","""", index(GOOGLEFINANCE($B$48,""close"",JV$2,TODAY()),2,2))"),"")</f>
        <v/>
      </c>
      <c r="JW48" s="1" t="str">
        <f ca="1">IFERROR(__xludf.DUMMYFUNCTION("if(JW$2="""","""", index(GOOGLEFINANCE($B$48,""close"",JW$2,TODAY()),2,2))"),"")</f>
        <v/>
      </c>
      <c r="JX48" s="1" t="str">
        <f ca="1">IFERROR(__xludf.DUMMYFUNCTION("if(JX$2="""","""", index(GOOGLEFINANCE($B$48,""close"",JX$2,TODAY()),2,2))"),"")</f>
        <v/>
      </c>
      <c r="JY48" s="1" t="str">
        <f ca="1">IFERROR(__xludf.DUMMYFUNCTION("if(JY$2="""","""", index(GOOGLEFINANCE($B$48,""close"",JY$2,TODAY()),2,2))"),"")</f>
        <v/>
      </c>
      <c r="JZ48" s="1" t="str">
        <f ca="1">IFERROR(__xludf.DUMMYFUNCTION("if(JZ$2="""","""", index(GOOGLEFINANCE($B$48,""close"",JZ$2,TODAY()),2,2))"),"")</f>
        <v/>
      </c>
      <c r="KA48" s="1" t="str">
        <f ca="1">IFERROR(__xludf.DUMMYFUNCTION("if(KA$2="""","""", index(GOOGLEFINANCE($B$48,""close"",KA$2,TODAY()),2,2))"),"")</f>
        <v/>
      </c>
      <c r="KB48" s="1" t="str">
        <f ca="1">IFERROR(__xludf.DUMMYFUNCTION("if(KB$2="""","""", index(GOOGLEFINANCE($B$48,""close"",KB$2,TODAY()),2,2))"),"")</f>
        <v/>
      </c>
      <c r="KC48" s="1" t="str">
        <f ca="1">IFERROR(__xludf.DUMMYFUNCTION("if(KC$2="""","""", index(GOOGLEFINANCE($B$48,""close"",KC$2,TODAY()),2,2))"),"")</f>
        <v/>
      </c>
      <c r="KD48" s="1" t="str">
        <f ca="1">IFERROR(__xludf.DUMMYFUNCTION("if(KD$2="""","""", index(GOOGLEFINANCE($B$48,""close"",KD$2,TODAY()),2,2))"),"")</f>
        <v/>
      </c>
      <c r="KE48" s="1" t="str">
        <f ca="1">IFERROR(__xludf.DUMMYFUNCTION("if(KE$2="""","""", index(GOOGLEFINANCE($B$48,""close"",KE$2,TODAY()),2,2))"),"")</f>
        <v/>
      </c>
      <c r="KF48" s="1" t="str">
        <f ca="1">IFERROR(__xludf.DUMMYFUNCTION("if(KF$2="""","""", index(GOOGLEFINANCE($B$48,""close"",KF$2,TODAY()),2,2))"),"")</f>
        <v/>
      </c>
      <c r="KG48" s="1" t="str">
        <f ca="1">IFERROR(__xludf.DUMMYFUNCTION("if(KG$2="""","""", index(GOOGLEFINANCE($B$48,""close"",KG$2,TODAY()),2,2))"),"")</f>
        <v/>
      </c>
    </row>
    <row r="49" spans="1:319" ht="15.75" customHeight="1">
      <c r="A49" s="18" t="s">
        <v>30</v>
      </c>
      <c r="B49" s="6" t="s">
        <v>91</v>
      </c>
      <c r="C49" s="1">
        <f ca="1">IFERROR(__xludf.DUMMYFUNCTION("if(C$2="""","""", index(GOOGLEFINANCE($B$49,""close"",C$2,TODAY()),2,2))"),25.42)</f>
        <v>25.42</v>
      </c>
      <c r="D49" s="1">
        <f ca="1">IFERROR(__xludf.DUMMYFUNCTION("if(D$2="""","""", index(GOOGLEFINANCE($B$49,""close"",D$2,TODAY()),2,2))"),26.19)</f>
        <v>26.19</v>
      </c>
      <c r="E49" s="1">
        <f ca="1">IFERROR(__xludf.DUMMYFUNCTION("if(E$2="""","""", index(GOOGLEFINANCE($B$49,""close"",E$2,TODAY()),2,2))"),25.04)</f>
        <v>25.04</v>
      </c>
      <c r="F49" s="1">
        <f ca="1">IFERROR(__xludf.DUMMYFUNCTION("if(F$2="""","""", index(GOOGLEFINANCE($B$49,""close"",F$2,TODAY()),2,2))"),23.29)</f>
        <v>23.29</v>
      </c>
      <c r="G49" s="1">
        <f ca="1">IFERROR(__xludf.DUMMYFUNCTION("if(G$2="""","""", index(GOOGLEFINANCE($B$49,""close"",G$2,TODAY()),2,2))"),22.49)</f>
        <v>22.49</v>
      </c>
      <c r="H49" s="1">
        <f ca="1">IFERROR(__xludf.DUMMYFUNCTION("if(H$2="""","""", index(GOOGLEFINANCE($B$49,""close"",H$2,TODAY()),2,2))"),22.35)</f>
        <v>22.35</v>
      </c>
      <c r="I49" s="1">
        <f ca="1">IFERROR(__xludf.DUMMYFUNCTION("if(I$2="""","""", index(GOOGLEFINANCE($B$49,""close"",I$2,TODAY()),2,2))"),22.91)</f>
        <v>22.91</v>
      </c>
      <c r="J49" s="1">
        <f ca="1">IFERROR(__xludf.DUMMYFUNCTION("if(J$2="""","""", index(GOOGLEFINANCE($B$49,""close"",J$2,TODAY()),2,2))"),23.05)</f>
        <v>23.05</v>
      </c>
      <c r="K49" s="1">
        <f ca="1">IFERROR(__xludf.DUMMYFUNCTION("if(K$2="""","""", index(GOOGLEFINANCE($B$49,""close"",K$2,TODAY()),2,2))"),23.34)</f>
        <v>23.34</v>
      </c>
      <c r="L49" s="1">
        <f ca="1">IFERROR(__xludf.DUMMYFUNCTION("if(L$2="""","""", index(GOOGLEFINANCE($B$49,""close"",L$2,TODAY()),2,2))"),23.16)</f>
        <v>23.16</v>
      </c>
      <c r="M49" s="1">
        <f ca="1">IFERROR(__xludf.DUMMYFUNCTION("if(M$2="""","""", index(GOOGLEFINANCE($B$49,""close"",M$2,TODAY()),2,2))"),23.14)</f>
        <v>23.14</v>
      </c>
      <c r="N49" s="1">
        <f ca="1">IFERROR(__xludf.DUMMYFUNCTION("if(N$2="""","""", index(GOOGLEFINANCE($B$49,""close"",N$2,TODAY()),2,2))"),22.83)</f>
        <v>22.83</v>
      </c>
      <c r="O49" s="1">
        <f ca="1">IFERROR(__xludf.DUMMYFUNCTION("if(O$2="""","""", index(GOOGLEFINANCE($B$49,""close"",O$2,TODAY()),2,2))"),22.53)</f>
        <v>22.53</v>
      </c>
      <c r="P49" s="1">
        <f ca="1">IFERROR(__xludf.DUMMYFUNCTION("if(P$2="""","""", index(GOOGLEFINANCE($B$49,""close"",P$2,TODAY()),2,2))"),22.06)</f>
        <v>22.06</v>
      </c>
      <c r="Q49" s="1">
        <f ca="1">IFERROR(__xludf.DUMMYFUNCTION("if(Q$2="""","""", index(GOOGLEFINANCE($B$49,""close"",Q$2,TODAY()),2,2))"),22.88)</f>
        <v>22.88</v>
      </c>
      <c r="R49" s="1">
        <f ca="1">IFERROR(__xludf.DUMMYFUNCTION("if(R$2="""","""", index(GOOGLEFINANCE($B$49,""close"",R$2,TODAY()),2,2))"),21.95)</f>
        <v>21.95</v>
      </c>
      <c r="S49" s="1">
        <f ca="1">IFERROR(__xludf.DUMMYFUNCTION("if(S$2="""","""", index(GOOGLEFINANCE($B$49,""close"",S$2,TODAY()),2,2))"),21.87)</f>
        <v>21.87</v>
      </c>
      <c r="T49" s="1">
        <f ca="1">IFERROR(__xludf.DUMMYFUNCTION("if(T$2="""","""", index(GOOGLEFINANCE($B$49,""close"",T$2,TODAY()),2,2))"),20.97)</f>
        <v>20.97</v>
      </c>
      <c r="U49" s="1">
        <f ca="1">IFERROR(__xludf.DUMMYFUNCTION("if(U$2="""","""", index(GOOGLEFINANCE($B$49,""close"",U$2,TODAY()),2,2))"),20.96)</f>
        <v>20.96</v>
      </c>
      <c r="V49" s="1">
        <f ca="1">IFERROR(__xludf.DUMMYFUNCTION("if(V$2="""","""", index(GOOGLEFINANCE($B$49,""close"",V$2,TODAY()),2,2))"),21.72)</f>
        <v>21.72</v>
      </c>
      <c r="W49" s="1">
        <f ca="1">IFERROR(__xludf.DUMMYFUNCTION("if(W$2="""","""", index(GOOGLEFINANCE($B$49,""close"",W$2,TODAY()),2,2))"),21.5)</f>
        <v>21.5</v>
      </c>
      <c r="X49" s="1">
        <f ca="1">IFERROR(__xludf.DUMMYFUNCTION("if(X$2="""","""", index(GOOGLEFINANCE($B$49,""close"",X$2,TODAY()),2,2))"),21.7)</f>
        <v>21.7</v>
      </c>
      <c r="Y49" s="1">
        <f ca="1">IFERROR(__xludf.DUMMYFUNCTION("if(Y$2="""","""", index(GOOGLEFINANCE($B$49,""close"",Y$2,TODAY()),2,2))"),21.41)</f>
        <v>21.41</v>
      </c>
      <c r="Z49" s="1">
        <f ca="1">IFERROR(__xludf.DUMMYFUNCTION("if(Z$2="""","""", index(GOOGLEFINANCE($B$49,""close"",Z$2,TODAY()),2,2))"),20.58)</f>
        <v>20.58</v>
      </c>
      <c r="AA49" s="1">
        <f ca="1">IFERROR(__xludf.DUMMYFUNCTION("if(AA$2="""","""", index(GOOGLEFINANCE($B$49,""close"",AA$2,TODAY()),2,2))"),20.68)</f>
        <v>20.68</v>
      </c>
      <c r="AB49" s="1">
        <f ca="1">IFERROR(__xludf.DUMMYFUNCTION("if(AB$2="""","""", index(GOOGLEFINANCE($B$49,""close"",AB$2,TODAY()),2,2))"),20.7)</f>
        <v>20.7</v>
      </c>
      <c r="AC49" s="1">
        <f ca="1">IFERROR(__xludf.DUMMYFUNCTION("if(AC$2="""","""", index(GOOGLEFINANCE($B$49,""close"",AC$2,TODAY()),2,2))"),21.34)</f>
        <v>21.34</v>
      </c>
      <c r="AD49" s="1">
        <f ca="1">IFERROR(__xludf.DUMMYFUNCTION("if(AD$2="""","""", index(GOOGLEFINANCE($B$49,""close"",AD$2,TODAY()),2,2))"),21.62)</f>
        <v>21.62</v>
      </c>
      <c r="AE49" s="1">
        <f ca="1">IFERROR(__xludf.DUMMYFUNCTION("if(AE$2="""","""", index(GOOGLEFINANCE($B$49,""close"",AE$2,TODAY()),2,2))"),22.02)</f>
        <v>22.02</v>
      </c>
      <c r="AF49" s="1">
        <f ca="1">IFERROR(__xludf.DUMMYFUNCTION("if(AF$2="""","""", index(GOOGLEFINANCE($B$49,""close"",AF$2,TODAY()),2,2))"),21.52)</f>
        <v>21.52</v>
      </c>
      <c r="AG49" s="1">
        <f ca="1">IFERROR(__xludf.DUMMYFUNCTION("if(AG$2="""","""", index(GOOGLEFINANCE($B$49,""close"",AG$2,TODAY()),2,2))"),21.59)</f>
        <v>21.59</v>
      </c>
      <c r="AH49" s="1">
        <f ca="1">IFERROR(__xludf.DUMMYFUNCTION("if(AH$2="""","""", index(GOOGLEFINANCE($B$49,""close"",AH$2,TODAY()),2,2))"),22.2)</f>
        <v>22.2</v>
      </c>
      <c r="AI49" s="1">
        <f ca="1">IFERROR(__xludf.DUMMYFUNCTION("if(AI$2="""","""", index(GOOGLEFINANCE($B$49,""close"",AI$2,TODAY()),2,2))"),22.44)</f>
        <v>22.44</v>
      </c>
      <c r="AJ49" s="1">
        <f ca="1">IFERROR(__xludf.DUMMYFUNCTION("if(AJ$2="""","""", index(GOOGLEFINANCE($B$49,""close"",AJ$2,TODAY()),2,2))"),22.53)</f>
        <v>22.53</v>
      </c>
      <c r="AK49" s="1">
        <f ca="1">IFERROR(__xludf.DUMMYFUNCTION("if(AK$2="""","""", index(GOOGLEFINANCE($B$49,""close"",AK$2,TODAY()),2,2))"),21.35)</f>
        <v>21.35</v>
      </c>
      <c r="AL49" s="1">
        <f ca="1">IFERROR(__xludf.DUMMYFUNCTION("if(AL$2="""","""", index(GOOGLEFINANCE($B$49,""close"",AL$2,TODAY()),2,2))"),21.31)</f>
        <v>21.31</v>
      </c>
      <c r="AM49" s="1">
        <f ca="1">IFERROR(__xludf.DUMMYFUNCTION("if(AM$2="""","""", index(GOOGLEFINANCE($B$49,""close"",AM$2,TODAY()),2,2))"),21.71)</f>
        <v>21.71</v>
      </c>
      <c r="AN49" s="1">
        <f ca="1">IFERROR(__xludf.DUMMYFUNCTION("if(AN$2="""","""", index(GOOGLEFINANCE($B$49,""close"",AN$2,TODAY()),2,2))"),22.46)</f>
        <v>22.46</v>
      </c>
      <c r="AO49" s="1">
        <f ca="1">IFERROR(__xludf.DUMMYFUNCTION("if(AO$2="""","""", index(GOOGLEFINANCE($B$49,""close"",AO$2,TODAY()),2,2))"),22.51)</f>
        <v>22.51</v>
      </c>
      <c r="AP49" s="1">
        <f ca="1">IFERROR(__xludf.DUMMYFUNCTION("if(AP$2="""","""", index(GOOGLEFINANCE($B$49,""close"",AP$2,TODAY()),2,2))"),22.02)</f>
        <v>22.02</v>
      </c>
      <c r="AQ49" s="1">
        <f ca="1">IFERROR(__xludf.DUMMYFUNCTION("if(AQ$2="""","""", index(GOOGLEFINANCE($B$49,""close"",AQ$2,TODAY()),2,2))"),22.7)</f>
        <v>22.7</v>
      </c>
      <c r="AR49" s="1">
        <f ca="1">IFERROR(__xludf.DUMMYFUNCTION("if(AR$2="""","""", index(GOOGLEFINANCE($B$49,""close"",AR$2,TODAY()),2,2))"),22.27)</f>
        <v>22.27</v>
      </c>
      <c r="AS49" s="1">
        <f ca="1">IFERROR(__xludf.DUMMYFUNCTION("if(AS$2="""","""", index(GOOGLEFINANCE($B$49,""close"",AS$2,TODAY()),2,2))"),22.24)</f>
        <v>22.24</v>
      </c>
      <c r="AT49" s="1">
        <f ca="1">IFERROR(__xludf.DUMMYFUNCTION("if(AT$2="""","""", index(GOOGLEFINANCE($B$49,""close"",AT$2,TODAY()),2,2))"),21.7)</f>
        <v>21.7</v>
      </c>
      <c r="AU49" s="1">
        <f ca="1">IFERROR(__xludf.DUMMYFUNCTION("if(AU$2="""","""", index(GOOGLEFINANCE($B$49,""close"",AU$2,TODAY()),2,2))"),21.21)</f>
        <v>21.21</v>
      </c>
      <c r="AV49" s="1">
        <f ca="1">IFERROR(__xludf.DUMMYFUNCTION("if(AV$2="""","""", index(GOOGLEFINANCE($B$49,""close"",AV$2,TODAY()),2,2))"),22.36)</f>
        <v>22.36</v>
      </c>
      <c r="AW49" s="1">
        <f ca="1">IFERROR(__xludf.DUMMYFUNCTION("if(AW$2="""","""", index(GOOGLEFINANCE($B$49,""close"",AW$2,TODAY()),2,2))"),22.34)</f>
        <v>22.34</v>
      </c>
      <c r="AX49" s="1">
        <f ca="1">IFERROR(__xludf.DUMMYFUNCTION("if(AX$2="""","""", index(GOOGLEFINANCE($B$49,""close"",AX$2,TODAY()),2,2))"),21.92)</f>
        <v>21.92</v>
      </c>
      <c r="AY49" s="1">
        <f ca="1">IFERROR(__xludf.DUMMYFUNCTION("if(AY$2="""","""", index(GOOGLEFINANCE($B$49,""close"",AY$2,TODAY()),2,2))"),22.01)</f>
        <v>22.01</v>
      </c>
      <c r="AZ49" s="1">
        <f ca="1">IFERROR(__xludf.DUMMYFUNCTION("if(AZ$2="""","""", index(GOOGLEFINANCE($B$49,""close"",AZ$2,TODAY()),2,2))"),22.65)</f>
        <v>22.65</v>
      </c>
      <c r="BA49" s="1">
        <f ca="1">IFERROR(__xludf.DUMMYFUNCTION("if(BA$2="""","""", index(GOOGLEFINANCE($B$49,""close"",BA$2,TODAY()),2,2))"),23.94)</f>
        <v>23.94</v>
      </c>
      <c r="BB49" s="1">
        <f ca="1">IFERROR(__xludf.DUMMYFUNCTION("if(BB$2="""","""", index(GOOGLEFINANCE($B$49,""close"",BB$2,TODAY()),2,2))"),23.92)</f>
        <v>23.92</v>
      </c>
      <c r="BC49" s="1">
        <f ca="1">IFERROR(__xludf.DUMMYFUNCTION("if(BC$2="""","""", index(GOOGLEFINANCE($B$49,""close"",BC$2,TODAY()),2,2))"),24.14)</f>
        <v>24.14</v>
      </c>
      <c r="BD49" s="1">
        <f ca="1">IFERROR(__xludf.DUMMYFUNCTION("if(BD$2="""","""", index(GOOGLEFINANCE($B$49,""close"",BD$2,TODAY()),2,2))"),24.17)</f>
        <v>24.17</v>
      </c>
      <c r="BE49" s="1">
        <f ca="1">IFERROR(__xludf.DUMMYFUNCTION("if(BE$2="""","""", index(GOOGLEFINANCE($B$49,""close"",BE$2,TODAY()),2,2))"),24.09)</f>
        <v>24.09</v>
      </c>
      <c r="BF49" s="1">
        <f ca="1">IFERROR(__xludf.DUMMYFUNCTION("if(BF$2="""","""", index(GOOGLEFINANCE($B$49,""close"",BF$2,TODAY()),2,2))"),23.3)</f>
        <v>23.3</v>
      </c>
      <c r="BG49" s="1">
        <f ca="1">IFERROR(__xludf.DUMMYFUNCTION("if(BG$2="""","""", index(GOOGLEFINANCE($B$49,""close"",BG$2,TODAY()),2,2))"),23.14)</f>
        <v>23.14</v>
      </c>
      <c r="BH49" s="1">
        <f ca="1">IFERROR(__xludf.DUMMYFUNCTION("if(BH$2="""","""", index(GOOGLEFINANCE($B$49,""close"",BH$2,TODAY()),2,2))"),22.71)</f>
        <v>22.71</v>
      </c>
      <c r="BI49" s="1">
        <f ca="1">IFERROR(__xludf.DUMMYFUNCTION("if(BI$2="""","""", index(GOOGLEFINANCE($B$49,""close"",BI$2,TODAY()),2,2))"),23)</f>
        <v>23</v>
      </c>
      <c r="BJ49" s="1">
        <f ca="1">IFERROR(__xludf.DUMMYFUNCTION("if(BJ$2="""","""", index(GOOGLEFINANCE($B$49,""close"",BJ$2,TODAY()),2,2))"),23.33)</f>
        <v>23.33</v>
      </c>
      <c r="BK49" s="1">
        <f ca="1">IFERROR(__xludf.DUMMYFUNCTION("if(BK$2="""","""", index(GOOGLEFINANCE($B$49,""close"",BK$2,TODAY()),2,2))"),22.14)</f>
        <v>22.14</v>
      </c>
      <c r="BL49" s="1">
        <f ca="1">IFERROR(__xludf.DUMMYFUNCTION("if(BL$2="""","""", index(GOOGLEFINANCE($B$49,""close"",BL$2,TODAY()),2,2))"),21.53)</f>
        <v>21.53</v>
      </c>
      <c r="BM49" s="1">
        <f ca="1">IFERROR(__xludf.DUMMYFUNCTION("if(BM$2="""","""", index(GOOGLEFINANCE($B$49,""close"",BM$2,TODAY()),2,2))"),20.54)</f>
        <v>20.54</v>
      </c>
      <c r="BN49" s="1">
        <f ca="1">IFERROR(__xludf.DUMMYFUNCTION("if(BN$2="""","""", index(GOOGLEFINANCE($B$49,""close"",BN$2,TODAY()),2,2))"),20.17)</f>
        <v>20.170000000000002</v>
      </c>
      <c r="BO49" s="1">
        <f ca="1">IFERROR(__xludf.DUMMYFUNCTION("if(BO$2="""","""", index(GOOGLEFINANCE($B$49,""close"",BO$2,TODAY()),2,2))"),19.28)</f>
        <v>19.28</v>
      </c>
      <c r="BP49" s="1">
        <f ca="1">IFERROR(__xludf.DUMMYFUNCTION("if(BP$2="""","""", index(GOOGLEFINANCE($B$49,""close"",BP$2,TODAY()),2,2))"),18.91)</f>
        <v>18.91</v>
      </c>
      <c r="BQ49" s="1">
        <f ca="1">IFERROR(__xludf.DUMMYFUNCTION("if(BQ$2="""","""", index(GOOGLEFINANCE($B$49,""close"",BQ$2,TODAY()),2,2))"),19.34)</f>
        <v>19.34</v>
      </c>
      <c r="BR49" s="1">
        <f ca="1">IFERROR(__xludf.DUMMYFUNCTION("if(BR$2="""","""", index(GOOGLEFINANCE($B$49,""close"",BR$2,TODAY()),2,2))"),18.6)</f>
        <v>18.600000000000001</v>
      </c>
      <c r="BS49" s="1">
        <f ca="1">IFERROR(__xludf.DUMMYFUNCTION("if(BS$2="""","""", index(GOOGLEFINANCE($B$49,""close"",BS$2,TODAY()),2,2))"),19.24)</f>
        <v>19.239999999999998</v>
      </c>
      <c r="BT49" s="1">
        <f ca="1">IFERROR(__xludf.DUMMYFUNCTION("if(BT$2="""","""", index(GOOGLEFINANCE($B$49,""close"",BT$2,TODAY()),2,2))"),19.03)</f>
        <v>19.03</v>
      </c>
      <c r="BU49" s="1">
        <f ca="1">IFERROR(__xludf.DUMMYFUNCTION("if(BU$2="""","""", index(GOOGLEFINANCE($B$49,""close"",BU$2,TODAY()),2,2))"),19.6)</f>
        <v>19.600000000000001</v>
      </c>
      <c r="BV49" s="1">
        <f ca="1">IFERROR(__xludf.DUMMYFUNCTION("if(BV$2="""","""", index(GOOGLEFINANCE($B$49,""close"",BV$2,TODAY()),2,2))"),18.04)</f>
        <v>18.04</v>
      </c>
      <c r="BW49" s="1">
        <f ca="1">IFERROR(__xludf.DUMMYFUNCTION("if(BW$2="""","""", index(GOOGLEFINANCE($B$49,""close"",BW$2,TODAY()),2,2))"),18.84)</f>
        <v>18.84</v>
      </c>
      <c r="BX49" s="1">
        <f ca="1">IFERROR(__xludf.DUMMYFUNCTION("if(BX$2="""","""", index(GOOGLEFINANCE($B$49,""close"",BX$2,TODAY()),2,2))"),19.14)</f>
        <v>19.14</v>
      </c>
      <c r="BY49" s="1">
        <f ca="1">IFERROR(__xludf.DUMMYFUNCTION("if(BY$2="""","""", index(GOOGLEFINANCE($B$49,""close"",BY$2,TODAY()),2,2))"),19.43)</f>
        <v>19.43</v>
      </c>
      <c r="BZ49" s="1">
        <f ca="1">IFERROR(__xludf.DUMMYFUNCTION("if(BZ$2="""","""", index(GOOGLEFINANCE($B$49,""close"",BZ$2,TODAY()),2,2))"),19.66)</f>
        <v>19.66</v>
      </c>
      <c r="CA49" s="1">
        <f ca="1">IFERROR(__xludf.DUMMYFUNCTION("if(CA$2="""","""", index(GOOGLEFINANCE($B$49,""close"",CA$2,TODAY()),2,2))"),19.29)</f>
        <v>19.29</v>
      </c>
      <c r="CB49" s="1">
        <f ca="1">IFERROR(__xludf.DUMMYFUNCTION("if(CB$2="""","""", index(GOOGLEFINANCE($B$49,""close"",CB$2,TODAY()),2,2))"),19.69)</f>
        <v>19.690000000000001</v>
      </c>
      <c r="CC49" s="1">
        <f ca="1">IFERROR(__xludf.DUMMYFUNCTION("if(CC$2="""","""", index(GOOGLEFINANCE($B$49,""close"",CC$2,TODAY()),2,2))"),18.75)</f>
        <v>18.75</v>
      </c>
      <c r="CD49" s="1">
        <f ca="1">IFERROR(__xludf.DUMMYFUNCTION("if(CD$2="""","""", index(GOOGLEFINANCE($B$49,""close"",CD$2,TODAY()),2,2))"),18.58)</f>
        <v>18.579999999999998</v>
      </c>
      <c r="CE49" s="1">
        <f ca="1">IFERROR(__xludf.DUMMYFUNCTION("if(CE$2="""","""", index(GOOGLEFINANCE($B$49,""close"",CE$2,TODAY()),2,2))"),20.33)</f>
        <v>20.329999999999998</v>
      </c>
      <c r="CF49" s="1">
        <f ca="1">IFERROR(__xludf.DUMMYFUNCTION("if(CF$2="""","""", index(GOOGLEFINANCE($B$49,""close"",CF$2,TODAY()),2,2))"),20.54)</f>
        <v>20.54</v>
      </c>
      <c r="CG49" s="1">
        <f ca="1">IFERROR(__xludf.DUMMYFUNCTION("if(CG$2="""","""", index(GOOGLEFINANCE($B$49,""close"",CG$2,TODAY()),2,2))"),21.13)</f>
        <v>21.13</v>
      </c>
      <c r="CH49" s="1">
        <f ca="1">IFERROR(__xludf.DUMMYFUNCTION("if(CH$2="""","""", index(GOOGLEFINANCE($B$49,""close"",CH$2,TODAY()),2,2))"),21.77)</f>
        <v>21.77</v>
      </c>
      <c r="CI49" s="1">
        <f ca="1">IFERROR(__xludf.DUMMYFUNCTION("if(CI$2="""","""", index(GOOGLEFINANCE($B$49,""close"",CI$2,TODAY()),2,2))"),22.72)</f>
        <v>22.72</v>
      </c>
      <c r="CJ49" s="1" t="str">
        <f ca="1">IFERROR(__xludf.DUMMYFUNCTION("if(CJ$2="""","""", index(GOOGLEFINANCE($B$49,""close"",CJ$2,TODAY()),2,2))"),"")</f>
        <v/>
      </c>
      <c r="CK49" s="1" t="str">
        <f ca="1">IFERROR(__xludf.DUMMYFUNCTION("if(CK$2="""","""", index(GOOGLEFINANCE($B$49,""close"",CK$2,TODAY()),2,2))"),"")</f>
        <v/>
      </c>
      <c r="CL49" s="1" t="str">
        <f ca="1">IFERROR(__xludf.DUMMYFUNCTION("if(CL$2="""","""", index(GOOGLEFINANCE($B$49,""close"",CL$2,TODAY()),2,2))"),"")</f>
        <v/>
      </c>
      <c r="CM49" s="1" t="str">
        <f ca="1">IFERROR(__xludf.DUMMYFUNCTION("if(CM$2="""","""", index(GOOGLEFINANCE($B$49,""close"",CM$2,TODAY()),2,2))"),"")</f>
        <v/>
      </c>
      <c r="CN49" s="1" t="str">
        <f ca="1">IFERROR(__xludf.DUMMYFUNCTION("if(CN$2="""","""", index(GOOGLEFINANCE($B$49,""close"",CN$2,TODAY()),2,2))"),"")</f>
        <v/>
      </c>
      <c r="CO49" s="1" t="str">
        <f ca="1">IFERROR(__xludf.DUMMYFUNCTION("if(CO$2="""","""", index(GOOGLEFINANCE($B$49,""close"",CO$2,TODAY()),2,2))"),"")</f>
        <v/>
      </c>
      <c r="CP49" s="1" t="str">
        <f ca="1">IFERROR(__xludf.DUMMYFUNCTION("if(CP$2="""","""", index(GOOGLEFINANCE($B$49,""close"",CP$2,TODAY()),2,2))"),"")</f>
        <v/>
      </c>
      <c r="CQ49" s="1" t="str">
        <f ca="1">IFERROR(__xludf.DUMMYFUNCTION("if(CQ$2="""","""", index(GOOGLEFINANCE($B$49,""close"",CQ$2,TODAY()),2,2))"),"")</f>
        <v/>
      </c>
      <c r="CR49" s="1" t="str">
        <f ca="1">IFERROR(__xludf.DUMMYFUNCTION("if(CR$2="""","""", index(GOOGLEFINANCE($B$49,""close"",CR$2,TODAY()),2,2))"),"")</f>
        <v/>
      </c>
      <c r="CS49" s="1" t="str">
        <f ca="1">IFERROR(__xludf.DUMMYFUNCTION("if(CS$2="""","""", index(GOOGLEFINANCE($B$49,""close"",CS$2,TODAY()),2,2))"),"")</f>
        <v/>
      </c>
      <c r="CT49" s="1" t="str">
        <f ca="1">IFERROR(__xludf.DUMMYFUNCTION("if(CT$2="""","""", index(GOOGLEFINANCE($B$49,""close"",CT$2,TODAY()),2,2))"),"")</f>
        <v/>
      </c>
      <c r="CU49" s="1" t="str">
        <f ca="1">IFERROR(__xludf.DUMMYFUNCTION("if(CU$2="""","""", index(GOOGLEFINANCE($B$49,""close"",CU$2,TODAY()),2,2))"),"")</f>
        <v/>
      </c>
      <c r="CV49" s="1" t="str">
        <f ca="1">IFERROR(__xludf.DUMMYFUNCTION("if(CV$2="""","""", index(GOOGLEFINANCE($B$49,""close"",CV$2,TODAY()),2,2))"),"")</f>
        <v/>
      </c>
      <c r="CW49" s="1" t="str">
        <f ca="1">IFERROR(__xludf.DUMMYFUNCTION("if(CW$2="""","""", index(GOOGLEFINANCE($B$49,""close"",CW$2,TODAY()),2,2))"),"")</f>
        <v/>
      </c>
      <c r="CX49" s="1" t="str">
        <f ca="1">IFERROR(__xludf.DUMMYFUNCTION("if(CX$2="""","""", index(GOOGLEFINANCE($B$49,""close"",CX$2,TODAY()),2,2))"),"")</f>
        <v/>
      </c>
      <c r="CY49" s="1" t="str">
        <f ca="1">IFERROR(__xludf.DUMMYFUNCTION("if(CY$2="""","""", index(GOOGLEFINANCE($B$49,""close"",CY$2,TODAY()),2,2))"),"")</f>
        <v/>
      </c>
      <c r="CZ49" s="1" t="str">
        <f ca="1">IFERROR(__xludf.DUMMYFUNCTION("if(CZ$2="""","""", index(GOOGLEFINANCE($B$49,""close"",CZ$2,TODAY()),2,2))"),"")</f>
        <v/>
      </c>
      <c r="DA49" s="1" t="str">
        <f ca="1">IFERROR(__xludf.DUMMYFUNCTION("if(DA$2="""","""", index(GOOGLEFINANCE($B$49,""close"",DA$2,TODAY()),2,2))"),"")</f>
        <v/>
      </c>
      <c r="DB49" s="1" t="str">
        <f ca="1">IFERROR(__xludf.DUMMYFUNCTION("if(DB$2="""","""", index(GOOGLEFINANCE($B$49,""close"",DB$2,TODAY()),2,2))"),"")</f>
        <v/>
      </c>
      <c r="DC49" s="1" t="str">
        <f ca="1">IFERROR(__xludf.DUMMYFUNCTION("if(DC$2="""","""", index(GOOGLEFINANCE($B$49,""close"",DC$2,TODAY()),2,2))"),"")</f>
        <v/>
      </c>
      <c r="DD49" s="1" t="str">
        <f ca="1">IFERROR(__xludf.DUMMYFUNCTION("if(DD$2="""","""", index(GOOGLEFINANCE($B$49,""close"",DD$2,TODAY()),2,2))"),"")</f>
        <v/>
      </c>
      <c r="DE49" s="1" t="str">
        <f ca="1">IFERROR(__xludf.DUMMYFUNCTION("if(DE$2="""","""", index(GOOGLEFINANCE($B$49,""close"",DE$2,TODAY()),2,2))"),"")</f>
        <v/>
      </c>
      <c r="DF49" s="1" t="str">
        <f ca="1">IFERROR(__xludf.DUMMYFUNCTION("if(DF$2="""","""", index(GOOGLEFINANCE($B$49,""close"",DF$2,TODAY()),2,2))"),"")</f>
        <v/>
      </c>
      <c r="DG49" s="1" t="str">
        <f ca="1">IFERROR(__xludf.DUMMYFUNCTION("if(DG$2="""","""", index(GOOGLEFINANCE($B$49,""close"",DG$2,TODAY()),2,2))"),"")</f>
        <v/>
      </c>
      <c r="DH49" s="1" t="str">
        <f ca="1">IFERROR(__xludf.DUMMYFUNCTION("if(DH$2="""","""", index(GOOGLEFINANCE($B$49,""close"",DH$2,TODAY()),2,2))"),"")</f>
        <v/>
      </c>
      <c r="DI49" s="1" t="str">
        <f ca="1">IFERROR(__xludf.DUMMYFUNCTION("if(DI$2="""","""", index(GOOGLEFINANCE($B$49,""close"",DI$2,TODAY()),2,2))"),"")</f>
        <v/>
      </c>
      <c r="DJ49" s="1" t="str">
        <f ca="1">IFERROR(__xludf.DUMMYFUNCTION("if(DJ$2="""","""", index(GOOGLEFINANCE($B$49,""close"",DJ$2,TODAY()),2,2))"),"")</f>
        <v/>
      </c>
      <c r="DK49" s="1" t="str">
        <f ca="1">IFERROR(__xludf.DUMMYFUNCTION("if(DK$2="""","""", index(GOOGLEFINANCE($B$49,""close"",DK$2,TODAY()),2,2))"),"")</f>
        <v/>
      </c>
      <c r="DL49" s="1" t="str">
        <f ca="1">IFERROR(__xludf.DUMMYFUNCTION("if(DL$2="""","""", index(GOOGLEFINANCE($B$49,""close"",DL$2,TODAY()),2,2))"),"")</f>
        <v/>
      </c>
      <c r="DM49" s="1" t="str">
        <f ca="1">IFERROR(__xludf.DUMMYFUNCTION("if(DM$2="""","""", index(GOOGLEFINANCE($B$49,""close"",DM$2,TODAY()),2,2))"),"")</f>
        <v/>
      </c>
      <c r="DN49" s="1" t="str">
        <f ca="1">IFERROR(__xludf.DUMMYFUNCTION("if(DN$2="""","""", index(GOOGLEFINANCE($B$49,""close"",DN$2,TODAY()),2,2))"),"")</f>
        <v/>
      </c>
      <c r="DO49" s="1" t="str">
        <f ca="1">IFERROR(__xludf.DUMMYFUNCTION("if(DO$2="""","""", index(GOOGLEFINANCE($B$49,""close"",DO$2,TODAY()),2,2))"),"")</f>
        <v/>
      </c>
      <c r="DP49" s="1" t="str">
        <f ca="1">IFERROR(__xludf.DUMMYFUNCTION("if(DP$2="""","""", index(GOOGLEFINANCE($B$49,""close"",DP$2,TODAY()),2,2))"),"")</f>
        <v/>
      </c>
      <c r="DQ49" s="1" t="str">
        <f ca="1">IFERROR(__xludf.DUMMYFUNCTION("if(DQ$2="""","""", index(GOOGLEFINANCE($B$49,""close"",DQ$2,TODAY()),2,2))"),"")</f>
        <v/>
      </c>
      <c r="DR49" s="1" t="str">
        <f ca="1">IFERROR(__xludf.DUMMYFUNCTION("if(DR$2="""","""", index(GOOGLEFINANCE($B$49,""close"",DR$2,TODAY()),2,2))"),"")</f>
        <v/>
      </c>
      <c r="DS49" s="1" t="str">
        <f ca="1">IFERROR(__xludf.DUMMYFUNCTION("if(DS$2="""","""", index(GOOGLEFINANCE($B$49,""close"",DS$2,TODAY()),2,2))"),"")</f>
        <v/>
      </c>
      <c r="DT49" s="1" t="str">
        <f ca="1">IFERROR(__xludf.DUMMYFUNCTION("if(DT$2="""","""", index(GOOGLEFINANCE($B$49,""close"",DT$2,TODAY()),2,2))"),"")</f>
        <v/>
      </c>
      <c r="DU49" s="1" t="str">
        <f ca="1">IFERROR(__xludf.DUMMYFUNCTION("if(DU$2="""","""", index(GOOGLEFINANCE($B$49,""close"",DU$2,TODAY()),2,2))"),"")</f>
        <v/>
      </c>
      <c r="DV49" s="1" t="str">
        <f ca="1">IFERROR(__xludf.DUMMYFUNCTION("if(DV$2="""","""", index(GOOGLEFINANCE($B$49,""close"",DV$2,TODAY()),2,2))"),"")</f>
        <v/>
      </c>
      <c r="DW49" s="1" t="str">
        <f ca="1">IFERROR(__xludf.DUMMYFUNCTION("if(DW$2="""","""", index(GOOGLEFINANCE($B$49,""close"",DW$2,TODAY()),2,2))"),"")</f>
        <v/>
      </c>
      <c r="DX49" s="1" t="str">
        <f ca="1">IFERROR(__xludf.DUMMYFUNCTION("if(DX$2="""","""", index(GOOGLEFINANCE($B$49,""close"",DX$2,TODAY()),2,2))"),"")</f>
        <v/>
      </c>
      <c r="DY49" s="1" t="str">
        <f ca="1">IFERROR(__xludf.DUMMYFUNCTION("if(DY$2="""","""", index(GOOGLEFINANCE($B$49,""close"",DY$2,TODAY()),2,2))"),"")</f>
        <v/>
      </c>
      <c r="DZ49" s="1" t="str">
        <f ca="1">IFERROR(__xludf.DUMMYFUNCTION("if(DZ$2="""","""", index(GOOGLEFINANCE($B$49,""close"",DZ$2,TODAY()),2,2))"),"")</f>
        <v/>
      </c>
      <c r="EA49" s="1" t="str">
        <f ca="1">IFERROR(__xludf.DUMMYFUNCTION("if(EA$2="""","""", index(GOOGLEFINANCE($B$49,""close"",EA$2,TODAY()),2,2))"),"")</f>
        <v/>
      </c>
      <c r="EB49" s="1" t="str">
        <f ca="1">IFERROR(__xludf.DUMMYFUNCTION("if(EB$2="""","""", index(GOOGLEFINANCE($B$49,""close"",EB$2,TODAY()),2,2))"),"")</f>
        <v/>
      </c>
      <c r="EC49" s="1" t="str">
        <f ca="1">IFERROR(__xludf.DUMMYFUNCTION("if(EC$2="""","""", index(GOOGLEFINANCE($B$49,""close"",EC$2,TODAY()),2,2))"),"")</f>
        <v/>
      </c>
      <c r="ED49" s="1" t="str">
        <f ca="1">IFERROR(__xludf.DUMMYFUNCTION("if(ED$2="""","""", index(GOOGLEFINANCE($B$49,""close"",ED$2,TODAY()),2,2))"),"")</f>
        <v/>
      </c>
      <c r="EE49" s="1" t="str">
        <f ca="1">IFERROR(__xludf.DUMMYFUNCTION("if(EE$2="""","""", index(GOOGLEFINANCE($B$49,""close"",EE$2,TODAY()),2,2))"),"")</f>
        <v/>
      </c>
      <c r="EF49" s="1" t="str">
        <f ca="1">IFERROR(__xludf.DUMMYFUNCTION("if(EF$2="""","""", index(GOOGLEFINANCE($B$49,""close"",EF$2,TODAY()),2,2))"),"")</f>
        <v/>
      </c>
      <c r="EG49" s="1" t="str">
        <f ca="1">IFERROR(__xludf.DUMMYFUNCTION("if(EG$2="""","""", index(GOOGLEFINANCE($B$49,""close"",EG$2,TODAY()),2,2))"),"")</f>
        <v/>
      </c>
      <c r="EH49" s="1" t="str">
        <f ca="1">IFERROR(__xludf.DUMMYFUNCTION("if(EH$2="""","""", index(GOOGLEFINANCE($B$49,""close"",EH$2,TODAY()),2,2))"),"")</f>
        <v/>
      </c>
      <c r="EI49" s="1" t="str">
        <f ca="1">IFERROR(__xludf.DUMMYFUNCTION("if(EI$2="""","""", index(GOOGLEFINANCE($B$49,""close"",EI$2,TODAY()),2,2))"),"")</f>
        <v/>
      </c>
      <c r="EJ49" s="1" t="str">
        <f ca="1">IFERROR(__xludf.DUMMYFUNCTION("if(EJ$2="""","""", index(GOOGLEFINANCE($B$49,""close"",EJ$2,TODAY()),2,2))"),"")</f>
        <v/>
      </c>
      <c r="EK49" s="1" t="str">
        <f ca="1">IFERROR(__xludf.DUMMYFUNCTION("if(EK$2="""","""", index(GOOGLEFINANCE($B$49,""close"",EK$2,TODAY()),2,2))"),"")</f>
        <v/>
      </c>
      <c r="EL49" s="1" t="str">
        <f ca="1">IFERROR(__xludf.DUMMYFUNCTION("if(EL$2="""","""", index(GOOGLEFINANCE($B$49,""close"",EL$2,TODAY()),2,2))"),"")</f>
        <v/>
      </c>
      <c r="EM49" s="1" t="str">
        <f ca="1">IFERROR(__xludf.DUMMYFUNCTION("if(EM$2="""","""", index(GOOGLEFINANCE($B$49,""close"",EM$2,TODAY()),2,2))"),"")</f>
        <v/>
      </c>
      <c r="EN49" s="1" t="str">
        <f ca="1">IFERROR(__xludf.DUMMYFUNCTION("if(EN$2="""","""", index(GOOGLEFINANCE($B$49,""close"",EN$2,TODAY()),2,2))"),"")</f>
        <v/>
      </c>
      <c r="EO49" s="1" t="str">
        <f ca="1">IFERROR(__xludf.DUMMYFUNCTION("if(EO$2="""","""", index(GOOGLEFINANCE($B$49,""close"",EO$2,TODAY()),2,2))"),"")</f>
        <v/>
      </c>
      <c r="EP49" s="1" t="str">
        <f ca="1">IFERROR(__xludf.DUMMYFUNCTION("if(EP$2="""","""", index(GOOGLEFINANCE($B$49,""close"",EP$2,TODAY()),2,2))"),"")</f>
        <v/>
      </c>
      <c r="EQ49" s="1" t="str">
        <f ca="1">IFERROR(__xludf.DUMMYFUNCTION("if(EQ$2="""","""", index(GOOGLEFINANCE($B$49,""close"",EQ$2,TODAY()),2,2))"),"")</f>
        <v/>
      </c>
      <c r="ER49" s="1" t="str">
        <f ca="1">IFERROR(__xludf.DUMMYFUNCTION("if(ER$2="""","""", index(GOOGLEFINANCE($B$49,""close"",ER$2,TODAY()),2,2))"),"")</f>
        <v/>
      </c>
      <c r="ES49" s="1" t="str">
        <f ca="1">IFERROR(__xludf.DUMMYFUNCTION("if(ES$2="""","""", index(GOOGLEFINANCE($B$49,""close"",ES$2,TODAY()),2,2))"),"")</f>
        <v/>
      </c>
      <c r="ET49" s="1" t="str">
        <f ca="1">IFERROR(__xludf.DUMMYFUNCTION("if(ET$2="""","""", index(GOOGLEFINANCE($B$49,""close"",ET$2,TODAY()),2,2))"),"")</f>
        <v/>
      </c>
      <c r="EU49" s="1" t="str">
        <f ca="1">IFERROR(__xludf.DUMMYFUNCTION("if(EU$2="""","""", index(GOOGLEFINANCE($B$49,""close"",EU$2,TODAY()),2,2))"),"")</f>
        <v/>
      </c>
      <c r="EV49" s="1" t="str">
        <f ca="1">IFERROR(__xludf.DUMMYFUNCTION("if(EV$2="""","""", index(GOOGLEFINANCE($B$49,""close"",EV$2,TODAY()),2,2))"),"")</f>
        <v/>
      </c>
      <c r="EW49" s="1" t="str">
        <f ca="1">IFERROR(__xludf.DUMMYFUNCTION("if(EW$2="""","""", index(GOOGLEFINANCE($B$49,""close"",EW$2,TODAY()),2,2))"),"")</f>
        <v/>
      </c>
      <c r="EX49" s="1" t="str">
        <f ca="1">IFERROR(__xludf.DUMMYFUNCTION("if(EX$2="""","""", index(GOOGLEFINANCE($B$49,""close"",EX$2,TODAY()),2,2))"),"")</f>
        <v/>
      </c>
      <c r="EY49" s="1" t="str">
        <f ca="1">IFERROR(__xludf.DUMMYFUNCTION("if(EY$2="""","""", index(GOOGLEFINANCE($B$49,""close"",EY$2,TODAY()),2,2))"),"")</f>
        <v/>
      </c>
      <c r="EZ49" s="1" t="str">
        <f ca="1">IFERROR(__xludf.DUMMYFUNCTION("if(EZ$2="""","""", index(GOOGLEFINANCE($B$49,""close"",EZ$2,TODAY()),2,2))"),"")</f>
        <v/>
      </c>
      <c r="FA49" s="1" t="str">
        <f ca="1">IFERROR(__xludf.DUMMYFUNCTION("if(FA$2="""","""", index(GOOGLEFINANCE($B$49,""close"",FA$2,TODAY()),2,2))"),"")</f>
        <v/>
      </c>
      <c r="FB49" s="1" t="str">
        <f ca="1">IFERROR(__xludf.DUMMYFUNCTION("if(FB$2="""","""", index(GOOGLEFINANCE($B$49,""close"",FB$2,TODAY()),2,2))"),"")</f>
        <v/>
      </c>
      <c r="FC49" s="1" t="str">
        <f ca="1">IFERROR(__xludf.DUMMYFUNCTION("if(FC$2="""","""", index(GOOGLEFINANCE($B$49,""close"",FC$2,TODAY()),2,2))"),"")</f>
        <v/>
      </c>
      <c r="FD49" s="1" t="str">
        <f ca="1">IFERROR(__xludf.DUMMYFUNCTION("if(FD$2="""","""", index(GOOGLEFINANCE($B$49,""close"",FD$2,TODAY()),2,2))"),"")</f>
        <v/>
      </c>
      <c r="FE49" s="1" t="str">
        <f ca="1">IFERROR(__xludf.DUMMYFUNCTION("if(FE$2="""","""", index(GOOGLEFINANCE($B$49,""close"",FE$2,TODAY()),2,2))"),"")</f>
        <v/>
      </c>
      <c r="FF49" s="1" t="str">
        <f ca="1">IFERROR(__xludf.DUMMYFUNCTION("if(FF$2="""","""", index(GOOGLEFINANCE($B$49,""close"",FF$2,TODAY()),2,2))"),"")</f>
        <v/>
      </c>
      <c r="FG49" s="1" t="str">
        <f ca="1">IFERROR(__xludf.DUMMYFUNCTION("if(FG$2="""","""", index(GOOGLEFINANCE($B$49,""close"",FG$2,TODAY()),2,2))"),"")</f>
        <v/>
      </c>
      <c r="FH49" s="1" t="str">
        <f ca="1">IFERROR(__xludf.DUMMYFUNCTION("if(FH$2="""","""", index(GOOGLEFINANCE($B$49,""close"",FH$2,TODAY()),2,2))"),"")</f>
        <v/>
      </c>
      <c r="FI49" s="1" t="str">
        <f ca="1">IFERROR(__xludf.DUMMYFUNCTION("if(FI$2="""","""", index(GOOGLEFINANCE($B$49,""close"",FI$2,TODAY()),2,2))"),"")</f>
        <v/>
      </c>
      <c r="FJ49" s="1" t="str">
        <f ca="1">IFERROR(__xludf.DUMMYFUNCTION("if(FJ$2="""","""", index(GOOGLEFINANCE($B$49,""close"",FJ$2,TODAY()),2,2))"),"")</f>
        <v/>
      </c>
      <c r="FK49" s="1" t="str">
        <f ca="1">IFERROR(__xludf.DUMMYFUNCTION("if(FK$2="""","""", index(GOOGLEFINANCE($B$49,""close"",FK$2,TODAY()),2,2))"),"")</f>
        <v/>
      </c>
      <c r="FL49" s="1" t="str">
        <f ca="1">IFERROR(__xludf.DUMMYFUNCTION("if(FL$2="""","""", index(GOOGLEFINANCE($B$49,""close"",FL$2,TODAY()),2,2))"),"")</f>
        <v/>
      </c>
      <c r="FM49" s="1" t="str">
        <f ca="1">IFERROR(__xludf.DUMMYFUNCTION("if(FM$2="""","""", index(GOOGLEFINANCE($B$49,""close"",FM$2,TODAY()),2,2))"),"")</f>
        <v/>
      </c>
      <c r="FN49" s="1" t="str">
        <f ca="1">IFERROR(__xludf.DUMMYFUNCTION("if(FN$2="""","""", index(GOOGLEFINANCE($B$49,""close"",FN$2,TODAY()),2,2))"),"")</f>
        <v/>
      </c>
      <c r="FO49" s="1" t="str">
        <f ca="1">IFERROR(__xludf.DUMMYFUNCTION("if(FO$2="""","""", index(GOOGLEFINANCE($B$49,""close"",FO$2,TODAY()),2,2))"),"")</f>
        <v/>
      </c>
      <c r="FP49" s="1" t="str">
        <f ca="1">IFERROR(__xludf.DUMMYFUNCTION("if(FP$2="""","""", index(GOOGLEFINANCE($B$49,""close"",FP$2,TODAY()),2,2))"),"")</f>
        <v/>
      </c>
      <c r="FQ49" s="1" t="str">
        <f ca="1">IFERROR(__xludf.DUMMYFUNCTION("if(FQ$2="""","""", index(GOOGLEFINANCE($B$49,""close"",FQ$2,TODAY()),2,2))"),"")</f>
        <v/>
      </c>
      <c r="FR49" s="1" t="str">
        <f ca="1">IFERROR(__xludf.DUMMYFUNCTION("if(FR$2="""","""", index(GOOGLEFINANCE($B$49,""close"",FR$2,TODAY()),2,2))"),"")</f>
        <v/>
      </c>
      <c r="FS49" s="1" t="str">
        <f ca="1">IFERROR(__xludf.DUMMYFUNCTION("if(FS$2="""","""", index(GOOGLEFINANCE($B$49,""close"",FS$2,TODAY()),2,2))"),"")</f>
        <v/>
      </c>
      <c r="FT49" s="1" t="str">
        <f ca="1">IFERROR(__xludf.DUMMYFUNCTION("if(FT$2="""","""", index(GOOGLEFINANCE($B$49,""close"",FT$2,TODAY()),2,2))"),"")</f>
        <v/>
      </c>
      <c r="FU49" s="1" t="str">
        <f ca="1">IFERROR(__xludf.DUMMYFUNCTION("if(FU$2="""","""", index(GOOGLEFINANCE($B$49,""close"",FU$2,TODAY()),2,2))"),"")</f>
        <v/>
      </c>
      <c r="FV49" s="1" t="str">
        <f ca="1">IFERROR(__xludf.DUMMYFUNCTION("if(FV$2="""","""", index(GOOGLEFINANCE($B$49,""close"",FV$2,TODAY()),2,2))"),"")</f>
        <v/>
      </c>
      <c r="FW49" s="1" t="str">
        <f ca="1">IFERROR(__xludf.DUMMYFUNCTION("if(FW$2="""","""", index(GOOGLEFINANCE($B$49,""close"",FW$2,TODAY()),2,2))"),"")</f>
        <v/>
      </c>
      <c r="FX49" s="1" t="str">
        <f ca="1">IFERROR(__xludf.DUMMYFUNCTION("if(FX$2="""","""", index(GOOGLEFINANCE($B$49,""close"",FX$2,TODAY()),2,2))"),"")</f>
        <v/>
      </c>
      <c r="FY49" s="1" t="str">
        <f ca="1">IFERROR(__xludf.DUMMYFUNCTION("if(FY$2="""","""", index(GOOGLEFINANCE($B$49,""close"",FY$2,TODAY()),2,2))"),"")</f>
        <v/>
      </c>
      <c r="FZ49" s="1" t="str">
        <f ca="1">IFERROR(__xludf.DUMMYFUNCTION("if(FZ$2="""","""", index(GOOGLEFINANCE($B$49,""close"",FZ$2,TODAY()),2,2))"),"")</f>
        <v/>
      </c>
      <c r="GA49" s="1" t="str">
        <f ca="1">IFERROR(__xludf.DUMMYFUNCTION("if(GA$2="""","""", index(GOOGLEFINANCE($B$49,""close"",GA$2,TODAY()),2,2))"),"")</f>
        <v/>
      </c>
      <c r="GB49" s="1" t="str">
        <f ca="1">IFERROR(__xludf.DUMMYFUNCTION("if(GB$2="""","""", index(GOOGLEFINANCE($B$49,""close"",GB$2,TODAY()),2,2))"),"")</f>
        <v/>
      </c>
      <c r="GC49" s="1" t="str">
        <f ca="1">IFERROR(__xludf.DUMMYFUNCTION("if(GC$2="""","""", index(GOOGLEFINANCE($B$49,""close"",GC$2,TODAY()),2,2))"),"")</f>
        <v/>
      </c>
      <c r="GD49" s="1" t="str">
        <f ca="1">IFERROR(__xludf.DUMMYFUNCTION("if(GD$2="""","""", index(GOOGLEFINANCE($B$49,""close"",GD$2,TODAY()),2,2))"),"")</f>
        <v/>
      </c>
      <c r="GE49" s="1" t="str">
        <f ca="1">IFERROR(__xludf.DUMMYFUNCTION("if(GE$2="""","""", index(GOOGLEFINANCE($B$49,""close"",GE$2,TODAY()),2,2))"),"")</f>
        <v/>
      </c>
      <c r="GF49" s="1" t="str">
        <f ca="1">IFERROR(__xludf.DUMMYFUNCTION("if(GF$2="""","""", index(GOOGLEFINANCE($B$49,""close"",GF$2,TODAY()),2,2))"),"")</f>
        <v/>
      </c>
      <c r="GG49" s="1" t="str">
        <f ca="1">IFERROR(__xludf.DUMMYFUNCTION("if(GG$2="""","""", index(GOOGLEFINANCE($B$49,""close"",GG$2,TODAY()),2,2))"),"")</f>
        <v/>
      </c>
      <c r="GH49" s="1" t="str">
        <f ca="1">IFERROR(__xludf.DUMMYFUNCTION("if(GH$2="""","""", index(GOOGLEFINANCE($B$49,""close"",GH$2,TODAY()),2,2))"),"")</f>
        <v/>
      </c>
      <c r="GI49" s="1" t="str">
        <f ca="1">IFERROR(__xludf.DUMMYFUNCTION("if(GI$2="""","""", index(GOOGLEFINANCE($B$49,""close"",GI$2,TODAY()),2,2))"),"")</f>
        <v/>
      </c>
      <c r="GJ49" s="1" t="str">
        <f ca="1">IFERROR(__xludf.DUMMYFUNCTION("if(GJ$2="""","""", index(GOOGLEFINANCE($B$49,""close"",GJ$2,TODAY()),2,2))"),"")</f>
        <v/>
      </c>
      <c r="GK49" s="1" t="str">
        <f ca="1">IFERROR(__xludf.DUMMYFUNCTION("if(GK$2="""","""", index(GOOGLEFINANCE($B$49,""close"",GK$2,TODAY()),2,2))"),"")</f>
        <v/>
      </c>
      <c r="GL49" s="1" t="str">
        <f ca="1">IFERROR(__xludf.DUMMYFUNCTION("if(GL$2="""","""", index(GOOGLEFINANCE($B$49,""close"",GL$2,TODAY()),2,2))"),"")</f>
        <v/>
      </c>
      <c r="GM49" s="1" t="str">
        <f ca="1">IFERROR(__xludf.DUMMYFUNCTION("if(GM$2="""","""", index(GOOGLEFINANCE($B$49,""close"",GM$2,TODAY()),2,2))"),"")</f>
        <v/>
      </c>
      <c r="GN49" s="1" t="str">
        <f ca="1">IFERROR(__xludf.DUMMYFUNCTION("if(GN$2="""","""", index(GOOGLEFINANCE($B$49,""close"",GN$2,TODAY()),2,2))"),"")</f>
        <v/>
      </c>
      <c r="GO49" s="1" t="str">
        <f ca="1">IFERROR(__xludf.DUMMYFUNCTION("if(GO$2="""","""", index(GOOGLEFINANCE($B$49,""close"",GO$2,TODAY()),2,2))"),"")</f>
        <v/>
      </c>
      <c r="GP49" s="1" t="str">
        <f ca="1">IFERROR(__xludf.DUMMYFUNCTION("if(GP$2="""","""", index(GOOGLEFINANCE($B$49,""close"",GP$2,TODAY()),2,2))"),"")</f>
        <v/>
      </c>
      <c r="GQ49" s="1" t="str">
        <f ca="1">IFERROR(__xludf.DUMMYFUNCTION("if(GQ$2="""","""", index(GOOGLEFINANCE($B$49,""close"",GQ$2,TODAY()),2,2))"),"")</f>
        <v/>
      </c>
      <c r="GR49" s="1" t="str">
        <f ca="1">IFERROR(__xludf.DUMMYFUNCTION("if(GR$2="""","""", index(GOOGLEFINANCE($B$49,""close"",GR$2,TODAY()),2,2))"),"")</f>
        <v/>
      </c>
      <c r="GS49" s="1" t="str">
        <f ca="1">IFERROR(__xludf.DUMMYFUNCTION("if(GS$2="""","""", index(GOOGLEFINANCE($B$49,""close"",GS$2,TODAY()),2,2))"),"")</f>
        <v/>
      </c>
      <c r="GT49" s="1" t="str">
        <f ca="1">IFERROR(__xludf.DUMMYFUNCTION("if(GT$2="""","""", index(GOOGLEFINANCE($B$49,""close"",GT$2,TODAY()),2,2))"),"")</f>
        <v/>
      </c>
      <c r="GU49" s="1" t="str">
        <f ca="1">IFERROR(__xludf.DUMMYFUNCTION("if(GU$2="""","""", index(GOOGLEFINANCE($B$49,""close"",GU$2,TODAY()),2,2))"),"")</f>
        <v/>
      </c>
      <c r="GV49" s="1" t="str">
        <f ca="1">IFERROR(__xludf.DUMMYFUNCTION("if(GV$2="""","""", index(GOOGLEFINANCE($B$49,""close"",GV$2,TODAY()),2,2))"),"")</f>
        <v/>
      </c>
      <c r="GW49" s="1" t="str">
        <f ca="1">IFERROR(__xludf.DUMMYFUNCTION("if(GW$2="""","""", index(GOOGLEFINANCE($B$49,""close"",GW$2,TODAY()),2,2))"),"")</f>
        <v/>
      </c>
      <c r="GX49" s="1" t="str">
        <f ca="1">IFERROR(__xludf.DUMMYFUNCTION("if(GX$2="""","""", index(GOOGLEFINANCE($B$49,""close"",GX$2,TODAY()),2,2))"),"")</f>
        <v/>
      </c>
      <c r="GY49" s="1" t="str">
        <f ca="1">IFERROR(__xludf.DUMMYFUNCTION("if(GY$2="""","""", index(GOOGLEFINANCE($B$49,""close"",GY$2,TODAY()),2,2))"),"")</f>
        <v/>
      </c>
      <c r="GZ49" s="1" t="str">
        <f ca="1">IFERROR(__xludf.DUMMYFUNCTION("if(GZ$2="""","""", index(GOOGLEFINANCE($B$49,""close"",GZ$2,TODAY()),2,2))"),"")</f>
        <v/>
      </c>
      <c r="HA49" s="1" t="str">
        <f ca="1">IFERROR(__xludf.DUMMYFUNCTION("if(HA$2="""","""", index(GOOGLEFINANCE($B$49,""close"",HA$2,TODAY()),2,2))"),"")</f>
        <v/>
      </c>
      <c r="HB49" s="1" t="str">
        <f ca="1">IFERROR(__xludf.DUMMYFUNCTION("if(HB$2="""","""", index(GOOGLEFINANCE($B$49,""close"",HB$2,TODAY()),2,2))"),"")</f>
        <v/>
      </c>
      <c r="HC49" s="1" t="str">
        <f ca="1">IFERROR(__xludf.DUMMYFUNCTION("if(HC$2="""","""", index(GOOGLEFINANCE($B$49,""close"",HC$2,TODAY()),2,2))"),"")</f>
        <v/>
      </c>
      <c r="HD49" s="1" t="str">
        <f ca="1">IFERROR(__xludf.DUMMYFUNCTION("if(HD$2="""","""", index(GOOGLEFINANCE($B$49,""close"",HD$2,TODAY()),2,2))"),"")</f>
        <v/>
      </c>
      <c r="HE49" s="1" t="str">
        <f ca="1">IFERROR(__xludf.DUMMYFUNCTION("if(HE$2="""","""", index(GOOGLEFINANCE($B$49,""close"",HE$2,TODAY()),2,2))"),"")</f>
        <v/>
      </c>
      <c r="HF49" s="1" t="str">
        <f ca="1">IFERROR(__xludf.DUMMYFUNCTION("if(HF$2="""","""", index(GOOGLEFINANCE($B$49,""close"",HF$2,TODAY()),2,2))"),"")</f>
        <v/>
      </c>
      <c r="HG49" s="1" t="str">
        <f ca="1">IFERROR(__xludf.DUMMYFUNCTION("if(HG$2="""","""", index(GOOGLEFINANCE($B$49,""close"",HG$2,TODAY()),2,2))"),"")</f>
        <v/>
      </c>
      <c r="HH49" s="1" t="str">
        <f ca="1">IFERROR(__xludf.DUMMYFUNCTION("if(HH$2="""","""", index(GOOGLEFINANCE($B$49,""close"",HH$2,TODAY()),2,2))"),"")</f>
        <v/>
      </c>
      <c r="HI49" s="1" t="str">
        <f ca="1">IFERROR(__xludf.DUMMYFUNCTION("if(HI$2="""","""", index(GOOGLEFINANCE($B$49,""close"",HI$2,TODAY()),2,2))"),"")</f>
        <v/>
      </c>
      <c r="HJ49" s="1" t="str">
        <f ca="1">IFERROR(__xludf.DUMMYFUNCTION("if(HJ$2="""","""", index(GOOGLEFINANCE($B$49,""close"",HJ$2,TODAY()),2,2))"),"")</f>
        <v/>
      </c>
      <c r="HK49" s="1" t="str">
        <f ca="1">IFERROR(__xludf.DUMMYFUNCTION("if(HK$2="""","""", index(GOOGLEFINANCE($B$49,""close"",HK$2,TODAY()),2,2))"),"")</f>
        <v/>
      </c>
      <c r="HL49" s="1" t="str">
        <f ca="1">IFERROR(__xludf.DUMMYFUNCTION("if(HL$2="""","""", index(GOOGLEFINANCE($B$49,""close"",HL$2,TODAY()),2,2))"),"")</f>
        <v/>
      </c>
      <c r="HM49" s="1" t="str">
        <f ca="1">IFERROR(__xludf.DUMMYFUNCTION("if(HM$2="""","""", index(GOOGLEFINANCE($B$49,""close"",HM$2,TODAY()),2,2))"),"")</f>
        <v/>
      </c>
      <c r="HN49" s="1" t="str">
        <f ca="1">IFERROR(__xludf.DUMMYFUNCTION("if(HN$2="""","""", index(GOOGLEFINANCE($B$49,""close"",HN$2,TODAY()),2,2))"),"")</f>
        <v/>
      </c>
      <c r="HO49" s="1" t="str">
        <f ca="1">IFERROR(__xludf.DUMMYFUNCTION("if(HO$2="""","""", index(GOOGLEFINANCE($B$49,""close"",HO$2,TODAY()),2,2))"),"")</f>
        <v/>
      </c>
      <c r="HP49" s="1" t="str">
        <f ca="1">IFERROR(__xludf.DUMMYFUNCTION("if(HP$2="""","""", index(GOOGLEFINANCE($B$49,""close"",HP$2,TODAY()),2,2))"),"")</f>
        <v/>
      </c>
      <c r="HQ49" s="1" t="str">
        <f ca="1">IFERROR(__xludf.DUMMYFUNCTION("if(HQ$2="""","""", index(GOOGLEFINANCE($B$49,""close"",HQ$2,TODAY()),2,2))"),"")</f>
        <v/>
      </c>
      <c r="HR49" s="1" t="str">
        <f ca="1">IFERROR(__xludf.DUMMYFUNCTION("if(HR$2="""","""", index(GOOGLEFINANCE($B$49,""close"",HR$2,TODAY()),2,2))"),"")</f>
        <v/>
      </c>
      <c r="HS49" s="1" t="str">
        <f ca="1">IFERROR(__xludf.DUMMYFUNCTION("if(HS$2="""","""", index(GOOGLEFINANCE($B$49,""close"",HS$2,TODAY()),2,2))"),"")</f>
        <v/>
      </c>
      <c r="HT49" s="1" t="str">
        <f ca="1">IFERROR(__xludf.DUMMYFUNCTION("if(HT$2="""","""", index(GOOGLEFINANCE($B$49,""close"",HT$2,TODAY()),2,2))"),"")</f>
        <v/>
      </c>
      <c r="HU49" s="1" t="str">
        <f ca="1">IFERROR(__xludf.DUMMYFUNCTION("if(HU$2="""","""", index(GOOGLEFINANCE($B$49,""close"",HU$2,TODAY()),2,2))"),"")</f>
        <v/>
      </c>
      <c r="HV49" s="1" t="str">
        <f ca="1">IFERROR(__xludf.DUMMYFUNCTION("if(HV$2="""","""", index(GOOGLEFINANCE($B$49,""close"",HV$2,TODAY()),2,2))"),"")</f>
        <v/>
      </c>
      <c r="HW49" s="1" t="str">
        <f ca="1">IFERROR(__xludf.DUMMYFUNCTION("if(HW$2="""","""", index(GOOGLEFINANCE($B$49,""close"",HW$2,TODAY()),2,2))"),"")</f>
        <v/>
      </c>
      <c r="HX49" s="1" t="str">
        <f ca="1">IFERROR(__xludf.DUMMYFUNCTION("if(HX$2="""","""", index(GOOGLEFINANCE($B$49,""close"",HX$2,TODAY()),2,2))"),"")</f>
        <v/>
      </c>
      <c r="HY49" s="1" t="str">
        <f ca="1">IFERROR(__xludf.DUMMYFUNCTION("if(HY$2="""","""", index(GOOGLEFINANCE($B$49,""close"",HY$2,TODAY()),2,2))"),"")</f>
        <v/>
      </c>
      <c r="HZ49" s="1" t="str">
        <f ca="1">IFERROR(__xludf.DUMMYFUNCTION("if(HZ$2="""","""", index(GOOGLEFINANCE($B$49,""close"",HZ$2,TODAY()),2,2))"),"")</f>
        <v/>
      </c>
      <c r="IA49" s="1" t="str">
        <f ca="1">IFERROR(__xludf.DUMMYFUNCTION("if(IA$2="""","""", index(GOOGLEFINANCE($B$49,""close"",IA$2,TODAY()),2,2))"),"")</f>
        <v/>
      </c>
      <c r="IB49" s="1" t="str">
        <f ca="1">IFERROR(__xludf.DUMMYFUNCTION("if(IB$2="""","""", index(GOOGLEFINANCE($B$49,""close"",IB$2,TODAY()),2,2))"),"")</f>
        <v/>
      </c>
      <c r="IC49" s="1" t="str">
        <f ca="1">IFERROR(__xludf.DUMMYFUNCTION("if(IC$2="""","""", index(GOOGLEFINANCE($B$49,""close"",IC$2,TODAY()),2,2))"),"")</f>
        <v/>
      </c>
      <c r="ID49" s="1" t="str">
        <f ca="1">IFERROR(__xludf.DUMMYFUNCTION("if(ID$2="""","""", index(GOOGLEFINANCE($B$49,""close"",ID$2,TODAY()),2,2))"),"")</f>
        <v/>
      </c>
      <c r="IE49" s="1" t="str">
        <f ca="1">IFERROR(__xludf.DUMMYFUNCTION("if(IE$2="""","""", index(GOOGLEFINANCE($B$49,""close"",IE$2,TODAY()),2,2))"),"")</f>
        <v/>
      </c>
      <c r="IF49" s="1" t="str">
        <f ca="1">IFERROR(__xludf.DUMMYFUNCTION("if(IF$2="""","""", index(GOOGLEFINANCE($B$49,""close"",IF$2,TODAY()),2,2))"),"")</f>
        <v/>
      </c>
      <c r="IG49" s="1" t="str">
        <f ca="1">IFERROR(__xludf.DUMMYFUNCTION("if(IG$2="""","""", index(GOOGLEFINANCE($B$49,""close"",IG$2,TODAY()),2,2))"),"")</f>
        <v/>
      </c>
      <c r="IH49" s="1" t="str">
        <f ca="1">IFERROR(__xludf.DUMMYFUNCTION("if(IH$2="""","""", index(GOOGLEFINANCE($B$49,""close"",IH$2,TODAY()),2,2))"),"")</f>
        <v/>
      </c>
      <c r="II49" s="1" t="str">
        <f ca="1">IFERROR(__xludf.DUMMYFUNCTION("if(II$2="""","""", index(GOOGLEFINANCE($B$49,""close"",II$2,TODAY()),2,2))"),"")</f>
        <v/>
      </c>
      <c r="IJ49" s="1" t="str">
        <f ca="1">IFERROR(__xludf.DUMMYFUNCTION("if(IJ$2="""","""", index(GOOGLEFINANCE($B$49,""close"",IJ$2,TODAY()),2,2))"),"")</f>
        <v/>
      </c>
      <c r="IK49" s="1" t="str">
        <f ca="1">IFERROR(__xludf.DUMMYFUNCTION("if(IK$2="""","""", index(GOOGLEFINANCE($B$49,""close"",IK$2,TODAY()),2,2))"),"")</f>
        <v/>
      </c>
      <c r="IL49" s="1" t="str">
        <f ca="1">IFERROR(__xludf.DUMMYFUNCTION("if(IL$2="""","""", index(GOOGLEFINANCE($B$49,""close"",IL$2,TODAY()),2,2))"),"")</f>
        <v/>
      </c>
      <c r="IM49" s="1" t="str">
        <f ca="1">IFERROR(__xludf.DUMMYFUNCTION("if(IM$2="""","""", index(GOOGLEFINANCE($B$49,""close"",IM$2,TODAY()),2,2))"),"")</f>
        <v/>
      </c>
      <c r="IN49" s="1" t="str">
        <f ca="1">IFERROR(__xludf.DUMMYFUNCTION("if(IN$2="""","""", index(GOOGLEFINANCE($B$49,""close"",IN$2,TODAY()),2,2))"),"")</f>
        <v/>
      </c>
      <c r="IO49" s="1" t="str">
        <f ca="1">IFERROR(__xludf.DUMMYFUNCTION("if(IO$2="""","""", index(GOOGLEFINANCE($B$49,""close"",IO$2,TODAY()),2,2))"),"")</f>
        <v/>
      </c>
      <c r="IP49" s="1" t="str">
        <f ca="1">IFERROR(__xludf.DUMMYFUNCTION("if(IP$2="""","""", index(GOOGLEFINANCE($B$49,""close"",IP$2,TODAY()),2,2))"),"")</f>
        <v/>
      </c>
      <c r="IQ49" s="1" t="str">
        <f ca="1">IFERROR(__xludf.DUMMYFUNCTION("if(IQ$2="""","""", index(GOOGLEFINANCE($B$49,""close"",IQ$2,TODAY()),2,2))"),"")</f>
        <v/>
      </c>
      <c r="IR49" s="1" t="str">
        <f ca="1">IFERROR(__xludf.DUMMYFUNCTION("if(IR$2="""","""", index(GOOGLEFINANCE($B$49,""close"",IR$2,TODAY()),2,2))"),"")</f>
        <v/>
      </c>
      <c r="IS49" s="1" t="str">
        <f ca="1">IFERROR(__xludf.DUMMYFUNCTION("if(IS$2="""","""", index(GOOGLEFINANCE($B$49,""close"",IS$2,TODAY()),2,2))"),"")</f>
        <v/>
      </c>
      <c r="IT49" s="1" t="str">
        <f ca="1">IFERROR(__xludf.DUMMYFUNCTION("if(IT$2="""","""", index(GOOGLEFINANCE($B$49,""close"",IT$2,TODAY()),2,2))"),"")</f>
        <v/>
      </c>
      <c r="IU49" s="1" t="str">
        <f ca="1">IFERROR(__xludf.DUMMYFUNCTION("if(IU$2="""","""", index(GOOGLEFINANCE($B$49,""close"",IU$2,TODAY()),2,2))"),"")</f>
        <v/>
      </c>
      <c r="IV49" s="1" t="str">
        <f ca="1">IFERROR(__xludf.DUMMYFUNCTION("if(IV$2="""","""", index(GOOGLEFINANCE($B$49,""close"",IV$2,TODAY()),2,2))"),"")</f>
        <v/>
      </c>
      <c r="IW49" s="1" t="str">
        <f ca="1">IFERROR(__xludf.DUMMYFUNCTION("if(IW$2="""","""", index(GOOGLEFINANCE($B$49,""close"",IW$2,TODAY()),2,2))"),"")</f>
        <v/>
      </c>
      <c r="IX49" s="1" t="str">
        <f ca="1">IFERROR(__xludf.DUMMYFUNCTION("if(IX$2="""","""", index(GOOGLEFINANCE($B$49,""close"",IX$2,TODAY()),2,2))"),"")</f>
        <v/>
      </c>
      <c r="IY49" s="1" t="str">
        <f ca="1">IFERROR(__xludf.DUMMYFUNCTION("if(IY$2="""","""", index(GOOGLEFINANCE($B$49,""close"",IY$2,TODAY()),2,2))"),"")</f>
        <v/>
      </c>
      <c r="IZ49" s="1" t="str">
        <f ca="1">IFERROR(__xludf.DUMMYFUNCTION("if(IZ$2="""","""", index(GOOGLEFINANCE($B$49,""close"",IZ$2,TODAY()),2,2))"),"")</f>
        <v/>
      </c>
      <c r="JA49" s="1" t="str">
        <f ca="1">IFERROR(__xludf.DUMMYFUNCTION("if(JA$2="""","""", index(GOOGLEFINANCE($B$49,""close"",JA$2,TODAY()),2,2))"),"")</f>
        <v/>
      </c>
      <c r="JB49" s="1" t="str">
        <f ca="1">IFERROR(__xludf.DUMMYFUNCTION("if(JB$2="""","""", index(GOOGLEFINANCE($B$49,""close"",JB$2,TODAY()),2,2))"),"")</f>
        <v/>
      </c>
      <c r="JC49" s="1" t="str">
        <f ca="1">IFERROR(__xludf.DUMMYFUNCTION("if(JC$2="""","""", index(GOOGLEFINANCE($B$49,""close"",JC$2,TODAY()),2,2))"),"")</f>
        <v/>
      </c>
      <c r="JD49" s="1" t="str">
        <f ca="1">IFERROR(__xludf.DUMMYFUNCTION("if(JD$2="""","""", index(GOOGLEFINANCE($B$49,""close"",JD$2,TODAY()),2,2))"),"")</f>
        <v/>
      </c>
      <c r="JE49" s="1" t="str">
        <f ca="1">IFERROR(__xludf.DUMMYFUNCTION("if(JE$2="""","""", index(GOOGLEFINANCE($B$49,""close"",JE$2,TODAY()),2,2))"),"")</f>
        <v/>
      </c>
      <c r="JF49" s="1" t="str">
        <f ca="1">IFERROR(__xludf.DUMMYFUNCTION("if(JF$2="""","""", index(GOOGLEFINANCE($B$49,""close"",JF$2,TODAY()),2,2))"),"")</f>
        <v/>
      </c>
      <c r="JG49" s="1" t="str">
        <f ca="1">IFERROR(__xludf.DUMMYFUNCTION("if(JG$2="""","""", index(GOOGLEFINANCE($B$49,""close"",JG$2,TODAY()),2,2))"),"")</f>
        <v/>
      </c>
      <c r="JH49" s="1" t="str">
        <f ca="1">IFERROR(__xludf.DUMMYFUNCTION("if(JH$2="""","""", index(GOOGLEFINANCE($B$49,""close"",JH$2,TODAY()),2,2))"),"")</f>
        <v/>
      </c>
      <c r="JI49" s="1" t="str">
        <f ca="1">IFERROR(__xludf.DUMMYFUNCTION("if(JI$2="""","""", index(GOOGLEFINANCE($B$49,""close"",JI$2,TODAY()),2,2))"),"")</f>
        <v/>
      </c>
      <c r="JJ49" s="1" t="str">
        <f ca="1">IFERROR(__xludf.DUMMYFUNCTION("if(JJ$2="""","""", index(GOOGLEFINANCE($B$49,""close"",JJ$2,TODAY()),2,2))"),"")</f>
        <v/>
      </c>
      <c r="JK49" s="1" t="str">
        <f ca="1">IFERROR(__xludf.DUMMYFUNCTION("if(JK$2="""","""", index(GOOGLEFINANCE($B$49,""close"",JK$2,TODAY()),2,2))"),"")</f>
        <v/>
      </c>
      <c r="JL49" s="1" t="str">
        <f ca="1">IFERROR(__xludf.DUMMYFUNCTION("if(JL$2="""","""", index(GOOGLEFINANCE($B$49,""close"",JL$2,TODAY()),2,2))"),"")</f>
        <v/>
      </c>
      <c r="JM49" s="1" t="str">
        <f ca="1">IFERROR(__xludf.DUMMYFUNCTION("if(JM$2="""","""", index(GOOGLEFINANCE($B$49,""close"",JM$2,TODAY()),2,2))"),"")</f>
        <v/>
      </c>
      <c r="JN49" s="1" t="str">
        <f ca="1">IFERROR(__xludf.DUMMYFUNCTION("if(JN$2="""","""", index(GOOGLEFINANCE($B$49,""close"",JN$2,TODAY()),2,2))"),"")</f>
        <v/>
      </c>
      <c r="JO49" s="1" t="str">
        <f ca="1">IFERROR(__xludf.DUMMYFUNCTION("if(JO$2="""","""", index(GOOGLEFINANCE($B$49,""close"",JO$2,TODAY()),2,2))"),"")</f>
        <v/>
      </c>
      <c r="JP49" s="1" t="str">
        <f ca="1">IFERROR(__xludf.DUMMYFUNCTION("if(JP$2="""","""", index(GOOGLEFINANCE($B$49,""close"",JP$2,TODAY()),2,2))"),"")</f>
        <v/>
      </c>
      <c r="JQ49" s="1" t="str">
        <f ca="1">IFERROR(__xludf.DUMMYFUNCTION("if(JQ$2="""","""", index(GOOGLEFINANCE($B$49,""close"",JQ$2,TODAY()),2,2))"),"")</f>
        <v/>
      </c>
      <c r="JR49" s="1" t="str">
        <f ca="1">IFERROR(__xludf.DUMMYFUNCTION("if(JR$2="""","""", index(GOOGLEFINANCE($B$49,""close"",JR$2,TODAY()),2,2))"),"")</f>
        <v/>
      </c>
      <c r="JS49" s="1" t="str">
        <f ca="1">IFERROR(__xludf.DUMMYFUNCTION("if(JS$2="""","""", index(GOOGLEFINANCE($B$49,""close"",JS$2,TODAY()),2,2))"),"")</f>
        <v/>
      </c>
      <c r="JT49" s="1" t="str">
        <f ca="1">IFERROR(__xludf.DUMMYFUNCTION("if(JT$2="""","""", index(GOOGLEFINANCE($B$49,""close"",JT$2,TODAY()),2,2))"),"")</f>
        <v/>
      </c>
      <c r="JU49" s="1" t="str">
        <f ca="1">IFERROR(__xludf.DUMMYFUNCTION("if(JU$2="""","""", index(GOOGLEFINANCE($B$49,""close"",JU$2,TODAY()),2,2))"),"")</f>
        <v/>
      </c>
      <c r="JV49" s="1" t="str">
        <f ca="1">IFERROR(__xludf.DUMMYFUNCTION("if(JV$2="""","""", index(GOOGLEFINANCE($B$49,""close"",JV$2,TODAY()),2,2))"),"")</f>
        <v/>
      </c>
      <c r="JW49" s="1" t="str">
        <f ca="1">IFERROR(__xludf.DUMMYFUNCTION("if(JW$2="""","""", index(GOOGLEFINANCE($B$49,""close"",JW$2,TODAY()),2,2))"),"")</f>
        <v/>
      </c>
      <c r="JX49" s="1" t="str">
        <f ca="1">IFERROR(__xludf.DUMMYFUNCTION("if(JX$2="""","""", index(GOOGLEFINANCE($B$49,""close"",JX$2,TODAY()),2,2))"),"")</f>
        <v/>
      </c>
      <c r="JY49" s="1" t="str">
        <f ca="1">IFERROR(__xludf.DUMMYFUNCTION("if(JY$2="""","""", index(GOOGLEFINANCE($B$49,""close"",JY$2,TODAY()),2,2))"),"")</f>
        <v/>
      </c>
      <c r="JZ49" s="1" t="str">
        <f ca="1">IFERROR(__xludf.DUMMYFUNCTION("if(JZ$2="""","""", index(GOOGLEFINANCE($B$49,""close"",JZ$2,TODAY()),2,2))"),"")</f>
        <v/>
      </c>
      <c r="KA49" s="1" t="str">
        <f ca="1">IFERROR(__xludf.DUMMYFUNCTION("if(KA$2="""","""", index(GOOGLEFINANCE($B$49,""close"",KA$2,TODAY()),2,2))"),"")</f>
        <v/>
      </c>
      <c r="KB49" s="1" t="str">
        <f ca="1">IFERROR(__xludf.DUMMYFUNCTION("if(KB$2="""","""", index(GOOGLEFINANCE($B$49,""close"",KB$2,TODAY()),2,2))"),"")</f>
        <v/>
      </c>
      <c r="KC49" s="1" t="str">
        <f ca="1">IFERROR(__xludf.DUMMYFUNCTION("if(KC$2="""","""", index(GOOGLEFINANCE($B$49,""close"",KC$2,TODAY()),2,2))"),"")</f>
        <v/>
      </c>
      <c r="KD49" s="1" t="str">
        <f ca="1">IFERROR(__xludf.DUMMYFUNCTION("if(KD$2="""","""", index(GOOGLEFINANCE($B$49,""close"",KD$2,TODAY()),2,2))"),"")</f>
        <v/>
      </c>
      <c r="KE49" s="1" t="str">
        <f ca="1">IFERROR(__xludf.DUMMYFUNCTION("if(KE$2="""","""", index(GOOGLEFINANCE($B$49,""close"",KE$2,TODAY()),2,2))"),"")</f>
        <v/>
      </c>
      <c r="KF49" s="1" t="str">
        <f ca="1">IFERROR(__xludf.DUMMYFUNCTION("if(KF$2="""","""", index(GOOGLEFINANCE($B$49,""close"",KF$2,TODAY()),2,2))"),"")</f>
        <v/>
      </c>
      <c r="KG49" s="1" t="str">
        <f ca="1">IFERROR(__xludf.DUMMYFUNCTION("if(KG$2="""","""", index(GOOGLEFINANCE($B$49,""close"",KG$2,TODAY()),2,2))"),"")</f>
        <v/>
      </c>
    </row>
    <row r="50" spans="1:319" ht="15.75" customHeight="1">
      <c r="A50" s="18" t="s">
        <v>30</v>
      </c>
      <c r="B50" s="6" t="s">
        <v>92</v>
      </c>
      <c r="C50" s="1">
        <f ca="1">IFERROR(__xludf.DUMMYFUNCTION("if(C$2="""","""", index(GOOGLEFINANCE($B$50,""close"",C$2,TODAY()),2,2))"),0.79)</f>
        <v>0.79</v>
      </c>
      <c r="D50" s="1">
        <f ca="1">IFERROR(__xludf.DUMMYFUNCTION("if(D$2="""","""", index(GOOGLEFINANCE($B$50,""close"",D$2,TODAY()),2,2))"),0.83)</f>
        <v>0.83</v>
      </c>
      <c r="E50" s="1">
        <f ca="1">IFERROR(__xludf.DUMMYFUNCTION("if(E$2="""","""", index(GOOGLEFINANCE($B$50,""close"",E$2,TODAY()),2,2))"),0.8)</f>
        <v>0.8</v>
      </c>
      <c r="F50" s="1">
        <f ca="1">IFERROR(__xludf.DUMMYFUNCTION("if(F$2="""","""", index(GOOGLEFINANCE($B$50,""close"",F$2,TODAY()),2,2))"),0.82)</f>
        <v>0.82</v>
      </c>
      <c r="G50" s="1">
        <f ca="1">IFERROR(__xludf.DUMMYFUNCTION("if(G$2="""","""", index(GOOGLEFINANCE($B$50,""close"",G$2,TODAY()),2,2))"),0.82)</f>
        <v>0.82</v>
      </c>
      <c r="H50" s="1">
        <f ca="1">IFERROR(__xludf.DUMMYFUNCTION("if(H$2="""","""", index(GOOGLEFINANCE($B$50,""close"",H$2,TODAY()),2,2))"),0.79)</f>
        <v>0.79</v>
      </c>
      <c r="I50" s="1">
        <f ca="1">IFERROR(__xludf.DUMMYFUNCTION("if(I$2="""","""", index(GOOGLEFINANCE($B$50,""close"",I$2,TODAY()),2,2))"),0.85)</f>
        <v>0.85</v>
      </c>
      <c r="J50" s="1">
        <f ca="1">IFERROR(__xludf.DUMMYFUNCTION("if(J$2="""","""", index(GOOGLEFINANCE($B$50,""close"",J$2,TODAY()),2,2))"),0.86)</f>
        <v>0.86</v>
      </c>
      <c r="K50" s="1">
        <f ca="1">IFERROR(__xludf.DUMMYFUNCTION("if(K$2="""","""", index(GOOGLEFINANCE($B$50,""close"",K$2,TODAY()),2,2))"),0.84)</f>
        <v>0.84</v>
      </c>
      <c r="L50" s="1">
        <f ca="1">IFERROR(__xludf.DUMMYFUNCTION("if(L$2="""","""", index(GOOGLEFINANCE($B$50,""close"",L$2,TODAY()),2,2))"),0.86)</f>
        <v>0.86</v>
      </c>
      <c r="M50" s="1">
        <f ca="1">IFERROR(__xludf.DUMMYFUNCTION("if(M$2="""","""", index(GOOGLEFINANCE($B$50,""close"",M$2,TODAY()),2,2))"),0.89)</f>
        <v>0.89</v>
      </c>
      <c r="N50" s="1">
        <f ca="1">IFERROR(__xludf.DUMMYFUNCTION("if(N$2="""","""", index(GOOGLEFINANCE($B$50,""close"",N$2,TODAY()),2,2))"),0.92)</f>
        <v>0.92</v>
      </c>
      <c r="O50" s="1">
        <f ca="1">IFERROR(__xludf.DUMMYFUNCTION("if(O$2="""","""", index(GOOGLEFINANCE($B$50,""close"",O$2,TODAY()),2,2))"),0.9)</f>
        <v>0.9</v>
      </c>
      <c r="P50" s="1">
        <f ca="1">IFERROR(__xludf.DUMMYFUNCTION("if(P$2="""","""", index(GOOGLEFINANCE($B$50,""close"",P$2,TODAY()),2,2))"),0.86)</f>
        <v>0.86</v>
      </c>
      <c r="Q50" s="1">
        <f ca="1">IFERROR(__xludf.DUMMYFUNCTION("if(Q$2="""","""", index(GOOGLEFINANCE($B$50,""close"",Q$2,TODAY()),2,2))"),0.83)</f>
        <v>0.83</v>
      </c>
      <c r="R50" s="1">
        <f ca="1">IFERROR(__xludf.DUMMYFUNCTION("if(R$2="""","""", index(GOOGLEFINANCE($B$50,""close"",R$2,TODAY()),2,2))"),0.88)</f>
        <v>0.88</v>
      </c>
      <c r="S50" s="1">
        <f ca="1">IFERROR(__xludf.DUMMYFUNCTION("if(S$2="""","""", index(GOOGLEFINANCE($B$50,""close"",S$2,TODAY()),2,2))"),0.87)</f>
        <v>0.87</v>
      </c>
      <c r="T50" s="1">
        <f ca="1">IFERROR(__xludf.DUMMYFUNCTION("if(T$2="""","""", index(GOOGLEFINANCE($B$50,""close"",T$2,TODAY()),2,2))"),0.86)</f>
        <v>0.86</v>
      </c>
      <c r="U50" s="1">
        <f ca="1">IFERROR(__xludf.DUMMYFUNCTION("if(U$2="""","""", index(GOOGLEFINANCE($B$50,""close"",U$2,TODAY()),2,2))"),0.88)</f>
        <v>0.88</v>
      </c>
      <c r="V50" s="1">
        <f ca="1">IFERROR(__xludf.DUMMYFUNCTION("if(V$2="""","""", index(GOOGLEFINANCE($B$50,""close"",V$2,TODAY()),2,2))"),0.91)</f>
        <v>0.91</v>
      </c>
      <c r="W50" s="1">
        <f ca="1">IFERROR(__xludf.DUMMYFUNCTION("if(W$2="""","""", index(GOOGLEFINANCE($B$50,""close"",W$2,TODAY()),2,2))"),0.96)</f>
        <v>0.96</v>
      </c>
      <c r="X50" s="1">
        <f ca="1">IFERROR(__xludf.DUMMYFUNCTION("if(X$2="""","""", index(GOOGLEFINANCE($B$50,""close"",X$2,TODAY()),2,2))"),1.02)</f>
        <v>1.02</v>
      </c>
      <c r="Y50" s="1">
        <f ca="1">IFERROR(__xludf.DUMMYFUNCTION("if(Y$2="""","""", index(GOOGLEFINANCE($B$50,""close"",Y$2,TODAY()),2,2))"),1.07)</f>
        <v>1.07</v>
      </c>
      <c r="Z50" s="1">
        <f ca="1">IFERROR(__xludf.DUMMYFUNCTION("if(Z$2="""","""", index(GOOGLEFINANCE($B$50,""close"",Z$2,TODAY()),2,2))"),1.06)</f>
        <v>1.06</v>
      </c>
      <c r="AA50" s="1">
        <f ca="1">IFERROR(__xludf.DUMMYFUNCTION("if(AA$2="""","""", index(GOOGLEFINANCE($B$50,""close"",AA$2,TODAY()),2,2))"),1.1)</f>
        <v>1.1000000000000001</v>
      </c>
      <c r="AB50" s="1">
        <f ca="1">IFERROR(__xludf.DUMMYFUNCTION("if(AB$2="""","""", index(GOOGLEFINANCE($B$50,""close"",AB$2,TODAY()),2,2))"),1.07)</f>
        <v>1.07</v>
      </c>
      <c r="AC50" s="1">
        <f ca="1">IFERROR(__xludf.DUMMYFUNCTION("if(AC$2="""","""", index(GOOGLEFINANCE($B$50,""close"",AC$2,TODAY()),2,2))"),1.07)</f>
        <v>1.07</v>
      </c>
      <c r="AD50" s="1">
        <f ca="1">IFERROR(__xludf.DUMMYFUNCTION("if(AD$2="""","""", index(GOOGLEFINANCE($B$50,""close"",AD$2,TODAY()),2,2))"),1.1)</f>
        <v>1.1000000000000001</v>
      </c>
      <c r="AE50" s="1">
        <f ca="1">IFERROR(__xludf.DUMMYFUNCTION("if(AE$2="""","""", index(GOOGLEFINANCE($B$50,""close"",AE$2,TODAY()),2,2))"),1.26)</f>
        <v>1.26</v>
      </c>
      <c r="AF50" s="1">
        <f ca="1">IFERROR(__xludf.DUMMYFUNCTION("if(AF$2="""","""", index(GOOGLEFINANCE($B$50,""close"",AF$2,TODAY()),2,2))"),1.3)</f>
        <v>1.3</v>
      </c>
      <c r="AG50" s="1">
        <f ca="1">IFERROR(__xludf.DUMMYFUNCTION("if(AG$2="""","""", index(GOOGLEFINANCE($B$50,""close"",AG$2,TODAY()),2,2))"),1.29)</f>
        <v>1.29</v>
      </c>
      <c r="AH50" s="1">
        <f ca="1">IFERROR(__xludf.DUMMYFUNCTION("if(AH$2="""","""", index(GOOGLEFINANCE($B$50,""close"",AH$2,TODAY()),2,2))"),1.27)</f>
        <v>1.27</v>
      </c>
      <c r="AI50" s="1">
        <f ca="1">IFERROR(__xludf.DUMMYFUNCTION("if(AI$2="""","""", index(GOOGLEFINANCE($B$50,""close"",AI$2,TODAY()),2,2))"),1.31)</f>
        <v>1.31</v>
      </c>
      <c r="AJ50" s="1">
        <f ca="1">IFERROR(__xludf.DUMMYFUNCTION("if(AJ$2="""","""", index(GOOGLEFINANCE($B$50,""close"",AJ$2,TODAY()),2,2))"),1.26)</f>
        <v>1.26</v>
      </c>
      <c r="AK50" s="1">
        <f ca="1">IFERROR(__xludf.DUMMYFUNCTION("if(AK$2="""","""", index(GOOGLEFINANCE($B$50,""close"",AK$2,TODAY()),2,2))"),1.29)</f>
        <v>1.29</v>
      </c>
      <c r="AL50" s="1">
        <f ca="1">IFERROR(__xludf.DUMMYFUNCTION("if(AL$2="""","""", index(GOOGLEFINANCE($B$50,""close"",AL$2,TODAY()),2,2))"),1.32)</f>
        <v>1.32</v>
      </c>
      <c r="AM50" s="1">
        <f ca="1">IFERROR(__xludf.DUMMYFUNCTION("if(AM$2="""","""", index(GOOGLEFINANCE($B$50,""close"",AM$2,TODAY()),2,2))"),1.42)</f>
        <v>1.42</v>
      </c>
      <c r="AN50" s="1">
        <f ca="1">IFERROR(__xludf.DUMMYFUNCTION("if(AN$2="""","""", index(GOOGLEFINANCE($B$50,""close"",AN$2,TODAY()),2,2))"),1.38)</f>
        <v>1.38</v>
      </c>
      <c r="AO50" s="1">
        <f ca="1">IFERROR(__xludf.DUMMYFUNCTION("if(AO$2="""","""", index(GOOGLEFINANCE($B$50,""close"",AO$2,TODAY()),2,2))"),1.4)</f>
        <v>1.4</v>
      </c>
      <c r="AP50" s="1">
        <f ca="1">IFERROR(__xludf.DUMMYFUNCTION("if(AP$2="""","""", index(GOOGLEFINANCE($B$50,""close"",AP$2,TODAY()),2,2))"),1.44)</f>
        <v>1.44</v>
      </c>
      <c r="AQ50" s="1">
        <f ca="1">IFERROR(__xludf.DUMMYFUNCTION("if(AQ$2="""","""", index(GOOGLEFINANCE($B$50,""close"",AQ$2,TODAY()),2,2))"),1.51)</f>
        <v>1.51</v>
      </c>
      <c r="AR50" s="1">
        <f ca="1">IFERROR(__xludf.DUMMYFUNCTION("if(AR$2="""","""", index(GOOGLEFINANCE($B$50,""close"",AR$2,TODAY()),2,2))"),1.41)</f>
        <v>1.41</v>
      </c>
      <c r="AS50" s="1">
        <f ca="1">IFERROR(__xludf.DUMMYFUNCTION("if(AS$2="""","""", index(GOOGLEFINANCE($B$50,""close"",AS$2,TODAY()),2,2))"),1.53)</f>
        <v>1.53</v>
      </c>
      <c r="AT50" s="1">
        <f ca="1">IFERROR(__xludf.DUMMYFUNCTION("if(AT$2="""","""", index(GOOGLEFINANCE($B$50,""close"",AT$2,TODAY()),2,2))"),1.78)</f>
        <v>1.78</v>
      </c>
      <c r="AU50" s="1">
        <f ca="1">IFERROR(__xludf.DUMMYFUNCTION("if(AU$2="""","""", index(GOOGLEFINANCE($B$50,""close"",AU$2,TODAY()),2,2))"),1.8)</f>
        <v>1.8</v>
      </c>
      <c r="AV50" s="1">
        <f ca="1">IFERROR(__xludf.DUMMYFUNCTION("if(AV$2="""","""", index(GOOGLEFINANCE($B$50,""close"",AV$2,TODAY()),2,2))"),1.6)</f>
        <v>1.6</v>
      </c>
      <c r="AW50" s="1">
        <f ca="1">IFERROR(__xludf.DUMMYFUNCTION("if(AW$2="""","""", index(GOOGLEFINANCE($B$50,""close"",AW$2,TODAY()),2,2))"),1.66)</f>
        <v>1.66</v>
      </c>
      <c r="AX50" s="1">
        <f ca="1">IFERROR(__xludf.DUMMYFUNCTION("if(AX$2="""","""", index(GOOGLEFINANCE($B$50,""close"",AX$2,TODAY()),2,2))"),1.58)</f>
        <v>1.58</v>
      </c>
      <c r="AY50" s="1">
        <f ca="1">IFERROR(__xludf.DUMMYFUNCTION("if(AY$2="""","""", index(GOOGLEFINANCE($B$50,""close"",AY$2,TODAY()),2,2))"),1.4)</f>
        <v>1.4</v>
      </c>
      <c r="AZ50" s="1">
        <f ca="1">IFERROR(__xludf.DUMMYFUNCTION("if(AZ$2="""","""", index(GOOGLEFINANCE($B$50,""close"",AZ$2,TODAY()),2,2))"),1.39)</f>
        <v>1.39</v>
      </c>
      <c r="BA50" s="1">
        <f ca="1">IFERROR(__xludf.DUMMYFUNCTION("if(BA$2="""","""", index(GOOGLEFINANCE($B$50,""close"",BA$2,TODAY()),2,2))"),1.39)</f>
        <v>1.39</v>
      </c>
      <c r="BB50" s="1">
        <f ca="1">IFERROR(__xludf.DUMMYFUNCTION("if(BB$2="""","""", index(GOOGLEFINANCE($B$50,""close"",BB$2,TODAY()),2,2))"),1.48)</f>
        <v>1.48</v>
      </c>
      <c r="BC50" s="1">
        <f ca="1">IFERROR(__xludf.DUMMYFUNCTION("if(BC$2="""","""", index(GOOGLEFINANCE($B$50,""close"",BC$2,TODAY()),2,2))"),1.51)</f>
        <v>1.51</v>
      </c>
      <c r="BD50" s="1">
        <f ca="1">IFERROR(__xludf.DUMMYFUNCTION("if(BD$2="""","""", index(GOOGLEFINANCE($B$50,""close"",BD$2,TODAY()),2,2))"),1.61)</f>
        <v>1.61</v>
      </c>
      <c r="BE50" s="1">
        <f ca="1">IFERROR(__xludf.DUMMYFUNCTION("if(BE$2="""","""", index(GOOGLEFINANCE($B$50,""close"",BE$2,TODAY()),2,2))"),1.56)</f>
        <v>1.56</v>
      </c>
      <c r="BF50" s="1">
        <f ca="1">IFERROR(__xludf.DUMMYFUNCTION("if(BF$2="""","""", index(GOOGLEFINANCE($B$50,""close"",BF$2,TODAY()),2,2))"),1.68)</f>
        <v>1.68</v>
      </c>
      <c r="BG50" s="1">
        <f ca="1">IFERROR(__xludf.DUMMYFUNCTION("if(BG$2="""","""", index(GOOGLEFINANCE($B$50,""close"",BG$2,TODAY()),2,2))"),1.64)</f>
        <v>1.64</v>
      </c>
      <c r="BH50" s="1">
        <f ca="1">IFERROR(__xludf.DUMMYFUNCTION("if(BH$2="""","""", index(GOOGLEFINANCE($B$50,""close"",BH$2,TODAY()),2,2))"),1.7)</f>
        <v>1.7</v>
      </c>
      <c r="BI50" s="1">
        <f ca="1">IFERROR(__xludf.DUMMYFUNCTION("if(BI$2="""","""", index(GOOGLEFINANCE($B$50,""close"",BI$2,TODAY()),2,2))"),1.61)</f>
        <v>1.61</v>
      </c>
      <c r="BJ50" s="1">
        <f ca="1">IFERROR(__xludf.DUMMYFUNCTION("if(BJ$2="""","""", index(GOOGLEFINANCE($B$50,""close"",BJ$2,TODAY()),2,2))"),1.58)</f>
        <v>1.58</v>
      </c>
      <c r="BK50" s="1">
        <f ca="1">IFERROR(__xludf.DUMMYFUNCTION("if(BK$2="""","""", index(GOOGLEFINANCE($B$50,""close"",BK$2,TODAY()),2,2))"),1.64)</f>
        <v>1.64</v>
      </c>
      <c r="BL50" s="1">
        <f ca="1">IFERROR(__xludf.DUMMYFUNCTION("if(BL$2="""","""", index(GOOGLEFINANCE($B$50,""close"",BL$2,TODAY()),2,2))"),1.57)</f>
        <v>1.57</v>
      </c>
      <c r="BM50" s="1">
        <f ca="1">IFERROR(__xludf.DUMMYFUNCTION("if(BM$2="""","""", index(GOOGLEFINANCE($B$50,""close"",BM$2,TODAY()),2,2))"),1.57)</f>
        <v>1.57</v>
      </c>
      <c r="BN50" s="1">
        <f ca="1">IFERROR(__xludf.DUMMYFUNCTION("if(BN$2="""","""", index(GOOGLEFINANCE($B$50,""close"",BN$2,TODAY()),2,2))"),1.64)</f>
        <v>1.64</v>
      </c>
      <c r="BO50" s="1">
        <f ca="1">IFERROR(__xludf.DUMMYFUNCTION("if(BO$2="""","""", index(GOOGLEFINANCE($B$50,""close"",BO$2,TODAY()),2,2))"),1.59)</f>
        <v>1.59</v>
      </c>
      <c r="BP50" s="1">
        <f ca="1">IFERROR(__xludf.DUMMYFUNCTION("if(BP$2="""","""", index(GOOGLEFINANCE($B$50,""close"",BP$2,TODAY()),2,2))"),1.56)</f>
        <v>1.56</v>
      </c>
      <c r="BQ50" s="1">
        <f ca="1">IFERROR(__xludf.DUMMYFUNCTION("if(BQ$2="""","""", index(GOOGLEFINANCE($B$50,""close"",BQ$2,TODAY()),2,2))"),1.56)</f>
        <v>1.56</v>
      </c>
      <c r="BR50" s="1">
        <f ca="1">IFERROR(__xludf.DUMMYFUNCTION("if(BR$2="""","""", index(GOOGLEFINANCE($B$50,""close"",BR$2,TODAY()),2,2))"),1.64)</f>
        <v>1.64</v>
      </c>
      <c r="BS50" s="1">
        <f ca="1">IFERROR(__xludf.DUMMYFUNCTION("if(BS$2="""","""", index(GOOGLEFINANCE($B$50,""close"",BS$2,TODAY()),2,2))"),1.52)</f>
        <v>1.52</v>
      </c>
      <c r="BT50" s="1">
        <f ca="1">IFERROR(__xludf.DUMMYFUNCTION("if(BT$2="""","""", index(GOOGLEFINANCE($B$50,""close"",BT$2,TODAY()),2,2))"),1.57)</f>
        <v>1.57</v>
      </c>
      <c r="BU50" s="1">
        <f ca="1">IFERROR(__xludf.DUMMYFUNCTION("if(BU$2="""","""", index(GOOGLEFINANCE($B$50,""close"",BU$2,TODAY()),2,2))"),1.59)</f>
        <v>1.59</v>
      </c>
      <c r="BV50" s="1">
        <f ca="1">IFERROR(__xludf.DUMMYFUNCTION("if(BV$2="""","""", index(GOOGLEFINANCE($B$50,""close"",BV$2,TODAY()),2,2))"),1.72)</f>
        <v>1.72</v>
      </c>
      <c r="BW50" s="1">
        <f ca="1">IFERROR(__xludf.DUMMYFUNCTION("if(BW$2="""","""", index(GOOGLEFINANCE($B$50,""close"",BW$2,TODAY()),2,2))"),1.78)</f>
        <v>1.78</v>
      </c>
      <c r="BX50" s="1">
        <f ca="1">IFERROR(__xludf.DUMMYFUNCTION("if(BX$2="""","""", index(GOOGLEFINANCE($B$50,""close"",BX$2,TODAY()),2,2))"),1.7)</f>
        <v>1.7</v>
      </c>
      <c r="BY50" s="1">
        <f ca="1">IFERROR(__xludf.DUMMYFUNCTION("if(BY$2="""","""", index(GOOGLEFINANCE($B$50,""close"",BY$2,TODAY()),2,2))"),1.89)</f>
        <v>1.89</v>
      </c>
      <c r="BZ50" s="1">
        <f ca="1">IFERROR(__xludf.DUMMYFUNCTION("if(BZ$2="""","""", index(GOOGLEFINANCE($B$50,""close"",BZ$2,TODAY()),2,2))"),1.77)</f>
        <v>1.77</v>
      </c>
      <c r="CA50" s="1">
        <f ca="1">IFERROR(__xludf.DUMMYFUNCTION("if(CA$2="""","""", index(GOOGLEFINANCE($B$50,""close"",CA$2,TODAY()),2,2))"),1.7)</f>
        <v>1.7</v>
      </c>
      <c r="CB50" s="1">
        <f ca="1">IFERROR(__xludf.DUMMYFUNCTION("if(CB$2="""","""", index(GOOGLEFINANCE($B$50,""close"",CB$2,TODAY()),2,2))"),1.61)</f>
        <v>1.61</v>
      </c>
      <c r="CC50" s="1">
        <f ca="1">IFERROR(__xludf.DUMMYFUNCTION("if(CC$2="""","""", index(GOOGLEFINANCE($B$50,""close"",CC$2,TODAY()),2,2))"),1.62)</f>
        <v>1.62</v>
      </c>
      <c r="CD50" s="1">
        <f ca="1">IFERROR(__xludf.DUMMYFUNCTION("if(CD$2="""","""", index(GOOGLEFINANCE($B$50,""close"",CD$2,TODAY()),2,2))"),1.61)</f>
        <v>1.61</v>
      </c>
      <c r="CE50" s="1">
        <f ca="1">IFERROR(__xludf.DUMMYFUNCTION("if(CE$2="""","""", index(GOOGLEFINANCE($B$50,""close"",CE$2,TODAY()),2,2))"),1.68)</f>
        <v>1.68</v>
      </c>
      <c r="CF50" s="1">
        <f ca="1">IFERROR(__xludf.DUMMYFUNCTION("if(CF$2="""","""", index(GOOGLEFINANCE($B$50,""close"",CF$2,TODAY()),2,2))"),1.62)</f>
        <v>1.62</v>
      </c>
      <c r="CG50" s="1">
        <f ca="1">IFERROR(__xludf.DUMMYFUNCTION("if(CG$2="""","""", index(GOOGLEFINANCE($B$50,""close"",CG$2,TODAY()),2,2))"),1.59)</f>
        <v>1.59</v>
      </c>
      <c r="CH50" s="1">
        <f ca="1">IFERROR(__xludf.DUMMYFUNCTION("if(CH$2="""","""", index(GOOGLEFINANCE($B$50,""close"",CH$2,TODAY()),2,2))"),1.73)</f>
        <v>1.73</v>
      </c>
      <c r="CI50" s="1">
        <f ca="1">IFERROR(__xludf.DUMMYFUNCTION("if(CI$2="""","""", index(GOOGLEFINANCE($B$50,""close"",CI$2,TODAY()),2,2))"),1.67)</f>
        <v>1.67</v>
      </c>
      <c r="CJ50" s="1" t="str">
        <f ca="1">IFERROR(__xludf.DUMMYFUNCTION("if(CJ$2="""","""", index(GOOGLEFINANCE($B$50,""close"",CJ$2,TODAY()),2,2))"),"")</f>
        <v/>
      </c>
      <c r="CK50" s="1" t="str">
        <f ca="1">IFERROR(__xludf.DUMMYFUNCTION("if(CK$2="""","""", index(GOOGLEFINANCE($B$50,""close"",CK$2,TODAY()),2,2))"),"")</f>
        <v/>
      </c>
      <c r="CL50" s="1" t="str">
        <f ca="1">IFERROR(__xludf.DUMMYFUNCTION("if(CL$2="""","""", index(GOOGLEFINANCE($B$50,""close"",CL$2,TODAY()),2,2))"),"")</f>
        <v/>
      </c>
      <c r="CM50" s="1" t="str">
        <f ca="1">IFERROR(__xludf.DUMMYFUNCTION("if(CM$2="""","""", index(GOOGLEFINANCE($B$50,""close"",CM$2,TODAY()),2,2))"),"")</f>
        <v/>
      </c>
      <c r="CN50" s="1" t="str">
        <f ca="1">IFERROR(__xludf.DUMMYFUNCTION("if(CN$2="""","""", index(GOOGLEFINANCE($B$50,""close"",CN$2,TODAY()),2,2))"),"")</f>
        <v/>
      </c>
      <c r="CO50" s="1" t="str">
        <f ca="1">IFERROR(__xludf.DUMMYFUNCTION("if(CO$2="""","""", index(GOOGLEFINANCE($B$50,""close"",CO$2,TODAY()),2,2))"),"")</f>
        <v/>
      </c>
      <c r="CP50" s="1" t="str">
        <f ca="1">IFERROR(__xludf.DUMMYFUNCTION("if(CP$2="""","""", index(GOOGLEFINANCE($B$50,""close"",CP$2,TODAY()),2,2))"),"")</f>
        <v/>
      </c>
      <c r="CQ50" s="1" t="str">
        <f ca="1">IFERROR(__xludf.DUMMYFUNCTION("if(CQ$2="""","""", index(GOOGLEFINANCE($B$50,""close"",CQ$2,TODAY()),2,2))"),"")</f>
        <v/>
      </c>
      <c r="CR50" s="1" t="str">
        <f ca="1">IFERROR(__xludf.DUMMYFUNCTION("if(CR$2="""","""", index(GOOGLEFINANCE($B$50,""close"",CR$2,TODAY()),2,2))"),"")</f>
        <v/>
      </c>
      <c r="CS50" s="1" t="str">
        <f ca="1">IFERROR(__xludf.DUMMYFUNCTION("if(CS$2="""","""", index(GOOGLEFINANCE($B$50,""close"",CS$2,TODAY()),2,2))"),"")</f>
        <v/>
      </c>
      <c r="CT50" s="1" t="str">
        <f ca="1">IFERROR(__xludf.DUMMYFUNCTION("if(CT$2="""","""", index(GOOGLEFINANCE($B$50,""close"",CT$2,TODAY()),2,2))"),"")</f>
        <v/>
      </c>
      <c r="CU50" s="1" t="str">
        <f ca="1">IFERROR(__xludf.DUMMYFUNCTION("if(CU$2="""","""", index(GOOGLEFINANCE($B$50,""close"",CU$2,TODAY()),2,2))"),"")</f>
        <v/>
      </c>
      <c r="CV50" s="1" t="str">
        <f ca="1">IFERROR(__xludf.DUMMYFUNCTION("if(CV$2="""","""", index(GOOGLEFINANCE($B$50,""close"",CV$2,TODAY()),2,2))"),"")</f>
        <v/>
      </c>
      <c r="CW50" s="1" t="str">
        <f ca="1">IFERROR(__xludf.DUMMYFUNCTION("if(CW$2="""","""", index(GOOGLEFINANCE($B$50,""close"",CW$2,TODAY()),2,2))"),"")</f>
        <v/>
      </c>
      <c r="CX50" s="1" t="str">
        <f ca="1">IFERROR(__xludf.DUMMYFUNCTION("if(CX$2="""","""", index(GOOGLEFINANCE($B$50,""close"",CX$2,TODAY()),2,2))"),"")</f>
        <v/>
      </c>
      <c r="CY50" s="1" t="str">
        <f ca="1">IFERROR(__xludf.DUMMYFUNCTION("if(CY$2="""","""", index(GOOGLEFINANCE($B$50,""close"",CY$2,TODAY()),2,2))"),"")</f>
        <v/>
      </c>
      <c r="CZ50" s="1" t="str">
        <f ca="1">IFERROR(__xludf.DUMMYFUNCTION("if(CZ$2="""","""", index(GOOGLEFINANCE($B$50,""close"",CZ$2,TODAY()),2,2))"),"")</f>
        <v/>
      </c>
      <c r="DA50" s="1" t="str">
        <f ca="1">IFERROR(__xludf.DUMMYFUNCTION("if(DA$2="""","""", index(GOOGLEFINANCE($B$50,""close"",DA$2,TODAY()),2,2))"),"")</f>
        <v/>
      </c>
      <c r="DB50" s="1" t="str">
        <f ca="1">IFERROR(__xludf.DUMMYFUNCTION("if(DB$2="""","""", index(GOOGLEFINANCE($B$50,""close"",DB$2,TODAY()),2,2))"),"")</f>
        <v/>
      </c>
      <c r="DC50" s="1" t="str">
        <f ca="1">IFERROR(__xludf.DUMMYFUNCTION("if(DC$2="""","""", index(GOOGLEFINANCE($B$50,""close"",DC$2,TODAY()),2,2))"),"")</f>
        <v/>
      </c>
      <c r="DD50" s="1" t="str">
        <f ca="1">IFERROR(__xludf.DUMMYFUNCTION("if(DD$2="""","""", index(GOOGLEFINANCE($B$50,""close"",DD$2,TODAY()),2,2))"),"")</f>
        <v/>
      </c>
      <c r="DE50" s="1" t="str">
        <f ca="1">IFERROR(__xludf.DUMMYFUNCTION("if(DE$2="""","""", index(GOOGLEFINANCE($B$50,""close"",DE$2,TODAY()),2,2))"),"")</f>
        <v/>
      </c>
      <c r="DF50" s="1" t="str">
        <f ca="1">IFERROR(__xludf.DUMMYFUNCTION("if(DF$2="""","""", index(GOOGLEFINANCE($B$50,""close"",DF$2,TODAY()),2,2))"),"")</f>
        <v/>
      </c>
      <c r="DG50" s="1" t="str">
        <f ca="1">IFERROR(__xludf.DUMMYFUNCTION("if(DG$2="""","""", index(GOOGLEFINANCE($B$50,""close"",DG$2,TODAY()),2,2))"),"")</f>
        <v/>
      </c>
      <c r="DH50" s="1" t="str">
        <f ca="1">IFERROR(__xludf.DUMMYFUNCTION("if(DH$2="""","""", index(GOOGLEFINANCE($B$50,""close"",DH$2,TODAY()),2,2))"),"")</f>
        <v/>
      </c>
      <c r="DI50" s="1" t="str">
        <f ca="1">IFERROR(__xludf.DUMMYFUNCTION("if(DI$2="""","""", index(GOOGLEFINANCE($B$50,""close"",DI$2,TODAY()),2,2))"),"")</f>
        <v/>
      </c>
      <c r="DJ50" s="1" t="str">
        <f ca="1">IFERROR(__xludf.DUMMYFUNCTION("if(DJ$2="""","""", index(GOOGLEFINANCE($B$50,""close"",DJ$2,TODAY()),2,2))"),"")</f>
        <v/>
      </c>
      <c r="DK50" s="1" t="str">
        <f ca="1">IFERROR(__xludf.DUMMYFUNCTION("if(DK$2="""","""", index(GOOGLEFINANCE($B$50,""close"",DK$2,TODAY()),2,2))"),"")</f>
        <v/>
      </c>
      <c r="DL50" s="1" t="str">
        <f ca="1">IFERROR(__xludf.DUMMYFUNCTION("if(DL$2="""","""", index(GOOGLEFINANCE($B$50,""close"",DL$2,TODAY()),2,2))"),"")</f>
        <v/>
      </c>
      <c r="DM50" s="1" t="str">
        <f ca="1">IFERROR(__xludf.DUMMYFUNCTION("if(DM$2="""","""", index(GOOGLEFINANCE($B$50,""close"",DM$2,TODAY()),2,2))"),"")</f>
        <v/>
      </c>
      <c r="DN50" s="1" t="str">
        <f ca="1">IFERROR(__xludf.DUMMYFUNCTION("if(DN$2="""","""", index(GOOGLEFINANCE($B$50,""close"",DN$2,TODAY()),2,2))"),"")</f>
        <v/>
      </c>
      <c r="DO50" s="1" t="str">
        <f ca="1">IFERROR(__xludf.DUMMYFUNCTION("if(DO$2="""","""", index(GOOGLEFINANCE($B$50,""close"",DO$2,TODAY()),2,2))"),"")</f>
        <v/>
      </c>
      <c r="DP50" s="1" t="str">
        <f ca="1">IFERROR(__xludf.DUMMYFUNCTION("if(DP$2="""","""", index(GOOGLEFINANCE($B$50,""close"",DP$2,TODAY()),2,2))"),"")</f>
        <v/>
      </c>
      <c r="DQ50" s="1" t="str">
        <f ca="1">IFERROR(__xludf.DUMMYFUNCTION("if(DQ$2="""","""", index(GOOGLEFINANCE($B$50,""close"",DQ$2,TODAY()),2,2))"),"")</f>
        <v/>
      </c>
      <c r="DR50" s="1" t="str">
        <f ca="1">IFERROR(__xludf.DUMMYFUNCTION("if(DR$2="""","""", index(GOOGLEFINANCE($B$50,""close"",DR$2,TODAY()),2,2))"),"")</f>
        <v/>
      </c>
      <c r="DS50" s="1" t="str">
        <f ca="1">IFERROR(__xludf.DUMMYFUNCTION("if(DS$2="""","""", index(GOOGLEFINANCE($B$50,""close"",DS$2,TODAY()),2,2))"),"")</f>
        <v/>
      </c>
      <c r="DT50" s="1" t="str">
        <f ca="1">IFERROR(__xludf.DUMMYFUNCTION("if(DT$2="""","""", index(GOOGLEFINANCE($B$50,""close"",DT$2,TODAY()),2,2))"),"")</f>
        <v/>
      </c>
      <c r="DU50" s="1" t="str">
        <f ca="1">IFERROR(__xludf.DUMMYFUNCTION("if(DU$2="""","""", index(GOOGLEFINANCE($B$50,""close"",DU$2,TODAY()),2,2))"),"")</f>
        <v/>
      </c>
      <c r="DV50" s="1" t="str">
        <f ca="1">IFERROR(__xludf.DUMMYFUNCTION("if(DV$2="""","""", index(GOOGLEFINANCE($B$50,""close"",DV$2,TODAY()),2,2))"),"")</f>
        <v/>
      </c>
      <c r="DW50" s="1" t="str">
        <f ca="1">IFERROR(__xludf.DUMMYFUNCTION("if(DW$2="""","""", index(GOOGLEFINANCE($B$50,""close"",DW$2,TODAY()),2,2))"),"")</f>
        <v/>
      </c>
      <c r="DX50" s="1" t="str">
        <f ca="1">IFERROR(__xludf.DUMMYFUNCTION("if(DX$2="""","""", index(GOOGLEFINANCE($B$50,""close"",DX$2,TODAY()),2,2))"),"")</f>
        <v/>
      </c>
      <c r="DY50" s="1" t="str">
        <f ca="1">IFERROR(__xludf.DUMMYFUNCTION("if(DY$2="""","""", index(GOOGLEFINANCE($B$50,""close"",DY$2,TODAY()),2,2))"),"")</f>
        <v/>
      </c>
      <c r="DZ50" s="1" t="str">
        <f ca="1">IFERROR(__xludf.DUMMYFUNCTION("if(DZ$2="""","""", index(GOOGLEFINANCE($B$50,""close"",DZ$2,TODAY()),2,2))"),"")</f>
        <v/>
      </c>
      <c r="EA50" s="1" t="str">
        <f ca="1">IFERROR(__xludf.DUMMYFUNCTION("if(EA$2="""","""", index(GOOGLEFINANCE($B$50,""close"",EA$2,TODAY()),2,2))"),"")</f>
        <v/>
      </c>
      <c r="EB50" s="1" t="str">
        <f ca="1">IFERROR(__xludf.DUMMYFUNCTION("if(EB$2="""","""", index(GOOGLEFINANCE($B$50,""close"",EB$2,TODAY()),2,2))"),"")</f>
        <v/>
      </c>
      <c r="EC50" s="1" t="str">
        <f ca="1">IFERROR(__xludf.DUMMYFUNCTION("if(EC$2="""","""", index(GOOGLEFINANCE($B$50,""close"",EC$2,TODAY()),2,2))"),"")</f>
        <v/>
      </c>
      <c r="ED50" s="1" t="str">
        <f ca="1">IFERROR(__xludf.DUMMYFUNCTION("if(ED$2="""","""", index(GOOGLEFINANCE($B$50,""close"",ED$2,TODAY()),2,2))"),"")</f>
        <v/>
      </c>
      <c r="EE50" s="1" t="str">
        <f ca="1">IFERROR(__xludf.DUMMYFUNCTION("if(EE$2="""","""", index(GOOGLEFINANCE($B$50,""close"",EE$2,TODAY()),2,2))"),"")</f>
        <v/>
      </c>
      <c r="EF50" s="1" t="str">
        <f ca="1">IFERROR(__xludf.DUMMYFUNCTION("if(EF$2="""","""", index(GOOGLEFINANCE($B$50,""close"",EF$2,TODAY()),2,2))"),"")</f>
        <v/>
      </c>
      <c r="EG50" s="1" t="str">
        <f ca="1">IFERROR(__xludf.DUMMYFUNCTION("if(EG$2="""","""", index(GOOGLEFINANCE($B$50,""close"",EG$2,TODAY()),2,2))"),"")</f>
        <v/>
      </c>
      <c r="EH50" s="1" t="str">
        <f ca="1">IFERROR(__xludf.DUMMYFUNCTION("if(EH$2="""","""", index(GOOGLEFINANCE($B$50,""close"",EH$2,TODAY()),2,2))"),"")</f>
        <v/>
      </c>
      <c r="EI50" s="1" t="str">
        <f ca="1">IFERROR(__xludf.DUMMYFUNCTION("if(EI$2="""","""", index(GOOGLEFINANCE($B$50,""close"",EI$2,TODAY()),2,2))"),"")</f>
        <v/>
      </c>
      <c r="EJ50" s="1" t="str">
        <f ca="1">IFERROR(__xludf.DUMMYFUNCTION("if(EJ$2="""","""", index(GOOGLEFINANCE($B$50,""close"",EJ$2,TODAY()),2,2))"),"")</f>
        <v/>
      </c>
      <c r="EK50" s="1" t="str">
        <f ca="1">IFERROR(__xludf.DUMMYFUNCTION("if(EK$2="""","""", index(GOOGLEFINANCE($B$50,""close"",EK$2,TODAY()),2,2))"),"")</f>
        <v/>
      </c>
      <c r="EL50" s="1" t="str">
        <f ca="1">IFERROR(__xludf.DUMMYFUNCTION("if(EL$2="""","""", index(GOOGLEFINANCE($B$50,""close"",EL$2,TODAY()),2,2))"),"")</f>
        <v/>
      </c>
      <c r="EM50" s="1" t="str">
        <f ca="1">IFERROR(__xludf.DUMMYFUNCTION("if(EM$2="""","""", index(GOOGLEFINANCE($B$50,""close"",EM$2,TODAY()),2,2))"),"")</f>
        <v/>
      </c>
      <c r="EN50" s="1" t="str">
        <f ca="1">IFERROR(__xludf.DUMMYFUNCTION("if(EN$2="""","""", index(GOOGLEFINANCE($B$50,""close"",EN$2,TODAY()),2,2))"),"")</f>
        <v/>
      </c>
      <c r="EO50" s="1" t="str">
        <f ca="1">IFERROR(__xludf.DUMMYFUNCTION("if(EO$2="""","""", index(GOOGLEFINANCE($B$50,""close"",EO$2,TODAY()),2,2))"),"")</f>
        <v/>
      </c>
      <c r="EP50" s="1" t="str">
        <f ca="1">IFERROR(__xludf.DUMMYFUNCTION("if(EP$2="""","""", index(GOOGLEFINANCE($B$50,""close"",EP$2,TODAY()),2,2))"),"")</f>
        <v/>
      </c>
      <c r="EQ50" s="1" t="str">
        <f ca="1">IFERROR(__xludf.DUMMYFUNCTION("if(EQ$2="""","""", index(GOOGLEFINANCE($B$50,""close"",EQ$2,TODAY()),2,2))"),"")</f>
        <v/>
      </c>
      <c r="ER50" s="1" t="str">
        <f ca="1">IFERROR(__xludf.DUMMYFUNCTION("if(ER$2="""","""", index(GOOGLEFINANCE($B$50,""close"",ER$2,TODAY()),2,2))"),"")</f>
        <v/>
      </c>
      <c r="ES50" s="1" t="str">
        <f ca="1">IFERROR(__xludf.DUMMYFUNCTION("if(ES$2="""","""", index(GOOGLEFINANCE($B$50,""close"",ES$2,TODAY()),2,2))"),"")</f>
        <v/>
      </c>
      <c r="ET50" s="1" t="str">
        <f ca="1">IFERROR(__xludf.DUMMYFUNCTION("if(ET$2="""","""", index(GOOGLEFINANCE($B$50,""close"",ET$2,TODAY()),2,2))"),"")</f>
        <v/>
      </c>
      <c r="EU50" s="1" t="str">
        <f ca="1">IFERROR(__xludf.DUMMYFUNCTION("if(EU$2="""","""", index(GOOGLEFINANCE($B$50,""close"",EU$2,TODAY()),2,2))"),"")</f>
        <v/>
      </c>
      <c r="EV50" s="1" t="str">
        <f ca="1">IFERROR(__xludf.DUMMYFUNCTION("if(EV$2="""","""", index(GOOGLEFINANCE($B$50,""close"",EV$2,TODAY()),2,2))"),"")</f>
        <v/>
      </c>
      <c r="EW50" s="1" t="str">
        <f ca="1">IFERROR(__xludf.DUMMYFUNCTION("if(EW$2="""","""", index(GOOGLEFINANCE($B$50,""close"",EW$2,TODAY()),2,2))"),"")</f>
        <v/>
      </c>
      <c r="EX50" s="1" t="str">
        <f ca="1">IFERROR(__xludf.DUMMYFUNCTION("if(EX$2="""","""", index(GOOGLEFINANCE($B$50,""close"",EX$2,TODAY()),2,2))"),"")</f>
        <v/>
      </c>
      <c r="EY50" s="1" t="str">
        <f ca="1">IFERROR(__xludf.DUMMYFUNCTION("if(EY$2="""","""", index(GOOGLEFINANCE($B$50,""close"",EY$2,TODAY()),2,2))"),"")</f>
        <v/>
      </c>
      <c r="EZ50" s="1" t="str">
        <f ca="1">IFERROR(__xludf.DUMMYFUNCTION("if(EZ$2="""","""", index(GOOGLEFINANCE($B$50,""close"",EZ$2,TODAY()),2,2))"),"")</f>
        <v/>
      </c>
      <c r="FA50" s="1" t="str">
        <f ca="1">IFERROR(__xludf.DUMMYFUNCTION("if(FA$2="""","""", index(GOOGLEFINANCE($B$50,""close"",FA$2,TODAY()),2,2))"),"")</f>
        <v/>
      </c>
      <c r="FB50" s="1" t="str">
        <f ca="1">IFERROR(__xludf.DUMMYFUNCTION("if(FB$2="""","""", index(GOOGLEFINANCE($B$50,""close"",FB$2,TODAY()),2,2))"),"")</f>
        <v/>
      </c>
      <c r="FC50" s="1" t="str">
        <f ca="1">IFERROR(__xludf.DUMMYFUNCTION("if(FC$2="""","""", index(GOOGLEFINANCE($B$50,""close"",FC$2,TODAY()),2,2))"),"")</f>
        <v/>
      </c>
      <c r="FD50" s="1" t="str">
        <f ca="1">IFERROR(__xludf.DUMMYFUNCTION("if(FD$2="""","""", index(GOOGLEFINANCE($B$50,""close"",FD$2,TODAY()),2,2))"),"")</f>
        <v/>
      </c>
      <c r="FE50" s="1" t="str">
        <f ca="1">IFERROR(__xludf.DUMMYFUNCTION("if(FE$2="""","""", index(GOOGLEFINANCE($B$50,""close"",FE$2,TODAY()),2,2))"),"")</f>
        <v/>
      </c>
      <c r="FF50" s="1" t="str">
        <f ca="1">IFERROR(__xludf.DUMMYFUNCTION("if(FF$2="""","""", index(GOOGLEFINANCE($B$50,""close"",FF$2,TODAY()),2,2))"),"")</f>
        <v/>
      </c>
      <c r="FG50" s="1" t="str">
        <f ca="1">IFERROR(__xludf.DUMMYFUNCTION("if(FG$2="""","""", index(GOOGLEFINANCE($B$50,""close"",FG$2,TODAY()),2,2))"),"")</f>
        <v/>
      </c>
      <c r="FH50" s="1" t="str">
        <f ca="1">IFERROR(__xludf.DUMMYFUNCTION("if(FH$2="""","""", index(GOOGLEFINANCE($B$50,""close"",FH$2,TODAY()),2,2))"),"")</f>
        <v/>
      </c>
      <c r="FI50" s="1" t="str">
        <f ca="1">IFERROR(__xludf.DUMMYFUNCTION("if(FI$2="""","""", index(GOOGLEFINANCE($B$50,""close"",FI$2,TODAY()),2,2))"),"")</f>
        <v/>
      </c>
      <c r="FJ50" s="1" t="str">
        <f ca="1">IFERROR(__xludf.DUMMYFUNCTION("if(FJ$2="""","""", index(GOOGLEFINANCE($B$50,""close"",FJ$2,TODAY()),2,2))"),"")</f>
        <v/>
      </c>
      <c r="FK50" s="1" t="str">
        <f ca="1">IFERROR(__xludf.DUMMYFUNCTION("if(FK$2="""","""", index(GOOGLEFINANCE($B$50,""close"",FK$2,TODAY()),2,2))"),"")</f>
        <v/>
      </c>
      <c r="FL50" s="1" t="str">
        <f ca="1">IFERROR(__xludf.DUMMYFUNCTION("if(FL$2="""","""", index(GOOGLEFINANCE($B$50,""close"",FL$2,TODAY()),2,2))"),"")</f>
        <v/>
      </c>
      <c r="FM50" s="1" t="str">
        <f ca="1">IFERROR(__xludf.DUMMYFUNCTION("if(FM$2="""","""", index(GOOGLEFINANCE($B$50,""close"",FM$2,TODAY()),2,2))"),"")</f>
        <v/>
      </c>
      <c r="FN50" s="1" t="str">
        <f ca="1">IFERROR(__xludf.DUMMYFUNCTION("if(FN$2="""","""", index(GOOGLEFINANCE($B$50,""close"",FN$2,TODAY()),2,2))"),"")</f>
        <v/>
      </c>
      <c r="FO50" s="1" t="str">
        <f ca="1">IFERROR(__xludf.DUMMYFUNCTION("if(FO$2="""","""", index(GOOGLEFINANCE($B$50,""close"",FO$2,TODAY()),2,2))"),"")</f>
        <v/>
      </c>
      <c r="FP50" s="1" t="str">
        <f ca="1">IFERROR(__xludf.DUMMYFUNCTION("if(FP$2="""","""", index(GOOGLEFINANCE($B$50,""close"",FP$2,TODAY()),2,2))"),"")</f>
        <v/>
      </c>
      <c r="FQ50" s="1" t="str">
        <f ca="1">IFERROR(__xludf.DUMMYFUNCTION("if(FQ$2="""","""", index(GOOGLEFINANCE($B$50,""close"",FQ$2,TODAY()),2,2))"),"")</f>
        <v/>
      </c>
      <c r="FR50" s="1" t="str">
        <f ca="1">IFERROR(__xludf.DUMMYFUNCTION("if(FR$2="""","""", index(GOOGLEFINANCE($B$50,""close"",FR$2,TODAY()),2,2))"),"")</f>
        <v/>
      </c>
      <c r="FS50" s="1" t="str">
        <f ca="1">IFERROR(__xludf.DUMMYFUNCTION("if(FS$2="""","""", index(GOOGLEFINANCE($B$50,""close"",FS$2,TODAY()),2,2))"),"")</f>
        <v/>
      </c>
      <c r="FT50" s="1" t="str">
        <f ca="1">IFERROR(__xludf.DUMMYFUNCTION("if(FT$2="""","""", index(GOOGLEFINANCE($B$50,""close"",FT$2,TODAY()),2,2))"),"")</f>
        <v/>
      </c>
      <c r="FU50" s="1" t="str">
        <f ca="1">IFERROR(__xludf.DUMMYFUNCTION("if(FU$2="""","""", index(GOOGLEFINANCE($B$50,""close"",FU$2,TODAY()),2,2))"),"")</f>
        <v/>
      </c>
      <c r="FV50" s="1" t="str">
        <f ca="1">IFERROR(__xludf.DUMMYFUNCTION("if(FV$2="""","""", index(GOOGLEFINANCE($B$50,""close"",FV$2,TODAY()),2,2))"),"")</f>
        <v/>
      </c>
      <c r="FW50" s="1" t="str">
        <f ca="1">IFERROR(__xludf.DUMMYFUNCTION("if(FW$2="""","""", index(GOOGLEFINANCE($B$50,""close"",FW$2,TODAY()),2,2))"),"")</f>
        <v/>
      </c>
      <c r="FX50" s="1" t="str">
        <f ca="1">IFERROR(__xludf.DUMMYFUNCTION("if(FX$2="""","""", index(GOOGLEFINANCE($B$50,""close"",FX$2,TODAY()),2,2))"),"")</f>
        <v/>
      </c>
      <c r="FY50" s="1" t="str">
        <f ca="1">IFERROR(__xludf.DUMMYFUNCTION("if(FY$2="""","""", index(GOOGLEFINANCE($B$50,""close"",FY$2,TODAY()),2,2))"),"")</f>
        <v/>
      </c>
      <c r="FZ50" s="1" t="str">
        <f ca="1">IFERROR(__xludf.DUMMYFUNCTION("if(FZ$2="""","""", index(GOOGLEFINANCE($B$50,""close"",FZ$2,TODAY()),2,2))"),"")</f>
        <v/>
      </c>
      <c r="GA50" s="1" t="str">
        <f ca="1">IFERROR(__xludf.DUMMYFUNCTION("if(GA$2="""","""", index(GOOGLEFINANCE($B$50,""close"",GA$2,TODAY()),2,2))"),"")</f>
        <v/>
      </c>
      <c r="GB50" s="1" t="str">
        <f ca="1">IFERROR(__xludf.DUMMYFUNCTION("if(GB$2="""","""", index(GOOGLEFINANCE($B$50,""close"",GB$2,TODAY()),2,2))"),"")</f>
        <v/>
      </c>
      <c r="GC50" s="1" t="str">
        <f ca="1">IFERROR(__xludf.DUMMYFUNCTION("if(GC$2="""","""", index(GOOGLEFINANCE($B$50,""close"",GC$2,TODAY()),2,2))"),"")</f>
        <v/>
      </c>
      <c r="GD50" s="1" t="str">
        <f ca="1">IFERROR(__xludf.DUMMYFUNCTION("if(GD$2="""","""", index(GOOGLEFINANCE($B$50,""close"",GD$2,TODAY()),2,2))"),"")</f>
        <v/>
      </c>
      <c r="GE50" s="1" t="str">
        <f ca="1">IFERROR(__xludf.DUMMYFUNCTION("if(GE$2="""","""", index(GOOGLEFINANCE($B$50,""close"",GE$2,TODAY()),2,2))"),"")</f>
        <v/>
      </c>
      <c r="GF50" s="1" t="str">
        <f ca="1">IFERROR(__xludf.DUMMYFUNCTION("if(GF$2="""","""", index(GOOGLEFINANCE($B$50,""close"",GF$2,TODAY()),2,2))"),"")</f>
        <v/>
      </c>
      <c r="GG50" s="1" t="str">
        <f ca="1">IFERROR(__xludf.DUMMYFUNCTION("if(GG$2="""","""", index(GOOGLEFINANCE($B$50,""close"",GG$2,TODAY()),2,2))"),"")</f>
        <v/>
      </c>
      <c r="GH50" s="1" t="str">
        <f ca="1">IFERROR(__xludf.DUMMYFUNCTION("if(GH$2="""","""", index(GOOGLEFINANCE($B$50,""close"",GH$2,TODAY()),2,2))"),"")</f>
        <v/>
      </c>
      <c r="GI50" s="1" t="str">
        <f ca="1">IFERROR(__xludf.DUMMYFUNCTION("if(GI$2="""","""", index(GOOGLEFINANCE($B$50,""close"",GI$2,TODAY()),2,2))"),"")</f>
        <v/>
      </c>
      <c r="GJ50" s="1" t="str">
        <f ca="1">IFERROR(__xludf.DUMMYFUNCTION("if(GJ$2="""","""", index(GOOGLEFINANCE($B$50,""close"",GJ$2,TODAY()),2,2))"),"")</f>
        <v/>
      </c>
      <c r="GK50" s="1" t="str">
        <f ca="1">IFERROR(__xludf.DUMMYFUNCTION("if(GK$2="""","""", index(GOOGLEFINANCE($B$50,""close"",GK$2,TODAY()),2,2))"),"")</f>
        <v/>
      </c>
      <c r="GL50" s="1" t="str">
        <f ca="1">IFERROR(__xludf.DUMMYFUNCTION("if(GL$2="""","""", index(GOOGLEFINANCE($B$50,""close"",GL$2,TODAY()),2,2))"),"")</f>
        <v/>
      </c>
      <c r="GM50" s="1" t="str">
        <f ca="1">IFERROR(__xludf.DUMMYFUNCTION("if(GM$2="""","""", index(GOOGLEFINANCE($B$50,""close"",GM$2,TODAY()),2,2))"),"")</f>
        <v/>
      </c>
      <c r="GN50" s="1" t="str">
        <f ca="1">IFERROR(__xludf.DUMMYFUNCTION("if(GN$2="""","""", index(GOOGLEFINANCE($B$50,""close"",GN$2,TODAY()),2,2))"),"")</f>
        <v/>
      </c>
      <c r="GO50" s="1" t="str">
        <f ca="1">IFERROR(__xludf.DUMMYFUNCTION("if(GO$2="""","""", index(GOOGLEFINANCE($B$50,""close"",GO$2,TODAY()),2,2))"),"")</f>
        <v/>
      </c>
      <c r="GP50" s="1" t="str">
        <f ca="1">IFERROR(__xludf.DUMMYFUNCTION("if(GP$2="""","""", index(GOOGLEFINANCE($B$50,""close"",GP$2,TODAY()),2,2))"),"")</f>
        <v/>
      </c>
      <c r="GQ50" s="1" t="str">
        <f ca="1">IFERROR(__xludf.DUMMYFUNCTION("if(GQ$2="""","""", index(GOOGLEFINANCE($B$50,""close"",GQ$2,TODAY()),2,2))"),"")</f>
        <v/>
      </c>
      <c r="GR50" s="1" t="str">
        <f ca="1">IFERROR(__xludf.DUMMYFUNCTION("if(GR$2="""","""", index(GOOGLEFINANCE($B$50,""close"",GR$2,TODAY()),2,2))"),"")</f>
        <v/>
      </c>
      <c r="GS50" s="1" t="str">
        <f ca="1">IFERROR(__xludf.DUMMYFUNCTION("if(GS$2="""","""", index(GOOGLEFINANCE($B$50,""close"",GS$2,TODAY()),2,2))"),"")</f>
        <v/>
      </c>
      <c r="GT50" s="1" t="str">
        <f ca="1">IFERROR(__xludf.DUMMYFUNCTION("if(GT$2="""","""", index(GOOGLEFINANCE($B$50,""close"",GT$2,TODAY()),2,2))"),"")</f>
        <v/>
      </c>
      <c r="GU50" s="1" t="str">
        <f ca="1">IFERROR(__xludf.DUMMYFUNCTION("if(GU$2="""","""", index(GOOGLEFINANCE($B$50,""close"",GU$2,TODAY()),2,2))"),"")</f>
        <v/>
      </c>
      <c r="GV50" s="1" t="str">
        <f ca="1">IFERROR(__xludf.DUMMYFUNCTION("if(GV$2="""","""", index(GOOGLEFINANCE($B$50,""close"",GV$2,TODAY()),2,2))"),"")</f>
        <v/>
      </c>
      <c r="GW50" s="1" t="str">
        <f ca="1">IFERROR(__xludf.DUMMYFUNCTION("if(GW$2="""","""", index(GOOGLEFINANCE($B$50,""close"",GW$2,TODAY()),2,2))"),"")</f>
        <v/>
      </c>
      <c r="GX50" s="1" t="str">
        <f ca="1">IFERROR(__xludf.DUMMYFUNCTION("if(GX$2="""","""", index(GOOGLEFINANCE($B$50,""close"",GX$2,TODAY()),2,2))"),"")</f>
        <v/>
      </c>
      <c r="GY50" s="1" t="str">
        <f ca="1">IFERROR(__xludf.DUMMYFUNCTION("if(GY$2="""","""", index(GOOGLEFINANCE($B$50,""close"",GY$2,TODAY()),2,2))"),"")</f>
        <v/>
      </c>
      <c r="GZ50" s="1" t="str">
        <f ca="1">IFERROR(__xludf.DUMMYFUNCTION("if(GZ$2="""","""", index(GOOGLEFINANCE($B$50,""close"",GZ$2,TODAY()),2,2))"),"")</f>
        <v/>
      </c>
      <c r="HA50" s="1" t="str">
        <f ca="1">IFERROR(__xludf.DUMMYFUNCTION("if(HA$2="""","""", index(GOOGLEFINANCE($B$50,""close"",HA$2,TODAY()),2,2))"),"")</f>
        <v/>
      </c>
      <c r="HB50" s="1" t="str">
        <f ca="1">IFERROR(__xludf.DUMMYFUNCTION("if(HB$2="""","""", index(GOOGLEFINANCE($B$50,""close"",HB$2,TODAY()),2,2))"),"")</f>
        <v/>
      </c>
      <c r="HC50" s="1" t="str">
        <f ca="1">IFERROR(__xludf.DUMMYFUNCTION("if(HC$2="""","""", index(GOOGLEFINANCE($B$50,""close"",HC$2,TODAY()),2,2))"),"")</f>
        <v/>
      </c>
      <c r="HD50" s="1" t="str">
        <f ca="1">IFERROR(__xludf.DUMMYFUNCTION("if(HD$2="""","""", index(GOOGLEFINANCE($B$50,""close"",HD$2,TODAY()),2,2))"),"")</f>
        <v/>
      </c>
      <c r="HE50" s="1" t="str">
        <f ca="1">IFERROR(__xludf.DUMMYFUNCTION("if(HE$2="""","""", index(GOOGLEFINANCE($B$50,""close"",HE$2,TODAY()),2,2))"),"")</f>
        <v/>
      </c>
      <c r="HF50" s="1" t="str">
        <f ca="1">IFERROR(__xludf.DUMMYFUNCTION("if(HF$2="""","""", index(GOOGLEFINANCE($B$50,""close"",HF$2,TODAY()),2,2))"),"")</f>
        <v/>
      </c>
      <c r="HG50" s="1" t="str">
        <f ca="1">IFERROR(__xludf.DUMMYFUNCTION("if(HG$2="""","""", index(GOOGLEFINANCE($B$50,""close"",HG$2,TODAY()),2,2))"),"")</f>
        <v/>
      </c>
      <c r="HH50" s="1" t="str">
        <f ca="1">IFERROR(__xludf.DUMMYFUNCTION("if(HH$2="""","""", index(GOOGLEFINANCE($B$50,""close"",HH$2,TODAY()),2,2))"),"")</f>
        <v/>
      </c>
      <c r="HI50" s="1" t="str">
        <f ca="1">IFERROR(__xludf.DUMMYFUNCTION("if(HI$2="""","""", index(GOOGLEFINANCE($B$50,""close"",HI$2,TODAY()),2,2))"),"")</f>
        <v/>
      </c>
      <c r="HJ50" s="1" t="str">
        <f ca="1">IFERROR(__xludf.DUMMYFUNCTION("if(HJ$2="""","""", index(GOOGLEFINANCE($B$50,""close"",HJ$2,TODAY()),2,2))"),"")</f>
        <v/>
      </c>
      <c r="HK50" s="1" t="str">
        <f ca="1">IFERROR(__xludf.DUMMYFUNCTION("if(HK$2="""","""", index(GOOGLEFINANCE($B$50,""close"",HK$2,TODAY()),2,2))"),"")</f>
        <v/>
      </c>
      <c r="HL50" s="1" t="str">
        <f ca="1">IFERROR(__xludf.DUMMYFUNCTION("if(HL$2="""","""", index(GOOGLEFINANCE($B$50,""close"",HL$2,TODAY()),2,2))"),"")</f>
        <v/>
      </c>
      <c r="HM50" s="1" t="str">
        <f ca="1">IFERROR(__xludf.DUMMYFUNCTION("if(HM$2="""","""", index(GOOGLEFINANCE($B$50,""close"",HM$2,TODAY()),2,2))"),"")</f>
        <v/>
      </c>
      <c r="HN50" s="1" t="str">
        <f ca="1">IFERROR(__xludf.DUMMYFUNCTION("if(HN$2="""","""", index(GOOGLEFINANCE($B$50,""close"",HN$2,TODAY()),2,2))"),"")</f>
        <v/>
      </c>
      <c r="HO50" s="1" t="str">
        <f ca="1">IFERROR(__xludf.DUMMYFUNCTION("if(HO$2="""","""", index(GOOGLEFINANCE($B$50,""close"",HO$2,TODAY()),2,2))"),"")</f>
        <v/>
      </c>
      <c r="HP50" s="1" t="str">
        <f ca="1">IFERROR(__xludf.DUMMYFUNCTION("if(HP$2="""","""", index(GOOGLEFINANCE($B$50,""close"",HP$2,TODAY()),2,2))"),"")</f>
        <v/>
      </c>
      <c r="HQ50" s="1" t="str">
        <f ca="1">IFERROR(__xludf.DUMMYFUNCTION("if(HQ$2="""","""", index(GOOGLEFINANCE($B$50,""close"",HQ$2,TODAY()),2,2))"),"")</f>
        <v/>
      </c>
      <c r="HR50" s="1" t="str">
        <f ca="1">IFERROR(__xludf.DUMMYFUNCTION("if(HR$2="""","""", index(GOOGLEFINANCE($B$50,""close"",HR$2,TODAY()),2,2))"),"")</f>
        <v/>
      </c>
      <c r="HS50" s="1" t="str">
        <f ca="1">IFERROR(__xludf.DUMMYFUNCTION("if(HS$2="""","""", index(GOOGLEFINANCE($B$50,""close"",HS$2,TODAY()),2,2))"),"")</f>
        <v/>
      </c>
      <c r="HT50" s="1" t="str">
        <f ca="1">IFERROR(__xludf.DUMMYFUNCTION("if(HT$2="""","""", index(GOOGLEFINANCE($B$50,""close"",HT$2,TODAY()),2,2))"),"")</f>
        <v/>
      </c>
      <c r="HU50" s="1" t="str">
        <f ca="1">IFERROR(__xludf.DUMMYFUNCTION("if(HU$2="""","""", index(GOOGLEFINANCE($B$50,""close"",HU$2,TODAY()),2,2))"),"")</f>
        <v/>
      </c>
      <c r="HV50" s="1" t="str">
        <f ca="1">IFERROR(__xludf.DUMMYFUNCTION("if(HV$2="""","""", index(GOOGLEFINANCE($B$50,""close"",HV$2,TODAY()),2,2))"),"")</f>
        <v/>
      </c>
      <c r="HW50" s="1" t="str">
        <f ca="1">IFERROR(__xludf.DUMMYFUNCTION("if(HW$2="""","""", index(GOOGLEFINANCE($B$50,""close"",HW$2,TODAY()),2,2))"),"")</f>
        <v/>
      </c>
      <c r="HX50" s="1" t="str">
        <f ca="1">IFERROR(__xludf.DUMMYFUNCTION("if(HX$2="""","""", index(GOOGLEFINANCE($B$50,""close"",HX$2,TODAY()),2,2))"),"")</f>
        <v/>
      </c>
      <c r="HY50" s="1" t="str">
        <f ca="1">IFERROR(__xludf.DUMMYFUNCTION("if(HY$2="""","""", index(GOOGLEFINANCE($B$50,""close"",HY$2,TODAY()),2,2))"),"")</f>
        <v/>
      </c>
      <c r="HZ50" s="1" t="str">
        <f ca="1">IFERROR(__xludf.DUMMYFUNCTION("if(HZ$2="""","""", index(GOOGLEFINANCE($B$50,""close"",HZ$2,TODAY()),2,2))"),"")</f>
        <v/>
      </c>
      <c r="IA50" s="1" t="str">
        <f ca="1">IFERROR(__xludf.DUMMYFUNCTION("if(IA$2="""","""", index(GOOGLEFINANCE($B$50,""close"",IA$2,TODAY()),2,2))"),"")</f>
        <v/>
      </c>
      <c r="IB50" s="1" t="str">
        <f ca="1">IFERROR(__xludf.DUMMYFUNCTION("if(IB$2="""","""", index(GOOGLEFINANCE($B$50,""close"",IB$2,TODAY()),2,2))"),"")</f>
        <v/>
      </c>
      <c r="IC50" s="1" t="str">
        <f ca="1">IFERROR(__xludf.DUMMYFUNCTION("if(IC$2="""","""", index(GOOGLEFINANCE($B$50,""close"",IC$2,TODAY()),2,2))"),"")</f>
        <v/>
      </c>
      <c r="ID50" s="1" t="str">
        <f ca="1">IFERROR(__xludf.DUMMYFUNCTION("if(ID$2="""","""", index(GOOGLEFINANCE($B$50,""close"",ID$2,TODAY()),2,2))"),"")</f>
        <v/>
      </c>
      <c r="IE50" s="1" t="str">
        <f ca="1">IFERROR(__xludf.DUMMYFUNCTION("if(IE$2="""","""", index(GOOGLEFINANCE($B$50,""close"",IE$2,TODAY()),2,2))"),"")</f>
        <v/>
      </c>
      <c r="IF50" s="1" t="str">
        <f ca="1">IFERROR(__xludf.DUMMYFUNCTION("if(IF$2="""","""", index(GOOGLEFINANCE($B$50,""close"",IF$2,TODAY()),2,2))"),"")</f>
        <v/>
      </c>
      <c r="IG50" s="1" t="str">
        <f ca="1">IFERROR(__xludf.DUMMYFUNCTION("if(IG$2="""","""", index(GOOGLEFINANCE($B$50,""close"",IG$2,TODAY()),2,2))"),"")</f>
        <v/>
      </c>
      <c r="IH50" s="1" t="str">
        <f ca="1">IFERROR(__xludf.DUMMYFUNCTION("if(IH$2="""","""", index(GOOGLEFINANCE($B$50,""close"",IH$2,TODAY()),2,2))"),"")</f>
        <v/>
      </c>
      <c r="II50" s="1" t="str">
        <f ca="1">IFERROR(__xludf.DUMMYFUNCTION("if(II$2="""","""", index(GOOGLEFINANCE($B$50,""close"",II$2,TODAY()),2,2))"),"")</f>
        <v/>
      </c>
      <c r="IJ50" s="1" t="str">
        <f ca="1">IFERROR(__xludf.DUMMYFUNCTION("if(IJ$2="""","""", index(GOOGLEFINANCE($B$50,""close"",IJ$2,TODAY()),2,2))"),"")</f>
        <v/>
      </c>
      <c r="IK50" s="1" t="str">
        <f ca="1">IFERROR(__xludf.DUMMYFUNCTION("if(IK$2="""","""", index(GOOGLEFINANCE($B$50,""close"",IK$2,TODAY()),2,2))"),"")</f>
        <v/>
      </c>
      <c r="IL50" s="1" t="str">
        <f ca="1">IFERROR(__xludf.DUMMYFUNCTION("if(IL$2="""","""", index(GOOGLEFINANCE($B$50,""close"",IL$2,TODAY()),2,2))"),"")</f>
        <v/>
      </c>
      <c r="IM50" s="1" t="str">
        <f ca="1">IFERROR(__xludf.DUMMYFUNCTION("if(IM$2="""","""", index(GOOGLEFINANCE($B$50,""close"",IM$2,TODAY()),2,2))"),"")</f>
        <v/>
      </c>
      <c r="IN50" s="1" t="str">
        <f ca="1">IFERROR(__xludf.DUMMYFUNCTION("if(IN$2="""","""", index(GOOGLEFINANCE($B$50,""close"",IN$2,TODAY()),2,2))"),"")</f>
        <v/>
      </c>
      <c r="IO50" s="1" t="str">
        <f ca="1">IFERROR(__xludf.DUMMYFUNCTION("if(IO$2="""","""", index(GOOGLEFINANCE($B$50,""close"",IO$2,TODAY()),2,2))"),"")</f>
        <v/>
      </c>
      <c r="IP50" s="1" t="str">
        <f ca="1">IFERROR(__xludf.DUMMYFUNCTION("if(IP$2="""","""", index(GOOGLEFINANCE($B$50,""close"",IP$2,TODAY()),2,2))"),"")</f>
        <v/>
      </c>
      <c r="IQ50" s="1" t="str">
        <f ca="1">IFERROR(__xludf.DUMMYFUNCTION("if(IQ$2="""","""", index(GOOGLEFINANCE($B$50,""close"",IQ$2,TODAY()),2,2))"),"")</f>
        <v/>
      </c>
      <c r="IR50" s="1" t="str">
        <f ca="1">IFERROR(__xludf.DUMMYFUNCTION("if(IR$2="""","""", index(GOOGLEFINANCE($B$50,""close"",IR$2,TODAY()),2,2))"),"")</f>
        <v/>
      </c>
      <c r="IS50" s="1" t="str">
        <f ca="1">IFERROR(__xludf.DUMMYFUNCTION("if(IS$2="""","""", index(GOOGLEFINANCE($B$50,""close"",IS$2,TODAY()),2,2))"),"")</f>
        <v/>
      </c>
      <c r="IT50" s="1" t="str">
        <f ca="1">IFERROR(__xludf.DUMMYFUNCTION("if(IT$2="""","""", index(GOOGLEFINANCE($B$50,""close"",IT$2,TODAY()),2,2))"),"")</f>
        <v/>
      </c>
      <c r="IU50" s="1" t="str">
        <f ca="1">IFERROR(__xludf.DUMMYFUNCTION("if(IU$2="""","""", index(GOOGLEFINANCE($B$50,""close"",IU$2,TODAY()),2,2))"),"")</f>
        <v/>
      </c>
      <c r="IV50" s="1" t="str">
        <f ca="1">IFERROR(__xludf.DUMMYFUNCTION("if(IV$2="""","""", index(GOOGLEFINANCE($B$50,""close"",IV$2,TODAY()),2,2))"),"")</f>
        <v/>
      </c>
      <c r="IW50" s="1" t="str">
        <f ca="1">IFERROR(__xludf.DUMMYFUNCTION("if(IW$2="""","""", index(GOOGLEFINANCE($B$50,""close"",IW$2,TODAY()),2,2))"),"")</f>
        <v/>
      </c>
      <c r="IX50" s="1" t="str">
        <f ca="1">IFERROR(__xludf.DUMMYFUNCTION("if(IX$2="""","""", index(GOOGLEFINANCE($B$50,""close"",IX$2,TODAY()),2,2))"),"")</f>
        <v/>
      </c>
      <c r="IY50" s="1" t="str">
        <f ca="1">IFERROR(__xludf.DUMMYFUNCTION("if(IY$2="""","""", index(GOOGLEFINANCE($B$50,""close"",IY$2,TODAY()),2,2))"),"")</f>
        <v/>
      </c>
      <c r="IZ50" s="1" t="str">
        <f ca="1">IFERROR(__xludf.DUMMYFUNCTION("if(IZ$2="""","""", index(GOOGLEFINANCE($B$50,""close"",IZ$2,TODAY()),2,2))"),"")</f>
        <v/>
      </c>
      <c r="JA50" s="1" t="str">
        <f ca="1">IFERROR(__xludf.DUMMYFUNCTION("if(JA$2="""","""", index(GOOGLEFINANCE($B$50,""close"",JA$2,TODAY()),2,2))"),"")</f>
        <v/>
      </c>
      <c r="JB50" s="1" t="str">
        <f ca="1">IFERROR(__xludf.DUMMYFUNCTION("if(JB$2="""","""", index(GOOGLEFINANCE($B$50,""close"",JB$2,TODAY()),2,2))"),"")</f>
        <v/>
      </c>
      <c r="JC50" s="1" t="str">
        <f ca="1">IFERROR(__xludf.DUMMYFUNCTION("if(JC$2="""","""", index(GOOGLEFINANCE($B$50,""close"",JC$2,TODAY()),2,2))"),"")</f>
        <v/>
      </c>
      <c r="JD50" s="1" t="str">
        <f ca="1">IFERROR(__xludf.DUMMYFUNCTION("if(JD$2="""","""", index(GOOGLEFINANCE($B$50,""close"",JD$2,TODAY()),2,2))"),"")</f>
        <v/>
      </c>
      <c r="JE50" s="1" t="str">
        <f ca="1">IFERROR(__xludf.DUMMYFUNCTION("if(JE$2="""","""", index(GOOGLEFINANCE($B$50,""close"",JE$2,TODAY()),2,2))"),"")</f>
        <v/>
      </c>
      <c r="JF50" s="1" t="str">
        <f ca="1">IFERROR(__xludf.DUMMYFUNCTION("if(JF$2="""","""", index(GOOGLEFINANCE($B$50,""close"",JF$2,TODAY()),2,2))"),"")</f>
        <v/>
      </c>
      <c r="JG50" s="1" t="str">
        <f ca="1">IFERROR(__xludf.DUMMYFUNCTION("if(JG$2="""","""", index(GOOGLEFINANCE($B$50,""close"",JG$2,TODAY()),2,2))"),"")</f>
        <v/>
      </c>
      <c r="JH50" s="1" t="str">
        <f ca="1">IFERROR(__xludf.DUMMYFUNCTION("if(JH$2="""","""", index(GOOGLEFINANCE($B$50,""close"",JH$2,TODAY()),2,2))"),"")</f>
        <v/>
      </c>
      <c r="JI50" s="1" t="str">
        <f ca="1">IFERROR(__xludf.DUMMYFUNCTION("if(JI$2="""","""", index(GOOGLEFINANCE($B$50,""close"",JI$2,TODAY()),2,2))"),"")</f>
        <v/>
      </c>
      <c r="JJ50" s="1" t="str">
        <f ca="1">IFERROR(__xludf.DUMMYFUNCTION("if(JJ$2="""","""", index(GOOGLEFINANCE($B$50,""close"",JJ$2,TODAY()),2,2))"),"")</f>
        <v/>
      </c>
      <c r="JK50" s="1" t="str">
        <f ca="1">IFERROR(__xludf.DUMMYFUNCTION("if(JK$2="""","""", index(GOOGLEFINANCE($B$50,""close"",JK$2,TODAY()),2,2))"),"")</f>
        <v/>
      </c>
      <c r="JL50" s="1" t="str">
        <f ca="1">IFERROR(__xludf.DUMMYFUNCTION("if(JL$2="""","""", index(GOOGLEFINANCE($B$50,""close"",JL$2,TODAY()),2,2))"),"")</f>
        <v/>
      </c>
      <c r="JM50" s="1" t="str">
        <f ca="1">IFERROR(__xludf.DUMMYFUNCTION("if(JM$2="""","""", index(GOOGLEFINANCE($B$50,""close"",JM$2,TODAY()),2,2))"),"")</f>
        <v/>
      </c>
      <c r="JN50" s="1" t="str">
        <f ca="1">IFERROR(__xludf.DUMMYFUNCTION("if(JN$2="""","""", index(GOOGLEFINANCE($B$50,""close"",JN$2,TODAY()),2,2))"),"")</f>
        <v/>
      </c>
      <c r="JO50" s="1" t="str">
        <f ca="1">IFERROR(__xludf.DUMMYFUNCTION("if(JO$2="""","""", index(GOOGLEFINANCE($B$50,""close"",JO$2,TODAY()),2,2))"),"")</f>
        <v/>
      </c>
      <c r="JP50" s="1" t="str">
        <f ca="1">IFERROR(__xludf.DUMMYFUNCTION("if(JP$2="""","""", index(GOOGLEFINANCE($B$50,""close"",JP$2,TODAY()),2,2))"),"")</f>
        <v/>
      </c>
      <c r="JQ50" s="1" t="str">
        <f ca="1">IFERROR(__xludf.DUMMYFUNCTION("if(JQ$2="""","""", index(GOOGLEFINANCE($B$50,""close"",JQ$2,TODAY()),2,2))"),"")</f>
        <v/>
      </c>
      <c r="JR50" s="1" t="str">
        <f ca="1">IFERROR(__xludf.DUMMYFUNCTION("if(JR$2="""","""", index(GOOGLEFINANCE($B$50,""close"",JR$2,TODAY()),2,2))"),"")</f>
        <v/>
      </c>
      <c r="JS50" s="1" t="str">
        <f ca="1">IFERROR(__xludf.DUMMYFUNCTION("if(JS$2="""","""", index(GOOGLEFINANCE($B$50,""close"",JS$2,TODAY()),2,2))"),"")</f>
        <v/>
      </c>
      <c r="JT50" s="1" t="str">
        <f ca="1">IFERROR(__xludf.DUMMYFUNCTION("if(JT$2="""","""", index(GOOGLEFINANCE($B$50,""close"",JT$2,TODAY()),2,2))"),"")</f>
        <v/>
      </c>
      <c r="JU50" s="1" t="str">
        <f ca="1">IFERROR(__xludf.DUMMYFUNCTION("if(JU$2="""","""", index(GOOGLEFINANCE($B$50,""close"",JU$2,TODAY()),2,2))"),"")</f>
        <v/>
      </c>
      <c r="JV50" s="1" t="str">
        <f ca="1">IFERROR(__xludf.DUMMYFUNCTION("if(JV$2="""","""", index(GOOGLEFINANCE($B$50,""close"",JV$2,TODAY()),2,2))"),"")</f>
        <v/>
      </c>
      <c r="JW50" s="1" t="str">
        <f ca="1">IFERROR(__xludf.DUMMYFUNCTION("if(JW$2="""","""", index(GOOGLEFINANCE($B$50,""close"",JW$2,TODAY()),2,2))"),"")</f>
        <v/>
      </c>
      <c r="JX50" s="1" t="str">
        <f ca="1">IFERROR(__xludf.DUMMYFUNCTION("if(JX$2="""","""", index(GOOGLEFINANCE($B$50,""close"",JX$2,TODAY()),2,2))"),"")</f>
        <v/>
      </c>
      <c r="JY50" s="1" t="str">
        <f ca="1">IFERROR(__xludf.DUMMYFUNCTION("if(JY$2="""","""", index(GOOGLEFINANCE($B$50,""close"",JY$2,TODAY()),2,2))"),"")</f>
        <v/>
      </c>
      <c r="JZ50" s="1" t="str">
        <f ca="1">IFERROR(__xludf.DUMMYFUNCTION("if(JZ$2="""","""", index(GOOGLEFINANCE($B$50,""close"",JZ$2,TODAY()),2,2))"),"")</f>
        <v/>
      </c>
      <c r="KA50" s="1" t="str">
        <f ca="1">IFERROR(__xludf.DUMMYFUNCTION("if(KA$2="""","""", index(GOOGLEFINANCE($B$50,""close"",KA$2,TODAY()),2,2))"),"")</f>
        <v/>
      </c>
      <c r="KB50" s="1" t="str">
        <f ca="1">IFERROR(__xludf.DUMMYFUNCTION("if(KB$2="""","""", index(GOOGLEFINANCE($B$50,""close"",KB$2,TODAY()),2,2))"),"")</f>
        <v/>
      </c>
      <c r="KC50" s="1" t="str">
        <f ca="1">IFERROR(__xludf.DUMMYFUNCTION("if(KC$2="""","""", index(GOOGLEFINANCE($B$50,""close"",KC$2,TODAY()),2,2))"),"")</f>
        <v/>
      </c>
      <c r="KD50" s="1" t="str">
        <f ca="1">IFERROR(__xludf.DUMMYFUNCTION("if(KD$2="""","""", index(GOOGLEFINANCE($B$50,""close"",KD$2,TODAY()),2,2))"),"")</f>
        <v/>
      </c>
      <c r="KE50" s="1" t="str">
        <f ca="1">IFERROR(__xludf.DUMMYFUNCTION("if(KE$2="""","""", index(GOOGLEFINANCE($B$50,""close"",KE$2,TODAY()),2,2))"),"")</f>
        <v/>
      </c>
      <c r="KF50" s="1" t="str">
        <f ca="1">IFERROR(__xludf.DUMMYFUNCTION("if(KF$2="""","""", index(GOOGLEFINANCE($B$50,""close"",KF$2,TODAY()),2,2))"),"")</f>
        <v/>
      </c>
      <c r="KG50" s="1" t="str">
        <f ca="1">IFERROR(__xludf.DUMMYFUNCTION("if(KG$2="""","""", index(GOOGLEFINANCE($B$50,""close"",KG$2,TODAY()),2,2))"),"")</f>
        <v/>
      </c>
    </row>
    <row r="51" spans="1:319" ht="15.75" customHeight="1">
      <c r="B51" s="2" t="s">
        <v>8</v>
      </c>
      <c r="C51" s="1">
        <f ca="1">IFERROR(__xludf.DUMMYFUNCTION("if(C$2="""","""", index(GOOGLEFINANCE($B$51,""close"",C$2,TODAY()),2,2))"),2272.56)</f>
        <v>2272.56</v>
      </c>
      <c r="D51" s="1">
        <f ca="1">IFERROR(__xludf.DUMMYFUNCTION("if(D$2="""","""", index(GOOGLEFINANCE($B$51,""close"",D$2,TODAY()),2,2))"),2268.87)</f>
        <v>2268.87</v>
      </c>
      <c r="E51" s="1">
        <f ca="1">IFERROR(__xludf.DUMMYFUNCTION("if(E$2="""","""", index(GOOGLEFINANCE($B$51,""close"",E$2,TODAY()),2,2))"),2194)</f>
        <v>2194</v>
      </c>
      <c r="F51" s="1">
        <f ca="1">IFERROR(__xludf.DUMMYFUNCTION("if(F$2="""","""", index(GOOGLEFINANCE($B$51,""close"",F$2,TODAY()),2,2))"),2206.37)</f>
        <v>2206.37</v>
      </c>
      <c r="G51" s="1">
        <f ca="1">IFERROR(__xludf.DUMMYFUNCTION("if(G$2="""","""", index(GOOGLEFINANCE($B$51,""close"",G$2,TODAY()),2,2))"),2179.81)</f>
        <v>2179.81</v>
      </c>
      <c r="H51" s="1">
        <f ca="1">IFERROR(__xludf.DUMMYFUNCTION("if(H$2="""","""", index(GOOGLEFINANCE($B$51,""close"",H$2,TODAY()),2,2))"),2138.16)</f>
        <v>2138.16</v>
      </c>
      <c r="I51" s="1">
        <f ca="1">IFERROR(__xludf.DUMMYFUNCTION("if(I$2="""","""", index(GOOGLEFINANCE($B$51,""close"",I$2,TODAY()),2,2))"),2194)</f>
        <v>2194</v>
      </c>
      <c r="J51" s="1">
        <f ca="1">IFERROR(__xludf.DUMMYFUNCTION("if(J$2="""","""", index(GOOGLEFINANCE($B$51,""close"",J$2,TODAY()),2,2))"),2176.06)</f>
        <v>2176.06</v>
      </c>
      <c r="K51" s="1">
        <f ca="1">IFERROR(__xludf.DUMMYFUNCTION("if(K$2="""","""", index(GOOGLEFINANCE($B$51,""close"",K$2,TODAY()),2,2))"),2159.44)</f>
        <v>2159.44</v>
      </c>
      <c r="L51" s="1">
        <f ca="1">IFERROR(__xludf.DUMMYFUNCTION("if(L$2="""","""", index(GOOGLEFINANCE($B$51,""close"",L$2,TODAY()),2,2))"),2162.46)</f>
        <v>2162.46</v>
      </c>
      <c r="M51" s="1">
        <f ca="1">IFERROR(__xludf.DUMMYFUNCTION("if(M$2="""","""", index(GOOGLEFINANCE($B$51,""close"",M$2,TODAY()),2,2))"),2096.23)</f>
        <v>2096.23</v>
      </c>
      <c r="N51" s="1">
        <f ca="1">IFERROR(__xludf.DUMMYFUNCTION("if(N$2="""","""", index(GOOGLEFINANCE($B$51,""close"",N$2,TODAY()),2,2))"),2062.78)</f>
        <v>2062.7800000000002</v>
      </c>
      <c r="O51" s="1">
        <f ca="1">IFERROR(__xludf.DUMMYFUNCTION("if(O$2="""","""", index(GOOGLEFINANCE($B$51,""close"",O$2,TODAY()),2,2))"),2024.04)</f>
        <v>2024.04</v>
      </c>
      <c r="P51" s="1">
        <f ca="1">IFERROR(__xludf.DUMMYFUNCTION("if(P$2="""","""", index(GOOGLEFINANCE($B$51,""close"",P$2,TODAY()),2,2))"),1987.92)</f>
        <v>1987.92</v>
      </c>
      <c r="Q51" s="1">
        <f ca="1">IFERROR(__xludf.DUMMYFUNCTION("if(Q$2="""","""", index(GOOGLEFINANCE($B$51,""close"",Q$2,TODAY()),2,2))"),2033.51)</f>
        <v>2033.51</v>
      </c>
      <c r="R51" s="1">
        <f ca="1">IFERROR(__xludf.DUMMYFUNCTION("if(R$2="""","""", index(GOOGLEFINANCE($B$51,""close"",R$2,TODAY()),2,2))"),2004.03)</f>
        <v>2004.03</v>
      </c>
      <c r="S51" s="1">
        <f ca="1">IFERROR(__xludf.DUMMYFUNCTION("if(S$2="""","""", index(GOOGLEFINANCE($B$51,""close"",S$2,TODAY()),2,2))"),1976.46)</f>
        <v>1976.46</v>
      </c>
      <c r="T51" s="1">
        <f ca="1">IFERROR(__xludf.DUMMYFUNCTION("if(T$2="""","""", index(GOOGLEFINANCE($B$51,""close"",T$2,TODAY()),2,2))"),1931.29)</f>
        <v>1931.29</v>
      </c>
      <c r="U51" s="1">
        <f ca="1">IFERROR(__xludf.DUMMYFUNCTION("if(U$2="""","""", index(GOOGLEFINANCE($B$51,""close"",U$2,TODAY()),2,2))"),1968.51)</f>
        <v>1968.51</v>
      </c>
      <c r="V51" s="1">
        <f ca="1">IFERROR(__xludf.DUMMYFUNCTION("if(V$2="""","""", index(GOOGLEFINANCE($B$51,""close"",V$2,TODAY()),2,2))"),2028.45)</f>
        <v>2028.45</v>
      </c>
      <c r="W51" s="1">
        <f ca="1">IFERROR(__xludf.DUMMYFUNCTION("if(W$2="""","""", index(GOOGLEFINANCE($B$51,""close"",W$2,TODAY()),2,2))"),2050.74)</f>
        <v>2050.7399999999998</v>
      </c>
      <c r="X51" s="1">
        <f ca="1">IFERROR(__xludf.DUMMYFUNCTION("if(X$2="""","""", index(GOOGLEFINANCE($B$51,""close"",X$2,TODAY()),2,2))"),2029.52)</f>
        <v>2029.52</v>
      </c>
      <c r="Y51" s="1">
        <f ca="1">IFERROR(__xludf.DUMMYFUNCTION("if(Y$2="""","""", index(GOOGLEFINANCE($B$51,""close"",Y$2,TODAY()),2,2))"),1991.03)</f>
        <v>1991.03</v>
      </c>
      <c r="Z51" s="1">
        <f ca="1">IFERROR(__xludf.DUMMYFUNCTION("if(Z$2="""","""", index(GOOGLEFINANCE($B$51,""close"",Z$2,TODAY()),2,2))"),2002.36)</f>
        <v>2002.36</v>
      </c>
      <c r="AA51" s="1">
        <f ca="1">IFERROR(__xludf.DUMMYFUNCTION("if(AA$2="""","""", index(GOOGLEFINANCE($B$51,""close"",AA$2,TODAY()),2,2))"),2012.6)</f>
        <v>2012.6</v>
      </c>
      <c r="AB51" s="1">
        <f ca="1">IFERROR(__xludf.DUMMYFUNCTION("if(AB$2="""","""", index(GOOGLEFINANCE($B$51,""close"",AB$2,TODAY()),2,2))"),2045.37)</f>
        <v>2045.37</v>
      </c>
      <c r="AC51" s="1">
        <f ca="1">IFERROR(__xludf.DUMMYFUNCTION("if(AC$2="""","""", index(GOOGLEFINANCE($B$51,""close"",AC$2,TODAY()),2,2))"),2083.5)</f>
        <v>2083.5</v>
      </c>
      <c r="AD51" s="1">
        <f ca="1">IFERROR(__xludf.DUMMYFUNCTION("if(AD$2="""","""", index(GOOGLEFINANCE($B$51,""close"",AD$2,TODAY()),2,2))"),2051.16)</f>
        <v>2051.16</v>
      </c>
      <c r="AE51" s="1">
        <f ca="1">IFERROR(__xludf.DUMMYFUNCTION("if(AE$2="""","""", index(GOOGLEFINANCE($B$51,""close"",AE$2,TODAY()),2,2))"),2030.15)</f>
        <v>2030.15</v>
      </c>
      <c r="AF51" s="1">
        <f ca="1">IFERROR(__xludf.DUMMYFUNCTION("if(AF$2="""","""", index(GOOGLEFINANCE($B$51,""close"",AF$2,TODAY()),2,2))"),2020.79)</f>
        <v>2020.79</v>
      </c>
      <c r="AG51" s="1">
        <f ca="1">IFERROR(__xludf.DUMMYFUNCTION("if(AG$2="""","""", index(GOOGLEFINANCE($B$51,""close"",AG$2,TODAY()),2,2))"),2076.46)</f>
        <v>2076.46</v>
      </c>
      <c r="AH51" s="1">
        <f ca="1">IFERROR(__xludf.DUMMYFUNCTION("if(AH$2="""","""", index(GOOGLEFINANCE($B$51,""close"",AH$2,TODAY()),2,2))"),2079.31)</f>
        <v>2079.31</v>
      </c>
      <c r="AI51" s="1">
        <f ca="1">IFERROR(__xludf.DUMMYFUNCTION("if(AI$2="""","""", index(GOOGLEFINANCE($B$51,""close"",AI$2,TODAY()),2,2))"),2028.09)</f>
        <v>2028.09</v>
      </c>
      <c r="AJ51" s="1">
        <f ca="1">IFERROR(__xludf.DUMMYFUNCTION("if(AJ$2="""","""", index(GOOGLEFINANCE($B$51,""close"",AJ$2,TODAY()),2,2))"),2009.33)</f>
        <v>2009.33</v>
      </c>
      <c r="AK51" s="1">
        <f ca="1">IFERROR(__xludf.DUMMYFUNCTION("if(AK$2="""","""", index(GOOGLEFINANCE($B$51,""close"",AK$2,TODAY()),2,2))"),1980.17)</f>
        <v>1980.17</v>
      </c>
      <c r="AL51" s="1">
        <f ca="1">IFERROR(__xludf.DUMMYFUNCTION("if(AL$2="""","""", index(GOOGLEFINANCE($B$51,""close"",AL$2,TODAY()),2,2))"),1944.09)</f>
        <v>1944.09</v>
      </c>
      <c r="AM51" s="1">
        <f ca="1">IFERROR(__xludf.DUMMYFUNCTION("if(AM$2="""","""", index(GOOGLEFINANCE($B$51,""close"",AM$2,TODAY()),2,2))"),1996)</f>
        <v>1996</v>
      </c>
      <c r="AN51" s="1">
        <f ca="1">IFERROR(__xludf.DUMMYFUNCTION("if(AN$2="""","""", index(GOOGLEFINANCE($B$51,""close"",AN$2,TODAY()),2,2))"),2040.93)</f>
        <v>2040.93</v>
      </c>
      <c r="AO51" s="1">
        <f ca="1">IFERROR(__xludf.DUMMYFUNCTION("if(AO$2="""","""", index(GOOGLEFINANCE($B$51,""close"",AO$2,TODAY()),2,2))"),2048.09)</f>
        <v>2048.09</v>
      </c>
      <c r="AP51" s="1">
        <f ca="1">IFERROR(__xludf.DUMMYFUNCTION("if(AP$2="""","""", index(GOOGLEFINANCE($B$51,""close"",AP$2,TODAY()),2,2))"),2008.51)</f>
        <v>2008.51</v>
      </c>
      <c r="AQ51" s="1">
        <f ca="1">IFERROR(__xludf.DUMMYFUNCTION("if(AQ$2="""","""", index(GOOGLEFINANCE($B$51,""close"",AQ$2,TODAY()),2,2))"),2058.87)</f>
        <v>2058.87</v>
      </c>
      <c r="AR51" s="1">
        <f ca="1">IFERROR(__xludf.DUMMYFUNCTION("if(AR$2="""","""", index(GOOGLEFINANCE($B$51,""close"",AR$2,TODAY()),2,2))"),2032.41)</f>
        <v>2032.41</v>
      </c>
      <c r="AS51" s="1">
        <f ca="1">IFERROR(__xludf.DUMMYFUNCTION("if(AS$2="""","""", index(GOOGLEFINANCE($B$51,""close"",AS$2,TODAY()),2,2))"),2000.9)</f>
        <v>2000.9</v>
      </c>
      <c r="AT51" s="1">
        <f ca="1">IFERROR(__xludf.DUMMYFUNCTION("if(AT$2="""","""", index(GOOGLEFINANCE($B$51,""close"",AT$2,TODAY()),2,2))"),1951.33)</f>
        <v>1951.33</v>
      </c>
      <c r="AU51" s="1">
        <f ca="1">IFERROR(__xludf.DUMMYFUNCTION("if(AU$2="""","""", index(GOOGLEFINANCE($B$51,""close"",AU$2,TODAY()),2,2))"),1963.01)</f>
        <v>1963.01</v>
      </c>
      <c r="AV51" s="1">
        <f ca="1">IFERROR(__xludf.DUMMYFUNCTION("if(AV$2="""","""", index(GOOGLEFINANCE($B$51,""close"",AV$2,TODAY()),2,2))"),2016.29)</f>
        <v>2016.29</v>
      </c>
      <c r="AW51" s="1">
        <f ca="1">IFERROR(__xludf.DUMMYFUNCTION("if(AW$2="""","""", index(GOOGLEFINANCE($B$51,""close"",AW$2,TODAY()),2,2))"),2011.67)</f>
        <v>2011.67</v>
      </c>
      <c r="AX51" s="1">
        <f ca="1">IFERROR(__xludf.DUMMYFUNCTION("if(AX$2="""","""", index(GOOGLEFINANCE($B$51,""close"",AX$2,TODAY()),2,2))"),1979.67)</f>
        <v>1979.67</v>
      </c>
      <c r="AY51" s="1">
        <f ca="1">IFERROR(__xludf.DUMMYFUNCTION("if(AY$2="""","""", index(GOOGLEFINANCE($B$51,""close"",AY$2,TODAY()),2,2))"),1941.72)</f>
        <v>1941.72</v>
      </c>
      <c r="AZ51" s="1">
        <f ca="1">IFERROR(__xludf.DUMMYFUNCTION("if(AZ$2="""","""", index(GOOGLEFINANCE($B$51,""close"",AZ$2,TODAY()),2,2))"),1968.97)</f>
        <v>1968.97</v>
      </c>
      <c r="BA51" s="1">
        <f ca="1">IFERROR(__xludf.DUMMYFUNCTION("if(BA$2="""","""", index(GOOGLEFINANCE($B$51,""close"",BA$2,TODAY()),2,2))"),2030.72)</f>
        <v>2030.72</v>
      </c>
      <c r="BB51" s="1">
        <f ca="1">IFERROR(__xludf.DUMMYFUNCTION("if(BB$2="""","""", index(GOOGLEFINANCE($B$51,""close"",BB$2,TODAY()),2,2))"),2065.02)</f>
        <v>2065.02</v>
      </c>
      <c r="BC51" s="1">
        <f ca="1">IFERROR(__xludf.DUMMYFUNCTION("if(BC$2="""","""", index(GOOGLEFINANCE($B$51,""close"",BC$2,TODAY()),2,2))"),2086.14)</f>
        <v>2086.14</v>
      </c>
      <c r="BD51" s="1">
        <f ca="1">IFERROR(__xludf.DUMMYFUNCTION("if(BD$2="""","""", index(GOOGLEFINANCE($B$51,""close"",BD$2,TODAY()),2,2))"),2065.94)</f>
        <v>2065.94</v>
      </c>
      <c r="BE51" s="1">
        <f ca="1">IFERROR(__xludf.DUMMYFUNCTION("if(BE$2="""","""", index(GOOGLEFINANCE($B$51,""close"",BE$2,TODAY()),2,2))"),2088.34)</f>
        <v>2088.34</v>
      </c>
      <c r="BF51" s="1">
        <f ca="1">IFERROR(__xludf.DUMMYFUNCTION("if(BF$2="""","""", index(GOOGLEFINANCE($B$51,""close"",BF$2,TODAY()),2,2))"),2052.21)</f>
        <v>2052.21</v>
      </c>
      <c r="BG51" s="1">
        <f ca="1">IFERROR(__xludf.DUMMYFUNCTION("if(BG$2="""","""", index(GOOGLEFINANCE($B$51,""close"",BG$2,TODAY()),2,2))"),2075.44)</f>
        <v>2075.44</v>
      </c>
      <c r="BH51" s="1">
        <f ca="1">IFERROR(__xludf.DUMMYFUNCTION("if(BH$2="""","""", index(GOOGLEFINANCE($B$51,""close"",BH$2,TODAY()),2,2))"),2077.98)</f>
        <v>2077.98</v>
      </c>
      <c r="BI51" s="1">
        <f ca="1">IFERROR(__xludf.DUMMYFUNCTION("if(BI$2="""","""", index(GOOGLEFINANCE($B$51,""close"",BI$2,TODAY()),2,2))"),2078.06)</f>
        <v>2078.06</v>
      </c>
      <c r="BJ51" s="1">
        <f ca="1">IFERROR(__xludf.DUMMYFUNCTION("if(BJ$2="""","""", index(GOOGLEFINANCE($B$51,""close"",BJ$2,TODAY()),2,2))"),2133.1)</f>
        <v>2133.1</v>
      </c>
      <c r="BK51" s="1">
        <f ca="1">IFERROR(__xludf.DUMMYFUNCTION("if(BK$2="""","""", index(GOOGLEFINANCE($B$51,""close"",BK$2,TODAY()),2,2))"),2091.07)</f>
        <v>2091.0700000000002</v>
      </c>
      <c r="BL51" s="1">
        <f ca="1">IFERROR(__xludf.DUMMYFUNCTION("if(BL$2="""","""", index(GOOGLEFINANCE($B$51,""close"",BL$2,TODAY()),2,2))"),2070.13)</f>
        <v>2070.13</v>
      </c>
      <c r="BM51" s="1">
        <f ca="1">IFERROR(__xludf.DUMMYFUNCTION("if(BM$2="""","""", index(GOOGLEFINANCE($B$51,""close"",BM$2,TODAY()),2,2))"),2091.11)</f>
        <v>2091.11</v>
      </c>
      <c r="BN51" s="1">
        <f ca="1">IFERROR(__xludf.DUMMYFUNCTION("if(BN$2="""","""", index(GOOGLEFINANCE($B$51,""close"",BN$2,TODAY()),2,2))"),2095.44)</f>
        <v>2095.44</v>
      </c>
      <c r="BO51" s="1">
        <f ca="1">IFERROR(__xludf.DUMMYFUNCTION("if(BO$2="""","""", index(GOOGLEFINANCE($B$51,""close"",BO$2,TODAY()),2,2))"),2046.04)</f>
        <v>2046.04</v>
      </c>
      <c r="BP51" s="1">
        <f ca="1">IFERROR(__xludf.DUMMYFUNCTION("if(BP$2="""","""", index(GOOGLEFINANCE($B$51,""close"",BP$2,TODAY()),2,2))"),2016.94)</f>
        <v>2016.94</v>
      </c>
      <c r="BQ51" s="1">
        <f ca="1">IFERROR(__xludf.DUMMYFUNCTION("if(BQ$2="""","""", index(GOOGLEFINANCE($B$51,""close"",BQ$2,TODAY()),2,2))"),2009.8)</f>
        <v>2009.8</v>
      </c>
      <c r="BR51" s="1">
        <f ca="1">IFERROR(__xludf.DUMMYFUNCTION("if(BR$2="""","""", index(GOOGLEFINANCE($B$51,""close"",BR$2,TODAY()),2,2))"),1994.56)</f>
        <v>1994.56</v>
      </c>
      <c r="BS51" s="1">
        <f ca="1">IFERROR(__xludf.DUMMYFUNCTION("if(BS$2="""","""", index(GOOGLEFINANCE($B$51,""close"",BS$2,TODAY()),2,2))"),1980.32)</f>
        <v>1980.32</v>
      </c>
      <c r="BT51" s="1">
        <f ca="1">IFERROR(__xludf.DUMMYFUNCTION("if(BT$2="""","""", index(GOOGLEFINANCE($B$51,""close"",BT$2,TODAY()),2,2))"),1986.94)</f>
        <v>1986.94</v>
      </c>
      <c r="BU51" s="1">
        <f ca="1">IFERROR(__xludf.DUMMYFUNCTION("if(BU$2="""","""", index(GOOGLEFINANCE($B$51,""close"",BU$2,TODAY()),2,2))"),2025.1)</f>
        <v>2025.1</v>
      </c>
      <c r="BV51" s="1">
        <f ca="1">IFERROR(__xludf.DUMMYFUNCTION("if(BV$2="""","""", index(GOOGLEFINANCE($B$51,""close"",BV$2,TODAY()),2,2))"),2004.98)</f>
        <v>2004.98</v>
      </c>
      <c r="BW51" s="1">
        <f ca="1">IFERROR(__xludf.DUMMYFUNCTION("if(BW$2="""","""", index(GOOGLEFINANCE($B$51,""close"",BW$2,TODAY()),2,2))"),1990.13)</f>
        <v>1990.13</v>
      </c>
      <c r="BX51" s="1">
        <f ca="1">IFERROR(__xludf.DUMMYFUNCTION("if(BX$2="""","""", index(GOOGLEFINANCE($B$51,""close"",BX$2,TODAY()),2,2))"),2030.77)</f>
        <v>2030.77</v>
      </c>
      <c r="BY51" s="1">
        <f ca="1">IFERROR(__xludf.DUMMYFUNCTION("if(BY$2="""","""", index(GOOGLEFINANCE($B$51,""close"",BY$2,TODAY()),2,2))"),2038.19)</f>
        <v>2038.19</v>
      </c>
      <c r="BZ51" s="1">
        <f ca="1">IFERROR(__xludf.DUMMYFUNCTION("if(BZ$2="""","""", index(GOOGLEFINANCE($B$51,""close"",BZ$2,TODAY()),2,2))"),1991.46)</f>
        <v>1991.46</v>
      </c>
      <c r="CA51" s="1">
        <f ca="1">IFERROR(__xludf.DUMMYFUNCTION("if(CA$2="""","""", index(GOOGLEFINANCE($B$51,""close"",CA$2,TODAY()),2,2))"),1940.66)</f>
        <v>1940.66</v>
      </c>
      <c r="CB51" s="1">
        <f ca="1">IFERROR(__xludf.DUMMYFUNCTION("if(CB$2="""","""", index(GOOGLEFINANCE($B$51,""close"",CB$2,TODAY()),2,2))"),1954.2)</f>
        <v>1954.2</v>
      </c>
      <c r="CC51" s="1">
        <f ca="1">IFERROR(__xludf.DUMMYFUNCTION("if(CC$2="""","""", index(GOOGLEFINANCE($B$51,""close"",CC$2,TODAY()),2,2))"),1890.47)</f>
        <v>1890.47</v>
      </c>
      <c r="CD51" s="1">
        <f ca="1">IFERROR(__xludf.DUMMYFUNCTION("if(CD$2="""","""", index(GOOGLEFINANCE($B$51,""close"",CD$2,TODAY()),2,2))"),1884.04)</f>
        <v>1884.04</v>
      </c>
      <c r="CE51" s="1">
        <f ca="1">IFERROR(__xludf.DUMMYFUNCTION("if(CE$2="""","""", index(GOOGLEFINANCE($B$51,""close"",CE$2,TODAY()),2,2))"),1917.94)</f>
        <v>1917.94</v>
      </c>
      <c r="CF51" s="1">
        <f ca="1">IFERROR(__xludf.DUMMYFUNCTION("if(CF$2="""","""", index(GOOGLEFINANCE($B$51,""close"",CF$2,TODAY()),2,2))"),1864.1)</f>
        <v>1864.1</v>
      </c>
      <c r="CG51" s="1">
        <f ca="1">IFERROR(__xludf.DUMMYFUNCTION("if(CG$2="""","""", index(GOOGLEFINANCE($B$51,""close"",CG$2,TODAY()),2,2))"),1882.91)</f>
        <v>1882.91</v>
      </c>
      <c r="CH51" s="1">
        <f ca="1">IFERROR(__xludf.DUMMYFUNCTION("if(CH$2="""","""", index(GOOGLEFINANCE($B$51,""close"",CH$2,TODAY()),2,2))"),1898.86)</f>
        <v>1898.86</v>
      </c>
      <c r="CI51" s="1">
        <f ca="1">IFERROR(__xludf.DUMMYFUNCTION("if(CI$2="""","""", index(GOOGLEFINANCE($B$51,""close"",CI$2,TODAY()),2,2))"),1949.92)</f>
        <v>1949.92</v>
      </c>
      <c r="CJ51" s="1" t="str">
        <f ca="1">IFERROR(__xludf.DUMMYFUNCTION("if(CJ$2="""","""", index(GOOGLEFINANCE($B$51,""close"",CJ$2,TODAY()),2,2))"),"")</f>
        <v/>
      </c>
      <c r="CK51" s="1" t="str">
        <f ca="1">IFERROR(__xludf.DUMMYFUNCTION("if(CK$2="""","""", index(GOOGLEFINANCE($B$51,""close"",CK$2,TODAY()),2,2))"),"")</f>
        <v/>
      </c>
      <c r="CL51" s="1" t="str">
        <f ca="1">IFERROR(__xludf.DUMMYFUNCTION("if(CL$2="""","""", index(GOOGLEFINANCE($B$51,""close"",CL$2,TODAY()),2,2))"),"")</f>
        <v/>
      </c>
      <c r="CM51" s="1" t="str">
        <f ca="1">IFERROR(__xludf.DUMMYFUNCTION("if(CM$2="""","""", index(GOOGLEFINANCE($B$51,""close"",CM$2,TODAY()),2,2))"),"")</f>
        <v/>
      </c>
      <c r="CN51" s="1" t="str">
        <f ca="1">IFERROR(__xludf.DUMMYFUNCTION("if(CN$2="""","""", index(GOOGLEFINANCE($B$51,""close"",CN$2,TODAY()),2,2))"),"")</f>
        <v/>
      </c>
      <c r="CO51" s="1" t="str">
        <f ca="1">IFERROR(__xludf.DUMMYFUNCTION("if(CO$2="""","""", index(GOOGLEFINANCE($B$51,""close"",CO$2,TODAY()),2,2))"),"")</f>
        <v/>
      </c>
      <c r="CP51" s="1" t="str">
        <f ca="1">IFERROR(__xludf.DUMMYFUNCTION("if(CP$2="""","""", index(GOOGLEFINANCE($B$51,""close"",CP$2,TODAY()),2,2))"),"")</f>
        <v/>
      </c>
      <c r="CQ51" s="1" t="str">
        <f ca="1">IFERROR(__xludf.DUMMYFUNCTION("if(CQ$2="""","""", index(GOOGLEFINANCE($B$51,""close"",CQ$2,TODAY()),2,2))"),"")</f>
        <v/>
      </c>
      <c r="CR51" s="1" t="str">
        <f ca="1">IFERROR(__xludf.DUMMYFUNCTION("if(CR$2="""","""", index(GOOGLEFINANCE($B$51,""close"",CR$2,TODAY()),2,2))"),"")</f>
        <v/>
      </c>
      <c r="CS51" s="1" t="str">
        <f ca="1">IFERROR(__xludf.DUMMYFUNCTION("if(CS$2="""","""", index(GOOGLEFINANCE($B$51,""close"",CS$2,TODAY()),2,2))"),"")</f>
        <v/>
      </c>
      <c r="CT51" s="1" t="str">
        <f ca="1">IFERROR(__xludf.DUMMYFUNCTION("if(CT$2="""","""", index(GOOGLEFINANCE($B$51,""close"",CT$2,TODAY()),2,2))"),"")</f>
        <v/>
      </c>
      <c r="CU51" s="1" t="str">
        <f ca="1">IFERROR(__xludf.DUMMYFUNCTION("if(CU$2="""","""", index(GOOGLEFINANCE($B$51,""close"",CU$2,TODAY()),2,2))"),"")</f>
        <v/>
      </c>
      <c r="CV51" s="1" t="str">
        <f ca="1">IFERROR(__xludf.DUMMYFUNCTION("if(CV$2="""","""", index(GOOGLEFINANCE($B$51,""close"",CV$2,TODAY()),2,2))"),"")</f>
        <v/>
      </c>
      <c r="CW51" s="1" t="str">
        <f ca="1">IFERROR(__xludf.DUMMYFUNCTION("if(CW$2="""","""", index(GOOGLEFINANCE($B$51,""close"",CW$2,TODAY()),2,2))"),"")</f>
        <v/>
      </c>
      <c r="CX51" s="1" t="str">
        <f ca="1">IFERROR(__xludf.DUMMYFUNCTION("if(CX$2="""","""", index(GOOGLEFINANCE($B$51,""close"",CX$2,TODAY()),2,2))"),"")</f>
        <v/>
      </c>
      <c r="CY51" s="1" t="str">
        <f ca="1">IFERROR(__xludf.DUMMYFUNCTION("if(CY$2="""","""", index(GOOGLEFINANCE($B$51,""close"",CY$2,TODAY()),2,2))"),"")</f>
        <v/>
      </c>
      <c r="CZ51" s="1" t="str">
        <f ca="1">IFERROR(__xludf.DUMMYFUNCTION("if(CZ$2="""","""", index(GOOGLEFINANCE($B$51,""close"",CZ$2,TODAY()),2,2))"),"")</f>
        <v/>
      </c>
      <c r="DA51" s="1" t="str">
        <f ca="1">IFERROR(__xludf.DUMMYFUNCTION("if(DA$2="""","""", index(GOOGLEFINANCE($B$51,""close"",DA$2,TODAY()),2,2))"),"")</f>
        <v/>
      </c>
      <c r="DB51" s="1" t="str">
        <f ca="1">IFERROR(__xludf.DUMMYFUNCTION("if(DB$2="""","""", index(GOOGLEFINANCE($B$51,""close"",DB$2,TODAY()),2,2))"),"")</f>
        <v/>
      </c>
      <c r="DC51" s="1" t="str">
        <f ca="1">IFERROR(__xludf.DUMMYFUNCTION("if(DC$2="""","""", index(GOOGLEFINANCE($B$51,""close"",DC$2,TODAY()),2,2))"),"")</f>
        <v/>
      </c>
      <c r="DD51" s="1" t="str">
        <f ca="1">IFERROR(__xludf.DUMMYFUNCTION("if(DD$2="""","""", index(GOOGLEFINANCE($B$51,""close"",DD$2,TODAY()),2,2))"),"")</f>
        <v/>
      </c>
      <c r="DE51" s="1" t="str">
        <f ca="1">IFERROR(__xludf.DUMMYFUNCTION("if(DE$2="""","""", index(GOOGLEFINANCE($B$51,""close"",DE$2,TODAY()),2,2))"),"")</f>
        <v/>
      </c>
      <c r="DF51" s="1" t="str">
        <f ca="1">IFERROR(__xludf.DUMMYFUNCTION("if(DF$2="""","""", index(GOOGLEFINANCE($B$51,""close"",DF$2,TODAY()),2,2))"),"")</f>
        <v/>
      </c>
      <c r="DG51" s="1" t="str">
        <f ca="1">IFERROR(__xludf.DUMMYFUNCTION("if(DG$2="""","""", index(GOOGLEFINANCE($B$51,""close"",DG$2,TODAY()),2,2))"),"")</f>
        <v/>
      </c>
      <c r="DH51" s="1" t="str">
        <f ca="1">IFERROR(__xludf.DUMMYFUNCTION("if(DH$2="""","""", index(GOOGLEFINANCE($B$51,""close"",DH$2,TODAY()),2,2))"),"")</f>
        <v/>
      </c>
      <c r="DI51" s="1" t="str">
        <f ca="1">IFERROR(__xludf.DUMMYFUNCTION("if(DI$2="""","""", index(GOOGLEFINANCE($B$51,""close"",DI$2,TODAY()),2,2))"),"")</f>
        <v/>
      </c>
      <c r="DJ51" s="1" t="str">
        <f ca="1">IFERROR(__xludf.DUMMYFUNCTION("if(DJ$2="""","""", index(GOOGLEFINANCE($B$51,""close"",DJ$2,TODAY()),2,2))"),"")</f>
        <v/>
      </c>
      <c r="DK51" s="1" t="str">
        <f ca="1">IFERROR(__xludf.DUMMYFUNCTION("if(DK$2="""","""", index(GOOGLEFINANCE($B$51,""close"",DK$2,TODAY()),2,2))"),"")</f>
        <v/>
      </c>
      <c r="DL51" s="1" t="str">
        <f ca="1">IFERROR(__xludf.DUMMYFUNCTION("if(DL$2="""","""", index(GOOGLEFINANCE($B$51,""close"",DL$2,TODAY()),2,2))"),"")</f>
        <v/>
      </c>
      <c r="DM51" s="1" t="str">
        <f ca="1">IFERROR(__xludf.DUMMYFUNCTION("if(DM$2="""","""", index(GOOGLEFINANCE($B$51,""close"",DM$2,TODAY()),2,2))"),"")</f>
        <v/>
      </c>
      <c r="DN51" s="1" t="str">
        <f ca="1">IFERROR(__xludf.DUMMYFUNCTION("if(DN$2="""","""", index(GOOGLEFINANCE($B$51,""close"",DN$2,TODAY()),2,2))"),"")</f>
        <v/>
      </c>
      <c r="DO51" s="1" t="str">
        <f ca="1">IFERROR(__xludf.DUMMYFUNCTION("if(DO$2="""","""", index(GOOGLEFINANCE($B$51,""close"",DO$2,TODAY()),2,2))"),"")</f>
        <v/>
      </c>
      <c r="DP51" s="1" t="str">
        <f ca="1">IFERROR(__xludf.DUMMYFUNCTION("if(DP$2="""","""", index(GOOGLEFINANCE($B$51,""close"",DP$2,TODAY()),2,2))"),"")</f>
        <v/>
      </c>
      <c r="DQ51" s="1" t="str">
        <f ca="1">IFERROR(__xludf.DUMMYFUNCTION("if(DQ$2="""","""", index(GOOGLEFINANCE($B$51,""close"",DQ$2,TODAY()),2,2))"),"")</f>
        <v/>
      </c>
      <c r="DR51" s="1" t="str">
        <f ca="1">IFERROR(__xludf.DUMMYFUNCTION("if(DR$2="""","""", index(GOOGLEFINANCE($B$51,""close"",DR$2,TODAY()),2,2))"),"")</f>
        <v/>
      </c>
      <c r="DS51" s="1" t="str">
        <f ca="1">IFERROR(__xludf.DUMMYFUNCTION("if(DS$2="""","""", index(GOOGLEFINANCE($B$51,""close"",DS$2,TODAY()),2,2))"),"")</f>
        <v/>
      </c>
      <c r="DT51" s="1" t="str">
        <f ca="1">IFERROR(__xludf.DUMMYFUNCTION("if(DT$2="""","""", index(GOOGLEFINANCE($B$51,""close"",DT$2,TODAY()),2,2))"),"")</f>
        <v/>
      </c>
      <c r="DU51" s="1" t="str">
        <f ca="1">IFERROR(__xludf.DUMMYFUNCTION("if(DU$2="""","""", index(GOOGLEFINANCE($B$51,""close"",DU$2,TODAY()),2,2))"),"")</f>
        <v/>
      </c>
      <c r="DV51" s="1" t="str">
        <f ca="1">IFERROR(__xludf.DUMMYFUNCTION("if(DV$2="""","""", index(GOOGLEFINANCE($B$51,""close"",DV$2,TODAY()),2,2))"),"")</f>
        <v/>
      </c>
      <c r="DW51" s="1" t="str">
        <f ca="1">IFERROR(__xludf.DUMMYFUNCTION("if(DW$2="""","""", index(GOOGLEFINANCE($B$51,""close"",DW$2,TODAY()),2,2))"),"")</f>
        <v/>
      </c>
      <c r="DX51" s="1" t="str">
        <f ca="1">IFERROR(__xludf.DUMMYFUNCTION("if(DX$2="""","""", index(GOOGLEFINANCE($B$51,""close"",DX$2,TODAY()),2,2))"),"")</f>
        <v/>
      </c>
      <c r="DY51" s="1" t="str">
        <f ca="1">IFERROR(__xludf.DUMMYFUNCTION("if(DY$2="""","""", index(GOOGLEFINANCE($B$51,""close"",DY$2,TODAY()),2,2))"),"")</f>
        <v/>
      </c>
      <c r="DZ51" s="1" t="str">
        <f ca="1">IFERROR(__xludf.DUMMYFUNCTION("if(DZ$2="""","""", index(GOOGLEFINANCE($B$51,""close"",DZ$2,TODAY()),2,2))"),"")</f>
        <v/>
      </c>
      <c r="EA51" s="1" t="str">
        <f ca="1">IFERROR(__xludf.DUMMYFUNCTION("if(EA$2="""","""", index(GOOGLEFINANCE($B$51,""close"",EA$2,TODAY()),2,2))"),"")</f>
        <v/>
      </c>
      <c r="EB51" s="1" t="str">
        <f ca="1">IFERROR(__xludf.DUMMYFUNCTION("if(EB$2="""","""", index(GOOGLEFINANCE($B$51,""close"",EB$2,TODAY()),2,2))"),"")</f>
        <v/>
      </c>
      <c r="EC51" s="1" t="str">
        <f ca="1">IFERROR(__xludf.DUMMYFUNCTION("if(EC$2="""","""", index(GOOGLEFINANCE($B$51,""close"",EC$2,TODAY()),2,2))"),"")</f>
        <v/>
      </c>
      <c r="ED51" s="1" t="str">
        <f ca="1">IFERROR(__xludf.DUMMYFUNCTION("if(ED$2="""","""", index(GOOGLEFINANCE($B$51,""close"",ED$2,TODAY()),2,2))"),"")</f>
        <v/>
      </c>
      <c r="EE51" s="1" t="str">
        <f ca="1">IFERROR(__xludf.DUMMYFUNCTION("if(EE$2="""","""", index(GOOGLEFINANCE($B$51,""close"",EE$2,TODAY()),2,2))"),"")</f>
        <v/>
      </c>
      <c r="EF51" s="1" t="str">
        <f ca="1">IFERROR(__xludf.DUMMYFUNCTION("if(EF$2="""","""", index(GOOGLEFINANCE($B$51,""close"",EF$2,TODAY()),2,2))"),"")</f>
        <v/>
      </c>
      <c r="EG51" s="1" t="str">
        <f ca="1">IFERROR(__xludf.DUMMYFUNCTION("if(EG$2="""","""", index(GOOGLEFINANCE($B$51,""close"",EG$2,TODAY()),2,2))"),"")</f>
        <v/>
      </c>
      <c r="EH51" s="1" t="str">
        <f ca="1">IFERROR(__xludf.DUMMYFUNCTION("if(EH$2="""","""", index(GOOGLEFINANCE($B$51,""close"",EH$2,TODAY()),2,2))"),"")</f>
        <v/>
      </c>
      <c r="EI51" s="1" t="str">
        <f ca="1">IFERROR(__xludf.DUMMYFUNCTION("if(EI$2="""","""", index(GOOGLEFINANCE($B$51,""close"",EI$2,TODAY()),2,2))"),"")</f>
        <v/>
      </c>
      <c r="EJ51" s="1" t="str">
        <f ca="1">IFERROR(__xludf.DUMMYFUNCTION("if(EJ$2="""","""", index(GOOGLEFINANCE($B$51,""close"",EJ$2,TODAY()),2,2))"),"")</f>
        <v/>
      </c>
      <c r="EK51" s="1" t="str">
        <f ca="1">IFERROR(__xludf.DUMMYFUNCTION("if(EK$2="""","""", index(GOOGLEFINANCE($B$51,""close"",EK$2,TODAY()),2,2))"),"")</f>
        <v/>
      </c>
      <c r="EL51" s="1" t="str">
        <f ca="1">IFERROR(__xludf.DUMMYFUNCTION("if(EL$2="""","""", index(GOOGLEFINANCE($B$51,""close"",EL$2,TODAY()),2,2))"),"")</f>
        <v/>
      </c>
      <c r="EM51" s="1" t="str">
        <f ca="1">IFERROR(__xludf.DUMMYFUNCTION("if(EM$2="""","""", index(GOOGLEFINANCE($B$51,""close"",EM$2,TODAY()),2,2))"),"")</f>
        <v/>
      </c>
      <c r="EN51" s="1" t="str">
        <f ca="1">IFERROR(__xludf.DUMMYFUNCTION("if(EN$2="""","""", index(GOOGLEFINANCE($B$51,""close"",EN$2,TODAY()),2,2))"),"")</f>
        <v/>
      </c>
      <c r="EO51" s="1" t="str">
        <f ca="1">IFERROR(__xludf.DUMMYFUNCTION("if(EO$2="""","""", index(GOOGLEFINANCE($B$51,""close"",EO$2,TODAY()),2,2))"),"")</f>
        <v/>
      </c>
      <c r="EP51" s="1" t="str">
        <f ca="1">IFERROR(__xludf.DUMMYFUNCTION("if(EP$2="""","""", index(GOOGLEFINANCE($B$51,""close"",EP$2,TODAY()),2,2))"),"")</f>
        <v/>
      </c>
      <c r="EQ51" s="1" t="str">
        <f ca="1">IFERROR(__xludf.DUMMYFUNCTION("if(EQ$2="""","""", index(GOOGLEFINANCE($B$51,""close"",EQ$2,TODAY()),2,2))"),"")</f>
        <v/>
      </c>
      <c r="ER51" s="1" t="str">
        <f ca="1">IFERROR(__xludf.DUMMYFUNCTION("if(ER$2="""","""", index(GOOGLEFINANCE($B$51,""close"",ER$2,TODAY()),2,2))"),"")</f>
        <v/>
      </c>
      <c r="ES51" s="1" t="str">
        <f ca="1">IFERROR(__xludf.DUMMYFUNCTION("if(ES$2="""","""", index(GOOGLEFINANCE($B$51,""close"",ES$2,TODAY()),2,2))"),"")</f>
        <v/>
      </c>
      <c r="ET51" s="1" t="str">
        <f ca="1">IFERROR(__xludf.DUMMYFUNCTION("if(ET$2="""","""", index(GOOGLEFINANCE($B$51,""close"",ET$2,TODAY()),2,2))"),"")</f>
        <v/>
      </c>
      <c r="EU51" s="1" t="str">
        <f ca="1">IFERROR(__xludf.DUMMYFUNCTION("if(EU$2="""","""", index(GOOGLEFINANCE($B$51,""close"",EU$2,TODAY()),2,2))"),"")</f>
        <v/>
      </c>
      <c r="EV51" s="1" t="str">
        <f ca="1">IFERROR(__xludf.DUMMYFUNCTION("if(EV$2="""","""", index(GOOGLEFINANCE($B$51,""close"",EV$2,TODAY()),2,2))"),"")</f>
        <v/>
      </c>
      <c r="EW51" s="1" t="str">
        <f ca="1">IFERROR(__xludf.DUMMYFUNCTION("if(EW$2="""","""", index(GOOGLEFINANCE($B$51,""close"",EW$2,TODAY()),2,2))"),"")</f>
        <v/>
      </c>
      <c r="EX51" s="1" t="str">
        <f ca="1">IFERROR(__xludf.DUMMYFUNCTION("if(EX$2="""","""", index(GOOGLEFINANCE($B$51,""close"",EX$2,TODAY()),2,2))"),"")</f>
        <v/>
      </c>
      <c r="EY51" s="1" t="str">
        <f ca="1">IFERROR(__xludf.DUMMYFUNCTION("if(EY$2="""","""", index(GOOGLEFINANCE($B$51,""close"",EY$2,TODAY()),2,2))"),"")</f>
        <v/>
      </c>
      <c r="EZ51" s="1" t="str">
        <f ca="1">IFERROR(__xludf.DUMMYFUNCTION("if(EZ$2="""","""", index(GOOGLEFINANCE($B$51,""close"",EZ$2,TODAY()),2,2))"),"")</f>
        <v/>
      </c>
      <c r="FA51" s="1" t="str">
        <f ca="1">IFERROR(__xludf.DUMMYFUNCTION("if(FA$2="""","""", index(GOOGLEFINANCE($B$51,""close"",FA$2,TODAY()),2,2))"),"")</f>
        <v/>
      </c>
      <c r="FB51" s="1" t="str">
        <f ca="1">IFERROR(__xludf.DUMMYFUNCTION("if(FB$2="""","""", index(GOOGLEFINANCE($B$51,""close"",FB$2,TODAY()),2,2))"),"")</f>
        <v/>
      </c>
      <c r="FC51" s="1" t="str">
        <f ca="1">IFERROR(__xludf.DUMMYFUNCTION("if(FC$2="""","""", index(GOOGLEFINANCE($B$51,""close"",FC$2,TODAY()),2,2))"),"")</f>
        <v/>
      </c>
      <c r="FD51" s="1" t="str">
        <f ca="1">IFERROR(__xludf.DUMMYFUNCTION("if(FD$2="""","""", index(GOOGLEFINANCE($B$51,""close"",FD$2,TODAY()),2,2))"),"")</f>
        <v/>
      </c>
      <c r="FE51" s="1" t="str">
        <f ca="1">IFERROR(__xludf.DUMMYFUNCTION("if(FE$2="""","""", index(GOOGLEFINANCE($B$51,""close"",FE$2,TODAY()),2,2))"),"")</f>
        <v/>
      </c>
      <c r="FF51" s="1" t="str">
        <f ca="1">IFERROR(__xludf.DUMMYFUNCTION("if(FF$2="""","""", index(GOOGLEFINANCE($B$51,""close"",FF$2,TODAY()),2,2))"),"")</f>
        <v/>
      </c>
      <c r="FG51" s="1" t="str">
        <f ca="1">IFERROR(__xludf.DUMMYFUNCTION("if(FG$2="""","""", index(GOOGLEFINANCE($B$51,""close"",FG$2,TODAY()),2,2))"),"")</f>
        <v/>
      </c>
      <c r="FH51" s="1" t="str">
        <f ca="1">IFERROR(__xludf.DUMMYFUNCTION("if(FH$2="""","""", index(GOOGLEFINANCE($B$51,""close"",FH$2,TODAY()),2,2))"),"")</f>
        <v/>
      </c>
      <c r="FI51" s="1" t="str">
        <f ca="1">IFERROR(__xludf.DUMMYFUNCTION("if(FI$2="""","""", index(GOOGLEFINANCE($B$51,""close"",FI$2,TODAY()),2,2))"),"")</f>
        <v/>
      </c>
      <c r="FJ51" s="1" t="str">
        <f ca="1">IFERROR(__xludf.DUMMYFUNCTION("if(FJ$2="""","""", index(GOOGLEFINANCE($B$51,""close"",FJ$2,TODAY()),2,2))"),"")</f>
        <v/>
      </c>
      <c r="FK51" s="1" t="str">
        <f ca="1">IFERROR(__xludf.DUMMYFUNCTION("if(FK$2="""","""", index(GOOGLEFINANCE($B$51,""close"",FK$2,TODAY()),2,2))"),"")</f>
        <v/>
      </c>
      <c r="FL51" s="1" t="str">
        <f ca="1">IFERROR(__xludf.DUMMYFUNCTION("if(FL$2="""","""", index(GOOGLEFINANCE($B$51,""close"",FL$2,TODAY()),2,2))"),"")</f>
        <v/>
      </c>
      <c r="FM51" s="1" t="str">
        <f ca="1">IFERROR(__xludf.DUMMYFUNCTION("if(FM$2="""","""", index(GOOGLEFINANCE($B$51,""close"",FM$2,TODAY()),2,2))"),"")</f>
        <v/>
      </c>
      <c r="FN51" s="1" t="str">
        <f ca="1">IFERROR(__xludf.DUMMYFUNCTION("if(FN$2="""","""", index(GOOGLEFINANCE($B$51,""close"",FN$2,TODAY()),2,2))"),"")</f>
        <v/>
      </c>
      <c r="FO51" s="1" t="str">
        <f ca="1">IFERROR(__xludf.DUMMYFUNCTION("if(FO$2="""","""", index(GOOGLEFINANCE($B$51,""close"",FO$2,TODAY()),2,2))"),"")</f>
        <v/>
      </c>
      <c r="FP51" s="1" t="str">
        <f ca="1">IFERROR(__xludf.DUMMYFUNCTION("if(FP$2="""","""", index(GOOGLEFINANCE($B$51,""close"",FP$2,TODAY()),2,2))"),"")</f>
        <v/>
      </c>
      <c r="FQ51" s="1" t="str">
        <f ca="1">IFERROR(__xludf.DUMMYFUNCTION("if(FQ$2="""","""", index(GOOGLEFINANCE($B$51,""close"",FQ$2,TODAY()),2,2))"),"")</f>
        <v/>
      </c>
      <c r="FR51" s="1" t="str">
        <f ca="1">IFERROR(__xludf.DUMMYFUNCTION("if(FR$2="""","""", index(GOOGLEFINANCE($B$51,""close"",FR$2,TODAY()),2,2))"),"")</f>
        <v/>
      </c>
      <c r="FS51" s="1" t="str">
        <f ca="1">IFERROR(__xludf.DUMMYFUNCTION("if(FS$2="""","""", index(GOOGLEFINANCE($B$51,""close"",FS$2,TODAY()),2,2))"),"")</f>
        <v/>
      </c>
      <c r="FT51" s="1" t="str">
        <f ca="1">IFERROR(__xludf.DUMMYFUNCTION("if(FT$2="""","""", index(GOOGLEFINANCE($B$51,""close"",FT$2,TODAY()),2,2))"),"")</f>
        <v/>
      </c>
      <c r="FU51" s="1" t="str">
        <f ca="1">IFERROR(__xludf.DUMMYFUNCTION("if(FU$2="""","""", index(GOOGLEFINANCE($B$51,""close"",FU$2,TODAY()),2,2))"),"")</f>
        <v/>
      </c>
      <c r="FV51" s="1" t="str">
        <f ca="1">IFERROR(__xludf.DUMMYFUNCTION("if(FV$2="""","""", index(GOOGLEFINANCE($B$51,""close"",FV$2,TODAY()),2,2))"),"")</f>
        <v/>
      </c>
      <c r="FW51" s="1" t="str">
        <f ca="1">IFERROR(__xludf.DUMMYFUNCTION("if(FW$2="""","""", index(GOOGLEFINANCE($B$51,""close"",FW$2,TODAY()),2,2))"),"")</f>
        <v/>
      </c>
      <c r="FX51" s="1" t="str">
        <f ca="1">IFERROR(__xludf.DUMMYFUNCTION("if(FX$2="""","""", index(GOOGLEFINANCE($B$51,""close"",FX$2,TODAY()),2,2))"),"")</f>
        <v/>
      </c>
      <c r="FY51" s="1" t="str">
        <f ca="1">IFERROR(__xludf.DUMMYFUNCTION("if(FY$2="""","""", index(GOOGLEFINANCE($B$51,""close"",FY$2,TODAY()),2,2))"),"")</f>
        <v/>
      </c>
      <c r="FZ51" s="1" t="str">
        <f ca="1">IFERROR(__xludf.DUMMYFUNCTION("if(FZ$2="""","""", index(GOOGLEFINANCE($B$51,""close"",FZ$2,TODAY()),2,2))"),"")</f>
        <v/>
      </c>
      <c r="GA51" s="1" t="str">
        <f ca="1">IFERROR(__xludf.DUMMYFUNCTION("if(GA$2="""","""", index(GOOGLEFINANCE($B$51,""close"",GA$2,TODAY()),2,2))"),"")</f>
        <v/>
      </c>
      <c r="GB51" s="1" t="str">
        <f ca="1">IFERROR(__xludf.DUMMYFUNCTION("if(GB$2="""","""", index(GOOGLEFINANCE($B$51,""close"",GB$2,TODAY()),2,2))"),"")</f>
        <v/>
      </c>
      <c r="GC51" s="1" t="str">
        <f ca="1">IFERROR(__xludf.DUMMYFUNCTION("if(GC$2="""","""", index(GOOGLEFINANCE($B$51,""close"",GC$2,TODAY()),2,2))"),"")</f>
        <v/>
      </c>
      <c r="GD51" s="1" t="str">
        <f ca="1">IFERROR(__xludf.DUMMYFUNCTION("if(GD$2="""","""", index(GOOGLEFINANCE($B$51,""close"",GD$2,TODAY()),2,2))"),"")</f>
        <v/>
      </c>
      <c r="GE51" s="1" t="str">
        <f ca="1">IFERROR(__xludf.DUMMYFUNCTION("if(GE$2="""","""", index(GOOGLEFINANCE($B$51,""close"",GE$2,TODAY()),2,2))"),"")</f>
        <v/>
      </c>
      <c r="GF51" s="1" t="str">
        <f ca="1">IFERROR(__xludf.DUMMYFUNCTION("if(GF$2="""","""", index(GOOGLEFINANCE($B$51,""close"",GF$2,TODAY()),2,2))"),"")</f>
        <v/>
      </c>
      <c r="GG51" s="1" t="str">
        <f ca="1">IFERROR(__xludf.DUMMYFUNCTION("if(GG$2="""","""", index(GOOGLEFINANCE($B$51,""close"",GG$2,TODAY()),2,2))"),"")</f>
        <v/>
      </c>
      <c r="GH51" s="1" t="str">
        <f ca="1">IFERROR(__xludf.DUMMYFUNCTION("if(GH$2="""","""", index(GOOGLEFINANCE($B$51,""close"",GH$2,TODAY()),2,2))"),"")</f>
        <v/>
      </c>
      <c r="GI51" s="1" t="str">
        <f ca="1">IFERROR(__xludf.DUMMYFUNCTION("if(GI$2="""","""", index(GOOGLEFINANCE($B$51,""close"",GI$2,TODAY()),2,2))"),"")</f>
        <v/>
      </c>
      <c r="GJ51" s="1" t="str">
        <f ca="1">IFERROR(__xludf.DUMMYFUNCTION("if(GJ$2="""","""", index(GOOGLEFINANCE($B$51,""close"",GJ$2,TODAY()),2,2))"),"")</f>
        <v/>
      </c>
      <c r="GK51" s="1" t="str">
        <f ca="1">IFERROR(__xludf.DUMMYFUNCTION("if(GK$2="""","""", index(GOOGLEFINANCE($B$51,""close"",GK$2,TODAY()),2,2))"),"")</f>
        <v/>
      </c>
      <c r="GL51" s="1" t="str">
        <f ca="1">IFERROR(__xludf.DUMMYFUNCTION("if(GL$2="""","""", index(GOOGLEFINANCE($B$51,""close"",GL$2,TODAY()),2,2))"),"")</f>
        <v/>
      </c>
      <c r="GM51" s="1" t="str">
        <f ca="1">IFERROR(__xludf.DUMMYFUNCTION("if(GM$2="""","""", index(GOOGLEFINANCE($B$51,""close"",GM$2,TODAY()),2,2))"),"")</f>
        <v/>
      </c>
      <c r="GN51" s="1" t="str">
        <f ca="1">IFERROR(__xludf.DUMMYFUNCTION("if(GN$2="""","""", index(GOOGLEFINANCE($B$51,""close"",GN$2,TODAY()),2,2))"),"")</f>
        <v/>
      </c>
      <c r="GO51" s="1" t="str">
        <f ca="1">IFERROR(__xludf.DUMMYFUNCTION("if(GO$2="""","""", index(GOOGLEFINANCE($B$51,""close"",GO$2,TODAY()),2,2))"),"")</f>
        <v/>
      </c>
      <c r="GP51" s="1" t="str">
        <f ca="1">IFERROR(__xludf.DUMMYFUNCTION("if(GP$2="""","""", index(GOOGLEFINANCE($B$51,""close"",GP$2,TODAY()),2,2))"),"")</f>
        <v/>
      </c>
      <c r="GQ51" s="1" t="str">
        <f ca="1">IFERROR(__xludf.DUMMYFUNCTION("if(GQ$2="""","""", index(GOOGLEFINANCE($B$51,""close"",GQ$2,TODAY()),2,2))"),"")</f>
        <v/>
      </c>
      <c r="GR51" s="1" t="str">
        <f ca="1">IFERROR(__xludf.DUMMYFUNCTION("if(GR$2="""","""", index(GOOGLEFINANCE($B$51,""close"",GR$2,TODAY()),2,2))"),"")</f>
        <v/>
      </c>
      <c r="GS51" s="1" t="str">
        <f ca="1">IFERROR(__xludf.DUMMYFUNCTION("if(GS$2="""","""", index(GOOGLEFINANCE($B$51,""close"",GS$2,TODAY()),2,2))"),"")</f>
        <v/>
      </c>
      <c r="GT51" s="1" t="str">
        <f ca="1">IFERROR(__xludf.DUMMYFUNCTION("if(GT$2="""","""", index(GOOGLEFINANCE($B$51,""close"",GT$2,TODAY()),2,2))"),"")</f>
        <v/>
      </c>
      <c r="GU51" s="1" t="str">
        <f ca="1">IFERROR(__xludf.DUMMYFUNCTION("if(GU$2="""","""", index(GOOGLEFINANCE($B$51,""close"",GU$2,TODAY()),2,2))"),"")</f>
        <v/>
      </c>
      <c r="GV51" s="1" t="str">
        <f ca="1">IFERROR(__xludf.DUMMYFUNCTION("if(GV$2="""","""", index(GOOGLEFINANCE($B$51,""close"",GV$2,TODAY()),2,2))"),"")</f>
        <v/>
      </c>
      <c r="GW51" s="1" t="str">
        <f ca="1">IFERROR(__xludf.DUMMYFUNCTION("if(GW$2="""","""", index(GOOGLEFINANCE($B$51,""close"",GW$2,TODAY()),2,2))"),"")</f>
        <v/>
      </c>
      <c r="GX51" s="1" t="str">
        <f ca="1">IFERROR(__xludf.DUMMYFUNCTION("if(GX$2="""","""", index(GOOGLEFINANCE($B$51,""close"",GX$2,TODAY()),2,2))"),"")</f>
        <v/>
      </c>
      <c r="GY51" s="1" t="str">
        <f ca="1">IFERROR(__xludf.DUMMYFUNCTION("if(GY$2="""","""", index(GOOGLEFINANCE($B$51,""close"",GY$2,TODAY()),2,2))"),"")</f>
        <v/>
      </c>
      <c r="GZ51" s="1" t="str">
        <f ca="1">IFERROR(__xludf.DUMMYFUNCTION("if(GZ$2="""","""", index(GOOGLEFINANCE($B$51,""close"",GZ$2,TODAY()),2,2))"),"")</f>
        <v/>
      </c>
      <c r="HA51" s="1" t="str">
        <f ca="1">IFERROR(__xludf.DUMMYFUNCTION("if(HA$2="""","""", index(GOOGLEFINANCE($B$51,""close"",HA$2,TODAY()),2,2))"),"")</f>
        <v/>
      </c>
      <c r="HB51" s="1" t="str">
        <f ca="1">IFERROR(__xludf.DUMMYFUNCTION("if(HB$2="""","""", index(GOOGLEFINANCE($B$51,""close"",HB$2,TODAY()),2,2))"),"")</f>
        <v/>
      </c>
      <c r="HC51" s="1" t="str">
        <f ca="1">IFERROR(__xludf.DUMMYFUNCTION("if(HC$2="""","""", index(GOOGLEFINANCE($B$51,""close"",HC$2,TODAY()),2,2))"),"")</f>
        <v/>
      </c>
      <c r="HD51" s="1" t="str">
        <f ca="1">IFERROR(__xludf.DUMMYFUNCTION("if(HD$2="""","""", index(GOOGLEFINANCE($B$51,""close"",HD$2,TODAY()),2,2))"),"")</f>
        <v/>
      </c>
      <c r="HE51" s="1" t="str">
        <f ca="1">IFERROR(__xludf.DUMMYFUNCTION("if(HE$2="""","""", index(GOOGLEFINANCE($B$51,""close"",HE$2,TODAY()),2,2))"),"")</f>
        <v/>
      </c>
      <c r="HF51" s="1" t="str">
        <f ca="1">IFERROR(__xludf.DUMMYFUNCTION("if(HF$2="""","""", index(GOOGLEFINANCE($B$51,""close"",HF$2,TODAY()),2,2))"),"")</f>
        <v/>
      </c>
      <c r="HG51" s="1" t="str">
        <f ca="1">IFERROR(__xludf.DUMMYFUNCTION("if(HG$2="""","""", index(GOOGLEFINANCE($B$51,""close"",HG$2,TODAY()),2,2))"),"")</f>
        <v/>
      </c>
      <c r="HH51" s="1" t="str">
        <f ca="1">IFERROR(__xludf.DUMMYFUNCTION("if(HH$2="""","""", index(GOOGLEFINANCE($B$51,""close"",HH$2,TODAY()),2,2))"),"")</f>
        <v/>
      </c>
      <c r="HI51" s="1" t="str">
        <f ca="1">IFERROR(__xludf.DUMMYFUNCTION("if(HI$2="""","""", index(GOOGLEFINANCE($B$51,""close"",HI$2,TODAY()),2,2))"),"")</f>
        <v/>
      </c>
      <c r="HJ51" s="1" t="str">
        <f ca="1">IFERROR(__xludf.DUMMYFUNCTION("if(HJ$2="""","""", index(GOOGLEFINANCE($B$51,""close"",HJ$2,TODAY()),2,2))"),"")</f>
        <v/>
      </c>
      <c r="HK51" s="1" t="str">
        <f ca="1">IFERROR(__xludf.DUMMYFUNCTION("if(HK$2="""","""", index(GOOGLEFINANCE($B$51,""close"",HK$2,TODAY()),2,2))"),"")</f>
        <v/>
      </c>
      <c r="HL51" s="1" t="str">
        <f ca="1">IFERROR(__xludf.DUMMYFUNCTION("if(HL$2="""","""", index(GOOGLEFINANCE($B$51,""close"",HL$2,TODAY()),2,2))"),"")</f>
        <v/>
      </c>
      <c r="HM51" s="1" t="str">
        <f ca="1">IFERROR(__xludf.DUMMYFUNCTION("if(HM$2="""","""", index(GOOGLEFINANCE($B$51,""close"",HM$2,TODAY()),2,2))"),"")</f>
        <v/>
      </c>
      <c r="HN51" s="1" t="str">
        <f ca="1">IFERROR(__xludf.DUMMYFUNCTION("if(HN$2="""","""", index(GOOGLEFINANCE($B$51,""close"",HN$2,TODAY()),2,2))"),"")</f>
        <v/>
      </c>
      <c r="HO51" s="1" t="str">
        <f ca="1">IFERROR(__xludf.DUMMYFUNCTION("if(HO$2="""","""", index(GOOGLEFINANCE($B$51,""close"",HO$2,TODAY()),2,2))"),"")</f>
        <v/>
      </c>
      <c r="HP51" s="1" t="str">
        <f ca="1">IFERROR(__xludf.DUMMYFUNCTION("if(HP$2="""","""", index(GOOGLEFINANCE($B$51,""close"",HP$2,TODAY()),2,2))"),"")</f>
        <v/>
      </c>
      <c r="HQ51" s="1" t="str">
        <f ca="1">IFERROR(__xludf.DUMMYFUNCTION("if(HQ$2="""","""", index(GOOGLEFINANCE($B$51,""close"",HQ$2,TODAY()),2,2))"),"")</f>
        <v/>
      </c>
      <c r="HR51" s="1" t="str">
        <f ca="1">IFERROR(__xludf.DUMMYFUNCTION("if(HR$2="""","""", index(GOOGLEFINANCE($B$51,""close"",HR$2,TODAY()),2,2))"),"")</f>
        <v/>
      </c>
      <c r="HS51" s="1" t="str">
        <f ca="1">IFERROR(__xludf.DUMMYFUNCTION("if(HS$2="""","""", index(GOOGLEFINANCE($B$51,""close"",HS$2,TODAY()),2,2))"),"")</f>
        <v/>
      </c>
      <c r="HT51" s="1" t="str">
        <f ca="1">IFERROR(__xludf.DUMMYFUNCTION("if(HT$2="""","""", index(GOOGLEFINANCE($B$51,""close"",HT$2,TODAY()),2,2))"),"")</f>
        <v/>
      </c>
      <c r="HU51" s="1" t="str">
        <f ca="1">IFERROR(__xludf.DUMMYFUNCTION("if(HU$2="""","""", index(GOOGLEFINANCE($B$51,""close"",HU$2,TODAY()),2,2))"),"")</f>
        <v/>
      </c>
      <c r="HV51" s="1" t="str">
        <f ca="1">IFERROR(__xludf.DUMMYFUNCTION("if(HV$2="""","""", index(GOOGLEFINANCE($B$51,""close"",HV$2,TODAY()),2,2))"),"")</f>
        <v/>
      </c>
      <c r="HW51" s="1" t="str">
        <f ca="1">IFERROR(__xludf.DUMMYFUNCTION("if(HW$2="""","""", index(GOOGLEFINANCE($B$51,""close"",HW$2,TODAY()),2,2))"),"")</f>
        <v/>
      </c>
      <c r="HX51" s="1" t="str">
        <f ca="1">IFERROR(__xludf.DUMMYFUNCTION("if(HX$2="""","""", index(GOOGLEFINANCE($B$51,""close"",HX$2,TODAY()),2,2))"),"")</f>
        <v/>
      </c>
      <c r="HY51" s="1" t="str">
        <f ca="1">IFERROR(__xludf.DUMMYFUNCTION("if(HY$2="""","""", index(GOOGLEFINANCE($B$51,""close"",HY$2,TODAY()),2,2))"),"")</f>
        <v/>
      </c>
      <c r="HZ51" s="1" t="str">
        <f ca="1">IFERROR(__xludf.DUMMYFUNCTION("if(HZ$2="""","""", index(GOOGLEFINANCE($B$51,""close"",HZ$2,TODAY()),2,2))"),"")</f>
        <v/>
      </c>
      <c r="IA51" s="1" t="str">
        <f ca="1">IFERROR(__xludf.DUMMYFUNCTION("if(IA$2="""","""", index(GOOGLEFINANCE($B$51,""close"",IA$2,TODAY()),2,2))"),"")</f>
        <v/>
      </c>
      <c r="IB51" s="1" t="str">
        <f ca="1">IFERROR(__xludf.DUMMYFUNCTION("if(IB$2="""","""", index(GOOGLEFINANCE($B$51,""close"",IB$2,TODAY()),2,2))"),"")</f>
        <v/>
      </c>
      <c r="IC51" s="1" t="str">
        <f ca="1">IFERROR(__xludf.DUMMYFUNCTION("if(IC$2="""","""", index(GOOGLEFINANCE($B$51,""close"",IC$2,TODAY()),2,2))"),"")</f>
        <v/>
      </c>
      <c r="ID51" s="1" t="str">
        <f ca="1">IFERROR(__xludf.DUMMYFUNCTION("if(ID$2="""","""", index(GOOGLEFINANCE($B$51,""close"",ID$2,TODAY()),2,2))"),"")</f>
        <v/>
      </c>
      <c r="IE51" s="1" t="str">
        <f ca="1">IFERROR(__xludf.DUMMYFUNCTION("if(IE$2="""","""", index(GOOGLEFINANCE($B$51,""close"",IE$2,TODAY()),2,2))"),"")</f>
        <v/>
      </c>
      <c r="IF51" s="1" t="str">
        <f ca="1">IFERROR(__xludf.DUMMYFUNCTION("if(IF$2="""","""", index(GOOGLEFINANCE($B$51,""close"",IF$2,TODAY()),2,2))"),"")</f>
        <v/>
      </c>
      <c r="IG51" s="1" t="str">
        <f ca="1">IFERROR(__xludf.DUMMYFUNCTION("if(IG$2="""","""", index(GOOGLEFINANCE($B$51,""close"",IG$2,TODAY()),2,2))"),"")</f>
        <v/>
      </c>
      <c r="IH51" s="1" t="str">
        <f ca="1">IFERROR(__xludf.DUMMYFUNCTION("if(IH$2="""","""", index(GOOGLEFINANCE($B$51,""close"",IH$2,TODAY()),2,2))"),"")</f>
        <v/>
      </c>
      <c r="II51" s="1" t="str">
        <f ca="1">IFERROR(__xludf.DUMMYFUNCTION("if(II$2="""","""", index(GOOGLEFINANCE($B$51,""close"",II$2,TODAY()),2,2))"),"")</f>
        <v/>
      </c>
      <c r="IJ51" s="1" t="str">
        <f ca="1">IFERROR(__xludf.DUMMYFUNCTION("if(IJ$2="""","""", index(GOOGLEFINANCE($B$51,""close"",IJ$2,TODAY()),2,2))"),"")</f>
        <v/>
      </c>
      <c r="IK51" s="1" t="str">
        <f ca="1">IFERROR(__xludf.DUMMYFUNCTION("if(IK$2="""","""", index(GOOGLEFINANCE($B$51,""close"",IK$2,TODAY()),2,2))"),"")</f>
        <v/>
      </c>
      <c r="IL51" s="1" t="str">
        <f ca="1">IFERROR(__xludf.DUMMYFUNCTION("if(IL$2="""","""", index(GOOGLEFINANCE($B$51,""close"",IL$2,TODAY()),2,2))"),"")</f>
        <v/>
      </c>
      <c r="IM51" s="1" t="str">
        <f ca="1">IFERROR(__xludf.DUMMYFUNCTION("if(IM$2="""","""", index(GOOGLEFINANCE($B$51,""close"",IM$2,TODAY()),2,2))"),"")</f>
        <v/>
      </c>
      <c r="IN51" s="1" t="str">
        <f ca="1">IFERROR(__xludf.DUMMYFUNCTION("if(IN$2="""","""", index(GOOGLEFINANCE($B$51,""close"",IN$2,TODAY()),2,2))"),"")</f>
        <v/>
      </c>
      <c r="IO51" s="1" t="str">
        <f ca="1">IFERROR(__xludf.DUMMYFUNCTION("if(IO$2="""","""", index(GOOGLEFINANCE($B$51,""close"",IO$2,TODAY()),2,2))"),"")</f>
        <v/>
      </c>
      <c r="IP51" s="1" t="str">
        <f ca="1">IFERROR(__xludf.DUMMYFUNCTION("if(IP$2="""","""", index(GOOGLEFINANCE($B$51,""close"",IP$2,TODAY()),2,2))"),"")</f>
        <v/>
      </c>
      <c r="IQ51" s="1" t="str">
        <f ca="1">IFERROR(__xludf.DUMMYFUNCTION("if(IQ$2="""","""", index(GOOGLEFINANCE($B$51,""close"",IQ$2,TODAY()),2,2))"),"")</f>
        <v/>
      </c>
      <c r="IR51" s="1" t="str">
        <f ca="1">IFERROR(__xludf.DUMMYFUNCTION("if(IR$2="""","""", index(GOOGLEFINANCE($B$51,""close"",IR$2,TODAY()),2,2))"),"")</f>
        <v/>
      </c>
      <c r="IS51" s="1" t="str">
        <f ca="1">IFERROR(__xludf.DUMMYFUNCTION("if(IS$2="""","""", index(GOOGLEFINANCE($B$51,""close"",IS$2,TODAY()),2,2))"),"")</f>
        <v/>
      </c>
      <c r="IT51" s="1" t="str">
        <f ca="1">IFERROR(__xludf.DUMMYFUNCTION("if(IT$2="""","""", index(GOOGLEFINANCE($B$51,""close"",IT$2,TODAY()),2,2))"),"")</f>
        <v/>
      </c>
      <c r="IU51" s="1" t="str">
        <f ca="1">IFERROR(__xludf.DUMMYFUNCTION("if(IU$2="""","""", index(GOOGLEFINANCE($B$51,""close"",IU$2,TODAY()),2,2))"),"")</f>
        <v/>
      </c>
      <c r="IV51" s="1" t="str">
        <f ca="1">IFERROR(__xludf.DUMMYFUNCTION("if(IV$2="""","""", index(GOOGLEFINANCE($B$51,""close"",IV$2,TODAY()),2,2))"),"")</f>
        <v/>
      </c>
      <c r="IW51" s="1" t="str">
        <f ca="1">IFERROR(__xludf.DUMMYFUNCTION("if(IW$2="""","""", index(GOOGLEFINANCE($B$51,""close"",IW$2,TODAY()),2,2))"),"")</f>
        <v/>
      </c>
      <c r="IX51" s="1" t="str">
        <f ca="1">IFERROR(__xludf.DUMMYFUNCTION("if(IX$2="""","""", index(GOOGLEFINANCE($B$51,""close"",IX$2,TODAY()),2,2))"),"")</f>
        <v/>
      </c>
      <c r="IY51" s="1" t="str">
        <f ca="1">IFERROR(__xludf.DUMMYFUNCTION("if(IY$2="""","""", index(GOOGLEFINANCE($B$51,""close"",IY$2,TODAY()),2,2))"),"")</f>
        <v/>
      </c>
      <c r="IZ51" s="1" t="str">
        <f ca="1">IFERROR(__xludf.DUMMYFUNCTION("if(IZ$2="""","""", index(GOOGLEFINANCE($B$51,""close"",IZ$2,TODAY()),2,2))"),"")</f>
        <v/>
      </c>
      <c r="JA51" s="1" t="str">
        <f ca="1">IFERROR(__xludf.DUMMYFUNCTION("if(JA$2="""","""", index(GOOGLEFINANCE($B$51,""close"",JA$2,TODAY()),2,2))"),"")</f>
        <v/>
      </c>
      <c r="JB51" s="1" t="str">
        <f ca="1">IFERROR(__xludf.DUMMYFUNCTION("if(JB$2="""","""", index(GOOGLEFINANCE($B$51,""close"",JB$2,TODAY()),2,2))"),"")</f>
        <v/>
      </c>
      <c r="JC51" s="1" t="str">
        <f ca="1">IFERROR(__xludf.DUMMYFUNCTION("if(JC$2="""","""", index(GOOGLEFINANCE($B$51,""close"",JC$2,TODAY()),2,2))"),"")</f>
        <v/>
      </c>
      <c r="JD51" s="1" t="str">
        <f ca="1">IFERROR(__xludf.DUMMYFUNCTION("if(JD$2="""","""", index(GOOGLEFINANCE($B$51,""close"",JD$2,TODAY()),2,2))"),"")</f>
        <v/>
      </c>
      <c r="JE51" s="1" t="str">
        <f ca="1">IFERROR(__xludf.DUMMYFUNCTION("if(JE$2="""","""", index(GOOGLEFINANCE($B$51,""close"",JE$2,TODAY()),2,2))"),"")</f>
        <v/>
      </c>
      <c r="JF51" s="1" t="str">
        <f ca="1">IFERROR(__xludf.DUMMYFUNCTION("if(JF$2="""","""", index(GOOGLEFINANCE($B$51,""close"",JF$2,TODAY()),2,2))"),"")</f>
        <v/>
      </c>
      <c r="JG51" s="1" t="str">
        <f ca="1">IFERROR(__xludf.DUMMYFUNCTION("if(JG$2="""","""", index(GOOGLEFINANCE($B$51,""close"",JG$2,TODAY()),2,2))"),"")</f>
        <v/>
      </c>
      <c r="JH51" s="1" t="str">
        <f ca="1">IFERROR(__xludf.DUMMYFUNCTION("if(JH$2="""","""", index(GOOGLEFINANCE($B$51,""close"",JH$2,TODAY()),2,2))"),"")</f>
        <v/>
      </c>
      <c r="JI51" s="1" t="str">
        <f ca="1">IFERROR(__xludf.DUMMYFUNCTION("if(JI$2="""","""", index(GOOGLEFINANCE($B$51,""close"",JI$2,TODAY()),2,2))"),"")</f>
        <v/>
      </c>
      <c r="JJ51" s="1" t="str">
        <f ca="1">IFERROR(__xludf.DUMMYFUNCTION("if(JJ$2="""","""", index(GOOGLEFINANCE($B$51,""close"",JJ$2,TODAY()),2,2))"),"")</f>
        <v/>
      </c>
      <c r="JK51" s="1" t="str">
        <f ca="1">IFERROR(__xludf.DUMMYFUNCTION("if(JK$2="""","""", index(GOOGLEFINANCE($B$51,""close"",JK$2,TODAY()),2,2))"),"")</f>
        <v/>
      </c>
      <c r="JL51" s="1" t="str">
        <f ca="1">IFERROR(__xludf.DUMMYFUNCTION("if(JL$2="""","""", index(GOOGLEFINANCE($B$51,""close"",JL$2,TODAY()),2,2))"),"")</f>
        <v/>
      </c>
      <c r="JM51" s="1" t="str">
        <f ca="1">IFERROR(__xludf.DUMMYFUNCTION("if(JM$2="""","""", index(GOOGLEFINANCE($B$51,""close"",JM$2,TODAY()),2,2))"),"")</f>
        <v/>
      </c>
      <c r="JN51" s="1" t="str">
        <f ca="1">IFERROR(__xludf.DUMMYFUNCTION("if(JN$2="""","""", index(GOOGLEFINANCE($B$51,""close"",JN$2,TODAY()),2,2))"),"")</f>
        <v/>
      </c>
      <c r="JO51" s="1" t="str">
        <f ca="1">IFERROR(__xludf.DUMMYFUNCTION("if(JO$2="""","""", index(GOOGLEFINANCE($B$51,""close"",JO$2,TODAY()),2,2))"),"")</f>
        <v/>
      </c>
      <c r="JP51" s="1" t="str">
        <f ca="1">IFERROR(__xludf.DUMMYFUNCTION("if(JP$2="""","""", index(GOOGLEFINANCE($B$51,""close"",JP$2,TODAY()),2,2))"),"")</f>
        <v/>
      </c>
      <c r="JQ51" s="1" t="str">
        <f ca="1">IFERROR(__xludf.DUMMYFUNCTION("if(JQ$2="""","""", index(GOOGLEFINANCE($B$51,""close"",JQ$2,TODAY()),2,2))"),"")</f>
        <v/>
      </c>
      <c r="JR51" s="1" t="str">
        <f ca="1">IFERROR(__xludf.DUMMYFUNCTION("if(JR$2="""","""", index(GOOGLEFINANCE($B$51,""close"",JR$2,TODAY()),2,2))"),"")</f>
        <v/>
      </c>
      <c r="JS51" s="1" t="str">
        <f ca="1">IFERROR(__xludf.DUMMYFUNCTION("if(JS$2="""","""", index(GOOGLEFINANCE($B$51,""close"",JS$2,TODAY()),2,2))"),"")</f>
        <v/>
      </c>
      <c r="JT51" s="1" t="str">
        <f ca="1">IFERROR(__xludf.DUMMYFUNCTION("if(JT$2="""","""", index(GOOGLEFINANCE($B$51,""close"",JT$2,TODAY()),2,2))"),"")</f>
        <v/>
      </c>
      <c r="JU51" s="1" t="str">
        <f ca="1">IFERROR(__xludf.DUMMYFUNCTION("if(JU$2="""","""", index(GOOGLEFINANCE($B$51,""close"",JU$2,TODAY()),2,2))"),"")</f>
        <v/>
      </c>
      <c r="JV51" s="1" t="str">
        <f ca="1">IFERROR(__xludf.DUMMYFUNCTION("if(JV$2="""","""", index(GOOGLEFINANCE($B$51,""close"",JV$2,TODAY()),2,2))"),"")</f>
        <v/>
      </c>
      <c r="JW51" s="1" t="str">
        <f ca="1">IFERROR(__xludf.DUMMYFUNCTION("if(JW$2="""","""", index(GOOGLEFINANCE($B$51,""close"",JW$2,TODAY()),2,2))"),"")</f>
        <v/>
      </c>
      <c r="JX51" s="1" t="str">
        <f ca="1">IFERROR(__xludf.DUMMYFUNCTION("if(JX$2="""","""", index(GOOGLEFINANCE($B$51,""close"",JX$2,TODAY()),2,2))"),"")</f>
        <v/>
      </c>
      <c r="JY51" s="1" t="str">
        <f ca="1">IFERROR(__xludf.DUMMYFUNCTION("if(JY$2="""","""", index(GOOGLEFINANCE($B$51,""close"",JY$2,TODAY()),2,2))"),"")</f>
        <v/>
      </c>
      <c r="JZ51" s="1" t="str">
        <f ca="1">IFERROR(__xludf.DUMMYFUNCTION("if(JZ$2="""","""", index(GOOGLEFINANCE($B$51,""close"",JZ$2,TODAY()),2,2))"),"")</f>
        <v/>
      </c>
      <c r="KA51" s="1" t="str">
        <f ca="1">IFERROR(__xludf.DUMMYFUNCTION("if(KA$2="""","""", index(GOOGLEFINANCE($B$51,""close"",KA$2,TODAY()),2,2))"),"")</f>
        <v/>
      </c>
      <c r="KB51" s="1" t="str">
        <f ca="1">IFERROR(__xludf.DUMMYFUNCTION("if(KB$2="""","""", index(GOOGLEFINANCE($B$51,""close"",KB$2,TODAY()),2,2))"),"")</f>
        <v/>
      </c>
      <c r="KC51" s="1" t="str">
        <f ca="1">IFERROR(__xludf.DUMMYFUNCTION("if(KC$2="""","""", index(GOOGLEFINANCE($B$51,""close"",KC$2,TODAY()),2,2))"),"")</f>
        <v/>
      </c>
      <c r="KD51" s="1" t="str">
        <f ca="1">IFERROR(__xludf.DUMMYFUNCTION("if(KD$2="""","""", index(GOOGLEFINANCE($B$51,""close"",KD$2,TODAY()),2,2))"),"")</f>
        <v/>
      </c>
      <c r="KE51" s="1" t="str">
        <f ca="1">IFERROR(__xludf.DUMMYFUNCTION("if(KE$2="""","""", index(GOOGLEFINANCE($B$51,""close"",KE$2,TODAY()),2,2))"),"")</f>
        <v/>
      </c>
      <c r="KF51" s="1" t="str">
        <f ca="1">IFERROR(__xludf.DUMMYFUNCTION("if(KF$2="""","""", index(GOOGLEFINANCE($B$51,""close"",KF$2,TODAY()),2,2))"),"")</f>
        <v/>
      </c>
      <c r="KG51" s="1" t="str">
        <f ca="1">IFERROR(__xludf.DUMMYFUNCTION("if(KG$2="""","""", index(GOOGLEFINANCE($B$51,""close"",KG$2,TODAY()),2,2))"),"")</f>
        <v/>
      </c>
    </row>
    <row r="52" spans="1:319" ht="15.75" customHeight="1">
      <c r="B52" s="2" t="s">
        <v>5</v>
      </c>
      <c r="C52" s="1">
        <f ca="1">IFERROR(__xludf.DUMMYFUNCTION("if(C$2="""","""", index(GOOGLEFINANCE($B$52,""close"",C$2,TODAY()),2,2))"),4796.56)</f>
        <v>4796.5600000000004</v>
      </c>
      <c r="D52" s="1">
        <f ca="1">IFERROR(__xludf.DUMMYFUNCTION("if(D$2="""","""", index(GOOGLEFINANCE($B$52,""close"",D$2,TODAY()),2,2))"),4793.54)</f>
        <v>4793.54</v>
      </c>
      <c r="E52" s="1">
        <f ca="1">IFERROR(__xludf.DUMMYFUNCTION("if(E$2="""","""", index(GOOGLEFINANCE($B$52,""close"",E$2,TODAY()),2,2))"),4700.58)</f>
        <v>4700.58</v>
      </c>
      <c r="F52" s="1">
        <f ca="1">IFERROR(__xludf.DUMMYFUNCTION("if(F$2="""","""", index(GOOGLEFINANCE($B$52,""close"",F$2,TODAY()),2,2))"),4696.05)</f>
        <v>4696.05</v>
      </c>
      <c r="G52" s="1">
        <f ca="1">IFERROR(__xludf.DUMMYFUNCTION("if(G$2="""","""", index(GOOGLEFINANCE($B$52,""close"",G$2,TODAY()),2,2))"),4677.03)</f>
        <v>4677.03</v>
      </c>
      <c r="H52" s="1">
        <f ca="1">IFERROR(__xludf.DUMMYFUNCTION("if(H$2="""","""", index(GOOGLEFINANCE($B$52,""close"",H$2,TODAY()),2,2))"),4670.29)</f>
        <v>4670.29</v>
      </c>
      <c r="I52" s="1">
        <f ca="1">IFERROR(__xludf.DUMMYFUNCTION("if(I$2="""","""", index(GOOGLEFINANCE($B$52,""close"",I$2,TODAY()),2,2))"),4713.07)</f>
        <v>4713.07</v>
      </c>
      <c r="J52" s="1">
        <f ca="1">IFERROR(__xludf.DUMMYFUNCTION("if(J$2="""","""", index(GOOGLEFINANCE($B$52,""close"",J$2,TODAY()),2,2))"),4726.35)</f>
        <v>4726.3500000000004</v>
      </c>
      <c r="K52" s="1">
        <f ca="1">IFERROR(__xludf.DUMMYFUNCTION("if(K$2="""","""", index(GOOGLEFINANCE($B$52,""close"",K$2,TODAY()),2,2))"),4659.03)</f>
        <v>4659.03</v>
      </c>
      <c r="L52" s="1">
        <f ca="1">IFERROR(__xludf.DUMMYFUNCTION("if(L$2="""","""", index(GOOGLEFINANCE($B$52,""close"",L$2,TODAY()),2,2))"),4662.85)</f>
        <v>4662.8500000000004</v>
      </c>
      <c r="M52" s="1">
        <f ca="1">IFERROR(__xludf.DUMMYFUNCTION("if(M$2="""","""", index(GOOGLEFINANCE($B$52,""close"",M$2,TODAY()),2,2))"),4577.11)</f>
        <v>4577.1099999999997</v>
      </c>
      <c r="N52" s="1">
        <f ca="1">IFERROR(__xludf.DUMMYFUNCTION("if(N$2="""","""", index(GOOGLEFINANCE($B$52,""close"",N$2,TODAY()),2,2))"),4532.76)</f>
        <v>4532.76</v>
      </c>
      <c r="O52" s="1">
        <f ca="1">IFERROR(__xludf.DUMMYFUNCTION("if(O$2="""","""", index(GOOGLEFINANCE($B$52,""close"",O$2,TODAY()),2,2))"),4482.73)</f>
        <v>4482.7299999999996</v>
      </c>
      <c r="P52" s="1">
        <f ca="1">IFERROR(__xludf.DUMMYFUNCTION("if(P$2="""","""", index(GOOGLEFINANCE($B$52,""close"",P$2,TODAY()),2,2))"),4397.94)</f>
        <v>4397.9399999999996</v>
      </c>
      <c r="Q52" s="1">
        <f ca="1">IFERROR(__xludf.DUMMYFUNCTION("if(Q$2="""","""", index(GOOGLEFINANCE($B$52,""close"",Q$2,TODAY()),2,2))"),4410.13)</f>
        <v>4410.13</v>
      </c>
      <c r="R52" s="1">
        <f ca="1">IFERROR(__xludf.DUMMYFUNCTION("if(R$2="""","""", index(GOOGLEFINANCE($B$52,""close"",R$2,TODAY()),2,2))"),4356.45)</f>
        <v>4356.45</v>
      </c>
      <c r="S52" s="1">
        <f ca="1">IFERROR(__xludf.DUMMYFUNCTION("if(S$2="""","""", index(GOOGLEFINANCE($B$52,""close"",S$2,TODAY()),2,2))"),4349.93)</f>
        <v>4349.93</v>
      </c>
      <c r="T52" s="1">
        <f ca="1">IFERROR(__xludf.DUMMYFUNCTION("if(T$2="""","""", index(GOOGLEFINANCE($B$52,""close"",T$2,TODAY()),2,2))"),4326.51)</f>
        <v>4326.51</v>
      </c>
      <c r="U52" s="1">
        <f ca="1">IFERROR(__xludf.DUMMYFUNCTION("if(U$2="""","""", index(GOOGLEFINANCE($B$52,""close"",U$2,TODAY()),2,2))"),4431.85)</f>
        <v>4431.8500000000004</v>
      </c>
      <c r="V52" s="1">
        <f ca="1">IFERROR(__xludf.DUMMYFUNCTION("if(V$2="""","""", index(GOOGLEFINANCE($B$52,""close"",V$2,TODAY()),2,2))"),4515.55)</f>
        <v>4515.55</v>
      </c>
      <c r="W52" s="1">
        <f ca="1">IFERROR(__xludf.DUMMYFUNCTION("if(W$2="""","""", index(GOOGLEFINANCE($B$52,""close"",W$2,TODAY()),2,2))"),4546.54)</f>
        <v>4546.54</v>
      </c>
      <c r="X52" s="1">
        <f ca="1">IFERROR(__xludf.DUMMYFUNCTION("if(X$2="""","""", index(GOOGLEFINANCE($B$52,""close"",X$2,TODAY()),2,2))"),4589.38)</f>
        <v>4589.38</v>
      </c>
      <c r="Y52" s="1">
        <f ca="1">IFERROR(__xludf.DUMMYFUNCTION("if(Y$2="""","""", index(GOOGLEFINANCE($B$52,""close"",Y$2,TODAY()),2,2))"),4477.44)</f>
        <v>4477.4399999999996</v>
      </c>
      <c r="Z52" s="1">
        <f ca="1">IFERROR(__xludf.DUMMYFUNCTION("if(Z$2="""","""", index(GOOGLEFINANCE($B$52,""close"",Z$2,TODAY()),2,2))"),4500.53)</f>
        <v>4500.53</v>
      </c>
      <c r="AA52" s="1">
        <f ca="1">IFERROR(__xludf.DUMMYFUNCTION("if(AA$2="""","""", index(GOOGLEFINANCE($B$52,""close"",AA$2,TODAY()),2,2))"),4483.87)</f>
        <v>4483.87</v>
      </c>
      <c r="AB52" s="1">
        <f ca="1">IFERROR(__xludf.DUMMYFUNCTION("if(AB$2="""","""", index(GOOGLEFINANCE($B$52,""close"",AB$2,TODAY()),2,2))"),4521.54)</f>
        <v>4521.54</v>
      </c>
      <c r="AC52" s="1">
        <f ca="1">IFERROR(__xludf.DUMMYFUNCTION("if(AC$2="""","""", index(GOOGLEFINANCE($B$52,""close"",AC$2,TODAY()),2,2))"),4587.18)</f>
        <v>4587.18</v>
      </c>
      <c r="AD52" s="1">
        <f ca="1">IFERROR(__xludf.DUMMYFUNCTION("if(AD$2="""","""", index(GOOGLEFINANCE($B$52,""close"",AD$2,TODAY()),2,2))"),4504.08)</f>
        <v>4504.08</v>
      </c>
      <c r="AE52" s="1">
        <f ca="1">IFERROR(__xludf.DUMMYFUNCTION("if(AE$2="""","""", index(GOOGLEFINANCE($B$52,""close"",AE$2,TODAY()),2,2))"),4418.64)</f>
        <v>4418.6400000000003</v>
      </c>
      <c r="AF52" s="1">
        <f ca="1">IFERROR(__xludf.DUMMYFUNCTION("if(AF$2="""","""", index(GOOGLEFINANCE($B$52,""close"",AF$2,TODAY()),2,2))"),4401.67)</f>
        <v>4401.67</v>
      </c>
      <c r="AG52" s="1">
        <f ca="1">IFERROR(__xludf.DUMMYFUNCTION("if(AG$2="""","""", index(GOOGLEFINANCE($B$52,""close"",AG$2,TODAY()),2,2))"),4471.07)</f>
        <v>4471.07</v>
      </c>
      <c r="AH52" s="1">
        <f ca="1">IFERROR(__xludf.DUMMYFUNCTION("if(AH$2="""","""", index(GOOGLEFINANCE($B$52,""close"",AH$2,TODAY()),2,2))"),4475.01)</f>
        <v>4475.01</v>
      </c>
      <c r="AI52" s="1">
        <f ca="1">IFERROR(__xludf.DUMMYFUNCTION("if(AI$2="""","""", index(GOOGLEFINANCE($B$52,""close"",AI$2,TODAY()),2,2))"),4380.26)</f>
        <v>4380.26</v>
      </c>
      <c r="AJ52" s="1">
        <f ca="1">IFERROR(__xludf.DUMMYFUNCTION("if(AJ$2="""","""", index(GOOGLEFINANCE($B$52,""close"",AJ$2,TODAY()),2,2))"),4348.87)</f>
        <v>4348.87</v>
      </c>
      <c r="AK52" s="1">
        <f ca="1">IFERROR(__xludf.DUMMYFUNCTION("if(AK$2="""","""", index(GOOGLEFINANCE($B$52,""close"",AK$2,TODAY()),2,2))"),4304.76)</f>
        <v>4304.76</v>
      </c>
      <c r="AL52" s="1">
        <f ca="1">IFERROR(__xludf.DUMMYFUNCTION("if(AL$2="""","""", index(GOOGLEFINANCE($B$52,""close"",AL$2,TODAY()),2,2))"),4225.5)</f>
        <v>4225.5</v>
      </c>
      <c r="AM52" s="1">
        <f ca="1">IFERROR(__xludf.DUMMYFUNCTION("if(AM$2="""","""", index(GOOGLEFINANCE($B$52,""close"",AM$2,TODAY()),2,2))"),4288.7)</f>
        <v>4288.7</v>
      </c>
      <c r="AN52" s="1">
        <f ca="1">IFERROR(__xludf.DUMMYFUNCTION("if(AN$2="""","""", index(GOOGLEFINANCE($B$52,""close"",AN$2,TODAY()),2,2))"),4384.65)</f>
        <v>4384.6499999999996</v>
      </c>
      <c r="AO52" s="1">
        <f ca="1">IFERROR(__xludf.DUMMYFUNCTION("if(AO$2="""","""", index(GOOGLEFINANCE($B$52,""close"",AO$2,TODAY()),2,2))"),4373.94)</f>
        <v>4373.9399999999996</v>
      </c>
      <c r="AP52" s="1">
        <f ca="1">IFERROR(__xludf.DUMMYFUNCTION("if(AP$2="""","""", index(GOOGLEFINANCE($B$52,""close"",AP$2,TODAY()),2,2))"),4306.26)</f>
        <v>4306.26</v>
      </c>
      <c r="AQ52" s="1">
        <f ca="1">IFERROR(__xludf.DUMMYFUNCTION("if(AQ$2="""","""", index(GOOGLEFINANCE($B$52,""close"",AQ$2,TODAY()),2,2))"),4386.54)</f>
        <v>4386.54</v>
      </c>
      <c r="AR52" s="1">
        <f ca="1">IFERROR(__xludf.DUMMYFUNCTION("if(AR$2="""","""", index(GOOGLEFINANCE($B$52,""close"",AR$2,TODAY()),2,2))"),4363.49)</f>
        <v>4363.49</v>
      </c>
      <c r="AS52" s="1">
        <f ca="1">IFERROR(__xludf.DUMMYFUNCTION("if(AS$2="""","""", index(GOOGLEFINANCE($B$52,""close"",AS$2,TODAY()),2,2))"),4328.87)</f>
        <v>4328.87</v>
      </c>
      <c r="AT52" s="1">
        <f ca="1">IFERROR(__xludf.DUMMYFUNCTION("if(AT$2="""","""", index(GOOGLEFINANCE($B$52,""close"",AT$2,TODAY()),2,2))"),4201.09)</f>
        <v>4201.09</v>
      </c>
      <c r="AU52" s="1">
        <f ca="1">IFERROR(__xludf.DUMMYFUNCTION("if(AU$2="""","""", index(GOOGLEFINANCE($B$52,""close"",AU$2,TODAY()),2,2))"),4170.7)</f>
        <v>4170.7</v>
      </c>
      <c r="AV52" s="1">
        <f ca="1">IFERROR(__xludf.DUMMYFUNCTION("if(AV$2="""","""", index(GOOGLEFINANCE($B$52,""close"",AV$2,TODAY()),2,2))"),4277.88)</f>
        <v>4277.88</v>
      </c>
      <c r="AW52" s="1">
        <f ca="1">IFERROR(__xludf.DUMMYFUNCTION("if(AW$2="""","""", index(GOOGLEFINANCE($B$52,""close"",AW$2,TODAY()),2,2))"),4259.52)</f>
        <v>4259.5200000000004</v>
      </c>
      <c r="AX52" s="1">
        <f ca="1">IFERROR(__xludf.DUMMYFUNCTION("if(AX$2="""","""", index(GOOGLEFINANCE($B$52,""close"",AX$2,TODAY()),2,2))"),4204.31)</f>
        <v>4204.3100000000004</v>
      </c>
      <c r="AY52" s="1">
        <f ca="1">IFERROR(__xludf.DUMMYFUNCTION("if(AY$2="""","""", index(GOOGLEFINANCE($B$52,""close"",AY$2,TODAY()),2,2))"),4173.11)</f>
        <v>4173.1099999999997</v>
      </c>
      <c r="AZ52" s="1">
        <f ca="1">IFERROR(__xludf.DUMMYFUNCTION("if(AZ$2="""","""", index(GOOGLEFINANCE($B$52,""close"",AZ$2,TODAY()),2,2))"),4262.45)</f>
        <v>4262.45</v>
      </c>
      <c r="BA52" s="1">
        <f ca="1">IFERROR(__xludf.DUMMYFUNCTION("if(BA$2="""","""", index(GOOGLEFINANCE($B$52,""close"",BA$2,TODAY()),2,2))"),4357.86)</f>
        <v>4357.8599999999997</v>
      </c>
      <c r="BB52" s="1">
        <f ca="1">IFERROR(__xludf.DUMMYFUNCTION("if(BB$2="""","""", index(GOOGLEFINANCE($B$52,""close"",BB$2,TODAY()),2,2))"),4411.67)</f>
        <v>4411.67</v>
      </c>
      <c r="BC52" s="1">
        <f ca="1">IFERROR(__xludf.DUMMYFUNCTION("if(BC$2="""","""", index(GOOGLEFINANCE($B$52,""close"",BC$2,TODAY()),2,2))"),4463.12)</f>
        <v>4463.12</v>
      </c>
      <c r="BD52" s="1">
        <f ca="1">IFERROR(__xludf.DUMMYFUNCTION("if(BD$2="""","""", index(GOOGLEFINANCE($B$52,""close"",BD$2,TODAY()),2,2))"),4461.18)</f>
        <v>4461.18</v>
      </c>
      <c r="BE52" s="1">
        <f ca="1">IFERROR(__xludf.DUMMYFUNCTION("if(BE$2="""","""", index(GOOGLEFINANCE($B$52,""close"",BE$2,TODAY()),2,2))"),4511.61)</f>
        <v>4511.6099999999997</v>
      </c>
      <c r="BF52" s="1">
        <f ca="1">IFERROR(__xludf.DUMMYFUNCTION("if(BF$2="""","""", index(GOOGLEFINANCE($B$52,""close"",BF$2,TODAY()),2,2))"),4456.24)</f>
        <v>4456.24</v>
      </c>
      <c r="BG52" s="1">
        <f ca="1">IFERROR(__xludf.DUMMYFUNCTION("if(BG$2="""","""", index(GOOGLEFINANCE($B$52,""close"",BG$2,TODAY()),2,2))"),4520.16)</f>
        <v>4520.16</v>
      </c>
      <c r="BH52" s="1">
        <f ca="1">IFERROR(__xludf.DUMMYFUNCTION("if(BH$2="""","""", index(GOOGLEFINANCE($B$52,""close"",BH$2,TODAY()),2,2))"),4543.06)</f>
        <v>4543.0600000000004</v>
      </c>
      <c r="BI52" s="1">
        <f ca="1">IFERROR(__xludf.DUMMYFUNCTION("if(BI$2="""","""", index(GOOGLEFINANCE($B$52,""close"",BI$2,TODAY()),2,2))"),4575.52)</f>
        <v>4575.5200000000004</v>
      </c>
      <c r="BJ52" s="1">
        <f ca="1">IFERROR(__xludf.DUMMYFUNCTION("if(BJ$2="""","""", index(GOOGLEFINANCE($B$52,""close"",BJ$2,TODAY()),2,2))"),4631.6)</f>
        <v>4631.6000000000004</v>
      </c>
      <c r="BK52" s="1">
        <f ca="1">IFERROR(__xludf.DUMMYFUNCTION("if(BK$2="""","""", index(GOOGLEFINANCE($B$52,""close"",BK$2,TODAY()),2,2))"),4602.45)</f>
        <v>4602.45</v>
      </c>
      <c r="BL52" s="1">
        <f ca="1">IFERROR(__xludf.DUMMYFUNCTION("if(BL$2="""","""", index(GOOGLEFINANCE($B$52,""close"",BL$2,TODAY()),2,2))"),4530.41)</f>
        <v>4530.41</v>
      </c>
      <c r="BM52" s="1">
        <f ca="1">IFERROR(__xludf.DUMMYFUNCTION("if(BM$2="""","""", index(GOOGLEFINANCE($B$52,""close"",BM$2,TODAY()),2,2))"),4545.86)</f>
        <v>4545.8599999999997</v>
      </c>
      <c r="BN52" s="1">
        <f ca="1">IFERROR(__xludf.DUMMYFUNCTION("if(BN$2="""","""", index(GOOGLEFINANCE($B$52,""close"",BN$2,TODAY()),2,2))"),4582.64)</f>
        <v>4582.6400000000003</v>
      </c>
      <c r="BO52" s="1">
        <f ca="1">IFERROR(__xludf.DUMMYFUNCTION("if(BO$2="""","""", index(GOOGLEFINANCE($B$52,""close"",BO$2,TODAY()),2,2))"),4525.12)</f>
        <v>4525.12</v>
      </c>
      <c r="BP52" s="1">
        <f ca="1">IFERROR(__xludf.DUMMYFUNCTION("if(BP$2="""","""", index(GOOGLEFINANCE($B$52,""close"",BP$2,TODAY()),2,2))"),4481.15)</f>
        <v>4481.1499999999996</v>
      </c>
      <c r="BQ52" s="1">
        <f ca="1">IFERROR(__xludf.DUMMYFUNCTION("if(BQ$2="""","""", index(GOOGLEFINANCE($B$52,""close"",BQ$2,TODAY()),2,2))"),4500.21)</f>
        <v>4500.21</v>
      </c>
      <c r="BR52" s="1">
        <f ca="1">IFERROR(__xludf.DUMMYFUNCTION("if(BR$2="""","""", index(GOOGLEFINANCE($B$52,""close"",BR$2,TODAY()),2,2))"),4488.28)</f>
        <v>4488.28</v>
      </c>
      <c r="BS52" s="1">
        <f ca="1">IFERROR(__xludf.DUMMYFUNCTION("if(BS$2="""","""", index(GOOGLEFINANCE($B$52,""close"",BS$2,TODAY()),2,2))"),4412.53)</f>
        <v>4412.53</v>
      </c>
      <c r="BT52" s="1">
        <f ca="1">IFERROR(__xludf.DUMMYFUNCTION("if(BT$2="""","""", index(GOOGLEFINANCE($B$52,""close"",BT$2,TODAY()),2,2))"),4397.45)</f>
        <v>4397.45</v>
      </c>
      <c r="BU52" s="1">
        <f ca="1">IFERROR(__xludf.DUMMYFUNCTION("if(BU$2="""","""", index(GOOGLEFINANCE($B$52,""close"",BU$2,TODAY()),2,2))"),4446.59)</f>
        <v>4446.59</v>
      </c>
      <c r="BV52" s="1">
        <f ca="1">IFERROR(__xludf.DUMMYFUNCTION("if(BV$2="""","""", index(GOOGLEFINANCE($B$52,""close"",BV$2,TODAY()),2,2))"),4392.59)</f>
        <v>4392.59</v>
      </c>
      <c r="BW52" s="1">
        <f ca="1">IFERROR(__xludf.DUMMYFUNCTION("if(BW$2="""","""", index(GOOGLEFINANCE($B$52,""close"",BW$2,TODAY()),2,2))"),4391.69)</f>
        <v>4391.6899999999996</v>
      </c>
      <c r="BX52" s="1">
        <f ca="1">IFERROR(__xludf.DUMMYFUNCTION("if(BX$2="""","""", index(GOOGLEFINANCE($B$52,""close"",BX$2,TODAY()),2,2))"),4462.21)</f>
        <v>4462.21</v>
      </c>
      <c r="BY52" s="1">
        <f ca="1">IFERROR(__xludf.DUMMYFUNCTION("if(BY$2="""","""", index(GOOGLEFINANCE($B$52,""close"",BY$2,TODAY()),2,2))"),4459.45)</f>
        <v>4459.45</v>
      </c>
      <c r="BZ52" s="1">
        <f ca="1">IFERROR(__xludf.DUMMYFUNCTION("if(BZ$2="""","""", index(GOOGLEFINANCE($B$52,""close"",BZ$2,TODAY()),2,2))"),4393.66)</f>
        <v>4393.66</v>
      </c>
      <c r="CA52" s="1">
        <f ca="1">IFERROR(__xludf.DUMMYFUNCTION("if(CA$2="""","""", index(GOOGLEFINANCE($B$52,""close"",CA$2,TODAY()),2,2))"),4271.78)</f>
        <v>4271.78</v>
      </c>
      <c r="CB52" s="1">
        <f ca="1">IFERROR(__xludf.DUMMYFUNCTION("if(CB$2="""","""", index(GOOGLEFINANCE($B$52,""close"",CB$2,TODAY()),2,2))"),4296.12)</f>
        <v>4296.12</v>
      </c>
      <c r="CC52" s="1">
        <f ca="1">IFERROR(__xludf.DUMMYFUNCTION("if(CC$2="""","""", index(GOOGLEFINANCE($B$52,""close"",CC$2,TODAY()),2,2))"),4175.2)</f>
        <v>4175.2</v>
      </c>
      <c r="CD52" s="1">
        <f ca="1">IFERROR(__xludf.DUMMYFUNCTION("if(CD$2="""","""", index(GOOGLEFINANCE($B$52,""close"",CD$2,TODAY()),2,2))"),4183.96)</f>
        <v>4183.96</v>
      </c>
      <c r="CE52" s="1">
        <f ca="1">IFERROR(__xludf.DUMMYFUNCTION("if(CE$2="""","""", index(GOOGLEFINANCE($B$52,""close"",CE$2,TODAY()),2,2))"),4287.5)</f>
        <v>4287.5</v>
      </c>
      <c r="CF52" s="1">
        <f ca="1">IFERROR(__xludf.DUMMYFUNCTION("if(CF$2="""","""", index(GOOGLEFINANCE($B$52,""close"",CF$2,TODAY()),2,2))"),4131.93)</f>
        <v>4131.93</v>
      </c>
      <c r="CG52" s="1">
        <f ca="1">IFERROR(__xludf.DUMMYFUNCTION("if(CG$2="""","""", index(GOOGLEFINANCE($B$52,""close"",CG$2,TODAY()),2,2))"),4155.38)</f>
        <v>4155.38</v>
      </c>
      <c r="CH52" s="1">
        <f ca="1">IFERROR(__xludf.DUMMYFUNCTION("if(CH$2="""","""", index(GOOGLEFINANCE($B$52,""close"",CH$2,TODAY()),2,2))"),4175.48)</f>
        <v>4175.4799999999996</v>
      </c>
      <c r="CI52" s="1">
        <f ca="1">IFERROR(__xludf.DUMMYFUNCTION("if(CI$2="""","""", index(GOOGLEFINANCE($B$52,""close"",CI$2,TODAY()),2,2))"),4300.17)</f>
        <v>4300.17</v>
      </c>
      <c r="CJ52" s="1" t="str">
        <f ca="1">IFERROR(__xludf.DUMMYFUNCTION("if(CJ$2="""","""", index(GOOGLEFINANCE($B$52,""close"",CJ$2,TODAY()),2,2))"),"")</f>
        <v/>
      </c>
      <c r="CK52" s="1" t="str">
        <f ca="1">IFERROR(__xludf.DUMMYFUNCTION("if(CK$2="""","""", index(GOOGLEFINANCE($B$52,""close"",CK$2,TODAY()),2,2))"),"")</f>
        <v/>
      </c>
      <c r="CL52" s="1" t="str">
        <f ca="1">IFERROR(__xludf.DUMMYFUNCTION("if(CL$2="""","""", index(GOOGLEFINANCE($B$52,""close"",CL$2,TODAY()),2,2))"),"")</f>
        <v/>
      </c>
      <c r="CM52" s="1" t="str">
        <f ca="1">IFERROR(__xludf.DUMMYFUNCTION("if(CM$2="""","""", index(GOOGLEFINANCE($B$52,""close"",CM$2,TODAY()),2,2))"),"")</f>
        <v/>
      </c>
      <c r="CN52" s="1" t="str">
        <f ca="1">IFERROR(__xludf.DUMMYFUNCTION("if(CN$2="""","""", index(GOOGLEFINANCE($B$52,""close"",CN$2,TODAY()),2,2))"),"")</f>
        <v/>
      </c>
      <c r="CO52" s="1" t="str">
        <f ca="1">IFERROR(__xludf.DUMMYFUNCTION("if(CO$2="""","""", index(GOOGLEFINANCE($B$52,""close"",CO$2,TODAY()),2,2))"),"")</f>
        <v/>
      </c>
      <c r="CP52" s="1" t="str">
        <f ca="1">IFERROR(__xludf.DUMMYFUNCTION("if(CP$2="""","""", index(GOOGLEFINANCE($B$52,""close"",CP$2,TODAY()),2,2))"),"")</f>
        <v/>
      </c>
      <c r="CQ52" s="1" t="str">
        <f ca="1">IFERROR(__xludf.DUMMYFUNCTION("if(CQ$2="""","""", index(GOOGLEFINANCE($B$52,""close"",CQ$2,TODAY()),2,2))"),"")</f>
        <v/>
      </c>
      <c r="CR52" s="1" t="str">
        <f ca="1">IFERROR(__xludf.DUMMYFUNCTION("if(CR$2="""","""", index(GOOGLEFINANCE($B$52,""close"",CR$2,TODAY()),2,2))"),"")</f>
        <v/>
      </c>
      <c r="CS52" s="1" t="str">
        <f ca="1">IFERROR(__xludf.DUMMYFUNCTION("if(CS$2="""","""", index(GOOGLEFINANCE($B$52,""close"",CS$2,TODAY()),2,2))"),"")</f>
        <v/>
      </c>
      <c r="CT52" s="1" t="str">
        <f ca="1">IFERROR(__xludf.DUMMYFUNCTION("if(CT$2="""","""", index(GOOGLEFINANCE($B$52,""close"",CT$2,TODAY()),2,2))"),"")</f>
        <v/>
      </c>
      <c r="CU52" s="1" t="str">
        <f ca="1">IFERROR(__xludf.DUMMYFUNCTION("if(CU$2="""","""", index(GOOGLEFINANCE($B$52,""close"",CU$2,TODAY()),2,2))"),"")</f>
        <v/>
      </c>
      <c r="CV52" s="1" t="str">
        <f ca="1">IFERROR(__xludf.DUMMYFUNCTION("if(CV$2="""","""", index(GOOGLEFINANCE($B$52,""close"",CV$2,TODAY()),2,2))"),"")</f>
        <v/>
      </c>
      <c r="CW52" s="1" t="str">
        <f ca="1">IFERROR(__xludf.DUMMYFUNCTION("if(CW$2="""","""", index(GOOGLEFINANCE($B$52,""close"",CW$2,TODAY()),2,2))"),"")</f>
        <v/>
      </c>
      <c r="CX52" s="1" t="str">
        <f ca="1">IFERROR(__xludf.DUMMYFUNCTION("if(CX$2="""","""", index(GOOGLEFINANCE($B$52,""close"",CX$2,TODAY()),2,2))"),"")</f>
        <v/>
      </c>
      <c r="CY52" s="1" t="str">
        <f ca="1">IFERROR(__xludf.DUMMYFUNCTION("if(CY$2="""","""", index(GOOGLEFINANCE($B$52,""close"",CY$2,TODAY()),2,2))"),"")</f>
        <v/>
      </c>
      <c r="CZ52" s="1" t="str">
        <f ca="1">IFERROR(__xludf.DUMMYFUNCTION("if(CZ$2="""","""", index(GOOGLEFINANCE($B$52,""close"",CZ$2,TODAY()),2,2))"),"")</f>
        <v/>
      </c>
      <c r="DA52" s="1" t="str">
        <f ca="1">IFERROR(__xludf.DUMMYFUNCTION("if(DA$2="""","""", index(GOOGLEFINANCE($B$52,""close"",DA$2,TODAY()),2,2))"),"")</f>
        <v/>
      </c>
      <c r="DB52" s="1" t="str">
        <f ca="1">IFERROR(__xludf.DUMMYFUNCTION("if(DB$2="""","""", index(GOOGLEFINANCE($B$52,""close"",DB$2,TODAY()),2,2))"),"")</f>
        <v/>
      </c>
      <c r="DC52" s="1" t="str">
        <f ca="1">IFERROR(__xludf.DUMMYFUNCTION("if(DC$2="""","""", index(GOOGLEFINANCE($B$52,""close"",DC$2,TODAY()),2,2))"),"")</f>
        <v/>
      </c>
      <c r="DD52" s="1" t="str">
        <f ca="1">IFERROR(__xludf.DUMMYFUNCTION("if(DD$2="""","""", index(GOOGLEFINANCE($B$52,""close"",DD$2,TODAY()),2,2))"),"")</f>
        <v/>
      </c>
      <c r="DE52" s="1" t="str">
        <f ca="1">IFERROR(__xludf.DUMMYFUNCTION("if(DE$2="""","""", index(GOOGLEFINANCE($B$52,""close"",DE$2,TODAY()),2,2))"),"")</f>
        <v/>
      </c>
      <c r="DF52" s="1" t="str">
        <f ca="1">IFERROR(__xludf.DUMMYFUNCTION("if(DF$2="""","""", index(GOOGLEFINANCE($B$52,""close"",DF$2,TODAY()),2,2))"),"")</f>
        <v/>
      </c>
      <c r="DG52" s="1" t="str">
        <f ca="1">IFERROR(__xludf.DUMMYFUNCTION("if(DG$2="""","""", index(GOOGLEFINANCE($B$52,""close"",DG$2,TODAY()),2,2))"),"")</f>
        <v/>
      </c>
      <c r="DH52" s="1" t="str">
        <f ca="1">IFERROR(__xludf.DUMMYFUNCTION("if(DH$2="""","""", index(GOOGLEFINANCE($B$52,""close"",DH$2,TODAY()),2,2))"),"")</f>
        <v/>
      </c>
      <c r="DI52" s="1" t="str">
        <f ca="1">IFERROR(__xludf.DUMMYFUNCTION("if(DI$2="""","""", index(GOOGLEFINANCE($B$52,""close"",DI$2,TODAY()),2,2))"),"")</f>
        <v/>
      </c>
      <c r="DJ52" s="1" t="str">
        <f ca="1">IFERROR(__xludf.DUMMYFUNCTION("if(DJ$2="""","""", index(GOOGLEFINANCE($B$52,""close"",DJ$2,TODAY()),2,2))"),"")</f>
        <v/>
      </c>
      <c r="DK52" s="1" t="str">
        <f ca="1">IFERROR(__xludf.DUMMYFUNCTION("if(DK$2="""","""", index(GOOGLEFINANCE($B$52,""close"",DK$2,TODAY()),2,2))"),"")</f>
        <v/>
      </c>
      <c r="DL52" s="1" t="str">
        <f ca="1">IFERROR(__xludf.DUMMYFUNCTION("if(DL$2="""","""", index(GOOGLEFINANCE($B$52,""close"",DL$2,TODAY()),2,2))"),"")</f>
        <v/>
      </c>
      <c r="DM52" s="1" t="str">
        <f ca="1">IFERROR(__xludf.DUMMYFUNCTION("if(DM$2="""","""", index(GOOGLEFINANCE($B$52,""close"",DM$2,TODAY()),2,2))"),"")</f>
        <v/>
      </c>
      <c r="DN52" s="1" t="str">
        <f ca="1">IFERROR(__xludf.DUMMYFUNCTION("if(DN$2="""","""", index(GOOGLEFINANCE($B$52,""close"",DN$2,TODAY()),2,2))"),"")</f>
        <v/>
      </c>
      <c r="DO52" s="1" t="str">
        <f ca="1">IFERROR(__xludf.DUMMYFUNCTION("if(DO$2="""","""", index(GOOGLEFINANCE($B$52,""close"",DO$2,TODAY()),2,2))"),"")</f>
        <v/>
      </c>
      <c r="DP52" s="1" t="str">
        <f ca="1">IFERROR(__xludf.DUMMYFUNCTION("if(DP$2="""","""", index(GOOGLEFINANCE($B$52,""close"",DP$2,TODAY()),2,2))"),"")</f>
        <v/>
      </c>
      <c r="DQ52" s="1" t="str">
        <f ca="1">IFERROR(__xludf.DUMMYFUNCTION("if(DQ$2="""","""", index(GOOGLEFINANCE($B$52,""close"",DQ$2,TODAY()),2,2))"),"")</f>
        <v/>
      </c>
      <c r="DR52" s="1" t="str">
        <f ca="1">IFERROR(__xludf.DUMMYFUNCTION("if(DR$2="""","""", index(GOOGLEFINANCE($B$52,""close"",DR$2,TODAY()),2,2))"),"")</f>
        <v/>
      </c>
      <c r="DS52" s="1" t="str">
        <f ca="1">IFERROR(__xludf.DUMMYFUNCTION("if(DS$2="""","""", index(GOOGLEFINANCE($B$52,""close"",DS$2,TODAY()),2,2))"),"")</f>
        <v/>
      </c>
      <c r="DT52" s="1" t="str">
        <f ca="1">IFERROR(__xludf.DUMMYFUNCTION("if(DT$2="""","""", index(GOOGLEFINANCE($B$52,""close"",DT$2,TODAY()),2,2))"),"")</f>
        <v/>
      </c>
      <c r="DU52" s="1" t="str">
        <f ca="1">IFERROR(__xludf.DUMMYFUNCTION("if(DU$2="""","""", index(GOOGLEFINANCE($B$52,""close"",DU$2,TODAY()),2,2))"),"")</f>
        <v/>
      </c>
      <c r="DV52" s="1" t="str">
        <f ca="1">IFERROR(__xludf.DUMMYFUNCTION("if(DV$2="""","""", index(GOOGLEFINANCE($B$52,""close"",DV$2,TODAY()),2,2))"),"")</f>
        <v/>
      </c>
      <c r="DW52" s="1" t="str">
        <f ca="1">IFERROR(__xludf.DUMMYFUNCTION("if(DW$2="""","""", index(GOOGLEFINANCE($B$52,""close"",DW$2,TODAY()),2,2))"),"")</f>
        <v/>
      </c>
      <c r="DX52" s="1" t="str">
        <f ca="1">IFERROR(__xludf.DUMMYFUNCTION("if(DX$2="""","""", index(GOOGLEFINANCE($B$52,""close"",DX$2,TODAY()),2,2))"),"")</f>
        <v/>
      </c>
      <c r="DY52" s="1" t="str">
        <f ca="1">IFERROR(__xludf.DUMMYFUNCTION("if(DY$2="""","""", index(GOOGLEFINANCE($B$52,""close"",DY$2,TODAY()),2,2))"),"")</f>
        <v/>
      </c>
      <c r="DZ52" s="1" t="str">
        <f ca="1">IFERROR(__xludf.DUMMYFUNCTION("if(DZ$2="""","""", index(GOOGLEFINANCE($B$52,""close"",DZ$2,TODAY()),2,2))"),"")</f>
        <v/>
      </c>
      <c r="EA52" s="1" t="str">
        <f ca="1">IFERROR(__xludf.DUMMYFUNCTION("if(EA$2="""","""", index(GOOGLEFINANCE($B$52,""close"",EA$2,TODAY()),2,2))"),"")</f>
        <v/>
      </c>
      <c r="EB52" s="1" t="str">
        <f ca="1">IFERROR(__xludf.DUMMYFUNCTION("if(EB$2="""","""", index(GOOGLEFINANCE($B$52,""close"",EB$2,TODAY()),2,2))"),"")</f>
        <v/>
      </c>
      <c r="EC52" s="1" t="str">
        <f ca="1">IFERROR(__xludf.DUMMYFUNCTION("if(EC$2="""","""", index(GOOGLEFINANCE($B$52,""close"",EC$2,TODAY()),2,2))"),"")</f>
        <v/>
      </c>
      <c r="ED52" s="1" t="str">
        <f ca="1">IFERROR(__xludf.DUMMYFUNCTION("if(ED$2="""","""", index(GOOGLEFINANCE($B$52,""close"",ED$2,TODAY()),2,2))"),"")</f>
        <v/>
      </c>
      <c r="EE52" s="1" t="str">
        <f ca="1">IFERROR(__xludf.DUMMYFUNCTION("if(EE$2="""","""", index(GOOGLEFINANCE($B$52,""close"",EE$2,TODAY()),2,2))"),"")</f>
        <v/>
      </c>
      <c r="EF52" s="1" t="str">
        <f ca="1">IFERROR(__xludf.DUMMYFUNCTION("if(EF$2="""","""", index(GOOGLEFINANCE($B$52,""close"",EF$2,TODAY()),2,2))"),"")</f>
        <v/>
      </c>
      <c r="EG52" s="1" t="str">
        <f ca="1">IFERROR(__xludf.DUMMYFUNCTION("if(EG$2="""","""", index(GOOGLEFINANCE($B$52,""close"",EG$2,TODAY()),2,2))"),"")</f>
        <v/>
      </c>
      <c r="EH52" s="1" t="str">
        <f ca="1">IFERROR(__xludf.DUMMYFUNCTION("if(EH$2="""","""", index(GOOGLEFINANCE($B$52,""close"",EH$2,TODAY()),2,2))"),"")</f>
        <v/>
      </c>
      <c r="EI52" s="1" t="str">
        <f ca="1">IFERROR(__xludf.DUMMYFUNCTION("if(EI$2="""","""", index(GOOGLEFINANCE($B$52,""close"",EI$2,TODAY()),2,2))"),"")</f>
        <v/>
      </c>
      <c r="EJ52" s="1" t="str">
        <f ca="1">IFERROR(__xludf.DUMMYFUNCTION("if(EJ$2="""","""", index(GOOGLEFINANCE($B$52,""close"",EJ$2,TODAY()),2,2))"),"")</f>
        <v/>
      </c>
      <c r="EK52" s="1" t="str">
        <f ca="1">IFERROR(__xludf.DUMMYFUNCTION("if(EK$2="""","""", index(GOOGLEFINANCE($B$52,""close"",EK$2,TODAY()),2,2))"),"")</f>
        <v/>
      </c>
      <c r="EL52" s="1" t="str">
        <f ca="1">IFERROR(__xludf.DUMMYFUNCTION("if(EL$2="""","""", index(GOOGLEFINANCE($B$52,""close"",EL$2,TODAY()),2,2))"),"")</f>
        <v/>
      </c>
      <c r="EM52" s="1" t="str">
        <f ca="1">IFERROR(__xludf.DUMMYFUNCTION("if(EM$2="""","""", index(GOOGLEFINANCE($B$52,""close"",EM$2,TODAY()),2,2))"),"")</f>
        <v/>
      </c>
      <c r="EN52" s="1" t="str">
        <f ca="1">IFERROR(__xludf.DUMMYFUNCTION("if(EN$2="""","""", index(GOOGLEFINANCE($B$52,""close"",EN$2,TODAY()),2,2))"),"")</f>
        <v/>
      </c>
      <c r="EO52" s="1" t="str">
        <f ca="1">IFERROR(__xludf.DUMMYFUNCTION("if(EO$2="""","""", index(GOOGLEFINANCE($B$52,""close"",EO$2,TODAY()),2,2))"),"")</f>
        <v/>
      </c>
      <c r="EP52" s="1" t="str">
        <f ca="1">IFERROR(__xludf.DUMMYFUNCTION("if(EP$2="""","""", index(GOOGLEFINANCE($B$52,""close"",EP$2,TODAY()),2,2))"),"")</f>
        <v/>
      </c>
      <c r="EQ52" s="1" t="str">
        <f ca="1">IFERROR(__xludf.DUMMYFUNCTION("if(EQ$2="""","""", index(GOOGLEFINANCE($B$52,""close"",EQ$2,TODAY()),2,2))"),"")</f>
        <v/>
      </c>
      <c r="ER52" s="1" t="str">
        <f ca="1">IFERROR(__xludf.DUMMYFUNCTION("if(ER$2="""","""", index(GOOGLEFINANCE($B$52,""close"",ER$2,TODAY()),2,2))"),"")</f>
        <v/>
      </c>
      <c r="ES52" s="1" t="str">
        <f ca="1">IFERROR(__xludf.DUMMYFUNCTION("if(ES$2="""","""", index(GOOGLEFINANCE($B$52,""close"",ES$2,TODAY()),2,2))"),"")</f>
        <v/>
      </c>
      <c r="ET52" s="1" t="str">
        <f ca="1">IFERROR(__xludf.DUMMYFUNCTION("if(ET$2="""","""", index(GOOGLEFINANCE($B$52,""close"",ET$2,TODAY()),2,2))"),"")</f>
        <v/>
      </c>
      <c r="EU52" s="1" t="str">
        <f ca="1">IFERROR(__xludf.DUMMYFUNCTION("if(EU$2="""","""", index(GOOGLEFINANCE($B$52,""close"",EU$2,TODAY()),2,2))"),"")</f>
        <v/>
      </c>
      <c r="EV52" s="1" t="str">
        <f ca="1">IFERROR(__xludf.DUMMYFUNCTION("if(EV$2="""","""", index(GOOGLEFINANCE($B$52,""close"",EV$2,TODAY()),2,2))"),"")</f>
        <v/>
      </c>
      <c r="EW52" s="1" t="str">
        <f ca="1">IFERROR(__xludf.DUMMYFUNCTION("if(EW$2="""","""", index(GOOGLEFINANCE($B$52,""close"",EW$2,TODAY()),2,2))"),"")</f>
        <v/>
      </c>
      <c r="EX52" s="1" t="str">
        <f ca="1">IFERROR(__xludf.DUMMYFUNCTION("if(EX$2="""","""", index(GOOGLEFINANCE($B$52,""close"",EX$2,TODAY()),2,2))"),"")</f>
        <v/>
      </c>
      <c r="EY52" s="1" t="str">
        <f ca="1">IFERROR(__xludf.DUMMYFUNCTION("if(EY$2="""","""", index(GOOGLEFINANCE($B$52,""close"",EY$2,TODAY()),2,2))"),"")</f>
        <v/>
      </c>
      <c r="EZ52" s="1" t="str">
        <f ca="1">IFERROR(__xludf.DUMMYFUNCTION("if(EZ$2="""","""", index(GOOGLEFINANCE($B$52,""close"",EZ$2,TODAY()),2,2))"),"")</f>
        <v/>
      </c>
      <c r="FA52" s="1" t="str">
        <f ca="1">IFERROR(__xludf.DUMMYFUNCTION("if(FA$2="""","""", index(GOOGLEFINANCE($B$52,""close"",FA$2,TODAY()),2,2))"),"")</f>
        <v/>
      </c>
      <c r="FB52" s="1" t="str">
        <f ca="1">IFERROR(__xludf.DUMMYFUNCTION("if(FB$2="""","""", index(GOOGLEFINANCE($B$52,""close"",FB$2,TODAY()),2,2))"),"")</f>
        <v/>
      </c>
      <c r="FC52" s="1" t="str">
        <f ca="1">IFERROR(__xludf.DUMMYFUNCTION("if(FC$2="""","""", index(GOOGLEFINANCE($B$52,""close"",FC$2,TODAY()),2,2))"),"")</f>
        <v/>
      </c>
      <c r="FD52" s="1" t="str">
        <f ca="1">IFERROR(__xludf.DUMMYFUNCTION("if(FD$2="""","""", index(GOOGLEFINANCE($B$52,""close"",FD$2,TODAY()),2,2))"),"")</f>
        <v/>
      </c>
      <c r="FE52" s="1" t="str">
        <f ca="1">IFERROR(__xludf.DUMMYFUNCTION("if(FE$2="""","""", index(GOOGLEFINANCE($B$52,""close"",FE$2,TODAY()),2,2))"),"")</f>
        <v/>
      </c>
      <c r="FF52" s="1" t="str">
        <f ca="1">IFERROR(__xludf.DUMMYFUNCTION("if(FF$2="""","""", index(GOOGLEFINANCE($B$52,""close"",FF$2,TODAY()),2,2))"),"")</f>
        <v/>
      </c>
      <c r="FG52" s="1" t="str">
        <f ca="1">IFERROR(__xludf.DUMMYFUNCTION("if(FG$2="""","""", index(GOOGLEFINANCE($B$52,""close"",FG$2,TODAY()),2,2))"),"")</f>
        <v/>
      </c>
      <c r="FH52" s="1" t="str">
        <f ca="1">IFERROR(__xludf.DUMMYFUNCTION("if(FH$2="""","""", index(GOOGLEFINANCE($B$52,""close"",FH$2,TODAY()),2,2))"),"")</f>
        <v/>
      </c>
      <c r="FI52" s="1" t="str">
        <f ca="1">IFERROR(__xludf.DUMMYFUNCTION("if(FI$2="""","""", index(GOOGLEFINANCE($B$52,""close"",FI$2,TODAY()),2,2))"),"")</f>
        <v/>
      </c>
      <c r="FJ52" s="1" t="str">
        <f ca="1">IFERROR(__xludf.DUMMYFUNCTION("if(FJ$2="""","""", index(GOOGLEFINANCE($B$52,""close"",FJ$2,TODAY()),2,2))"),"")</f>
        <v/>
      </c>
      <c r="FK52" s="1" t="str">
        <f ca="1">IFERROR(__xludf.DUMMYFUNCTION("if(FK$2="""","""", index(GOOGLEFINANCE($B$52,""close"",FK$2,TODAY()),2,2))"),"")</f>
        <v/>
      </c>
      <c r="FL52" s="1" t="str">
        <f ca="1">IFERROR(__xludf.DUMMYFUNCTION("if(FL$2="""","""", index(GOOGLEFINANCE($B$52,""close"",FL$2,TODAY()),2,2))"),"")</f>
        <v/>
      </c>
      <c r="FM52" s="1" t="str">
        <f ca="1">IFERROR(__xludf.DUMMYFUNCTION("if(FM$2="""","""", index(GOOGLEFINANCE($B$52,""close"",FM$2,TODAY()),2,2))"),"")</f>
        <v/>
      </c>
      <c r="FN52" s="1" t="str">
        <f ca="1">IFERROR(__xludf.DUMMYFUNCTION("if(FN$2="""","""", index(GOOGLEFINANCE($B$52,""close"",FN$2,TODAY()),2,2))"),"")</f>
        <v/>
      </c>
      <c r="FO52" s="1" t="str">
        <f ca="1">IFERROR(__xludf.DUMMYFUNCTION("if(FO$2="""","""", index(GOOGLEFINANCE($B$52,""close"",FO$2,TODAY()),2,2))"),"")</f>
        <v/>
      </c>
      <c r="FP52" s="1" t="str">
        <f ca="1">IFERROR(__xludf.DUMMYFUNCTION("if(FP$2="""","""", index(GOOGLEFINANCE($B$52,""close"",FP$2,TODAY()),2,2))"),"")</f>
        <v/>
      </c>
      <c r="FQ52" s="1" t="str">
        <f ca="1">IFERROR(__xludf.DUMMYFUNCTION("if(FQ$2="""","""", index(GOOGLEFINANCE($B$52,""close"",FQ$2,TODAY()),2,2))"),"")</f>
        <v/>
      </c>
      <c r="FR52" s="1" t="str">
        <f ca="1">IFERROR(__xludf.DUMMYFUNCTION("if(FR$2="""","""", index(GOOGLEFINANCE($B$52,""close"",FR$2,TODAY()),2,2))"),"")</f>
        <v/>
      </c>
      <c r="FS52" s="1" t="str">
        <f ca="1">IFERROR(__xludf.DUMMYFUNCTION("if(FS$2="""","""", index(GOOGLEFINANCE($B$52,""close"",FS$2,TODAY()),2,2))"),"")</f>
        <v/>
      </c>
      <c r="FT52" s="1" t="str">
        <f ca="1">IFERROR(__xludf.DUMMYFUNCTION("if(FT$2="""","""", index(GOOGLEFINANCE($B$52,""close"",FT$2,TODAY()),2,2))"),"")</f>
        <v/>
      </c>
      <c r="FU52" s="1" t="str">
        <f ca="1">IFERROR(__xludf.DUMMYFUNCTION("if(FU$2="""","""", index(GOOGLEFINANCE($B$52,""close"",FU$2,TODAY()),2,2))"),"")</f>
        <v/>
      </c>
      <c r="FV52" s="1" t="str">
        <f ca="1">IFERROR(__xludf.DUMMYFUNCTION("if(FV$2="""","""", index(GOOGLEFINANCE($B$52,""close"",FV$2,TODAY()),2,2))"),"")</f>
        <v/>
      </c>
      <c r="FW52" s="1" t="str">
        <f ca="1">IFERROR(__xludf.DUMMYFUNCTION("if(FW$2="""","""", index(GOOGLEFINANCE($B$52,""close"",FW$2,TODAY()),2,2))"),"")</f>
        <v/>
      </c>
      <c r="FX52" s="1" t="str">
        <f ca="1">IFERROR(__xludf.DUMMYFUNCTION("if(FX$2="""","""", index(GOOGLEFINANCE($B$52,""close"",FX$2,TODAY()),2,2))"),"")</f>
        <v/>
      </c>
      <c r="FY52" s="1" t="str">
        <f ca="1">IFERROR(__xludf.DUMMYFUNCTION("if(FY$2="""","""", index(GOOGLEFINANCE($B$52,""close"",FY$2,TODAY()),2,2))"),"")</f>
        <v/>
      </c>
      <c r="FZ52" s="1" t="str">
        <f ca="1">IFERROR(__xludf.DUMMYFUNCTION("if(FZ$2="""","""", index(GOOGLEFINANCE($B$52,""close"",FZ$2,TODAY()),2,2))"),"")</f>
        <v/>
      </c>
      <c r="GA52" s="1" t="str">
        <f ca="1">IFERROR(__xludf.DUMMYFUNCTION("if(GA$2="""","""", index(GOOGLEFINANCE($B$52,""close"",GA$2,TODAY()),2,2))"),"")</f>
        <v/>
      </c>
      <c r="GB52" s="1" t="str">
        <f ca="1">IFERROR(__xludf.DUMMYFUNCTION("if(GB$2="""","""", index(GOOGLEFINANCE($B$52,""close"",GB$2,TODAY()),2,2))"),"")</f>
        <v/>
      </c>
      <c r="GC52" s="1" t="str">
        <f ca="1">IFERROR(__xludf.DUMMYFUNCTION("if(GC$2="""","""", index(GOOGLEFINANCE($B$52,""close"",GC$2,TODAY()),2,2))"),"")</f>
        <v/>
      </c>
      <c r="GD52" s="1" t="str">
        <f ca="1">IFERROR(__xludf.DUMMYFUNCTION("if(GD$2="""","""", index(GOOGLEFINANCE($B$52,""close"",GD$2,TODAY()),2,2))"),"")</f>
        <v/>
      </c>
      <c r="GE52" s="1" t="str">
        <f ca="1">IFERROR(__xludf.DUMMYFUNCTION("if(GE$2="""","""", index(GOOGLEFINANCE($B$52,""close"",GE$2,TODAY()),2,2))"),"")</f>
        <v/>
      </c>
      <c r="GF52" s="1" t="str">
        <f ca="1">IFERROR(__xludf.DUMMYFUNCTION("if(GF$2="""","""", index(GOOGLEFINANCE($B$52,""close"",GF$2,TODAY()),2,2))"),"")</f>
        <v/>
      </c>
      <c r="GG52" s="1" t="str">
        <f ca="1">IFERROR(__xludf.DUMMYFUNCTION("if(GG$2="""","""", index(GOOGLEFINANCE($B$52,""close"",GG$2,TODAY()),2,2))"),"")</f>
        <v/>
      </c>
      <c r="GH52" s="1" t="str">
        <f ca="1">IFERROR(__xludf.DUMMYFUNCTION("if(GH$2="""","""", index(GOOGLEFINANCE($B$52,""close"",GH$2,TODAY()),2,2))"),"")</f>
        <v/>
      </c>
      <c r="GI52" s="1" t="str">
        <f ca="1">IFERROR(__xludf.DUMMYFUNCTION("if(GI$2="""","""", index(GOOGLEFINANCE($B$52,""close"",GI$2,TODAY()),2,2))"),"")</f>
        <v/>
      </c>
      <c r="GJ52" s="1" t="str">
        <f ca="1">IFERROR(__xludf.DUMMYFUNCTION("if(GJ$2="""","""", index(GOOGLEFINANCE($B$52,""close"",GJ$2,TODAY()),2,2))"),"")</f>
        <v/>
      </c>
      <c r="GK52" s="1" t="str">
        <f ca="1">IFERROR(__xludf.DUMMYFUNCTION("if(GK$2="""","""", index(GOOGLEFINANCE($B$52,""close"",GK$2,TODAY()),2,2))"),"")</f>
        <v/>
      </c>
      <c r="GL52" s="1" t="str">
        <f ca="1">IFERROR(__xludf.DUMMYFUNCTION("if(GL$2="""","""", index(GOOGLEFINANCE($B$52,""close"",GL$2,TODAY()),2,2))"),"")</f>
        <v/>
      </c>
      <c r="GM52" s="1" t="str">
        <f ca="1">IFERROR(__xludf.DUMMYFUNCTION("if(GM$2="""","""", index(GOOGLEFINANCE($B$52,""close"",GM$2,TODAY()),2,2))"),"")</f>
        <v/>
      </c>
      <c r="GN52" s="1" t="str">
        <f ca="1">IFERROR(__xludf.DUMMYFUNCTION("if(GN$2="""","""", index(GOOGLEFINANCE($B$52,""close"",GN$2,TODAY()),2,2))"),"")</f>
        <v/>
      </c>
      <c r="GO52" s="1" t="str">
        <f ca="1">IFERROR(__xludf.DUMMYFUNCTION("if(GO$2="""","""", index(GOOGLEFINANCE($B$52,""close"",GO$2,TODAY()),2,2))"),"")</f>
        <v/>
      </c>
      <c r="GP52" s="1" t="str">
        <f ca="1">IFERROR(__xludf.DUMMYFUNCTION("if(GP$2="""","""", index(GOOGLEFINANCE($B$52,""close"",GP$2,TODAY()),2,2))"),"")</f>
        <v/>
      </c>
      <c r="GQ52" s="1" t="str">
        <f ca="1">IFERROR(__xludf.DUMMYFUNCTION("if(GQ$2="""","""", index(GOOGLEFINANCE($B$52,""close"",GQ$2,TODAY()),2,2))"),"")</f>
        <v/>
      </c>
      <c r="GR52" s="1" t="str">
        <f ca="1">IFERROR(__xludf.DUMMYFUNCTION("if(GR$2="""","""", index(GOOGLEFINANCE($B$52,""close"",GR$2,TODAY()),2,2))"),"")</f>
        <v/>
      </c>
      <c r="GS52" s="1" t="str">
        <f ca="1">IFERROR(__xludf.DUMMYFUNCTION("if(GS$2="""","""", index(GOOGLEFINANCE($B$52,""close"",GS$2,TODAY()),2,2))"),"")</f>
        <v/>
      </c>
      <c r="GT52" s="1" t="str">
        <f ca="1">IFERROR(__xludf.DUMMYFUNCTION("if(GT$2="""","""", index(GOOGLEFINANCE($B$52,""close"",GT$2,TODAY()),2,2))"),"")</f>
        <v/>
      </c>
      <c r="GU52" s="1" t="str">
        <f ca="1">IFERROR(__xludf.DUMMYFUNCTION("if(GU$2="""","""", index(GOOGLEFINANCE($B$52,""close"",GU$2,TODAY()),2,2))"),"")</f>
        <v/>
      </c>
      <c r="GV52" s="1" t="str">
        <f ca="1">IFERROR(__xludf.DUMMYFUNCTION("if(GV$2="""","""", index(GOOGLEFINANCE($B$52,""close"",GV$2,TODAY()),2,2))"),"")</f>
        <v/>
      </c>
      <c r="GW52" s="1" t="str">
        <f ca="1">IFERROR(__xludf.DUMMYFUNCTION("if(GW$2="""","""", index(GOOGLEFINANCE($B$52,""close"",GW$2,TODAY()),2,2))"),"")</f>
        <v/>
      </c>
      <c r="GX52" s="1" t="str">
        <f ca="1">IFERROR(__xludf.DUMMYFUNCTION("if(GX$2="""","""", index(GOOGLEFINANCE($B$52,""close"",GX$2,TODAY()),2,2))"),"")</f>
        <v/>
      </c>
      <c r="GY52" s="1" t="str">
        <f ca="1">IFERROR(__xludf.DUMMYFUNCTION("if(GY$2="""","""", index(GOOGLEFINANCE($B$52,""close"",GY$2,TODAY()),2,2))"),"")</f>
        <v/>
      </c>
      <c r="GZ52" s="1" t="str">
        <f ca="1">IFERROR(__xludf.DUMMYFUNCTION("if(GZ$2="""","""", index(GOOGLEFINANCE($B$52,""close"",GZ$2,TODAY()),2,2))"),"")</f>
        <v/>
      </c>
      <c r="HA52" s="1" t="str">
        <f ca="1">IFERROR(__xludf.DUMMYFUNCTION("if(HA$2="""","""", index(GOOGLEFINANCE($B$52,""close"",HA$2,TODAY()),2,2))"),"")</f>
        <v/>
      </c>
      <c r="HB52" s="1" t="str">
        <f ca="1">IFERROR(__xludf.DUMMYFUNCTION("if(HB$2="""","""", index(GOOGLEFINANCE($B$52,""close"",HB$2,TODAY()),2,2))"),"")</f>
        <v/>
      </c>
      <c r="HC52" s="1" t="str">
        <f ca="1">IFERROR(__xludf.DUMMYFUNCTION("if(HC$2="""","""", index(GOOGLEFINANCE($B$52,""close"",HC$2,TODAY()),2,2))"),"")</f>
        <v/>
      </c>
      <c r="HD52" s="1" t="str">
        <f ca="1">IFERROR(__xludf.DUMMYFUNCTION("if(HD$2="""","""", index(GOOGLEFINANCE($B$52,""close"",HD$2,TODAY()),2,2))"),"")</f>
        <v/>
      </c>
      <c r="HE52" s="1" t="str">
        <f ca="1">IFERROR(__xludf.DUMMYFUNCTION("if(HE$2="""","""", index(GOOGLEFINANCE($B$52,""close"",HE$2,TODAY()),2,2))"),"")</f>
        <v/>
      </c>
      <c r="HF52" s="1" t="str">
        <f ca="1">IFERROR(__xludf.DUMMYFUNCTION("if(HF$2="""","""", index(GOOGLEFINANCE($B$52,""close"",HF$2,TODAY()),2,2))"),"")</f>
        <v/>
      </c>
      <c r="HG52" s="1" t="str">
        <f ca="1">IFERROR(__xludf.DUMMYFUNCTION("if(HG$2="""","""", index(GOOGLEFINANCE($B$52,""close"",HG$2,TODAY()),2,2))"),"")</f>
        <v/>
      </c>
      <c r="HH52" s="1" t="str">
        <f ca="1">IFERROR(__xludf.DUMMYFUNCTION("if(HH$2="""","""", index(GOOGLEFINANCE($B$52,""close"",HH$2,TODAY()),2,2))"),"")</f>
        <v/>
      </c>
      <c r="HI52" s="1" t="str">
        <f ca="1">IFERROR(__xludf.DUMMYFUNCTION("if(HI$2="""","""", index(GOOGLEFINANCE($B$52,""close"",HI$2,TODAY()),2,2))"),"")</f>
        <v/>
      </c>
      <c r="HJ52" s="1" t="str">
        <f ca="1">IFERROR(__xludf.DUMMYFUNCTION("if(HJ$2="""","""", index(GOOGLEFINANCE($B$52,""close"",HJ$2,TODAY()),2,2))"),"")</f>
        <v/>
      </c>
      <c r="HK52" s="1" t="str">
        <f ca="1">IFERROR(__xludf.DUMMYFUNCTION("if(HK$2="""","""", index(GOOGLEFINANCE($B$52,""close"",HK$2,TODAY()),2,2))"),"")</f>
        <v/>
      </c>
      <c r="HL52" s="1" t="str">
        <f ca="1">IFERROR(__xludf.DUMMYFUNCTION("if(HL$2="""","""", index(GOOGLEFINANCE($B$52,""close"",HL$2,TODAY()),2,2))"),"")</f>
        <v/>
      </c>
      <c r="HM52" s="1" t="str">
        <f ca="1">IFERROR(__xludf.DUMMYFUNCTION("if(HM$2="""","""", index(GOOGLEFINANCE($B$52,""close"",HM$2,TODAY()),2,2))"),"")</f>
        <v/>
      </c>
      <c r="HN52" s="1" t="str">
        <f ca="1">IFERROR(__xludf.DUMMYFUNCTION("if(HN$2="""","""", index(GOOGLEFINANCE($B$52,""close"",HN$2,TODAY()),2,2))"),"")</f>
        <v/>
      </c>
      <c r="HO52" s="1" t="str">
        <f ca="1">IFERROR(__xludf.DUMMYFUNCTION("if(HO$2="""","""", index(GOOGLEFINANCE($B$52,""close"",HO$2,TODAY()),2,2))"),"")</f>
        <v/>
      </c>
      <c r="HP52" s="1" t="str">
        <f ca="1">IFERROR(__xludf.DUMMYFUNCTION("if(HP$2="""","""", index(GOOGLEFINANCE($B$52,""close"",HP$2,TODAY()),2,2))"),"")</f>
        <v/>
      </c>
      <c r="HQ52" s="1" t="str">
        <f ca="1">IFERROR(__xludf.DUMMYFUNCTION("if(HQ$2="""","""", index(GOOGLEFINANCE($B$52,""close"",HQ$2,TODAY()),2,2))"),"")</f>
        <v/>
      </c>
      <c r="HR52" s="1" t="str">
        <f ca="1">IFERROR(__xludf.DUMMYFUNCTION("if(HR$2="""","""", index(GOOGLEFINANCE($B$52,""close"",HR$2,TODAY()),2,2))"),"")</f>
        <v/>
      </c>
      <c r="HS52" s="1" t="str">
        <f ca="1">IFERROR(__xludf.DUMMYFUNCTION("if(HS$2="""","""", index(GOOGLEFINANCE($B$52,""close"",HS$2,TODAY()),2,2))"),"")</f>
        <v/>
      </c>
      <c r="HT52" s="1" t="str">
        <f ca="1">IFERROR(__xludf.DUMMYFUNCTION("if(HT$2="""","""", index(GOOGLEFINANCE($B$52,""close"",HT$2,TODAY()),2,2))"),"")</f>
        <v/>
      </c>
      <c r="HU52" s="1" t="str">
        <f ca="1">IFERROR(__xludf.DUMMYFUNCTION("if(HU$2="""","""", index(GOOGLEFINANCE($B$52,""close"",HU$2,TODAY()),2,2))"),"")</f>
        <v/>
      </c>
      <c r="HV52" s="1" t="str">
        <f ca="1">IFERROR(__xludf.DUMMYFUNCTION("if(HV$2="""","""", index(GOOGLEFINANCE($B$52,""close"",HV$2,TODAY()),2,2))"),"")</f>
        <v/>
      </c>
      <c r="HW52" s="1" t="str">
        <f ca="1">IFERROR(__xludf.DUMMYFUNCTION("if(HW$2="""","""", index(GOOGLEFINANCE($B$52,""close"",HW$2,TODAY()),2,2))"),"")</f>
        <v/>
      </c>
      <c r="HX52" s="1" t="str">
        <f ca="1">IFERROR(__xludf.DUMMYFUNCTION("if(HX$2="""","""", index(GOOGLEFINANCE($B$52,""close"",HX$2,TODAY()),2,2))"),"")</f>
        <v/>
      </c>
      <c r="HY52" s="1" t="str">
        <f ca="1">IFERROR(__xludf.DUMMYFUNCTION("if(HY$2="""","""", index(GOOGLEFINANCE($B$52,""close"",HY$2,TODAY()),2,2))"),"")</f>
        <v/>
      </c>
      <c r="HZ52" s="1" t="str">
        <f ca="1">IFERROR(__xludf.DUMMYFUNCTION("if(HZ$2="""","""", index(GOOGLEFINANCE($B$52,""close"",HZ$2,TODAY()),2,2))"),"")</f>
        <v/>
      </c>
      <c r="IA52" s="1" t="str">
        <f ca="1">IFERROR(__xludf.DUMMYFUNCTION("if(IA$2="""","""", index(GOOGLEFINANCE($B$52,""close"",IA$2,TODAY()),2,2))"),"")</f>
        <v/>
      </c>
      <c r="IB52" s="1" t="str">
        <f ca="1">IFERROR(__xludf.DUMMYFUNCTION("if(IB$2="""","""", index(GOOGLEFINANCE($B$52,""close"",IB$2,TODAY()),2,2))"),"")</f>
        <v/>
      </c>
      <c r="IC52" s="1" t="str">
        <f ca="1">IFERROR(__xludf.DUMMYFUNCTION("if(IC$2="""","""", index(GOOGLEFINANCE($B$52,""close"",IC$2,TODAY()),2,2))"),"")</f>
        <v/>
      </c>
      <c r="ID52" s="1" t="str">
        <f ca="1">IFERROR(__xludf.DUMMYFUNCTION("if(ID$2="""","""", index(GOOGLEFINANCE($B$52,""close"",ID$2,TODAY()),2,2))"),"")</f>
        <v/>
      </c>
      <c r="IE52" s="1" t="str">
        <f ca="1">IFERROR(__xludf.DUMMYFUNCTION("if(IE$2="""","""", index(GOOGLEFINANCE($B$52,""close"",IE$2,TODAY()),2,2))"),"")</f>
        <v/>
      </c>
      <c r="IF52" s="1" t="str">
        <f ca="1">IFERROR(__xludf.DUMMYFUNCTION("if(IF$2="""","""", index(GOOGLEFINANCE($B$52,""close"",IF$2,TODAY()),2,2))"),"")</f>
        <v/>
      </c>
      <c r="IG52" s="1" t="str">
        <f ca="1">IFERROR(__xludf.DUMMYFUNCTION("if(IG$2="""","""", index(GOOGLEFINANCE($B$52,""close"",IG$2,TODAY()),2,2))"),"")</f>
        <v/>
      </c>
      <c r="IH52" s="1" t="str">
        <f ca="1">IFERROR(__xludf.DUMMYFUNCTION("if(IH$2="""","""", index(GOOGLEFINANCE($B$52,""close"",IH$2,TODAY()),2,2))"),"")</f>
        <v/>
      </c>
      <c r="II52" s="1" t="str">
        <f ca="1">IFERROR(__xludf.DUMMYFUNCTION("if(II$2="""","""", index(GOOGLEFINANCE($B$52,""close"",II$2,TODAY()),2,2))"),"")</f>
        <v/>
      </c>
      <c r="IJ52" s="1" t="str">
        <f ca="1">IFERROR(__xludf.DUMMYFUNCTION("if(IJ$2="""","""", index(GOOGLEFINANCE($B$52,""close"",IJ$2,TODAY()),2,2))"),"")</f>
        <v/>
      </c>
      <c r="IK52" s="1" t="str">
        <f ca="1">IFERROR(__xludf.DUMMYFUNCTION("if(IK$2="""","""", index(GOOGLEFINANCE($B$52,""close"",IK$2,TODAY()),2,2))"),"")</f>
        <v/>
      </c>
      <c r="IL52" s="1" t="str">
        <f ca="1">IFERROR(__xludf.DUMMYFUNCTION("if(IL$2="""","""", index(GOOGLEFINANCE($B$52,""close"",IL$2,TODAY()),2,2))"),"")</f>
        <v/>
      </c>
      <c r="IM52" s="1" t="str">
        <f ca="1">IFERROR(__xludf.DUMMYFUNCTION("if(IM$2="""","""", index(GOOGLEFINANCE($B$52,""close"",IM$2,TODAY()),2,2))"),"")</f>
        <v/>
      </c>
      <c r="IN52" s="1" t="str">
        <f ca="1">IFERROR(__xludf.DUMMYFUNCTION("if(IN$2="""","""", index(GOOGLEFINANCE($B$52,""close"",IN$2,TODAY()),2,2))"),"")</f>
        <v/>
      </c>
      <c r="IO52" s="1" t="str">
        <f ca="1">IFERROR(__xludf.DUMMYFUNCTION("if(IO$2="""","""", index(GOOGLEFINANCE($B$52,""close"",IO$2,TODAY()),2,2))"),"")</f>
        <v/>
      </c>
      <c r="IP52" s="1" t="str">
        <f ca="1">IFERROR(__xludf.DUMMYFUNCTION("if(IP$2="""","""", index(GOOGLEFINANCE($B$52,""close"",IP$2,TODAY()),2,2))"),"")</f>
        <v/>
      </c>
      <c r="IQ52" s="1" t="str">
        <f ca="1">IFERROR(__xludf.DUMMYFUNCTION("if(IQ$2="""","""", index(GOOGLEFINANCE($B$52,""close"",IQ$2,TODAY()),2,2))"),"")</f>
        <v/>
      </c>
      <c r="IR52" s="1" t="str">
        <f ca="1">IFERROR(__xludf.DUMMYFUNCTION("if(IR$2="""","""", index(GOOGLEFINANCE($B$52,""close"",IR$2,TODAY()),2,2))"),"")</f>
        <v/>
      </c>
      <c r="IS52" s="1" t="str">
        <f ca="1">IFERROR(__xludf.DUMMYFUNCTION("if(IS$2="""","""", index(GOOGLEFINANCE($B$52,""close"",IS$2,TODAY()),2,2))"),"")</f>
        <v/>
      </c>
      <c r="IT52" s="1" t="str">
        <f ca="1">IFERROR(__xludf.DUMMYFUNCTION("if(IT$2="""","""", index(GOOGLEFINANCE($B$52,""close"",IT$2,TODAY()),2,2))"),"")</f>
        <v/>
      </c>
      <c r="IU52" s="1" t="str">
        <f ca="1">IFERROR(__xludf.DUMMYFUNCTION("if(IU$2="""","""", index(GOOGLEFINANCE($B$52,""close"",IU$2,TODAY()),2,2))"),"")</f>
        <v/>
      </c>
      <c r="IV52" s="1" t="str">
        <f ca="1">IFERROR(__xludf.DUMMYFUNCTION("if(IV$2="""","""", index(GOOGLEFINANCE($B$52,""close"",IV$2,TODAY()),2,2))"),"")</f>
        <v/>
      </c>
      <c r="IW52" s="1" t="str">
        <f ca="1">IFERROR(__xludf.DUMMYFUNCTION("if(IW$2="""","""", index(GOOGLEFINANCE($B$52,""close"",IW$2,TODAY()),2,2))"),"")</f>
        <v/>
      </c>
      <c r="IX52" s="1" t="str">
        <f ca="1">IFERROR(__xludf.DUMMYFUNCTION("if(IX$2="""","""", index(GOOGLEFINANCE($B$52,""close"",IX$2,TODAY()),2,2))"),"")</f>
        <v/>
      </c>
      <c r="IY52" s="1" t="str">
        <f ca="1">IFERROR(__xludf.DUMMYFUNCTION("if(IY$2="""","""", index(GOOGLEFINANCE($B$52,""close"",IY$2,TODAY()),2,2))"),"")</f>
        <v/>
      </c>
      <c r="IZ52" s="1" t="str">
        <f ca="1">IFERROR(__xludf.DUMMYFUNCTION("if(IZ$2="""","""", index(GOOGLEFINANCE($B$52,""close"",IZ$2,TODAY()),2,2))"),"")</f>
        <v/>
      </c>
      <c r="JA52" s="1" t="str">
        <f ca="1">IFERROR(__xludf.DUMMYFUNCTION("if(JA$2="""","""", index(GOOGLEFINANCE($B$52,""close"",JA$2,TODAY()),2,2))"),"")</f>
        <v/>
      </c>
      <c r="JB52" s="1" t="str">
        <f ca="1">IFERROR(__xludf.DUMMYFUNCTION("if(JB$2="""","""", index(GOOGLEFINANCE($B$52,""close"",JB$2,TODAY()),2,2))"),"")</f>
        <v/>
      </c>
      <c r="JC52" s="1" t="str">
        <f ca="1">IFERROR(__xludf.DUMMYFUNCTION("if(JC$2="""","""", index(GOOGLEFINANCE($B$52,""close"",JC$2,TODAY()),2,2))"),"")</f>
        <v/>
      </c>
      <c r="JD52" s="1" t="str">
        <f ca="1">IFERROR(__xludf.DUMMYFUNCTION("if(JD$2="""","""", index(GOOGLEFINANCE($B$52,""close"",JD$2,TODAY()),2,2))"),"")</f>
        <v/>
      </c>
      <c r="JE52" s="1" t="str">
        <f ca="1">IFERROR(__xludf.DUMMYFUNCTION("if(JE$2="""","""", index(GOOGLEFINANCE($B$52,""close"",JE$2,TODAY()),2,2))"),"")</f>
        <v/>
      </c>
      <c r="JF52" s="1" t="str">
        <f ca="1">IFERROR(__xludf.DUMMYFUNCTION("if(JF$2="""","""", index(GOOGLEFINANCE($B$52,""close"",JF$2,TODAY()),2,2))"),"")</f>
        <v/>
      </c>
      <c r="JG52" s="1" t="str">
        <f ca="1">IFERROR(__xludf.DUMMYFUNCTION("if(JG$2="""","""", index(GOOGLEFINANCE($B$52,""close"",JG$2,TODAY()),2,2))"),"")</f>
        <v/>
      </c>
      <c r="JH52" s="1" t="str">
        <f ca="1">IFERROR(__xludf.DUMMYFUNCTION("if(JH$2="""","""", index(GOOGLEFINANCE($B$52,""close"",JH$2,TODAY()),2,2))"),"")</f>
        <v/>
      </c>
      <c r="JI52" s="1" t="str">
        <f ca="1">IFERROR(__xludf.DUMMYFUNCTION("if(JI$2="""","""", index(GOOGLEFINANCE($B$52,""close"",JI$2,TODAY()),2,2))"),"")</f>
        <v/>
      </c>
      <c r="JJ52" s="1" t="str">
        <f ca="1">IFERROR(__xludf.DUMMYFUNCTION("if(JJ$2="""","""", index(GOOGLEFINANCE($B$52,""close"",JJ$2,TODAY()),2,2))"),"")</f>
        <v/>
      </c>
      <c r="JK52" s="1" t="str">
        <f ca="1">IFERROR(__xludf.DUMMYFUNCTION("if(JK$2="""","""", index(GOOGLEFINANCE($B$52,""close"",JK$2,TODAY()),2,2))"),"")</f>
        <v/>
      </c>
      <c r="JL52" s="1" t="str">
        <f ca="1">IFERROR(__xludf.DUMMYFUNCTION("if(JL$2="""","""", index(GOOGLEFINANCE($B$52,""close"",JL$2,TODAY()),2,2))"),"")</f>
        <v/>
      </c>
      <c r="JM52" s="1" t="str">
        <f ca="1">IFERROR(__xludf.DUMMYFUNCTION("if(JM$2="""","""", index(GOOGLEFINANCE($B$52,""close"",JM$2,TODAY()),2,2))"),"")</f>
        <v/>
      </c>
      <c r="JN52" s="1" t="str">
        <f ca="1">IFERROR(__xludf.DUMMYFUNCTION("if(JN$2="""","""", index(GOOGLEFINANCE($B$52,""close"",JN$2,TODAY()),2,2))"),"")</f>
        <v/>
      </c>
      <c r="JO52" s="1" t="str">
        <f ca="1">IFERROR(__xludf.DUMMYFUNCTION("if(JO$2="""","""", index(GOOGLEFINANCE($B$52,""close"",JO$2,TODAY()),2,2))"),"")</f>
        <v/>
      </c>
      <c r="JP52" s="1" t="str">
        <f ca="1">IFERROR(__xludf.DUMMYFUNCTION("if(JP$2="""","""", index(GOOGLEFINANCE($B$52,""close"",JP$2,TODAY()),2,2))"),"")</f>
        <v/>
      </c>
      <c r="JQ52" s="1" t="str">
        <f ca="1">IFERROR(__xludf.DUMMYFUNCTION("if(JQ$2="""","""", index(GOOGLEFINANCE($B$52,""close"",JQ$2,TODAY()),2,2))"),"")</f>
        <v/>
      </c>
      <c r="JR52" s="1" t="str">
        <f ca="1">IFERROR(__xludf.DUMMYFUNCTION("if(JR$2="""","""", index(GOOGLEFINANCE($B$52,""close"",JR$2,TODAY()),2,2))"),"")</f>
        <v/>
      </c>
      <c r="JS52" s="1" t="str">
        <f ca="1">IFERROR(__xludf.DUMMYFUNCTION("if(JS$2="""","""", index(GOOGLEFINANCE($B$52,""close"",JS$2,TODAY()),2,2))"),"")</f>
        <v/>
      </c>
      <c r="JT52" s="1" t="str">
        <f ca="1">IFERROR(__xludf.DUMMYFUNCTION("if(JT$2="""","""", index(GOOGLEFINANCE($B$52,""close"",JT$2,TODAY()),2,2))"),"")</f>
        <v/>
      </c>
      <c r="JU52" s="1" t="str">
        <f ca="1">IFERROR(__xludf.DUMMYFUNCTION("if(JU$2="""","""", index(GOOGLEFINANCE($B$52,""close"",JU$2,TODAY()),2,2))"),"")</f>
        <v/>
      </c>
      <c r="JV52" s="1" t="str">
        <f ca="1">IFERROR(__xludf.DUMMYFUNCTION("if(JV$2="""","""", index(GOOGLEFINANCE($B$52,""close"",JV$2,TODAY()),2,2))"),"")</f>
        <v/>
      </c>
      <c r="JW52" s="1" t="str">
        <f ca="1">IFERROR(__xludf.DUMMYFUNCTION("if(JW$2="""","""", index(GOOGLEFINANCE($B$52,""close"",JW$2,TODAY()),2,2))"),"")</f>
        <v/>
      </c>
      <c r="JX52" s="1" t="str">
        <f ca="1">IFERROR(__xludf.DUMMYFUNCTION("if(JX$2="""","""", index(GOOGLEFINANCE($B$52,""close"",JX$2,TODAY()),2,2))"),"")</f>
        <v/>
      </c>
      <c r="JY52" s="1" t="str">
        <f ca="1">IFERROR(__xludf.DUMMYFUNCTION("if(JY$2="""","""", index(GOOGLEFINANCE($B$52,""close"",JY$2,TODAY()),2,2))"),"")</f>
        <v/>
      </c>
      <c r="JZ52" s="1" t="str">
        <f ca="1">IFERROR(__xludf.DUMMYFUNCTION("if(JZ$2="""","""", index(GOOGLEFINANCE($B$52,""close"",JZ$2,TODAY()),2,2))"),"")</f>
        <v/>
      </c>
      <c r="KA52" s="1" t="str">
        <f ca="1">IFERROR(__xludf.DUMMYFUNCTION("if(KA$2="""","""", index(GOOGLEFINANCE($B$52,""close"",KA$2,TODAY()),2,2))"),"")</f>
        <v/>
      </c>
      <c r="KB52" s="1" t="str">
        <f ca="1">IFERROR(__xludf.DUMMYFUNCTION("if(KB$2="""","""", index(GOOGLEFINANCE($B$52,""close"",KB$2,TODAY()),2,2))"),"")</f>
        <v/>
      </c>
      <c r="KC52" s="1" t="str">
        <f ca="1">IFERROR(__xludf.DUMMYFUNCTION("if(KC$2="""","""", index(GOOGLEFINANCE($B$52,""close"",KC$2,TODAY()),2,2))"),"")</f>
        <v/>
      </c>
      <c r="KD52" s="1" t="str">
        <f ca="1">IFERROR(__xludf.DUMMYFUNCTION("if(KD$2="""","""", index(GOOGLEFINANCE($B$52,""close"",KD$2,TODAY()),2,2))"),"")</f>
        <v/>
      </c>
      <c r="KE52" s="1" t="str">
        <f ca="1">IFERROR(__xludf.DUMMYFUNCTION("if(KE$2="""","""", index(GOOGLEFINANCE($B$52,""close"",KE$2,TODAY()),2,2))"),"")</f>
        <v/>
      </c>
      <c r="KF52" s="1" t="str">
        <f ca="1">IFERROR(__xludf.DUMMYFUNCTION("if(KF$2="""","""", index(GOOGLEFINANCE($B$52,""close"",KF$2,TODAY()),2,2))"),"")</f>
        <v/>
      </c>
      <c r="KG52" s="1" t="str">
        <f ca="1">IFERROR(__xludf.DUMMYFUNCTION("if(KG$2="""","""", index(GOOGLEFINANCE($B$52,""close"",KG$2,TODAY()),2,2))"),"")</f>
        <v/>
      </c>
      <c r="KH52" s="1" t="str">
        <f ca="1">IFERROR(__xludf.DUMMYFUNCTION("if(KH$2="""","""", index(GOOGLEFINANCE($B$52,""close"",KH$2,TODAY()),2,2))"),"")</f>
        <v/>
      </c>
      <c r="KI52" s="1" t="str">
        <f ca="1">IFERROR(__xludf.DUMMYFUNCTION("if(KI$2="""","""", index(GOOGLEFINANCE($B$52,""close"",KI$2,TODAY()),2,2))"),"")</f>
        <v/>
      </c>
      <c r="KJ52" s="1" t="str">
        <f ca="1">IFERROR(__xludf.DUMMYFUNCTION("if(KJ$2="""","""", index(GOOGLEFINANCE($B$52,""close"",KJ$2,TODAY()),2,2))"),"")</f>
        <v/>
      </c>
      <c r="KK52" s="1" t="str">
        <f ca="1">IFERROR(__xludf.DUMMYFUNCTION("if(KK$2="""","""", index(GOOGLEFINANCE($B$52,""close"",KK$2,TODAY()),2,2))"),"")</f>
        <v/>
      </c>
      <c r="KL52" s="1" t="str">
        <f ca="1">IFERROR(__xludf.DUMMYFUNCTION("if(KL$2="""","""", index(GOOGLEFINANCE($B$52,""close"",KL$2,TODAY()),2,2))"),"")</f>
        <v/>
      </c>
      <c r="KM52" s="1" t="str">
        <f ca="1">IFERROR(__xludf.DUMMYFUNCTION("if(KM$2="""","""", index(GOOGLEFINANCE($B$52,""close"",KM$2,TODAY()),2,2))"),"")</f>
        <v/>
      </c>
      <c r="KN52" s="1" t="str">
        <f ca="1">IFERROR(__xludf.DUMMYFUNCTION("if(KN$2="""","""", index(GOOGLEFINANCE($B$52,""close"",KN$2,TODAY()),2,2))"),"")</f>
        <v/>
      </c>
      <c r="KO52" s="1" t="str">
        <f ca="1">IFERROR(__xludf.DUMMYFUNCTION("if(KO$2="""","""", index(GOOGLEFINANCE($B$52,""close"",KO$2,TODAY()),2,2))"),"")</f>
        <v/>
      </c>
      <c r="KP52" s="1" t="str">
        <f ca="1">IFERROR(__xludf.DUMMYFUNCTION("if(KP$2="""","""", index(GOOGLEFINANCE($B$52,""close"",KP$2,TODAY()),2,2))"),"")</f>
        <v/>
      </c>
      <c r="KQ52" s="1" t="str">
        <f ca="1">IFERROR(__xludf.DUMMYFUNCTION("if(KQ$2="""","""", index(GOOGLEFINANCE($B$52,""close"",KQ$2,TODAY()),2,2))"),"")</f>
        <v/>
      </c>
      <c r="KR52" s="1" t="str">
        <f ca="1">IFERROR(__xludf.DUMMYFUNCTION("if(KR$2="""","""", index(GOOGLEFINANCE($B$52,""close"",KR$2,TODAY()),2,2))"),"")</f>
        <v/>
      </c>
      <c r="KS52" s="1" t="str">
        <f ca="1">IFERROR(__xludf.DUMMYFUNCTION("if(KS$2="""","""", index(GOOGLEFINANCE($B$52,""close"",KS$2,TODAY()),2,2))"),"")</f>
        <v/>
      </c>
      <c r="KT52" s="1" t="str">
        <f ca="1">IFERROR(__xludf.DUMMYFUNCTION("if(KT$2="""","""", index(GOOGLEFINANCE($B$52,""close"",KT$2,TODAY()),2,2))"),"")</f>
        <v/>
      </c>
      <c r="KU52" s="1" t="str">
        <f ca="1">IFERROR(__xludf.DUMMYFUNCTION("if(KU$2="""","""", index(GOOGLEFINANCE($B$52,""close"",KU$2,TODAY()),2,2))"),"")</f>
        <v/>
      </c>
      <c r="KV52" s="1" t="str">
        <f ca="1">IFERROR(__xludf.DUMMYFUNCTION("if(KV$2="""","""", index(GOOGLEFINANCE($B$52,""close"",KV$2,TODAY()),2,2))"),"")</f>
        <v/>
      </c>
      <c r="KW52" s="1" t="str">
        <f ca="1">IFERROR(__xludf.DUMMYFUNCTION("if(KW$2="""","""", index(GOOGLEFINANCE($B$52,""close"",KW$2,TODAY()),2,2))"),"")</f>
        <v/>
      </c>
      <c r="KX52" s="1" t="str">
        <f ca="1">IFERROR(__xludf.DUMMYFUNCTION("if(KX$2="""","""", index(GOOGLEFINANCE($B$52,""close"",KX$2,TODAY()),2,2))"),"")</f>
        <v/>
      </c>
      <c r="KY52" s="1" t="str">
        <f ca="1">IFERROR(__xludf.DUMMYFUNCTION("if(KY$2="""","""", index(GOOGLEFINANCE($B$52,""close"",KY$2,TODAY()),2,2))"),"")</f>
        <v/>
      </c>
      <c r="KZ52" s="1" t="str">
        <f ca="1">IFERROR(__xludf.DUMMYFUNCTION("if(KZ$2="""","""", index(GOOGLEFINANCE($B$52,""close"",KZ$2,TODAY()),2,2))"),"")</f>
        <v/>
      </c>
      <c r="LA52" s="1" t="str">
        <f ca="1">IFERROR(__xludf.DUMMYFUNCTION("if(LA$2="""","""", index(GOOGLEFINANCE($B$52,""close"",LA$2,TODAY()),2,2))"),"")</f>
        <v/>
      </c>
      <c r="LB52" s="1" t="str">
        <f ca="1">IFERROR(__xludf.DUMMYFUNCTION("if(LB$2="""","""", index(GOOGLEFINANCE($B$52,""close"",LB$2,TODAY()),2,2))"),"")</f>
        <v/>
      </c>
      <c r="LC52" s="1" t="str">
        <f ca="1">IFERROR(__xludf.DUMMYFUNCTION("if(LC$2="""","""", index(GOOGLEFINANCE($B$52,""close"",LC$2,TODAY()),2,2))"),"")</f>
        <v/>
      </c>
      <c r="LD52" s="1" t="str">
        <f ca="1">IFERROR(__xludf.DUMMYFUNCTION("if(LD$2="""","""", index(GOOGLEFINANCE($B$52,""close"",LD$2,TODAY()),2,2))"),"")</f>
        <v/>
      </c>
      <c r="LE52" s="1" t="str">
        <f ca="1">IFERROR(__xludf.DUMMYFUNCTION("if(LE$2="""","""", index(GOOGLEFINANCE($B$52,""close"",LE$2,TODAY()),2,2))"),"")</f>
        <v/>
      </c>
      <c r="LF52" s="1" t="str">
        <f ca="1">IFERROR(__xludf.DUMMYFUNCTION("if(LF$2="""","""", index(GOOGLEFINANCE($B$52,""close"",LF$2,TODAY()),2,2))"),"")</f>
        <v/>
      </c>
      <c r="LG52" s="1" t="str">
        <f ca="1">IFERROR(__xludf.DUMMYFUNCTION("if(LG$2="""","""", index(GOOGLEFINANCE($B$52,""close"",LG$2,TODAY()),2,2))"),"")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H897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.75" customHeight="1"/>
  <cols>
    <col min="1" max="1" width="20.5" customWidth="1"/>
    <col min="5" max="5" width="9.5" customWidth="1"/>
    <col min="6" max="6" width="19" customWidth="1"/>
    <col min="8" max="8" width="14.6640625" customWidth="1"/>
  </cols>
  <sheetData>
    <row r="1" spans="1:8">
      <c r="A1" s="19" t="s">
        <v>45</v>
      </c>
      <c r="B1" s="19" t="s">
        <v>93</v>
      </c>
      <c r="C1" s="19" t="s">
        <v>94</v>
      </c>
      <c r="D1" s="19" t="s">
        <v>95</v>
      </c>
      <c r="E1" s="19" t="s">
        <v>96</v>
      </c>
      <c r="F1" s="20" t="s">
        <v>97</v>
      </c>
      <c r="G1" s="19" t="s">
        <v>98</v>
      </c>
      <c r="H1" s="21" t="s">
        <v>99</v>
      </c>
    </row>
    <row r="2" spans="1:8" ht="15.75" customHeight="1">
      <c r="A2" s="22" t="s">
        <v>30</v>
      </c>
      <c r="B2" s="6" t="s">
        <v>47</v>
      </c>
      <c r="C2" s="23" t="s">
        <v>100</v>
      </c>
      <c r="D2" s="23" t="s">
        <v>101</v>
      </c>
      <c r="E2" s="24">
        <v>44617</v>
      </c>
      <c r="F2" s="25">
        <v>0.51</v>
      </c>
      <c r="G2" s="26">
        <v>1202</v>
      </c>
      <c r="H2" s="27">
        <f>F2*G2</f>
        <v>613.02</v>
      </c>
    </row>
    <row r="3" spans="1:8" ht="15.75" customHeight="1">
      <c r="A3" s="22" t="s">
        <v>30</v>
      </c>
      <c r="B3" s="6" t="s">
        <v>48</v>
      </c>
      <c r="C3" s="26"/>
      <c r="D3" s="26"/>
      <c r="E3" s="26"/>
      <c r="F3" s="28"/>
      <c r="G3" s="26">
        <v>93</v>
      </c>
      <c r="H3" s="27"/>
    </row>
    <row r="4" spans="1:8" ht="15.75" customHeight="1">
      <c r="A4" s="22" t="s">
        <v>30</v>
      </c>
      <c r="B4" s="6" t="s">
        <v>49</v>
      </c>
      <c r="C4" s="26"/>
      <c r="D4" s="26"/>
      <c r="E4" s="26"/>
      <c r="F4" s="28"/>
      <c r="G4" s="26">
        <v>36</v>
      </c>
      <c r="H4" s="27"/>
    </row>
    <row r="5" spans="1:8" ht="15.75" customHeight="1">
      <c r="A5" s="22" t="s">
        <v>30</v>
      </c>
      <c r="B5" s="6" t="s">
        <v>50</v>
      </c>
      <c r="C5" s="26"/>
      <c r="D5" s="26"/>
      <c r="E5" s="26"/>
      <c r="F5" s="28"/>
      <c r="G5" s="26">
        <v>411</v>
      </c>
      <c r="H5" s="27"/>
    </row>
    <row r="6" spans="1:8" ht="15.75" customHeight="1">
      <c r="A6" s="22" t="s">
        <v>30</v>
      </c>
      <c r="B6" s="6" t="s">
        <v>51</v>
      </c>
      <c r="C6" s="26"/>
      <c r="D6" s="26"/>
      <c r="E6" s="26"/>
      <c r="F6" s="28"/>
      <c r="G6" s="26">
        <v>116</v>
      </c>
      <c r="H6" s="27"/>
    </row>
    <row r="7" spans="1:8" ht="15.75" customHeight="1">
      <c r="A7" s="22" t="s">
        <v>30</v>
      </c>
      <c r="B7" s="6" t="s">
        <v>52</v>
      </c>
      <c r="C7" s="26"/>
      <c r="D7" s="26"/>
      <c r="E7" s="26"/>
      <c r="F7" s="28"/>
      <c r="G7" s="26">
        <v>83</v>
      </c>
      <c r="H7" s="27"/>
    </row>
    <row r="8" spans="1:8" ht="15.75" customHeight="1">
      <c r="A8" s="22" t="s">
        <v>30</v>
      </c>
      <c r="B8" s="6" t="s">
        <v>53</v>
      </c>
      <c r="C8" s="26"/>
      <c r="D8" s="26"/>
      <c r="E8" s="26"/>
      <c r="F8" s="28"/>
      <c r="G8" s="26">
        <v>334</v>
      </c>
      <c r="H8" s="27"/>
    </row>
    <row r="9" spans="1:8" ht="15.75" customHeight="1">
      <c r="A9" s="22" t="s">
        <v>30</v>
      </c>
      <c r="B9" s="6" t="s">
        <v>54</v>
      </c>
      <c r="C9" s="26"/>
      <c r="D9" s="26"/>
      <c r="E9" s="26"/>
      <c r="F9" s="28"/>
      <c r="G9" s="26">
        <v>91</v>
      </c>
      <c r="H9" s="27"/>
    </row>
    <row r="10" spans="1:8" ht="15.75" customHeight="1">
      <c r="A10" s="22" t="s">
        <v>30</v>
      </c>
      <c r="B10" s="6" t="s">
        <v>55</v>
      </c>
      <c r="C10" s="26"/>
      <c r="D10" s="26"/>
      <c r="E10" s="26"/>
      <c r="F10" s="28"/>
      <c r="G10" s="26">
        <v>78</v>
      </c>
      <c r="H10" s="27"/>
    </row>
    <row r="11" spans="1:8" ht="15.75" customHeight="1">
      <c r="A11" s="22" t="s">
        <v>30</v>
      </c>
      <c r="B11" s="6" t="s">
        <v>56</v>
      </c>
      <c r="C11" s="26"/>
      <c r="D11" s="26"/>
      <c r="E11" s="26"/>
      <c r="F11" s="28"/>
      <c r="G11" s="26">
        <v>48</v>
      </c>
      <c r="H11" s="27"/>
    </row>
    <row r="12" spans="1:8" ht="15.75" customHeight="1">
      <c r="A12" s="22" t="s">
        <v>30</v>
      </c>
      <c r="B12" s="6" t="s">
        <v>57</v>
      </c>
      <c r="C12" s="26"/>
      <c r="D12" s="26"/>
      <c r="E12" s="26"/>
      <c r="F12" s="28"/>
      <c r="G12" s="26">
        <v>197</v>
      </c>
      <c r="H12" s="27"/>
    </row>
    <row r="13" spans="1:8" ht="15.75" customHeight="1">
      <c r="A13" s="22" t="s">
        <v>30</v>
      </c>
      <c r="B13" s="6" t="s">
        <v>58</v>
      </c>
      <c r="C13" s="26"/>
      <c r="D13" s="26"/>
      <c r="E13" s="26"/>
      <c r="F13" s="28"/>
      <c r="G13" s="26">
        <v>84</v>
      </c>
      <c r="H13" s="27"/>
    </row>
    <row r="14" spans="1:8" ht="15.75" customHeight="1">
      <c r="A14" s="22" t="s">
        <v>30</v>
      </c>
      <c r="B14" s="6" t="s">
        <v>59</v>
      </c>
      <c r="C14" s="26"/>
      <c r="D14" s="26"/>
      <c r="E14" s="26"/>
      <c r="F14" s="28"/>
      <c r="G14" s="26">
        <v>119</v>
      </c>
      <c r="H14" s="27"/>
    </row>
    <row r="15" spans="1:8" ht="15.75" customHeight="1">
      <c r="A15" s="22" t="s">
        <v>30</v>
      </c>
      <c r="B15" s="6" t="s">
        <v>60</v>
      </c>
      <c r="C15" s="26"/>
      <c r="D15" s="5" t="s">
        <v>101</v>
      </c>
      <c r="E15" s="24">
        <v>44592</v>
      </c>
      <c r="F15" s="28"/>
      <c r="G15" s="26">
        <v>262</v>
      </c>
      <c r="H15" s="29">
        <v>29.03</v>
      </c>
    </row>
    <row r="16" spans="1:8" ht="15.75" customHeight="1">
      <c r="A16" s="22" t="s">
        <v>30</v>
      </c>
      <c r="B16" s="6" t="s">
        <v>61</v>
      </c>
      <c r="C16" s="23" t="s">
        <v>100</v>
      </c>
      <c r="D16" s="23" t="s">
        <v>101</v>
      </c>
      <c r="E16" s="24">
        <v>44614</v>
      </c>
      <c r="F16" s="25">
        <v>0.4</v>
      </c>
      <c r="G16" s="26">
        <v>52</v>
      </c>
      <c r="H16" s="27">
        <f>F16*G16</f>
        <v>20.8</v>
      </c>
    </row>
    <row r="17" spans="1:8" ht="15.75" customHeight="1">
      <c r="A17" s="22" t="s">
        <v>30</v>
      </c>
      <c r="B17" s="6" t="s">
        <v>62</v>
      </c>
      <c r="C17" s="26"/>
      <c r="D17" s="26"/>
      <c r="E17" s="26"/>
      <c r="F17" s="28"/>
      <c r="G17" s="26">
        <v>39</v>
      </c>
      <c r="H17" s="27"/>
    </row>
    <row r="18" spans="1:8" ht="15.75" customHeight="1">
      <c r="A18" s="22" t="s">
        <v>30</v>
      </c>
      <c r="B18" s="6" t="s">
        <v>63</v>
      </c>
      <c r="C18" s="26"/>
      <c r="D18" s="26"/>
      <c r="E18" s="26"/>
      <c r="F18" s="28"/>
      <c r="G18" s="26">
        <v>37</v>
      </c>
      <c r="H18" s="27"/>
    </row>
    <row r="19" spans="1:8" ht="15.75" customHeight="1">
      <c r="A19" s="22" t="s">
        <v>30</v>
      </c>
      <c r="B19" s="6" t="s">
        <v>64</v>
      </c>
      <c r="C19" s="26"/>
      <c r="D19" s="26"/>
      <c r="E19" s="26"/>
      <c r="F19" s="28"/>
      <c r="G19" s="26">
        <v>30</v>
      </c>
      <c r="H19" s="27"/>
    </row>
    <row r="20" spans="1:8" ht="15.75" customHeight="1">
      <c r="A20" s="22" t="s">
        <v>30</v>
      </c>
      <c r="B20" s="6" t="s">
        <v>65</v>
      </c>
      <c r="C20" s="26"/>
      <c r="D20" s="26"/>
      <c r="E20" s="26"/>
      <c r="F20" s="28"/>
      <c r="G20" s="26">
        <v>51</v>
      </c>
      <c r="H20" s="27"/>
    </row>
    <row r="21" spans="1:8" ht="15.75" customHeight="1">
      <c r="A21" s="22" t="s">
        <v>30</v>
      </c>
      <c r="B21" s="6" t="s">
        <v>66</v>
      </c>
      <c r="C21" s="26"/>
      <c r="D21" s="26"/>
      <c r="E21" s="26"/>
      <c r="F21" s="28"/>
      <c r="G21" s="26">
        <v>74</v>
      </c>
      <c r="H21" s="27"/>
    </row>
    <row r="22" spans="1:8" ht="15.75" customHeight="1">
      <c r="A22" s="22" t="s">
        <v>30</v>
      </c>
      <c r="B22" s="6" t="s">
        <v>31</v>
      </c>
      <c r="C22" s="26"/>
      <c r="D22" s="26"/>
      <c r="E22" s="26"/>
      <c r="F22" s="28"/>
      <c r="G22" s="26">
        <v>67</v>
      </c>
      <c r="H22" s="27"/>
    </row>
    <row r="23" spans="1:8" ht="15.75" customHeight="1">
      <c r="A23" s="22" t="s">
        <v>30</v>
      </c>
      <c r="B23" s="6" t="s">
        <v>67</v>
      </c>
      <c r="C23" s="26"/>
      <c r="D23" s="26"/>
      <c r="E23" s="26"/>
      <c r="F23" s="28"/>
      <c r="G23" s="26">
        <v>7</v>
      </c>
      <c r="H23" s="27"/>
    </row>
    <row r="24" spans="1:8" ht="15.75" customHeight="1">
      <c r="A24" s="22" t="s">
        <v>30</v>
      </c>
      <c r="B24" s="6" t="s">
        <v>68</v>
      </c>
      <c r="C24" s="26"/>
      <c r="D24" s="26"/>
      <c r="E24" s="26"/>
      <c r="F24" s="28"/>
      <c r="G24" s="26">
        <v>115</v>
      </c>
      <c r="H24" s="27"/>
    </row>
    <row r="25" spans="1:8" ht="15.75" customHeight="1">
      <c r="A25" s="22" t="s">
        <v>30</v>
      </c>
      <c r="B25" s="6" t="s">
        <v>69</v>
      </c>
      <c r="C25" s="26"/>
      <c r="D25" s="26"/>
      <c r="E25" s="26"/>
      <c r="F25" s="28"/>
      <c r="G25" s="26">
        <v>23</v>
      </c>
      <c r="H25" s="27"/>
    </row>
    <row r="26" spans="1:8" ht="15.75" customHeight="1">
      <c r="A26" s="22" t="s">
        <v>30</v>
      </c>
      <c r="B26" s="6" t="s">
        <v>70</v>
      </c>
      <c r="C26" s="26"/>
      <c r="D26" s="26"/>
      <c r="E26" s="26"/>
      <c r="F26" s="28"/>
      <c r="G26" s="26">
        <v>65</v>
      </c>
      <c r="H26" s="27"/>
    </row>
    <row r="27" spans="1:8" ht="15.75" customHeight="1">
      <c r="A27" s="22" t="s">
        <v>30</v>
      </c>
      <c r="B27" s="6" t="s">
        <v>71</v>
      </c>
      <c r="C27" s="26"/>
      <c r="D27" s="26"/>
      <c r="E27" s="26"/>
      <c r="F27" s="28"/>
      <c r="G27" s="26">
        <v>129</v>
      </c>
      <c r="H27" s="27"/>
    </row>
    <row r="28" spans="1:8" ht="15.75" customHeight="1">
      <c r="A28" s="22" t="s">
        <v>30</v>
      </c>
      <c r="B28" s="6" t="s">
        <v>72</v>
      </c>
      <c r="C28" s="26"/>
      <c r="D28" s="26"/>
      <c r="E28" s="26"/>
      <c r="F28" s="28"/>
      <c r="G28" s="26">
        <v>67</v>
      </c>
      <c r="H28" s="27"/>
    </row>
    <row r="29" spans="1:8" ht="15.75" customHeight="1">
      <c r="A29" s="22" t="s">
        <v>30</v>
      </c>
      <c r="B29" s="6" t="s">
        <v>73</v>
      </c>
      <c r="C29" s="26"/>
      <c r="D29" s="26"/>
      <c r="E29" s="26"/>
      <c r="F29" s="28"/>
      <c r="G29" s="26">
        <v>52</v>
      </c>
      <c r="H29" s="27"/>
    </row>
    <row r="30" spans="1:8" ht="15.75" customHeight="1">
      <c r="A30" s="22" t="s">
        <v>30</v>
      </c>
      <c r="B30" s="6" t="s">
        <v>74</v>
      </c>
      <c r="C30" s="26"/>
      <c r="D30" s="26"/>
      <c r="E30" s="26"/>
      <c r="F30" s="28"/>
      <c r="G30" s="26">
        <v>26</v>
      </c>
      <c r="H30" s="27"/>
    </row>
    <row r="31" spans="1:8" ht="15.75" customHeight="1">
      <c r="A31" s="22" t="s">
        <v>30</v>
      </c>
      <c r="B31" s="6" t="s">
        <v>75</v>
      </c>
      <c r="C31" s="26"/>
      <c r="D31" s="26"/>
      <c r="E31" s="26"/>
      <c r="F31" s="28"/>
      <c r="G31" s="26">
        <v>88</v>
      </c>
      <c r="H31" s="27"/>
    </row>
    <row r="32" spans="1:8" ht="15.75" customHeight="1">
      <c r="A32" s="22" t="s">
        <v>30</v>
      </c>
      <c r="B32" s="6" t="s">
        <v>76</v>
      </c>
      <c r="C32" s="26"/>
      <c r="D32" s="26"/>
      <c r="E32" s="26"/>
      <c r="F32" s="28"/>
      <c r="G32" s="26">
        <v>65</v>
      </c>
      <c r="H32" s="27"/>
    </row>
    <row r="33" spans="1:8" ht="15.75" customHeight="1">
      <c r="A33" s="22" t="s">
        <v>30</v>
      </c>
      <c r="B33" s="6" t="s">
        <v>77</v>
      </c>
      <c r="C33" s="26"/>
      <c r="D33" s="26"/>
      <c r="E33" s="26"/>
      <c r="F33" s="28"/>
      <c r="G33" s="26">
        <v>24</v>
      </c>
      <c r="H33" s="27"/>
    </row>
    <row r="34" spans="1:8" ht="15.75" customHeight="1">
      <c r="A34" s="22" t="s">
        <v>30</v>
      </c>
      <c r="B34" s="6" t="s">
        <v>78</v>
      </c>
      <c r="C34" s="26"/>
      <c r="D34" s="5" t="s">
        <v>101</v>
      </c>
      <c r="E34" s="24">
        <v>44603</v>
      </c>
      <c r="F34" s="28"/>
      <c r="G34" s="26">
        <v>4</v>
      </c>
      <c r="H34" s="29">
        <v>6</v>
      </c>
    </row>
    <row r="35" spans="1:8" ht="15.75" customHeight="1">
      <c r="A35" s="22" t="s">
        <v>30</v>
      </c>
      <c r="B35" s="6" t="s">
        <v>79</v>
      </c>
      <c r="C35" s="26"/>
      <c r="D35" s="26"/>
      <c r="E35" s="26"/>
      <c r="F35" s="28"/>
      <c r="G35" s="26">
        <v>35</v>
      </c>
      <c r="H35" s="27"/>
    </row>
    <row r="36" spans="1:8" ht="15.75" customHeight="1">
      <c r="A36" s="22" t="s">
        <v>30</v>
      </c>
      <c r="B36" s="6" t="s">
        <v>80</v>
      </c>
      <c r="C36" s="26"/>
      <c r="D36" s="26"/>
      <c r="E36" s="26"/>
      <c r="F36" s="28"/>
      <c r="G36" s="26">
        <v>16</v>
      </c>
      <c r="H36" s="27"/>
    </row>
    <row r="37" spans="1:8" ht="15.75" customHeight="1">
      <c r="A37" s="22" t="s">
        <v>30</v>
      </c>
      <c r="B37" s="6" t="s">
        <v>81</v>
      </c>
      <c r="C37" s="26"/>
      <c r="D37" s="26"/>
      <c r="E37" s="26"/>
      <c r="F37" s="28"/>
      <c r="G37" s="26">
        <v>30</v>
      </c>
      <c r="H37" s="27"/>
    </row>
    <row r="38" spans="1:8" ht="15.75" customHeight="1">
      <c r="A38" s="22" t="s">
        <v>30</v>
      </c>
      <c r="B38" s="6" t="s">
        <v>82</v>
      </c>
      <c r="C38" s="26"/>
      <c r="D38" s="26"/>
      <c r="E38" s="26"/>
      <c r="F38" s="28"/>
      <c r="G38" s="26">
        <v>12</v>
      </c>
      <c r="H38" s="27"/>
    </row>
    <row r="39" spans="1:8" ht="15.75" customHeight="1">
      <c r="A39" s="22" t="s">
        <v>30</v>
      </c>
      <c r="B39" s="6" t="s">
        <v>33</v>
      </c>
      <c r="C39" s="26"/>
      <c r="D39" s="26"/>
      <c r="E39" s="26"/>
      <c r="F39" s="28"/>
      <c r="G39" s="26">
        <v>18</v>
      </c>
      <c r="H39" s="27"/>
    </row>
    <row r="40" spans="1:8" ht="15.75" customHeight="1">
      <c r="A40" s="22" t="s">
        <v>30</v>
      </c>
      <c r="B40" s="6" t="s">
        <v>83</v>
      </c>
      <c r="C40" s="26"/>
      <c r="D40" s="26"/>
      <c r="E40" s="26"/>
      <c r="F40" s="28"/>
      <c r="G40" s="26">
        <v>26</v>
      </c>
      <c r="H40" s="27"/>
    </row>
    <row r="41" spans="1:8" ht="15.75" customHeight="1">
      <c r="A41" s="22" t="s">
        <v>30</v>
      </c>
      <c r="B41" s="6" t="s">
        <v>84</v>
      </c>
      <c r="C41" s="26"/>
      <c r="D41" s="26"/>
      <c r="E41" s="26"/>
      <c r="F41" s="28"/>
      <c r="G41" s="26">
        <v>39</v>
      </c>
      <c r="H41" s="27"/>
    </row>
    <row r="42" spans="1:8" ht="15.75" customHeight="1">
      <c r="A42" s="22" t="s">
        <v>30</v>
      </c>
      <c r="B42" s="6" t="s">
        <v>85</v>
      </c>
      <c r="C42" s="26"/>
      <c r="D42" s="26"/>
      <c r="E42" s="26"/>
      <c r="F42" s="28"/>
      <c r="G42" s="26">
        <v>10</v>
      </c>
      <c r="H42" s="27"/>
    </row>
    <row r="43" spans="1:8" ht="15.75" customHeight="1">
      <c r="A43" s="22" t="s">
        <v>30</v>
      </c>
      <c r="B43" s="6" t="s">
        <v>86</v>
      </c>
      <c r="C43" s="26"/>
      <c r="D43" s="26"/>
      <c r="E43" s="26"/>
      <c r="F43" s="28"/>
      <c r="G43" s="26">
        <v>77</v>
      </c>
      <c r="H43" s="27"/>
    </row>
    <row r="44" spans="1:8" ht="15.75" customHeight="1">
      <c r="A44" s="22" t="s">
        <v>30</v>
      </c>
      <c r="B44" s="6" t="s">
        <v>87</v>
      </c>
      <c r="C44" s="26"/>
      <c r="D44" s="26"/>
      <c r="E44" s="26"/>
      <c r="F44" s="28"/>
      <c r="G44" s="26">
        <v>116</v>
      </c>
      <c r="H44" s="27"/>
    </row>
    <row r="45" spans="1:8" ht="15.75" customHeight="1">
      <c r="A45" s="22" t="s">
        <v>30</v>
      </c>
      <c r="B45" s="6" t="s">
        <v>88</v>
      </c>
      <c r="C45" s="26"/>
      <c r="D45" s="26"/>
      <c r="E45" s="26"/>
      <c r="F45" s="28"/>
      <c r="G45" s="26">
        <v>9</v>
      </c>
      <c r="H45" s="27"/>
    </row>
    <row r="46" spans="1:8" ht="15.75" customHeight="1">
      <c r="A46" s="22" t="s">
        <v>30</v>
      </c>
      <c r="B46" s="6" t="s">
        <v>89</v>
      </c>
      <c r="C46" s="26"/>
      <c r="D46" s="26"/>
      <c r="E46" s="26"/>
      <c r="F46" s="28"/>
      <c r="G46" s="26">
        <v>65</v>
      </c>
      <c r="H46" s="27"/>
    </row>
    <row r="47" spans="1:8" ht="15.75" customHeight="1">
      <c r="A47" s="22" t="s">
        <v>30</v>
      </c>
      <c r="B47" s="6" t="s">
        <v>90</v>
      </c>
      <c r="C47" s="26"/>
      <c r="D47" s="26"/>
      <c r="E47" s="26"/>
      <c r="F47" s="28"/>
      <c r="G47" s="26">
        <v>19</v>
      </c>
      <c r="H47" s="27"/>
    </row>
    <row r="48" spans="1:8" ht="15.75" customHeight="1">
      <c r="A48" s="22" t="s">
        <v>30</v>
      </c>
      <c r="B48" s="6" t="s">
        <v>91</v>
      </c>
      <c r="C48" s="26"/>
      <c r="D48" s="26"/>
      <c r="E48" s="26"/>
      <c r="F48" s="28"/>
      <c r="G48" s="26">
        <v>5</v>
      </c>
      <c r="H48" s="27"/>
    </row>
    <row r="49" spans="1:8" ht="15.75" customHeight="1">
      <c r="A49" s="22" t="s">
        <v>30</v>
      </c>
      <c r="B49" s="6" t="s">
        <v>92</v>
      </c>
      <c r="C49" s="26"/>
      <c r="D49" s="26"/>
      <c r="E49" s="26"/>
      <c r="F49" s="28"/>
      <c r="G49" s="26">
        <v>100</v>
      </c>
      <c r="H49" s="27"/>
    </row>
    <row r="50" spans="1:8" ht="15.75" customHeight="1">
      <c r="F50" s="30"/>
      <c r="H50" s="27"/>
    </row>
    <row r="51" spans="1:8" ht="15.75" customHeight="1">
      <c r="A51" s="17" t="s">
        <v>102</v>
      </c>
      <c r="F51" s="30"/>
      <c r="H51" s="27"/>
    </row>
    <row r="52" spans="1:8" ht="15.75" customHeight="1">
      <c r="A52" s="9" t="s">
        <v>30</v>
      </c>
      <c r="F52" s="30"/>
      <c r="H52" s="27">
        <f ca="1">SUMIFS($H$2:$H$49,$A$2:$A$49,A52,$E$2:$E$49,"&lt;"&amp;TODAY())</f>
        <v>668.84999999999991</v>
      </c>
    </row>
    <row r="53" spans="1:8" ht="15.75" customHeight="1">
      <c r="F53" s="30"/>
      <c r="H53" s="27"/>
    </row>
    <row r="54" spans="1:8" ht="15.75" customHeight="1">
      <c r="F54" s="30"/>
      <c r="H54" s="27"/>
    </row>
    <row r="55" spans="1:8" ht="15.75" customHeight="1">
      <c r="F55" s="30"/>
      <c r="H55" s="27"/>
    </row>
    <row r="56" spans="1:8" ht="15.75" customHeight="1">
      <c r="F56" s="30"/>
      <c r="H56" s="27"/>
    </row>
    <row r="57" spans="1:8" ht="15.75" customHeight="1">
      <c r="F57" s="30"/>
      <c r="H57" s="27"/>
    </row>
    <row r="58" spans="1:8" ht="15.75" customHeight="1">
      <c r="F58" s="30"/>
      <c r="H58" s="27"/>
    </row>
    <row r="59" spans="1:8" ht="15.75" customHeight="1">
      <c r="F59" s="30"/>
      <c r="H59" s="27"/>
    </row>
    <row r="60" spans="1:8" ht="13">
      <c r="F60" s="30"/>
      <c r="H60" s="27"/>
    </row>
    <row r="61" spans="1:8" ht="13">
      <c r="F61" s="30"/>
      <c r="H61" s="27"/>
    </row>
    <row r="62" spans="1:8" ht="13">
      <c r="F62" s="30"/>
      <c r="H62" s="27"/>
    </row>
    <row r="63" spans="1:8" ht="13">
      <c r="F63" s="30"/>
      <c r="H63" s="27"/>
    </row>
    <row r="64" spans="1:8" ht="13">
      <c r="F64" s="30"/>
      <c r="H64" s="27"/>
    </row>
    <row r="65" spans="6:8" ht="13">
      <c r="F65" s="30"/>
      <c r="H65" s="27"/>
    </row>
    <row r="66" spans="6:8" ht="13">
      <c r="F66" s="30"/>
      <c r="H66" s="27"/>
    </row>
    <row r="67" spans="6:8" ht="13">
      <c r="F67" s="30"/>
      <c r="H67" s="27"/>
    </row>
    <row r="68" spans="6:8" ht="13">
      <c r="F68" s="30"/>
      <c r="H68" s="27"/>
    </row>
    <row r="69" spans="6:8" ht="13">
      <c r="F69" s="30"/>
      <c r="H69" s="27"/>
    </row>
    <row r="70" spans="6:8" ht="13">
      <c r="F70" s="30"/>
      <c r="H70" s="27"/>
    </row>
    <row r="71" spans="6:8" ht="13">
      <c r="F71" s="30"/>
      <c r="H71" s="27"/>
    </row>
    <row r="72" spans="6:8" ht="13">
      <c r="F72" s="30"/>
      <c r="H72" s="27"/>
    </row>
    <row r="73" spans="6:8" ht="13">
      <c r="F73" s="30"/>
      <c r="H73" s="27"/>
    </row>
    <row r="74" spans="6:8" ht="13">
      <c r="F74" s="30"/>
      <c r="H74" s="27"/>
    </row>
    <row r="75" spans="6:8" ht="13">
      <c r="F75" s="30"/>
      <c r="H75" s="27"/>
    </row>
    <row r="76" spans="6:8" ht="13">
      <c r="F76" s="30"/>
      <c r="H76" s="27"/>
    </row>
    <row r="77" spans="6:8" ht="13">
      <c r="F77" s="30"/>
      <c r="H77" s="27"/>
    </row>
    <row r="78" spans="6:8" ht="13">
      <c r="F78" s="30"/>
      <c r="H78" s="27"/>
    </row>
    <row r="79" spans="6:8" ht="13">
      <c r="F79" s="30"/>
      <c r="H79" s="27"/>
    </row>
    <row r="80" spans="6:8" ht="13">
      <c r="F80" s="30"/>
      <c r="H80" s="27"/>
    </row>
    <row r="81" spans="6:8" ht="13">
      <c r="F81" s="30"/>
      <c r="H81" s="27"/>
    </row>
    <row r="82" spans="6:8" ht="13">
      <c r="F82" s="30"/>
      <c r="H82" s="27"/>
    </row>
    <row r="83" spans="6:8" ht="13">
      <c r="F83" s="30"/>
      <c r="H83" s="27"/>
    </row>
    <row r="84" spans="6:8" ht="13">
      <c r="F84" s="30"/>
      <c r="H84" s="27"/>
    </row>
    <row r="85" spans="6:8" ht="13">
      <c r="F85" s="30"/>
      <c r="H85" s="27"/>
    </row>
    <row r="86" spans="6:8" ht="13">
      <c r="F86" s="30"/>
      <c r="H86" s="27"/>
    </row>
    <row r="87" spans="6:8" ht="13">
      <c r="F87" s="30"/>
      <c r="H87" s="27"/>
    </row>
    <row r="88" spans="6:8" ht="13">
      <c r="F88" s="30"/>
      <c r="H88" s="27"/>
    </row>
    <row r="89" spans="6:8" ht="13">
      <c r="F89" s="30"/>
      <c r="H89" s="27"/>
    </row>
    <row r="90" spans="6:8" ht="13">
      <c r="F90" s="30"/>
      <c r="H90" s="27"/>
    </row>
    <row r="91" spans="6:8" ht="13">
      <c r="F91" s="30"/>
      <c r="H91" s="27"/>
    </row>
    <row r="92" spans="6:8" ht="13">
      <c r="F92" s="30"/>
      <c r="H92" s="27"/>
    </row>
    <row r="93" spans="6:8" ht="13">
      <c r="F93" s="30"/>
      <c r="H93" s="27"/>
    </row>
    <row r="94" spans="6:8" ht="13">
      <c r="F94" s="30"/>
      <c r="H94" s="27"/>
    </row>
    <row r="95" spans="6:8" ht="13">
      <c r="F95" s="30"/>
      <c r="H95" s="27"/>
    </row>
    <row r="96" spans="6:8" ht="13">
      <c r="F96" s="30"/>
      <c r="H96" s="27"/>
    </row>
    <row r="97" spans="6:8" ht="13">
      <c r="F97" s="30"/>
      <c r="H97" s="27"/>
    </row>
    <row r="98" spans="6:8" ht="13">
      <c r="F98" s="30"/>
      <c r="H98" s="27"/>
    </row>
    <row r="99" spans="6:8" ht="13">
      <c r="F99" s="30"/>
      <c r="H99" s="27"/>
    </row>
    <row r="100" spans="6:8" ht="13">
      <c r="F100" s="30"/>
      <c r="H100" s="27"/>
    </row>
    <row r="101" spans="6:8" ht="13">
      <c r="F101" s="30"/>
      <c r="H101" s="27"/>
    </row>
    <row r="102" spans="6:8" ht="13">
      <c r="F102" s="30"/>
      <c r="H102" s="27"/>
    </row>
    <row r="103" spans="6:8" ht="13">
      <c r="F103" s="30"/>
      <c r="H103" s="27"/>
    </row>
    <row r="104" spans="6:8" ht="13">
      <c r="F104" s="30"/>
      <c r="H104" s="27"/>
    </row>
    <row r="105" spans="6:8" ht="13">
      <c r="F105" s="30"/>
      <c r="H105" s="27"/>
    </row>
    <row r="106" spans="6:8" ht="13">
      <c r="F106" s="30"/>
      <c r="H106" s="27"/>
    </row>
    <row r="107" spans="6:8" ht="13">
      <c r="F107" s="30"/>
      <c r="H107" s="27"/>
    </row>
    <row r="108" spans="6:8" ht="13">
      <c r="F108" s="30"/>
      <c r="H108" s="27"/>
    </row>
    <row r="109" spans="6:8" ht="13">
      <c r="F109" s="30"/>
      <c r="H109" s="27"/>
    </row>
    <row r="110" spans="6:8" ht="13">
      <c r="F110" s="30"/>
      <c r="H110" s="27"/>
    </row>
    <row r="111" spans="6:8" ht="13">
      <c r="F111" s="30"/>
      <c r="H111" s="27"/>
    </row>
    <row r="112" spans="6:8" ht="13">
      <c r="F112" s="30"/>
      <c r="H112" s="27"/>
    </row>
    <row r="113" spans="6:8" ht="13">
      <c r="F113" s="30"/>
      <c r="H113" s="27"/>
    </row>
    <row r="114" spans="6:8" ht="13">
      <c r="F114" s="30"/>
      <c r="H114" s="27"/>
    </row>
    <row r="115" spans="6:8" ht="13">
      <c r="F115" s="30"/>
      <c r="H115" s="27"/>
    </row>
    <row r="116" spans="6:8" ht="13">
      <c r="F116" s="30"/>
      <c r="H116" s="27"/>
    </row>
    <row r="117" spans="6:8" ht="13">
      <c r="F117" s="30"/>
      <c r="H117" s="27"/>
    </row>
    <row r="118" spans="6:8" ht="13">
      <c r="F118" s="30"/>
      <c r="H118" s="27"/>
    </row>
    <row r="119" spans="6:8" ht="13">
      <c r="F119" s="30"/>
      <c r="H119" s="27"/>
    </row>
    <row r="120" spans="6:8" ht="13">
      <c r="F120" s="30"/>
      <c r="H120" s="27"/>
    </row>
    <row r="121" spans="6:8" ht="13">
      <c r="F121" s="30"/>
      <c r="H121" s="27"/>
    </row>
    <row r="122" spans="6:8" ht="13">
      <c r="F122" s="30"/>
      <c r="H122" s="27"/>
    </row>
    <row r="123" spans="6:8" ht="13">
      <c r="F123" s="30"/>
      <c r="H123" s="27"/>
    </row>
    <row r="124" spans="6:8" ht="13">
      <c r="F124" s="30"/>
      <c r="H124" s="27"/>
    </row>
    <row r="125" spans="6:8" ht="13">
      <c r="F125" s="30"/>
      <c r="H125" s="27"/>
    </row>
    <row r="126" spans="6:8" ht="13">
      <c r="F126" s="30"/>
      <c r="H126" s="27"/>
    </row>
    <row r="127" spans="6:8" ht="13">
      <c r="F127" s="30"/>
      <c r="H127" s="27"/>
    </row>
    <row r="128" spans="6:8" ht="13">
      <c r="F128" s="30"/>
      <c r="H128" s="27"/>
    </row>
    <row r="129" spans="6:8" ht="13">
      <c r="F129" s="30"/>
      <c r="H129" s="27"/>
    </row>
    <row r="130" spans="6:8" ht="13">
      <c r="F130" s="30"/>
      <c r="H130" s="27"/>
    </row>
    <row r="131" spans="6:8" ht="13">
      <c r="F131" s="30"/>
      <c r="H131" s="27"/>
    </row>
    <row r="132" spans="6:8" ht="13">
      <c r="F132" s="30"/>
      <c r="H132" s="27"/>
    </row>
    <row r="133" spans="6:8" ht="13">
      <c r="F133" s="30"/>
      <c r="H133" s="27"/>
    </row>
    <row r="134" spans="6:8" ht="13">
      <c r="F134" s="30"/>
      <c r="H134" s="27"/>
    </row>
    <row r="135" spans="6:8" ht="13">
      <c r="F135" s="30"/>
      <c r="H135" s="27"/>
    </row>
    <row r="136" spans="6:8" ht="13">
      <c r="F136" s="30"/>
      <c r="H136" s="27"/>
    </row>
    <row r="137" spans="6:8" ht="13">
      <c r="F137" s="30"/>
      <c r="H137" s="27"/>
    </row>
    <row r="138" spans="6:8" ht="13">
      <c r="F138" s="30"/>
      <c r="H138" s="27"/>
    </row>
    <row r="139" spans="6:8" ht="13">
      <c r="F139" s="30"/>
      <c r="H139" s="27"/>
    </row>
    <row r="140" spans="6:8" ht="13">
      <c r="F140" s="30"/>
      <c r="H140" s="27"/>
    </row>
    <row r="141" spans="6:8" ht="13">
      <c r="F141" s="30"/>
      <c r="H141" s="27"/>
    </row>
    <row r="142" spans="6:8" ht="13">
      <c r="F142" s="30"/>
      <c r="H142" s="27"/>
    </row>
    <row r="143" spans="6:8" ht="13">
      <c r="F143" s="30"/>
      <c r="H143" s="27"/>
    </row>
    <row r="144" spans="6:8" ht="13">
      <c r="F144" s="30"/>
      <c r="H144" s="27"/>
    </row>
    <row r="145" spans="6:8" ht="13">
      <c r="F145" s="30"/>
      <c r="H145" s="27"/>
    </row>
    <row r="146" spans="6:8" ht="13">
      <c r="F146" s="30"/>
      <c r="H146" s="27"/>
    </row>
    <row r="147" spans="6:8" ht="13">
      <c r="F147" s="30"/>
      <c r="H147" s="27"/>
    </row>
    <row r="148" spans="6:8" ht="13">
      <c r="F148" s="30"/>
      <c r="H148" s="27"/>
    </row>
    <row r="149" spans="6:8" ht="13">
      <c r="F149" s="30"/>
      <c r="H149" s="27"/>
    </row>
    <row r="150" spans="6:8" ht="13">
      <c r="F150" s="30"/>
      <c r="H150" s="27"/>
    </row>
    <row r="151" spans="6:8" ht="13">
      <c r="F151" s="30"/>
      <c r="H151" s="27"/>
    </row>
    <row r="152" spans="6:8" ht="13">
      <c r="F152" s="30"/>
      <c r="H152" s="27"/>
    </row>
    <row r="153" spans="6:8" ht="13">
      <c r="F153" s="30"/>
      <c r="H153" s="27"/>
    </row>
    <row r="154" spans="6:8" ht="13">
      <c r="F154" s="30"/>
      <c r="H154" s="27"/>
    </row>
    <row r="155" spans="6:8" ht="13">
      <c r="F155" s="30"/>
      <c r="H155" s="27"/>
    </row>
    <row r="156" spans="6:8" ht="13">
      <c r="F156" s="30"/>
      <c r="H156" s="27"/>
    </row>
    <row r="157" spans="6:8" ht="13">
      <c r="F157" s="30"/>
      <c r="H157" s="27"/>
    </row>
    <row r="158" spans="6:8" ht="13">
      <c r="F158" s="30"/>
      <c r="H158" s="27"/>
    </row>
    <row r="159" spans="6:8" ht="13">
      <c r="F159" s="30"/>
      <c r="H159" s="27"/>
    </row>
    <row r="160" spans="6:8" ht="13">
      <c r="F160" s="30"/>
      <c r="H160" s="27"/>
    </row>
    <row r="161" spans="6:8" ht="13">
      <c r="F161" s="30"/>
      <c r="H161" s="27"/>
    </row>
    <row r="162" spans="6:8" ht="13">
      <c r="F162" s="30"/>
      <c r="H162" s="27"/>
    </row>
    <row r="163" spans="6:8" ht="13">
      <c r="F163" s="30"/>
      <c r="H163" s="27"/>
    </row>
    <row r="164" spans="6:8" ht="13">
      <c r="F164" s="30"/>
      <c r="H164" s="27"/>
    </row>
    <row r="165" spans="6:8" ht="13">
      <c r="F165" s="30"/>
      <c r="H165" s="27"/>
    </row>
    <row r="166" spans="6:8" ht="13">
      <c r="F166" s="30"/>
      <c r="H166" s="27"/>
    </row>
    <row r="167" spans="6:8" ht="13">
      <c r="F167" s="30"/>
      <c r="H167" s="27"/>
    </row>
    <row r="168" spans="6:8" ht="13">
      <c r="F168" s="30"/>
      <c r="H168" s="27"/>
    </row>
    <row r="169" spans="6:8" ht="13">
      <c r="F169" s="30"/>
      <c r="H169" s="27"/>
    </row>
    <row r="170" spans="6:8" ht="13">
      <c r="F170" s="30"/>
      <c r="H170" s="27"/>
    </row>
    <row r="171" spans="6:8" ht="13">
      <c r="F171" s="30"/>
      <c r="H171" s="27"/>
    </row>
    <row r="172" spans="6:8" ht="13">
      <c r="F172" s="30"/>
      <c r="H172" s="27"/>
    </row>
    <row r="173" spans="6:8" ht="13">
      <c r="F173" s="30"/>
      <c r="H173" s="27"/>
    </row>
    <row r="174" spans="6:8" ht="13">
      <c r="F174" s="30"/>
      <c r="H174" s="27"/>
    </row>
    <row r="175" spans="6:8" ht="13">
      <c r="F175" s="30"/>
      <c r="H175" s="27"/>
    </row>
    <row r="176" spans="6:8" ht="13">
      <c r="F176" s="30"/>
      <c r="H176" s="27"/>
    </row>
    <row r="177" spans="6:8" ht="13">
      <c r="F177" s="30"/>
      <c r="H177" s="27"/>
    </row>
    <row r="178" spans="6:8" ht="13">
      <c r="F178" s="30"/>
      <c r="H178" s="27"/>
    </row>
    <row r="179" spans="6:8" ht="13">
      <c r="F179" s="30"/>
      <c r="H179" s="27"/>
    </row>
    <row r="180" spans="6:8" ht="13">
      <c r="F180" s="30"/>
      <c r="H180" s="27"/>
    </row>
    <row r="181" spans="6:8" ht="13">
      <c r="F181" s="30"/>
      <c r="H181" s="27"/>
    </row>
    <row r="182" spans="6:8" ht="13">
      <c r="F182" s="30"/>
      <c r="H182" s="27"/>
    </row>
    <row r="183" spans="6:8" ht="13">
      <c r="F183" s="30"/>
      <c r="H183" s="27"/>
    </row>
    <row r="184" spans="6:8" ht="13">
      <c r="F184" s="30"/>
      <c r="H184" s="27"/>
    </row>
    <row r="185" spans="6:8" ht="13">
      <c r="F185" s="30"/>
      <c r="H185" s="27"/>
    </row>
    <row r="186" spans="6:8" ht="13">
      <c r="F186" s="30"/>
      <c r="H186" s="27"/>
    </row>
    <row r="187" spans="6:8" ht="13">
      <c r="F187" s="30"/>
      <c r="H187" s="27"/>
    </row>
    <row r="188" spans="6:8" ht="13">
      <c r="F188" s="30"/>
      <c r="H188" s="27"/>
    </row>
    <row r="189" spans="6:8" ht="13">
      <c r="F189" s="30"/>
      <c r="H189" s="27"/>
    </row>
    <row r="190" spans="6:8" ht="13">
      <c r="F190" s="30"/>
      <c r="H190" s="27"/>
    </row>
    <row r="191" spans="6:8" ht="13">
      <c r="F191" s="30"/>
      <c r="H191" s="27"/>
    </row>
    <row r="192" spans="6:8" ht="13">
      <c r="F192" s="30"/>
      <c r="H192" s="27"/>
    </row>
    <row r="193" spans="6:8" ht="13">
      <c r="F193" s="30"/>
      <c r="H193" s="27"/>
    </row>
    <row r="194" spans="6:8" ht="13">
      <c r="F194" s="30"/>
      <c r="H194" s="27"/>
    </row>
    <row r="195" spans="6:8" ht="13">
      <c r="F195" s="30"/>
      <c r="H195" s="27"/>
    </row>
    <row r="196" spans="6:8" ht="13">
      <c r="F196" s="30"/>
      <c r="H196" s="27"/>
    </row>
    <row r="197" spans="6:8" ht="13">
      <c r="F197" s="30"/>
      <c r="H197" s="27"/>
    </row>
    <row r="198" spans="6:8" ht="13">
      <c r="F198" s="30"/>
      <c r="H198" s="27"/>
    </row>
    <row r="199" spans="6:8" ht="13">
      <c r="F199" s="30"/>
      <c r="H199" s="27"/>
    </row>
    <row r="200" spans="6:8" ht="13">
      <c r="F200" s="30"/>
      <c r="H200" s="27"/>
    </row>
    <row r="201" spans="6:8" ht="13">
      <c r="F201" s="30"/>
      <c r="H201" s="27"/>
    </row>
    <row r="202" spans="6:8" ht="13">
      <c r="F202" s="30"/>
      <c r="H202" s="27"/>
    </row>
    <row r="203" spans="6:8" ht="13">
      <c r="F203" s="30"/>
      <c r="H203" s="27"/>
    </row>
    <row r="204" spans="6:8" ht="13">
      <c r="F204" s="30"/>
      <c r="H204" s="27"/>
    </row>
    <row r="205" spans="6:8" ht="13">
      <c r="F205" s="30"/>
      <c r="H205" s="27"/>
    </row>
    <row r="206" spans="6:8" ht="13">
      <c r="F206" s="30"/>
      <c r="H206" s="27"/>
    </row>
    <row r="207" spans="6:8" ht="13">
      <c r="F207" s="30"/>
      <c r="H207" s="27"/>
    </row>
    <row r="208" spans="6:8" ht="13">
      <c r="F208" s="30"/>
      <c r="H208" s="27"/>
    </row>
    <row r="209" spans="6:8" ht="13">
      <c r="F209" s="30"/>
      <c r="H209" s="27"/>
    </row>
    <row r="210" spans="6:8" ht="13">
      <c r="F210" s="30"/>
      <c r="H210" s="27"/>
    </row>
    <row r="211" spans="6:8" ht="13">
      <c r="F211" s="30"/>
      <c r="H211" s="27"/>
    </row>
    <row r="212" spans="6:8" ht="13">
      <c r="F212" s="30"/>
      <c r="H212" s="27"/>
    </row>
    <row r="213" spans="6:8" ht="13">
      <c r="F213" s="30"/>
      <c r="H213" s="27"/>
    </row>
    <row r="214" spans="6:8" ht="13">
      <c r="F214" s="30"/>
      <c r="H214" s="27"/>
    </row>
    <row r="215" spans="6:8" ht="13">
      <c r="F215" s="30"/>
      <c r="H215" s="27"/>
    </row>
    <row r="216" spans="6:8" ht="13">
      <c r="F216" s="30"/>
      <c r="H216" s="27"/>
    </row>
    <row r="217" spans="6:8" ht="13">
      <c r="F217" s="30"/>
      <c r="H217" s="27"/>
    </row>
    <row r="218" spans="6:8" ht="13">
      <c r="F218" s="30"/>
      <c r="H218" s="27"/>
    </row>
    <row r="219" spans="6:8" ht="13">
      <c r="F219" s="30"/>
      <c r="H219" s="27"/>
    </row>
    <row r="220" spans="6:8" ht="13">
      <c r="F220" s="30"/>
      <c r="H220" s="27"/>
    </row>
    <row r="221" spans="6:8" ht="13">
      <c r="F221" s="30"/>
      <c r="H221" s="27"/>
    </row>
    <row r="222" spans="6:8" ht="13">
      <c r="F222" s="30"/>
      <c r="H222" s="27"/>
    </row>
    <row r="223" spans="6:8" ht="13">
      <c r="F223" s="30"/>
      <c r="H223" s="27"/>
    </row>
    <row r="224" spans="6:8" ht="13">
      <c r="F224" s="30"/>
      <c r="H224" s="27"/>
    </row>
    <row r="225" spans="6:8" ht="13">
      <c r="F225" s="30"/>
      <c r="H225" s="27"/>
    </row>
    <row r="226" spans="6:8" ht="13">
      <c r="F226" s="30"/>
      <c r="H226" s="27"/>
    </row>
    <row r="227" spans="6:8" ht="13">
      <c r="F227" s="30"/>
      <c r="H227" s="27"/>
    </row>
    <row r="228" spans="6:8" ht="13">
      <c r="F228" s="30"/>
      <c r="H228" s="27"/>
    </row>
    <row r="229" spans="6:8" ht="13">
      <c r="F229" s="30"/>
      <c r="H229" s="27"/>
    </row>
    <row r="230" spans="6:8" ht="13">
      <c r="F230" s="30"/>
      <c r="H230" s="27"/>
    </row>
    <row r="231" spans="6:8" ht="13">
      <c r="F231" s="30"/>
      <c r="H231" s="27"/>
    </row>
    <row r="232" spans="6:8" ht="13">
      <c r="F232" s="30"/>
      <c r="H232" s="27"/>
    </row>
    <row r="233" spans="6:8" ht="13">
      <c r="F233" s="30"/>
      <c r="H233" s="27"/>
    </row>
    <row r="234" spans="6:8" ht="13">
      <c r="F234" s="30"/>
      <c r="H234" s="27"/>
    </row>
    <row r="235" spans="6:8" ht="13">
      <c r="F235" s="30"/>
      <c r="H235" s="27"/>
    </row>
    <row r="236" spans="6:8" ht="13">
      <c r="F236" s="30"/>
      <c r="H236" s="27"/>
    </row>
    <row r="237" spans="6:8" ht="13">
      <c r="F237" s="30"/>
      <c r="H237" s="27"/>
    </row>
    <row r="238" spans="6:8" ht="13">
      <c r="F238" s="30"/>
      <c r="H238" s="27"/>
    </row>
    <row r="239" spans="6:8" ht="13">
      <c r="F239" s="30"/>
      <c r="H239" s="27"/>
    </row>
    <row r="240" spans="6:8" ht="13">
      <c r="F240" s="30"/>
      <c r="H240" s="27"/>
    </row>
    <row r="241" spans="6:8" ht="13">
      <c r="F241" s="30"/>
      <c r="H241" s="27"/>
    </row>
    <row r="242" spans="6:8" ht="13">
      <c r="F242" s="30"/>
      <c r="H242" s="27"/>
    </row>
    <row r="243" spans="6:8" ht="13">
      <c r="F243" s="30"/>
      <c r="H243" s="27"/>
    </row>
    <row r="244" spans="6:8" ht="13">
      <c r="F244" s="30"/>
      <c r="H244" s="27"/>
    </row>
    <row r="245" spans="6:8" ht="13">
      <c r="F245" s="30"/>
      <c r="H245" s="27"/>
    </row>
    <row r="246" spans="6:8" ht="13">
      <c r="F246" s="30"/>
      <c r="H246" s="27"/>
    </row>
    <row r="247" spans="6:8" ht="13">
      <c r="F247" s="30"/>
      <c r="H247" s="27"/>
    </row>
    <row r="248" spans="6:8" ht="13">
      <c r="F248" s="30"/>
      <c r="H248" s="27"/>
    </row>
    <row r="249" spans="6:8" ht="13">
      <c r="F249" s="30"/>
      <c r="H249" s="27"/>
    </row>
    <row r="250" spans="6:8" ht="13">
      <c r="F250" s="30"/>
      <c r="H250" s="27"/>
    </row>
    <row r="251" spans="6:8" ht="13">
      <c r="F251" s="30"/>
      <c r="H251" s="27"/>
    </row>
    <row r="252" spans="6:8" ht="13">
      <c r="F252" s="30"/>
      <c r="H252" s="27"/>
    </row>
    <row r="253" spans="6:8" ht="13">
      <c r="F253" s="30"/>
      <c r="H253" s="27"/>
    </row>
    <row r="254" spans="6:8" ht="13">
      <c r="F254" s="30"/>
      <c r="H254" s="27"/>
    </row>
    <row r="255" spans="6:8" ht="13">
      <c r="F255" s="30"/>
      <c r="H255" s="27"/>
    </row>
    <row r="256" spans="6:8" ht="13">
      <c r="F256" s="30"/>
      <c r="H256" s="27"/>
    </row>
    <row r="257" spans="6:8" ht="13">
      <c r="F257" s="30"/>
      <c r="H257" s="27"/>
    </row>
    <row r="258" spans="6:8" ht="13">
      <c r="F258" s="30"/>
      <c r="H258" s="27"/>
    </row>
    <row r="259" spans="6:8" ht="13">
      <c r="F259" s="30"/>
      <c r="H259" s="27"/>
    </row>
    <row r="260" spans="6:8" ht="13">
      <c r="F260" s="30"/>
      <c r="H260" s="27"/>
    </row>
    <row r="261" spans="6:8" ht="13">
      <c r="F261" s="30"/>
      <c r="H261" s="27"/>
    </row>
    <row r="262" spans="6:8" ht="13">
      <c r="F262" s="30"/>
      <c r="H262" s="27"/>
    </row>
    <row r="263" spans="6:8" ht="13">
      <c r="F263" s="30"/>
      <c r="H263" s="27"/>
    </row>
    <row r="264" spans="6:8" ht="13">
      <c r="F264" s="30"/>
      <c r="H264" s="27"/>
    </row>
    <row r="265" spans="6:8" ht="13">
      <c r="F265" s="30"/>
      <c r="H265" s="27"/>
    </row>
    <row r="266" spans="6:8" ht="13">
      <c r="F266" s="30"/>
      <c r="H266" s="27"/>
    </row>
    <row r="267" spans="6:8" ht="13">
      <c r="F267" s="30"/>
      <c r="H267" s="27"/>
    </row>
    <row r="268" spans="6:8" ht="13">
      <c r="F268" s="30"/>
      <c r="H268" s="27"/>
    </row>
    <row r="269" spans="6:8" ht="13">
      <c r="F269" s="30"/>
      <c r="H269" s="27"/>
    </row>
    <row r="270" spans="6:8" ht="13">
      <c r="F270" s="30"/>
      <c r="H270" s="27"/>
    </row>
    <row r="271" spans="6:8" ht="13">
      <c r="F271" s="30"/>
      <c r="H271" s="27"/>
    </row>
    <row r="272" spans="6:8" ht="13">
      <c r="F272" s="30"/>
      <c r="H272" s="27"/>
    </row>
    <row r="273" spans="6:8" ht="13">
      <c r="F273" s="30"/>
      <c r="H273" s="27"/>
    </row>
    <row r="274" spans="6:8" ht="13">
      <c r="F274" s="30"/>
      <c r="H274" s="27"/>
    </row>
    <row r="275" spans="6:8" ht="13">
      <c r="F275" s="30"/>
      <c r="H275" s="27"/>
    </row>
    <row r="276" spans="6:8" ht="13">
      <c r="F276" s="30"/>
      <c r="H276" s="27"/>
    </row>
    <row r="277" spans="6:8" ht="13">
      <c r="F277" s="30"/>
      <c r="H277" s="27"/>
    </row>
    <row r="278" spans="6:8" ht="13">
      <c r="F278" s="30"/>
      <c r="H278" s="27"/>
    </row>
    <row r="279" spans="6:8" ht="13">
      <c r="F279" s="30"/>
      <c r="H279" s="27"/>
    </row>
    <row r="280" spans="6:8" ht="13">
      <c r="F280" s="30"/>
      <c r="H280" s="27"/>
    </row>
    <row r="281" spans="6:8" ht="13">
      <c r="F281" s="30"/>
      <c r="H281" s="27"/>
    </row>
    <row r="282" spans="6:8" ht="13">
      <c r="F282" s="30"/>
      <c r="H282" s="27"/>
    </row>
    <row r="283" spans="6:8" ht="13">
      <c r="F283" s="30"/>
      <c r="H283" s="27"/>
    </row>
    <row r="284" spans="6:8" ht="13">
      <c r="F284" s="30"/>
      <c r="H284" s="27"/>
    </row>
    <row r="285" spans="6:8" ht="13">
      <c r="F285" s="30"/>
      <c r="H285" s="27"/>
    </row>
    <row r="286" spans="6:8" ht="13">
      <c r="F286" s="30"/>
      <c r="H286" s="27"/>
    </row>
    <row r="287" spans="6:8" ht="13">
      <c r="F287" s="30"/>
      <c r="H287" s="27"/>
    </row>
    <row r="288" spans="6:8" ht="13">
      <c r="F288" s="30"/>
      <c r="H288" s="27"/>
    </row>
    <row r="289" spans="6:8" ht="13">
      <c r="F289" s="30"/>
      <c r="H289" s="27"/>
    </row>
    <row r="290" spans="6:8" ht="13">
      <c r="F290" s="30"/>
      <c r="H290" s="27"/>
    </row>
    <row r="291" spans="6:8" ht="13">
      <c r="F291" s="30"/>
      <c r="H291" s="27"/>
    </row>
    <row r="292" spans="6:8" ht="13">
      <c r="F292" s="30"/>
      <c r="H292" s="27"/>
    </row>
    <row r="293" spans="6:8" ht="13">
      <c r="F293" s="30"/>
      <c r="H293" s="27"/>
    </row>
    <row r="294" spans="6:8" ht="13">
      <c r="F294" s="30"/>
      <c r="H294" s="27"/>
    </row>
    <row r="295" spans="6:8" ht="13">
      <c r="F295" s="30"/>
      <c r="H295" s="27"/>
    </row>
    <row r="296" spans="6:8" ht="13">
      <c r="F296" s="30"/>
      <c r="H296" s="27"/>
    </row>
    <row r="297" spans="6:8" ht="13">
      <c r="F297" s="30"/>
      <c r="H297" s="27"/>
    </row>
    <row r="298" spans="6:8" ht="13">
      <c r="F298" s="30"/>
      <c r="H298" s="27"/>
    </row>
    <row r="299" spans="6:8" ht="13">
      <c r="F299" s="30"/>
      <c r="H299" s="27"/>
    </row>
    <row r="300" spans="6:8" ht="13">
      <c r="F300" s="30"/>
      <c r="H300" s="27"/>
    </row>
    <row r="301" spans="6:8" ht="13">
      <c r="F301" s="30"/>
      <c r="H301" s="27"/>
    </row>
    <row r="302" spans="6:8" ht="13">
      <c r="F302" s="30"/>
      <c r="H302" s="27"/>
    </row>
    <row r="303" spans="6:8" ht="13">
      <c r="F303" s="30"/>
      <c r="H303" s="27"/>
    </row>
    <row r="304" spans="6:8" ht="13">
      <c r="F304" s="30"/>
      <c r="H304" s="27"/>
    </row>
    <row r="305" spans="6:8" ht="13">
      <c r="F305" s="30"/>
      <c r="H305" s="27"/>
    </row>
    <row r="306" spans="6:8" ht="13">
      <c r="F306" s="30"/>
      <c r="H306" s="27"/>
    </row>
    <row r="307" spans="6:8" ht="13">
      <c r="F307" s="30"/>
      <c r="H307" s="27"/>
    </row>
    <row r="308" spans="6:8" ht="13">
      <c r="F308" s="30"/>
      <c r="H308" s="27"/>
    </row>
    <row r="309" spans="6:8" ht="13">
      <c r="F309" s="30"/>
      <c r="H309" s="27"/>
    </row>
    <row r="310" spans="6:8" ht="13">
      <c r="F310" s="30"/>
      <c r="H310" s="27"/>
    </row>
    <row r="311" spans="6:8" ht="13">
      <c r="F311" s="30"/>
      <c r="H311" s="27"/>
    </row>
    <row r="312" spans="6:8" ht="13">
      <c r="F312" s="30"/>
      <c r="H312" s="27"/>
    </row>
    <row r="313" spans="6:8" ht="13">
      <c r="F313" s="30"/>
      <c r="H313" s="27"/>
    </row>
    <row r="314" spans="6:8" ht="13">
      <c r="F314" s="30"/>
      <c r="H314" s="27"/>
    </row>
    <row r="315" spans="6:8" ht="13">
      <c r="F315" s="30"/>
      <c r="H315" s="27"/>
    </row>
    <row r="316" spans="6:8" ht="13">
      <c r="F316" s="30"/>
      <c r="H316" s="27"/>
    </row>
    <row r="317" spans="6:8" ht="13">
      <c r="F317" s="30"/>
      <c r="H317" s="27"/>
    </row>
    <row r="318" spans="6:8" ht="13">
      <c r="F318" s="30"/>
      <c r="H318" s="27"/>
    </row>
    <row r="319" spans="6:8" ht="13">
      <c r="F319" s="30"/>
      <c r="H319" s="27"/>
    </row>
    <row r="320" spans="6:8" ht="13">
      <c r="F320" s="30"/>
      <c r="H320" s="27"/>
    </row>
    <row r="321" spans="6:8" ht="13">
      <c r="F321" s="30"/>
      <c r="H321" s="27"/>
    </row>
    <row r="322" spans="6:8" ht="13">
      <c r="F322" s="30"/>
      <c r="H322" s="27"/>
    </row>
    <row r="323" spans="6:8" ht="13">
      <c r="F323" s="30"/>
      <c r="H323" s="27"/>
    </row>
    <row r="324" spans="6:8" ht="13">
      <c r="F324" s="30"/>
      <c r="H324" s="27"/>
    </row>
    <row r="325" spans="6:8" ht="13">
      <c r="F325" s="30"/>
      <c r="H325" s="27"/>
    </row>
    <row r="326" spans="6:8" ht="13">
      <c r="F326" s="30"/>
      <c r="H326" s="27"/>
    </row>
    <row r="327" spans="6:8" ht="13">
      <c r="F327" s="30"/>
      <c r="H327" s="27"/>
    </row>
    <row r="328" spans="6:8" ht="13">
      <c r="F328" s="30"/>
      <c r="H328" s="27"/>
    </row>
    <row r="329" spans="6:8" ht="13">
      <c r="F329" s="30"/>
      <c r="H329" s="27"/>
    </row>
    <row r="330" spans="6:8" ht="13">
      <c r="F330" s="30"/>
      <c r="H330" s="27"/>
    </row>
    <row r="331" spans="6:8" ht="13">
      <c r="F331" s="30"/>
      <c r="H331" s="27"/>
    </row>
    <row r="332" spans="6:8" ht="13">
      <c r="F332" s="30"/>
      <c r="H332" s="27"/>
    </row>
    <row r="333" spans="6:8" ht="13">
      <c r="F333" s="30"/>
      <c r="H333" s="27"/>
    </row>
    <row r="334" spans="6:8" ht="13">
      <c r="F334" s="30"/>
      <c r="H334" s="27"/>
    </row>
    <row r="335" spans="6:8" ht="13">
      <c r="F335" s="30"/>
      <c r="H335" s="27"/>
    </row>
    <row r="336" spans="6:8" ht="13">
      <c r="F336" s="30"/>
      <c r="H336" s="27"/>
    </row>
    <row r="337" spans="6:8" ht="13">
      <c r="F337" s="30"/>
      <c r="H337" s="27"/>
    </row>
    <row r="338" spans="6:8" ht="13">
      <c r="F338" s="30"/>
      <c r="H338" s="27"/>
    </row>
    <row r="339" spans="6:8" ht="13">
      <c r="F339" s="30"/>
      <c r="H339" s="27"/>
    </row>
    <row r="340" spans="6:8" ht="13">
      <c r="F340" s="30"/>
      <c r="H340" s="27"/>
    </row>
    <row r="341" spans="6:8" ht="13">
      <c r="F341" s="30"/>
      <c r="H341" s="27"/>
    </row>
    <row r="342" spans="6:8" ht="13">
      <c r="F342" s="30"/>
      <c r="H342" s="27"/>
    </row>
    <row r="343" spans="6:8" ht="13">
      <c r="F343" s="30"/>
      <c r="H343" s="27"/>
    </row>
    <row r="344" spans="6:8" ht="13">
      <c r="F344" s="30"/>
      <c r="H344" s="27"/>
    </row>
    <row r="345" spans="6:8" ht="13">
      <c r="F345" s="30"/>
      <c r="H345" s="27"/>
    </row>
    <row r="346" spans="6:8" ht="13">
      <c r="F346" s="30"/>
      <c r="H346" s="27"/>
    </row>
    <row r="347" spans="6:8" ht="13">
      <c r="F347" s="30"/>
      <c r="H347" s="27"/>
    </row>
    <row r="348" spans="6:8" ht="13">
      <c r="F348" s="30"/>
      <c r="H348" s="27"/>
    </row>
    <row r="349" spans="6:8" ht="13">
      <c r="F349" s="30"/>
      <c r="H349" s="27"/>
    </row>
    <row r="350" spans="6:8" ht="13">
      <c r="F350" s="30"/>
      <c r="H350" s="27"/>
    </row>
    <row r="351" spans="6:8" ht="13">
      <c r="F351" s="30"/>
      <c r="H351" s="27"/>
    </row>
    <row r="352" spans="6:8" ht="13">
      <c r="F352" s="30"/>
      <c r="H352" s="27"/>
    </row>
    <row r="353" spans="6:8" ht="13">
      <c r="F353" s="30"/>
      <c r="H353" s="27"/>
    </row>
    <row r="354" spans="6:8" ht="13">
      <c r="F354" s="30"/>
      <c r="H354" s="27"/>
    </row>
    <row r="355" spans="6:8" ht="13">
      <c r="F355" s="30"/>
      <c r="H355" s="27"/>
    </row>
    <row r="356" spans="6:8" ht="13">
      <c r="F356" s="30"/>
      <c r="H356" s="27"/>
    </row>
    <row r="357" spans="6:8" ht="13">
      <c r="F357" s="30"/>
      <c r="H357" s="27"/>
    </row>
    <row r="358" spans="6:8" ht="13">
      <c r="F358" s="30"/>
      <c r="H358" s="27"/>
    </row>
    <row r="359" spans="6:8" ht="13">
      <c r="F359" s="30"/>
      <c r="H359" s="27"/>
    </row>
    <row r="360" spans="6:8" ht="13">
      <c r="F360" s="30"/>
      <c r="H360" s="27"/>
    </row>
    <row r="361" spans="6:8" ht="13">
      <c r="F361" s="30"/>
      <c r="H361" s="27"/>
    </row>
    <row r="362" spans="6:8" ht="13">
      <c r="F362" s="30"/>
      <c r="H362" s="27"/>
    </row>
    <row r="363" spans="6:8" ht="13">
      <c r="F363" s="30"/>
      <c r="H363" s="27"/>
    </row>
    <row r="364" spans="6:8" ht="13">
      <c r="F364" s="30"/>
      <c r="H364" s="27"/>
    </row>
    <row r="365" spans="6:8" ht="13">
      <c r="F365" s="30"/>
      <c r="H365" s="27"/>
    </row>
    <row r="366" spans="6:8" ht="13">
      <c r="F366" s="30"/>
      <c r="H366" s="27"/>
    </row>
    <row r="367" spans="6:8" ht="13">
      <c r="F367" s="30"/>
      <c r="H367" s="27"/>
    </row>
    <row r="368" spans="6:8" ht="13">
      <c r="F368" s="30"/>
      <c r="H368" s="27"/>
    </row>
    <row r="369" spans="6:8" ht="13">
      <c r="F369" s="30"/>
      <c r="H369" s="27"/>
    </row>
    <row r="370" spans="6:8" ht="13">
      <c r="F370" s="30"/>
      <c r="H370" s="27"/>
    </row>
    <row r="371" spans="6:8" ht="13">
      <c r="F371" s="30"/>
      <c r="H371" s="27"/>
    </row>
    <row r="372" spans="6:8" ht="13">
      <c r="F372" s="30"/>
      <c r="H372" s="27"/>
    </row>
    <row r="373" spans="6:8" ht="13">
      <c r="F373" s="30"/>
      <c r="H373" s="27"/>
    </row>
    <row r="374" spans="6:8" ht="13">
      <c r="F374" s="30"/>
      <c r="H374" s="27"/>
    </row>
    <row r="375" spans="6:8" ht="13">
      <c r="F375" s="30"/>
      <c r="H375" s="27"/>
    </row>
    <row r="376" spans="6:8" ht="13">
      <c r="F376" s="30"/>
      <c r="H376" s="27"/>
    </row>
    <row r="377" spans="6:8" ht="13">
      <c r="F377" s="30"/>
      <c r="H377" s="27"/>
    </row>
    <row r="378" spans="6:8" ht="13">
      <c r="F378" s="30"/>
      <c r="H378" s="27"/>
    </row>
    <row r="379" spans="6:8" ht="13">
      <c r="F379" s="30"/>
      <c r="H379" s="27"/>
    </row>
    <row r="380" spans="6:8" ht="13">
      <c r="F380" s="30"/>
      <c r="H380" s="27"/>
    </row>
    <row r="381" spans="6:8" ht="13">
      <c r="F381" s="30"/>
      <c r="H381" s="27"/>
    </row>
    <row r="382" spans="6:8" ht="13">
      <c r="F382" s="30"/>
      <c r="H382" s="27"/>
    </row>
    <row r="383" spans="6:8" ht="13">
      <c r="F383" s="30"/>
      <c r="H383" s="27"/>
    </row>
    <row r="384" spans="6:8" ht="13">
      <c r="F384" s="30"/>
      <c r="H384" s="27"/>
    </row>
    <row r="385" spans="6:8" ht="13">
      <c r="F385" s="30"/>
      <c r="H385" s="27"/>
    </row>
    <row r="386" spans="6:8" ht="13">
      <c r="F386" s="30"/>
      <c r="H386" s="27"/>
    </row>
    <row r="387" spans="6:8" ht="13">
      <c r="F387" s="30"/>
      <c r="H387" s="27"/>
    </row>
    <row r="388" spans="6:8" ht="13">
      <c r="F388" s="30"/>
      <c r="H388" s="27"/>
    </row>
    <row r="389" spans="6:8" ht="13">
      <c r="F389" s="30"/>
      <c r="H389" s="27"/>
    </row>
    <row r="390" spans="6:8" ht="13">
      <c r="F390" s="30"/>
      <c r="H390" s="27"/>
    </row>
    <row r="391" spans="6:8" ht="13">
      <c r="F391" s="30"/>
      <c r="H391" s="27"/>
    </row>
    <row r="392" spans="6:8" ht="13">
      <c r="F392" s="30"/>
      <c r="H392" s="27"/>
    </row>
    <row r="393" spans="6:8" ht="13">
      <c r="F393" s="30"/>
      <c r="H393" s="27"/>
    </row>
    <row r="394" spans="6:8" ht="13">
      <c r="F394" s="30"/>
      <c r="H394" s="27"/>
    </row>
    <row r="395" spans="6:8" ht="13">
      <c r="F395" s="30"/>
      <c r="H395" s="27"/>
    </row>
    <row r="396" spans="6:8" ht="13">
      <c r="F396" s="30"/>
      <c r="H396" s="27"/>
    </row>
    <row r="397" spans="6:8" ht="13">
      <c r="F397" s="30"/>
      <c r="H397" s="27"/>
    </row>
    <row r="398" spans="6:8" ht="13">
      <c r="F398" s="30"/>
      <c r="H398" s="27"/>
    </row>
    <row r="399" spans="6:8" ht="13">
      <c r="F399" s="30"/>
      <c r="H399" s="27"/>
    </row>
    <row r="400" spans="6:8" ht="13">
      <c r="F400" s="30"/>
      <c r="H400" s="27"/>
    </row>
    <row r="401" spans="6:8" ht="13">
      <c r="F401" s="30"/>
      <c r="H401" s="27"/>
    </row>
    <row r="402" spans="6:8" ht="13">
      <c r="F402" s="30"/>
      <c r="H402" s="27"/>
    </row>
    <row r="403" spans="6:8" ht="13">
      <c r="F403" s="30"/>
      <c r="H403" s="27"/>
    </row>
    <row r="404" spans="6:8" ht="13">
      <c r="F404" s="30"/>
      <c r="H404" s="27"/>
    </row>
    <row r="405" spans="6:8" ht="13">
      <c r="F405" s="30"/>
      <c r="H405" s="27"/>
    </row>
    <row r="406" spans="6:8" ht="13">
      <c r="F406" s="30"/>
      <c r="H406" s="27"/>
    </row>
    <row r="407" spans="6:8" ht="13">
      <c r="F407" s="30"/>
      <c r="H407" s="27"/>
    </row>
    <row r="408" spans="6:8" ht="13">
      <c r="F408" s="30"/>
      <c r="H408" s="27"/>
    </row>
    <row r="409" spans="6:8" ht="13">
      <c r="F409" s="30"/>
      <c r="H409" s="27"/>
    </row>
    <row r="410" spans="6:8" ht="13">
      <c r="F410" s="30"/>
      <c r="H410" s="27"/>
    </row>
    <row r="411" spans="6:8" ht="13">
      <c r="F411" s="30"/>
      <c r="H411" s="27"/>
    </row>
    <row r="412" spans="6:8" ht="13">
      <c r="F412" s="30"/>
      <c r="H412" s="27"/>
    </row>
    <row r="413" spans="6:8" ht="13">
      <c r="F413" s="30"/>
      <c r="H413" s="27"/>
    </row>
    <row r="414" spans="6:8" ht="13">
      <c r="F414" s="30"/>
      <c r="H414" s="27"/>
    </row>
    <row r="415" spans="6:8" ht="13">
      <c r="F415" s="30"/>
      <c r="H415" s="27"/>
    </row>
    <row r="416" spans="6:8" ht="13">
      <c r="F416" s="30"/>
      <c r="H416" s="27"/>
    </row>
    <row r="417" spans="6:8" ht="13">
      <c r="F417" s="30"/>
      <c r="H417" s="27"/>
    </row>
    <row r="418" spans="6:8" ht="13">
      <c r="F418" s="30"/>
      <c r="H418" s="27"/>
    </row>
    <row r="419" spans="6:8" ht="13">
      <c r="F419" s="30"/>
      <c r="H419" s="27"/>
    </row>
    <row r="420" spans="6:8" ht="13">
      <c r="F420" s="30"/>
      <c r="H420" s="27"/>
    </row>
    <row r="421" spans="6:8" ht="13">
      <c r="F421" s="30"/>
      <c r="H421" s="27"/>
    </row>
    <row r="422" spans="6:8" ht="13">
      <c r="F422" s="30"/>
      <c r="H422" s="27"/>
    </row>
    <row r="423" spans="6:8" ht="13">
      <c r="F423" s="30"/>
      <c r="H423" s="27"/>
    </row>
    <row r="424" spans="6:8" ht="13">
      <c r="F424" s="30"/>
      <c r="H424" s="27"/>
    </row>
    <row r="425" spans="6:8" ht="13">
      <c r="F425" s="30"/>
      <c r="H425" s="27"/>
    </row>
    <row r="426" spans="6:8" ht="13">
      <c r="F426" s="30"/>
      <c r="H426" s="27"/>
    </row>
    <row r="427" spans="6:8" ht="13">
      <c r="F427" s="30"/>
      <c r="H427" s="27"/>
    </row>
    <row r="428" spans="6:8" ht="13">
      <c r="F428" s="30"/>
      <c r="H428" s="27"/>
    </row>
    <row r="429" spans="6:8" ht="13">
      <c r="F429" s="30"/>
      <c r="H429" s="27"/>
    </row>
    <row r="430" spans="6:8" ht="13">
      <c r="F430" s="30"/>
      <c r="H430" s="27"/>
    </row>
    <row r="431" spans="6:8" ht="13">
      <c r="F431" s="30"/>
      <c r="H431" s="27"/>
    </row>
    <row r="432" spans="6:8" ht="13">
      <c r="F432" s="30"/>
      <c r="H432" s="27"/>
    </row>
    <row r="433" spans="6:8" ht="13">
      <c r="F433" s="30"/>
      <c r="H433" s="27"/>
    </row>
    <row r="434" spans="6:8" ht="13">
      <c r="F434" s="30"/>
      <c r="H434" s="27"/>
    </row>
    <row r="435" spans="6:8" ht="13">
      <c r="F435" s="30"/>
      <c r="H435" s="27"/>
    </row>
    <row r="436" spans="6:8" ht="13">
      <c r="F436" s="30"/>
      <c r="H436" s="27"/>
    </row>
    <row r="437" spans="6:8" ht="13">
      <c r="F437" s="30"/>
      <c r="H437" s="27"/>
    </row>
    <row r="438" spans="6:8" ht="13">
      <c r="F438" s="30"/>
      <c r="H438" s="27"/>
    </row>
    <row r="439" spans="6:8" ht="13">
      <c r="F439" s="30"/>
      <c r="H439" s="27"/>
    </row>
    <row r="440" spans="6:8" ht="13">
      <c r="F440" s="30"/>
      <c r="H440" s="27"/>
    </row>
    <row r="441" spans="6:8" ht="13">
      <c r="F441" s="30"/>
      <c r="H441" s="27"/>
    </row>
    <row r="442" spans="6:8" ht="13">
      <c r="F442" s="30"/>
      <c r="H442" s="27"/>
    </row>
    <row r="443" spans="6:8" ht="13">
      <c r="F443" s="30"/>
      <c r="H443" s="27"/>
    </row>
    <row r="444" spans="6:8" ht="13">
      <c r="F444" s="30"/>
      <c r="H444" s="27"/>
    </row>
    <row r="445" spans="6:8" ht="13">
      <c r="F445" s="30"/>
      <c r="H445" s="27"/>
    </row>
    <row r="446" spans="6:8" ht="13">
      <c r="F446" s="30"/>
      <c r="H446" s="27"/>
    </row>
    <row r="447" spans="6:8" ht="13">
      <c r="F447" s="30"/>
      <c r="H447" s="27"/>
    </row>
    <row r="448" spans="6:8" ht="13">
      <c r="F448" s="30"/>
      <c r="H448" s="27"/>
    </row>
    <row r="449" spans="6:8" ht="13">
      <c r="F449" s="30"/>
      <c r="H449" s="27"/>
    </row>
    <row r="450" spans="6:8" ht="13">
      <c r="F450" s="30"/>
      <c r="H450" s="27"/>
    </row>
    <row r="451" spans="6:8" ht="13">
      <c r="F451" s="30"/>
      <c r="H451" s="27"/>
    </row>
    <row r="452" spans="6:8" ht="13">
      <c r="F452" s="30"/>
      <c r="H452" s="27"/>
    </row>
    <row r="453" spans="6:8" ht="13">
      <c r="F453" s="30"/>
      <c r="H453" s="27"/>
    </row>
    <row r="454" spans="6:8" ht="13">
      <c r="F454" s="30"/>
      <c r="H454" s="27"/>
    </row>
    <row r="455" spans="6:8" ht="13">
      <c r="F455" s="30"/>
      <c r="H455" s="27"/>
    </row>
    <row r="456" spans="6:8" ht="13">
      <c r="F456" s="30"/>
      <c r="H456" s="27"/>
    </row>
    <row r="457" spans="6:8" ht="13">
      <c r="F457" s="30"/>
      <c r="H457" s="27"/>
    </row>
    <row r="458" spans="6:8" ht="13">
      <c r="F458" s="30"/>
      <c r="H458" s="27"/>
    </row>
    <row r="459" spans="6:8" ht="13">
      <c r="F459" s="30"/>
      <c r="H459" s="27"/>
    </row>
    <row r="460" spans="6:8" ht="13">
      <c r="F460" s="30"/>
      <c r="H460" s="27"/>
    </row>
    <row r="461" spans="6:8" ht="13">
      <c r="F461" s="30"/>
      <c r="H461" s="27"/>
    </row>
    <row r="462" spans="6:8" ht="13">
      <c r="F462" s="30"/>
      <c r="H462" s="27"/>
    </row>
    <row r="463" spans="6:8" ht="13">
      <c r="F463" s="30"/>
      <c r="H463" s="27"/>
    </row>
    <row r="464" spans="6:8" ht="13">
      <c r="F464" s="30"/>
      <c r="H464" s="27"/>
    </row>
    <row r="465" spans="6:8" ht="13">
      <c r="F465" s="30"/>
      <c r="H465" s="27"/>
    </row>
    <row r="466" spans="6:8" ht="13">
      <c r="F466" s="30"/>
      <c r="H466" s="27"/>
    </row>
    <row r="467" spans="6:8" ht="13">
      <c r="F467" s="30"/>
      <c r="H467" s="27"/>
    </row>
    <row r="468" spans="6:8" ht="13">
      <c r="F468" s="30"/>
      <c r="H468" s="27"/>
    </row>
    <row r="469" spans="6:8" ht="13">
      <c r="F469" s="30"/>
      <c r="H469" s="27"/>
    </row>
    <row r="470" spans="6:8" ht="13">
      <c r="F470" s="30"/>
      <c r="H470" s="27"/>
    </row>
    <row r="471" spans="6:8" ht="13">
      <c r="F471" s="30"/>
      <c r="H471" s="27"/>
    </row>
    <row r="472" spans="6:8" ht="13">
      <c r="F472" s="30"/>
      <c r="H472" s="27"/>
    </row>
    <row r="473" spans="6:8" ht="13">
      <c r="F473" s="30"/>
      <c r="H473" s="27"/>
    </row>
    <row r="474" spans="6:8" ht="13">
      <c r="F474" s="30"/>
      <c r="H474" s="27"/>
    </row>
    <row r="475" spans="6:8" ht="13">
      <c r="F475" s="30"/>
      <c r="H475" s="27"/>
    </row>
    <row r="476" spans="6:8" ht="13">
      <c r="F476" s="30"/>
      <c r="H476" s="27"/>
    </row>
    <row r="477" spans="6:8" ht="13">
      <c r="F477" s="30"/>
      <c r="H477" s="27"/>
    </row>
    <row r="478" spans="6:8" ht="13">
      <c r="F478" s="30"/>
      <c r="H478" s="27"/>
    </row>
    <row r="479" spans="6:8" ht="13">
      <c r="F479" s="30"/>
      <c r="H479" s="27"/>
    </row>
    <row r="480" spans="6:8" ht="13">
      <c r="F480" s="30"/>
      <c r="H480" s="27"/>
    </row>
    <row r="481" spans="6:8" ht="13">
      <c r="F481" s="30"/>
      <c r="H481" s="27"/>
    </row>
    <row r="482" spans="6:8" ht="13">
      <c r="F482" s="30"/>
      <c r="H482" s="27"/>
    </row>
    <row r="483" spans="6:8" ht="13">
      <c r="F483" s="30"/>
      <c r="H483" s="27"/>
    </row>
    <row r="484" spans="6:8" ht="13">
      <c r="F484" s="30"/>
      <c r="H484" s="27"/>
    </row>
    <row r="485" spans="6:8" ht="13">
      <c r="F485" s="30"/>
      <c r="H485" s="27"/>
    </row>
    <row r="486" spans="6:8" ht="13">
      <c r="F486" s="30"/>
      <c r="H486" s="27"/>
    </row>
    <row r="487" spans="6:8" ht="13">
      <c r="F487" s="30"/>
      <c r="H487" s="27"/>
    </row>
    <row r="488" spans="6:8" ht="13">
      <c r="F488" s="30"/>
      <c r="H488" s="27"/>
    </row>
    <row r="489" spans="6:8" ht="13">
      <c r="F489" s="30"/>
      <c r="H489" s="27"/>
    </row>
    <row r="490" spans="6:8" ht="13">
      <c r="F490" s="30"/>
      <c r="H490" s="27"/>
    </row>
    <row r="491" spans="6:8" ht="13">
      <c r="F491" s="30"/>
      <c r="H491" s="27"/>
    </row>
    <row r="492" spans="6:8" ht="13">
      <c r="F492" s="30"/>
      <c r="H492" s="27"/>
    </row>
    <row r="493" spans="6:8" ht="13">
      <c r="F493" s="30"/>
      <c r="H493" s="27"/>
    </row>
    <row r="494" spans="6:8" ht="13">
      <c r="F494" s="30"/>
      <c r="H494" s="27"/>
    </row>
    <row r="495" spans="6:8" ht="13">
      <c r="F495" s="30"/>
      <c r="H495" s="27"/>
    </row>
    <row r="496" spans="6:8" ht="13">
      <c r="F496" s="30"/>
      <c r="H496" s="27"/>
    </row>
    <row r="497" spans="6:8" ht="13">
      <c r="F497" s="30"/>
      <c r="H497" s="27"/>
    </row>
    <row r="498" spans="6:8" ht="13">
      <c r="F498" s="30"/>
      <c r="H498" s="27"/>
    </row>
    <row r="499" spans="6:8" ht="13">
      <c r="F499" s="30"/>
      <c r="H499" s="27"/>
    </row>
    <row r="500" spans="6:8" ht="13">
      <c r="F500" s="30"/>
      <c r="H500" s="27"/>
    </row>
    <row r="501" spans="6:8" ht="13">
      <c r="F501" s="30"/>
      <c r="H501" s="27"/>
    </row>
    <row r="502" spans="6:8" ht="13">
      <c r="F502" s="30"/>
      <c r="H502" s="27"/>
    </row>
    <row r="503" spans="6:8" ht="13">
      <c r="F503" s="30"/>
      <c r="H503" s="27"/>
    </row>
    <row r="504" spans="6:8" ht="13">
      <c r="F504" s="30"/>
      <c r="H504" s="27"/>
    </row>
    <row r="505" spans="6:8" ht="13">
      <c r="F505" s="30"/>
      <c r="H505" s="27"/>
    </row>
    <row r="506" spans="6:8" ht="13">
      <c r="F506" s="30"/>
      <c r="H506" s="27"/>
    </row>
    <row r="507" spans="6:8" ht="13">
      <c r="F507" s="30"/>
      <c r="H507" s="27"/>
    </row>
    <row r="508" spans="6:8" ht="13">
      <c r="F508" s="30"/>
      <c r="H508" s="27"/>
    </row>
    <row r="509" spans="6:8" ht="13">
      <c r="F509" s="30"/>
      <c r="H509" s="27"/>
    </row>
    <row r="510" spans="6:8" ht="13">
      <c r="F510" s="30"/>
      <c r="H510" s="27"/>
    </row>
    <row r="511" spans="6:8" ht="13">
      <c r="F511" s="30"/>
      <c r="H511" s="27"/>
    </row>
    <row r="512" spans="6:8" ht="13">
      <c r="F512" s="30"/>
      <c r="H512" s="27"/>
    </row>
    <row r="513" spans="6:8" ht="13">
      <c r="F513" s="30"/>
      <c r="H513" s="27"/>
    </row>
    <row r="514" spans="6:8" ht="13">
      <c r="F514" s="30"/>
      <c r="H514" s="27"/>
    </row>
    <row r="515" spans="6:8" ht="13">
      <c r="F515" s="30"/>
      <c r="H515" s="27"/>
    </row>
    <row r="516" spans="6:8" ht="13">
      <c r="F516" s="30"/>
      <c r="H516" s="27"/>
    </row>
    <row r="517" spans="6:8" ht="13">
      <c r="F517" s="30"/>
      <c r="H517" s="27"/>
    </row>
    <row r="518" spans="6:8" ht="13">
      <c r="F518" s="30"/>
      <c r="H518" s="27"/>
    </row>
    <row r="519" spans="6:8" ht="13">
      <c r="F519" s="30"/>
      <c r="H519" s="27"/>
    </row>
    <row r="520" spans="6:8" ht="13">
      <c r="F520" s="30"/>
      <c r="H520" s="27"/>
    </row>
    <row r="521" spans="6:8" ht="13">
      <c r="F521" s="30"/>
      <c r="H521" s="27"/>
    </row>
    <row r="522" spans="6:8" ht="13">
      <c r="F522" s="30"/>
      <c r="H522" s="27"/>
    </row>
    <row r="523" spans="6:8" ht="13">
      <c r="F523" s="30"/>
      <c r="H523" s="27"/>
    </row>
    <row r="524" spans="6:8" ht="13">
      <c r="F524" s="30"/>
      <c r="H524" s="27"/>
    </row>
    <row r="525" spans="6:8" ht="13">
      <c r="F525" s="30"/>
      <c r="H525" s="27"/>
    </row>
    <row r="526" spans="6:8" ht="13">
      <c r="F526" s="30"/>
      <c r="H526" s="27"/>
    </row>
    <row r="527" spans="6:8" ht="13">
      <c r="F527" s="30"/>
      <c r="H527" s="27"/>
    </row>
    <row r="528" spans="6:8" ht="13">
      <c r="F528" s="30"/>
      <c r="H528" s="27"/>
    </row>
    <row r="529" spans="6:8" ht="13">
      <c r="F529" s="30"/>
      <c r="H529" s="27"/>
    </row>
    <row r="530" spans="6:8" ht="13">
      <c r="F530" s="30"/>
      <c r="H530" s="27"/>
    </row>
    <row r="531" spans="6:8" ht="13">
      <c r="F531" s="30"/>
      <c r="H531" s="27"/>
    </row>
    <row r="532" spans="6:8" ht="13">
      <c r="F532" s="30"/>
      <c r="H532" s="27"/>
    </row>
    <row r="533" spans="6:8" ht="13">
      <c r="F533" s="30"/>
      <c r="H533" s="27"/>
    </row>
    <row r="534" spans="6:8" ht="13">
      <c r="F534" s="30"/>
      <c r="H534" s="27"/>
    </row>
    <row r="535" spans="6:8" ht="13">
      <c r="F535" s="30"/>
      <c r="H535" s="27"/>
    </row>
    <row r="536" spans="6:8" ht="13">
      <c r="F536" s="30"/>
      <c r="H536" s="27"/>
    </row>
    <row r="537" spans="6:8" ht="13">
      <c r="F537" s="30"/>
      <c r="H537" s="27"/>
    </row>
    <row r="538" spans="6:8" ht="13">
      <c r="F538" s="30"/>
      <c r="H538" s="27"/>
    </row>
    <row r="539" spans="6:8" ht="13">
      <c r="F539" s="30"/>
      <c r="H539" s="27"/>
    </row>
    <row r="540" spans="6:8" ht="13">
      <c r="F540" s="30"/>
      <c r="H540" s="27"/>
    </row>
    <row r="541" spans="6:8" ht="13">
      <c r="F541" s="30"/>
      <c r="H541" s="27"/>
    </row>
    <row r="542" spans="6:8" ht="13">
      <c r="F542" s="30"/>
      <c r="H542" s="27"/>
    </row>
    <row r="543" spans="6:8" ht="13">
      <c r="F543" s="30"/>
      <c r="H543" s="27"/>
    </row>
    <row r="544" spans="6:8" ht="13">
      <c r="F544" s="30"/>
      <c r="H544" s="27"/>
    </row>
    <row r="545" spans="6:8" ht="13">
      <c r="F545" s="30"/>
      <c r="H545" s="27"/>
    </row>
    <row r="546" spans="6:8" ht="13">
      <c r="F546" s="30"/>
      <c r="H546" s="27"/>
    </row>
    <row r="547" spans="6:8" ht="13">
      <c r="F547" s="30"/>
      <c r="H547" s="27"/>
    </row>
    <row r="548" spans="6:8" ht="13">
      <c r="F548" s="30"/>
      <c r="H548" s="27"/>
    </row>
    <row r="549" spans="6:8" ht="13">
      <c r="F549" s="30"/>
      <c r="H549" s="27"/>
    </row>
    <row r="550" spans="6:8" ht="13">
      <c r="F550" s="30"/>
      <c r="H550" s="27"/>
    </row>
    <row r="551" spans="6:8" ht="13">
      <c r="F551" s="30"/>
      <c r="H551" s="27"/>
    </row>
    <row r="552" spans="6:8" ht="13">
      <c r="F552" s="30"/>
      <c r="H552" s="27"/>
    </row>
    <row r="553" spans="6:8" ht="13">
      <c r="F553" s="30"/>
      <c r="H553" s="27"/>
    </row>
    <row r="554" spans="6:8" ht="13">
      <c r="F554" s="30"/>
      <c r="H554" s="27"/>
    </row>
    <row r="555" spans="6:8" ht="13">
      <c r="F555" s="30"/>
      <c r="H555" s="27"/>
    </row>
    <row r="556" spans="6:8" ht="13">
      <c r="F556" s="30"/>
      <c r="H556" s="27"/>
    </row>
    <row r="557" spans="6:8" ht="13">
      <c r="F557" s="30"/>
      <c r="H557" s="27"/>
    </row>
    <row r="558" spans="6:8" ht="13">
      <c r="F558" s="30"/>
      <c r="H558" s="27"/>
    </row>
    <row r="559" spans="6:8" ht="13">
      <c r="F559" s="30"/>
      <c r="H559" s="27"/>
    </row>
    <row r="560" spans="6:8" ht="13">
      <c r="F560" s="30"/>
      <c r="H560" s="27"/>
    </row>
    <row r="561" spans="6:8" ht="13">
      <c r="F561" s="30"/>
      <c r="H561" s="27"/>
    </row>
    <row r="562" spans="6:8" ht="13">
      <c r="F562" s="30"/>
      <c r="H562" s="27"/>
    </row>
    <row r="563" spans="6:8" ht="13">
      <c r="F563" s="30"/>
      <c r="H563" s="27"/>
    </row>
    <row r="564" spans="6:8" ht="13">
      <c r="F564" s="30"/>
      <c r="H564" s="27"/>
    </row>
    <row r="565" spans="6:8" ht="13">
      <c r="F565" s="30"/>
      <c r="H565" s="27"/>
    </row>
    <row r="566" spans="6:8" ht="13">
      <c r="F566" s="30"/>
      <c r="H566" s="27"/>
    </row>
    <row r="567" spans="6:8" ht="13">
      <c r="F567" s="30"/>
      <c r="H567" s="27"/>
    </row>
    <row r="568" spans="6:8" ht="13">
      <c r="F568" s="30"/>
      <c r="H568" s="27"/>
    </row>
    <row r="569" spans="6:8" ht="13">
      <c r="F569" s="30"/>
      <c r="H569" s="27"/>
    </row>
    <row r="570" spans="6:8" ht="13">
      <c r="F570" s="30"/>
      <c r="H570" s="27"/>
    </row>
    <row r="571" spans="6:8" ht="13">
      <c r="F571" s="30"/>
      <c r="H571" s="27"/>
    </row>
    <row r="572" spans="6:8" ht="13">
      <c r="F572" s="30"/>
      <c r="H572" s="27"/>
    </row>
    <row r="573" spans="6:8" ht="13">
      <c r="F573" s="30"/>
      <c r="H573" s="27"/>
    </row>
    <row r="574" spans="6:8" ht="13">
      <c r="F574" s="30"/>
      <c r="H574" s="27"/>
    </row>
    <row r="575" spans="6:8" ht="13">
      <c r="F575" s="30"/>
      <c r="H575" s="27"/>
    </row>
    <row r="576" spans="6:8" ht="13">
      <c r="F576" s="30"/>
      <c r="H576" s="27"/>
    </row>
    <row r="577" spans="6:8" ht="13">
      <c r="F577" s="30"/>
      <c r="H577" s="27"/>
    </row>
    <row r="578" spans="6:8" ht="13">
      <c r="F578" s="30"/>
      <c r="H578" s="27"/>
    </row>
    <row r="579" spans="6:8" ht="13">
      <c r="F579" s="30"/>
      <c r="H579" s="27"/>
    </row>
    <row r="580" spans="6:8" ht="13">
      <c r="F580" s="30"/>
      <c r="H580" s="27"/>
    </row>
    <row r="581" spans="6:8" ht="13">
      <c r="F581" s="30"/>
      <c r="H581" s="27"/>
    </row>
    <row r="582" spans="6:8" ht="13">
      <c r="F582" s="30"/>
      <c r="H582" s="27"/>
    </row>
    <row r="583" spans="6:8" ht="13">
      <c r="F583" s="30"/>
      <c r="H583" s="27"/>
    </row>
    <row r="584" spans="6:8" ht="13">
      <c r="F584" s="30"/>
      <c r="H584" s="27"/>
    </row>
    <row r="585" spans="6:8" ht="13">
      <c r="F585" s="30"/>
      <c r="H585" s="27"/>
    </row>
    <row r="586" spans="6:8" ht="13">
      <c r="F586" s="30"/>
      <c r="H586" s="27"/>
    </row>
    <row r="587" spans="6:8" ht="13">
      <c r="F587" s="30"/>
      <c r="H587" s="27"/>
    </row>
    <row r="588" spans="6:8" ht="13">
      <c r="F588" s="30"/>
      <c r="H588" s="27"/>
    </row>
    <row r="589" spans="6:8" ht="13">
      <c r="F589" s="30"/>
      <c r="H589" s="27"/>
    </row>
    <row r="590" spans="6:8" ht="13">
      <c r="F590" s="30"/>
      <c r="H590" s="27"/>
    </row>
    <row r="591" spans="6:8" ht="13">
      <c r="F591" s="30"/>
      <c r="H591" s="27"/>
    </row>
    <row r="592" spans="6:8" ht="13">
      <c r="F592" s="30"/>
      <c r="H592" s="27"/>
    </row>
    <row r="593" spans="6:8" ht="13">
      <c r="F593" s="30"/>
      <c r="H593" s="27"/>
    </row>
    <row r="594" spans="6:8" ht="13">
      <c r="F594" s="30"/>
      <c r="H594" s="27"/>
    </row>
    <row r="595" spans="6:8" ht="13">
      <c r="F595" s="30"/>
      <c r="H595" s="27"/>
    </row>
    <row r="596" spans="6:8" ht="13">
      <c r="F596" s="30"/>
      <c r="H596" s="27"/>
    </row>
    <row r="597" spans="6:8" ht="13">
      <c r="F597" s="30"/>
      <c r="H597" s="27"/>
    </row>
    <row r="598" spans="6:8" ht="13">
      <c r="F598" s="30"/>
      <c r="H598" s="27"/>
    </row>
    <row r="599" spans="6:8" ht="13">
      <c r="F599" s="30"/>
      <c r="H599" s="27"/>
    </row>
    <row r="600" spans="6:8" ht="13">
      <c r="F600" s="30"/>
      <c r="H600" s="27"/>
    </row>
    <row r="601" spans="6:8" ht="13">
      <c r="F601" s="30"/>
      <c r="H601" s="27"/>
    </row>
    <row r="602" spans="6:8" ht="13">
      <c r="F602" s="30"/>
      <c r="H602" s="27"/>
    </row>
    <row r="603" spans="6:8" ht="13">
      <c r="F603" s="30"/>
      <c r="H603" s="27"/>
    </row>
    <row r="604" spans="6:8" ht="13">
      <c r="F604" s="30"/>
      <c r="H604" s="27"/>
    </row>
    <row r="605" spans="6:8" ht="13">
      <c r="F605" s="30"/>
      <c r="H605" s="27"/>
    </row>
    <row r="606" spans="6:8" ht="13">
      <c r="F606" s="30"/>
      <c r="H606" s="27"/>
    </row>
    <row r="607" spans="6:8" ht="13">
      <c r="F607" s="30"/>
      <c r="H607" s="27"/>
    </row>
    <row r="608" spans="6:8" ht="13">
      <c r="F608" s="30"/>
      <c r="H608" s="27"/>
    </row>
    <row r="609" spans="6:8" ht="13">
      <c r="F609" s="30"/>
      <c r="H609" s="27"/>
    </row>
    <row r="610" spans="6:8" ht="13">
      <c r="F610" s="30"/>
      <c r="H610" s="27"/>
    </row>
    <row r="611" spans="6:8" ht="13">
      <c r="F611" s="30"/>
      <c r="H611" s="27"/>
    </row>
    <row r="612" spans="6:8" ht="13">
      <c r="F612" s="30"/>
      <c r="H612" s="27"/>
    </row>
    <row r="613" spans="6:8" ht="13">
      <c r="F613" s="30"/>
      <c r="H613" s="27"/>
    </row>
    <row r="614" spans="6:8" ht="13">
      <c r="F614" s="30"/>
      <c r="H614" s="27"/>
    </row>
    <row r="615" spans="6:8" ht="13">
      <c r="F615" s="30"/>
      <c r="H615" s="27"/>
    </row>
    <row r="616" spans="6:8" ht="13">
      <c r="F616" s="30"/>
      <c r="H616" s="27"/>
    </row>
    <row r="617" spans="6:8" ht="13">
      <c r="F617" s="30"/>
      <c r="H617" s="27"/>
    </row>
    <row r="618" spans="6:8" ht="13">
      <c r="F618" s="30"/>
      <c r="H618" s="27"/>
    </row>
    <row r="619" spans="6:8" ht="13">
      <c r="F619" s="30"/>
      <c r="H619" s="27"/>
    </row>
    <row r="620" spans="6:8" ht="13">
      <c r="F620" s="30"/>
      <c r="H620" s="27"/>
    </row>
    <row r="621" spans="6:8" ht="13">
      <c r="F621" s="30"/>
      <c r="H621" s="27"/>
    </row>
    <row r="622" spans="6:8" ht="13">
      <c r="F622" s="30"/>
      <c r="H622" s="27"/>
    </row>
    <row r="623" spans="6:8" ht="13">
      <c r="F623" s="30"/>
      <c r="H623" s="27"/>
    </row>
    <row r="624" spans="6:8" ht="13">
      <c r="F624" s="30"/>
      <c r="H624" s="27"/>
    </row>
    <row r="625" spans="6:8" ht="13">
      <c r="F625" s="30"/>
      <c r="H625" s="27"/>
    </row>
    <row r="626" spans="6:8" ht="13">
      <c r="F626" s="30"/>
      <c r="H626" s="27"/>
    </row>
    <row r="627" spans="6:8" ht="13">
      <c r="F627" s="30"/>
      <c r="H627" s="27"/>
    </row>
    <row r="628" spans="6:8" ht="13">
      <c r="F628" s="30"/>
      <c r="H628" s="27"/>
    </row>
    <row r="629" spans="6:8" ht="13">
      <c r="F629" s="30"/>
      <c r="H629" s="27"/>
    </row>
    <row r="630" spans="6:8" ht="13">
      <c r="F630" s="30"/>
      <c r="H630" s="27"/>
    </row>
    <row r="631" spans="6:8" ht="13">
      <c r="F631" s="30"/>
      <c r="H631" s="27"/>
    </row>
    <row r="632" spans="6:8" ht="13">
      <c r="F632" s="30"/>
      <c r="H632" s="27"/>
    </row>
    <row r="633" spans="6:8" ht="13">
      <c r="F633" s="30"/>
      <c r="H633" s="27"/>
    </row>
    <row r="634" spans="6:8" ht="13">
      <c r="F634" s="30"/>
      <c r="H634" s="27"/>
    </row>
    <row r="635" spans="6:8" ht="13">
      <c r="F635" s="30"/>
      <c r="H635" s="27"/>
    </row>
    <row r="636" spans="6:8" ht="13">
      <c r="F636" s="30"/>
      <c r="H636" s="27"/>
    </row>
    <row r="637" spans="6:8" ht="13">
      <c r="F637" s="30"/>
      <c r="H637" s="27"/>
    </row>
    <row r="638" spans="6:8" ht="13">
      <c r="F638" s="30"/>
      <c r="H638" s="27"/>
    </row>
    <row r="639" spans="6:8" ht="13">
      <c r="F639" s="30"/>
      <c r="H639" s="27"/>
    </row>
    <row r="640" spans="6:8" ht="13">
      <c r="F640" s="30"/>
      <c r="H640" s="27"/>
    </row>
    <row r="641" spans="6:8" ht="13">
      <c r="F641" s="30"/>
      <c r="H641" s="27"/>
    </row>
    <row r="642" spans="6:8" ht="13">
      <c r="F642" s="30"/>
      <c r="H642" s="27"/>
    </row>
    <row r="643" spans="6:8" ht="13">
      <c r="F643" s="30"/>
      <c r="H643" s="27"/>
    </row>
    <row r="644" spans="6:8" ht="13">
      <c r="F644" s="30"/>
      <c r="H644" s="27"/>
    </row>
    <row r="645" spans="6:8" ht="13">
      <c r="F645" s="30"/>
      <c r="H645" s="27"/>
    </row>
    <row r="646" spans="6:8" ht="13">
      <c r="F646" s="30"/>
      <c r="H646" s="27"/>
    </row>
    <row r="647" spans="6:8" ht="13">
      <c r="F647" s="30"/>
      <c r="H647" s="27"/>
    </row>
    <row r="648" spans="6:8" ht="13">
      <c r="F648" s="30"/>
      <c r="H648" s="27"/>
    </row>
    <row r="649" spans="6:8" ht="13">
      <c r="F649" s="30"/>
      <c r="H649" s="27"/>
    </row>
    <row r="650" spans="6:8" ht="13">
      <c r="F650" s="30"/>
      <c r="H650" s="27"/>
    </row>
    <row r="651" spans="6:8" ht="13">
      <c r="F651" s="30"/>
      <c r="H651" s="27"/>
    </row>
    <row r="652" spans="6:8" ht="13">
      <c r="F652" s="30"/>
      <c r="H652" s="27"/>
    </row>
    <row r="653" spans="6:8" ht="13">
      <c r="F653" s="30"/>
      <c r="H653" s="27"/>
    </row>
    <row r="654" spans="6:8" ht="13">
      <c r="F654" s="30"/>
      <c r="H654" s="27"/>
    </row>
    <row r="655" spans="6:8" ht="13">
      <c r="F655" s="30"/>
      <c r="H655" s="27"/>
    </row>
    <row r="656" spans="6:8" ht="13">
      <c r="F656" s="30"/>
      <c r="H656" s="27"/>
    </row>
    <row r="657" spans="6:8" ht="13">
      <c r="F657" s="30"/>
      <c r="H657" s="27"/>
    </row>
    <row r="658" spans="6:8" ht="13">
      <c r="F658" s="30"/>
      <c r="H658" s="27"/>
    </row>
    <row r="659" spans="6:8" ht="13">
      <c r="F659" s="30"/>
      <c r="H659" s="27"/>
    </row>
    <row r="660" spans="6:8" ht="13">
      <c r="F660" s="30"/>
      <c r="H660" s="27"/>
    </row>
    <row r="661" spans="6:8" ht="13">
      <c r="F661" s="30"/>
      <c r="H661" s="27"/>
    </row>
    <row r="662" spans="6:8" ht="13">
      <c r="F662" s="30"/>
      <c r="H662" s="27"/>
    </row>
    <row r="663" spans="6:8" ht="13">
      <c r="F663" s="30"/>
      <c r="H663" s="27"/>
    </row>
    <row r="664" spans="6:8" ht="13">
      <c r="F664" s="30"/>
      <c r="H664" s="27"/>
    </row>
    <row r="665" spans="6:8" ht="13">
      <c r="F665" s="30"/>
      <c r="H665" s="27"/>
    </row>
    <row r="666" spans="6:8" ht="13">
      <c r="F666" s="30"/>
      <c r="H666" s="27"/>
    </row>
    <row r="667" spans="6:8" ht="13">
      <c r="F667" s="30"/>
      <c r="H667" s="27"/>
    </row>
    <row r="668" spans="6:8" ht="13">
      <c r="F668" s="30"/>
      <c r="H668" s="27"/>
    </row>
    <row r="669" spans="6:8" ht="13">
      <c r="F669" s="30"/>
      <c r="H669" s="27"/>
    </row>
    <row r="670" spans="6:8" ht="13">
      <c r="F670" s="30"/>
      <c r="H670" s="27"/>
    </row>
    <row r="671" spans="6:8" ht="13">
      <c r="F671" s="30"/>
      <c r="H671" s="27"/>
    </row>
    <row r="672" spans="6:8" ht="13">
      <c r="F672" s="30"/>
      <c r="H672" s="27"/>
    </row>
    <row r="673" spans="6:8" ht="13">
      <c r="F673" s="30"/>
      <c r="H673" s="27"/>
    </row>
    <row r="674" spans="6:8" ht="13">
      <c r="F674" s="30"/>
      <c r="H674" s="27"/>
    </row>
    <row r="675" spans="6:8" ht="13">
      <c r="F675" s="30"/>
      <c r="H675" s="27"/>
    </row>
    <row r="676" spans="6:8" ht="13">
      <c r="F676" s="30"/>
      <c r="H676" s="27"/>
    </row>
    <row r="677" spans="6:8" ht="13">
      <c r="F677" s="30"/>
      <c r="H677" s="27"/>
    </row>
    <row r="678" spans="6:8" ht="13">
      <c r="F678" s="30"/>
      <c r="H678" s="27"/>
    </row>
    <row r="679" spans="6:8" ht="13">
      <c r="F679" s="30"/>
      <c r="H679" s="27"/>
    </row>
    <row r="680" spans="6:8" ht="13">
      <c r="F680" s="30"/>
      <c r="H680" s="27"/>
    </row>
    <row r="681" spans="6:8" ht="13">
      <c r="F681" s="30"/>
      <c r="H681" s="27"/>
    </row>
    <row r="682" spans="6:8" ht="13">
      <c r="F682" s="30"/>
      <c r="H682" s="27"/>
    </row>
    <row r="683" spans="6:8" ht="13">
      <c r="F683" s="30"/>
      <c r="H683" s="27"/>
    </row>
    <row r="684" spans="6:8" ht="13">
      <c r="F684" s="30"/>
      <c r="H684" s="27"/>
    </row>
    <row r="685" spans="6:8" ht="13">
      <c r="F685" s="30"/>
      <c r="H685" s="27"/>
    </row>
    <row r="686" spans="6:8" ht="13">
      <c r="F686" s="30"/>
      <c r="H686" s="27"/>
    </row>
    <row r="687" spans="6:8" ht="13">
      <c r="F687" s="30"/>
      <c r="H687" s="27"/>
    </row>
    <row r="688" spans="6:8" ht="13">
      <c r="F688" s="30"/>
      <c r="H688" s="27"/>
    </row>
    <row r="689" spans="6:8" ht="13">
      <c r="F689" s="30"/>
      <c r="H689" s="27"/>
    </row>
    <row r="690" spans="6:8" ht="13">
      <c r="F690" s="30"/>
      <c r="H690" s="27"/>
    </row>
    <row r="691" spans="6:8" ht="13">
      <c r="F691" s="30"/>
      <c r="H691" s="27"/>
    </row>
    <row r="692" spans="6:8" ht="13">
      <c r="F692" s="30"/>
      <c r="H692" s="27"/>
    </row>
    <row r="693" spans="6:8" ht="13">
      <c r="F693" s="30"/>
      <c r="H693" s="27"/>
    </row>
    <row r="694" spans="6:8" ht="13">
      <c r="F694" s="30"/>
      <c r="H694" s="27"/>
    </row>
    <row r="695" spans="6:8" ht="13">
      <c r="F695" s="30"/>
      <c r="H695" s="27"/>
    </row>
    <row r="696" spans="6:8" ht="13">
      <c r="F696" s="30"/>
      <c r="H696" s="27"/>
    </row>
    <row r="697" spans="6:8" ht="13">
      <c r="F697" s="30"/>
      <c r="H697" s="27"/>
    </row>
    <row r="698" spans="6:8" ht="13">
      <c r="F698" s="30"/>
      <c r="H698" s="27"/>
    </row>
    <row r="699" spans="6:8" ht="13">
      <c r="F699" s="30"/>
      <c r="H699" s="27"/>
    </row>
    <row r="700" spans="6:8" ht="13">
      <c r="F700" s="30"/>
      <c r="H700" s="27"/>
    </row>
    <row r="701" spans="6:8" ht="13">
      <c r="F701" s="30"/>
      <c r="H701" s="27"/>
    </row>
    <row r="702" spans="6:8" ht="13">
      <c r="F702" s="30"/>
      <c r="H702" s="27"/>
    </row>
    <row r="703" spans="6:8" ht="13">
      <c r="F703" s="30"/>
      <c r="H703" s="27"/>
    </row>
    <row r="704" spans="6:8" ht="13">
      <c r="F704" s="30"/>
      <c r="H704" s="27"/>
    </row>
    <row r="705" spans="6:8" ht="13">
      <c r="F705" s="30"/>
      <c r="H705" s="27"/>
    </row>
    <row r="706" spans="6:8" ht="13">
      <c r="F706" s="30"/>
      <c r="H706" s="27"/>
    </row>
    <row r="707" spans="6:8" ht="13">
      <c r="F707" s="30"/>
      <c r="H707" s="27"/>
    </row>
    <row r="708" spans="6:8" ht="13">
      <c r="F708" s="30"/>
      <c r="H708" s="27"/>
    </row>
    <row r="709" spans="6:8" ht="13">
      <c r="F709" s="30"/>
      <c r="H709" s="27"/>
    </row>
    <row r="710" spans="6:8" ht="13">
      <c r="F710" s="30"/>
      <c r="H710" s="27"/>
    </row>
    <row r="711" spans="6:8" ht="13">
      <c r="F711" s="30"/>
      <c r="H711" s="27"/>
    </row>
    <row r="712" spans="6:8" ht="13">
      <c r="F712" s="30"/>
      <c r="H712" s="27"/>
    </row>
    <row r="713" spans="6:8" ht="13">
      <c r="F713" s="30"/>
      <c r="H713" s="27"/>
    </row>
    <row r="714" spans="6:8" ht="13">
      <c r="F714" s="30"/>
      <c r="H714" s="27"/>
    </row>
    <row r="715" spans="6:8" ht="13">
      <c r="F715" s="30"/>
      <c r="H715" s="27"/>
    </row>
    <row r="716" spans="6:8" ht="13">
      <c r="F716" s="30"/>
      <c r="H716" s="27"/>
    </row>
    <row r="717" spans="6:8" ht="13">
      <c r="F717" s="30"/>
      <c r="H717" s="27"/>
    </row>
    <row r="718" spans="6:8" ht="13">
      <c r="F718" s="30"/>
      <c r="H718" s="27"/>
    </row>
    <row r="719" spans="6:8" ht="13">
      <c r="F719" s="30"/>
      <c r="H719" s="27"/>
    </row>
    <row r="720" spans="6:8" ht="13">
      <c r="F720" s="30"/>
      <c r="H720" s="27"/>
    </row>
    <row r="721" spans="6:8" ht="13">
      <c r="F721" s="30"/>
      <c r="H721" s="27"/>
    </row>
    <row r="722" spans="6:8" ht="13">
      <c r="F722" s="30"/>
      <c r="H722" s="27"/>
    </row>
    <row r="723" spans="6:8" ht="13">
      <c r="F723" s="30"/>
      <c r="H723" s="27"/>
    </row>
    <row r="724" spans="6:8" ht="13">
      <c r="F724" s="30"/>
      <c r="H724" s="27"/>
    </row>
    <row r="725" spans="6:8" ht="13">
      <c r="F725" s="30"/>
      <c r="H725" s="27"/>
    </row>
    <row r="726" spans="6:8" ht="13">
      <c r="F726" s="30"/>
      <c r="H726" s="27"/>
    </row>
    <row r="727" spans="6:8" ht="13">
      <c r="F727" s="30"/>
      <c r="H727" s="27"/>
    </row>
    <row r="728" spans="6:8" ht="13">
      <c r="F728" s="30"/>
      <c r="H728" s="27"/>
    </row>
    <row r="729" spans="6:8" ht="13">
      <c r="F729" s="30"/>
      <c r="H729" s="27"/>
    </row>
    <row r="730" spans="6:8" ht="13">
      <c r="F730" s="30"/>
      <c r="H730" s="27"/>
    </row>
    <row r="731" spans="6:8" ht="13">
      <c r="F731" s="30"/>
      <c r="H731" s="27"/>
    </row>
    <row r="732" spans="6:8" ht="13">
      <c r="F732" s="30"/>
      <c r="H732" s="27"/>
    </row>
    <row r="733" spans="6:8" ht="13">
      <c r="F733" s="30"/>
      <c r="H733" s="27"/>
    </row>
    <row r="734" spans="6:8" ht="13">
      <c r="F734" s="30"/>
      <c r="H734" s="27"/>
    </row>
    <row r="735" spans="6:8" ht="13">
      <c r="F735" s="30"/>
      <c r="H735" s="27"/>
    </row>
    <row r="736" spans="6:8" ht="13">
      <c r="F736" s="30"/>
      <c r="H736" s="27"/>
    </row>
    <row r="737" spans="6:8" ht="13">
      <c r="F737" s="30"/>
      <c r="H737" s="27"/>
    </row>
    <row r="738" spans="6:8" ht="13">
      <c r="F738" s="30"/>
      <c r="H738" s="27"/>
    </row>
    <row r="739" spans="6:8" ht="13">
      <c r="F739" s="30"/>
      <c r="H739" s="27"/>
    </row>
    <row r="740" spans="6:8" ht="13">
      <c r="F740" s="30"/>
      <c r="H740" s="27"/>
    </row>
    <row r="741" spans="6:8" ht="13">
      <c r="F741" s="30"/>
      <c r="H741" s="27"/>
    </row>
    <row r="742" spans="6:8" ht="13">
      <c r="F742" s="30"/>
      <c r="H742" s="27"/>
    </row>
    <row r="743" spans="6:8" ht="13">
      <c r="F743" s="30"/>
      <c r="H743" s="27"/>
    </row>
    <row r="744" spans="6:8" ht="13">
      <c r="F744" s="30"/>
      <c r="H744" s="27"/>
    </row>
    <row r="745" spans="6:8" ht="13">
      <c r="F745" s="30"/>
      <c r="H745" s="27"/>
    </row>
    <row r="746" spans="6:8" ht="13">
      <c r="F746" s="30"/>
      <c r="H746" s="27"/>
    </row>
    <row r="747" spans="6:8" ht="13">
      <c r="F747" s="30"/>
      <c r="H747" s="27"/>
    </row>
    <row r="748" spans="6:8" ht="13">
      <c r="F748" s="30"/>
      <c r="H748" s="27"/>
    </row>
    <row r="749" spans="6:8" ht="13">
      <c r="F749" s="30"/>
      <c r="H749" s="27"/>
    </row>
    <row r="750" spans="6:8" ht="13">
      <c r="F750" s="30"/>
      <c r="H750" s="27"/>
    </row>
    <row r="751" spans="6:8" ht="13">
      <c r="F751" s="30"/>
      <c r="H751" s="27"/>
    </row>
    <row r="752" spans="6:8" ht="13">
      <c r="F752" s="30"/>
      <c r="H752" s="27"/>
    </row>
    <row r="753" spans="6:8" ht="13">
      <c r="F753" s="30"/>
      <c r="H753" s="27"/>
    </row>
    <row r="754" spans="6:8" ht="13">
      <c r="F754" s="30"/>
      <c r="H754" s="27"/>
    </row>
    <row r="755" spans="6:8" ht="13">
      <c r="F755" s="30"/>
      <c r="H755" s="27"/>
    </row>
    <row r="756" spans="6:8" ht="13">
      <c r="F756" s="30"/>
      <c r="H756" s="27"/>
    </row>
    <row r="757" spans="6:8" ht="13">
      <c r="F757" s="30"/>
      <c r="H757" s="27"/>
    </row>
    <row r="758" spans="6:8" ht="13">
      <c r="F758" s="30"/>
      <c r="H758" s="27"/>
    </row>
    <row r="759" spans="6:8" ht="13">
      <c r="F759" s="30"/>
      <c r="H759" s="27"/>
    </row>
    <row r="760" spans="6:8" ht="13">
      <c r="F760" s="30"/>
      <c r="H760" s="27"/>
    </row>
    <row r="761" spans="6:8" ht="13">
      <c r="F761" s="30"/>
      <c r="H761" s="27"/>
    </row>
    <row r="762" spans="6:8" ht="13">
      <c r="F762" s="30"/>
      <c r="H762" s="27"/>
    </row>
    <row r="763" spans="6:8" ht="13">
      <c r="F763" s="30"/>
      <c r="H763" s="27"/>
    </row>
    <row r="764" spans="6:8" ht="13">
      <c r="F764" s="30"/>
      <c r="H764" s="27"/>
    </row>
    <row r="765" spans="6:8" ht="13">
      <c r="F765" s="30"/>
      <c r="H765" s="27"/>
    </row>
    <row r="766" spans="6:8" ht="13">
      <c r="F766" s="30"/>
      <c r="H766" s="27"/>
    </row>
    <row r="767" spans="6:8" ht="13">
      <c r="F767" s="30"/>
      <c r="H767" s="27"/>
    </row>
    <row r="768" spans="6:8" ht="13">
      <c r="F768" s="30"/>
      <c r="H768" s="27"/>
    </row>
    <row r="769" spans="6:8" ht="13">
      <c r="F769" s="30"/>
      <c r="H769" s="27"/>
    </row>
    <row r="770" spans="6:8" ht="13">
      <c r="F770" s="30"/>
      <c r="H770" s="27"/>
    </row>
    <row r="771" spans="6:8" ht="13">
      <c r="F771" s="30"/>
      <c r="H771" s="27"/>
    </row>
    <row r="772" spans="6:8" ht="13">
      <c r="F772" s="30"/>
      <c r="H772" s="27"/>
    </row>
    <row r="773" spans="6:8" ht="13">
      <c r="F773" s="30"/>
      <c r="H773" s="27"/>
    </row>
    <row r="774" spans="6:8" ht="13">
      <c r="F774" s="30"/>
      <c r="H774" s="27"/>
    </row>
    <row r="775" spans="6:8" ht="13">
      <c r="F775" s="30"/>
      <c r="H775" s="27"/>
    </row>
    <row r="776" spans="6:8" ht="13">
      <c r="F776" s="30"/>
      <c r="H776" s="27"/>
    </row>
    <row r="777" spans="6:8" ht="13">
      <c r="F777" s="30"/>
      <c r="H777" s="27"/>
    </row>
    <row r="778" spans="6:8" ht="13">
      <c r="F778" s="30"/>
      <c r="H778" s="27"/>
    </row>
    <row r="779" spans="6:8" ht="13">
      <c r="F779" s="30"/>
      <c r="H779" s="27"/>
    </row>
    <row r="780" spans="6:8" ht="13">
      <c r="F780" s="30"/>
      <c r="H780" s="27"/>
    </row>
    <row r="781" spans="6:8" ht="13">
      <c r="F781" s="30"/>
      <c r="H781" s="27"/>
    </row>
    <row r="782" spans="6:8" ht="13">
      <c r="F782" s="30"/>
      <c r="H782" s="27"/>
    </row>
    <row r="783" spans="6:8" ht="13">
      <c r="F783" s="30"/>
      <c r="H783" s="27"/>
    </row>
    <row r="784" spans="6:8" ht="13">
      <c r="F784" s="30"/>
      <c r="H784" s="27"/>
    </row>
    <row r="785" spans="6:8" ht="13">
      <c r="F785" s="30"/>
      <c r="H785" s="27"/>
    </row>
    <row r="786" spans="6:8" ht="13">
      <c r="F786" s="30"/>
      <c r="H786" s="27"/>
    </row>
    <row r="787" spans="6:8" ht="13">
      <c r="F787" s="30"/>
      <c r="H787" s="27"/>
    </row>
    <row r="788" spans="6:8" ht="13">
      <c r="F788" s="30"/>
      <c r="H788" s="27"/>
    </row>
    <row r="789" spans="6:8" ht="13">
      <c r="F789" s="30"/>
      <c r="H789" s="27"/>
    </row>
    <row r="790" spans="6:8" ht="13">
      <c r="F790" s="30"/>
      <c r="H790" s="27"/>
    </row>
    <row r="791" spans="6:8" ht="13">
      <c r="F791" s="30"/>
      <c r="H791" s="27"/>
    </row>
    <row r="792" spans="6:8" ht="13">
      <c r="F792" s="30"/>
      <c r="H792" s="27"/>
    </row>
    <row r="793" spans="6:8" ht="13">
      <c r="F793" s="30"/>
      <c r="H793" s="27"/>
    </row>
    <row r="794" spans="6:8" ht="13">
      <c r="F794" s="30"/>
      <c r="H794" s="27"/>
    </row>
    <row r="795" spans="6:8" ht="13">
      <c r="F795" s="30"/>
      <c r="H795" s="27"/>
    </row>
    <row r="796" spans="6:8" ht="13">
      <c r="F796" s="30"/>
      <c r="H796" s="27"/>
    </row>
    <row r="797" spans="6:8" ht="13">
      <c r="F797" s="30"/>
      <c r="H797" s="27"/>
    </row>
    <row r="798" spans="6:8" ht="13">
      <c r="F798" s="30"/>
      <c r="H798" s="27"/>
    </row>
    <row r="799" spans="6:8" ht="13">
      <c r="F799" s="30"/>
      <c r="H799" s="27"/>
    </row>
    <row r="800" spans="6:8" ht="13">
      <c r="F800" s="30"/>
      <c r="H800" s="27"/>
    </row>
    <row r="801" spans="6:8" ht="13">
      <c r="F801" s="30"/>
      <c r="H801" s="27"/>
    </row>
    <row r="802" spans="6:8" ht="13">
      <c r="F802" s="30"/>
      <c r="H802" s="27"/>
    </row>
    <row r="803" spans="6:8" ht="13">
      <c r="F803" s="30"/>
      <c r="H803" s="27"/>
    </row>
    <row r="804" spans="6:8" ht="13">
      <c r="F804" s="30"/>
      <c r="H804" s="27"/>
    </row>
    <row r="805" spans="6:8" ht="13">
      <c r="F805" s="30"/>
      <c r="H805" s="27"/>
    </row>
    <row r="806" spans="6:8" ht="13">
      <c r="F806" s="30"/>
      <c r="H806" s="27"/>
    </row>
    <row r="807" spans="6:8" ht="13">
      <c r="F807" s="30"/>
      <c r="H807" s="27"/>
    </row>
    <row r="808" spans="6:8" ht="13">
      <c r="F808" s="30"/>
      <c r="H808" s="27"/>
    </row>
    <row r="809" spans="6:8" ht="13">
      <c r="F809" s="30"/>
      <c r="H809" s="27"/>
    </row>
    <row r="810" spans="6:8" ht="13">
      <c r="F810" s="30"/>
      <c r="H810" s="27"/>
    </row>
    <row r="811" spans="6:8" ht="13">
      <c r="F811" s="30"/>
      <c r="H811" s="27"/>
    </row>
    <row r="812" spans="6:8" ht="13">
      <c r="F812" s="30"/>
      <c r="H812" s="27"/>
    </row>
    <row r="813" spans="6:8" ht="13">
      <c r="F813" s="30"/>
      <c r="H813" s="27"/>
    </row>
    <row r="814" spans="6:8" ht="13">
      <c r="F814" s="30"/>
      <c r="H814" s="27"/>
    </row>
    <row r="815" spans="6:8" ht="13">
      <c r="F815" s="30"/>
      <c r="H815" s="27"/>
    </row>
    <row r="816" spans="6:8" ht="13">
      <c r="F816" s="30"/>
      <c r="H816" s="27"/>
    </row>
    <row r="817" spans="6:8" ht="13">
      <c r="F817" s="30"/>
      <c r="H817" s="27"/>
    </row>
    <row r="818" spans="6:8" ht="13">
      <c r="F818" s="30"/>
      <c r="H818" s="27"/>
    </row>
    <row r="819" spans="6:8" ht="13">
      <c r="F819" s="30"/>
      <c r="H819" s="27"/>
    </row>
    <row r="820" spans="6:8" ht="13">
      <c r="F820" s="30"/>
      <c r="H820" s="27"/>
    </row>
    <row r="821" spans="6:8" ht="13">
      <c r="F821" s="30"/>
      <c r="H821" s="27"/>
    </row>
    <row r="822" spans="6:8" ht="13">
      <c r="F822" s="30"/>
      <c r="H822" s="27"/>
    </row>
    <row r="823" spans="6:8" ht="13">
      <c r="F823" s="30"/>
      <c r="H823" s="27"/>
    </row>
    <row r="824" spans="6:8" ht="13">
      <c r="F824" s="30"/>
      <c r="H824" s="27"/>
    </row>
    <row r="825" spans="6:8" ht="13">
      <c r="F825" s="30"/>
      <c r="H825" s="27"/>
    </row>
    <row r="826" spans="6:8" ht="13">
      <c r="F826" s="30"/>
      <c r="H826" s="27"/>
    </row>
    <row r="827" spans="6:8" ht="13">
      <c r="F827" s="30"/>
      <c r="H827" s="27"/>
    </row>
    <row r="828" spans="6:8" ht="13">
      <c r="F828" s="30"/>
      <c r="H828" s="27"/>
    </row>
    <row r="829" spans="6:8" ht="13">
      <c r="F829" s="30"/>
      <c r="H829" s="27"/>
    </row>
    <row r="830" spans="6:8" ht="13">
      <c r="F830" s="30"/>
      <c r="H830" s="27"/>
    </row>
    <row r="831" spans="6:8" ht="13">
      <c r="F831" s="30"/>
      <c r="H831" s="27"/>
    </row>
    <row r="832" spans="6:8" ht="13">
      <c r="F832" s="30"/>
      <c r="H832" s="27"/>
    </row>
    <row r="833" spans="6:8" ht="13">
      <c r="F833" s="30"/>
      <c r="H833" s="27"/>
    </row>
    <row r="834" spans="6:8" ht="13">
      <c r="F834" s="30"/>
      <c r="H834" s="27"/>
    </row>
    <row r="835" spans="6:8" ht="13">
      <c r="F835" s="30"/>
      <c r="H835" s="27"/>
    </row>
    <row r="836" spans="6:8" ht="13">
      <c r="F836" s="30"/>
      <c r="H836" s="27"/>
    </row>
    <row r="837" spans="6:8" ht="13">
      <c r="F837" s="30"/>
      <c r="H837" s="27"/>
    </row>
    <row r="838" spans="6:8" ht="13">
      <c r="F838" s="30"/>
      <c r="H838" s="27"/>
    </row>
    <row r="839" spans="6:8" ht="13">
      <c r="F839" s="30"/>
      <c r="H839" s="27"/>
    </row>
    <row r="840" spans="6:8" ht="13">
      <c r="F840" s="30"/>
      <c r="H840" s="27"/>
    </row>
    <row r="841" spans="6:8" ht="13">
      <c r="F841" s="30"/>
      <c r="H841" s="27"/>
    </row>
    <row r="842" spans="6:8" ht="13">
      <c r="F842" s="30"/>
      <c r="H842" s="27"/>
    </row>
    <row r="843" spans="6:8" ht="13">
      <c r="F843" s="30"/>
      <c r="H843" s="27"/>
    </row>
    <row r="844" spans="6:8" ht="13">
      <c r="F844" s="30"/>
      <c r="H844" s="27"/>
    </row>
    <row r="845" spans="6:8" ht="13">
      <c r="F845" s="30"/>
      <c r="H845" s="27"/>
    </row>
    <row r="846" spans="6:8" ht="13">
      <c r="F846" s="30"/>
      <c r="H846" s="27"/>
    </row>
    <row r="847" spans="6:8" ht="13">
      <c r="F847" s="30"/>
      <c r="H847" s="27"/>
    </row>
    <row r="848" spans="6:8" ht="13">
      <c r="F848" s="30"/>
      <c r="H848" s="27"/>
    </row>
    <row r="849" spans="6:8" ht="13">
      <c r="F849" s="30"/>
      <c r="H849" s="27"/>
    </row>
    <row r="850" spans="6:8" ht="13">
      <c r="F850" s="30"/>
      <c r="H850" s="27"/>
    </row>
    <row r="851" spans="6:8" ht="13">
      <c r="F851" s="30"/>
      <c r="H851" s="27"/>
    </row>
    <row r="852" spans="6:8" ht="13">
      <c r="F852" s="30"/>
      <c r="H852" s="27"/>
    </row>
    <row r="853" spans="6:8" ht="13">
      <c r="F853" s="30"/>
      <c r="H853" s="27"/>
    </row>
    <row r="854" spans="6:8" ht="13">
      <c r="F854" s="30"/>
      <c r="H854" s="27"/>
    </row>
    <row r="855" spans="6:8" ht="13">
      <c r="F855" s="30"/>
      <c r="H855" s="27"/>
    </row>
    <row r="856" spans="6:8" ht="13">
      <c r="F856" s="30"/>
      <c r="H856" s="27"/>
    </row>
    <row r="857" spans="6:8" ht="13">
      <c r="F857" s="30"/>
      <c r="H857" s="27"/>
    </row>
    <row r="858" spans="6:8" ht="13">
      <c r="F858" s="30"/>
      <c r="H858" s="27"/>
    </row>
    <row r="859" spans="6:8" ht="13">
      <c r="F859" s="30"/>
      <c r="H859" s="27"/>
    </row>
    <row r="860" spans="6:8" ht="13">
      <c r="F860" s="30"/>
      <c r="H860" s="27"/>
    </row>
    <row r="861" spans="6:8" ht="13">
      <c r="F861" s="30"/>
      <c r="H861" s="27"/>
    </row>
    <row r="862" spans="6:8" ht="13">
      <c r="F862" s="30"/>
      <c r="H862" s="27"/>
    </row>
    <row r="863" spans="6:8" ht="13">
      <c r="F863" s="30"/>
      <c r="H863" s="27"/>
    </row>
    <row r="864" spans="6:8" ht="13">
      <c r="F864" s="30"/>
      <c r="H864" s="27"/>
    </row>
    <row r="865" spans="6:8" ht="13">
      <c r="F865" s="30"/>
      <c r="H865" s="27"/>
    </row>
    <row r="866" spans="6:8" ht="13">
      <c r="F866" s="30"/>
      <c r="H866" s="27"/>
    </row>
    <row r="867" spans="6:8" ht="13">
      <c r="F867" s="30"/>
      <c r="H867" s="27"/>
    </row>
    <row r="868" spans="6:8" ht="13">
      <c r="F868" s="30"/>
      <c r="H868" s="27"/>
    </row>
    <row r="869" spans="6:8" ht="13">
      <c r="F869" s="30"/>
      <c r="H869" s="27"/>
    </row>
    <row r="870" spans="6:8" ht="13">
      <c r="F870" s="30"/>
      <c r="H870" s="27"/>
    </row>
    <row r="871" spans="6:8" ht="13">
      <c r="F871" s="30"/>
      <c r="H871" s="27"/>
    </row>
    <row r="872" spans="6:8" ht="13">
      <c r="F872" s="30"/>
      <c r="H872" s="27"/>
    </row>
    <row r="873" spans="6:8" ht="13">
      <c r="F873" s="30"/>
      <c r="H873" s="27"/>
    </row>
    <row r="874" spans="6:8" ht="13">
      <c r="F874" s="30"/>
      <c r="H874" s="27"/>
    </row>
    <row r="875" spans="6:8" ht="13">
      <c r="F875" s="30"/>
      <c r="H875" s="27"/>
    </row>
    <row r="876" spans="6:8" ht="13">
      <c r="F876" s="30"/>
      <c r="H876" s="27"/>
    </row>
    <row r="877" spans="6:8" ht="13">
      <c r="F877" s="30"/>
      <c r="H877" s="27"/>
    </row>
    <row r="878" spans="6:8" ht="13">
      <c r="F878" s="30"/>
      <c r="H878" s="27"/>
    </row>
    <row r="879" spans="6:8" ht="13">
      <c r="F879" s="30"/>
      <c r="H879" s="27"/>
    </row>
    <row r="880" spans="6:8" ht="13">
      <c r="F880" s="30"/>
      <c r="H880" s="27"/>
    </row>
    <row r="881" spans="6:8" ht="13">
      <c r="F881" s="30"/>
      <c r="H881" s="27"/>
    </row>
    <row r="882" spans="6:8" ht="13">
      <c r="F882" s="30"/>
      <c r="H882" s="27"/>
    </row>
    <row r="883" spans="6:8" ht="13">
      <c r="F883" s="30"/>
      <c r="H883" s="27"/>
    </row>
    <row r="884" spans="6:8" ht="13">
      <c r="F884" s="30"/>
      <c r="H884" s="27"/>
    </row>
    <row r="885" spans="6:8" ht="13">
      <c r="F885" s="30"/>
      <c r="H885" s="27"/>
    </row>
    <row r="886" spans="6:8" ht="13">
      <c r="F886" s="30"/>
      <c r="H886" s="27"/>
    </row>
    <row r="887" spans="6:8" ht="13">
      <c r="F887" s="30"/>
      <c r="H887" s="27"/>
    </row>
    <row r="888" spans="6:8" ht="13">
      <c r="F888" s="30"/>
      <c r="H888" s="27"/>
    </row>
    <row r="889" spans="6:8" ht="13">
      <c r="F889" s="30"/>
      <c r="H889" s="27"/>
    </row>
    <row r="890" spans="6:8" ht="13">
      <c r="F890" s="30"/>
      <c r="H890" s="27"/>
    </row>
    <row r="891" spans="6:8" ht="13">
      <c r="F891" s="30"/>
      <c r="H891" s="27"/>
    </row>
    <row r="892" spans="6:8" ht="13">
      <c r="F892" s="30"/>
      <c r="H892" s="27"/>
    </row>
    <row r="893" spans="6:8" ht="13">
      <c r="F893" s="30"/>
      <c r="H893" s="27"/>
    </row>
    <row r="894" spans="6:8" ht="13">
      <c r="F894" s="30"/>
      <c r="H894" s="27"/>
    </row>
    <row r="895" spans="6:8" ht="13">
      <c r="F895" s="30"/>
      <c r="H895" s="27"/>
    </row>
    <row r="896" spans="6:8" ht="13">
      <c r="F896" s="30"/>
      <c r="H896" s="27"/>
    </row>
    <row r="897" spans="6:8" ht="13">
      <c r="F897" s="30"/>
      <c r="H897" s="2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E32"/>
  <sheetViews>
    <sheetView workbookViewId="0"/>
  </sheetViews>
  <sheetFormatPr baseColWidth="10" defaultColWidth="12.6640625" defaultRowHeight="15.75" customHeight="1"/>
  <sheetData>
    <row r="1" spans="1:5" ht="15.75" customHeight="1">
      <c r="A1" s="31">
        <f ca="1">TODAY()</f>
        <v>44686</v>
      </c>
    </row>
    <row r="2" spans="1:5">
      <c r="A2" s="19" t="s">
        <v>93</v>
      </c>
      <c r="B2" s="19" t="s">
        <v>98</v>
      </c>
      <c r="C2" s="19" t="s">
        <v>103</v>
      </c>
      <c r="D2" s="2" t="s">
        <v>104</v>
      </c>
    </row>
    <row r="3" spans="1:5" ht="15.75" customHeight="1">
      <c r="A3" s="32" t="s">
        <v>105</v>
      </c>
      <c r="B3" s="33">
        <v>947</v>
      </c>
      <c r="C3" s="34">
        <v>8.1999999999999993</v>
      </c>
      <c r="D3" s="1" t="str">
        <f ca="1">IFERROR(__xludf.DUMMYFUNCTION("INDEX(googlefinance(A3,""close"",$A$1),2,2)"),"#N/A")</f>
        <v>#N/A</v>
      </c>
      <c r="E3" s="1" t="str">
        <f ca="1">IFERROR(__xludf.DUMMYFUNCTION("INDEX(GOOGLEFINANCE(A3,""price"",date(A1)),2,2)"),"#N/A")</f>
        <v>#N/A</v>
      </c>
    </row>
    <row r="4" spans="1:5" ht="15.75" customHeight="1">
      <c r="A4" s="32" t="s">
        <v>106</v>
      </c>
      <c r="B4" s="33">
        <v>554</v>
      </c>
      <c r="C4" s="34">
        <v>14.1</v>
      </c>
      <c r="D4" s="1" t="str">
        <f ca="1">IFERROR(__xludf.DUMMYFUNCTION("INDEX(googlefinance(""FF"",""close"",$A2),2,2)"),"#VALUE!")</f>
        <v>#VALUE!</v>
      </c>
      <c r="E4" s="1" t="str">
        <f ca="1">IFERROR(__xludf.DUMMYFUNCTION("INDEX(GOOGLEFINANCE(A4,""price"",""1/10/2022""),2,2)"),"#VALUE!")</f>
        <v>#VALUE!</v>
      </c>
    </row>
    <row r="5" spans="1:5" ht="15.75" customHeight="1">
      <c r="A5" s="32" t="s">
        <v>107</v>
      </c>
      <c r="B5" s="33">
        <v>759</v>
      </c>
      <c r="C5" s="34">
        <v>10.11</v>
      </c>
      <c r="D5" s="1" t="str">
        <f ca="1">IFERROR(__xludf.DUMMYFUNCTION("INDEX(googlefinance(""FF"",""close"",$A3),2,2)"),"#VALUE!")</f>
        <v>#VALUE!</v>
      </c>
      <c r="E5" s="1" t="str">
        <f ca="1">IFERROR(__xludf.DUMMYFUNCTION("INDEX(GOOGLEFINANCE(A5,""price"",""1/10/2022""),2,2)"),"#VALUE!")</f>
        <v>#VALUE!</v>
      </c>
    </row>
    <row r="6" spans="1:5" ht="15.75" customHeight="1">
      <c r="A6" s="32" t="s">
        <v>108</v>
      </c>
      <c r="B6" s="33">
        <v>144</v>
      </c>
      <c r="C6" s="34">
        <v>59.16</v>
      </c>
      <c r="D6" s="1" t="str">
        <f ca="1">IFERROR(__xludf.DUMMYFUNCTION("INDEX(googlefinance(""FF"",""close"",$A4),2,2)"),"#VALUE!")</f>
        <v>#VALUE!</v>
      </c>
      <c r="E6" s="1" t="str">
        <f ca="1">IFERROR(__xludf.DUMMYFUNCTION("INDEX(GOOGLEFINANCE(A6,""price"",""1/10/2022""),2,2)"),"#VALUE!")</f>
        <v>#VALUE!</v>
      </c>
    </row>
    <row r="7" spans="1:5" ht="15.75" customHeight="1">
      <c r="A7" s="32" t="s">
        <v>43</v>
      </c>
      <c r="B7" s="33">
        <v>170</v>
      </c>
      <c r="C7" s="34">
        <v>48.8</v>
      </c>
      <c r="D7" s="1" t="str">
        <f ca="1">IFERROR(__xludf.DUMMYFUNCTION("INDEX(googlefinance(""FF"",""close"",$A5),2,2)"),"#VALUE!")</f>
        <v>#VALUE!</v>
      </c>
      <c r="E7" s="1" t="str">
        <f ca="1">IFERROR(__xludf.DUMMYFUNCTION("INDEX(GOOGLEFINANCE(A7,""price"",""1/10/2022""),2,2)"),"#VALUE!")</f>
        <v>#VALUE!</v>
      </c>
    </row>
    <row r="8" spans="1:5" ht="15.75" customHeight="1">
      <c r="A8" s="32" t="s">
        <v>109</v>
      </c>
      <c r="B8" s="33">
        <v>193</v>
      </c>
      <c r="C8" s="34">
        <v>41.79</v>
      </c>
      <c r="D8" s="1" t="str">
        <f ca="1">IFERROR(__xludf.DUMMYFUNCTION("INDEX(googlefinance(""FF"",""close"",$A6),2,2)"),"#VALUE!")</f>
        <v>#VALUE!</v>
      </c>
      <c r="E8" s="1" t="str">
        <f ca="1">IFERROR(__xludf.DUMMYFUNCTION("INDEX(GOOGLEFINANCE(A8,""price"",""1/10/2022""),2,2)"),"#VALUE!")</f>
        <v>#VALUE!</v>
      </c>
    </row>
    <row r="9" spans="1:5" ht="15.75" customHeight="1">
      <c r="A9" s="32" t="s">
        <v>110</v>
      </c>
      <c r="B9" s="33">
        <v>142</v>
      </c>
      <c r="C9" s="34">
        <v>54.3</v>
      </c>
      <c r="D9" s="1" t="str">
        <f ca="1">IFERROR(__xludf.DUMMYFUNCTION("INDEX(googlefinance(""FF"",""close"",$A7),2,2)"),"#VALUE!")</f>
        <v>#VALUE!</v>
      </c>
      <c r="E9" s="1" t="str">
        <f ca="1">IFERROR(__xludf.DUMMYFUNCTION("INDEX(GOOGLEFINANCE(A9,""price"",""1/10/2022""),2,2)"),"#VALUE!")</f>
        <v>#VALUE!</v>
      </c>
    </row>
    <row r="10" spans="1:5" ht="15.75" customHeight="1">
      <c r="A10" s="32" t="s">
        <v>111</v>
      </c>
      <c r="B10" s="33">
        <v>1432</v>
      </c>
      <c r="C10" s="34">
        <v>5.45</v>
      </c>
      <c r="D10" s="1" t="str">
        <f ca="1">IFERROR(__xludf.DUMMYFUNCTION("INDEX(googlefinance(""FF"",""close"",$A8),2,2)"),"#VALUE!")</f>
        <v>#VALUE!</v>
      </c>
      <c r="E10" s="1" t="str">
        <f ca="1">IFERROR(__xludf.DUMMYFUNCTION("INDEX(GOOGLEFINANCE(A10,""price"",""1/10/2022""),2,2)"),"#VALUE!")</f>
        <v>#VALUE!</v>
      </c>
    </row>
    <row r="11" spans="1:5" ht="15.75" customHeight="1">
      <c r="A11" s="32" t="s">
        <v>112</v>
      </c>
      <c r="B11" s="33">
        <v>41</v>
      </c>
      <c r="C11" s="34">
        <v>188.99</v>
      </c>
      <c r="D11" s="1" t="str">
        <f ca="1">IFERROR(__xludf.DUMMYFUNCTION("INDEX(googlefinance(""FF"",""close"",$A9),2,2)"),"#VALUE!")</f>
        <v>#VALUE!</v>
      </c>
      <c r="E11" s="1" t="str">
        <f ca="1">IFERROR(__xludf.DUMMYFUNCTION("INDEX(GOOGLEFINANCE(A11,""price"",""1/10/2022""),2,2)"),"#VALUE!")</f>
        <v>#VALUE!</v>
      </c>
    </row>
    <row r="12" spans="1:5" ht="15.75" customHeight="1">
      <c r="A12" s="32" t="s">
        <v>41</v>
      </c>
      <c r="B12" s="33">
        <v>123</v>
      </c>
      <c r="C12" s="34">
        <v>63</v>
      </c>
      <c r="D12" s="1" t="str">
        <f ca="1">IFERROR(__xludf.DUMMYFUNCTION("INDEX(googlefinance(""FF"",""close"",$A10),2,2)"),"#VALUE!")</f>
        <v>#VALUE!</v>
      </c>
      <c r="E12" s="1">
        <f ca="1">IFERROR(__xludf.DUMMYFUNCTION("INDEX(GOOGLEFINANCE(A12,""price"",""1/10/2022""),2,2)"),62)</f>
        <v>62</v>
      </c>
    </row>
    <row r="13" spans="1:5" ht="15.75" customHeight="1">
      <c r="A13" s="32" t="s">
        <v>113</v>
      </c>
      <c r="B13" s="33">
        <v>37</v>
      </c>
      <c r="C13" s="34">
        <v>209.82</v>
      </c>
      <c r="D13" s="1" t="str">
        <f ca="1">IFERROR(__xludf.DUMMYFUNCTION("INDEX(googlefinance(""FF"",""close"",$A11),2,2)"),"#VALUE!")</f>
        <v>#VALUE!</v>
      </c>
      <c r="E13" s="1" t="str">
        <f ca="1">IFERROR(__xludf.DUMMYFUNCTION("INDEX(GOOGLEFINANCE(A13,""price"",""1/10/2022""),2,2)"),"#VALUE!")</f>
        <v>#VALUE!</v>
      </c>
    </row>
    <row r="14" spans="1:5" ht="15.75" customHeight="1">
      <c r="A14" s="32" t="s">
        <v>114</v>
      </c>
      <c r="B14" s="33">
        <v>301</v>
      </c>
      <c r="C14" s="34">
        <v>25.49</v>
      </c>
      <c r="D14" s="1" t="str">
        <f ca="1">IFERROR(__xludf.DUMMYFUNCTION("INDEX(googlefinance(""FF"",""close"",$A12),2,2)"),"#VALUE!")</f>
        <v>#VALUE!</v>
      </c>
      <c r="E14" s="1" t="str">
        <f ca="1">IFERROR(__xludf.DUMMYFUNCTION("INDEX(GOOGLEFINANCE(A14,""price"",""1/10/2022""),2,2)"),"#VALUE!")</f>
        <v>#VALUE!</v>
      </c>
    </row>
    <row r="15" spans="1:5" ht="15.75" customHeight="1">
      <c r="A15" s="32" t="s">
        <v>115</v>
      </c>
      <c r="B15" s="33">
        <v>139</v>
      </c>
      <c r="C15" s="34">
        <v>56</v>
      </c>
      <c r="D15" s="1" t="str">
        <f ca="1">IFERROR(__xludf.DUMMYFUNCTION("INDEX(googlefinance(""FF"",""close"",$A13),2,2)"),"#VALUE!")</f>
        <v>#VALUE!</v>
      </c>
      <c r="E15" s="1" t="str">
        <f ca="1">IFERROR(__xludf.DUMMYFUNCTION("INDEX(GOOGLEFINANCE(A15,""price"",""1/10/2022""),2,2)"),"#VALUE!")</f>
        <v>#VALUE!</v>
      </c>
    </row>
    <row r="16" spans="1:5" ht="15.75" customHeight="1">
      <c r="A16" s="32" t="s">
        <v>116</v>
      </c>
      <c r="B16" s="33">
        <v>752</v>
      </c>
      <c r="C16" s="34">
        <v>10.9</v>
      </c>
      <c r="D16" s="1" t="str">
        <f ca="1">IFERROR(__xludf.DUMMYFUNCTION("INDEX(googlefinance(""FF"",""close"",$A14),2,2)"),"#VALUE!")</f>
        <v>#VALUE!</v>
      </c>
      <c r="E16" s="1" t="str">
        <f ca="1">IFERROR(__xludf.DUMMYFUNCTION("INDEX(GOOGLEFINANCE(A16,""price"",""1/10/2022""),2,2)"),"#VALUE!")</f>
        <v>#VALUE!</v>
      </c>
    </row>
    <row r="17" spans="1:5" ht="15.75" customHeight="1">
      <c r="A17" s="32" t="s">
        <v>117</v>
      </c>
      <c r="B17" s="33">
        <v>657</v>
      </c>
      <c r="C17" s="34">
        <v>12.09</v>
      </c>
      <c r="D17" s="1" t="str">
        <f ca="1">IFERROR(__xludf.DUMMYFUNCTION("INDEX(googlefinance(""FF"",""close"",$A15),2,2)"),"#VALUE!")</f>
        <v>#VALUE!</v>
      </c>
      <c r="E17" s="1">
        <f ca="1">IFERROR(__xludf.DUMMYFUNCTION("INDEX(GOOGLEFINANCE(A17,""price"",""1/10/2022""),2,2)"),11.69)</f>
        <v>11.69</v>
      </c>
    </row>
    <row r="18" spans="1:5" ht="15.75" customHeight="1">
      <c r="A18" s="32" t="s">
        <v>118</v>
      </c>
      <c r="B18" s="33">
        <v>292</v>
      </c>
      <c r="C18" s="34">
        <v>26.23</v>
      </c>
      <c r="D18" s="1" t="str">
        <f ca="1">IFERROR(__xludf.DUMMYFUNCTION("INDEX(googlefinance(""FF"",""close"",$A16),2,2)"),"#VALUE!")</f>
        <v>#VALUE!</v>
      </c>
      <c r="E18" s="1">
        <f ca="1">IFERROR(__xludf.DUMMYFUNCTION("INDEX(GOOGLEFINANCE(A18,""price"",""1/10/2022""),2,2)"),19.97)</f>
        <v>19.97</v>
      </c>
    </row>
    <row r="19" spans="1:5" ht="15.75" customHeight="1">
      <c r="A19" s="32" t="s">
        <v>26</v>
      </c>
      <c r="B19" s="33">
        <v>558</v>
      </c>
      <c r="C19" s="34">
        <v>13.76</v>
      </c>
      <c r="D19" s="1" t="str">
        <f ca="1">IFERROR(__xludf.DUMMYFUNCTION("INDEX(googlefinance(""FF"",""close"",$A17),2,2)"),"#VALUE!")</f>
        <v>#VALUE!</v>
      </c>
      <c r="E19" s="1" t="str">
        <f ca="1">IFERROR(__xludf.DUMMYFUNCTION("INDEX(GOOGLEFINANCE(A19,""price"",""1/10/2022""),2,2)"),"#VALUE!")</f>
        <v>#VALUE!</v>
      </c>
    </row>
    <row r="20" spans="1:5" ht="15.75" customHeight="1">
      <c r="A20" s="32" t="s">
        <v>119</v>
      </c>
      <c r="B20" s="33">
        <v>939</v>
      </c>
      <c r="C20" s="34">
        <v>8.18</v>
      </c>
      <c r="D20" s="1" t="str">
        <f ca="1">IFERROR(__xludf.DUMMYFUNCTION("INDEX(googlefinance(""FF"",""close"",$A18),2,2)"),"#VALUE!")</f>
        <v>#VALUE!</v>
      </c>
      <c r="E20" s="1">
        <f ca="1">IFERROR(__xludf.DUMMYFUNCTION("INDEX(GOOGLEFINANCE(A20,""price"",""1/10/2022""),2,2)"),8.16)</f>
        <v>8.16</v>
      </c>
    </row>
    <row r="21" spans="1:5" ht="15.75" customHeight="1">
      <c r="A21" s="32" t="s">
        <v>120</v>
      </c>
      <c r="B21" s="33">
        <v>162</v>
      </c>
      <c r="C21" s="34">
        <v>49.94</v>
      </c>
      <c r="D21" s="1" t="str">
        <f ca="1">IFERROR(__xludf.DUMMYFUNCTION("INDEX(googlefinance(""FF"",""close"",$A19),2,2)"),"#VALUE!")</f>
        <v>#VALUE!</v>
      </c>
      <c r="E21" s="1">
        <f ca="1">IFERROR(__xludf.DUMMYFUNCTION("INDEX(GOOGLEFINANCE(A21,""price"",""1/10/2022""),2,2)"),48.68)</f>
        <v>48.68</v>
      </c>
    </row>
    <row r="22" spans="1:5" ht="15.75" customHeight="1">
      <c r="A22" s="32" t="s">
        <v>121</v>
      </c>
      <c r="B22" s="33">
        <v>111</v>
      </c>
      <c r="C22" s="34">
        <v>69.03</v>
      </c>
      <c r="D22" s="1" t="str">
        <f ca="1">IFERROR(__xludf.DUMMYFUNCTION("INDEX(googlefinance(""FF"",""close"",$A20),2,2)"),"#VALUE!")</f>
        <v>#VALUE!</v>
      </c>
      <c r="E22" s="1">
        <f ca="1">IFERROR(__xludf.DUMMYFUNCTION("INDEX(GOOGLEFINANCE(A22,""price"",""1/10/2022""),2,2)"),69.33)</f>
        <v>69.33</v>
      </c>
    </row>
    <row r="23" spans="1:5" ht="15.75" customHeight="1">
      <c r="A23" s="32" t="s">
        <v>122</v>
      </c>
      <c r="B23" s="33">
        <v>157</v>
      </c>
      <c r="C23" s="34">
        <v>49.04</v>
      </c>
      <c r="D23" s="1" t="str">
        <f ca="1">IFERROR(__xludf.DUMMYFUNCTION("INDEX(googlefinance(""FF"",""close"",$A21),2,2)"),"#VALUE!")</f>
        <v>#VALUE!</v>
      </c>
      <c r="E23" s="1">
        <f ca="1">IFERROR(__xludf.DUMMYFUNCTION("INDEX(GOOGLEFINANCE(A23,""price"",""1/10/2022""),2,2)"),48.5)</f>
        <v>48.5</v>
      </c>
    </row>
    <row r="24" spans="1:5" ht="15.75" customHeight="1">
      <c r="A24" s="32" t="s">
        <v>123</v>
      </c>
      <c r="B24" s="33">
        <v>1165</v>
      </c>
      <c r="C24" s="34">
        <v>14</v>
      </c>
      <c r="D24" s="1" t="str">
        <f ca="1">IFERROR(__xludf.DUMMYFUNCTION("INDEX(googlefinance(""FF"",""close"",$A22),2,2)"),"#VALUE!")</f>
        <v>#VALUE!</v>
      </c>
      <c r="E24" s="1">
        <f ca="1">IFERROR(__xludf.DUMMYFUNCTION("INDEX(GOOGLEFINANCE(A24,""price"",""1/10/2022""),2,2)"),6.77)</f>
        <v>6.77</v>
      </c>
    </row>
    <row r="25" spans="1:5" ht="15.75" customHeight="1">
      <c r="A25" s="32" t="s">
        <v>124</v>
      </c>
      <c r="B25" s="33">
        <v>92</v>
      </c>
      <c r="C25" s="34">
        <v>83.52</v>
      </c>
      <c r="D25" s="1" t="str">
        <f ca="1">IFERROR(__xludf.DUMMYFUNCTION("INDEX(googlefinance(""FF"",""close"",$A23),2,2)"),"#VALUE!")</f>
        <v>#VALUE!</v>
      </c>
      <c r="E25" s="1">
        <f ca="1">IFERROR(__xludf.DUMMYFUNCTION("INDEX(GOOGLEFINANCE(A25,""price"",""1/10/2022""),2,2)"),83.25)</f>
        <v>83.25</v>
      </c>
    </row>
    <row r="26" spans="1:5" ht="15.75" customHeight="1">
      <c r="A26" s="32" t="s">
        <v>125</v>
      </c>
      <c r="B26" s="33">
        <v>154</v>
      </c>
      <c r="C26" s="34">
        <v>49.81</v>
      </c>
      <c r="D26" s="1" t="str">
        <f ca="1">IFERROR(__xludf.DUMMYFUNCTION("INDEX(googlefinance(""FF"",""close"",$A24),2,2)"),"#VALUE!")</f>
        <v>#VALUE!</v>
      </c>
      <c r="E26" s="1">
        <f ca="1">IFERROR(__xludf.DUMMYFUNCTION("INDEX(GOOGLEFINANCE(A26,""price"",""1/10/2022""),2,2)"),50.54)</f>
        <v>50.54</v>
      </c>
    </row>
    <row r="27" spans="1:5" ht="15.75" customHeight="1">
      <c r="A27" s="32" t="s">
        <v>126</v>
      </c>
      <c r="B27" s="33">
        <v>268</v>
      </c>
      <c r="C27" s="34">
        <v>30</v>
      </c>
      <c r="D27" s="1" t="str">
        <f ca="1">IFERROR(__xludf.DUMMYFUNCTION("INDEX(googlefinance(""FF"",""close"",$A25),2,2)"),"#VALUE!")</f>
        <v>#VALUE!</v>
      </c>
      <c r="E27" s="1">
        <f ca="1">IFERROR(__xludf.DUMMYFUNCTION("INDEX(GOOGLEFINANCE(A27,""price"",""1/10/2022""),2,2)"),29.21)</f>
        <v>29.21</v>
      </c>
    </row>
    <row r="28" spans="1:5" ht="15.75" customHeight="1">
      <c r="A28" s="32" t="s">
        <v>127</v>
      </c>
      <c r="B28" s="33">
        <v>290</v>
      </c>
      <c r="C28" s="34">
        <v>27.81</v>
      </c>
      <c r="D28" s="1" t="str">
        <f ca="1">IFERROR(__xludf.DUMMYFUNCTION("INDEX(googlefinance(""FF"",""close"",$A26),2,2)"),"#VALUE!")</f>
        <v>#VALUE!</v>
      </c>
      <c r="E28" s="1">
        <f ca="1">IFERROR(__xludf.DUMMYFUNCTION("INDEX(GOOGLEFINANCE(A28,""price"",""1/10/2022""),2,2)"),26.5)</f>
        <v>26.5</v>
      </c>
    </row>
    <row r="29" spans="1:5" ht="15.75" customHeight="1">
      <c r="A29" s="32" t="s">
        <v>128</v>
      </c>
      <c r="B29" s="33">
        <v>634</v>
      </c>
      <c r="C29" s="34">
        <v>12.19</v>
      </c>
      <c r="D29" s="1" t="str">
        <f ca="1">IFERROR(__xludf.DUMMYFUNCTION("INDEX(googlefinance(""FF"",""close"",$A27),2,2)"),"#VALUE!")</f>
        <v>#VALUE!</v>
      </c>
      <c r="E29" s="1">
        <f ca="1">IFERROR(__xludf.DUMMYFUNCTION("INDEX(GOOGLEFINANCE(A29,""price"",""1/10/2022""),2,2)"),11.99)</f>
        <v>11.99</v>
      </c>
    </row>
    <row r="30" spans="1:5" ht="15.75" customHeight="1">
      <c r="A30" s="32" t="s">
        <v>129</v>
      </c>
      <c r="B30" s="33">
        <v>697</v>
      </c>
      <c r="C30" s="34">
        <v>11.29</v>
      </c>
      <c r="D30" s="1" t="str">
        <f ca="1">IFERROR(__xludf.DUMMYFUNCTION("INDEX(googlefinance(""FF"",""close"",$A28),2,2)"),"#VALUE!")</f>
        <v>#VALUE!</v>
      </c>
      <c r="E30" s="1">
        <f ca="1">IFERROR(__xludf.DUMMYFUNCTION("INDEX(GOOGLEFINANCE(A30,""price"",""1/10/2022""),2,2)"),11.47)</f>
        <v>11.47</v>
      </c>
    </row>
    <row r="31" spans="1:5" ht="15.75" customHeight="1">
      <c r="A31" s="32" t="s">
        <v>130</v>
      </c>
      <c r="B31" s="33">
        <v>189</v>
      </c>
      <c r="C31" s="34">
        <v>42</v>
      </c>
      <c r="D31" s="1" t="str">
        <f ca="1">IFERROR(__xludf.DUMMYFUNCTION("INDEX(googlefinance(""FF"",""close"",$A29),2,2)"),"#VALUE!")</f>
        <v>#VALUE!</v>
      </c>
      <c r="E31" s="1">
        <f ca="1">IFERROR(__xludf.DUMMYFUNCTION("INDEX(GOOGLEFINANCE(A31,""price"",""1/10/2022""),2,2)"),40.74)</f>
        <v>40.74</v>
      </c>
    </row>
    <row r="32" spans="1:5" ht="15.75" customHeight="1">
      <c r="A32" s="32" t="s">
        <v>131</v>
      </c>
      <c r="B32" s="33">
        <v>445</v>
      </c>
      <c r="C32" s="34">
        <v>17.29</v>
      </c>
      <c r="D32" s="1" t="str">
        <f ca="1">IFERROR(__xludf.DUMMYFUNCTION("INDEX(googlefinance(""FF"",""close"",$A30),2,2)"),"#VALUE!")</f>
        <v>#VALUE!</v>
      </c>
      <c r="E32" s="1">
        <f ca="1">IFERROR(__xludf.DUMMYFUNCTION("INDEX(GOOGLEFINANCE(A32,""price"",""1/10/2022""),2,2)"),17.43)</f>
        <v>17.43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KB151"/>
  <sheetViews>
    <sheetView workbookViewId="0"/>
  </sheetViews>
  <sheetFormatPr baseColWidth="10" defaultColWidth="12.6640625" defaultRowHeight="15.75" customHeight="1"/>
  <cols>
    <col min="1" max="1" width="20.5" customWidth="1"/>
  </cols>
  <sheetData>
    <row r="1" spans="1:288">
      <c r="A1" s="19"/>
      <c r="B1" s="19"/>
      <c r="C1" s="19"/>
    </row>
    <row r="2" spans="1:288">
      <c r="A2" s="19" t="s">
        <v>45</v>
      </c>
      <c r="B2" s="19" t="s">
        <v>93</v>
      </c>
      <c r="C2" s="19" t="s">
        <v>98</v>
      </c>
      <c r="D2" s="35">
        <f ca="1">IF(History!H2="","",History!H2)</f>
        <v>44571.666666666599</v>
      </c>
      <c r="E2" s="35">
        <f ca="1">IF(History!I2="","",History!I2)</f>
        <v>44572.666666666599</v>
      </c>
      <c r="F2" s="35">
        <f ca="1">IF(History!J2="","",History!J2)</f>
        <v>44573.666666666599</v>
      </c>
      <c r="G2" s="35">
        <f ca="1">IF(History!K2="","",History!K2)</f>
        <v>44574.666666666599</v>
      </c>
      <c r="H2" s="35">
        <f ca="1">IF(History!L2="","",History!L2)</f>
        <v>44575.666666666599</v>
      </c>
      <c r="I2" s="35">
        <f ca="1">IF(History!M2="","",History!M2)</f>
        <v>44579.666666666599</v>
      </c>
      <c r="J2" s="35">
        <f ca="1">IF(History!N2="","",History!N2)</f>
        <v>44580.666666666599</v>
      </c>
      <c r="K2" s="35">
        <f ca="1">IF(History!O2="","",History!O2)</f>
        <v>44581.666666666599</v>
      </c>
      <c r="L2" s="35">
        <f ca="1">IF(History!P2="","",History!P2)</f>
        <v>44582.666666666599</v>
      </c>
      <c r="M2" s="35">
        <f ca="1">IF(History!Q2="","",History!Q2)</f>
        <v>44585.666666666599</v>
      </c>
      <c r="N2" s="35">
        <f ca="1">IF(History!R2="","",History!R2)</f>
        <v>44586.666666666599</v>
      </c>
      <c r="O2" s="35">
        <f ca="1">IF(History!S2="","",History!S2)</f>
        <v>44587.666666666599</v>
      </c>
      <c r="P2" s="35">
        <f ca="1">IF(History!T2="","",History!T2)</f>
        <v>44588.666666666599</v>
      </c>
      <c r="Q2" s="35">
        <f ca="1">IF(History!U2="","",History!U2)</f>
        <v>44589.666666666599</v>
      </c>
      <c r="R2" s="35">
        <f ca="1">IF(History!V2="","",History!V2)</f>
        <v>44592.666666666599</v>
      </c>
      <c r="S2" s="35">
        <f ca="1">IF(History!W2="","",History!W2)</f>
        <v>44593.666666666599</v>
      </c>
      <c r="T2" s="35">
        <f ca="1">IF(History!X2="","",History!X2)</f>
        <v>44594.666666666599</v>
      </c>
      <c r="U2" s="35">
        <f ca="1">IF(History!Y2="","",History!Y2)</f>
        <v>44595.666666666599</v>
      </c>
      <c r="V2" s="35">
        <f ca="1">IF(History!Z2="","",History!Z2)</f>
        <v>44596.666666666599</v>
      </c>
      <c r="W2" s="35">
        <f ca="1">IF(History!AA2="","",History!AA2)</f>
        <v>44599.666666666599</v>
      </c>
      <c r="X2" s="35">
        <f ca="1">IF(History!AB2="","",History!AB2)</f>
        <v>44600.666666666599</v>
      </c>
      <c r="Y2" s="35">
        <f ca="1">IF(History!AC2="","",History!AC2)</f>
        <v>44601.666666666599</v>
      </c>
      <c r="Z2" s="35">
        <f ca="1">IF(History!AD2="","",History!AD2)</f>
        <v>44602.666666666599</v>
      </c>
      <c r="AA2" s="35">
        <f ca="1">IF(History!AE2="","",History!AE2)</f>
        <v>44603.666666666599</v>
      </c>
      <c r="AB2" s="35">
        <f ca="1">IF(History!AF2="","",History!AF2)</f>
        <v>44606.666666666599</v>
      </c>
      <c r="AC2" s="35">
        <f ca="1">IF(History!AG2="","",History!AG2)</f>
        <v>44607.666666666599</v>
      </c>
      <c r="AD2" s="35">
        <f ca="1">IF(History!AH2="","",History!AH2)</f>
        <v>44608.666666666599</v>
      </c>
      <c r="AE2" s="35">
        <f ca="1">IF(History!AI2="","",History!AI2)</f>
        <v>44609.666666666599</v>
      </c>
      <c r="AF2" s="35">
        <f ca="1">IF(History!AJ2="","",History!AJ2)</f>
        <v>44610.666666666599</v>
      </c>
      <c r="AG2" s="35">
        <f ca="1">IF(History!AK2="","",History!AK2)</f>
        <v>44614.666666666599</v>
      </c>
      <c r="AH2" s="35">
        <f ca="1">IF(History!AL2="","",History!AL2)</f>
        <v>44615.666666666599</v>
      </c>
      <c r="AI2" s="35">
        <f ca="1">IF(History!AM2="","",History!AM2)</f>
        <v>44616.666666666599</v>
      </c>
      <c r="AJ2" s="35">
        <f ca="1">IF(History!AN2="","",History!AN2)</f>
        <v>44617.666666666599</v>
      </c>
      <c r="AK2" s="35">
        <f ca="1">IF(History!AO2="","",History!AO2)</f>
        <v>44620.666666666599</v>
      </c>
      <c r="AL2" s="35">
        <f ca="1">IF(History!AP2="","",History!AP2)</f>
        <v>44621.666666666599</v>
      </c>
      <c r="AM2" s="35">
        <f ca="1">IF(History!AQ2="","",History!AQ2)</f>
        <v>44622.666666666599</v>
      </c>
      <c r="AN2" s="35">
        <f ca="1">IF(History!AR2="","",History!AR2)</f>
        <v>44623.666666666599</v>
      </c>
      <c r="AO2" s="35">
        <f ca="1">IF(History!AS2="","",History!AS2)</f>
        <v>44624.666666666599</v>
      </c>
      <c r="AP2" s="35">
        <f ca="1">IF(History!AT2="","",History!AT2)</f>
        <v>44627.666666666599</v>
      </c>
      <c r="AQ2" s="35">
        <f ca="1">IF(History!AU2="","",History!AU2)</f>
        <v>44628.666666666599</v>
      </c>
      <c r="AR2" s="35">
        <f ca="1">IF(History!AV2="","",History!AV2)</f>
        <v>44629.666666666599</v>
      </c>
      <c r="AS2" s="35">
        <f ca="1">IF(History!AW2="","",History!AW2)</f>
        <v>44630.666666666599</v>
      </c>
      <c r="AT2" s="35">
        <f ca="1">IF(History!AX2="","",History!AX2)</f>
        <v>44631.666666666599</v>
      </c>
      <c r="AU2" s="35">
        <f ca="1">IF(History!AY2="","",History!AY2)</f>
        <v>44634.666666666599</v>
      </c>
      <c r="AV2" s="35">
        <f ca="1">IF(History!AZ2="","",History!AZ2)</f>
        <v>44635.666666666599</v>
      </c>
      <c r="AW2" s="35">
        <f ca="1">IF(History!BA2="","",History!BA2)</f>
        <v>44636.666666666599</v>
      </c>
      <c r="AX2" s="35">
        <f ca="1">IF(History!BB2="","",History!BB2)</f>
        <v>44637.666666666599</v>
      </c>
      <c r="AY2" s="35">
        <f ca="1">IF(History!BC2="","",History!BC2)</f>
        <v>44638.666666666599</v>
      </c>
      <c r="AZ2" s="35">
        <f ca="1">IF(History!BD2="","",History!BD2)</f>
        <v>44641.666666666599</v>
      </c>
      <c r="BA2" s="35">
        <f ca="1">IF(History!BE2="","",History!BE2)</f>
        <v>44642.666666666599</v>
      </c>
      <c r="BB2" s="35">
        <f ca="1">IF(History!BF2="","",History!BF2)</f>
        <v>44643.666666666599</v>
      </c>
      <c r="BC2" s="35">
        <f ca="1">IF(History!BG2="","",History!BG2)</f>
        <v>44644.666666666599</v>
      </c>
      <c r="BD2" s="35">
        <f ca="1">IF(History!BH2="","",History!BH2)</f>
        <v>44645.666666666599</v>
      </c>
      <c r="BE2" s="35">
        <f ca="1">IF(History!BI2="","",History!BI2)</f>
        <v>44648.666666666599</v>
      </c>
      <c r="BF2" s="35">
        <f ca="1">IF(History!BJ2="","",History!BJ2)</f>
        <v>44649.666666666599</v>
      </c>
      <c r="BG2" s="35">
        <f ca="1">IF(History!BK2="","",History!BK2)</f>
        <v>44650.666666666599</v>
      </c>
      <c r="BH2" s="35">
        <f ca="1">IF(History!BL2="","",History!BL2)</f>
        <v>44651.666666666599</v>
      </c>
      <c r="BI2" s="35">
        <f ca="1">IF(History!BM2="","",History!BM2)</f>
        <v>44652.666666666599</v>
      </c>
      <c r="BJ2" s="35">
        <f ca="1">IF(History!BN2="","",History!BN2)</f>
        <v>44655.666666666599</v>
      </c>
      <c r="BK2" s="35">
        <f ca="1">IF(History!BO2="","",History!BO2)</f>
        <v>44656.666666666599</v>
      </c>
      <c r="BL2" s="35">
        <f ca="1">IF(History!BP2="","",History!BP2)</f>
        <v>44657.666666666599</v>
      </c>
      <c r="BM2" s="35">
        <f ca="1">IF(History!BQ2="","",History!BQ2)</f>
        <v>44658.666666666599</v>
      </c>
      <c r="BN2" s="35">
        <f ca="1">IF(History!BR2="","",History!BR2)</f>
        <v>44659.666666666599</v>
      </c>
      <c r="BO2" s="35">
        <f ca="1">IF(History!BS2="","",History!BS2)</f>
        <v>44662.666666666599</v>
      </c>
      <c r="BP2" s="35">
        <f ca="1">IF(History!BT2="","",History!BT2)</f>
        <v>44663.666666666599</v>
      </c>
      <c r="BQ2" s="35">
        <f ca="1">IF(History!BU2="","",History!BU2)</f>
        <v>44664.666666666599</v>
      </c>
      <c r="BR2" s="35">
        <f ca="1">IF(History!BV2="","",History!BV2)</f>
        <v>44665.666666666599</v>
      </c>
      <c r="BS2" s="35">
        <f ca="1">IF(History!BW2="","",History!BW2)</f>
        <v>44669.666666666599</v>
      </c>
      <c r="BT2" s="35">
        <f ca="1">IF(History!BX2="","",History!BX2)</f>
        <v>44670.666666666599</v>
      </c>
      <c r="BU2" s="35">
        <f ca="1">IF(History!BY2="","",History!BY2)</f>
        <v>44671.666666666599</v>
      </c>
      <c r="BV2" s="35">
        <f ca="1">IF(History!BZ2="","",History!BZ2)</f>
        <v>44672.666666666599</v>
      </c>
      <c r="BW2" s="35">
        <f ca="1">IF(History!CA2="","",History!CA2)</f>
        <v>44673.666666666599</v>
      </c>
      <c r="BX2" s="35">
        <f ca="1">IF(History!CB2="","",History!CB2)</f>
        <v>44676.666666666599</v>
      </c>
      <c r="BY2" s="35">
        <f ca="1">IF(History!CC2="","",History!CC2)</f>
        <v>44677.666666666599</v>
      </c>
      <c r="BZ2" s="35">
        <f ca="1">IF(History!CD2="","",History!CD2)</f>
        <v>44678.666666666599</v>
      </c>
      <c r="CA2" s="35">
        <f ca="1">IF(History!CE2="","",History!CE2)</f>
        <v>44679.666666666599</v>
      </c>
      <c r="CB2" s="35">
        <f ca="1">IF(History!CF2="","",History!CF2)</f>
        <v>44680.666666666599</v>
      </c>
      <c r="CC2" s="35">
        <f ca="1">IF(History!CG2="","",History!CG2)</f>
        <v>44683.666666666599</v>
      </c>
      <c r="CD2" s="35">
        <f ca="1">IF(History!CH2="","",History!CH2)</f>
        <v>44684.666666666599</v>
      </c>
      <c r="CE2" s="35">
        <f ca="1">IF(History!CI2="","",History!CI2)</f>
        <v>44685.666666666599</v>
      </c>
      <c r="CF2" s="36" t="str">
        <f ca="1">IF(History!CJ2="","",History!CJ2)</f>
        <v/>
      </c>
      <c r="CG2" s="36" t="str">
        <f ca="1">IF(History!CK2="","",History!CK2)</f>
        <v/>
      </c>
      <c r="CH2" s="36" t="str">
        <f ca="1">IF(History!CL2="","",History!CL2)</f>
        <v/>
      </c>
      <c r="CI2" s="36" t="str">
        <f ca="1">IF(History!CM2="","",History!CM2)</f>
        <v/>
      </c>
      <c r="CJ2" s="36" t="str">
        <f ca="1">IF(History!CN2="","",History!CN2)</f>
        <v/>
      </c>
      <c r="CK2" s="36" t="str">
        <f ca="1">IF(History!CO2="","",History!CO2)</f>
        <v/>
      </c>
      <c r="CL2" s="36" t="str">
        <f ca="1">IF(History!CP2="","",History!CP2)</f>
        <v/>
      </c>
      <c r="CM2" s="36" t="str">
        <f ca="1">IF(History!CQ2="","",History!CQ2)</f>
        <v/>
      </c>
      <c r="CN2" s="36" t="str">
        <f ca="1">IF(History!CR2="","",History!CR2)</f>
        <v/>
      </c>
      <c r="CO2" s="36" t="str">
        <f ca="1">IF(History!CS2="","",History!CS2)</f>
        <v/>
      </c>
      <c r="CP2" s="36" t="str">
        <f ca="1">IF(History!CT2="","",History!CT2)</f>
        <v/>
      </c>
      <c r="CQ2" s="36" t="str">
        <f ca="1">IF(History!CU2="","",History!CU2)</f>
        <v/>
      </c>
      <c r="CR2" s="36" t="str">
        <f ca="1">IF(History!CV2="","",History!CV2)</f>
        <v/>
      </c>
      <c r="CS2" s="36" t="str">
        <f ca="1">IF(History!CW2="","",History!CW2)</f>
        <v/>
      </c>
      <c r="CT2" s="36" t="str">
        <f ca="1">IF(History!CX2="","",History!CX2)</f>
        <v/>
      </c>
      <c r="CU2" s="36" t="str">
        <f ca="1">IF(History!CY2="","",History!CY2)</f>
        <v/>
      </c>
      <c r="CV2" s="36" t="str">
        <f ca="1">IF(History!CZ2="","",History!CZ2)</f>
        <v/>
      </c>
      <c r="CW2" s="36" t="str">
        <f ca="1">IF(History!DA2="","",History!DA2)</f>
        <v/>
      </c>
      <c r="CX2" s="36" t="str">
        <f ca="1">IF(History!DB2="","",History!DB2)</f>
        <v/>
      </c>
      <c r="CY2" s="36" t="str">
        <f ca="1">IF(History!DC2="","",History!DC2)</f>
        <v/>
      </c>
      <c r="CZ2" s="36" t="str">
        <f ca="1">IF(History!DD2="","",History!DD2)</f>
        <v/>
      </c>
      <c r="DA2" s="36" t="str">
        <f ca="1">IF(History!DE2="","",History!DE2)</f>
        <v/>
      </c>
      <c r="DB2" s="36" t="str">
        <f ca="1">IF(History!DF2="","",History!DF2)</f>
        <v/>
      </c>
      <c r="DC2" s="36" t="str">
        <f ca="1">IF(History!DG2="","",History!DG2)</f>
        <v/>
      </c>
      <c r="DD2" s="36" t="str">
        <f ca="1">IF(History!DH2="","",History!DH2)</f>
        <v/>
      </c>
      <c r="DE2" s="36" t="str">
        <f ca="1">IF(History!DI2="","",History!DI2)</f>
        <v/>
      </c>
      <c r="DF2" s="36" t="str">
        <f ca="1">IF(History!DJ2="","",History!DJ2)</f>
        <v/>
      </c>
      <c r="DG2" s="36" t="str">
        <f ca="1">IF(History!DK2="","",History!DK2)</f>
        <v/>
      </c>
      <c r="DH2" s="36" t="str">
        <f ca="1">IF(History!DL2="","",History!DL2)</f>
        <v/>
      </c>
      <c r="DI2" s="36" t="str">
        <f ca="1">IF(History!DM2="","",History!DM2)</f>
        <v/>
      </c>
      <c r="DJ2" s="36" t="str">
        <f ca="1">IF(History!DN2="","",History!DN2)</f>
        <v/>
      </c>
      <c r="DK2" s="36" t="str">
        <f ca="1">IF(History!DO2="","",History!DO2)</f>
        <v/>
      </c>
      <c r="DL2" s="36" t="str">
        <f ca="1">IF(History!DP2="","",History!DP2)</f>
        <v/>
      </c>
      <c r="DM2" s="36" t="str">
        <f ca="1">IF(History!DQ2="","",History!DQ2)</f>
        <v/>
      </c>
      <c r="DN2" s="36" t="str">
        <f ca="1">IF(History!DR2="","",History!DR2)</f>
        <v/>
      </c>
      <c r="DO2" s="36" t="str">
        <f ca="1">IF(History!DS2="","",History!DS2)</f>
        <v/>
      </c>
      <c r="DP2" s="36" t="str">
        <f ca="1">IF(History!DT2="","",History!DT2)</f>
        <v/>
      </c>
      <c r="DQ2" s="36" t="str">
        <f ca="1">IF(History!DU2="","",History!DU2)</f>
        <v/>
      </c>
      <c r="DR2" s="36" t="str">
        <f ca="1">IF(History!DV2="","",History!DV2)</f>
        <v/>
      </c>
      <c r="DS2" s="36" t="str">
        <f ca="1">IF(History!DW2="","",History!DW2)</f>
        <v/>
      </c>
      <c r="DT2" s="36" t="str">
        <f ca="1">IF(History!DX2="","",History!DX2)</f>
        <v/>
      </c>
      <c r="DU2" s="36" t="str">
        <f ca="1">IF(History!DY2="","",History!DY2)</f>
        <v/>
      </c>
      <c r="DV2" s="36" t="str">
        <f ca="1">IF(History!DZ2="","",History!DZ2)</f>
        <v/>
      </c>
      <c r="DW2" s="36" t="str">
        <f ca="1">IF(History!EA2="","",History!EA2)</f>
        <v/>
      </c>
      <c r="DX2" s="36" t="str">
        <f ca="1">IF(History!EB2="","",History!EB2)</f>
        <v/>
      </c>
      <c r="DY2" s="36" t="str">
        <f ca="1">IF(History!EC2="","",History!EC2)</f>
        <v/>
      </c>
      <c r="DZ2" s="36" t="str">
        <f ca="1">IF(History!ED2="","",History!ED2)</f>
        <v/>
      </c>
      <c r="EA2" s="36" t="str">
        <f ca="1">IF(History!EE2="","",History!EE2)</f>
        <v/>
      </c>
      <c r="EB2" s="36" t="str">
        <f ca="1">IF(History!EF2="","",History!EF2)</f>
        <v/>
      </c>
      <c r="EC2" s="36" t="str">
        <f ca="1">IF(History!EG2="","",History!EG2)</f>
        <v/>
      </c>
      <c r="ED2" s="36" t="str">
        <f ca="1">IF(History!EH2="","",History!EH2)</f>
        <v/>
      </c>
      <c r="EE2" s="36" t="str">
        <f ca="1">IF(History!EI2="","",History!EI2)</f>
        <v/>
      </c>
      <c r="EF2" s="36" t="str">
        <f ca="1">IF(History!EJ2="","",History!EJ2)</f>
        <v/>
      </c>
      <c r="EG2" s="36" t="str">
        <f ca="1">IF(History!EK2="","",History!EK2)</f>
        <v/>
      </c>
      <c r="EH2" s="36" t="str">
        <f ca="1">IF(History!EL2="","",History!EL2)</f>
        <v/>
      </c>
      <c r="EI2" s="36" t="str">
        <f ca="1">IF(History!EM2="","",History!EM2)</f>
        <v/>
      </c>
      <c r="EJ2" s="36" t="str">
        <f ca="1">IF(History!EN2="","",History!EN2)</f>
        <v/>
      </c>
      <c r="EK2" s="36" t="str">
        <f ca="1">IF(History!EO2="","",History!EO2)</f>
        <v/>
      </c>
      <c r="EL2" s="36" t="str">
        <f ca="1">IF(History!EP2="","",History!EP2)</f>
        <v/>
      </c>
      <c r="EM2" s="36" t="str">
        <f ca="1">IF(History!EQ2="","",History!EQ2)</f>
        <v/>
      </c>
      <c r="EN2" s="36" t="str">
        <f ca="1">IF(History!ER2="","",History!ER2)</f>
        <v/>
      </c>
      <c r="EO2" s="36" t="str">
        <f ca="1">IF(History!ES2="","",History!ES2)</f>
        <v/>
      </c>
      <c r="EP2" s="36" t="str">
        <f ca="1">IF(History!ET2="","",History!ET2)</f>
        <v/>
      </c>
      <c r="EQ2" s="36" t="str">
        <f ca="1">IF(History!EU2="","",History!EU2)</f>
        <v/>
      </c>
      <c r="ER2" s="36" t="str">
        <f ca="1">IF(History!EV2="","",History!EV2)</f>
        <v/>
      </c>
      <c r="ES2" s="36" t="str">
        <f ca="1">IF(History!EW2="","",History!EW2)</f>
        <v/>
      </c>
      <c r="ET2" s="36" t="str">
        <f ca="1">IF(History!EX2="","",History!EX2)</f>
        <v/>
      </c>
      <c r="EU2" s="36" t="str">
        <f ca="1">IF(History!EY2="","",History!EY2)</f>
        <v/>
      </c>
      <c r="EV2" s="36" t="str">
        <f ca="1">IF(History!EZ2="","",History!EZ2)</f>
        <v/>
      </c>
      <c r="EW2" s="36" t="str">
        <f ca="1">IF(History!FA2="","",History!FA2)</f>
        <v/>
      </c>
      <c r="EX2" s="36" t="str">
        <f ca="1">IF(History!FB2="","",History!FB2)</f>
        <v/>
      </c>
      <c r="EY2" s="36" t="str">
        <f ca="1">IF(History!FC2="","",History!FC2)</f>
        <v/>
      </c>
      <c r="EZ2" s="36" t="str">
        <f ca="1">IF(History!FD2="","",History!FD2)</f>
        <v/>
      </c>
      <c r="FA2" s="36" t="str">
        <f ca="1">IF(History!FE2="","",History!FE2)</f>
        <v/>
      </c>
      <c r="FB2" s="36" t="str">
        <f ca="1">IF(History!FF2="","",History!FF2)</f>
        <v/>
      </c>
      <c r="FC2" s="36" t="str">
        <f ca="1">IF(History!FG2="","",History!FG2)</f>
        <v/>
      </c>
      <c r="FD2" s="36" t="str">
        <f ca="1">IF(History!FH2="","",History!FH2)</f>
        <v/>
      </c>
      <c r="FE2" s="36" t="str">
        <f ca="1">IF(History!FI2="","",History!FI2)</f>
        <v/>
      </c>
      <c r="FF2" s="36" t="str">
        <f ca="1">IF(History!FJ2="","",History!FJ2)</f>
        <v/>
      </c>
      <c r="FG2" s="36" t="str">
        <f ca="1">IF(History!FK2="","",History!FK2)</f>
        <v/>
      </c>
      <c r="FH2" s="36" t="str">
        <f ca="1">IF(History!FL2="","",History!FL2)</f>
        <v/>
      </c>
      <c r="FI2" s="36" t="str">
        <f ca="1">IF(History!FM2="","",History!FM2)</f>
        <v/>
      </c>
      <c r="FJ2" s="36" t="str">
        <f ca="1">IF(History!FN2="","",History!FN2)</f>
        <v/>
      </c>
      <c r="FK2" s="36" t="str">
        <f ca="1">IF(History!FO2="","",History!FO2)</f>
        <v/>
      </c>
      <c r="FL2" s="36" t="str">
        <f ca="1">IF(History!FP2="","",History!FP2)</f>
        <v/>
      </c>
      <c r="FM2" s="36" t="str">
        <f ca="1">IF(History!FQ2="","",History!FQ2)</f>
        <v/>
      </c>
      <c r="FN2" s="36" t="str">
        <f ca="1">IF(History!FR2="","",History!FR2)</f>
        <v/>
      </c>
      <c r="FO2" s="36" t="str">
        <f ca="1">IF(History!FS2="","",History!FS2)</f>
        <v/>
      </c>
      <c r="FP2" s="36" t="str">
        <f ca="1">IF(History!FT2="","",History!FT2)</f>
        <v/>
      </c>
      <c r="FQ2" s="36" t="str">
        <f ca="1">IF(History!FU2="","",History!FU2)</f>
        <v/>
      </c>
      <c r="FR2" s="36" t="str">
        <f ca="1">IF(History!FV2="","",History!FV2)</f>
        <v/>
      </c>
      <c r="FS2" s="36" t="str">
        <f ca="1">IF(History!FW2="","",History!FW2)</f>
        <v/>
      </c>
      <c r="FT2" s="36" t="str">
        <f ca="1">IF(History!FX2="","",History!FX2)</f>
        <v/>
      </c>
      <c r="FU2" s="36" t="str">
        <f ca="1">IF(History!FY2="","",History!FY2)</f>
        <v/>
      </c>
      <c r="FV2" s="36" t="str">
        <f ca="1">IF(History!FZ2="","",History!FZ2)</f>
        <v/>
      </c>
      <c r="FW2" s="36" t="str">
        <f ca="1">IF(History!GA2="","",History!GA2)</f>
        <v/>
      </c>
      <c r="FX2" s="36" t="str">
        <f ca="1">IF(History!GB2="","",History!GB2)</f>
        <v/>
      </c>
      <c r="FY2" s="36" t="str">
        <f ca="1">IF(History!GC2="","",History!GC2)</f>
        <v/>
      </c>
      <c r="FZ2" s="36" t="str">
        <f ca="1">IF(History!GD2="","",History!GD2)</f>
        <v/>
      </c>
      <c r="GA2" s="36" t="str">
        <f ca="1">IF(History!GE2="","",History!GE2)</f>
        <v/>
      </c>
      <c r="GB2" s="36" t="str">
        <f ca="1">IF(History!GF2="","",History!GF2)</f>
        <v/>
      </c>
      <c r="GC2" s="36" t="str">
        <f ca="1">IF(History!GG2="","",History!GG2)</f>
        <v/>
      </c>
      <c r="GD2" s="36" t="str">
        <f ca="1">IF(History!GH2="","",History!GH2)</f>
        <v/>
      </c>
      <c r="GE2" s="36" t="str">
        <f ca="1">IF(History!GI2="","",History!GI2)</f>
        <v/>
      </c>
      <c r="GF2" s="36" t="str">
        <f ca="1">IF(History!GJ2="","",History!GJ2)</f>
        <v/>
      </c>
      <c r="GG2" s="36" t="str">
        <f ca="1">IF(History!GK2="","",History!GK2)</f>
        <v/>
      </c>
      <c r="GH2" s="36" t="str">
        <f ca="1">IF(History!GL2="","",History!GL2)</f>
        <v/>
      </c>
      <c r="GI2" s="36" t="str">
        <f ca="1">IF(History!GM2="","",History!GM2)</f>
        <v/>
      </c>
      <c r="GJ2" s="36" t="str">
        <f ca="1">IF(History!GN2="","",History!GN2)</f>
        <v/>
      </c>
      <c r="GK2" s="36" t="str">
        <f ca="1">IF(History!GO2="","",History!GO2)</f>
        <v/>
      </c>
      <c r="GL2" s="36" t="str">
        <f ca="1">IF(History!GP2="","",History!GP2)</f>
        <v/>
      </c>
      <c r="GM2" s="36" t="str">
        <f ca="1">IF(History!GQ2="","",History!GQ2)</f>
        <v/>
      </c>
      <c r="GN2" s="36" t="str">
        <f ca="1">IF(History!GR2="","",History!GR2)</f>
        <v/>
      </c>
      <c r="GO2" s="36" t="str">
        <f ca="1">IF(History!GS2="","",History!GS2)</f>
        <v/>
      </c>
      <c r="GP2" s="36" t="str">
        <f ca="1">IF(History!GT2="","",History!GT2)</f>
        <v/>
      </c>
      <c r="GQ2" s="36" t="str">
        <f ca="1">IF(History!GU2="","",History!GU2)</f>
        <v/>
      </c>
      <c r="GR2" s="36" t="str">
        <f ca="1">IF(History!GV2="","",History!GV2)</f>
        <v/>
      </c>
      <c r="GS2" s="36" t="str">
        <f ca="1">IF(History!GW2="","",History!GW2)</f>
        <v/>
      </c>
      <c r="GT2" s="36" t="str">
        <f ca="1">IF(History!GX2="","",History!GX2)</f>
        <v/>
      </c>
      <c r="GU2" s="36" t="str">
        <f ca="1">IF(History!GY2="","",History!GY2)</f>
        <v/>
      </c>
      <c r="GV2" s="36" t="str">
        <f ca="1">IF(History!GZ2="","",History!GZ2)</f>
        <v/>
      </c>
      <c r="GW2" s="36" t="str">
        <f ca="1">IF(History!HA2="","",History!HA2)</f>
        <v/>
      </c>
      <c r="GX2" s="36" t="str">
        <f ca="1">IF(History!HB2="","",History!HB2)</f>
        <v/>
      </c>
      <c r="GY2" s="36" t="str">
        <f ca="1">IF(History!HC2="","",History!HC2)</f>
        <v/>
      </c>
      <c r="GZ2" s="36" t="str">
        <f ca="1">IF(History!HD2="","",History!HD2)</f>
        <v/>
      </c>
      <c r="HA2" s="36" t="str">
        <f ca="1">IF(History!HE2="","",History!HE2)</f>
        <v/>
      </c>
      <c r="HB2" s="36" t="str">
        <f ca="1">IF(History!HF2="","",History!HF2)</f>
        <v/>
      </c>
      <c r="HC2" s="36" t="str">
        <f ca="1">IF(History!HG2="","",History!HG2)</f>
        <v/>
      </c>
      <c r="HD2" s="36" t="str">
        <f ca="1">IF(History!HH2="","",History!HH2)</f>
        <v/>
      </c>
      <c r="HE2" s="36" t="str">
        <f ca="1">IF(History!HI2="","",History!HI2)</f>
        <v/>
      </c>
      <c r="HF2" s="36" t="str">
        <f ca="1">IF(History!HJ2="","",History!HJ2)</f>
        <v/>
      </c>
      <c r="HG2" s="36" t="str">
        <f ca="1">IF(History!HK2="","",History!HK2)</f>
        <v/>
      </c>
      <c r="HH2" s="36" t="str">
        <f ca="1">IF(History!HL2="","",History!HL2)</f>
        <v/>
      </c>
      <c r="HI2" s="36" t="str">
        <f ca="1">IF(History!HM2="","",History!HM2)</f>
        <v/>
      </c>
      <c r="HJ2" s="36" t="str">
        <f ca="1">IF(History!HN2="","",History!HN2)</f>
        <v/>
      </c>
      <c r="HK2" s="36" t="str">
        <f ca="1">IF(History!HO2="","",History!HO2)</f>
        <v/>
      </c>
      <c r="HL2" s="36" t="str">
        <f ca="1">IF(History!HP2="","",History!HP2)</f>
        <v/>
      </c>
      <c r="HM2" s="36" t="str">
        <f ca="1">IF(History!HQ2="","",History!HQ2)</f>
        <v/>
      </c>
      <c r="HN2" s="36" t="str">
        <f ca="1">IF(History!HR2="","",History!HR2)</f>
        <v/>
      </c>
      <c r="HO2" s="36" t="str">
        <f ca="1">IF(History!HS2="","",History!HS2)</f>
        <v/>
      </c>
      <c r="HP2" s="36" t="str">
        <f ca="1">IF(History!HT2="","",History!HT2)</f>
        <v/>
      </c>
      <c r="HQ2" s="36" t="str">
        <f ca="1">IF(History!HU2="","",History!HU2)</f>
        <v/>
      </c>
      <c r="HR2" s="36" t="str">
        <f ca="1">IF(History!HV2="","",History!HV2)</f>
        <v/>
      </c>
      <c r="HS2" s="36" t="str">
        <f ca="1">IF(History!HW2="","",History!HW2)</f>
        <v/>
      </c>
      <c r="HT2" s="36" t="str">
        <f ca="1">IF(History!HX2="","",History!HX2)</f>
        <v/>
      </c>
      <c r="HU2" s="36" t="str">
        <f ca="1">IF(History!HY2="","",History!HY2)</f>
        <v/>
      </c>
      <c r="HV2" s="36" t="str">
        <f ca="1">IF(History!HZ2="","",History!HZ2)</f>
        <v/>
      </c>
      <c r="HW2" s="36" t="str">
        <f ca="1">IF(History!IA2="","",History!IA2)</f>
        <v/>
      </c>
      <c r="HX2" s="36" t="str">
        <f ca="1">IF(History!IB2="","",History!IB2)</f>
        <v/>
      </c>
      <c r="HY2" s="36" t="str">
        <f ca="1">IF(History!IC2="","",History!IC2)</f>
        <v/>
      </c>
      <c r="HZ2" s="36" t="str">
        <f ca="1">IF(History!ID2="","",History!ID2)</f>
        <v/>
      </c>
      <c r="IA2" s="36" t="str">
        <f ca="1">IF(History!IE2="","",History!IE2)</f>
        <v/>
      </c>
      <c r="IB2" s="36" t="str">
        <f ca="1">IF(History!IF2="","",History!IF2)</f>
        <v/>
      </c>
      <c r="IC2" s="36" t="str">
        <f ca="1">IF(History!IG2="","",History!IG2)</f>
        <v/>
      </c>
      <c r="ID2" s="36" t="str">
        <f ca="1">IF(History!IH2="","",History!IH2)</f>
        <v/>
      </c>
      <c r="IE2" s="36" t="str">
        <f ca="1">IF(History!II2="","",History!II2)</f>
        <v/>
      </c>
      <c r="IF2" s="36" t="str">
        <f ca="1">IF(History!IJ2="","",History!IJ2)</f>
        <v/>
      </c>
      <c r="IG2" s="36" t="str">
        <f ca="1">IF(History!IK2="","",History!IK2)</f>
        <v/>
      </c>
      <c r="IH2" s="36" t="str">
        <f ca="1">IF(History!IL2="","",History!IL2)</f>
        <v/>
      </c>
      <c r="II2" s="36" t="str">
        <f ca="1">IF(History!IM2="","",History!IM2)</f>
        <v/>
      </c>
      <c r="IJ2" s="36" t="str">
        <f ca="1">IF(History!IN2="","",History!IN2)</f>
        <v/>
      </c>
      <c r="IK2" s="36" t="str">
        <f ca="1">IF(History!IO2="","",History!IO2)</f>
        <v/>
      </c>
      <c r="IL2" s="36" t="str">
        <f ca="1">IF(History!IP2="","",History!IP2)</f>
        <v/>
      </c>
      <c r="IM2" s="36" t="str">
        <f ca="1">IF(History!IQ2="","",History!IQ2)</f>
        <v/>
      </c>
      <c r="IN2" s="36" t="str">
        <f ca="1">IF(History!IR2="","",History!IR2)</f>
        <v/>
      </c>
      <c r="IO2" s="36" t="str">
        <f ca="1">IF(History!IS2="","",History!IS2)</f>
        <v/>
      </c>
      <c r="IP2" s="36" t="str">
        <f ca="1">IF(History!IT2="","",History!IT2)</f>
        <v/>
      </c>
      <c r="IQ2" s="36" t="str">
        <f ca="1">IF(History!IU2="","",History!IU2)</f>
        <v/>
      </c>
      <c r="IR2" s="36" t="str">
        <f ca="1">IF(History!IV2="","",History!IV2)</f>
        <v/>
      </c>
      <c r="IS2" s="36" t="str">
        <f ca="1">IF(History!IW2="","",History!IW2)</f>
        <v/>
      </c>
      <c r="IT2" s="36" t="str">
        <f ca="1">IF(History!IX2="","",History!IX2)</f>
        <v/>
      </c>
      <c r="IU2" s="36" t="str">
        <f ca="1">IF(History!IY2="","",History!IY2)</f>
        <v/>
      </c>
      <c r="IV2" s="36" t="str">
        <f ca="1">IF(History!IZ2="","",History!IZ2)</f>
        <v/>
      </c>
      <c r="IW2" s="36" t="str">
        <f ca="1">IF(History!JA2="","",History!JA2)</f>
        <v/>
      </c>
      <c r="IX2" s="36" t="str">
        <f ca="1">IF(History!JB2="","",History!JB2)</f>
        <v/>
      </c>
      <c r="IY2" s="36" t="str">
        <f ca="1">IF(History!JC2="","",History!JC2)</f>
        <v/>
      </c>
      <c r="IZ2" s="36" t="str">
        <f ca="1">IF(History!JD2="","",History!JD2)</f>
        <v/>
      </c>
      <c r="JA2" s="36" t="str">
        <f ca="1">IF(History!JE2="","",History!JE2)</f>
        <v/>
      </c>
      <c r="JB2" s="36" t="str">
        <f ca="1">IF(History!JF2="","",History!JF2)</f>
        <v/>
      </c>
      <c r="JC2" s="36" t="str">
        <f ca="1">IF(History!JG2="","",History!JG2)</f>
        <v/>
      </c>
      <c r="JD2" s="36" t="str">
        <f ca="1">IF(History!JH2="","",History!JH2)</f>
        <v/>
      </c>
      <c r="JE2" s="36" t="str">
        <f ca="1">IF(History!JI2="","",History!JI2)</f>
        <v/>
      </c>
      <c r="JF2" s="36" t="str">
        <f ca="1">IF(History!JJ2="","",History!JJ2)</f>
        <v/>
      </c>
      <c r="JG2" s="36" t="str">
        <f ca="1">IF(History!JK2="","",History!JK2)</f>
        <v/>
      </c>
      <c r="JH2" s="36" t="str">
        <f ca="1">IF(History!JL2="","",History!JL2)</f>
        <v/>
      </c>
      <c r="JI2" s="36" t="str">
        <f ca="1">IF(History!JM2="","",History!JM2)</f>
        <v/>
      </c>
      <c r="JJ2" s="36" t="str">
        <f ca="1">IF(History!JN2="","",History!JN2)</f>
        <v/>
      </c>
      <c r="JK2" s="36" t="str">
        <f ca="1">IF(History!JO2="","",History!JO2)</f>
        <v/>
      </c>
      <c r="JL2" s="36" t="str">
        <f ca="1">IF(History!JP2="","",History!JP2)</f>
        <v/>
      </c>
      <c r="JM2" s="36" t="str">
        <f ca="1">IF(History!JQ2="","",History!JQ2)</f>
        <v/>
      </c>
      <c r="JN2" s="36" t="str">
        <f ca="1">IF(History!JR2="","",History!JR2)</f>
        <v/>
      </c>
      <c r="JO2" s="36" t="str">
        <f ca="1">IF(History!JS2="","",History!JS2)</f>
        <v/>
      </c>
      <c r="JP2" s="36" t="str">
        <f ca="1">IF(History!JT2="","",History!JT2)</f>
        <v/>
      </c>
      <c r="JQ2" s="36" t="str">
        <f ca="1">IF(History!JU2="","",History!JU2)</f>
        <v/>
      </c>
      <c r="JR2" s="36" t="str">
        <f ca="1">IF(History!JV2="","",History!JV2)</f>
        <v/>
      </c>
      <c r="JS2" s="36" t="str">
        <f ca="1">IF(History!JW2="","",History!JW2)</f>
        <v/>
      </c>
      <c r="JT2" s="36" t="str">
        <f ca="1">IF(History!JX2="","",History!JX2)</f>
        <v/>
      </c>
      <c r="JU2" s="36" t="str">
        <f ca="1">IF(History!JY2="","",History!JY2)</f>
        <v/>
      </c>
      <c r="JV2" s="36" t="str">
        <f ca="1">IF(History!JZ2="","",History!JZ2)</f>
        <v/>
      </c>
      <c r="JW2" s="36" t="str">
        <f ca="1">IF(History!KA2="","",History!KA2)</f>
        <v/>
      </c>
      <c r="JX2" s="36" t="str">
        <f ca="1">IF(History!KB2="","",History!KB2)</f>
        <v/>
      </c>
      <c r="JY2" s="36" t="str">
        <f ca="1">IF(History!KC2="","",History!KC2)</f>
        <v/>
      </c>
      <c r="JZ2" s="36" t="str">
        <f ca="1">IF(History!KD2="","",History!KD2)</f>
        <v/>
      </c>
      <c r="KA2" s="36" t="str">
        <f ca="1">IF(History!KE2="","",History!KE2)</f>
        <v/>
      </c>
      <c r="KB2" s="36" t="str">
        <f ca="1">IF(History!KF2="","",History!KF2)</f>
        <v/>
      </c>
    </row>
    <row r="3" spans="1:288" ht="15.75" customHeight="1">
      <c r="A3" s="18" t="s">
        <v>132</v>
      </c>
      <c r="B3" s="6" t="s">
        <v>133</v>
      </c>
      <c r="C3" s="26">
        <v>903</v>
      </c>
      <c r="D3" s="11" t="e">
        <f ca="1">IF(History!H$2="","",#REF!*$C$3)</f>
        <v>#REF!</v>
      </c>
      <c r="E3" s="11" t="e">
        <f ca="1">IF(History!I$2="","",#REF!*$C$3)</f>
        <v>#REF!</v>
      </c>
      <c r="F3" s="11" t="e">
        <f ca="1">IF(History!J$2="","",#REF!*$C$3)</f>
        <v>#REF!</v>
      </c>
      <c r="G3" s="11" t="e">
        <f ca="1">IF(History!K$2="","",#REF!*$C$3)</f>
        <v>#REF!</v>
      </c>
      <c r="H3" s="11" t="e">
        <f ca="1">IF(History!L$2="","",#REF!*$C$3)</f>
        <v>#REF!</v>
      </c>
      <c r="I3" s="11" t="e">
        <f ca="1">IF(History!M$2="","",#REF!*$C$3)</f>
        <v>#REF!</v>
      </c>
      <c r="J3" s="11" t="e">
        <f ca="1">IF(History!N$2="","",#REF!*$C$3)</f>
        <v>#REF!</v>
      </c>
      <c r="K3" s="11" t="e">
        <f ca="1">IF(History!O$2="","",#REF!*$C$3)</f>
        <v>#REF!</v>
      </c>
      <c r="L3" s="11" t="e">
        <f ca="1">IF(History!P$2="","",#REF!*$C$3)</f>
        <v>#REF!</v>
      </c>
      <c r="M3" s="11" t="e">
        <f ca="1">IF(History!Q$2="","",#REF!*$C$3)</f>
        <v>#REF!</v>
      </c>
      <c r="N3" s="11" t="e">
        <f ca="1">IF(History!R$2="","",#REF!*$C$3)</f>
        <v>#REF!</v>
      </c>
      <c r="O3" s="11" t="e">
        <f ca="1">IF(History!S$2="","",#REF!*$C$3)</f>
        <v>#REF!</v>
      </c>
      <c r="P3" s="11" t="e">
        <f ca="1">IF(History!T$2="","",#REF!*$C$3)</f>
        <v>#REF!</v>
      </c>
      <c r="Q3" s="11" t="e">
        <f ca="1">IF(History!U$2="","",#REF!*$C$3)</f>
        <v>#REF!</v>
      </c>
      <c r="R3" s="11" t="e">
        <f ca="1">IF(History!V$2="","",#REF!*$C$3)</f>
        <v>#REF!</v>
      </c>
      <c r="S3" s="11" t="e">
        <f ca="1">IF(History!W$2="","",#REF!*$C$3)</f>
        <v>#REF!</v>
      </c>
      <c r="T3" s="11" t="e">
        <f ca="1">IF(History!X$2="","",#REF!*$C$3)</f>
        <v>#REF!</v>
      </c>
      <c r="U3" s="11" t="e">
        <f ca="1">IF(History!Y$2="","",#REF!*$C$3)</f>
        <v>#REF!</v>
      </c>
      <c r="V3" s="11" t="e">
        <f ca="1">IF(History!Z$2="","",#REF!*$C$3)</f>
        <v>#REF!</v>
      </c>
      <c r="W3" s="11" t="e">
        <f ca="1">IF(History!AA$2="","",#REF!*$C$3)</f>
        <v>#REF!</v>
      </c>
      <c r="X3" s="11" t="e">
        <f ca="1">IF(History!AB$2="","",#REF!*$C$3)</f>
        <v>#REF!</v>
      </c>
      <c r="Y3" s="11" t="e">
        <f ca="1">IF(History!AC$2="","",#REF!*$C$3)</f>
        <v>#REF!</v>
      </c>
      <c r="Z3" s="11" t="e">
        <f ca="1">IF(History!AD$2="","",#REF!*$C$3)</f>
        <v>#REF!</v>
      </c>
      <c r="AA3" s="11" t="e">
        <f ca="1">IF(History!AE$2="","",#REF!*$C$3)</f>
        <v>#REF!</v>
      </c>
      <c r="AB3" s="11" t="e">
        <f ca="1">IF(History!AF$2="","",#REF!*$C$3)</f>
        <v>#REF!</v>
      </c>
      <c r="AC3" s="11" t="e">
        <f ca="1">IF(History!AG$2="","",#REF!*$C$3)</f>
        <v>#REF!</v>
      </c>
      <c r="AD3" s="11" t="e">
        <f ca="1">IF(History!AH$2="","",#REF!*$C$3)</f>
        <v>#REF!</v>
      </c>
      <c r="AE3" s="11" t="e">
        <f ca="1">IF(History!AI$2="","",#REF!*$C$3)</f>
        <v>#REF!</v>
      </c>
      <c r="AF3" s="11" t="e">
        <f ca="1">IF(History!AJ$2="","",#REF!*$C$3)</f>
        <v>#REF!</v>
      </c>
      <c r="AG3" s="11" t="e">
        <f ca="1">IF(History!AK$2="","",#REF!*$C$3)</f>
        <v>#REF!</v>
      </c>
      <c r="AH3" s="11" t="e">
        <f ca="1">IF(History!AL$2="","",#REF!*$C$3)</f>
        <v>#REF!</v>
      </c>
      <c r="AI3" s="11" t="e">
        <f ca="1">IF(History!AM$2="","",#REF!*$C$3)</f>
        <v>#REF!</v>
      </c>
      <c r="AJ3" s="11" t="e">
        <f ca="1">IF(History!AN$2="","",#REF!*$C$3)</f>
        <v>#REF!</v>
      </c>
      <c r="AK3" s="11" t="e">
        <f ca="1">IF(History!AO$2="","",#REF!*$C$3)</f>
        <v>#REF!</v>
      </c>
      <c r="AL3" s="11" t="e">
        <f ca="1">IF(History!AP$2="","",#REF!*$C$3)</f>
        <v>#REF!</v>
      </c>
      <c r="AM3" s="11" t="e">
        <f ca="1">IF(History!AQ$2="","",#REF!*$C$3)</f>
        <v>#REF!</v>
      </c>
      <c r="AN3" s="11" t="e">
        <f ca="1">IF(History!AR$2="","",#REF!*$C$3)</f>
        <v>#REF!</v>
      </c>
      <c r="AO3" s="11" t="e">
        <f ca="1">IF(History!AS$2="","",#REF!*$C$3)</f>
        <v>#REF!</v>
      </c>
      <c r="AP3" s="11" t="e">
        <f ca="1">IF(History!AT$2="","",#REF!*$C$3)</f>
        <v>#REF!</v>
      </c>
      <c r="AQ3" s="11" t="e">
        <f ca="1">IF(History!AU$2="","",#REF!*$C$3)</f>
        <v>#REF!</v>
      </c>
      <c r="AR3" s="11" t="e">
        <f ca="1">IF(History!AV$2="","",#REF!*$C$3)</f>
        <v>#REF!</v>
      </c>
      <c r="AS3" s="11" t="e">
        <f ca="1">IF(History!AW$2="","",#REF!*$C$3)</f>
        <v>#REF!</v>
      </c>
      <c r="AT3" s="11" t="e">
        <f ca="1">IF(History!AX$2="","",#REF!*$C$3)</f>
        <v>#REF!</v>
      </c>
      <c r="AU3" s="11" t="e">
        <f ca="1">IF(History!AY$2="","",#REF!*$C$3)</f>
        <v>#REF!</v>
      </c>
      <c r="AV3" s="11" t="e">
        <f ca="1">IF(History!AZ$2="","",#REF!*$C$3)</f>
        <v>#REF!</v>
      </c>
      <c r="AW3" s="11" t="e">
        <f ca="1">IF(History!BA$2="","",#REF!*$C$3)</f>
        <v>#REF!</v>
      </c>
      <c r="AX3" s="11" t="e">
        <f ca="1">IF(History!BB$2="","",#REF!*$C$3)</f>
        <v>#REF!</v>
      </c>
      <c r="AY3" s="11" t="e">
        <f ca="1">IF(History!BC$2="","",#REF!*$C$3)</f>
        <v>#REF!</v>
      </c>
      <c r="AZ3" s="11" t="e">
        <f ca="1">IF(History!BD$2="","",#REF!*$C$3)</f>
        <v>#REF!</v>
      </c>
      <c r="BA3" s="11" t="e">
        <f ca="1">IF(History!BE$2="","",#REF!*$C$3)</f>
        <v>#REF!</v>
      </c>
      <c r="BB3" s="11" t="e">
        <f ca="1">IF(History!BF$2="","",#REF!*$C$3)</f>
        <v>#REF!</v>
      </c>
      <c r="BC3" s="11" t="e">
        <f ca="1">IF(History!BG$2="","",#REF!*$C$3)</f>
        <v>#REF!</v>
      </c>
      <c r="BD3" s="11" t="e">
        <f ca="1">IF(History!BH$2="","",#REF!*$C$3)</f>
        <v>#REF!</v>
      </c>
      <c r="BE3" s="11" t="e">
        <f ca="1">IF(History!BI$2="","",#REF!*$C$3)</f>
        <v>#REF!</v>
      </c>
      <c r="BF3" s="11" t="e">
        <f ca="1">IF(History!BJ$2="","",#REF!*$C$3)</f>
        <v>#REF!</v>
      </c>
      <c r="BG3" s="11" t="e">
        <f ca="1">IF(History!BK$2="","",#REF!*$C$3)</f>
        <v>#REF!</v>
      </c>
      <c r="BH3" s="11" t="e">
        <f ca="1">IF(History!BL$2="","",#REF!*$C$3)</f>
        <v>#REF!</v>
      </c>
      <c r="BI3" s="11" t="e">
        <f ca="1">IF(History!BM$2="","",#REF!*$C$3)</f>
        <v>#REF!</v>
      </c>
      <c r="BJ3" s="11" t="e">
        <f ca="1">IF(History!BN$2="","",#REF!*$C$3)</f>
        <v>#REF!</v>
      </c>
      <c r="BK3" s="11" t="e">
        <f ca="1">IF(History!BO$2="","",#REF!*$C$3)</f>
        <v>#REF!</v>
      </c>
      <c r="BL3" s="11" t="e">
        <f ca="1">IF(History!BP$2="","",#REF!*$C$3)</f>
        <v>#REF!</v>
      </c>
      <c r="BM3" s="11" t="e">
        <f ca="1">IF(History!BQ$2="","",#REF!*$C$3)</f>
        <v>#REF!</v>
      </c>
      <c r="BN3" s="11" t="e">
        <f ca="1">IF(History!BR$2="","",#REF!*$C$3)</f>
        <v>#REF!</v>
      </c>
      <c r="BO3" s="11" t="e">
        <f ca="1">IF(History!BS$2="","",#REF!*$C$3)</f>
        <v>#REF!</v>
      </c>
      <c r="BP3" s="11" t="e">
        <f ca="1">IF(History!BT$2="","",#REF!*$C$3)</f>
        <v>#REF!</v>
      </c>
      <c r="BQ3" s="11" t="e">
        <f ca="1">IF(History!BU$2="","",#REF!*$C$3)</f>
        <v>#REF!</v>
      </c>
      <c r="BR3" s="11" t="e">
        <f ca="1">IF(History!BV$2="","",#REF!*$C$3)</f>
        <v>#REF!</v>
      </c>
      <c r="BS3" s="11" t="e">
        <f ca="1">IF(History!BW$2="","",#REF!*$C$3)</f>
        <v>#REF!</v>
      </c>
      <c r="BT3" s="11" t="e">
        <f ca="1">IF(History!BX$2="","",#REF!*$C$3)</f>
        <v>#REF!</v>
      </c>
      <c r="BU3" s="11" t="e">
        <f ca="1">IF(History!BY$2="","",#REF!*$C$3)</f>
        <v>#REF!</v>
      </c>
      <c r="BV3" s="11" t="e">
        <f ca="1">IF(History!BZ$2="","",#REF!*$C$3)</f>
        <v>#REF!</v>
      </c>
      <c r="BW3" s="11" t="e">
        <f ca="1">IF(History!CA$2="","",#REF!*$C$3)</f>
        <v>#REF!</v>
      </c>
      <c r="BX3" s="11" t="e">
        <f ca="1">IF(History!CB$2="","",#REF!*$C$3)</f>
        <v>#REF!</v>
      </c>
      <c r="BY3" s="11" t="e">
        <f ca="1">IF(History!CC$2="","",#REF!*$C$3)</f>
        <v>#REF!</v>
      </c>
      <c r="BZ3" s="11" t="e">
        <f ca="1">IF(History!CD$2="","",#REF!*$C$3)</f>
        <v>#REF!</v>
      </c>
      <c r="CA3" s="11" t="e">
        <f ca="1">IF(History!CE$2="","",#REF!*$C$3)</f>
        <v>#REF!</v>
      </c>
      <c r="CB3" s="11" t="e">
        <f ca="1">IF(History!CF$2="","",#REF!*$C$3)</f>
        <v>#REF!</v>
      </c>
      <c r="CC3" s="11" t="e">
        <f ca="1">IF(History!CG$2="","",#REF!*$C$3)</f>
        <v>#REF!</v>
      </c>
      <c r="CD3" s="11" t="e">
        <f ca="1">IF(History!CH$2="","",#REF!*$C$3)</f>
        <v>#REF!</v>
      </c>
      <c r="CE3" s="11" t="e">
        <f ca="1">IF(History!CI$2="","",#REF!*$C$3)</f>
        <v>#REF!</v>
      </c>
      <c r="CF3" s="11" t="str">
        <f ca="1">IF(History!CJ$2="","",#REF!*$C$3)</f>
        <v/>
      </c>
      <c r="CG3" s="11" t="str">
        <f ca="1">IF(History!CK$2="","",#REF!*$C$3)</f>
        <v/>
      </c>
      <c r="CH3" s="11" t="str">
        <f ca="1">IF(History!CL$2="","",#REF!*$C$3)</f>
        <v/>
      </c>
      <c r="CI3" s="11" t="str">
        <f ca="1">IF(History!CM$2="","",#REF!*$C$3)</f>
        <v/>
      </c>
      <c r="CJ3" s="11" t="str">
        <f ca="1">IF(History!CN$2="","",#REF!*$C$3)</f>
        <v/>
      </c>
      <c r="CK3" s="11" t="str">
        <f ca="1">IF(History!CO$2="","",#REF!*$C$3)</f>
        <v/>
      </c>
      <c r="CL3" s="11" t="str">
        <f ca="1">IF(History!CP$2="","",#REF!*$C$3)</f>
        <v/>
      </c>
      <c r="CM3" s="11" t="str">
        <f ca="1">IF(History!CQ$2="","",#REF!*$C$3)</f>
        <v/>
      </c>
      <c r="CN3" s="11" t="str">
        <f ca="1">IF(History!CR$2="","",#REF!*$C$3)</f>
        <v/>
      </c>
      <c r="CO3" s="11" t="str">
        <f ca="1">IF(History!CS$2="","",#REF!*$C$3)</f>
        <v/>
      </c>
      <c r="CP3" s="11" t="str">
        <f ca="1">IF(History!CT$2="","",#REF!*$C$3)</f>
        <v/>
      </c>
      <c r="CQ3" s="11" t="str">
        <f ca="1">IF(History!CU$2="","",#REF!*$C$3)</f>
        <v/>
      </c>
      <c r="CR3" s="11" t="str">
        <f ca="1">IF(History!CV$2="","",#REF!*$C$3)</f>
        <v/>
      </c>
      <c r="CS3" s="11" t="str">
        <f ca="1">IF(History!CW$2="","",#REF!*$C$3)</f>
        <v/>
      </c>
      <c r="CT3" s="11" t="str">
        <f ca="1">IF(History!CX$2="","",#REF!*$C$3)</f>
        <v/>
      </c>
      <c r="CU3" s="11" t="str">
        <f ca="1">IF(History!CY$2="","",#REF!*$C$3)</f>
        <v/>
      </c>
      <c r="CV3" s="11" t="str">
        <f ca="1">IF(History!CZ$2="","",#REF!*$C$3)</f>
        <v/>
      </c>
      <c r="CW3" s="11" t="str">
        <f ca="1">IF(History!DA$2="","",#REF!*$C$3)</f>
        <v/>
      </c>
      <c r="CX3" s="11" t="str">
        <f ca="1">IF(History!DB$2="","",#REF!*$C$3)</f>
        <v/>
      </c>
      <c r="CY3" s="11" t="str">
        <f ca="1">IF(History!DC$2="","",#REF!*$C$3)</f>
        <v/>
      </c>
      <c r="CZ3" s="11" t="str">
        <f ca="1">IF(History!DD$2="","",#REF!*$C$3)</f>
        <v/>
      </c>
      <c r="DA3" s="11" t="str">
        <f ca="1">IF(History!DE$2="","",#REF!*$C$3)</f>
        <v/>
      </c>
      <c r="DB3" s="11" t="str">
        <f ca="1">IF(History!DF$2="","",#REF!*$C$3)</f>
        <v/>
      </c>
      <c r="DC3" s="11" t="str">
        <f ca="1">IF(History!DG$2="","",#REF!*$C$3)</f>
        <v/>
      </c>
      <c r="DD3" s="11" t="str">
        <f ca="1">IF(History!DH$2="","",#REF!*$C$3)</f>
        <v/>
      </c>
      <c r="DE3" s="11" t="str">
        <f ca="1">IF(History!DI$2="","",#REF!*$C$3)</f>
        <v/>
      </c>
      <c r="DF3" s="11" t="str">
        <f ca="1">IF(History!DJ$2="","",#REF!*$C$3)</f>
        <v/>
      </c>
      <c r="DG3" s="11" t="str">
        <f ca="1">IF(History!DK$2="","",#REF!*$C$3)</f>
        <v/>
      </c>
      <c r="DH3" s="11" t="str">
        <f ca="1">IF(History!DL$2="","",#REF!*$C$3)</f>
        <v/>
      </c>
      <c r="DI3" s="11" t="str">
        <f ca="1">IF(History!DM$2="","",#REF!*$C$3)</f>
        <v/>
      </c>
      <c r="DJ3" s="11" t="str">
        <f ca="1">IF(History!DN$2="","",#REF!*$C$3)</f>
        <v/>
      </c>
      <c r="DK3" s="11" t="str">
        <f ca="1">IF(History!DO$2="","",#REF!*$C$3)</f>
        <v/>
      </c>
      <c r="DL3" s="11" t="str">
        <f ca="1">IF(History!DP$2="","",#REF!*$C$3)</f>
        <v/>
      </c>
      <c r="DM3" s="11" t="str">
        <f ca="1">IF(History!DQ$2="","",#REF!*$C$3)</f>
        <v/>
      </c>
      <c r="DN3" s="11" t="str">
        <f ca="1">IF(History!DR$2="","",#REF!*$C$3)</f>
        <v/>
      </c>
      <c r="DO3" s="11" t="str">
        <f ca="1">IF(History!DS$2="","",#REF!*$C$3)</f>
        <v/>
      </c>
      <c r="DP3" s="11" t="str">
        <f ca="1">IF(History!DT$2="","",#REF!*$C$3)</f>
        <v/>
      </c>
      <c r="DQ3" s="11" t="str">
        <f ca="1">IF(History!DU$2="","",#REF!*$C$3)</f>
        <v/>
      </c>
      <c r="DR3" s="11" t="str">
        <f ca="1">IF(History!DV$2="","",#REF!*$C$3)</f>
        <v/>
      </c>
      <c r="DS3" s="11" t="str">
        <f ca="1">IF(History!DW$2="","",#REF!*$C$3)</f>
        <v/>
      </c>
      <c r="DT3" s="11" t="str">
        <f ca="1">IF(History!DX$2="","",#REF!*$C$3)</f>
        <v/>
      </c>
      <c r="DU3" s="11" t="str">
        <f ca="1">IF(History!DY$2="","",#REF!*$C$3)</f>
        <v/>
      </c>
      <c r="DV3" s="11" t="str">
        <f ca="1">IF(History!DZ$2="","",#REF!*$C$3)</f>
        <v/>
      </c>
      <c r="DW3" s="11" t="str">
        <f ca="1">IF(History!EA$2="","",#REF!*$C$3)</f>
        <v/>
      </c>
      <c r="DX3" s="11" t="str">
        <f ca="1">IF(History!EB$2="","",#REF!*$C$3)</f>
        <v/>
      </c>
      <c r="DY3" s="11" t="str">
        <f ca="1">IF(History!EC$2="","",#REF!*$C$3)</f>
        <v/>
      </c>
      <c r="DZ3" s="11" t="str">
        <f ca="1">IF(History!ED$2="","",#REF!*$C$3)</f>
        <v/>
      </c>
      <c r="EA3" s="11" t="str">
        <f ca="1">IF(History!EE$2="","",#REF!*$C$3)</f>
        <v/>
      </c>
      <c r="EB3" s="11" t="str">
        <f ca="1">IF(History!EF$2="","",#REF!*$C$3)</f>
        <v/>
      </c>
      <c r="EC3" s="11" t="str">
        <f ca="1">IF(History!EG$2="","",#REF!*$C$3)</f>
        <v/>
      </c>
      <c r="ED3" s="11" t="str">
        <f ca="1">IF(History!EH$2="","",#REF!*$C$3)</f>
        <v/>
      </c>
      <c r="EE3" s="11" t="str">
        <f ca="1">IF(History!EI$2="","",#REF!*$C$3)</f>
        <v/>
      </c>
      <c r="EF3" s="11" t="str">
        <f ca="1">IF(History!EJ$2="","",#REF!*$C$3)</f>
        <v/>
      </c>
      <c r="EG3" s="11" t="str">
        <f ca="1">IF(History!EK$2="","",#REF!*$C$3)</f>
        <v/>
      </c>
      <c r="EH3" s="11" t="str">
        <f ca="1">IF(History!EL$2="","",#REF!*$C$3)</f>
        <v/>
      </c>
      <c r="EI3" s="11" t="str">
        <f ca="1">IF(History!EM$2="","",#REF!*$C$3)</f>
        <v/>
      </c>
      <c r="EJ3" s="11" t="str">
        <f ca="1">IF(History!EN$2="","",#REF!*$C$3)</f>
        <v/>
      </c>
      <c r="EK3" s="11" t="str">
        <f ca="1">IF(History!EO$2="","",#REF!*$C$3)</f>
        <v/>
      </c>
      <c r="EL3" s="11" t="str">
        <f ca="1">IF(History!EP$2="","",#REF!*$C$3)</f>
        <v/>
      </c>
      <c r="EM3" s="11" t="str">
        <f ca="1">IF(History!EQ$2="","",#REF!*$C$3)</f>
        <v/>
      </c>
      <c r="EN3" s="11" t="str">
        <f ca="1">IF(History!ER$2="","",#REF!*$C$3)</f>
        <v/>
      </c>
      <c r="EO3" s="11" t="str">
        <f ca="1">IF(History!ES$2="","",#REF!*$C$3)</f>
        <v/>
      </c>
      <c r="EP3" s="11" t="str">
        <f ca="1">IF(History!ET$2="","",#REF!*$C$3)</f>
        <v/>
      </c>
      <c r="EQ3" s="11" t="str">
        <f ca="1">IF(History!EU$2="","",#REF!*$C$3)</f>
        <v/>
      </c>
      <c r="ER3" s="11" t="str">
        <f ca="1">IF(History!EV$2="","",#REF!*$C$3)</f>
        <v/>
      </c>
      <c r="ES3" s="11" t="str">
        <f ca="1">IF(History!EW$2="","",#REF!*$C$3)</f>
        <v/>
      </c>
      <c r="ET3" s="11" t="str">
        <f ca="1">IF(History!EX$2="","",#REF!*$C$3)</f>
        <v/>
      </c>
      <c r="EU3" s="11" t="str">
        <f ca="1">IF(History!EY$2="","",#REF!*$C$3)</f>
        <v/>
      </c>
      <c r="EV3" s="11" t="str">
        <f ca="1">IF(History!EZ$2="","",#REF!*$C$3)</f>
        <v/>
      </c>
      <c r="EW3" s="11" t="str">
        <f ca="1">IF(History!FA$2="","",#REF!*$C$3)</f>
        <v/>
      </c>
      <c r="EX3" s="11" t="str">
        <f ca="1">IF(History!FB$2="","",#REF!*$C$3)</f>
        <v/>
      </c>
      <c r="EY3" s="11" t="str">
        <f ca="1">IF(History!FC$2="","",#REF!*$C$3)</f>
        <v/>
      </c>
      <c r="EZ3" s="11" t="str">
        <f ca="1">IF(History!FD$2="","",#REF!*$C$3)</f>
        <v/>
      </c>
      <c r="FA3" s="11" t="str">
        <f ca="1">IF(History!FE$2="","",#REF!*$C$3)</f>
        <v/>
      </c>
      <c r="FB3" s="11" t="str">
        <f ca="1">IF(History!FF$2="","",#REF!*$C$3)</f>
        <v/>
      </c>
      <c r="FC3" s="11" t="str">
        <f ca="1">IF(History!FG$2="","",#REF!*$C$3)</f>
        <v/>
      </c>
      <c r="FD3" s="11" t="str">
        <f ca="1">IF(History!FH$2="","",#REF!*$C$3)</f>
        <v/>
      </c>
      <c r="FE3" s="11" t="str">
        <f ca="1">IF(History!FI$2="","",#REF!*$C$3)</f>
        <v/>
      </c>
      <c r="FF3" s="11" t="str">
        <f ca="1">IF(History!FJ$2="","",#REF!*$C$3)</f>
        <v/>
      </c>
      <c r="FG3" s="11" t="str">
        <f ca="1">IF(History!FK$2="","",#REF!*$C$3)</f>
        <v/>
      </c>
      <c r="FH3" s="11" t="str">
        <f ca="1">IF(History!FL$2="","",#REF!*$C$3)</f>
        <v/>
      </c>
      <c r="FI3" s="11" t="str">
        <f ca="1">IF(History!FM$2="","",#REF!*$C$3)</f>
        <v/>
      </c>
      <c r="FJ3" s="11" t="str">
        <f ca="1">IF(History!FN$2="","",#REF!*$C$3)</f>
        <v/>
      </c>
      <c r="FK3" s="11" t="str">
        <f ca="1">IF(History!FO$2="","",#REF!*$C$3)</f>
        <v/>
      </c>
      <c r="FL3" s="11" t="str">
        <f ca="1">IF(History!FP$2="","",#REF!*$C$3)</f>
        <v/>
      </c>
      <c r="FM3" s="11" t="str">
        <f ca="1">IF(History!FQ$2="","",#REF!*$C$3)</f>
        <v/>
      </c>
      <c r="FN3" s="11" t="str">
        <f ca="1">IF(History!FR$2="","",#REF!*$C$3)</f>
        <v/>
      </c>
      <c r="FO3" s="11" t="str">
        <f ca="1">IF(History!FS$2="","",#REF!*$C$3)</f>
        <v/>
      </c>
      <c r="FP3" s="11" t="str">
        <f ca="1">IF(History!FT$2="","",#REF!*$C$3)</f>
        <v/>
      </c>
      <c r="FQ3" s="11" t="str">
        <f ca="1">IF(History!FU$2="","",#REF!*$C$3)</f>
        <v/>
      </c>
      <c r="FR3" s="11" t="str">
        <f ca="1">IF(History!FV$2="","",#REF!*$C$3)</f>
        <v/>
      </c>
      <c r="FS3" s="11" t="str">
        <f ca="1">IF(History!FW$2="","",#REF!*$C$3)</f>
        <v/>
      </c>
      <c r="FT3" s="11" t="str">
        <f ca="1">IF(History!FX$2="","",#REF!*$C$3)</f>
        <v/>
      </c>
      <c r="FU3" s="11" t="str">
        <f ca="1">IF(History!FY$2="","",#REF!*$C$3)</f>
        <v/>
      </c>
      <c r="FV3" s="11" t="str">
        <f ca="1">IF(History!FZ$2="","",#REF!*$C$3)</f>
        <v/>
      </c>
      <c r="FW3" s="11" t="str">
        <f ca="1">IF(History!GA$2="","",#REF!*$C$3)</f>
        <v/>
      </c>
      <c r="FX3" s="11" t="str">
        <f ca="1">IF(History!GB$2="","",#REF!*$C$3)</f>
        <v/>
      </c>
      <c r="FY3" s="11" t="str">
        <f ca="1">IF(History!GC$2="","",#REF!*$C$3)</f>
        <v/>
      </c>
      <c r="FZ3" s="11" t="str">
        <f ca="1">IF(History!GD$2="","",#REF!*$C$3)</f>
        <v/>
      </c>
      <c r="GA3" s="11" t="str">
        <f ca="1">IF(History!GE$2="","",#REF!*$C$3)</f>
        <v/>
      </c>
      <c r="GB3" s="11" t="str">
        <f ca="1">IF(History!GF$2="","",#REF!*$C$3)</f>
        <v/>
      </c>
      <c r="GC3" s="11" t="str">
        <f ca="1">IF(History!GG$2="","",#REF!*$C$3)</f>
        <v/>
      </c>
      <c r="GD3" s="11" t="str">
        <f ca="1">IF(History!GH$2="","",#REF!*$C$3)</f>
        <v/>
      </c>
      <c r="GE3" s="11" t="str">
        <f ca="1">IF(History!GI$2="","",#REF!*$C$3)</f>
        <v/>
      </c>
      <c r="GF3" s="11" t="str">
        <f ca="1">IF(History!GJ$2="","",#REF!*$C$3)</f>
        <v/>
      </c>
      <c r="GG3" s="11" t="str">
        <f ca="1">IF(History!GK$2="","",#REF!*$C$3)</f>
        <v/>
      </c>
      <c r="GH3" s="11" t="str">
        <f ca="1">IF(History!GL$2="","",#REF!*$C$3)</f>
        <v/>
      </c>
      <c r="GI3" s="11" t="str">
        <f ca="1">IF(History!GM$2="","",#REF!*$C$3)</f>
        <v/>
      </c>
      <c r="GJ3" s="11" t="str">
        <f ca="1">IF(History!GN$2="","",#REF!*$C$3)</f>
        <v/>
      </c>
      <c r="GK3" s="11" t="str">
        <f ca="1">IF(History!GO$2="","",#REF!*$C$3)</f>
        <v/>
      </c>
      <c r="GL3" s="11" t="str">
        <f ca="1">IF(History!GP$2="","",#REF!*$C$3)</f>
        <v/>
      </c>
      <c r="GM3" s="11" t="str">
        <f ca="1">IF(History!GQ$2="","",#REF!*$C$3)</f>
        <v/>
      </c>
      <c r="GN3" s="11" t="str">
        <f ca="1">IF(History!GR$2="","",#REF!*$C$3)</f>
        <v/>
      </c>
      <c r="GO3" s="11" t="str">
        <f ca="1">IF(History!GS$2="","",#REF!*$C$3)</f>
        <v/>
      </c>
      <c r="GP3" s="11" t="str">
        <f ca="1">IF(History!GT$2="","",#REF!*$C$3)</f>
        <v/>
      </c>
      <c r="GQ3" s="11" t="str">
        <f ca="1">IF(History!GU$2="","",#REF!*$C$3)</f>
        <v/>
      </c>
      <c r="GR3" s="11" t="str">
        <f ca="1">IF(History!GV$2="","",#REF!*$C$3)</f>
        <v/>
      </c>
      <c r="GS3" s="11" t="str">
        <f ca="1">IF(History!GW$2="","",#REF!*$C$3)</f>
        <v/>
      </c>
      <c r="GT3" s="11" t="str">
        <f ca="1">IF(History!GX$2="","",#REF!*$C$3)</f>
        <v/>
      </c>
      <c r="GU3" s="11" t="str">
        <f ca="1">IF(History!GY$2="","",#REF!*$C$3)</f>
        <v/>
      </c>
      <c r="GV3" s="11" t="str">
        <f ca="1">IF(History!GZ$2="","",#REF!*$C$3)</f>
        <v/>
      </c>
      <c r="GW3" s="11" t="str">
        <f ca="1">IF(History!HA$2="","",#REF!*$C$3)</f>
        <v/>
      </c>
      <c r="GX3" s="11" t="str">
        <f ca="1">IF(History!HB$2="","",#REF!*$C$3)</f>
        <v/>
      </c>
      <c r="GY3" s="11" t="str">
        <f ca="1">IF(History!HC$2="","",#REF!*$C$3)</f>
        <v/>
      </c>
      <c r="GZ3" s="11" t="str">
        <f ca="1">IF(History!HD$2="","",#REF!*$C$3)</f>
        <v/>
      </c>
      <c r="HA3" s="11" t="str">
        <f ca="1">IF(History!HE$2="","",#REF!*$C$3)</f>
        <v/>
      </c>
      <c r="HB3" s="11" t="str">
        <f ca="1">IF(History!HF$2="","",#REF!*$C$3)</f>
        <v/>
      </c>
      <c r="HC3" s="11" t="str">
        <f ca="1">IF(History!HG$2="","",#REF!*$C$3)</f>
        <v/>
      </c>
      <c r="HD3" s="11" t="str">
        <f ca="1">IF(History!HH$2="","",#REF!*$C$3)</f>
        <v/>
      </c>
      <c r="HE3" s="11" t="str">
        <f ca="1">IF(History!HI$2="","",#REF!*$C$3)</f>
        <v/>
      </c>
      <c r="HF3" s="11" t="str">
        <f ca="1">IF(History!HJ$2="","",#REF!*$C$3)</f>
        <v/>
      </c>
      <c r="HG3" s="11" t="str">
        <f ca="1">IF(History!HK$2="","",#REF!*$C$3)</f>
        <v/>
      </c>
      <c r="HH3" s="11" t="str">
        <f ca="1">IF(History!HL$2="","",#REF!*$C$3)</f>
        <v/>
      </c>
      <c r="HI3" s="11" t="str">
        <f ca="1">IF(History!HM$2="","",#REF!*$C$3)</f>
        <v/>
      </c>
      <c r="HJ3" s="11" t="str">
        <f ca="1">IF(History!HN$2="","",#REF!*$C$3)</f>
        <v/>
      </c>
      <c r="HK3" s="11" t="str">
        <f ca="1">IF(History!HO$2="","",#REF!*$C$3)</f>
        <v/>
      </c>
      <c r="HL3" s="11" t="str">
        <f ca="1">IF(History!HP$2="","",#REF!*$C$3)</f>
        <v/>
      </c>
      <c r="HM3" s="11" t="str">
        <f ca="1">IF(History!HQ$2="","",#REF!*$C$3)</f>
        <v/>
      </c>
      <c r="HN3" s="11" t="str">
        <f ca="1">IF(History!HR$2="","",#REF!*$C$3)</f>
        <v/>
      </c>
      <c r="HO3" s="11" t="str">
        <f ca="1">IF(History!HS$2="","",#REF!*$C$3)</f>
        <v/>
      </c>
      <c r="HP3" s="11" t="str">
        <f ca="1">IF(History!HT$2="","",#REF!*$C$3)</f>
        <v/>
      </c>
      <c r="HQ3" s="11" t="str">
        <f ca="1">IF(History!HU$2="","",#REF!*$C$3)</f>
        <v/>
      </c>
      <c r="HR3" s="11" t="str">
        <f ca="1">IF(History!HV$2="","",#REF!*$C$3)</f>
        <v/>
      </c>
      <c r="HS3" s="11" t="str">
        <f ca="1">IF(History!HW$2="","",#REF!*$C$3)</f>
        <v/>
      </c>
      <c r="HT3" s="11" t="str">
        <f ca="1">IF(History!HX$2="","",#REF!*$C$3)</f>
        <v/>
      </c>
      <c r="HU3" s="11" t="str">
        <f ca="1">IF(History!HY$2="","",#REF!*$C$3)</f>
        <v/>
      </c>
      <c r="HV3" s="11" t="str">
        <f ca="1">IF(History!HZ$2="","",#REF!*$C$3)</f>
        <v/>
      </c>
      <c r="HW3" s="11" t="str">
        <f ca="1">IF(History!IA$2="","",#REF!*$C$3)</f>
        <v/>
      </c>
      <c r="HX3" s="11" t="str">
        <f ca="1">IF(History!IB$2="","",#REF!*$C$3)</f>
        <v/>
      </c>
      <c r="HY3" s="11" t="str">
        <f ca="1">IF(History!IC$2="","",#REF!*$C$3)</f>
        <v/>
      </c>
      <c r="HZ3" s="11" t="str">
        <f ca="1">IF(History!ID$2="","",#REF!*$C$3)</f>
        <v/>
      </c>
      <c r="IA3" s="11" t="str">
        <f ca="1">IF(History!IE$2="","",#REF!*$C$3)</f>
        <v/>
      </c>
      <c r="IB3" s="11" t="str">
        <f ca="1">IF(History!IF$2="","",#REF!*$C$3)</f>
        <v/>
      </c>
      <c r="IC3" s="11" t="str">
        <f ca="1">IF(History!IG$2="","",#REF!*$C$3)</f>
        <v/>
      </c>
      <c r="ID3" s="11" t="str">
        <f ca="1">IF(History!IH$2="","",#REF!*$C$3)</f>
        <v/>
      </c>
      <c r="IE3" s="11" t="str">
        <f ca="1">IF(History!II$2="","",#REF!*$C$3)</f>
        <v/>
      </c>
      <c r="IF3" s="11" t="str">
        <f ca="1">IF(History!IJ$2="","",#REF!*$C$3)</f>
        <v/>
      </c>
      <c r="IG3" s="11" t="str">
        <f ca="1">IF(History!IK$2="","",#REF!*$C$3)</f>
        <v/>
      </c>
      <c r="IH3" s="11" t="str">
        <f ca="1">IF(History!IL$2="","",#REF!*$C$3)</f>
        <v/>
      </c>
      <c r="II3" s="11" t="str">
        <f ca="1">IF(History!IM$2="","",#REF!*$C$3)</f>
        <v/>
      </c>
      <c r="IJ3" s="11" t="str">
        <f ca="1">IF(History!IN$2="","",#REF!*$C$3)</f>
        <v/>
      </c>
      <c r="IK3" s="11" t="str">
        <f ca="1">IF(History!IO$2="","",#REF!*$C$3)</f>
        <v/>
      </c>
      <c r="IL3" s="11" t="str">
        <f ca="1">IF(History!IP$2="","",#REF!*$C$3)</f>
        <v/>
      </c>
      <c r="IM3" s="11" t="str">
        <f ca="1">IF(History!IQ$2="","",#REF!*$C$3)</f>
        <v/>
      </c>
      <c r="IN3" s="11" t="str">
        <f ca="1">IF(History!IR$2="","",#REF!*$C$3)</f>
        <v/>
      </c>
      <c r="IO3" s="11" t="str">
        <f ca="1">IF(History!IS$2="","",#REF!*$C$3)</f>
        <v/>
      </c>
      <c r="IP3" s="11" t="str">
        <f ca="1">IF(History!IT$2="","",#REF!*$C$3)</f>
        <v/>
      </c>
      <c r="IQ3" s="11" t="str">
        <f ca="1">IF(History!IU$2="","",#REF!*$C$3)</f>
        <v/>
      </c>
      <c r="IR3" s="11" t="str">
        <f ca="1">IF(History!IV$2="","",#REF!*$C$3)</f>
        <v/>
      </c>
      <c r="IS3" s="11" t="str">
        <f ca="1">IF(History!IW$2="","",#REF!*$C$3)</f>
        <v/>
      </c>
      <c r="IT3" s="11" t="str">
        <f ca="1">IF(History!IX$2="","",#REF!*$C$3)</f>
        <v/>
      </c>
      <c r="IU3" s="11" t="str">
        <f ca="1">IF(History!IY$2="","",#REF!*$C$3)</f>
        <v/>
      </c>
      <c r="IV3" s="11" t="str">
        <f ca="1">IF(History!IZ$2="","",#REF!*$C$3)</f>
        <v/>
      </c>
      <c r="IW3" s="11" t="str">
        <f ca="1">IF(History!JA$2="","",#REF!*$C$3)</f>
        <v/>
      </c>
      <c r="IX3" s="11" t="str">
        <f ca="1">IF(History!JB$2="","",#REF!*$C$3)</f>
        <v/>
      </c>
      <c r="IY3" s="11" t="str">
        <f ca="1">IF(History!JC$2="","",#REF!*$C$3)</f>
        <v/>
      </c>
      <c r="IZ3" s="11" t="str">
        <f ca="1">IF(History!JD$2="","",#REF!*$C$3)</f>
        <v/>
      </c>
      <c r="JA3" s="11" t="str">
        <f ca="1">IF(History!JE$2="","",#REF!*$C$3)</f>
        <v/>
      </c>
      <c r="JB3" s="11" t="str">
        <f ca="1">IF(History!JF$2="","",#REF!*$C$3)</f>
        <v/>
      </c>
      <c r="JC3" s="11" t="str">
        <f ca="1">IF(History!JG$2="","",#REF!*$C$3)</f>
        <v/>
      </c>
      <c r="JD3" s="11" t="str">
        <f ca="1">IF(History!JH$2="","",#REF!*$C$3)</f>
        <v/>
      </c>
      <c r="JE3" s="11" t="str">
        <f ca="1">IF(History!JI$2="","",#REF!*$C$3)</f>
        <v/>
      </c>
      <c r="JF3" s="11" t="str">
        <f ca="1">IF(History!JJ$2="","",#REF!*$C$3)</f>
        <v/>
      </c>
      <c r="JG3" s="11" t="str">
        <f ca="1">IF(History!JK$2="","",#REF!*$C$3)</f>
        <v/>
      </c>
      <c r="JH3" s="11" t="str">
        <f ca="1">IF(History!JL$2="","",#REF!*$C$3)</f>
        <v/>
      </c>
      <c r="JI3" s="11" t="str">
        <f ca="1">IF(History!JM$2="","",#REF!*$C$3)</f>
        <v/>
      </c>
      <c r="JJ3" s="11" t="str">
        <f ca="1">IF(History!JN$2="","",#REF!*$C$3)</f>
        <v/>
      </c>
      <c r="JK3" s="11" t="str">
        <f ca="1">IF(History!JO$2="","",#REF!*$C$3)</f>
        <v/>
      </c>
      <c r="JL3" s="11" t="str">
        <f ca="1">IF(History!JP$2="","",#REF!*$C$3)</f>
        <v/>
      </c>
      <c r="JM3" s="11" t="str">
        <f ca="1">IF(History!JQ$2="","",#REF!*$C$3)</f>
        <v/>
      </c>
      <c r="JN3" s="11" t="str">
        <f ca="1">IF(History!JR$2="","",#REF!*$C$3)</f>
        <v/>
      </c>
      <c r="JO3" s="11" t="str">
        <f ca="1">IF(History!JS$2="","",#REF!*$C$3)</f>
        <v/>
      </c>
      <c r="JP3" s="11" t="str">
        <f ca="1">IF(History!JT$2="","",#REF!*$C$3)</f>
        <v/>
      </c>
      <c r="JQ3" s="11" t="str">
        <f ca="1">IF(History!JU$2="","",#REF!*$C$3)</f>
        <v/>
      </c>
      <c r="JR3" s="11" t="str">
        <f ca="1">IF(History!JV$2="","",#REF!*$C$3)</f>
        <v/>
      </c>
      <c r="JS3" s="11" t="str">
        <f ca="1">IF(History!JW$2="","",#REF!*$C$3)</f>
        <v/>
      </c>
      <c r="JT3" s="11" t="str">
        <f ca="1">IF(History!JX$2="","",#REF!*$C$3)</f>
        <v/>
      </c>
      <c r="JU3" s="11" t="str">
        <f ca="1">IF(History!JY$2="","",#REF!*$C$3)</f>
        <v/>
      </c>
      <c r="JV3" s="11" t="str">
        <f ca="1">IF(History!JZ$2="","",#REF!*$C$3)</f>
        <v/>
      </c>
      <c r="JW3" s="11" t="str">
        <f ca="1">IF(History!KA$2="","",#REF!*$C$3)</f>
        <v/>
      </c>
      <c r="JX3" s="11" t="str">
        <f ca="1">IF(History!KB$2="","",#REF!*$C$3)</f>
        <v/>
      </c>
      <c r="JY3" s="11" t="str">
        <f ca="1">IF(History!KC$2="","",#REF!*$C$3)</f>
        <v/>
      </c>
      <c r="JZ3" s="11" t="str">
        <f ca="1">IF(History!KD$2="","",#REF!*$C$3)</f>
        <v/>
      </c>
      <c r="KA3" s="11" t="str">
        <f ca="1">IF(History!KE$2="","",#REF!*$C$3)</f>
        <v/>
      </c>
      <c r="KB3" s="11" t="str">
        <f ca="1">IF(History!KF$2="","",#REF!*$C$3)</f>
        <v/>
      </c>
    </row>
    <row r="4" spans="1:288" ht="15.75" customHeight="1">
      <c r="A4" s="18" t="s">
        <v>132</v>
      </c>
      <c r="B4" s="6" t="s">
        <v>134</v>
      </c>
      <c r="C4" s="26">
        <v>410</v>
      </c>
      <c r="D4" s="11" t="e">
        <f ca="1">IF(History!H$2="","",#REF!*$C$4)</f>
        <v>#REF!</v>
      </c>
      <c r="E4" s="11" t="e">
        <f ca="1">IF(History!I$2="","",#REF!*$C$4)</f>
        <v>#REF!</v>
      </c>
      <c r="F4" s="11" t="e">
        <f ca="1">IF(History!J$2="","",#REF!*$C$4)</f>
        <v>#REF!</v>
      </c>
      <c r="G4" s="11" t="e">
        <f ca="1">IF(History!K$2="","",#REF!*$C$4)</f>
        <v>#REF!</v>
      </c>
      <c r="H4" s="11" t="e">
        <f ca="1">IF(History!L$2="","",#REF!*$C$4)</f>
        <v>#REF!</v>
      </c>
      <c r="I4" s="11" t="e">
        <f ca="1">IF(History!M$2="","",#REF!*$C$4)</f>
        <v>#REF!</v>
      </c>
      <c r="J4" s="11" t="e">
        <f ca="1">IF(History!N$2="","",#REF!*$C$4)</f>
        <v>#REF!</v>
      </c>
      <c r="K4" s="11" t="e">
        <f ca="1">IF(History!O$2="","",#REF!*$C$4)</f>
        <v>#REF!</v>
      </c>
      <c r="L4" s="11" t="e">
        <f ca="1">IF(History!P$2="","",#REF!*$C$4)</f>
        <v>#REF!</v>
      </c>
      <c r="M4" s="11" t="e">
        <f ca="1">IF(History!Q$2="","",#REF!*$C$4)</f>
        <v>#REF!</v>
      </c>
      <c r="N4" s="11" t="e">
        <f ca="1">IF(History!R$2="","",#REF!*$C$4)</f>
        <v>#REF!</v>
      </c>
      <c r="O4" s="11" t="e">
        <f ca="1">IF(History!S$2="","",#REF!*$C$4)</f>
        <v>#REF!</v>
      </c>
      <c r="P4" s="11" t="e">
        <f ca="1">IF(History!T$2="","",#REF!*$C$4)</f>
        <v>#REF!</v>
      </c>
      <c r="Q4" s="11" t="e">
        <f ca="1">IF(History!U$2="","",#REF!*$C$4)</f>
        <v>#REF!</v>
      </c>
      <c r="R4" s="11" t="e">
        <f ca="1">IF(History!V$2="","",#REF!*$C$4)</f>
        <v>#REF!</v>
      </c>
      <c r="S4" s="11" t="e">
        <f ca="1">IF(History!W$2="","",#REF!*$C$4)</f>
        <v>#REF!</v>
      </c>
      <c r="T4" s="11" t="e">
        <f ca="1">IF(History!X$2="","",#REF!*$C$4)</f>
        <v>#REF!</v>
      </c>
      <c r="U4" s="11" t="e">
        <f ca="1">IF(History!Y$2="","",#REF!*$C$4)</f>
        <v>#REF!</v>
      </c>
      <c r="V4" s="11" t="e">
        <f ca="1">IF(History!Z$2="","",#REF!*$C$4)</f>
        <v>#REF!</v>
      </c>
      <c r="W4" s="11" t="e">
        <f ca="1">IF(History!AA$2="","",#REF!*$C$4)</f>
        <v>#REF!</v>
      </c>
      <c r="X4" s="11" t="e">
        <f ca="1">IF(History!AB$2="","",#REF!*$C$4)</f>
        <v>#REF!</v>
      </c>
      <c r="Y4" s="11" t="e">
        <f ca="1">IF(History!AC$2="","",#REF!*$C$4)</f>
        <v>#REF!</v>
      </c>
      <c r="Z4" s="11" t="e">
        <f ca="1">IF(History!AD$2="","",#REF!*$C$4)</f>
        <v>#REF!</v>
      </c>
      <c r="AA4" s="11" t="e">
        <f ca="1">IF(History!AE$2="","",#REF!*$C$4)</f>
        <v>#REF!</v>
      </c>
      <c r="AB4" s="11" t="e">
        <f ca="1">IF(History!AF$2="","",#REF!*$C$4)</f>
        <v>#REF!</v>
      </c>
      <c r="AC4" s="11" t="e">
        <f ca="1">IF(History!AG$2="","",#REF!*$C$4)</f>
        <v>#REF!</v>
      </c>
      <c r="AD4" s="11" t="e">
        <f ca="1">IF(History!AH$2="","",#REF!*$C$4)</f>
        <v>#REF!</v>
      </c>
      <c r="AE4" s="11" t="e">
        <f ca="1">IF(History!AI$2="","",#REF!*$C$4)</f>
        <v>#REF!</v>
      </c>
      <c r="AF4" s="11" t="e">
        <f ca="1">IF(History!AJ$2="","",#REF!*$C$4)</f>
        <v>#REF!</v>
      </c>
      <c r="AG4" s="11" t="e">
        <f ca="1">IF(History!AK$2="","",#REF!*$C$4)</f>
        <v>#REF!</v>
      </c>
      <c r="AH4" s="11" t="e">
        <f ca="1">IF(History!AL$2="","",#REF!*$C$4)</f>
        <v>#REF!</v>
      </c>
      <c r="AI4" s="11" t="e">
        <f ca="1">IF(History!AM$2="","",#REF!*$C$4)</f>
        <v>#REF!</v>
      </c>
      <c r="AJ4" s="11" t="e">
        <f ca="1">IF(History!AN$2="","",#REF!*$C$4)</f>
        <v>#REF!</v>
      </c>
      <c r="AK4" s="11" t="e">
        <f ca="1">IF(History!AO$2="","",#REF!*$C$4)</f>
        <v>#REF!</v>
      </c>
      <c r="AL4" s="11" t="e">
        <f ca="1">IF(History!AP$2="","",#REF!*$C$4)</f>
        <v>#REF!</v>
      </c>
      <c r="AM4" s="11" t="e">
        <f ca="1">IF(History!AQ$2="","",#REF!*$C$4)</f>
        <v>#REF!</v>
      </c>
      <c r="AN4" s="11" t="e">
        <f ca="1">IF(History!AR$2="","",#REF!*$C$4)</f>
        <v>#REF!</v>
      </c>
      <c r="AO4" s="11" t="e">
        <f ca="1">IF(History!AS$2="","",#REF!*$C$4)</f>
        <v>#REF!</v>
      </c>
      <c r="AP4" s="11" t="e">
        <f ca="1">IF(History!AT$2="","",#REF!*$C$4)</f>
        <v>#REF!</v>
      </c>
      <c r="AQ4" s="11" t="e">
        <f ca="1">IF(History!AU$2="","",#REF!*$C$4)</f>
        <v>#REF!</v>
      </c>
      <c r="AR4" s="11" t="e">
        <f ca="1">IF(History!AV$2="","",#REF!*$C$4)</f>
        <v>#REF!</v>
      </c>
      <c r="AS4" s="11" t="e">
        <f ca="1">IF(History!AW$2="","",#REF!*$C$4)</f>
        <v>#REF!</v>
      </c>
      <c r="AT4" s="11" t="e">
        <f ca="1">IF(History!AX$2="","",#REF!*$C$4)</f>
        <v>#REF!</v>
      </c>
      <c r="AU4" s="11" t="e">
        <f ca="1">IF(History!AY$2="","",#REF!*$C$4)</f>
        <v>#REF!</v>
      </c>
      <c r="AV4" s="11" t="e">
        <f ca="1">IF(History!AZ$2="","",#REF!*$C$4)</f>
        <v>#REF!</v>
      </c>
      <c r="AW4" s="11" t="e">
        <f ca="1">IF(History!BA$2="","",#REF!*$C$4)</f>
        <v>#REF!</v>
      </c>
      <c r="AX4" s="11" t="e">
        <f ca="1">IF(History!BB$2="","",#REF!*$C$4)</f>
        <v>#REF!</v>
      </c>
      <c r="AY4" s="11" t="e">
        <f ca="1">IF(History!BC$2="","",#REF!*$C$4)</f>
        <v>#REF!</v>
      </c>
      <c r="AZ4" s="11" t="e">
        <f ca="1">IF(History!BD$2="","",#REF!*$C$4)</f>
        <v>#REF!</v>
      </c>
      <c r="BA4" s="11" t="e">
        <f ca="1">IF(History!BE$2="","",#REF!*$C$4)</f>
        <v>#REF!</v>
      </c>
      <c r="BB4" s="11" t="e">
        <f ca="1">IF(History!BF$2="","",#REF!*$C$4)</f>
        <v>#REF!</v>
      </c>
      <c r="BC4" s="11" t="e">
        <f ca="1">IF(History!BG$2="","",#REF!*$C$4)</f>
        <v>#REF!</v>
      </c>
      <c r="BD4" s="11" t="e">
        <f ca="1">IF(History!BH$2="","",#REF!*$C$4)</f>
        <v>#REF!</v>
      </c>
      <c r="BE4" s="11" t="e">
        <f ca="1">IF(History!BI$2="","",#REF!*$C$4)</f>
        <v>#REF!</v>
      </c>
      <c r="BF4" s="11" t="e">
        <f ca="1">IF(History!BJ$2="","",#REF!*$C$4)</f>
        <v>#REF!</v>
      </c>
      <c r="BG4" s="11" t="e">
        <f ca="1">IF(History!BK$2="","",#REF!*$C$4)</f>
        <v>#REF!</v>
      </c>
      <c r="BH4" s="11" t="e">
        <f ca="1">IF(History!BL$2="","",#REF!*$C$4)</f>
        <v>#REF!</v>
      </c>
      <c r="BI4" s="11" t="e">
        <f ca="1">IF(History!BM$2="","",#REF!*$C$4)</f>
        <v>#REF!</v>
      </c>
      <c r="BJ4" s="11" t="e">
        <f ca="1">IF(History!BN$2="","",#REF!*$C$4)</f>
        <v>#REF!</v>
      </c>
      <c r="BK4" s="11" t="e">
        <f ca="1">IF(History!BO$2="","",#REF!*$C$4)</f>
        <v>#REF!</v>
      </c>
      <c r="BL4" s="11" t="e">
        <f ca="1">IF(History!BP$2="","",#REF!*$C$4)</f>
        <v>#REF!</v>
      </c>
      <c r="BM4" s="11" t="e">
        <f ca="1">IF(History!BQ$2="","",#REF!*$C$4)</f>
        <v>#REF!</v>
      </c>
      <c r="BN4" s="11" t="e">
        <f ca="1">IF(History!BR$2="","",#REF!*$C$4)</f>
        <v>#REF!</v>
      </c>
      <c r="BO4" s="11" t="e">
        <f ca="1">IF(History!BS$2="","",#REF!*$C$4)</f>
        <v>#REF!</v>
      </c>
      <c r="BP4" s="11" t="e">
        <f ca="1">IF(History!BT$2="","",#REF!*$C$4)</f>
        <v>#REF!</v>
      </c>
      <c r="BQ4" s="11" t="e">
        <f ca="1">IF(History!BU$2="","",#REF!*$C$4)</f>
        <v>#REF!</v>
      </c>
      <c r="BR4" s="11" t="e">
        <f ca="1">IF(History!BV$2="","",#REF!*$C$4)</f>
        <v>#REF!</v>
      </c>
      <c r="BS4" s="11" t="e">
        <f ca="1">IF(History!BW$2="","",#REF!*$C$4)</f>
        <v>#REF!</v>
      </c>
      <c r="BT4" s="11" t="e">
        <f ca="1">IF(History!BX$2="","",#REF!*$C$4)</f>
        <v>#REF!</v>
      </c>
      <c r="BU4" s="11" t="e">
        <f ca="1">IF(History!BY$2="","",#REF!*$C$4)</f>
        <v>#REF!</v>
      </c>
      <c r="BV4" s="11" t="e">
        <f ca="1">IF(History!BZ$2="","",#REF!*$C$4)</f>
        <v>#REF!</v>
      </c>
      <c r="BW4" s="11" t="e">
        <f ca="1">IF(History!CA$2="","",#REF!*$C$4)</f>
        <v>#REF!</v>
      </c>
      <c r="BX4" s="11" t="e">
        <f ca="1">IF(History!CB$2="","",#REF!*$C$4)</f>
        <v>#REF!</v>
      </c>
      <c r="BY4" s="11" t="e">
        <f ca="1">IF(History!CC$2="","",#REF!*$C$4)</f>
        <v>#REF!</v>
      </c>
      <c r="BZ4" s="11" t="e">
        <f ca="1">IF(History!CD$2="","",#REF!*$C$4)</f>
        <v>#REF!</v>
      </c>
      <c r="CA4" s="11" t="e">
        <f ca="1">IF(History!CE$2="","",#REF!*$C$4)</f>
        <v>#REF!</v>
      </c>
      <c r="CB4" s="11" t="e">
        <f ca="1">IF(History!CF$2="","",#REF!*$C$4)</f>
        <v>#REF!</v>
      </c>
      <c r="CC4" s="11" t="e">
        <f ca="1">IF(History!CG$2="","",#REF!*$C$4)</f>
        <v>#REF!</v>
      </c>
      <c r="CD4" s="11" t="e">
        <f ca="1">IF(History!CH$2="","",#REF!*$C$4)</f>
        <v>#REF!</v>
      </c>
      <c r="CE4" s="11" t="e">
        <f ca="1">IF(History!CI$2="","",#REF!*$C$4)</f>
        <v>#REF!</v>
      </c>
      <c r="CF4" s="11" t="str">
        <f ca="1">IF(History!CJ$2="","",#REF!*$C$4)</f>
        <v/>
      </c>
      <c r="CG4" s="11" t="str">
        <f ca="1">IF(History!CK$2="","",#REF!*$C$4)</f>
        <v/>
      </c>
      <c r="CH4" s="11" t="str">
        <f ca="1">IF(History!CL$2="","",#REF!*$C$4)</f>
        <v/>
      </c>
      <c r="CI4" s="11" t="str">
        <f ca="1">IF(History!CM$2="","",#REF!*$C$4)</f>
        <v/>
      </c>
      <c r="CJ4" s="11" t="str">
        <f ca="1">IF(History!CN$2="","",#REF!*$C$4)</f>
        <v/>
      </c>
      <c r="CK4" s="11" t="str">
        <f ca="1">IF(History!CO$2="","",#REF!*$C$4)</f>
        <v/>
      </c>
      <c r="CL4" s="11" t="str">
        <f ca="1">IF(History!CP$2="","",#REF!*$C$4)</f>
        <v/>
      </c>
      <c r="CM4" s="11" t="str">
        <f ca="1">IF(History!CQ$2="","",#REF!*$C$4)</f>
        <v/>
      </c>
      <c r="CN4" s="11" t="str">
        <f ca="1">IF(History!CR$2="","",#REF!*$C$4)</f>
        <v/>
      </c>
      <c r="CO4" s="11" t="str">
        <f ca="1">IF(History!CS$2="","",#REF!*$C$4)</f>
        <v/>
      </c>
      <c r="CP4" s="11" t="str">
        <f ca="1">IF(History!CT$2="","",#REF!*$C$4)</f>
        <v/>
      </c>
      <c r="CQ4" s="11" t="str">
        <f ca="1">IF(History!CU$2="","",#REF!*$C$4)</f>
        <v/>
      </c>
      <c r="CR4" s="11" t="str">
        <f ca="1">IF(History!CV$2="","",#REF!*$C$4)</f>
        <v/>
      </c>
      <c r="CS4" s="11" t="str">
        <f ca="1">IF(History!CW$2="","",#REF!*$C$4)</f>
        <v/>
      </c>
      <c r="CT4" s="11" t="str">
        <f ca="1">IF(History!CX$2="","",#REF!*$C$4)</f>
        <v/>
      </c>
      <c r="CU4" s="11" t="str">
        <f ca="1">IF(History!CY$2="","",#REF!*$C$4)</f>
        <v/>
      </c>
      <c r="CV4" s="11" t="str">
        <f ca="1">IF(History!CZ$2="","",#REF!*$C$4)</f>
        <v/>
      </c>
      <c r="CW4" s="11" t="str">
        <f ca="1">IF(History!DA$2="","",#REF!*$C$4)</f>
        <v/>
      </c>
      <c r="CX4" s="11" t="str">
        <f ca="1">IF(History!DB$2="","",#REF!*$C$4)</f>
        <v/>
      </c>
      <c r="CY4" s="11" t="str">
        <f ca="1">IF(History!DC$2="","",#REF!*$C$4)</f>
        <v/>
      </c>
      <c r="CZ4" s="11" t="str">
        <f ca="1">IF(History!DD$2="","",#REF!*$C$4)</f>
        <v/>
      </c>
      <c r="DA4" s="11" t="str">
        <f ca="1">IF(History!DE$2="","",#REF!*$C$4)</f>
        <v/>
      </c>
      <c r="DB4" s="11" t="str">
        <f ca="1">IF(History!DF$2="","",#REF!*$C$4)</f>
        <v/>
      </c>
      <c r="DC4" s="11" t="str">
        <f ca="1">IF(History!DG$2="","",#REF!*$C$4)</f>
        <v/>
      </c>
      <c r="DD4" s="11" t="str">
        <f ca="1">IF(History!DH$2="","",#REF!*$C$4)</f>
        <v/>
      </c>
      <c r="DE4" s="11" t="str">
        <f ca="1">IF(History!DI$2="","",#REF!*$C$4)</f>
        <v/>
      </c>
      <c r="DF4" s="11" t="str">
        <f ca="1">IF(History!DJ$2="","",#REF!*$C$4)</f>
        <v/>
      </c>
      <c r="DG4" s="11" t="str">
        <f ca="1">IF(History!DK$2="","",#REF!*$C$4)</f>
        <v/>
      </c>
      <c r="DH4" s="11" t="str">
        <f ca="1">IF(History!DL$2="","",#REF!*$C$4)</f>
        <v/>
      </c>
      <c r="DI4" s="11" t="str">
        <f ca="1">IF(History!DM$2="","",#REF!*$C$4)</f>
        <v/>
      </c>
      <c r="DJ4" s="11" t="str">
        <f ca="1">IF(History!DN$2="","",#REF!*$C$4)</f>
        <v/>
      </c>
      <c r="DK4" s="11" t="str">
        <f ca="1">IF(History!DO$2="","",#REF!*$C$4)</f>
        <v/>
      </c>
      <c r="DL4" s="11" t="str">
        <f ca="1">IF(History!DP$2="","",#REF!*$C$4)</f>
        <v/>
      </c>
      <c r="DM4" s="11" t="str">
        <f ca="1">IF(History!DQ$2="","",#REF!*$C$4)</f>
        <v/>
      </c>
      <c r="DN4" s="11" t="str">
        <f ca="1">IF(History!DR$2="","",#REF!*$C$4)</f>
        <v/>
      </c>
      <c r="DO4" s="11" t="str">
        <f ca="1">IF(History!DS$2="","",#REF!*$C$4)</f>
        <v/>
      </c>
      <c r="DP4" s="11" t="str">
        <f ca="1">IF(History!DT$2="","",#REF!*$C$4)</f>
        <v/>
      </c>
      <c r="DQ4" s="11" t="str">
        <f ca="1">IF(History!DU$2="","",#REF!*$C$4)</f>
        <v/>
      </c>
      <c r="DR4" s="11" t="str">
        <f ca="1">IF(History!DV$2="","",#REF!*$C$4)</f>
        <v/>
      </c>
      <c r="DS4" s="11" t="str">
        <f ca="1">IF(History!DW$2="","",#REF!*$C$4)</f>
        <v/>
      </c>
      <c r="DT4" s="11" t="str">
        <f ca="1">IF(History!DX$2="","",#REF!*$C$4)</f>
        <v/>
      </c>
      <c r="DU4" s="11" t="str">
        <f ca="1">IF(History!DY$2="","",#REF!*$C$4)</f>
        <v/>
      </c>
      <c r="DV4" s="11" t="str">
        <f ca="1">IF(History!DZ$2="","",#REF!*$C$4)</f>
        <v/>
      </c>
      <c r="DW4" s="11" t="str">
        <f ca="1">IF(History!EA$2="","",#REF!*$C$4)</f>
        <v/>
      </c>
      <c r="DX4" s="11" t="str">
        <f ca="1">IF(History!EB$2="","",#REF!*$C$4)</f>
        <v/>
      </c>
      <c r="DY4" s="11" t="str">
        <f ca="1">IF(History!EC$2="","",#REF!*$C$4)</f>
        <v/>
      </c>
      <c r="DZ4" s="11" t="str">
        <f ca="1">IF(History!ED$2="","",#REF!*$C$4)</f>
        <v/>
      </c>
      <c r="EA4" s="11" t="str">
        <f ca="1">IF(History!EE$2="","",#REF!*$C$4)</f>
        <v/>
      </c>
      <c r="EB4" s="11" t="str">
        <f ca="1">IF(History!EF$2="","",#REF!*$C$4)</f>
        <v/>
      </c>
      <c r="EC4" s="11" t="str">
        <f ca="1">IF(History!EG$2="","",#REF!*$C$4)</f>
        <v/>
      </c>
      <c r="ED4" s="11" t="str">
        <f ca="1">IF(History!EH$2="","",#REF!*$C$4)</f>
        <v/>
      </c>
      <c r="EE4" s="11" t="str">
        <f ca="1">IF(History!EI$2="","",#REF!*$C$4)</f>
        <v/>
      </c>
      <c r="EF4" s="11" t="str">
        <f ca="1">IF(History!EJ$2="","",#REF!*$C$4)</f>
        <v/>
      </c>
      <c r="EG4" s="11" t="str">
        <f ca="1">IF(History!EK$2="","",#REF!*$C$4)</f>
        <v/>
      </c>
      <c r="EH4" s="11" t="str">
        <f ca="1">IF(History!EL$2="","",#REF!*$C$4)</f>
        <v/>
      </c>
      <c r="EI4" s="11" t="str">
        <f ca="1">IF(History!EM$2="","",#REF!*$C$4)</f>
        <v/>
      </c>
      <c r="EJ4" s="11" t="str">
        <f ca="1">IF(History!EN$2="","",#REF!*$C$4)</f>
        <v/>
      </c>
      <c r="EK4" s="11" t="str">
        <f ca="1">IF(History!EO$2="","",#REF!*$C$4)</f>
        <v/>
      </c>
      <c r="EL4" s="11" t="str">
        <f ca="1">IF(History!EP$2="","",#REF!*$C$4)</f>
        <v/>
      </c>
      <c r="EM4" s="11" t="str">
        <f ca="1">IF(History!EQ$2="","",#REF!*$C$4)</f>
        <v/>
      </c>
      <c r="EN4" s="11" t="str">
        <f ca="1">IF(History!ER$2="","",#REF!*$C$4)</f>
        <v/>
      </c>
      <c r="EO4" s="11" t="str">
        <f ca="1">IF(History!ES$2="","",#REF!*$C$4)</f>
        <v/>
      </c>
      <c r="EP4" s="11" t="str">
        <f ca="1">IF(History!ET$2="","",#REF!*$C$4)</f>
        <v/>
      </c>
      <c r="EQ4" s="11" t="str">
        <f ca="1">IF(History!EU$2="","",#REF!*$C$4)</f>
        <v/>
      </c>
      <c r="ER4" s="11" t="str">
        <f ca="1">IF(History!EV$2="","",#REF!*$C$4)</f>
        <v/>
      </c>
      <c r="ES4" s="11" t="str">
        <f ca="1">IF(History!EW$2="","",#REF!*$C$4)</f>
        <v/>
      </c>
      <c r="ET4" s="11" t="str">
        <f ca="1">IF(History!EX$2="","",#REF!*$C$4)</f>
        <v/>
      </c>
      <c r="EU4" s="11" t="str">
        <f ca="1">IF(History!EY$2="","",#REF!*$C$4)</f>
        <v/>
      </c>
      <c r="EV4" s="11" t="str">
        <f ca="1">IF(History!EZ$2="","",#REF!*$C$4)</f>
        <v/>
      </c>
      <c r="EW4" s="11" t="str">
        <f ca="1">IF(History!FA$2="","",#REF!*$C$4)</f>
        <v/>
      </c>
      <c r="EX4" s="11" t="str">
        <f ca="1">IF(History!FB$2="","",#REF!*$C$4)</f>
        <v/>
      </c>
      <c r="EY4" s="11" t="str">
        <f ca="1">IF(History!FC$2="","",#REF!*$C$4)</f>
        <v/>
      </c>
      <c r="EZ4" s="11" t="str">
        <f ca="1">IF(History!FD$2="","",#REF!*$C$4)</f>
        <v/>
      </c>
      <c r="FA4" s="11" t="str">
        <f ca="1">IF(History!FE$2="","",#REF!*$C$4)</f>
        <v/>
      </c>
      <c r="FB4" s="11" t="str">
        <f ca="1">IF(History!FF$2="","",#REF!*$C$4)</f>
        <v/>
      </c>
      <c r="FC4" s="11" t="str">
        <f ca="1">IF(History!FG$2="","",#REF!*$C$4)</f>
        <v/>
      </c>
      <c r="FD4" s="11" t="str">
        <f ca="1">IF(History!FH$2="","",#REF!*$C$4)</f>
        <v/>
      </c>
      <c r="FE4" s="11" t="str">
        <f ca="1">IF(History!FI$2="","",#REF!*$C$4)</f>
        <v/>
      </c>
      <c r="FF4" s="11" t="str">
        <f ca="1">IF(History!FJ$2="","",#REF!*$C$4)</f>
        <v/>
      </c>
      <c r="FG4" s="11" t="str">
        <f ca="1">IF(History!FK$2="","",#REF!*$C$4)</f>
        <v/>
      </c>
      <c r="FH4" s="11" t="str">
        <f ca="1">IF(History!FL$2="","",#REF!*$C$4)</f>
        <v/>
      </c>
      <c r="FI4" s="11" t="str">
        <f ca="1">IF(History!FM$2="","",#REF!*$C$4)</f>
        <v/>
      </c>
      <c r="FJ4" s="11" t="str">
        <f ca="1">IF(History!FN$2="","",#REF!*$C$4)</f>
        <v/>
      </c>
      <c r="FK4" s="11" t="str">
        <f ca="1">IF(History!FO$2="","",#REF!*$C$4)</f>
        <v/>
      </c>
      <c r="FL4" s="11" t="str">
        <f ca="1">IF(History!FP$2="","",#REF!*$C$4)</f>
        <v/>
      </c>
      <c r="FM4" s="11" t="str">
        <f ca="1">IF(History!FQ$2="","",#REF!*$C$4)</f>
        <v/>
      </c>
      <c r="FN4" s="11" t="str">
        <f ca="1">IF(History!FR$2="","",#REF!*$C$4)</f>
        <v/>
      </c>
      <c r="FO4" s="11" t="str">
        <f ca="1">IF(History!FS$2="","",#REF!*$C$4)</f>
        <v/>
      </c>
      <c r="FP4" s="11" t="str">
        <f ca="1">IF(History!FT$2="","",#REF!*$C$4)</f>
        <v/>
      </c>
      <c r="FQ4" s="11" t="str">
        <f ca="1">IF(History!FU$2="","",#REF!*$C$4)</f>
        <v/>
      </c>
      <c r="FR4" s="11" t="str">
        <f ca="1">IF(History!FV$2="","",#REF!*$C$4)</f>
        <v/>
      </c>
      <c r="FS4" s="11" t="str">
        <f ca="1">IF(History!FW$2="","",#REF!*$C$4)</f>
        <v/>
      </c>
      <c r="FT4" s="11" t="str">
        <f ca="1">IF(History!FX$2="","",#REF!*$C$4)</f>
        <v/>
      </c>
      <c r="FU4" s="11" t="str">
        <f ca="1">IF(History!FY$2="","",#REF!*$C$4)</f>
        <v/>
      </c>
      <c r="FV4" s="11" t="str">
        <f ca="1">IF(History!FZ$2="","",#REF!*$C$4)</f>
        <v/>
      </c>
      <c r="FW4" s="11" t="str">
        <f ca="1">IF(History!GA$2="","",#REF!*$C$4)</f>
        <v/>
      </c>
      <c r="FX4" s="11" t="str">
        <f ca="1">IF(History!GB$2="","",#REF!*$C$4)</f>
        <v/>
      </c>
      <c r="FY4" s="11" t="str">
        <f ca="1">IF(History!GC$2="","",#REF!*$C$4)</f>
        <v/>
      </c>
      <c r="FZ4" s="11" t="str">
        <f ca="1">IF(History!GD$2="","",#REF!*$C$4)</f>
        <v/>
      </c>
      <c r="GA4" s="11" t="str">
        <f ca="1">IF(History!GE$2="","",#REF!*$C$4)</f>
        <v/>
      </c>
      <c r="GB4" s="11" t="str">
        <f ca="1">IF(History!GF$2="","",#REF!*$C$4)</f>
        <v/>
      </c>
      <c r="GC4" s="11" t="str">
        <f ca="1">IF(History!GG$2="","",#REF!*$C$4)</f>
        <v/>
      </c>
      <c r="GD4" s="11" t="str">
        <f ca="1">IF(History!GH$2="","",#REF!*$C$4)</f>
        <v/>
      </c>
      <c r="GE4" s="11" t="str">
        <f ca="1">IF(History!GI$2="","",#REF!*$C$4)</f>
        <v/>
      </c>
      <c r="GF4" s="11" t="str">
        <f ca="1">IF(History!GJ$2="","",#REF!*$C$4)</f>
        <v/>
      </c>
      <c r="GG4" s="11" t="str">
        <f ca="1">IF(History!GK$2="","",#REF!*$C$4)</f>
        <v/>
      </c>
      <c r="GH4" s="11" t="str">
        <f ca="1">IF(History!GL$2="","",#REF!*$C$4)</f>
        <v/>
      </c>
      <c r="GI4" s="11" t="str">
        <f ca="1">IF(History!GM$2="","",#REF!*$C$4)</f>
        <v/>
      </c>
      <c r="GJ4" s="11" t="str">
        <f ca="1">IF(History!GN$2="","",#REF!*$C$4)</f>
        <v/>
      </c>
      <c r="GK4" s="11" t="str">
        <f ca="1">IF(History!GO$2="","",#REF!*$C$4)</f>
        <v/>
      </c>
      <c r="GL4" s="11" t="str">
        <f ca="1">IF(History!GP$2="","",#REF!*$C$4)</f>
        <v/>
      </c>
      <c r="GM4" s="11" t="str">
        <f ca="1">IF(History!GQ$2="","",#REF!*$C$4)</f>
        <v/>
      </c>
      <c r="GN4" s="11" t="str">
        <f ca="1">IF(History!GR$2="","",#REF!*$C$4)</f>
        <v/>
      </c>
      <c r="GO4" s="11" t="str">
        <f ca="1">IF(History!GS$2="","",#REF!*$C$4)</f>
        <v/>
      </c>
      <c r="GP4" s="11" t="str">
        <f ca="1">IF(History!GT$2="","",#REF!*$C$4)</f>
        <v/>
      </c>
      <c r="GQ4" s="11" t="str">
        <f ca="1">IF(History!GU$2="","",#REF!*$C$4)</f>
        <v/>
      </c>
      <c r="GR4" s="11" t="str">
        <f ca="1">IF(History!GV$2="","",#REF!*$C$4)</f>
        <v/>
      </c>
      <c r="GS4" s="11" t="str">
        <f ca="1">IF(History!GW$2="","",#REF!*$C$4)</f>
        <v/>
      </c>
      <c r="GT4" s="11" t="str">
        <f ca="1">IF(History!GX$2="","",#REF!*$C$4)</f>
        <v/>
      </c>
      <c r="GU4" s="11" t="str">
        <f ca="1">IF(History!GY$2="","",#REF!*$C$4)</f>
        <v/>
      </c>
      <c r="GV4" s="11" t="str">
        <f ca="1">IF(History!GZ$2="","",#REF!*$C$4)</f>
        <v/>
      </c>
      <c r="GW4" s="11" t="str">
        <f ca="1">IF(History!HA$2="","",#REF!*$C$4)</f>
        <v/>
      </c>
      <c r="GX4" s="11" t="str">
        <f ca="1">IF(History!HB$2="","",#REF!*$C$4)</f>
        <v/>
      </c>
      <c r="GY4" s="11" t="str">
        <f ca="1">IF(History!HC$2="","",#REF!*$C$4)</f>
        <v/>
      </c>
      <c r="GZ4" s="11" t="str">
        <f ca="1">IF(History!HD$2="","",#REF!*$C$4)</f>
        <v/>
      </c>
      <c r="HA4" s="11" t="str">
        <f ca="1">IF(History!HE$2="","",#REF!*$C$4)</f>
        <v/>
      </c>
      <c r="HB4" s="11" t="str">
        <f ca="1">IF(History!HF$2="","",#REF!*$C$4)</f>
        <v/>
      </c>
      <c r="HC4" s="11" t="str">
        <f ca="1">IF(History!HG$2="","",#REF!*$C$4)</f>
        <v/>
      </c>
      <c r="HD4" s="11" t="str">
        <f ca="1">IF(History!HH$2="","",#REF!*$C$4)</f>
        <v/>
      </c>
      <c r="HE4" s="11" t="str">
        <f ca="1">IF(History!HI$2="","",#REF!*$C$4)</f>
        <v/>
      </c>
      <c r="HF4" s="11" t="str">
        <f ca="1">IF(History!HJ$2="","",#REF!*$C$4)</f>
        <v/>
      </c>
      <c r="HG4" s="11" t="str">
        <f ca="1">IF(History!HK$2="","",#REF!*$C$4)</f>
        <v/>
      </c>
      <c r="HH4" s="11" t="str">
        <f ca="1">IF(History!HL$2="","",#REF!*$C$4)</f>
        <v/>
      </c>
      <c r="HI4" s="11" t="str">
        <f ca="1">IF(History!HM$2="","",#REF!*$C$4)</f>
        <v/>
      </c>
      <c r="HJ4" s="11" t="str">
        <f ca="1">IF(History!HN$2="","",#REF!*$C$4)</f>
        <v/>
      </c>
      <c r="HK4" s="11" t="str">
        <f ca="1">IF(History!HO$2="","",#REF!*$C$4)</f>
        <v/>
      </c>
      <c r="HL4" s="11" t="str">
        <f ca="1">IF(History!HP$2="","",#REF!*$C$4)</f>
        <v/>
      </c>
      <c r="HM4" s="11" t="str">
        <f ca="1">IF(History!HQ$2="","",#REF!*$C$4)</f>
        <v/>
      </c>
      <c r="HN4" s="11" t="str">
        <f ca="1">IF(History!HR$2="","",#REF!*$C$4)</f>
        <v/>
      </c>
      <c r="HO4" s="11" t="str">
        <f ca="1">IF(History!HS$2="","",#REF!*$C$4)</f>
        <v/>
      </c>
      <c r="HP4" s="11" t="str">
        <f ca="1">IF(History!HT$2="","",#REF!*$C$4)</f>
        <v/>
      </c>
      <c r="HQ4" s="11" t="str">
        <f ca="1">IF(History!HU$2="","",#REF!*$C$4)</f>
        <v/>
      </c>
      <c r="HR4" s="11" t="str">
        <f ca="1">IF(History!HV$2="","",#REF!*$C$4)</f>
        <v/>
      </c>
      <c r="HS4" s="11" t="str">
        <f ca="1">IF(History!HW$2="","",#REF!*$C$4)</f>
        <v/>
      </c>
      <c r="HT4" s="11" t="str">
        <f ca="1">IF(History!HX$2="","",#REF!*$C$4)</f>
        <v/>
      </c>
      <c r="HU4" s="11" t="str">
        <f ca="1">IF(History!HY$2="","",#REF!*$C$4)</f>
        <v/>
      </c>
      <c r="HV4" s="11" t="str">
        <f ca="1">IF(History!HZ$2="","",#REF!*$C$4)</f>
        <v/>
      </c>
      <c r="HW4" s="11" t="str">
        <f ca="1">IF(History!IA$2="","",#REF!*$C$4)</f>
        <v/>
      </c>
      <c r="HX4" s="11" t="str">
        <f ca="1">IF(History!IB$2="","",#REF!*$C$4)</f>
        <v/>
      </c>
      <c r="HY4" s="11" t="str">
        <f ca="1">IF(History!IC$2="","",#REF!*$C$4)</f>
        <v/>
      </c>
      <c r="HZ4" s="11" t="str">
        <f ca="1">IF(History!ID$2="","",#REF!*$C$4)</f>
        <v/>
      </c>
      <c r="IA4" s="11" t="str">
        <f ca="1">IF(History!IE$2="","",#REF!*$C$4)</f>
        <v/>
      </c>
      <c r="IB4" s="11" t="str">
        <f ca="1">IF(History!IF$2="","",#REF!*$C$4)</f>
        <v/>
      </c>
      <c r="IC4" s="11" t="str">
        <f ca="1">IF(History!IG$2="","",#REF!*$C$4)</f>
        <v/>
      </c>
      <c r="ID4" s="11" t="str">
        <f ca="1">IF(History!IH$2="","",#REF!*$C$4)</f>
        <v/>
      </c>
      <c r="IE4" s="11" t="str">
        <f ca="1">IF(History!II$2="","",#REF!*$C$4)</f>
        <v/>
      </c>
      <c r="IF4" s="11" t="str">
        <f ca="1">IF(History!IJ$2="","",#REF!*$C$4)</f>
        <v/>
      </c>
      <c r="IG4" s="11" t="str">
        <f ca="1">IF(History!IK$2="","",#REF!*$C$4)</f>
        <v/>
      </c>
      <c r="IH4" s="11" t="str">
        <f ca="1">IF(History!IL$2="","",#REF!*$C$4)</f>
        <v/>
      </c>
      <c r="II4" s="11" t="str">
        <f ca="1">IF(History!IM$2="","",#REF!*$C$4)</f>
        <v/>
      </c>
      <c r="IJ4" s="11" t="str">
        <f ca="1">IF(History!IN$2="","",#REF!*$C$4)</f>
        <v/>
      </c>
      <c r="IK4" s="11" t="str">
        <f ca="1">IF(History!IO$2="","",#REF!*$C$4)</f>
        <v/>
      </c>
      <c r="IL4" s="11" t="str">
        <f ca="1">IF(History!IP$2="","",#REF!*$C$4)</f>
        <v/>
      </c>
      <c r="IM4" s="11" t="str">
        <f ca="1">IF(History!IQ$2="","",#REF!*$C$4)</f>
        <v/>
      </c>
      <c r="IN4" s="11" t="str">
        <f ca="1">IF(History!IR$2="","",#REF!*$C$4)</f>
        <v/>
      </c>
      <c r="IO4" s="11" t="str">
        <f ca="1">IF(History!IS$2="","",#REF!*$C$4)</f>
        <v/>
      </c>
      <c r="IP4" s="11" t="str">
        <f ca="1">IF(History!IT$2="","",#REF!*$C$4)</f>
        <v/>
      </c>
      <c r="IQ4" s="11" t="str">
        <f ca="1">IF(History!IU$2="","",#REF!*$C$4)</f>
        <v/>
      </c>
      <c r="IR4" s="11" t="str">
        <f ca="1">IF(History!IV$2="","",#REF!*$C$4)</f>
        <v/>
      </c>
      <c r="IS4" s="11" t="str">
        <f ca="1">IF(History!IW$2="","",#REF!*$C$4)</f>
        <v/>
      </c>
      <c r="IT4" s="11" t="str">
        <f ca="1">IF(History!IX$2="","",#REF!*$C$4)</f>
        <v/>
      </c>
      <c r="IU4" s="11" t="str">
        <f ca="1">IF(History!IY$2="","",#REF!*$C$4)</f>
        <v/>
      </c>
      <c r="IV4" s="11" t="str">
        <f ca="1">IF(History!IZ$2="","",#REF!*$C$4)</f>
        <v/>
      </c>
      <c r="IW4" s="11" t="str">
        <f ca="1">IF(History!JA$2="","",#REF!*$C$4)</f>
        <v/>
      </c>
      <c r="IX4" s="11" t="str">
        <f ca="1">IF(History!JB$2="","",#REF!*$C$4)</f>
        <v/>
      </c>
      <c r="IY4" s="11" t="str">
        <f ca="1">IF(History!JC$2="","",#REF!*$C$4)</f>
        <v/>
      </c>
      <c r="IZ4" s="11" t="str">
        <f ca="1">IF(History!JD$2="","",#REF!*$C$4)</f>
        <v/>
      </c>
      <c r="JA4" s="11" t="str">
        <f ca="1">IF(History!JE$2="","",#REF!*$C$4)</f>
        <v/>
      </c>
      <c r="JB4" s="11" t="str">
        <f ca="1">IF(History!JF$2="","",#REF!*$C$4)</f>
        <v/>
      </c>
      <c r="JC4" s="11" t="str">
        <f ca="1">IF(History!JG$2="","",#REF!*$C$4)</f>
        <v/>
      </c>
      <c r="JD4" s="11" t="str">
        <f ca="1">IF(History!JH$2="","",#REF!*$C$4)</f>
        <v/>
      </c>
      <c r="JE4" s="11" t="str">
        <f ca="1">IF(History!JI$2="","",#REF!*$C$4)</f>
        <v/>
      </c>
      <c r="JF4" s="11" t="str">
        <f ca="1">IF(History!JJ$2="","",#REF!*$C$4)</f>
        <v/>
      </c>
      <c r="JG4" s="11" t="str">
        <f ca="1">IF(History!JK$2="","",#REF!*$C$4)</f>
        <v/>
      </c>
      <c r="JH4" s="11" t="str">
        <f ca="1">IF(History!JL$2="","",#REF!*$C$4)</f>
        <v/>
      </c>
      <c r="JI4" s="11" t="str">
        <f ca="1">IF(History!JM$2="","",#REF!*$C$4)</f>
        <v/>
      </c>
      <c r="JJ4" s="11" t="str">
        <f ca="1">IF(History!JN$2="","",#REF!*$C$4)</f>
        <v/>
      </c>
      <c r="JK4" s="11" t="str">
        <f ca="1">IF(History!JO$2="","",#REF!*$C$4)</f>
        <v/>
      </c>
      <c r="JL4" s="11" t="str">
        <f ca="1">IF(History!JP$2="","",#REF!*$C$4)</f>
        <v/>
      </c>
      <c r="JM4" s="11" t="str">
        <f ca="1">IF(History!JQ$2="","",#REF!*$C$4)</f>
        <v/>
      </c>
      <c r="JN4" s="11" t="str">
        <f ca="1">IF(History!JR$2="","",#REF!*$C$4)</f>
        <v/>
      </c>
      <c r="JO4" s="11" t="str">
        <f ca="1">IF(History!JS$2="","",#REF!*$C$4)</f>
        <v/>
      </c>
      <c r="JP4" s="11" t="str">
        <f ca="1">IF(History!JT$2="","",#REF!*$C$4)</f>
        <v/>
      </c>
      <c r="JQ4" s="11" t="str">
        <f ca="1">IF(History!JU$2="","",#REF!*$C$4)</f>
        <v/>
      </c>
      <c r="JR4" s="11" t="str">
        <f ca="1">IF(History!JV$2="","",#REF!*$C$4)</f>
        <v/>
      </c>
      <c r="JS4" s="11" t="str">
        <f ca="1">IF(History!JW$2="","",#REF!*$C$4)</f>
        <v/>
      </c>
      <c r="JT4" s="11" t="str">
        <f ca="1">IF(History!JX$2="","",#REF!*$C$4)</f>
        <v/>
      </c>
      <c r="JU4" s="11" t="str">
        <f ca="1">IF(History!JY$2="","",#REF!*$C$4)</f>
        <v/>
      </c>
      <c r="JV4" s="11" t="str">
        <f ca="1">IF(History!JZ$2="","",#REF!*$C$4)</f>
        <v/>
      </c>
      <c r="JW4" s="11" t="str">
        <f ca="1">IF(History!KA$2="","",#REF!*$C$4)</f>
        <v/>
      </c>
      <c r="JX4" s="11" t="str">
        <f ca="1">IF(History!KB$2="","",#REF!*$C$4)</f>
        <v/>
      </c>
      <c r="JY4" s="11" t="str">
        <f ca="1">IF(History!KC$2="","",#REF!*$C$4)</f>
        <v/>
      </c>
      <c r="JZ4" s="11" t="str">
        <f ca="1">IF(History!KD$2="","",#REF!*$C$4)</f>
        <v/>
      </c>
      <c r="KA4" s="11" t="str">
        <f ca="1">IF(History!KE$2="","",#REF!*$C$4)</f>
        <v/>
      </c>
      <c r="KB4" s="11" t="str">
        <f ca="1">IF(History!KF$2="","",#REF!*$C$4)</f>
        <v/>
      </c>
    </row>
    <row r="5" spans="1:288" ht="15.75" customHeight="1">
      <c r="A5" s="18" t="s">
        <v>132</v>
      </c>
      <c r="B5" s="6" t="s">
        <v>135</v>
      </c>
      <c r="C5" s="26">
        <v>452</v>
      </c>
      <c r="D5" s="11" t="e">
        <f ca="1">IF(History!H$2="","",#REF!*$C$5)</f>
        <v>#REF!</v>
      </c>
      <c r="E5" s="11" t="e">
        <f ca="1">IF(History!I$2="","",#REF!*$C$5)</f>
        <v>#REF!</v>
      </c>
      <c r="F5" s="11" t="e">
        <f ca="1">IF(History!J$2="","",#REF!*$C$5)</f>
        <v>#REF!</v>
      </c>
      <c r="G5" s="11" t="e">
        <f ca="1">IF(History!K$2="","",#REF!*$C$5)</f>
        <v>#REF!</v>
      </c>
      <c r="H5" s="11" t="e">
        <f ca="1">IF(History!L$2="","",#REF!*$C$5)</f>
        <v>#REF!</v>
      </c>
      <c r="I5" s="11" t="e">
        <f ca="1">IF(History!M$2="","",#REF!*$C$5)</f>
        <v>#REF!</v>
      </c>
      <c r="J5" s="11" t="e">
        <f ca="1">IF(History!N$2="","",#REF!*$C$5)</f>
        <v>#REF!</v>
      </c>
      <c r="K5" s="11" t="e">
        <f ca="1">IF(History!O$2="","",#REF!*$C$5)</f>
        <v>#REF!</v>
      </c>
      <c r="L5" s="11" t="e">
        <f ca="1">IF(History!P$2="","",#REF!*$C$5)</f>
        <v>#REF!</v>
      </c>
      <c r="M5" s="11" t="e">
        <f ca="1">IF(History!Q$2="","",#REF!*$C$5)</f>
        <v>#REF!</v>
      </c>
      <c r="N5" s="11" t="e">
        <f ca="1">IF(History!R$2="","",#REF!*$C$5)</f>
        <v>#REF!</v>
      </c>
      <c r="O5" s="11" t="e">
        <f ca="1">IF(History!S$2="","",#REF!*$C$5)</f>
        <v>#REF!</v>
      </c>
      <c r="P5" s="11" t="e">
        <f ca="1">IF(History!T$2="","",#REF!*$C$5)</f>
        <v>#REF!</v>
      </c>
      <c r="Q5" s="11" t="e">
        <f ca="1">IF(History!U$2="","",#REF!*$C$5)</f>
        <v>#REF!</v>
      </c>
      <c r="R5" s="11" t="e">
        <f ca="1">IF(History!V$2="","",#REF!*$C$5)</f>
        <v>#REF!</v>
      </c>
      <c r="S5" s="11" t="e">
        <f ca="1">IF(History!W$2="","",#REF!*$C$5)</f>
        <v>#REF!</v>
      </c>
      <c r="T5" s="11" t="e">
        <f ca="1">IF(History!X$2="","",#REF!*$C$5)</f>
        <v>#REF!</v>
      </c>
      <c r="U5" s="11" t="e">
        <f ca="1">IF(History!Y$2="","",#REF!*$C$5)</f>
        <v>#REF!</v>
      </c>
      <c r="V5" s="11" t="e">
        <f ca="1">IF(History!Z$2="","",#REF!*$C$5)</f>
        <v>#REF!</v>
      </c>
      <c r="W5" s="11" t="e">
        <f ca="1">IF(History!AA$2="","",#REF!*$C$5)</f>
        <v>#REF!</v>
      </c>
      <c r="X5" s="11" t="e">
        <f ca="1">IF(History!AB$2="","",#REF!*$C$5)</f>
        <v>#REF!</v>
      </c>
      <c r="Y5" s="11" t="e">
        <f ca="1">IF(History!AC$2="","",#REF!*$C$5)</f>
        <v>#REF!</v>
      </c>
      <c r="Z5" s="11" t="e">
        <f ca="1">IF(History!AD$2="","",#REF!*$C$5)</f>
        <v>#REF!</v>
      </c>
      <c r="AA5" s="11" t="e">
        <f ca="1">IF(History!AE$2="","",#REF!*$C$5)</f>
        <v>#REF!</v>
      </c>
      <c r="AB5" s="11" t="e">
        <f ca="1">IF(History!AF$2="","",#REF!*$C$5)</f>
        <v>#REF!</v>
      </c>
      <c r="AC5" s="11" t="e">
        <f ca="1">IF(History!AG$2="","",#REF!*$C$5)</f>
        <v>#REF!</v>
      </c>
      <c r="AD5" s="11" t="e">
        <f ca="1">IF(History!AH$2="","",#REF!*$C$5)</f>
        <v>#REF!</v>
      </c>
      <c r="AE5" s="11" t="e">
        <f ca="1">IF(History!AI$2="","",#REF!*$C$5)</f>
        <v>#REF!</v>
      </c>
      <c r="AF5" s="11" t="e">
        <f ca="1">IF(History!AJ$2="","",#REF!*$C$5)</f>
        <v>#REF!</v>
      </c>
      <c r="AG5" s="11" t="e">
        <f ca="1">IF(History!AK$2="","",#REF!*$C$5)</f>
        <v>#REF!</v>
      </c>
      <c r="AH5" s="11" t="e">
        <f ca="1">IF(History!AL$2="","",#REF!*$C$5)</f>
        <v>#REF!</v>
      </c>
      <c r="AI5" s="11" t="e">
        <f ca="1">IF(History!AM$2="","",#REF!*$C$5)</f>
        <v>#REF!</v>
      </c>
      <c r="AJ5" s="11" t="e">
        <f ca="1">IF(History!AN$2="","",#REF!*$C$5)</f>
        <v>#REF!</v>
      </c>
      <c r="AK5" s="11" t="e">
        <f ca="1">IF(History!AO$2="","",#REF!*$C$5)</f>
        <v>#REF!</v>
      </c>
      <c r="AL5" s="11" t="e">
        <f ca="1">IF(History!AP$2="","",#REF!*$C$5)</f>
        <v>#REF!</v>
      </c>
      <c r="AM5" s="11" t="e">
        <f ca="1">IF(History!AQ$2="","",#REF!*$C$5)</f>
        <v>#REF!</v>
      </c>
      <c r="AN5" s="11" t="e">
        <f ca="1">IF(History!AR$2="","",#REF!*$C$5)</f>
        <v>#REF!</v>
      </c>
      <c r="AO5" s="11" t="e">
        <f ca="1">IF(History!AS$2="","",#REF!*$C$5)</f>
        <v>#REF!</v>
      </c>
      <c r="AP5" s="11" t="e">
        <f ca="1">IF(History!AT$2="","",#REF!*$C$5)</f>
        <v>#REF!</v>
      </c>
      <c r="AQ5" s="11" t="e">
        <f ca="1">IF(History!AU$2="","",#REF!*$C$5)</f>
        <v>#REF!</v>
      </c>
      <c r="AR5" s="11" t="e">
        <f ca="1">IF(History!AV$2="","",#REF!*$C$5)</f>
        <v>#REF!</v>
      </c>
      <c r="AS5" s="11" t="e">
        <f ca="1">IF(History!AW$2="","",#REF!*$C$5)</f>
        <v>#REF!</v>
      </c>
      <c r="AT5" s="11" t="e">
        <f ca="1">IF(History!AX$2="","",#REF!*$C$5)</f>
        <v>#REF!</v>
      </c>
      <c r="AU5" s="11" t="e">
        <f ca="1">IF(History!AY$2="","",#REF!*$C$5)</f>
        <v>#REF!</v>
      </c>
      <c r="AV5" s="11" t="e">
        <f ca="1">IF(History!AZ$2="","",#REF!*$C$5)</f>
        <v>#REF!</v>
      </c>
      <c r="AW5" s="11" t="e">
        <f ca="1">IF(History!BA$2="","",#REF!*$C$5)</f>
        <v>#REF!</v>
      </c>
      <c r="AX5" s="11" t="e">
        <f ca="1">IF(History!BB$2="","",#REF!*$C$5)</f>
        <v>#REF!</v>
      </c>
      <c r="AY5" s="11" t="e">
        <f ca="1">IF(History!BC$2="","",#REF!*$C$5)</f>
        <v>#REF!</v>
      </c>
      <c r="AZ5" s="11" t="e">
        <f ca="1">IF(History!BD$2="","",#REF!*$C$5)</f>
        <v>#REF!</v>
      </c>
      <c r="BA5" s="11" t="e">
        <f ca="1">IF(History!BE$2="","",#REF!*$C$5)</f>
        <v>#REF!</v>
      </c>
      <c r="BB5" s="11" t="e">
        <f ca="1">IF(History!BF$2="","",#REF!*$C$5)</f>
        <v>#REF!</v>
      </c>
      <c r="BC5" s="11" t="e">
        <f ca="1">IF(History!BG$2="","",#REF!*$C$5)</f>
        <v>#REF!</v>
      </c>
      <c r="BD5" s="11" t="e">
        <f ca="1">IF(History!BH$2="","",#REF!*$C$5)</f>
        <v>#REF!</v>
      </c>
      <c r="BE5" s="11" t="e">
        <f ca="1">IF(History!BI$2="","",#REF!*$C$5)</f>
        <v>#REF!</v>
      </c>
      <c r="BF5" s="11" t="e">
        <f ca="1">IF(History!BJ$2="","",#REF!*$C$5)</f>
        <v>#REF!</v>
      </c>
      <c r="BG5" s="11" t="e">
        <f ca="1">IF(History!BK$2="","",#REF!*$C$5)</f>
        <v>#REF!</v>
      </c>
      <c r="BH5" s="11" t="e">
        <f ca="1">IF(History!BL$2="","",#REF!*$C$5)</f>
        <v>#REF!</v>
      </c>
      <c r="BI5" s="11" t="e">
        <f ca="1">IF(History!BM$2="","",#REF!*$C$5)</f>
        <v>#REF!</v>
      </c>
      <c r="BJ5" s="11" t="e">
        <f ca="1">IF(History!BN$2="","",#REF!*$C$5)</f>
        <v>#REF!</v>
      </c>
      <c r="BK5" s="11" t="e">
        <f ca="1">IF(History!BO$2="","",#REF!*$C$5)</f>
        <v>#REF!</v>
      </c>
      <c r="BL5" s="11" t="e">
        <f ca="1">IF(History!BP$2="","",#REF!*$C$5)</f>
        <v>#REF!</v>
      </c>
      <c r="BM5" s="11" t="e">
        <f ca="1">IF(History!BQ$2="","",#REF!*$C$5)</f>
        <v>#REF!</v>
      </c>
      <c r="BN5" s="11" t="e">
        <f ca="1">IF(History!BR$2="","",#REF!*$C$5)</f>
        <v>#REF!</v>
      </c>
      <c r="BO5" s="11" t="e">
        <f ca="1">IF(History!BS$2="","",#REF!*$C$5)</f>
        <v>#REF!</v>
      </c>
      <c r="BP5" s="11" t="e">
        <f ca="1">IF(History!BT$2="","",#REF!*$C$5)</f>
        <v>#REF!</v>
      </c>
      <c r="BQ5" s="11" t="e">
        <f ca="1">IF(History!BU$2="","",#REF!*$C$5)</f>
        <v>#REF!</v>
      </c>
      <c r="BR5" s="11" t="e">
        <f ca="1">IF(History!BV$2="","",#REF!*$C$5)</f>
        <v>#REF!</v>
      </c>
      <c r="BS5" s="11" t="e">
        <f ca="1">IF(History!BW$2="","",#REF!*$C$5)</f>
        <v>#REF!</v>
      </c>
      <c r="BT5" s="11" t="e">
        <f ca="1">IF(History!BX$2="","",#REF!*$C$5)</f>
        <v>#REF!</v>
      </c>
      <c r="BU5" s="11" t="e">
        <f ca="1">IF(History!BY$2="","",#REF!*$C$5)</f>
        <v>#REF!</v>
      </c>
      <c r="BV5" s="11" t="e">
        <f ca="1">IF(History!BZ$2="","",#REF!*$C$5)</f>
        <v>#REF!</v>
      </c>
      <c r="BW5" s="11" t="e">
        <f ca="1">IF(History!CA$2="","",#REF!*$C$5)</f>
        <v>#REF!</v>
      </c>
      <c r="BX5" s="11" t="e">
        <f ca="1">IF(History!CB$2="","",#REF!*$C$5)</f>
        <v>#REF!</v>
      </c>
      <c r="BY5" s="11" t="e">
        <f ca="1">IF(History!CC$2="","",#REF!*$C$5)</f>
        <v>#REF!</v>
      </c>
      <c r="BZ5" s="11" t="e">
        <f ca="1">IF(History!CD$2="","",#REF!*$C$5)</f>
        <v>#REF!</v>
      </c>
      <c r="CA5" s="11" t="e">
        <f ca="1">IF(History!CE$2="","",#REF!*$C$5)</f>
        <v>#REF!</v>
      </c>
      <c r="CB5" s="11" t="e">
        <f ca="1">IF(History!CF$2="","",#REF!*$C$5)</f>
        <v>#REF!</v>
      </c>
      <c r="CC5" s="11" t="e">
        <f ca="1">IF(History!CG$2="","",#REF!*$C$5)</f>
        <v>#REF!</v>
      </c>
      <c r="CD5" s="11" t="e">
        <f ca="1">IF(History!CH$2="","",#REF!*$C$5)</f>
        <v>#REF!</v>
      </c>
      <c r="CE5" s="11" t="e">
        <f ca="1">IF(History!CI$2="","",#REF!*$C$5)</f>
        <v>#REF!</v>
      </c>
      <c r="CF5" s="11" t="str">
        <f ca="1">IF(History!CJ$2="","",#REF!*$C$5)</f>
        <v/>
      </c>
      <c r="CG5" s="11" t="str">
        <f ca="1">IF(History!CK$2="","",#REF!*$C$5)</f>
        <v/>
      </c>
      <c r="CH5" s="11" t="str">
        <f ca="1">IF(History!CL$2="","",#REF!*$C$5)</f>
        <v/>
      </c>
      <c r="CI5" s="11" t="str">
        <f ca="1">IF(History!CM$2="","",#REF!*$C$5)</f>
        <v/>
      </c>
      <c r="CJ5" s="11" t="str">
        <f ca="1">IF(History!CN$2="","",#REF!*$C$5)</f>
        <v/>
      </c>
      <c r="CK5" s="11" t="str">
        <f ca="1">IF(History!CO$2="","",#REF!*$C$5)</f>
        <v/>
      </c>
      <c r="CL5" s="11" t="str">
        <f ca="1">IF(History!CP$2="","",#REF!*$C$5)</f>
        <v/>
      </c>
      <c r="CM5" s="11" t="str">
        <f ca="1">IF(History!CQ$2="","",#REF!*$C$5)</f>
        <v/>
      </c>
      <c r="CN5" s="11" t="str">
        <f ca="1">IF(History!CR$2="","",#REF!*$C$5)</f>
        <v/>
      </c>
      <c r="CO5" s="11" t="str">
        <f ca="1">IF(History!CS$2="","",#REF!*$C$5)</f>
        <v/>
      </c>
      <c r="CP5" s="11" t="str">
        <f ca="1">IF(History!CT$2="","",#REF!*$C$5)</f>
        <v/>
      </c>
      <c r="CQ5" s="11" t="str">
        <f ca="1">IF(History!CU$2="","",#REF!*$C$5)</f>
        <v/>
      </c>
      <c r="CR5" s="11" t="str">
        <f ca="1">IF(History!CV$2="","",#REF!*$C$5)</f>
        <v/>
      </c>
      <c r="CS5" s="11" t="str">
        <f ca="1">IF(History!CW$2="","",#REF!*$C$5)</f>
        <v/>
      </c>
      <c r="CT5" s="11" t="str">
        <f ca="1">IF(History!CX$2="","",#REF!*$C$5)</f>
        <v/>
      </c>
      <c r="CU5" s="11" t="str">
        <f ca="1">IF(History!CY$2="","",#REF!*$C$5)</f>
        <v/>
      </c>
      <c r="CV5" s="11" t="str">
        <f ca="1">IF(History!CZ$2="","",#REF!*$C$5)</f>
        <v/>
      </c>
      <c r="CW5" s="11" t="str">
        <f ca="1">IF(History!DA$2="","",#REF!*$C$5)</f>
        <v/>
      </c>
      <c r="CX5" s="11" t="str">
        <f ca="1">IF(History!DB$2="","",#REF!*$C$5)</f>
        <v/>
      </c>
      <c r="CY5" s="11" t="str">
        <f ca="1">IF(History!DC$2="","",#REF!*$C$5)</f>
        <v/>
      </c>
      <c r="CZ5" s="11" t="str">
        <f ca="1">IF(History!DD$2="","",#REF!*$C$5)</f>
        <v/>
      </c>
      <c r="DA5" s="11" t="str">
        <f ca="1">IF(History!DE$2="","",#REF!*$C$5)</f>
        <v/>
      </c>
      <c r="DB5" s="11" t="str">
        <f ca="1">IF(History!DF$2="","",#REF!*$C$5)</f>
        <v/>
      </c>
      <c r="DC5" s="11" t="str">
        <f ca="1">IF(History!DG$2="","",#REF!*$C$5)</f>
        <v/>
      </c>
      <c r="DD5" s="11" t="str">
        <f ca="1">IF(History!DH$2="","",#REF!*$C$5)</f>
        <v/>
      </c>
      <c r="DE5" s="11" t="str">
        <f ca="1">IF(History!DI$2="","",#REF!*$C$5)</f>
        <v/>
      </c>
      <c r="DF5" s="11" t="str">
        <f ca="1">IF(History!DJ$2="","",#REF!*$C$5)</f>
        <v/>
      </c>
      <c r="DG5" s="11" t="str">
        <f ca="1">IF(History!DK$2="","",#REF!*$C$5)</f>
        <v/>
      </c>
      <c r="DH5" s="11" t="str">
        <f ca="1">IF(History!DL$2="","",#REF!*$C$5)</f>
        <v/>
      </c>
      <c r="DI5" s="11" t="str">
        <f ca="1">IF(History!DM$2="","",#REF!*$C$5)</f>
        <v/>
      </c>
      <c r="DJ5" s="11" t="str">
        <f ca="1">IF(History!DN$2="","",#REF!*$C$5)</f>
        <v/>
      </c>
      <c r="DK5" s="11" t="str">
        <f ca="1">IF(History!DO$2="","",#REF!*$C$5)</f>
        <v/>
      </c>
      <c r="DL5" s="11" t="str">
        <f ca="1">IF(History!DP$2="","",#REF!*$C$5)</f>
        <v/>
      </c>
      <c r="DM5" s="11" t="str">
        <f ca="1">IF(History!DQ$2="","",#REF!*$C$5)</f>
        <v/>
      </c>
      <c r="DN5" s="11" t="str">
        <f ca="1">IF(History!DR$2="","",#REF!*$C$5)</f>
        <v/>
      </c>
      <c r="DO5" s="11" t="str">
        <f ca="1">IF(History!DS$2="","",#REF!*$C$5)</f>
        <v/>
      </c>
      <c r="DP5" s="11" t="str">
        <f ca="1">IF(History!DT$2="","",#REF!*$C$5)</f>
        <v/>
      </c>
      <c r="DQ5" s="11" t="str">
        <f ca="1">IF(History!DU$2="","",#REF!*$C$5)</f>
        <v/>
      </c>
      <c r="DR5" s="11" t="str">
        <f ca="1">IF(History!DV$2="","",#REF!*$C$5)</f>
        <v/>
      </c>
      <c r="DS5" s="11" t="str">
        <f ca="1">IF(History!DW$2="","",#REF!*$C$5)</f>
        <v/>
      </c>
      <c r="DT5" s="11" t="str">
        <f ca="1">IF(History!DX$2="","",#REF!*$C$5)</f>
        <v/>
      </c>
      <c r="DU5" s="11" t="str">
        <f ca="1">IF(History!DY$2="","",#REF!*$C$5)</f>
        <v/>
      </c>
      <c r="DV5" s="11" t="str">
        <f ca="1">IF(History!DZ$2="","",#REF!*$C$5)</f>
        <v/>
      </c>
      <c r="DW5" s="11" t="str">
        <f ca="1">IF(History!EA$2="","",#REF!*$C$5)</f>
        <v/>
      </c>
      <c r="DX5" s="11" t="str">
        <f ca="1">IF(History!EB$2="","",#REF!*$C$5)</f>
        <v/>
      </c>
      <c r="DY5" s="11" t="str">
        <f ca="1">IF(History!EC$2="","",#REF!*$C$5)</f>
        <v/>
      </c>
      <c r="DZ5" s="11" t="str">
        <f ca="1">IF(History!ED$2="","",#REF!*$C$5)</f>
        <v/>
      </c>
      <c r="EA5" s="11" t="str">
        <f ca="1">IF(History!EE$2="","",#REF!*$C$5)</f>
        <v/>
      </c>
      <c r="EB5" s="11" t="str">
        <f ca="1">IF(History!EF$2="","",#REF!*$C$5)</f>
        <v/>
      </c>
      <c r="EC5" s="11" t="str">
        <f ca="1">IF(History!EG$2="","",#REF!*$C$5)</f>
        <v/>
      </c>
      <c r="ED5" s="11" t="str">
        <f ca="1">IF(History!EH$2="","",#REF!*$C$5)</f>
        <v/>
      </c>
      <c r="EE5" s="11" t="str">
        <f ca="1">IF(History!EI$2="","",#REF!*$C$5)</f>
        <v/>
      </c>
      <c r="EF5" s="11" t="str">
        <f ca="1">IF(History!EJ$2="","",#REF!*$C$5)</f>
        <v/>
      </c>
      <c r="EG5" s="11" t="str">
        <f ca="1">IF(History!EK$2="","",#REF!*$C$5)</f>
        <v/>
      </c>
      <c r="EH5" s="11" t="str">
        <f ca="1">IF(History!EL$2="","",#REF!*$C$5)</f>
        <v/>
      </c>
      <c r="EI5" s="11" t="str">
        <f ca="1">IF(History!EM$2="","",#REF!*$C$5)</f>
        <v/>
      </c>
      <c r="EJ5" s="11" t="str">
        <f ca="1">IF(History!EN$2="","",#REF!*$C$5)</f>
        <v/>
      </c>
      <c r="EK5" s="11" t="str">
        <f ca="1">IF(History!EO$2="","",#REF!*$C$5)</f>
        <v/>
      </c>
      <c r="EL5" s="11" t="str">
        <f ca="1">IF(History!EP$2="","",#REF!*$C$5)</f>
        <v/>
      </c>
      <c r="EM5" s="11" t="str">
        <f ca="1">IF(History!EQ$2="","",#REF!*$C$5)</f>
        <v/>
      </c>
      <c r="EN5" s="11" t="str">
        <f ca="1">IF(History!ER$2="","",#REF!*$C$5)</f>
        <v/>
      </c>
      <c r="EO5" s="11" t="str">
        <f ca="1">IF(History!ES$2="","",#REF!*$C$5)</f>
        <v/>
      </c>
      <c r="EP5" s="11" t="str">
        <f ca="1">IF(History!ET$2="","",#REF!*$C$5)</f>
        <v/>
      </c>
      <c r="EQ5" s="11" t="str">
        <f ca="1">IF(History!EU$2="","",#REF!*$C$5)</f>
        <v/>
      </c>
      <c r="ER5" s="11" t="str">
        <f ca="1">IF(History!EV$2="","",#REF!*$C$5)</f>
        <v/>
      </c>
      <c r="ES5" s="11" t="str">
        <f ca="1">IF(History!EW$2="","",#REF!*$C$5)</f>
        <v/>
      </c>
      <c r="ET5" s="11" t="str">
        <f ca="1">IF(History!EX$2="","",#REF!*$C$5)</f>
        <v/>
      </c>
      <c r="EU5" s="11" t="str">
        <f ca="1">IF(History!EY$2="","",#REF!*$C$5)</f>
        <v/>
      </c>
      <c r="EV5" s="11" t="str">
        <f ca="1">IF(History!EZ$2="","",#REF!*$C$5)</f>
        <v/>
      </c>
      <c r="EW5" s="11" t="str">
        <f ca="1">IF(History!FA$2="","",#REF!*$C$5)</f>
        <v/>
      </c>
      <c r="EX5" s="11" t="str">
        <f ca="1">IF(History!FB$2="","",#REF!*$C$5)</f>
        <v/>
      </c>
      <c r="EY5" s="11" t="str">
        <f ca="1">IF(History!FC$2="","",#REF!*$C$5)</f>
        <v/>
      </c>
      <c r="EZ5" s="11" t="str">
        <f ca="1">IF(History!FD$2="","",#REF!*$C$5)</f>
        <v/>
      </c>
      <c r="FA5" s="11" t="str">
        <f ca="1">IF(History!FE$2="","",#REF!*$C$5)</f>
        <v/>
      </c>
      <c r="FB5" s="11" t="str">
        <f ca="1">IF(History!FF$2="","",#REF!*$C$5)</f>
        <v/>
      </c>
      <c r="FC5" s="11" t="str">
        <f ca="1">IF(History!FG$2="","",#REF!*$C$5)</f>
        <v/>
      </c>
      <c r="FD5" s="11" t="str">
        <f ca="1">IF(History!FH$2="","",#REF!*$C$5)</f>
        <v/>
      </c>
      <c r="FE5" s="11" t="str">
        <f ca="1">IF(History!FI$2="","",#REF!*$C$5)</f>
        <v/>
      </c>
      <c r="FF5" s="11" t="str">
        <f ca="1">IF(History!FJ$2="","",#REF!*$C$5)</f>
        <v/>
      </c>
      <c r="FG5" s="11" t="str">
        <f ca="1">IF(History!FK$2="","",#REF!*$C$5)</f>
        <v/>
      </c>
      <c r="FH5" s="11" t="str">
        <f ca="1">IF(History!FL$2="","",#REF!*$C$5)</f>
        <v/>
      </c>
      <c r="FI5" s="11" t="str">
        <f ca="1">IF(History!FM$2="","",#REF!*$C$5)</f>
        <v/>
      </c>
      <c r="FJ5" s="11" t="str">
        <f ca="1">IF(History!FN$2="","",#REF!*$C$5)</f>
        <v/>
      </c>
      <c r="FK5" s="11" t="str">
        <f ca="1">IF(History!FO$2="","",#REF!*$C$5)</f>
        <v/>
      </c>
      <c r="FL5" s="11" t="str">
        <f ca="1">IF(History!FP$2="","",#REF!*$C$5)</f>
        <v/>
      </c>
      <c r="FM5" s="11" t="str">
        <f ca="1">IF(History!FQ$2="","",#REF!*$C$5)</f>
        <v/>
      </c>
      <c r="FN5" s="11" t="str">
        <f ca="1">IF(History!FR$2="","",#REF!*$C$5)</f>
        <v/>
      </c>
      <c r="FO5" s="11" t="str">
        <f ca="1">IF(History!FS$2="","",#REF!*$C$5)</f>
        <v/>
      </c>
      <c r="FP5" s="11" t="str">
        <f ca="1">IF(History!FT$2="","",#REF!*$C$5)</f>
        <v/>
      </c>
      <c r="FQ5" s="11" t="str">
        <f ca="1">IF(History!FU$2="","",#REF!*$C$5)</f>
        <v/>
      </c>
      <c r="FR5" s="11" t="str">
        <f ca="1">IF(History!FV$2="","",#REF!*$C$5)</f>
        <v/>
      </c>
      <c r="FS5" s="11" t="str">
        <f ca="1">IF(History!FW$2="","",#REF!*$C$5)</f>
        <v/>
      </c>
      <c r="FT5" s="11" t="str">
        <f ca="1">IF(History!FX$2="","",#REF!*$C$5)</f>
        <v/>
      </c>
      <c r="FU5" s="11" t="str">
        <f ca="1">IF(History!FY$2="","",#REF!*$C$5)</f>
        <v/>
      </c>
      <c r="FV5" s="11" t="str">
        <f ca="1">IF(History!FZ$2="","",#REF!*$C$5)</f>
        <v/>
      </c>
      <c r="FW5" s="11" t="str">
        <f ca="1">IF(History!GA$2="","",#REF!*$C$5)</f>
        <v/>
      </c>
      <c r="FX5" s="11" t="str">
        <f ca="1">IF(History!GB$2="","",#REF!*$C$5)</f>
        <v/>
      </c>
      <c r="FY5" s="11" t="str">
        <f ca="1">IF(History!GC$2="","",#REF!*$C$5)</f>
        <v/>
      </c>
      <c r="FZ5" s="11" t="str">
        <f ca="1">IF(History!GD$2="","",#REF!*$C$5)</f>
        <v/>
      </c>
      <c r="GA5" s="11" t="str">
        <f ca="1">IF(History!GE$2="","",#REF!*$C$5)</f>
        <v/>
      </c>
      <c r="GB5" s="11" t="str">
        <f ca="1">IF(History!GF$2="","",#REF!*$C$5)</f>
        <v/>
      </c>
      <c r="GC5" s="11" t="str">
        <f ca="1">IF(History!GG$2="","",#REF!*$C$5)</f>
        <v/>
      </c>
      <c r="GD5" s="11" t="str">
        <f ca="1">IF(History!GH$2="","",#REF!*$C$5)</f>
        <v/>
      </c>
      <c r="GE5" s="11" t="str">
        <f ca="1">IF(History!GI$2="","",#REF!*$C$5)</f>
        <v/>
      </c>
      <c r="GF5" s="11" t="str">
        <f ca="1">IF(History!GJ$2="","",#REF!*$C$5)</f>
        <v/>
      </c>
      <c r="GG5" s="11" t="str">
        <f ca="1">IF(History!GK$2="","",#REF!*$C$5)</f>
        <v/>
      </c>
      <c r="GH5" s="11" t="str">
        <f ca="1">IF(History!GL$2="","",#REF!*$C$5)</f>
        <v/>
      </c>
      <c r="GI5" s="11" t="str">
        <f ca="1">IF(History!GM$2="","",#REF!*$C$5)</f>
        <v/>
      </c>
      <c r="GJ5" s="11" t="str">
        <f ca="1">IF(History!GN$2="","",#REF!*$C$5)</f>
        <v/>
      </c>
      <c r="GK5" s="11" t="str">
        <f ca="1">IF(History!GO$2="","",#REF!*$C$5)</f>
        <v/>
      </c>
      <c r="GL5" s="11" t="str">
        <f ca="1">IF(History!GP$2="","",#REF!*$C$5)</f>
        <v/>
      </c>
      <c r="GM5" s="11" t="str">
        <f ca="1">IF(History!GQ$2="","",#REF!*$C$5)</f>
        <v/>
      </c>
      <c r="GN5" s="11" t="str">
        <f ca="1">IF(History!GR$2="","",#REF!*$C$5)</f>
        <v/>
      </c>
      <c r="GO5" s="11" t="str">
        <f ca="1">IF(History!GS$2="","",#REF!*$C$5)</f>
        <v/>
      </c>
      <c r="GP5" s="11" t="str">
        <f ca="1">IF(History!GT$2="","",#REF!*$C$5)</f>
        <v/>
      </c>
      <c r="GQ5" s="11" t="str">
        <f ca="1">IF(History!GU$2="","",#REF!*$C$5)</f>
        <v/>
      </c>
      <c r="GR5" s="11" t="str">
        <f ca="1">IF(History!GV$2="","",#REF!*$C$5)</f>
        <v/>
      </c>
      <c r="GS5" s="11" t="str">
        <f ca="1">IF(History!GW$2="","",#REF!*$C$5)</f>
        <v/>
      </c>
      <c r="GT5" s="11" t="str">
        <f ca="1">IF(History!GX$2="","",#REF!*$C$5)</f>
        <v/>
      </c>
      <c r="GU5" s="11" t="str">
        <f ca="1">IF(History!GY$2="","",#REF!*$C$5)</f>
        <v/>
      </c>
      <c r="GV5" s="11" t="str">
        <f ca="1">IF(History!GZ$2="","",#REF!*$C$5)</f>
        <v/>
      </c>
      <c r="GW5" s="11" t="str">
        <f ca="1">IF(History!HA$2="","",#REF!*$C$5)</f>
        <v/>
      </c>
      <c r="GX5" s="11" t="str">
        <f ca="1">IF(History!HB$2="","",#REF!*$C$5)</f>
        <v/>
      </c>
      <c r="GY5" s="11" t="str">
        <f ca="1">IF(History!HC$2="","",#REF!*$C$5)</f>
        <v/>
      </c>
      <c r="GZ5" s="11" t="str">
        <f ca="1">IF(History!HD$2="","",#REF!*$C$5)</f>
        <v/>
      </c>
      <c r="HA5" s="11" t="str">
        <f ca="1">IF(History!HE$2="","",#REF!*$C$5)</f>
        <v/>
      </c>
      <c r="HB5" s="11" t="str">
        <f ca="1">IF(History!HF$2="","",#REF!*$C$5)</f>
        <v/>
      </c>
      <c r="HC5" s="11" t="str">
        <f ca="1">IF(History!HG$2="","",#REF!*$C$5)</f>
        <v/>
      </c>
      <c r="HD5" s="11" t="str">
        <f ca="1">IF(History!HH$2="","",#REF!*$C$5)</f>
        <v/>
      </c>
      <c r="HE5" s="11" t="str">
        <f ca="1">IF(History!HI$2="","",#REF!*$C$5)</f>
        <v/>
      </c>
      <c r="HF5" s="11" t="str">
        <f ca="1">IF(History!HJ$2="","",#REF!*$C$5)</f>
        <v/>
      </c>
      <c r="HG5" s="11" t="str">
        <f ca="1">IF(History!HK$2="","",#REF!*$C$5)</f>
        <v/>
      </c>
      <c r="HH5" s="11" t="str">
        <f ca="1">IF(History!HL$2="","",#REF!*$C$5)</f>
        <v/>
      </c>
      <c r="HI5" s="11" t="str">
        <f ca="1">IF(History!HM$2="","",#REF!*$C$5)</f>
        <v/>
      </c>
      <c r="HJ5" s="11" t="str">
        <f ca="1">IF(History!HN$2="","",#REF!*$C$5)</f>
        <v/>
      </c>
      <c r="HK5" s="11" t="str">
        <f ca="1">IF(History!HO$2="","",#REF!*$C$5)</f>
        <v/>
      </c>
      <c r="HL5" s="11" t="str">
        <f ca="1">IF(History!HP$2="","",#REF!*$C$5)</f>
        <v/>
      </c>
      <c r="HM5" s="11" t="str">
        <f ca="1">IF(History!HQ$2="","",#REF!*$C$5)</f>
        <v/>
      </c>
      <c r="HN5" s="11" t="str">
        <f ca="1">IF(History!HR$2="","",#REF!*$C$5)</f>
        <v/>
      </c>
      <c r="HO5" s="11" t="str">
        <f ca="1">IF(History!HS$2="","",#REF!*$C$5)</f>
        <v/>
      </c>
      <c r="HP5" s="11" t="str">
        <f ca="1">IF(History!HT$2="","",#REF!*$C$5)</f>
        <v/>
      </c>
      <c r="HQ5" s="11" t="str">
        <f ca="1">IF(History!HU$2="","",#REF!*$C$5)</f>
        <v/>
      </c>
      <c r="HR5" s="11" t="str">
        <f ca="1">IF(History!HV$2="","",#REF!*$C$5)</f>
        <v/>
      </c>
      <c r="HS5" s="11" t="str">
        <f ca="1">IF(History!HW$2="","",#REF!*$C$5)</f>
        <v/>
      </c>
      <c r="HT5" s="11" t="str">
        <f ca="1">IF(History!HX$2="","",#REF!*$C$5)</f>
        <v/>
      </c>
      <c r="HU5" s="11" t="str">
        <f ca="1">IF(History!HY$2="","",#REF!*$C$5)</f>
        <v/>
      </c>
      <c r="HV5" s="11" t="str">
        <f ca="1">IF(History!HZ$2="","",#REF!*$C$5)</f>
        <v/>
      </c>
      <c r="HW5" s="11" t="str">
        <f ca="1">IF(History!IA$2="","",#REF!*$C$5)</f>
        <v/>
      </c>
      <c r="HX5" s="11" t="str">
        <f ca="1">IF(History!IB$2="","",#REF!*$C$5)</f>
        <v/>
      </c>
      <c r="HY5" s="11" t="str">
        <f ca="1">IF(History!IC$2="","",#REF!*$C$5)</f>
        <v/>
      </c>
      <c r="HZ5" s="11" t="str">
        <f ca="1">IF(History!ID$2="","",#REF!*$C$5)</f>
        <v/>
      </c>
      <c r="IA5" s="11" t="str">
        <f ca="1">IF(History!IE$2="","",#REF!*$C$5)</f>
        <v/>
      </c>
      <c r="IB5" s="11" t="str">
        <f ca="1">IF(History!IF$2="","",#REF!*$C$5)</f>
        <v/>
      </c>
      <c r="IC5" s="11" t="str">
        <f ca="1">IF(History!IG$2="","",#REF!*$C$5)</f>
        <v/>
      </c>
      <c r="ID5" s="11" t="str">
        <f ca="1">IF(History!IH$2="","",#REF!*$C$5)</f>
        <v/>
      </c>
      <c r="IE5" s="11" t="str">
        <f ca="1">IF(History!II$2="","",#REF!*$C$5)</f>
        <v/>
      </c>
      <c r="IF5" s="11" t="str">
        <f ca="1">IF(History!IJ$2="","",#REF!*$C$5)</f>
        <v/>
      </c>
      <c r="IG5" s="11" t="str">
        <f ca="1">IF(History!IK$2="","",#REF!*$C$5)</f>
        <v/>
      </c>
      <c r="IH5" s="11" t="str">
        <f ca="1">IF(History!IL$2="","",#REF!*$C$5)</f>
        <v/>
      </c>
      <c r="II5" s="11" t="str">
        <f ca="1">IF(History!IM$2="","",#REF!*$C$5)</f>
        <v/>
      </c>
      <c r="IJ5" s="11" t="str">
        <f ca="1">IF(History!IN$2="","",#REF!*$C$5)</f>
        <v/>
      </c>
      <c r="IK5" s="11" t="str">
        <f ca="1">IF(History!IO$2="","",#REF!*$C$5)</f>
        <v/>
      </c>
      <c r="IL5" s="11" t="str">
        <f ca="1">IF(History!IP$2="","",#REF!*$C$5)</f>
        <v/>
      </c>
      <c r="IM5" s="11" t="str">
        <f ca="1">IF(History!IQ$2="","",#REF!*$C$5)</f>
        <v/>
      </c>
      <c r="IN5" s="11" t="str">
        <f ca="1">IF(History!IR$2="","",#REF!*$C$5)</f>
        <v/>
      </c>
      <c r="IO5" s="11" t="str">
        <f ca="1">IF(History!IS$2="","",#REF!*$C$5)</f>
        <v/>
      </c>
      <c r="IP5" s="11" t="str">
        <f ca="1">IF(History!IT$2="","",#REF!*$C$5)</f>
        <v/>
      </c>
      <c r="IQ5" s="11" t="str">
        <f ca="1">IF(History!IU$2="","",#REF!*$C$5)</f>
        <v/>
      </c>
      <c r="IR5" s="11" t="str">
        <f ca="1">IF(History!IV$2="","",#REF!*$C$5)</f>
        <v/>
      </c>
      <c r="IS5" s="11" t="str">
        <f ca="1">IF(History!IW$2="","",#REF!*$C$5)</f>
        <v/>
      </c>
      <c r="IT5" s="11" t="str">
        <f ca="1">IF(History!IX$2="","",#REF!*$C$5)</f>
        <v/>
      </c>
      <c r="IU5" s="11" t="str">
        <f ca="1">IF(History!IY$2="","",#REF!*$C$5)</f>
        <v/>
      </c>
      <c r="IV5" s="11" t="str">
        <f ca="1">IF(History!IZ$2="","",#REF!*$C$5)</f>
        <v/>
      </c>
      <c r="IW5" s="11" t="str">
        <f ca="1">IF(History!JA$2="","",#REF!*$C$5)</f>
        <v/>
      </c>
      <c r="IX5" s="11" t="str">
        <f ca="1">IF(History!JB$2="","",#REF!*$C$5)</f>
        <v/>
      </c>
      <c r="IY5" s="11" t="str">
        <f ca="1">IF(History!JC$2="","",#REF!*$C$5)</f>
        <v/>
      </c>
      <c r="IZ5" s="11" t="str">
        <f ca="1">IF(History!JD$2="","",#REF!*$C$5)</f>
        <v/>
      </c>
      <c r="JA5" s="11" t="str">
        <f ca="1">IF(History!JE$2="","",#REF!*$C$5)</f>
        <v/>
      </c>
      <c r="JB5" s="11" t="str">
        <f ca="1">IF(History!JF$2="","",#REF!*$C$5)</f>
        <v/>
      </c>
      <c r="JC5" s="11" t="str">
        <f ca="1">IF(History!JG$2="","",#REF!*$C$5)</f>
        <v/>
      </c>
      <c r="JD5" s="11" t="str">
        <f ca="1">IF(History!JH$2="","",#REF!*$C$5)</f>
        <v/>
      </c>
      <c r="JE5" s="11" t="str">
        <f ca="1">IF(History!JI$2="","",#REF!*$C$5)</f>
        <v/>
      </c>
      <c r="JF5" s="11" t="str">
        <f ca="1">IF(History!JJ$2="","",#REF!*$C$5)</f>
        <v/>
      </c>
      <c r="JG5" s="11" t="str">
        <f ca="1">IF(History!JK$2="","",#REF!*$C$5)</f>
        <v/>
      </c>
      <c r="JH5" s="11" t="str">
        <f ca="1">IF(History!JL$2="","",#REF!*$C$5)</f>
        <v/>
      </c>
      <c r="JI5" s="11" t="str">
        <f ca="1">IF(History!JM$2="","",#REF!*$C$5)</f>
        <v/>
      </c>
      <c r="JJ5" s="11" t="str">
        <f ca="1">IF(History!JN$2="","",#REF!*$C$5)</f>
        <v/>
      </c>
      <c r="JK5" s="11" t="str">
        <f ca="1">IF(History!JO$2="","",#REF!*$C$5)</f>
        <v/>
      </c>
      <c r="JL5" s="11" t="str">
        <f ca="1">IF(History!JP$2="","",#REF!*$C$5)</f>
        <v/>
      </c>
      <c r="JM5" s="11" t="str">
        <f ca="1">IF(History!JQ$2="","",#REF!*$C$5)</f>
        <v/>
      </c>
      <c r="JN5" s="11" t="str">
        <f ca="1">IF(History!JR$2="","",#REF!*$C$5)</f>
        <v/>
      </c>
      <c r="JO5" s="11" t="str">
        <f ca="1">IF(History!JS$2="","",#REF!*$C$5)</f>
        <v/>
      </c>
      <c r="JP5" s="11" t="str">
        <f ca="1">IF(History!JT$2="","",#REF!*$C$5)</f>
        <v/>
      </c>
      <c r="JQ5" s="11" t="str">
        <f ca="1">IF(History!JU$2="","",#REF!*$C$5)</f>
        <v/>
      </c>
      <c r="JR5" s="11" t="str">
        <f ca="1">IF(History!JV$2="","",#REF!*$C$5)</f>
        <v/>
      </c>
      <c r="JS5" s="11" t="str">
        <f ca="1">IF(History!JW$2="","",#REF!*$C$5)</f>
        <v/>
      </c>
      <c r="JT5" s="11" t="str">
        <f ca="1">IF(History!JX$2="","",#REF!*$C$5)</f>
        <v/>
      </c>
      <c r="JU5" s="11" t="str">
        <f ca="1">IF(History!JY$2="","",#REF!*$C$5)</f>
        <v/>
      </c>
      <c r="JV5" s="11" t="str">
        <f ca="1">IF(History!JZ$2="","",#REF!*$C$5)</f>
        <v/>
      </c>
      <c r="JW5" s="11" t="str">
        <f ca="1">IF(History!KA$2="","",#REF!*$C$5)</f>
        <v/>
      </c>
      <c r="JX5" s="11" t="str">
        <f ca="1">IF(History!KB$2="","",#REF!*$C$5)</f>
        <v/>
      </c>
      <c r="JY5" s="11" t="str">
        <f ca="1">IF(History!KC$2="","",#REF!*$C$5)</f>
        <v/>
      </c>
      <c r="JZ5" s="11" t="str">
        <f ca="1">IF(History!KD$2="","",#REF!*$C$5)</f>
        <v/>
      </c>
      <c r="KA5" s="11" t="str">
        <f ca="1">IF(History!KE$2="","",#REF!*$C$5)</f>
        <v/>
      </c>
      <c r="KB5" s="11" t="str">
        <f ca="1">IF(History!KF$2="","",#REF!*$C$5)</f>
        <v/>
      </c>
    </row>
    <row r="6" spans="1:288" ht="15.75" customHeight="1">
      <c r="A6" s="18" t="s">
        <v>132</v>
      </c>
      <c r="B6" s="6" t="s">
        <v>26</v>
      </c>
      <c r="C6" s="26">
        <v>2052</v>
      </c>
      <c r="D6" s="11" t="e">
        <f ca="1">IF(History!H$2="","",#REF!*$C$6)</f>
        <v>#REF!</v>
      </c>
      <c r="E6" s="11" t="e">
        <f ca="1">IF(History!I$2="","",#REF!*$C$6)</f>
        <v>#REF!</v>
      </c>
      <c r="F6" s="11" t="e">
        <f ca="1">IF(History!J$2="","",#REF!*$C$6)</f>
        <v>#REF!</v>
      </c>
      <c r="G6" s="11" t="e">
        <f ca="1">IF(History!K$2="","",#REF!*$C$6)</f>
        <v>#REF!</v>
      </c>
      <c r="H6" s="11" t="e">
        <f ca="1">IF(History!L$2="","",#REF!*$C$6)</f>
        <v>#REF!</v>
      </c>
      <c r="I6" s="11" t="e">
        <f ca="1">IF(History!M$2="","",#REF!*$C$6)</f>
        <v>#REF!</v>
      </c>
      <c r="J6" s="11" t="e">
        <f ca="1">IF(History!N$2="","",#REF!*$C$6)</f>
        <v>#REF!</v>
      </c>
      <c r="K6" s="11" t="e">
        <f ca="1">IF(History!O$2="","",#REF!*$C$6)</f>
        <v>#REF!</v>
      </c>
      <c r="L6" s="11" t="e">
        <f ca="1">IF(History!P$2="","",#REF!*$C$6)</f>
        <v>#REF!</v>
      </c>
      <c r="M6" s="11" t="e">
        <f ca="1">IF(History!Q$2="","",#REF!*$C$6)</f>
        <v>#REF!</v>
      </c>
      <c r="N6" s="11" t="e">
        <f ca="1">IF(History!R$2="","",#REF!*$C$6)</f>
        <v>#REF!</v>
      </c>
      <c r="O6" s="11" t="e">
        <f ca="1">IF(History!S$2="","",#REF!*$C$6)</f>
        <v>#REF!</v>
      </c>
      <c r="P6" s="11" t="e">
        <f ca="1">IF(History!T$2="","",#REF!*$C$6)</f>
        <v>#REF!</v>
      </c>
      <c r="Q6" s="11" t="e">
        <f ca="1">IF(History!U$2="","",#REF!*$C$6)</f>
        <v>#REF!</v>
      </c>
      <c r="R6" s="11" t="e">
        <f ca="1">IF(History!V$2="","",#REF!*$C$6)</f>
        <v>#REF!</v>
      </c>
      <c r="S6" s="11" t="e">
        <f ca="1">IF(History!W$2="","",#REF!*$C$6)</f>
        <v>#REF!</v>
      </c>
      <c r="T6" s="11" t="e">
        <f ca="1">IF(History!X$2="","",#REF!*$C$6)</f>
        <v>#REF!</v>
      </c>
      <c r="U6" s="11" t="e">
        <f ca="1">IF(History!Y$2="","",#REF!*$C$6)</f>
        <v>#REF!</v>
      </c>
      <c r="V6" s="11" t="e">
        <f ca="1">IF(History!Z$2="","",#REF!*$C$6)</f>
        <v>#REF!</v>
      </c>
      <c r="W6" s="11" t="e">
        <f ca="1">IF(History!AA$2="","",#REF!*$C$6)</f>
        <v>#REF!</v>
      </c>
      <c r="X6" s="11" t="e">
        <f ca="1">IF(History!AB$2="","",#REF!*$C$6)</f>
        <v>#REF!</v>
      </c>
      <c r="Y6" s="11" t="e">
        <f ca="1">IF(History!AC$2="","",#REF!*$C$6)</f>
        <v>#REF!</v>
      </c>
      <c r="Z6" s="11" t="e">
        <f ca="1">IF(History!AD$2="","",#REF!*$C$6)</f>
        <v>#REF!</v>
      </c>
      <c r="AA6" s="11" t="e">
        <f ca="1">IF(History!AE$2="","",#REF!*$C$6)</f>
        <v>#REF!</v>
      </c>
      <c r="AB6" s="11" t="e">
        <f ca="1">IF(History!AF$2="","",#REF!*$C$6)</f>
        <v>#REF!</v>
      </c>
      <c r="AC6" s="11" t="e">
        <f ca="1">IF(History!AG$2="","",#REF!*$C$6)</f>
        <v>#REF!</v>
      </c>
      <c r="AD6" s="11" t="e">
        <f ca="1">IF(History!AH$2="","",#REF!*$C$6)</f>
        <v>#REF!</v>
      </c>
      <c r="AE6" s="11" t="e">
        <f ca="1">IF(History!AI$2="","",#REF!*$C$6)</f>
        <v>#REF!</v>
      </c>
      <c r="AF6" s="11" t="e">
        <f ca="1">IF(History!AJ$2="","",#REF!*$C$6)</f>
        <v>#REF!</v>
      </c>
      <c r="AG6" s="11" t="e">
        <f ca="1">IF(History!AK$2="","",#REF!*$C$6)</f>
        <v>#REF!</v>
      </c>
      <c r="AH6" s="11" t="e">
        <f ca="1">IF(History!AL$2="","",#REF!*$C$6)</f>
        <v>#REF!</v>
      </c>
      <c r="AI6" s="11" t="e">
        <f ca="1">IF(History!AM$2="","",#REF!*$C$6)</f>
        <v>#REF!</v>
      </c>
      <c r="AJ6" s="11" t="e">
        <f ca="1">IF(History!AN$2="","",#REF!*$C$6)</f>
        <v>#REF!</v>
      </c>
      <c r="AK6" s="11" t="e">
        <f ca="1">IF(History!AO$2="","",#REF!*$C$6)</f>
        <v>#REF!</v>
      </c>
      <c r="AL6" s="11" t="e">
        <f ca="1">IF(History!AP$2="","",#REF!*$C$6)</f>
        <v>#REF!</v>
      </c>
      <c r="AM6" s="11" t="e">
        <f ca="1">IF(History!AQ$2="","",#REF!*$C$6)</f>
        <v>#REF!</v>
      </c>
      <c r="AN6" s="11" t="e">
        <f ca="1">IF(History!AR$2="","",#REF!*$C$6)</f>
        <v>#REF!</v>
      </c>
      <c r="AO6" s="11" t="e">
        <f ca="1">IF(History!AS$2="","",#REF!*$C$6)</f>
        <v>#REF!</v>
      </c>
      <c r="AP6" s="11" t="e">
        <f ca="1">IF(History!AT$2="","",#REF!*$C$6)</f>
        <v>#REF!</v>
      </c>
      <c r="AQ6" s="11" t="e">
        <f ca="1">IF(History!AU$2="","",#REF!*$C$6)</f>
        <v>#REF!</v>
      </c>
      <c r="AR6" s="11" t="e">
        <f ca="1">IF(History!AV$2="","",#REF!*$C$6)</f>
        <v>#REF!</v>
      </c>
      <c r="AS6" s="11" t="e">
        <f ca="1">IF(History!AW$2="","",#REF!*$C$6)</f>
        <v>#REF!</v>
      </c>
      <c r="AT6" s="11" t="e">
        <f ca="1">IF(History!AX$2="","",#REF!*$C$6)</f>
        <v>#REF!</v>
      </c>
      <c r="AU6" s="11" t="e">
        <f ca="1">IF(History!AY$2="","",#REF!*$C$6)</f>
        <v>#REF!</v>
      </c>
      <c r="AV6" s="11" t="e">
        <f ca="1">IF(History!AZ$2="","",#REF!*$C$6)</f>
        <v>#REF!</v>
      </c>
      <c r="AW6" s="11" t="e">
        <f ca="1">IF(History!BA$2="","",#REF!*$C$6)</f>
        <v>#REF!</v>
      </c>
      <c r="AX6" s="11" t="e">
        <f ca="1">IF(History!BB$2="","",#REF!*$C$6)</f>
        <v>#REF!</v>
      </c>
      <c r="AY6" s="11" t="e">
        <f ca="1">IF(History!BC$2="","",#REF!*$C$6)</f>
        <v>#REF!</v>
      </c>
      <c r="AZ6" s="11" t="e">
        <f ca="1">IF(History!BD$2="","",#REF!*$C$6)</f>
        <v>#REF!</v>
      </c>
      <c r="BA6" s="11" t="e">
        <f ca="1">IF(History!BE$2="","",#REF!*$C$6)</f>
        <v>#REF!</v>
      </c>
      <c r="BB6" s="11" t="e">
        <f ca="1">IF(History!BF$2="","",#REF!*$C$6)</f>
        <v>#REF!</v>
      </c>
      <c r="BC6" s="11" t="e">
        <f ca="1">IF(History!BG$2="","",#REF!*$C$6)</f>
        <v>#REF!</v>
      </c>
      <c r="BD6" s="11" t="e">
        <f ca="1">IF(History!BH$2="","",#REF!*$C$6)</f>
        <v>#REF!</v>
      </c>
      <c r="BE6" s="11" t="e">
        <f ca="1">IF(History!BI$2="","",#REF!*$C$6)</f>
        <v>#REF!</v>
      </c>
      <c r="BF6" s="11" t="e">
        <f ca="1">IF(History!BJ$2="","",#REF!*$C$6)</f>
        <v>#REF!</v>
      </c>
      <c r="BG6" s="11" t="e">
        <f ca="1">IF(History!BK$2="","",#REF!*$C$6)</f>
        <v>#REF!</v>
      </c>
      <c r="BH6" s="11" t="e">
        <f ca="1">IF(History!BL$2="","",#REF!*$C$6)</f>
        <v>#REF!</v>
      </c>
      <c r="BI6" s="11" t="e">
        <f ca="1">IF(History!BM$2="","",#REF!*$C$6)</f>
        <v>#REF!</v>
      </c>
      <c r="BJ6" s="11" t="e">
        <f ca="1">IF(History!BN$2="","",#REF!*$C$6)</f>
        <v>#REF!</v>
      </c>
      <c r="BK6" s="11" t="e">
        <f ca="1">IF(History!BO$2="","",#REF!*$C$6)</f>
        <v>#REF!</v>
      </c>
      <c r="BL6" s="11" t="e">
        <f ca="1">IF(History!BP$2="","",#REF!*$C$6)</f>
        <v>#REF!</v>
      </c>
      <c r="BM6" s="11" t="e">
        <f ca="1">IF(History!BQ$2="","",#REF!*$C$6)</f>
        <v>#REF!</v>
      </c>
      <c r="BN6" s="11" t="e">
        <f ca="1">IF(History!BR$2="","",#REF!*$C$6)</f>
        <v>#REF!</v>
      </c>
      <c r="BO6" s="11" t="e">
        <f ca="1">IF(History!BS$2="","",#REF!*$C$6)</f>
        <v>#REF!</v>
      </c>
      <c r="BP6" s="11" t="e">
        <f ca="1">IF(History!BT$2="","",#REF!*$C$6)</f>
        <v>#REF!</v>
      </c>
      <c r="BQ6" s="11" t="e">
        <f ca="1">IF(History!BU$2="","",#REF!*$C$6)</f>
        <v>#REF!</v>
      </c>
      <c r="BR6" s="11" t="e">
        <f ca="1">IF(History!BV$2="","",#REF!*$C$6)</f>
        <v>#REF!</v>
      </c>
      <c r="BS6" s="11" t="e">
        <f ca="1">IF(History!BW$2="","",#REF!*$C$6)</f>
        <v>#REF!</v>
      </c>
      <c r="BT6" s="11" t="e">
        <f ca="1">IF(History!BX$2="","",#REF!*$C$6)</f>
        <v>#REF!</v>
      </c>
      <c r="BU6" s="11" t="e">
        <f ca="1">IF(History!BY$2="","",#REF!*$C$6)</f>
        <v>#REF!</v>
      </c>
      <c r="BV6" s="11" t="e">
        <f ca="1">IF(History!BZ$2="","",#REF!*$C$6)</f>
        <v>#REF!</v>
      </c>
      <c r="BW6" s="11" t="e">
        <f ca="1">IF(History!CA$2="","",#REF!*$C$6)</f>
        <v>#REF!</v>
      </c>
      <c r="BX6" s="11" t="e">
        <f ca="1">IF(History!CB$2="","",#REF!*$C$6)</f>
        <v>#REF!</v>
      </c>
      <c r="BY6" s="11" t="e">
        <f ca="1">IF(History!CC$2="","",#REF!*$C$6)</f>
        <v>#REF!</v>
      </c>
      <c r="BZ6" s="11" t="e">
        <f ca="1">IF(History!CD$2="","",#REF!*$C$6)</f>
        <v>#REF!</v>
      </c>
      <c r="CA6" s="11" t="e">
        <f ca="1">IF(History!CE$2="","",#REF!*$C$6)</f>
        <v>#REF!</v>
      </c>
      <c r="CB6" s="11" t="e">
        <f ca="1">IF(History!CF$2="","",#REF!*$C$6)</f>
        <v>#REF!</v>
      </c>
      <c r="CC6" s="11" t="e">
        <f ca="1">IF(History!CG$2="","",#REF!*$C$6)</f>
        <v>#REF!</v>
      </c>
      <c r="CD6" s="11" t="e">
        <f ca="1">IF(History!CH$2="","",#REF!*$C$6)</f>
        <v>#REF!</v>
      </c>
      <c r="CE6" s="11" t="e">
        <f ca="1">IF(History!CI$2="","",#REF!*$C$6)</f>
        <v>#REF!</v>
      </c>
      <c r="CF6" s="11" t="str">
        <f ca="1">IF(History!CJ$2="","",#REF!*$C$6)</f>
        <v/>
      </c>
      <c r="CG6" s="11" t="str">
        <f ca="1">IF(History!CK$2="","",#REF!*$C$6)</f>
        <v/>
      </c>
      <c r="CH6" s="11" t="str">
        <f ca="1">IF(History!CL$2="","",#REF!*$C$6)</f>
        <v/>
      </c>
      <c r="CI6" s="11" t="str">
        <f ca="1">IF(History!CM$2="","",#REF!*$C$6)</f>
        <v/>
      </c>
      <c r="CJ6" s="11" t="str">
        <f ca="1">IF(History!CN$2="","",#REF!*$C$6)</f>
        <v/>
      </c>
      <c r="CK6" s="11" t="str">
        <f ca="1">IF(History!CO$2="","",#REF!*$C$6)</f>
        <v/>
      </c>
      <c r="CL6" s="11" t="str">
        <f ca="1">IF(History!CP$2="","",#REF!*$C$6)</f>
        <v/>
      </c>
      <c r="CM6" s="11" t="str">
        <f ca="1">IF(History!CQ$2="","",#REF!*$C$6)</f>
        <v/>
      </c>
      <c r="CN6" s="11" t="str">
        <f ca="1">IF(History!CR$2="","",#REF!*$C$6)</f>
        <v/>
      </c>
      <c r="CO6" s="11" t="str">
        <f ca="1">IF(History!CS$2="","",#REF!*$C$6)</f>
        <v/>
      </c>
      <c r="CP6" s="11" t="str">
        <f ca="1">IF(History!CT$2="","",#REF!*$C$6)</f>
        <v/>
      </c>
      <c r="CQ6" s="11" t="str">
        <f ca="1">IF(History!CU$2="","",#REF!*$C$6)</f>
        <v/>
      </c>
      <c r="CR6" s="11" t="str">
        <f ca="1">IF(History!CV$2="","",#REF!*$C$6)</f>
        <v/>
      </c>
      <c r="CS6" s="11" t="str">
        <f ca="1">IF(History!CW$2="","",#REF!*$C$6)</f>
        <v/>
      </c>
      <c r="CT6" s="11" t="str">
        <f ca="1">IF(History!CX$2="","",#REF!*$C$6)</f>
        <v/>
      </c>
      <c r="CU6" s="11" t="str">
        <f ca="1">IF(History!CY$2="","",#REF!*$C$6)</f>
        <v/>
      </c>
      <c r="CV6" s="11" t="str">
        <f ca="1">IF(History!CZ$2="","",#REF!*$C$6)</f>
        <v/>
      </c>
      <c r="CW6" s="11" t="str">
        <f ca="1">IF(History!DA$2="","",#REF!*$C$6)</f>
        <v/>
      </c>
      <c r="CX6" s="11" t="str">
        <f ca="1">IF(History!DB$2="","",#REF!*$C$6)</f>
        <v/>
      </c>
      <c r="CY6" s="11" t="str">
        <f ca="1">IF(History!DC$2="","",#REF!*$C$6)</f>
        <v/>
      </c>
      <c r="CZ6" s="11" t="str">
        <f ca="1">IF(History!DD$2="","",#REF!*$C$6)</f>
        <v/>
      </c>
      <c r="DA6" s="11" t="str">
        <f ca="1">IF(History!DE$2="","",#REF!*$C$6)</f>
        <v/>
      </c>
      <c r="DB6" s="11" t="str">
        <f ca="1">IF(History!DF$2="","",#REF!*$C$6)</f>
        <v/>
      </c>
      <c r="DC6" s="11" t="str">
        <f ca="1">IF(History!DG$2="","",#REF!*$C$6)</f>
        <v/>
      </c>
      <c r="DD6" s="11" t="str">
        <f ca="1">IF(History!DH$2="","",#REF!*$C$6)</f>
        <v/>
      </c>
      <c r="DE6" s="11" t="str">
        <f ca="1">IF(History!DI$2="","",#REF!*$C$6)</f>
        <v/>
      </c>
      <c r="DF6" s="11" t="str">
        <f ca="1">IF(History!DJ$2="","",#REF!*$C$6)</f>
        <v/>
      </c>
      <c r="DG6" s="11" t="str">
        <f ca="1">IF(History!DK$2="","",#REF!*$C$6)</f>
        <v/>
      </c>
      <c r="DH6" s="11" t="str">
        <f ca="1">IF(History!DL$2="","",#REF!*$C$6)</f>
        <v/>
      </c>
      <c r="DI6" s="11" t="str">
        <f ca="1">IF(History!DM$2="","",#REF!*$C$6)</f>
        <v/>
      </c>
      <c r="DJ6" s="11" t="str">
        <f ca="1">IF(History!DN$2="","",#REF!*$C$6)</f>
        <v/>
      </c>
      <c r="DK6" s="11" t="str">
        <f ca="1">IF(History!DO$2="","",#REF!*$C$6)</f>
        <v/>
      </c>
      <c r="DL6" s="11" t="str">
        <f ca="1">IF(History!DP$2="","",#REF!*$C$6)</f>
        <v/>
      </c>
      <c r="DM6" s="11" t="str">
        <f ca="1">IF(History!DQ$2="","",#REF!*$C$6)</f>
        <v/>
      </c>
      <c r="DN6" s="11" t="str">
        <f ca="1">IF(History!DR$2="","",#REF!*$C$6)</f>
        <v/>
      </c>
      <c r="DO6" s="11" t="str">
        <f ca="1">IF(History!DS$2="","",#REF!*$C$6)</f>
        <v/>
      </c>
      <c r="DP6" s="11" t="str">
        <f ca="1">IF(History!DT$2="","",#REF!*$C$6)</f>
        <v/>
      </c>
      <c r="DQ6" s="11" t="str">
        <f ca="1">IF(History!DU$2="","",#REF!*$C$6)</f>
        <v/>
      </c>
      <c r="DR6" s="11" t="str">
        <f ca="1">IF(History!DV$2="","",#REF!*$C$6)</f>
        <v/>
      </c>
      <c r="DS6" s="11" t="str">
        <f ca="1">IF(History!DW$2="","",#REF!*$C$6)</f>
        <v/>
      </c>
      <c r="DT6" s="11" t="str">
        <f ca="1">IF(History!DX$2="","",#REF!*$C$6)</f>
        <v/>
      </c>
      <c r="DU6" s="11" t="str">
        <f ca="1">IF(History!DY$2="","",#REF!*$C$6)</f>
        <v/>
      </c>
      <c r="DV6" s="11" t="str">
        <f ca="1">IF(History!DZ$2="","",#REF!*$C$6)</f>
        <v/>
      </c>
      <c r="DW6" s="11" t="str">
        <f ca="1">IF(History!EA$2="","",#REF!*$C$6)</f>
        <v/>
      </c>
      <c r="DX6" s="11" t="str">
        <f ca="1">IF(History!EB$2="","",#REF!*$C$6)</f>
        <v/>
      </c>
      <c r="DY6" s="11" t="str">
        <f ca="1">IF(History!EC$2="","",#REF!*$C$6)</f>
        <v/>
      </c>
      <c r="DZ6" s="11" t="str">
        <f ca="1">IF(History!ED$2="","",#REF!*$C$6)</f>
        <v/>
      </c>
      <c r="EA6" s="11" t="str">
        <f ca="1">IF(History!EE$2="","",#REF!*$C$6)</f>
        <v/>
      </c>
      <c r="EB6" s="11" t="str">
        <f ca="1">IF(History!EF$2="","",#REF!*$C$6)</f>
        <v/>
      </c>
      <c r="EC6" s="11" t="str">
        <f ca="1">IF(History!EG$2="","",#REF!*$C$6)</f>
        <v/>
      </c>
      <c r="ED6" s="11" t="str">
        <f ca="1">IF(History!EH$2="","",#REF!*$C$6)</f>
        <v/>
      </c>
      <c r="EE6" s="11" t="str">
        <f ca="1">IF(History!EI$2="","",#REF!*$C$6)</f>
        <v/>
      </c>
      <c r="EF6" s="11" t="str">
        <f ca="1">IF(History!EJ$2="","",#REF!*$C$6)</f>
        <v/>
      </c>
      <c r="EG6" s="11" t="str">
        <f ca="1">IF(History!EK$2="","",#REF!*$C$6)</f>
        <v/>
      </c>
      <c r="EH6" s="11" t="str">
        <f ca="1">IF(History!EL$2="","",#REF!*$C$6)</f>
        <v/>
      </c>
      <c r="EI6" s="11" t="str">
        <f ca="1">IF(History!EM$2="","",#REF!*$C$6)</f>
        <v/>
      </c>
      <c r="EJ6" s="11" t="str">
        <f ca="1">IF(History!EN$2="","",#REF!*$C$6)</f>
        <v/>
      </c>
      <c r="EK6" s="11" t="str">
        <f ca="1">IF(History!EO$2="","",#REF!*$C$6)</f>
        <v/>
      </c>
      <c r="EL6" s="11" t="str">
        <f ca="1">IF(History!EP$2="","",#REF!*$C$6)</f>
        <v/>
      </c>
      <c r="EM6" s="11" t="str">
        <f ca="1">IF(History!EQ$2="","",#REF!*$C$6)</f>
        <v/>
      </c>
      <c r="EN6" s="11" t="str">
        <f ca="1">IF(History!ER$2="","",#REF!*$C$6)</f>
        <v/>
      </c>
      <c r="EO6" s="11" t="str">
        <f ca="1">IF(History!ES$2="","",#REF!*$C$6)</f>
        <v/>
      </c>
      <c r="EP6" s="11" t="str">
        <f ca="1">IF(History!ET$2="","",#REF!*$C$6)</f>
        <v/>
      </c>
      <c r="EQ6" s="11" t="str">
        <f ca="1">IF(History!EU$2="","",#REF!*$C$6)</f>
        <v/>
      </c>
      <c r="ER6" s="11" t="str">
        <f ca="1">IF(History!EV$2="","",#REF!*$C$6)</f>
        <v/>
      </c>
      <c r="ES6" s="11" t="str">
        <f ca="1">IF(History!EW$2="","",#REF!*$C$6)</f>
        <v/>
      </c>
      <c r="ET6" s="11" t="str">
        <f ca="1">IF(History!EX$2="","",#REF!*$C$6)</f>
        <v/>
      </c>
      <c r="EU6" s="11" t="str">
        <f ca="1">IF(History!EY$2="","",#REF!*$C$6)</f>
        <v/>
      </c>
      <c r="EV6" s="11" t="str">
        <f ca="1">IF(History!EZ$2="","",#REF!*$C$6)</f>
        <v/>
      </c>
      <c r="EW6" s="11" t="str">
        <f ca="1">IF(History!FA$2="","",#REF!*$C$6)</f>
        <v/>
      </c>
      <c r="EX6" s="11" t="str">
        <f ca="1">IF(History!FB$2="","",#REF!*$C$6)</f>
        <v/>
      </c>
      <c r="EY6" s="11" t="str">
        <f ca="1">IF(History!FC$2="","",#REF!*$C$6)</f>
        <v/>
      </c>
      <c r="EZ6" s="11" t="str">
        <f ca="1">IF(History!FD$2="","",#REF!*$C$6)</f>
        <v/>
      </c>
      <c r="FA6" s="11" t="str">
        <f ca="1">IF(History!FE$2="","",#REF!*$C$6)</f>
        <v/>
      </c>
      <c r="FB6" s="11" t="str">
        <f ca="1">IF(History!FF$2="","",#REF!*$C$6)</f>
        <v/>
      </c>
      <c r="FC6" s="11" t="str">
        <f ca="1">IF(History!FG$2="","",#REF!*$C$6)</f>
        <v/>
      </c>
      <c r="FD6" s="11" t="str">
        <f ca="1">IF(History!FH$2="","",#REF!*$C$6)</f>
        <v/>
      </c>
      <c r="FE6" s="11" t="str">
        <f ca="1">IF(History!FI$2="","",#REF!*$C$6)</f>
        <v/>
      </c>
      <c r="FF6" s="11" t="str">
        <f ca="1">IF(History!FJ$2="","",#REF!*$C$6)</f>
        <v/>
      </c>
      <c r="FG6" s="11" t="str">
        <f ca="1">IF(History!FK$2="","",#REF!*$C$6)</f>
        <v/>
      </c>
      <c r="FH6" s="11" t="str">
        <f ca="1">IF(History!FL$2="","",#REF!*$C$6)</f>
        <v/>
      </c>
      <c r="FI6" s="11" t="str">
        <f ca="1">IF(History!FM$2="","",#REF!*$C$6)</f>
        <v/>
      </c>
      <c r="FJ6" s="11" t="str">
        <f ca="1">IF(History!FN$2="","",#REF!*$C$6)</f>
        <v/>
      </c>
      <c r="FK6" s="11" t="str">
        <f ca="1">IF(History!FO$2="","",#REF!*$C$6)</f>
        <v/>
      </c>
      <c r="FL6" s="11" t="str">
        <f ca="1">IF(History!FP$2="","",#REF!*$C$6)</f>
        <v/>
      </c>
      <c r="FM6" s="11" t="str">
        <f ca="1">IF(History!FQ$2="","",#REF!*$C$6)</f>
        <v/>
      </c>
      <c r="FN6" s="11" t="str">
        <f ca="1">IF(History!FR$2="","",#REF!*$C$6)</f>
        <v/>
      </c>
      <c r="FO6" s="11" t="str">
        <f ca="1">IF(History!FS$2="","",#REF!*$C$6)</f>
        <v/>
      </c>
      <c r="FP6" s="11" t="str">
        <f ca="1">IF(History!FT$2="","",#REF!*$C$6)</f>
        <v/>
      </c>
      <c r="FQ6" s="11" t="str">
        <f ca="1">IF(History!FU$2="","",#REF!*$C$6)</f>
        <v/>
      </c>
      <c r="FR6" s="11" t="str">
        <f ca="1">IF(History!FV$2="","",#REF!*$C$6)</f>
        <v/>
      </c>
      <c r="FS6" s="11" t="str">
        <f ca="1">IF(History!FW$2="","",#REF!*$C$6)</f>
        <v/>
      </c>
      <c r="FT6" s="11" t="str">
        <f ca="1">IF(History!FX$2="","",#REF!*$C$6)</f>
        <v/>
      </c>
      <c r="FU6" s="11" t="str">
        <f ca="1">IF(History!FY$2="","",#REF!*$C$6)</f>
        <v/>
      </c>
      <c r="FV6" s="11" t="str">
        <f ca="1">IF(History!FZ$2="","",#REF!*$C$6)</f>
        <v/>
      </c>
      <c r="FW6" s="11" t="str">
        <f ca="1">IF(History!GA$2="","",#REF!*$C$6)</f>
        <v/>
      </c>
      <c r="FX6" s="11" t="str">
        <f ca="1">IF(History!GB$2="","",#REF!*$C$6)</f>
        <v/>
      </c>
      <c r="FY6" s="11" t="str">
        <f ca="1">IF(History!GC$2="","",#REF!*$C$6)</f>
        <v/>
      </c>
      <c r="FZ6" s="11" t="str">
        <f ca="1">IF(History!GD$2="","",#REF!*$C$6)</f>
        <v/>
      </c>
      <c r="GA6" s="11" t="str">
        <f ca="1">IF(History!GE$2="","",#REF!*$C$6)</f>
        <v/>
      </c>
      <c r="GB6" s="11" t="str">
        <f ca="1">IF(History!GF$2="","",#REF!*$C$6)</f>
        <v/>
      </c>
      <c r="GC6" s="11" t="str">
        <f ca="1">IF(History!GG$2="","",#REF!*$C$6)</f>
        <v/>
      </c>
      <c r="GD6" s="11" t="str">
        <f ca="1">IF(History!GH$2="","",#REF!*$C$6)</f>
        <v/>
      </c>
      <c r="GE6" s="11" t="str">
        <f ca="1">IF(History!GI$2="","",#REF!*$C$6)</f>
        <v/>
      </c>
      <c r="GF6" s="11" t="str">
        <f ca="1">IF(History!GJ$2="","",#REF!*$C$6)</f>
        <v/>
      </c>
      <c r="GG6" s="11" t="str">
        <f ca="1">IF(History!GK$2="","",#REF!*$C$6)</f>
        <v/>
      </c>
      <c r="GH6" s="11" t="str">
        <f ca="1">IF(History!GL$2="","",#REF!*$C$6)</f>
        <v/>
      </c>
      <c r="GI6" s="11" t="str">
        <f ca="1">IF(History!GM$2="","",#REF!*$C$6)</f>
        <v/>
      </c>
      <c r="GJ6" s="11" t="str">
        <f ca="1">IF(History!GN$2="","",#REF!*$C$6)</f>
        <v/>
      </c>
      <c r="GK6" s="11" t="str">
        <f ca="1">IF(History!GO$2="","",#REF!*$C$6)</f>
        <v/>
      </c>
      <c r="GL6" s="11" t="str">
        <f ca="1">IF(History!GP$2="","",#REF!*$C$6)</f>
        <v/>
      </c>
      <c r="GM6" s="11" t="str">
        <f ca="1">IF(History!GQ$2="","",#REF!*$C$6)</f>
        <v/>
      </c>
      <c r="GN6" s="11" t="str">
        <f ca="1">IF(History!GR$2="","",#REF!*$C$6)</f>
        <v/>
      </c>
      <c r="GO6" s="11" t="str">
        <f ca="1">IF(History!GS$2="","",#REF!*$C$6)</f>
        <v/>
      </c>
      <c r="GP6" s="11" t="str">
        <f ca="1">IF(History!GT$2="","",#REF!*$C$6)</f>
        <v/>
      </c>
      <c r="GQ6" s="11" t="str">
        <f ca="1">IF(History!GU$2="","",#REF!*$C$6)</f>
        <v/>
      </c>
      <c r="GR6" s="11" t="str">
        <f ca="1">IF(History!GV$2="","",#REF!*$C$6)</f>
        <v/>
      </c>
      <c r="GS6" s="11" t="str">
        <f ca="1">IF(History!GW$2="","",#REF!*$C$6)</f>
        <v/>
      </c>
      <c r="GT6" s="11" t="str">
        <f ca="1">IF(History!GX$2="","",#REF!*$C$6)</f>
        <v/>
      </c>
      <c r="GU6" s="11" t="str">
        <f ca="1">IF(History!GY$2="","",#REF!*$C$6)</f>
        <v/>
      </c>
      <c r="GV6" s="11" t="str">
        <f ca="1">IF(History!GZ$2="","",#REF!*$C$6)</f>
        <v/>
      </c>
      <c r="GW6" s="11" t="str">
        <f ca="1">IF(History!HA$2="","",#REF!*$C$6)</f>
        <v/>
      </c>
      <c r="GX6" s="11" t="str">
        <f ca="1">IF(History!HB$2="","",#REF!*$C$6)</f>
        <v/>
      </c>
      <c r="GY6" s="11" t="str">
        <f ca="1">IF(History!HC$2="","",#REF!*$C$6)</f>
        <v/>
      </c>
      <c r="GZ6" s="11" t="str">
        <f ca="1">IF(History!HD$2="","",#REF!*$C$6)</f>
        <v/>
      </c>
      <c r="HA6" s="11" t="str">
        <f ca="1">IF(History!HE$2="","",#REF!*$C$6)</f>
        <v/>
      </c>
      <c r="HB6" s="11" t="str">
        <f ca="1">IF(History!HF$2="","",#REF!*$C$6)</f>
        <v/>
      </c>
      <c r="HC6" s="11" t="str">
        <f ca="1">IF(History!HG$2="","",#REF!*$C$6)</f>
        <v/>
      </c>
      <c r="HD6" s="11" t="str">
        <f ca="1">IF(History!HH$2="","",#REF!*$C$6)</f>
        <v/>
      </c>
      <c r="HE6" s="11" t="str">
        <f ca="1">IF(History!HI$2="","",#REF!*$C$6)</f>
        <v/>
      </c>
      <c r="HF6" s="11" t="str">
        <f ca="1">IF(History!HJ$2="","",#REF!*$C$6)</f>
        <v/>
      </c>
      <c r="HG6" s="11" t="str">
        <f ca="1">IF(History!HK$2="","",#REF!*$C$6)</f>
        <v/>
      </c>
      <c r="HH6" s="11" t="str">
        <f ca="1">IF(History!HL$2="","",#REF!*$C$6)</f>
        <v/>
      </c>
      <c r="HI6" s="11" t="str">
        <f ca="1">IF(History!HM$2="","",#REF!*$C$6)</f>
        <v/>
      </c>
      <c r="HJ6" s="11" t="str">
        <f ca="1">IF(History!HN$2="","",#REF!*$C$6)</f>
        <v/>
      </c>
      <c r="HK6" s="11" t="str">
        <f ca="1">IF(History!HO$2="","",#REF!*$C$6)</f>
        <v/>
      </c>
      <c r="HL6" s="11" t="str">
        <f ca="1">IF(History!HP$2="","",#REF!*$C$6)</f>
        <v/>
      </c>
      <c r="HM6" s="11" t="str">
        <f ca="1">IF(History!HQ$2="","",#REF!*$C$6)</f>
        <v/>
      </c>
      <c r="HN6" s="11" t="str">
        <f ca="1">IF(History!HR$2="","",#REF!*$C$6)</f>
        <v/>
      </c>
      <c r="HO6" s="11" t="str">
        <f ca="1">IF(History!HS$2="","",#REF!*$C$6)</f>
        <v/>
      </c>
      <c r="HP6" s="11" t="str">
        <f ca="1">IF(History!HT$2="","",#REF!*$C$6)</f>
        <v/>
      </c>
      <c r="HQ6" s="11" t="str">
        <f ca="1">IF(History!HU$2="","",#REF!*$C$6)</f>
        <v/>
      </c>
      <c r="HR6" s="11" t="str">
        <f ca="1">IF(History!HV$2="","",#REF!*$C$6)</f>
        <v/>
      </c>
      <c r="HS6" s="11" t="str">
        <f ca="1">IF(History!HW$2="","",#REF!*$C$6)</f>
        <v/>
      </c>
      <c r="HT6" s="11" t="str">
        <f ca="1">IF(History!HX$2="","",#REF!*$C$6)</f>
        <v/>
      </c>
      <c r="HU6" s="11" t="str">
        <f ca="1">IF(History!HY$2="","",#REF!*$C$6)</f>
        <v/>
      </c>
      <c r="HV6" s="11" t="str">
        <f ca="1">IF(History!HZ$2="","",#REF!*$C$6)</f>
        <v/>
      </c>
      <c r="HW6" s="11" t="str">
        <f ca="1">IF(History!IA$2="","",#REF!*$C$6)</f>
        <v/>
      </c>
      <c r="HX6" s="11" t="str">
        <f ca="1">IF(History!IB$2="","",#REF!*$C$6)</f>
        <v/>
      </c>
      <c r="HY6" s="11" t="str">
        <f ca="1">IF(History!IC$2="","",#REF!*$C$6)</f>
        <v/>
      </c>
      <c r="HZ6" s="11" t="str">
        <f ca="1">IF(History!ID$2="","",#REF!*$C$6)</f>
        <v/>
      </c>
      <c r="IA6" s="11" t="str">
        <f ca="1">IF(History!IE$2="","",#REF!*$C$6)</f>
        <v/>
      </c>
      <c r="IB6" s="11" t="str">
        <f ca="1">IF(History!IF$2="","",#REF!*$C$6)</f>
        <v/>
      </c>
      <c r="IC6" s="11" t="str">
        <f ca="1">IF(History!IG$2="","",#REF!*$C$6)</f>
        <v/>
      </c>
      <c r="ID6" s="11" t="str">
        <f ca="1">IF(History!IH$2="","",#REF!*$C$6)</f>
        <v/>
      </c>
      <c r="IE6" s="11" t="str">
        <f ca="1">IF(History!II$2="","",#REF!*$C$6)</f>
        <v/>
      </c>
      <c r="IF6" s="11" t="str">
        <f ca="1">IF(History!IJ$2="","",#REF!*$C$6)</f>
        <v/>
      </c>
      <c r="IG6" s="11" t="str">
        <f ca="1">IF(History!IK$2="","",#REF!*$C$6)</f>
        <v/>
      </c>
      <c r="IH6" s="11" t="str">
        <f ca="1">IF(History!IL$2="","",#REF!*$C$6)</f>
        <v/>
      </c>
      <c r="II6" s="11" t="str">
        <f ca="1">IF(History!IM$2="","",#REF!*$C$6)</f>
        <v/>
      </c>
      <c r="IJ6" s="11" t="str">
        <f ca="1">IF(History!IN$2="","",#REF!*$C$6)</f>
        <v/>
      </c>
      <c r="IK6" s="11" t="str">
        <f ca="1">IF(History!IO$2="","",#REF!*$C$6)</f>
        <v/>
      </c>
      <c r="IL6" s="11" t="str">
        <f ca="1">IF(History!IP$2="","",#REF!*$C$6)</f>
        <v/>
      </c>
      <c r="IM6" s="11" t="str">
        <f ca="1">IF(History!IQ$2="","",#REF!*$C$6)</f>
        <v/>
      </c>
      <c r="IN6" s="11" t="str">
        <f ca="1">IF(History!IR$2="","",#REF!*$C$6)</f>
        <v/>
      </c>
      <c r="IO6" s="11" t="str">
        <f ca="1">IF(History!IS$2="","",#REF!*$C$6)</f>
        <v/>
      </c>
      <c r="IP6" s="11" t="str">
        <f ca="1">IF(History!IT$2="","",#REF!*$C$6)</f>
        <v/>
      </c>
      <c r="IQ6" s="11" t="str">
        <f ca="1">IF(History!IU$2="","",#REF!*$C$6)</f>
        <v/>
      </c>
      <c r="IR6" s="11" t="str">
        <f ca="1">IF(History!IV$2="","",#REF!*$C$6)</f>
        <v/>
      </c>
      <c r="IS6" s="11" t="str">
        <f ca="1">IF(History!IW$2="","",#REF!*$C$6)</f>
        <v/>
      </c>
      <c r="IT6" s="11" t="str">
        <f ca="1">IF(History!IX$2="","",#REF!*$C$6)</f>
        <v/>
      </c>
      <c r="IU6" s="11" t="str">
        <f ca="1">IF(History!IY$2="","",#REF!*$C$6)</f>
        <v/>
      </c>
      <c r="IV6" s="11" t="str">
        <f ca="1">IF(History!IZ$2="","",#REF!*$C$6)</f>
        <v/>
      </c>
      <c r="IW6" s="11" t="str">
        <f ca="1">IF(History!JA$2="","",#REF!*$C$6)</f>
        <v/>
      </c>
      <c r="IX6" s="11" t="str">
        <f ca="1">IF(History!JB$2="","",#REF!*$C$6)</f>
        <v/>
      </c>
      <c r="IY6" s="11" t="str">
        <f ca="1">IF(History!JC$2="","",#REF!*$C$6)</f>
        <v/>
      </c>
      <c r="IZ6" s="11" t="str">
        <f ca="1">IF(History!JD$2="","",#REF!*$C$6)</f>
        <v/>
      </c>
      <c r="JA6" s="11" t="str">
        <f ca="1">IF(History!JE$2="","",#REF!*$C$6)</f>
        <v/>
      </c>
      <c r="JB6" s="11" t="str">
        <f ca="1">IF(History!JF$2="","",#REF!*$C$6)</f>
        <v/>
      </c>
      <c r="JC6" s="11" t="str">
        <f ca="1">IF(History!JG$2="","",#REF!*$C$6)</f>
        <v/>
      </c>
      <c r="JD6" s="11" t="str">
        <f ca="1">IF(History!JH$2="","",#REF!*$C$6)</f>
        <v/>
      </c>
      <c r="JE6" s="11" t="str">
        <f ca="1">IF(History!JI$2="","",#REF!*$C$6)</f>
        <v/>
      </c>
      <c r="JF6" s="11" t="str">
        <f ca="1">IF(History!JJ$2="","",#REF!*$C$6)</f>
        <v/>
      </c>
      <c r="JG6" s="11" t="str">
        <f ca="1">IF(History!JK$2="","",#REF!*$C$6)</f>
        <v/>
      </c>
      <c r="JH6" s="11" t="str">
        <f ca="1">IF(History!JL$2="","",#REF!*$C$6)</f>
        <v/>
      </c>
      <c r="JI6" s="11" t="str">
        <f ca="1">IF(History!JM$2="","",#REF!*$C$6)</f>
        <v/>
      </c>
      <c r="JJ6" s="11" t="str">
        <f ca="1">IF(History!JN$2="","",#REF!*$C$6)</f>
        <v/>
      </c>
      <c r="JK6" s="11" t="str">
        <f ca="1">IF(History!JO$2="","",#REF!*$C$6)</f>
        <v/>
      </c>
      <c r="JL6" s="11" t="str">
        <f ca="1">IF(History!JP$2="","",#REF!*$C$6)</f>
        <v/>
      </c>
      <c r="JM6" s="11" t="str">
        <f ca="1">IF(History!JQ$2="","",#REF!*$C$6)</f>
        <v/>
      </c>
      <c r="JN6" s="11" t="str">
        <f ca="1">IF(History!JR$2="","",#REF!*$C$6)</f>
        <v/>
      </c>
      <c r="JO6" s="11" t="str">
        <f ca="1">IF(History!JS$2="","",#REF!*$C$6)</f>
        <v/>
      </c>
      <c r="JP6" s="11" t="str">
        <f ca="1">IF(History!JT$2="","",#REF!*$C$6)</f>
        <v/>
      </c>
      <c r="JQ6" s="11" t="str">
        <f ca="1">IF(History!JU$2="","",#REF!*$C$6)</f>
        <v/>
      </c>
      <c r="JR6" s="11" t="str">
        <f ca="1">IF(History!JV$2="","",#REF!*$C$6)</f>
        <v/>
      </c>
      <c r="JS6" s="11" t="str">
        <f ca="1">IF(History!JW$2="","",#REF!*$C$6)</f>
        <v/>
      </c>
      <c r="JT6" s="11" t="str">
        <f ca="1">IF(History!JX$2="","",#REF!*$C$6)</f>
        <v/>
      </c>
      <c r="JU6" s="11" t="str">
        <f ca="1">IF(History!JY$2="","",#REF!*$C$6)</f>
        <v/>
      </c>
      <c r="JV6" s="11" t="str">
        <f ca="1">IF(History!JZ$2="","",#REF!*$C$6)</f>
        <v/>
      </c>
      <c r="JW6" s="11" t="str">
        <f ca="1">IF(History!KA$2="","",#REF!*$C$6)</f>
        <v/>
      </c>
      <c r="JX6" s="11" t="str">
        <f ca="1">IF(History!KB$2="","",#REF!*$C$6)</f>
        <v/>
      </c>
      <c r="JY6" s="11" t="str">
        <f ca="1">IF(History!KC$2="","",#REF!*$C$6)</f>
        <v/>
      </c>
      <c r="JZ6" s="11" t="str">
        <f ca="1">IF(History!KD$2="","",#REF!*$C$6)</f>
        <v/>
      </c>
      <c r="KA6" s="11" t="str">
        <f ca="1">IF(History!KE$2="","",#REF!*$C$6)</f>
        <v/>
      </c>
      <c r="KB6" s="11" t="str">
        <f ca="1">IF(History!KF$2="","",#REF!*$C$6)</f>
        <v/>
      </c>
    </row>
    <row r="7" spans="1:288" ht="15.75" customHeight="1">
      <c r="A7" s="18" t="s">
        <v>132</v>
      </c>
      <c r="B7" s="6" t="s">
        <v>131</v>
      </c>
      <c r="C7" s="26">
        <v>1636</v>
      </c>
      <c r="D7" s="11" t="e">
        <f ca="1">IF(History!H$2="","",#REF!*$C$7)</f>
        <v>#REF!</v>
      </c>
      <c r="E7" s="11" t="e">
        <f ca="1">IF(History!I$2="","",#REF!*$C$7)</f>
        <v>#REF!</v>
      </c>
      <c r="F7" s="11" t="e">
        <f ca="1">IF(History!J$2="","",#REF!*$C$7)</f>
        <v>#REF!</v>
      </c>
      <c r="G7" s="11" t="e">
        <f ca="1">IF(History!K$2="","",#REF!*$C$7)</f>
        <v>#REF!</v>
      </c>
      <c r="H7" s="11" t="e">
        <f ca="1">IF(History!L$2="","",#REF!*$C$7)</f>
        <v>#REF!</v>
      </c>
      <c r="I7" s="11" t="e">
        <f ca="1">IF(History!M$2="","",#REF!*$C$7)</f>
        <v>#REF!</v>
      </c>
      <c r="J7" s="11" t="e">
        <f ca="1">IF(History!N$2="","",#REF!*$C$7)</f>
        <v>#REF!</v>
      </c>
      <c r="K7" s="11" t="e">
        <f ca="1">IF(History!O$2="","",#REF!*$C$7)</f>
        <v>#REF!</v>
      </c>
      <c r="L7" s="11" t="e">
        <f ca="1">IF(History!P$2="","",#REF!*$C$7)</f>
        <v>#REF!</v>
      </c>
      <c r="M7" s="11" t="e">
        <f ca="1">IF(History!Q$2="","",#REF!*$C$7)</f>
        <v>#REF!</v>
      </c>
      <c r="N7" s="11" t="e">
        <f ca="1">IF(History!R$2="","",#REF!*$C$7)</f>
        <v>#REF!</v>
      </c>
      <c r="O7" s="11" t="e">
        <f ca="1">IF(History!S$2="","",#REF!*$C$7)</f>
        <v>#REF!</v>
      </c>
      <c r="P7" s="11" t="e">
        <f ca="1">IF(History!T$2="","",#REF!*$C$7)</f>
        <v>#REF!</v>
      </c>
      <c r="Q7" s="11" t="e">
        <f ca="1">IF(History!U$2="","",#REF!*$C$7)</f>
        <v>#REF!</v>
      </c>
      <c r="R7" s="11" t="e">
        <f ca="1">IF(History!V$2="","",#REF!*$C$7)</f>
        <v>#REF!</v>
      </c>
      <c r="S7" s="11" t="e">
        <f ca="1">IF(History!W$2="","",#REF!*$C$7)</f>
        <v>#REF!</v>
      </c>
      <c r="T7" s="11" t="e">
        <f ca="1">IF(History!X$2="","",#REF!*$C$7)</f>
        <v>#REF!</v>
      </c>
      <c r="U7" s="11" t="e">
        <f ca="1">IF(History!Y$2="","",#REF!*$C$7)</f>
        <v>#REF!</v>
      </c>
      <c r="V7" s="11" t="e">
        <f ca="1">IF(History!Z$2="","",#REF!*$C$7)</f>
        <v>#REF!</v>
      </c>
      <c r="W7" s="11" t="e">
        <f ca="1">IF(History!AA$2="","",#REF!*$C$7)</f>
        <v>#REF!</v>
      </c>
      <c r="X7" s="11" t="e">
        <f ca="1">IF(History!AB$2="","",#REF!*$C$7)</f>
        <v>#REF!</v>
      </c>
      <c r="Y7" s="11" t="e">
        <f ca="1">IF(History!AC$2="","",#REF!*$C$7)</f>
        <v>#REF!</v>
      </c>
      <c r="Z7" s="11" t="e">
        <f ca="1">IF(History!AD$2="","",#REF!*$C$7)</f>
        <v>#REF!</v>
      </c>
      <c r="AA7" s="11" t="e">
        <f ca="1">IF(History!AE$2="","",#REF!*$C$7)</f>
        <v>#REF!</v>
      </c>
      <c r="AB7" s="11" t="e">
        <f ca="1">IF(History!AF$2="","",#REF!*$C$7)</f>
        <v>#REF!</v>
      </c>
      <c r="AC7" s="11" t="e">
        <f ca="1">IF(History!AG$2="","",#REF!*$C$7)</f>
        <v>#REF!</v>
      </c>
      <c r="AD7" s="11" t="e">
        <f ca="1">IF(History!AH$2="","",#REF!*$C$7)</f>
        <v>#REF!</v>
      </c>
      <c r="AE7" s="11" t="e">
        <f ca="1">IF(History!AI$2="","",#REF!*$C$7)</f>
        <v>#REF!</v>
      </c>
      <c r="AF7" s="11" t="e">
        <f ca="1">IF(History!AJ$2="","",#REF!*$C$7)</f>
        <v>#REF!</v>
      </c>
      <c r="AG7" s="11" t="e">
        <f ca="1">IF(History!AK$2="","",#REF!*$C$7)</f>
        <v>#REF!</v>
      </c>
      <c r="AH7" s="11" t="e">
        <f ca="1">IF(History!AL$2="","",#REF!*$C$7)</f>
        <v>#REF!</v>
      </c>
      <c r="AI7" s="11" t="e">
        <f ca="1">IF(History!AM$2="","",#REF!*$C$7)</f>
        <v>#REF!</v>
      </c>
      <c r="AJ7" s="11" t="e">
        <f ca="1">IF(History!AN$2="","",#REF!*$C$7)</f>
        <v>#REF!</v>
      </c>
      <c r="AK7" s="11" t="e">
        <f ca="1">IF(History!AO$2="","",#REF!*$C$7)</f>
        <v>#REF!</v>
      </c>
      <c r="AL7" s="11" t="e">
        <f ca="1">IF(History!AP$2="","",#REF!*$C$7)</f>
        <v>#REF!</v>
      </c>
      <c r="AM7" s="11" t="e">
        <f ca="1">IF(History!AQ$2="","",#REF!*$C$7)</f>
        <v>#REF!</v>
      </c>
      <c r="AN7" s="11" t="e">
        <f ca="1">IF(History!AR$2="","",#REF!*$C$7)</f>
        <v>#REF!</v>
      </c>
      <c r="AO7" s="11" t="e">
        <f ca="1">IF(History!AS$2="","",#REF!*$C$7)</f>
        <v>#REF!</v>
      </c>
      <c r="AP7" s="11" t="e">
        <f ca="1">IF(History!AT$2="","",#REF!*$C$7)</f>
        <v>#REF!</v>
      </c>
      <c r="AQ7" s="11" t="e">
        <f ca="1">IF(History!AU$2="","",#REF!*$C$7)</f>
        <v>#REF!</v>
      </c>
      <c r="AR7" s="11" t="e">
        <f ca="1">IF(History!AV$2="","",#REF!*$C$7)</f>
        <v>#REF!</v>
      </c>
      <c r="AS7" s="11" t="e">
        <f ca="1">IF(History!AW$2="","",#REF!*$C$7)</f>
        <v>#REF!</v>
      </c>
      <c r="AT7" s="11" t="e">
        <f ca="1">IF(History!AX$2="","",#REF!*$C$7)</f>
        <v>#REF!</v>
      </c>
      <c r="AU7" s="11" t="e">
        <f ca="1">IF(History!AY$2="","",#REF!*$C$7)</f>
        <v>#REF!</v>
      </c>
      <c r="AV7" s="11" t="e">
        <f ca="1">IF(History!AZ$2="","",#REF!*$C$7)</f>
        <v>#REF!</v>
      </c>
      <c r="AW7" s="11" t="e">
        <f ca="1">IF(History!BA$2="","",#REF!*$C$7)</f>
        <v>#REF!</v>
      </c>
      <c r="AX7" s="11" t="e">
        <f ca="1">IF(History!BB$2="","",#REF!*$C$7)</f>
        <v>#REF!</v>
      </c>
      <c r="AY7" s="11" t="e">
        <f ca="1">IF(History!BC$2="","",#REF!*$C$7)</f>
        <v>#REF!</v>
      </c>
      <c r="AZ7" s="11" t="e">
        <f ca="1">IF(History!BD$2="","",#REF!*$C$7)</f>
        <v>#REF!</v>
      </c>
      <c r="BA7" s="11" t="e">
        <f ca="1">IF(History!BE$2="","",#REF!*$C$7)</f>
        <v>#REF!</v>
      </c>
      <c r="BB7" s="11" t="e">
        <f ca="1">IF(History!BF$2="","",#REF!*$C$7)</f>
        <v>#REF!</v>
      </c>
      <c r="BC7" s="11" t="e">
        <f ca="1">IF(History!BG$2="","",#REF!*$C$7)</f>
        <v>#REF!</v>
      </c>
      <c r="BD7" s="11" t="e">
        <f ca="1">IF(History!BH$2="","",#REF!*$C$7)</f>
        <v>#REF!</v>
      </c>
      <c r="BE7" s="11" t="e">
        <f ca="1">IF(History!BI$2="","",#REF!*$C$7)</f>
        <v>#REF!</v>
      </c>
      <c r="BF7" s="11" t="e">
        <f ca="1">IF(History!BJ$2="","",#REF!*$C$7)</f>
        <v>#REF!</v>
      </c>
      <c r="BG7" s="11" t="e">
        <f ca="1">IF(History!BK$2="","",#REF!*$C$7)</f>
        <v>#REF!</v>
      </c>
      <c r="BH7" s="11" t="e">
        <f ca="1">IF(History!BL$2="","",#REF!*$C$7)</f>
        <v>#REF!</v>
      </c>
      <c r="BI7" s="11" t="e">
        <f ca="1">IF(History!BM$2="","",#REF!*$C$7)</f>
        <v>#REF!</v>
      </c>
      <c r="BJ7" s="11" t="e">
        <f ca="1">IF(History!BN$2="","",#REF!*$C$7)</f>
        <v>#REF!</v>
      </c>
      <c r="BK7" s="11" t="e">
        <f ca="1">IF(History!BO$2="","",#REF!*$C$7)</f>
        <v>#REF!</v>
      </c>
      <c r="BL7" s="11" t="e">
        <f ca="1">IF(History!BP$2="","",#REF!*$C$7)</f>
        <v>#REF!</v>
      </c>
      <c r="BM7" s="11" t="e">
        <f ca="1">IF(History!BQ$2="","",#REF!*$C$7)</f>
        <v>#REF!</v>
      </c>
      <c r="BN7" s="11" t="e">
        <f ca="1">IF(History!BR$2="","",#REF!*$C$7)</f>
        <v>#REF!</v>
      </c>
      <c r="BO7" s="11" t="e">
        <f ca="1">IF(History!BS$2="","",#REF!*$C$7)</f>
        <v>#REF!</v>
      </c>
      <c r="BP7" s="11" t="e">
        <f ca="1">IF(History!BT$2="","",#REF!*$C$7)</f>
        <v>#REF!</v>
      </c>
      <c r="BQ7" s="11" t="e">
        <f ca="1">IF(History!BU$2="","",#REF!*$C$7)</f>
        <v>#REF!</v>
      </c>
      <c r="BR7" s="11" t="e">
        <f ca="1">IF(History!BV$2="","",#REF!*$C$7)</f>
        <v>#REF!</v>
      </c>
      <c r="BS7" s="11" t="e">
        <f ca="1">IF(History!BW$2="","",#REF!*$C$7)</f>
        <v>#REF!</v>
      </c>
      <c r="BT7" s="11" t="e">
        <f ca="1">IF(History!BX$2="","",#REF!*$C$7)</f>
        <v>#REF!</v>
      </c>
      <c r="BU7" s="11" t="e">
        <f ca="1">IF(History!BY$2="","",#REF!*$C$7)</f>
        <v>#REF!</v>
      </c>
      <c r="BV7" s="11" t="e">
        <f ca="1">IF(History!BZ$2="","",#REF!*$C$7)</f>
        <v>#REF!</v>
      </c>
      <c r="BW7" s="11" t="e">
        <f ca="1">IF(History!CA$2="","",#REF!*$C$7)</f>
        <v>#REF!</v>
      </c>
      <c r="BX7" s="11" t="e">
        <f ca="1">IF(History!CB$2="","",#REF!*$C$7)</f>
        <v>#REF!</v>
      </c>
      <c r="BY7" s="11" t="e">
        <f ca="1">IF(History!CC$2="","",#REF!*$C$7)</f>
        <v>#REF!</v>
      </c>
      <c r="BZ7" s="11" t="e">
        <f ca="1">IF(History!CD$2="","",#REF!*$C$7)</f>
        <v>#REF!</v>
      </c>
      <c r="CA7" s="11" t="e">
        <f ca="1">IF(History!CE$2="","",#REF!*$C$7)</f>
        <v>#REF!</v>
      </c>
      <c r="CB7" s="11" t="e">
        <f ca="1">IF(History!CF$2="","",#REF!*$C$7)</f>
        <v>#REF!</v>
      </c>
      <c r="CC7" s="11" t="e">
        <f ca="1">IF(History!CG$2="","",#REF!*$C$7)</f>
        <v>#REF!</v>
      </c>
      <c r="CD7" s="11" t="e">
        <f ca="1">IF(History!CH$2="","",#REF!*$C$7)</f>
        <v>#REF!</v>
      </c>
      <c r="CE7" s="11" t="e">
        <f ca="1">IF(History!CI$2="","",#REF!*$C$7)</f>
        <v>#REF!</v>
      </c>
      <c r="CF7" s="11" t="str">
        <f ca="1">IF(History!CJ$2="","",#REF!*$C$7)</f>
        <v/>
      </c>
      <c r="CG7" s="11" t="str">
        <f ca="1">IF(History!CK$2="","",#REF!*$C$7)</f>
        <v/>
      </c>
      <c r="CH7" s="11" t="str">
        <f ca="1">IF(History!CL$2="","",#REF!*$C$7)</f>
        <v/>
      </c>
      <c r="CI7" s="11" t="str">
        <f ca="1">IF(History!CM$2="","",#REF!*$C$7)</f>
        <v/>
      </c>
      <c r="CJ7" s="11" t="str">
        <f ca="1">IF(History!CN$2="","",#REF!*$C$7)</f>
        <v/>
      </c>
      <c r="CK7" s="11" t="str">
        <f ca="1">IF(History!CO$2="","",#REF!*$C$7)</f>
        <v/>
      </c>
      <c r="CL7" s="11" t="str">
        <f ca="1">IF(History!CP$2="","",#REF!*$C$7)</f>
        <v/>
      </c>
      <c r="CM7" s="11" t="str">
        <f ca="1">IF(History!CQ$2="","",#REF!*$C$7)</f>
        <v/>
      </c>
      <c r="CN7" s="11" t="str">
        <f ca="1">IF(History!CR$2="","",#REF!*$C$7)</f>
        <v/>
      </c>
      <c r="CO7" s="11" t="str">
        <f ca="1">IF(History!CS$2="","",#REF!*$C$7)</f>
        <v/>
      </c>
      <c r="CP7" s="11" t="str">
        <f ca="1">IF(History!CT$2="","",#REF!*$C$7)</f>
        <v/>
      </c>
      <c r="CQ7" s="11" t="str">
        <f ca="1">IF(History!CU$2="","",#REF!*$C$7)</f>
        <v/>
      </c>
      <c r="CR7" s="11" t="str">
        <f ca="1">IF(History!CV$2="","",#REF!*$C$7)</f>
        <v/>
      </c>
      <c r="CS7" s="11" t="str">
        <f ca="1">IF(History!CW$2="","",#REF!*$C$7)</f>
        <v/>
      </c>
      <c r="CT7" s="11" t="str">
        <f ca="1">IF(History!CX$2="","",#REF!*$C$7)</f>
        <v/>
      </c>
      <c r="CU7" s="11" t="str">
        <f ca="1">IF(History!CY$2="","",#REF!*$C$7)</f>
        <v/>
      </c>
      <c r="CV7" s="11" t="str">
        <f ca="1">IF(History!CZ$2="","",#REF!*$C$7)</f>
        <v/>
      </c>
      <c r="CW7" s="11" t="str">
        <f ca="1">IF(History!DA$2="","",#REF!*$C$7)</f>
        <v/>
      </c>
      <c r="CX7" s="11" t="str">
        <f ca="1">IF(History!DB$2="","",#REF!*$C$7)</f>
        <v/>
      </c>
      <c r="CY7" s="11" t="str">
        <f ca="1">IF(History!DC$2="","",#REF!*$C$7)</f>
        <v/>
      </c>
      <c r="CZ7" s="11" t="str">
        <f ca="1">IF(History!DD$2="","",#REF!*$C$7)</f>
        <v/>
      </c>
      <c r="DA7" s="11" t="str">
        <f ca="1">IF(History!DE$2="","",#REF!*$C$7)</f>
        <v/>
      </c>
      <c r="DB7" s="11" t="str">
        <f ca="1">IF(History!DF$2="","",#REF!*$C$7)</f>
        <v/>
      </c>
      <c r="DC7" s="11" t="str">
        <f ca="1">IF(History!DG$2="","",#REF!*$C$7)</f>
        <v/>
      </c>
      <c r="DD7" s="11" t="str">
        <f ca="1">IF(History!DH$2="","",#REF!*$C$7)</f>
        <v/>
      </c>
      <c r="DE7" s="11" t="str">
        <f ca="1">IF(History!DI$2="","",#REF!*$C$7)</f>
        <v/>
      </c>
      <c r="DF7" s="11" t="str">
        <f ca="1">IF(History!DJ$2="","",#REF!*$C$7)</f>
        <v/>
      </c>
      <c r="DG7" s="11" t="str">
        <f ca="1">IF(History!DK$2="","",#REF!*$C$7)</f>
        <v/>
      </c>
      <c r="DH7" s="11" t="str">
        <f ca="1">IF(History!DL$2="","",#REF!*$C$7)</f>
        <v/>
      </c>
      <c r="DI7" s="11" t="str">
        <f ca="1">IF(History!DM$2="","",#REF!*$C$7)</f>
        <v/>
      </c>
      <c r="DJ7" s="11" t="str">
        <f ca="1">IF(History!DN$2="","",#REF!*$C$7)</f>
        <v/>
      </c>
      <c r="DK7" s="11" t="str">
        <f ca="1">IF(History!DO$2="","",#REF!*$C$7)</f>
        <v/>
      </c>
      <c r="DL7" s="11" t="str">
        <f ca="1">IF(History!DP$2="","",#REF!*$C$7)</f>
        <v/>
      </c>
      <c r="DM7" s="11" t="str">
        <f ca="1">IF(History!DQ$2="","",#REF!*$C$7)</f>
        <v/>
      </c>
      <c r="DN7" s="11" t="str">
        <f ca="1">IF(History!DR$2="","",#REF!*$C$7)</f>
        <v/>
      </c>
      <c r="DO7" s="11" t="str">
        <f ca="1">IF(History!DS$2="","",#REF!*$C$7)</f>
        <v/>
      </c>
      <c r="DP7" s="11" t="str">
        <f ca="1">IF(History!DT$2="","",#REF!*$C$7)</f>
        <v/>
      </c>
      <c r="DQ7" s="11" t="str">
        <f ca="1">IF(History!DU$2="","",#REF!*$C$7)</f>
        <v/>
      </c>
      <c r="DR7" s="11" t="str">
        <f ca="1">IF(History!DV$2="","",#REF!*$C$7)</f>
        <v/>
      </c>
      <c r="DS7" s="11" t="str">
        <f ca="1">IF(History!DW$2="","",#REF!*$C$7)</f>
        <v/>
      </c>
      <c r="DT7" s="11" t="str">
        <f ca="1">IF(History!DX$2="","",#REF!*$C$7)</f>
        <v/>
      </c>
      <c r="DU7" s="11" t="str">
        <f ca="1">IF(History!DY$2="","",#REF!*$C$7)</f>
        <v/>
      </c>
      <c r="DV7" s="11" t="str">
        <f ca="1">IF(History!DZ$2="","",#REF!*$C$7)</f>
        <v/>
      </c>
      <c r="DW7" s="11" t="str">
        <f ca="1">IF(History!EA$2="","",#REF!*$C$7)</f>
        <v/>
      </c>
      <c r="DX7" s="11" t="str">
        <f ca="1">IF(History!EB$2="","",#REF!*$C$7)</f>
        <v/>
      </c>
      <c r="DY7" s="11" t="str">
        <f ca="1">IF(History!EC$2="","",#REF!*$C$7)</f>
        <v/>
      </c>
      <c r="DZ7" s="11" t="str">
        <f ca="1">IF(History!ED$2="","",#REF!*$C$7)</f>
        <v/>
      </c>
      <c r="EA7" s="11" t="str">
        <f ca="1">IF(History!EE$2="","",#REF!*$C$7)</f>
        <v/>
      </c>
      <c r="EB7" s="11" t="str">
        <f ca="1">IF(History!EF$2="","",#REF!*$C$7)</f>
        <v/>
      </c>
      <c r="EC7" s="11" t="str">
        <f ca="1">IF(History!EG$2="","",#REF!*$C$7)</f>
        <v/>
      </c>
      <c r="ED7" s="11" t="str">
        <f ca="1">IF(History!EH$2="","",#REF!*$C$7)</f>
        <v/>
      </c>
      <c r="EE7" s="11" t="str">
        <f ca="1">IF(History!EI$2="","",#REF!*$C$7)</f>
        <v/>
      </c>
      <c r="EF7" s="11" t="str">
        <f ca="1">IF(History!EJ$2="","",#REF!*$C$7)</f>
        <v/>
      </c>
      <c r="EG7" s="11" t="str">
        <f ca="1">IF(History!EK$2="","",#REF!*$C$7)</f>
        <v/>
      </c>
      <c r="EH7" s="11" t="str">
        <f ca="1">IF(History!EL$2="","",#REF!*$C$7)</f>
        <v/>
      </c>
      <c r="EI7" s="11" t="str">
        <f ca="1">IF(History!EM$2="","",#REF!*$C$7)</f>
        <v/>
      </c>
      <c r="EJ7" s="11" t="str">
        <f ca="1">IF(History!EN$2="","",#REF!*$C$7)</f>
        <v/>
      </c>
      <c r="EK7" s="11" t="str">
        <f ca="1">IF(History!EO$2="","",#REF!*$C$7)</f>
        <v/>
      </c>
      <c r="EL7" s="11" t="str">
        <f ca="1">IF(History!EP$2="","",#REF!*$C$7)</f>
        <v/>
      </c>
      <c r="EM7" s="11" t="str">
        <f ca="1">IF(History!EQ$2="","",#REF!*$C$7)</f>
        <v/>
      </c>
      <c r="EN7" s="11" t="str">
        <f ca="1">IF(History!ER$2="","",#REF!*$C$7)</f>
        <v/>
      </c>
      <c r="EO7" s="11" t="str">
        <f ca="1">IF(History!ES$2="","",#REF!*$C$7)</f>
        <v/>
      </c>
      <c r="EP7" s="11" t="str">
        <f ca="1">IF(History!ET$2="","",#REF!*$C$7)</f>
        <v/>
      </c>
      <c r="EQ7" s="11" t="str">
        <f ca="1">IF(History!EU$2="","",#REF!*$C$7)</f>
        <v/>
      </c>
      <c r="ER7" s="11" t="str">
        <f ca="1">IF(History!EV$2="","",#REF!*$C$7)</f>
        <v/>
      </c>
      <c r="ES7" s="11" t="str">
        <f ca="1">IF(History!EW$2="","",#REF!*$C$7)</f>
        <v/>
      </c>
      <c r="ET7" s="11" t="str">
        <f ca="1">IF(History!EX$2="","",#REF!*$C$7)</f>
        <v/>
      </c>
      <c r="EU7" s="11" t="str">
        <f ca="1">IF(History!EY$2="","",#REF!*$C$7)</f>
        <v/>
      </c>
      <c r="EV7" s="11" t="str">
        <f ca="1">IF(History!EZ$2="","",#REF!*$C$7)</f>
        <v/>
      </c>
      <c r="EW7" s="11" t="str">
        <f ca="1">IF(History!FA$2="","",#REF!*$C$7)</f>
        <v/>
      </c>
      <c r="EX7" s="11" t="str">
        <f ca="1">IF(History!FB$2="","",#REF!*$C$7)</f>
        <v/>
      </c>
      <c r="EY7" s="11" t="str">
        <f ca="1">IF(History!FC$2="","",#REF!*$C$7)</f>
        <v/>
      </c>
      <c r="EZ7" s="11" t="str">
        <f ca="1">IF(History!FD$2="","",#REF!*$C$7)</f>
        <v/>
      </c>
      <c r="FA7" s="11" t="str">
        <f ca="1">IF(History!FE$2="","",#REF!*$C$7)</f>
        <v/>
      </c>
      <c r="FB7" s="11" t="str">
        <f ca="1">IF(History!FF$2="","",#REF!*$C$7)</f>
        <v/>
      </c>
      <c r="FC7" s="11" t="str">
        <f ca="1">IF(History!FG$2="","",#REF!*$C$7)</f>
        <v/>
      </c>
      <c r="FD7" s="11" t="str">
        <f ca="1">IF(History!FH$2="","",#REF!*$C$7)</f>
        <v/>
      </c>
      <c r="FE7" s="11" t="str">
        <f ca="1">IF(History!FI$2="","",#REF!*$C$7)</f>
        <v/>
      </c>
      <c r="FF7" s="11" t="str">
        <f ca="1">IF(History!FJ$2="","",#REF!*$C$7)</f>
        <v/>
      </c>
      <c r="FG7" s="11" t="str">
        <f ca="1">IF(History!FK$2="","",#REF!*$C$7)</f>
        <v/>
      </c>
      <c r="FH7" s="11" t="str">
        <f ca="1">IF(History!FL$2="","",#REF!*$C$7)</f>
        <v/>
      </c>
      <c r="FI7" s="11" t="str">
        <f ca="1">IF(History!FM$2="","",#REF!*$C$7)</f>
        <v/>
      </c>
      <c r="FJ7" s="11" t="str">
        <f ca="1">IF(History!FN$2="","",#REF!*$C$7)</f>
        <v/>
      </c>
      <c r="FK7" s="11" t="str">
        <f ca="1">IF(History!FO$2="","",#REF!*$C$7)</f>
        <v/>
      </c>
      <c r="FL7" s="11" t="str">
        <f ca="1">IF(History!FP$2="","",#REF!*$C$7)</f>
        <v/>
      </c>
      <c r="FM7" s="11" t="str">
        <f ca="1">IF(History!FQ$2="","",#REF!*$C$7)</f>
        <v/>
      </c>
      <c r="FN7" s="11" t="str">
        <f ca="1">IF(History!FR$2="","",#REF!*$C$7)</f>
        <v/>
      </c>
      <c r="FO7" s="11" t="str">
        <f ca="1">IF(History!FS$2="","",#REF!*$C$7)</f>
        <v/>
      </c>
      <c r="FP7" s="11" t="str">
        <f ca="1">IF(History!FT$2="","",#REF!*$C$7)</f>
        <v/>
      </c>
      <c r="FQ7" s="11" t="str">
        <f ca="1">IF(History!FU$2="","",#REF!*$C$7)</f>
        <v/>
      </c>
      <c r="FR7" s="11" t="str">
        <f ca="1">IF(History!FV$2="","",#REF!*$C$7)</f>
        <v/>
      </c>
      <c r="FS7" s="11" t="str">
        <f ca="1">IF(History!FW$2="","",#REF!*$C$7)</f>
        <v/>
      </c>
      <c r="FT7" s="11" t="str">
        <f ca="1">IF(History!FX$2="","",#REF!*$C$7)</f>
        <v/>
      </c>
      <c r="FU7" s="11" t="str">
        <f ca="1">IF(History!FY$2="","",#REF!*$C$7)</f>
        <v/>
      </c>
      <c r="FV7" s="11" t="str">
        <f ca="1">IF(History!FZ$2="","",#REF!*$C$7)</f>
        <v/>
      </c>
      <c r="FW7" s="11" t="str">
        <f ca="1">IF(History!GA$2="","",#REF!*$C$7)</f>
        <v/>
      </c>
      <c r="FX7" s="11" t="str">
        <f ca="1">IF(History!GB$2="","",#REF!*$C$7)</f>
        <v/>
      </c>
      <c r="FY7" s="11" t="str">
        <f ca="1">IF(History!GC$2="","",#REF!*$C$7)</f>
        <v/>
      </c>
      <c r="FZ7" s="11" t="str">
        <f ca="1">IF(History!GD$2="","",#REF!*$C$7)</f>
        <v/>
      </c>
      <c r="GA7" s="11" t="str">
        <f ca="1">IF(History!GE$2="","",#REF!*$C$7)</f>
        <v/>
      </c>
      <c r="GB7" s="11" t="str">
        <f ca="1">IF(History!GF$2="","",#REF!*$C$7)</f>
        <v/>
      </c>
      <c r="GC7" s="11" t="str">
        <f ca="1">IF(History!GG$2="","",#REF!*$C$7)</f>
        <v/>
      </c>
      <c r="GD7" s="11" t="str">
        <f ca="1">IF(History!GH$2="","",#REF!*$C$7)</f>
        <v/>
      </c>
      <c r="GE7" s="11" t="str">
        <f ca="1">IF(History!GI$2="","",#REF!*$C$7)</f>
        <v/>
      </c>
      <c r="GF7" s="11" t="str">
        <f ca="1">IF(History!GJ$2="","",#REF!*$C$7)</f>
        <v/>
      </c>
      <c r="GG7" s="11" t="str">
        <f ca="1">IF(History!GK$2="","",#REF!*$C$7)</f>
        <v/>
      </c>
      <c r="GH7" s="11" t="str">
        <f ca="1">IF(History!GL$2="","",#REF!*$C$7)</f>
        <v/>
      </c>
      <c r="GI7" s="11" t="str">
        <f ca="1">IF(History!GM$2="","",#REF!*$C$7)</f>
        <v/>
      </c>
      <c r="GJ7" s="11" t="str">
        <f ca="1">IF(History!GN$2="","",#REF!*$C$7)</f>
        <v/>
      </c>
      <c r="GK7" s="11" t="str">
        <f ca="1">IF(History!GO$2="","",#REF!*$C$7)</f>
        <v/>
      </c>
      <c r="GL7" s="11" t="str">
        <f ca="1">IF(History!GP$2="","",#REF!*$C$7)</f>
        <v/>
      </c>
      <c r="GM7" s="11" t="str">
        <f ca="1">IF(History!GQ$2="","",#REF!*$C$7)</f>
        <v/>
      </c>
      <c r="GN7" s="11" t="str">
        <f ca="1">IF(History!GR$2="","",#REF!*$C$7)</f>
        <v/>
      </c>
      <c r="GO7" s="11" t="str">
        <f ca="1">IF(History!GS$2="","",#REF!*$C$7)</f>
        <v/>
      </c>
      <c r="GP7" s="11" t="str">
        <f ca="1">IF(History!GT$2="","",#REF!*$C$7)</f>
        <v/>
      </c>
      <c r="GQ7" s="11" t="str">
        <f ca="1">IF(History!GU$2="","",#REF!*$C$7)</f>
        <v/>
      </c>
      <c r="GR7" s="11" t="str">
        <f ca="1">IF(History!GV$2="","",#REF!*$C$7)</f>
        <v/>
      </c>
      <c r="GS7" s="11" t="str">
        <f ca="1">IF(History!GW$2="","",#REF!*$C$7)</f>
        <v/>
      </c>
      <c r="GT7" s="11" t="str">
        <f ca="1">IF(History!GX$2="","",#REF!*$C$7)</f>
        <v/>
      </c>
      <c r="GU7" s="11" t="str">
        <f ca="1">IF(History!GY$2="","",#REF!*$C$7)</f>
        <v/>
      </c>
      <c r="GV7" s="11" t="str">
        <f ca="1">IF(History!GZ$2="","",#REF!*$C$7)</f>
        <v/>
      </c>
      <c r="GW7" s="11" t="str">
        <f ca="1">IF(History!HA$2="","",#REF!*$C$7)</f>
        <v/>
      </c>
      <c r="GX7" s="11" t="str">
        <f ca="1">IF(History!HB$2="","",#REF!*$C$7)</f>
        <v/>
      </c>
      <c r="GY7" s="11" t="str">
        <f ca="1">IF(History!HC$2="","",#REF!*$C$7)</f>
        <v/>
      </c>
      <c r="GZ7" s="11" t="str">
        <f ca="1">IF(History!HD$2="","",#REF!*$C$7)</f>
        <v/>
      </c>
      <c r="HA7" s="11" t="str">
        <f ca="1">IF(History!HE$2="","",#REF!*$C$7)</f>
        <v/>
      </c>
      <c r="HB7" s="11" t="str">
        <f ca="1">IF(History!HF$2="","",#REF!*$C$7)</f>
        <v/>
      </c>
      <c r="HC7" s="11" t="str">
        <f ca="1">IF(History!HG$2="","",#REF!*$C$7)</f>
        <v/>
      </c>
      <c r="HD7" s="11" t="str">
        <f ca="1">IF(History!HH$2="","",#REF!*$C$7)</f>
        <v/>
      </c>
      <c r="HE7" s="11" t="str">
        <f ca="1">IF(History!HI$2="","",#REF!*$C$7)</f>
        <v/>
      </c>
      <c r="HF7" s="11" t="str">
        <f ca="1">IF(History!HJ$2="","",#REF!*$C$7)</f>
        <v/>
      </c>
      <c r="HG7" s="11" t="str">
        <f ca="1">IF(History!HK$2="","",#REF!*$C$7)</f>
        <v/>
      </c>
      <c r="HH7" s="11" t="str">
        <f ca="1">IF(History!HL$2="","",#REF!*$C$7)</f>
        <v/>
      </c>
      <c r="HI7" s="11" t="str">
        <f ca="1">IF(History!HM$2="","",#REF!*$C$7)</f>
        <v/>
      </c>
      <c r="HJ7" s="11" t="str">
        <f ca="1">IF(History!HN$2="","",#REF!*$C$7)</f>
        <v/>
      </c>
      <c r="HK7" s="11" t="str">
        <f ca="1">IF(History!HO$2="","",#REF!*$C$7)</f>
        <v/>
      </c>
      <c r="HL7" s="11" t="str">
        <f ca="1">IF(History!HP$2="","",#REF!*$C$7)</f>
        <v/>
      </c>
      <c r="HM7" s="11" t="str">
        <f ca="1">IF(History!HQ$2="","",#REF!*$C$7)</f>
        <v/>
      </c>
      <c r="HN7" s="11" t="str">
        <f ca="1">IF(History!HR$2="","",#REF!*$C$7)</f>
        <v/>
      </c>
      <c r="HO7" s="11" t="str">
        <f ca="1">IF(History!HS$2="","",#REF!*$C$7)</f>
        <v/>
      </c>
      <c r="HP7" s="11" t="str">
        <f ca="1">IF(History!HT$2="","",#REF!*$C$7)</f>
        <v/>
      </c>
      <c r="HQ7" s="11" t="str">
        <f ca="1">IF(History!HU$2="","",#REF!*$C$7)</f>
        <v/>
      </c>
      <c r="HR7" s="11" t="str">
        <f ca="1">IF(History!HV$2="","",#REF!*$C$7)</f>
        <v/>
      </c>
      <c r="HS7" s="11" t="str">
        <f ca="1">IF(History!HW$2="","",#REF!*$C$7)</f>
        <v/>
      </c>
      <c r="HT7" s="11" t="str">
        <f ca="1">IF(History!HX$2="","",#REF!*$C$7)</f>
        <v/>
      </c>
      <c r="HU7" s="11" t="str">
        <f ca="1">IF(History!HY$2="","",#REF!*$C$7)</f>
        <v/>
      </c>
      <c r="HV7" s="11" t="str">
        <f ca="1">IF(History!HZ$2="","",#REF!*$C$7)</f>
        <v/>
      </c>
      <c r="HW7" s="11" t="str">
        <f ca="1">IF(History!IA$2="","",#REF!*$C$7)</f>
        <v/>
      </c>
      <c r="HX7" s="11" t="str">
        <f ca="1">IF(History!IB$2="","",#REF!*$C$7)</f>
        <v/>
      </c>
      <c r="HY7" s="11" t="str">
        <f ca="1">IF(History!IC$2="","",#REF!*$C$7)</f>
        <v/>
      </c>
      <c r="HZ7" s="11" t="str">
        <f ca="1">IF(History!ID$2="","",#REF!*$C$7)</f>
        <v/>
      </c>
      <c r="IA7" s="11" t="str">
        <f ca="1">IF(History!IE$2="","",#REF!*$C$7)</f>
        <v/>
      </c>
      <c r="IB7" s="11" t="str">
        <f ca="1">IF(History!IF$2="","",#REF!*$C$7)</f>
        <v/>
      </c>
      <c r="IC7" s="11" t="str">
        <f ca="1">IF(History!IG$2="","",#REF!*$C$7)</f>
        <v/>
      </c>
      <c r="ID7" s="11" t="str">
        <f ca="1">IF(History!IH$2="","",#REF!*$C$7)</f>
        <v/>
      </c>
      <c r="IE7" s="11" t="str">
        <f ca="1">IF(History!II$2="","",#REF!*$C$7)</f>
        <v/>
      </c>
      <c r="IF7" s="11" t="str">
        <f ca="1">IF(History!IJ$2="","",#REF!*$C$7)</f>
        <v/>
      </c>
      <c r="IG7" s="11" t="str">
        <f ca="1">IF(History!IK$2="","",#REF!*$C$7)</f>
        <v/>
      </c>
      <c r="IH7" s="11" t="str">
        <f ca="1">IF(History!IL$2="","",#REF!*$C$7)</f>
        <v/>
      </c>
      <c r="II7" s="11" t="str">
        <f ca="1">IF(History!IM$2="","",#REF!*$C$7)</f>
        <v/>
      </c>
      <c r="IJ7" s="11" t="str">
        <f ca="1">IF(History!IN$2="","",#REF!*$C$7)</f>
        <v/>
      </c>
      <c r="IK7" s="11" t="str">
        <f ca="1">IF(History!IO$2="","",#REF!*$C$7)</f>
        <v/>
      </c>
      <c r="IL7" s="11" t="str">
        <f ca="1">IF(History!IP$2="","",#REF!*$C$7)</f>
        <v/>
      </c>
      <c r="IM7" s="11" t="str">
        <f ca="1">IF(History!IQ$2="","",#REF!*$C$7)</f>
        <v/>
      </c>
      <c r="IN7" s="11" t="str">
        <f ca="1">IF(History!IR$2="","",#REF!*$C$7)</f>
        <v/>
      </c>
      <c r="IO7" s="11" t="str">
        <f ca="1">IF(History!IS$2="","",#REF!*$C$7)</f>
        <v/>
      </c>
      <c r="IP7" s="11" t="str">
        <f ca="1">IF(History!IT$2="","",#REF!*$C$7)</f>
        <v/>
      </c>
      <c r="IQ7" s="11" t="str">
        <f ca="1">IF(History!IU$2="","",#REF!*$C$7)</f>
        <v/>
      </c>
      <c r="IR7" s="11" t="str">
        <f ca="1">IF(History!IV$2="","",#REF!*$C$7)</f>
        <v/>
      </c>
      <c r="IS7" s="11" t="str">
        <f ca="1">IF(History!IW$2="","",#REF!*$C$7)</f>
        <v/>
      </c>
      <c r="IT7" s="11" t="str">
        <f ca="1">IF(History!IX$2="","",#REF!*$C$7)</f>
        <v/>
      </c>
      <c r="IU7" s="11" t="str">
        <f ca="1">IF(History!IY$2="","",#REF!*$C$7)</f>
        <v/>
      </c>
      <c r="IV7" s="11" t="str">
        <f ca="1">IF(History!IZ$2="","",#REF!*$C$7)</f>
        <v/>
      </c>
      <c r="IW7" s="11" t="str">
        <f ca="1">IF(History!JA$2="","",#REF!*$C$7)</f>
        <v/>
      </c>
      <c r="IX7" s="11" t="str">
        <f ca="1">IF(History!JB$2="","",#REF!*$C$7)</f>
        <v/>
      </c>
      <c r="IY7" s="11" t="str">
        <f ca="1">IF(History!JC$2="","",#REF!*$C$7)</f>
        <v/>
      </c>
      <c r="IZ7" s="11" t="str">
        <f ca="1">IF(History!JD$2="","",#REF!*$C$7)</f>
        <v/>
      </c>
      <c r="JA7" s="11" t="str">
        <f ca="1">IF(History!JE$2="","",#REF!*$C$7)</f>
        <v/>
      </c>
      <c r="JB7" s="11" t="str">
        <f ca="1">IF(History!JF$2="","",#REF!*$C$7)</f>
        <v/>
      </c>
      <c r="JC7" s="11" t="str">
        <f ca="1">IF(History!JG$2="","",#REF!*$C$7)</f>
        <v/>
      </c>
      <c r="JD7" s="11" t="str">
        <f ca="1">IF(History!JH$2="","",#REF!*$C$7)</f>
        <v/>
      </c>
      <c r="JE7" s="11" t="str">
        <f ca="1">IF(History!JI$2="","",#REF!*$C$7)</f>
        <v/>
      </c>
      <c r="JF7" s="11" t="str">
        <f ca="1">IF(History!JJ$2="","",#REF!*$C$7)</f>
        <v/>
      </c>
      <c r="JG7" s="11" t="str">
        <f ca="1">IF(History!JK$2="","",#REF!*$C$7)</f>
        <v/>
      </c>
      <c r="JH7" s="11" t="str">
        <f ca="1">IF(History!JL$2="","",#REF!*$C$7)</f>
        <v/>
      </c>
      <c r="JI7" s="11" t="str">
        <f ca="1">IF(History!JM$2="","",#REF!*$C$7)</f>
        <v/>
      </c>
      <c r="JJ7" s="11" t="str">
        <f ca="1">IF(History!JN$2="","",#REF!*$C$7)</f>
        <v/>
      </c>
      <c r="JK7" s="11" t="str">
        <f ca="1">IF(History!JO$2="","",#REF!*$C$7)</f>
        <v/>
      </c>
      <c r="JL7" s="11" t="str">
        <f ca="1">IF(History!JP$2="","",#REF!*$C$7)</f>
        <v/>
      </c>
      <c r="JM7" s="11" t="str">
        <f ca="1">IF(History!JQ$2="","",#REF!*$C$7)</f>
        <v/>
      </c>
      <c r="JN7" s="11" t="str">
        <f ca="1">IF(History!JR$2="","",#REF!*$C$7)</f>
        <v/>
      </c>
      <c r="JO7" s="11" t="str">
        <f ca="1">IF(History!JS$2="","",#REF!*$C$7)</f>
        <v/>
      </c>
      <c r="JP7" s="11" t="str">
        <f ca="1">IF(History!JT$2="","",#REF!*$C$7)</f>
        <v/>
      </c>
      <c r="JQ7" s="11" t="str">
        <f ca="1">IF(History!JU$2="","",#REF!*$C$7)</f>
        <v/>
      </c>
      <c r="JR7" s="11" t="str">
        <f ca="1">IF(History!JV$2="","",#REF!*$C$7)</f>
        <v/>
      </c>
      <c r="JS7" s="11" t="str">
        <f ca="1">IF(History!JW$2="","",#REF!*$C$7)</f>
        <v/>
      </c>
      <c r="JT7" s="11" t="str">
        <f ca="1">IF(History!JX$2="","",#REF!*$C$7)</f>
        <v/>
      </c>
      <c r="JU7" s="11" t="str">
        <f ca="1">IF(History!JY$2="","",#REF!*$C$7)</f>
        <v/>
      </c>
      <c r="JV7" s="11" t="str">
        <f ca="1">IF(History!JZ$2="","",#REF!*$C$7)</f>
        <v/>
      </c>
      <c r="JW7" s="11" t="str">
        <f ca="1">IF(History!KA$2="","",#REF!*$C$7)</f>
        <v/>
      </c>
      <c r="JX7" s="11" t="str">
        <f ca="1">IF(History!KB$2="","",#REF!*$C$7)</f>
        <v/>
      </c>
      <c r="JY7" s="11" t="str">
        <f ca="1">IF(History!KC$2="","",#REF!*$C$7)</f>
        <v/>
      </c>
      <c r="JZ7" s="11" t="str">
        <f ca="1">IF(History!KD$2="","",#REF!*$C$7)</f>
        <v/>
      </c>
      <c r="KA7" s="11" t="str">
        <f ca="1">IF(History!KE$2="","",#REF!*$C$7)</f>
        <v/>
      </c>
      <c r="KB7" s="11" t="str">
        <f ca="1">IF(History!KF$2="","",#REF!*$C$7)</f>
        <v/>
      </c>
    </row>
    <row r="8" spans="1:288" ht="15.75" customHeight="1">
      <c r="A8" s="18" t="s">
        <v>132</v>
      </c>
      <c r="B8" s="6" t="s">
        <v>130</v>
      </c>
      <c r="C8" s="26">
        <v>696</v>
      </c>
      <c r="D8" s="11" t="e">
        <f ca="1">IF(History!H$2="","",#REF!*$C$8)</f>
        <v>#REF!</v>
      </c>
      <c r="E8" s="11" t="e">
        <f ca="1">IF(History!I$2="","",#REF!*$C$8)</f>
        <v>#REF!</v>
      </c>
      <c r="F8" s="11" t="e">
        <f ca="1">IF(History!J$2="","",#REF!*$C$8)</f>
        <v>#REF!</v>
      </c>
      <c r="G8" s="11" t="e">
        <f ca="1">IF(History!K$2="","",#REF!*$C$8)</f>
        <v>#REF!</v>
      </c>
      <c r="H8" s="11" t="e">
        <f ca="1">IF(History!L$2="","",#REF!*$C$8)</f>
        <v>#REF!</v>
      </c>
      <c r="I8" s="11" t="e">
        <f ca="1">IF(History!M$2="","",#REF!*$C$8)</f>
        <v>#REF!</v>
      </c>
      <c r="J8" s="11" t="e">
        <f ca="1">IF(History!N$2="","",#REF!*$C$8)</f>
        <v>#REF!</v>
      </c>
      <c r="K8" s="11" t="e">
        <f ca="1">IF(History!O$2="","",#REF!*$C$8)</f>
        <v>#REF!</v>
      </c>
      <c r="L8" s="11" t="e">
        <f ca="1">IF(History!P$2="","",#REF!*$C$8)</f>
        <v>#REF!</v>
      </c>
      <c r="M8" s="11" t="e">
        <f ca="1">IF(History!Q$2="","",#REF!*$C$8)</f>
        <v>#REF!</v>
      </c>
      <c r="N8" s="11" t="e">
        <f ca="1">IF(History!R$2="","",#REF!*$C$8)</f>
        <v>#REF!</v>
      </c>
      <c r="O8" s="11" t="e">
        <f ca="1">IF(History!S$2="","",#REF!*$C$8)</f>
        <v>#REF!</v>
      </c>
      <c r="P8" s="11" t="e">
        <f ca="1">IF(History!T$2="","",#REF!*$C$8)</f>
        <v>#REF!</v>
      </c>
      <c r="Q8" s="11" t="e">
        <f ca="1">IF(History!U$2="","",#REF!*$C$8)</f>
        <v>#REF!</v>
      </c>
      <c r="R8" s="11" t="e">
        <f ca="1">IF(History!V$2="","",#REF!*$C$8)</f>
        <v>#REF!</v>
      </c>
      <c r="S8" s="11" t="e">
        <f ca="1">IF(History!W$2="","",#REF!*$C$8)</f>
        <v>#REF!</v>
      </c>
      <c r="T8" s="11" t="e">
        <f ca="1">IF(History!X$2="","",#REF!*$C$8)</f>
        <v>#REF!</v>
      </c>
      <c r="U8" s="11" t="e">
        <f ca="1">IF(History!Y$2="","",#REF!*$C$8)</f>
        <v>#REF!</v>
      </c>
      <c r="V8" s="11" t="e">
        <f ca="1">IF(History!Z$2="","",#REF!*$C$8)</f>
        <v>#REF!</v>
      </c>
      <c r="W8" s="11" t="e">
        <f ca="1">IF(History!AA$2="","",#REF!*$C$8)</f>
        <v>#REF!</v>
      </c>
      <c r="X8" s="11" t="e">
        <f ca="1">IF(History!AB$2="","",#REF!*$C$8)</f>
        <v>#REF!</v>
      </c>
      <c r="Y8" s="11" t="e">
        <f ca="1">IF(History!AC$2="","",#REF!*$C$8)</f>
        <v>#REF!</v>
      </c>
      <c r="Z8" s="11" t="e">
        <f ca="1">IF(History!AD$2="","",#REF!*$C$8)</f>
        <v>#REF!</v>
      </c>
      <c r="AA8" s="11" t="e">
        <f ca="1">IF(History!AE$2="","",#REF!*$C$8)</f>
        <v>#REF!</v>
      </c>
      <c r="AB8" s="11" t="e">
        <f ca="1">IF(History!AF$2="","",#REF!*$C$8)</f>
        <v>#REF!</v>
      </c>
      <c r="AC8" s="11" t="e">
        <f ca="1">IF(History!AG$2="","",#REF!*$C$8)</f>
        <v>#REF!</v>
      </c>
      <c r="AD8" s="11" t="e">
        <f ca="1">IF(History!AH$2="","",#REF!*$C$8)</f>
        <v>#REF!</v>
      </c>
      <c r="AE8" s="11" t="e">
        <f ca="1">IF(History!AI$2="","",#REF!*$C$8)</f>
        <v>#REF!</v>
      </c>
      <c r="AF8" s="11" t="e">
        <f ca="1">IF(History!AJ$2="","",#REF!*$C$8)</f>
        <v>#REF!</v>
      </c>
      <c r="AG8" s="11" t="e">
        <f ca="1">IF(History!AK$2="","",#REF!*$C$8)</f>
        <v>#REF!</v>
      </c>
      <c r="AH8" s="11" t="e">
        <f ca="1">IF(History!AL$2="","",#REF!*$C$8)</f>
        <v>#REF!</v>
      </c>
      <c r="AI8" s="11" t="e">
        <f ca="1">IF(History!AM$2="","",#REF!*$C$8)</f>
        <v>#REF!</v>
      </c>
      <c r="AJ8" s="11" t="e">
        <f ca="1">IF(History!AN$2="","",#REF!*$C$8)</f>
        <v>#REF!</v>
      </c>
      <c r="AK8" s="11" t="e">
        <f ca="1">IF(History!AO$2="","",#REF!*$C$8)</f>
        <v>#REF!</v>
      </c>
      <c r="AL8" s="11" t="e">
        <f ca="1">IF(History!AP$2="","",#REF!*$C$8)</f>
        <v>#REF!</v>
      </c>
      <c r="AM8" s="11" t="e">
        <f ca="1">IF(History!AQ$2="","",#REF!*$C$8)</f>
        <v>#REF!</v>
      </c>
      <c r="AN8" s="11" t="e">
        <f ca="1">IF(History!AR$2="","",#REF!*$C$8)</f>
        <v>#REF!</v>
      </c>
      <c r="AO8" s="11" t="e">
        <f ca="1">IF(History!AS$2="","",#REF!*$C$8)</f>
        <v>#REF!</v>
      </c>
      <c r="AP8" s="11" t="e">
        <f ca="1">IF(History!AT$2="","",#REF!*$C$8)</f>
        <v>#REF!</v>
      </c>
      <c r="AQ8" s="11" t="e">
        <f ca="1">IF(History!AU$2="","",#REF!*$C$8)</f>
        <v>#REF!</v>
      </c>
      <c r="AR8" s="11" t="e">
        <f ca="1">IF(History!AV$2="","",#REF!*$C$8)</f>
        <v>#REF!</v>
      </c>
      <c r="AS8" s="11" t="e">
        <f ca="1">IF(History!AW$2="","",#REF!*$C$8)</f>
        <v>#REF!</v>
      </c>
      <c r="AT8" s="11" t="e">
        <f ca="1">IF(History!AX$2="","",#REF!*$C$8)</f>
        <v>#REF!</v>
      </c>
      <c r="AU8" s="11" t="e">
        <f ca="1">IF(History!AY$2="","",#REF!*$C$8)</f>
        <v>#REF!</v>
      </c>
      <c r="AV8" s="11" t="e">
        <f ca="1">IF(History!AZ$2="","",#REF!*$C$8)</f>
        <v>#REF!</v>
      </c>
      <c r="AW8" s="11" t="e">
        <f ca="1">IF(History!BA$2="","",#REF!*$C$8)</f>
        <v>#REF!</v>
      </c>
      <c r="AX8" s="11" t="e">
        <f ca="1">IF(History!BB$2="","",#REF!*$C$8)</f>
        <v>#REF!</v>
      </c>
      <c r="AY8" s="11" t="e">
        <f ca="1">IF(History!BC$2="","",#REF!*$C$8)</f>
        <v>#REF!</v>
      </c>
      <c r="AZ8" s="11" t="e">
        <f ca="1">IF(History!BD$2="","",#REF!*$C$8)</f>
        <v>#REF!</v>
      </c>
      <c r="BA8" s="11" t="e">
        <f ca="1">IF(History!BE$2="","",#REF!*$C$8)</f>
        <v>#REF!</v>
      </c>
      <c r="BB8" s="11" t="e">
        <f ca="1">IF(History!BF$2="","",#REF!*$C$8)</f>
        <v>#REF!</v>
      </c>
      <c r="BC8" s="11" t="e">
        <f ca="1">IF(History!BG$2="","",#REF!*$C$8)</f>
        <v>#REF!</v>
      </c>
      <c r="BD8" s="11" t="e">
        <f ca="1">IF(History!BH$2="","",#REF!*$C$8)</f>
        <v>#REF!</v>
      </c>
      <c r="BE8" s="11" t="e">
        <f ca="1">IF(History!BI$2="","",#REF!*$C$8)</f>
        <v>#REF!</v>
      </c>
      <c r="BF8" s="11" t="e">
        <f ca="1">IF(History!BJ$2="","",#REF!*$C$8)</f>
        <v>#REF!</v>
      </c>
      <c r="BG8" s="11" t="e">
        <f ca="1">IF(History!BK$2="","",#REF!*$C$8)</f>
        <v>#REF!</v>
      </c>
      <c r="BH8" s="11" t="e">
        <f ca="1">IF(History!BL$2="","",#REF!*$C$8)</f>
        <v>#REF!</v>
      </c>
      <c r="BI8" s="11" t="e">
        <f ca="1">IF(History!BM$2="","",#REF!*$C$8)</f>
        <v>#REF!</v>
      </c>
      <c r="BJ8" s="11" t="e">
        <f ca="1">IF(History!BN$2="","",#REF!*$C$8)</f>
        <v>#REF!</v>
      </c>
      <c r="BK8" s="11" t="e">
        <f ca="1">IF(History!BO$2="","",#REF!*$C$8)</f>
        <v>#REF!</v>
      </c>
      <c r="BL8" s="11" t="e">
        <f ca="1">IF(History!BP$2="","",#REF!*$C$8)</f>
        <v>#REF!</v>
      </c>
      <c r="BM8" s="11" t="e">
        <f ca="1">IF(History!BQ$2="","",#REF!*$C$8)</f>
        <v>#REF!</v>
      </c>
      <c r="BN8" s="11" t="e">
        <f ca="1">IF(History!BR$2="","",#REF!*$C$8)</f>
        <v>#REF!</v>
      </c>
      <c r="BO8" s="11" t="e">
        <f ca="1">IF(History!BS$2="","",#REF!*$C$8)</f>
        <v>#REF!</v>
      </c>
      <c r="BP8" s="11" t="e">
        <f ca="1">IF(History!BT$2="","",#REF!*$C$8)</f>
        <v>#REF!</v>
      </c>
      <c r="BQ8" s="11" t="e">
        <f ca="1">IF(History!BU$2="","",#REF!*$C$8)</f>
        <v>#REF!</v>
      </c>
      <c r="BR8" s="11" t="e">
        <f ca="1">IF(History!BV$2="","",#REF!*$C$8)</f>
        <v>#REF!</v>
      </c>
      <c r="BS8" s="11" t="e">
        <f ca="1">IF(History!BW$2="","",#REF!*$C$8)</f>
        <v>#REF!</v>
      </c>
      <c r="BT8" s="11" t="e">
        <f ca="1">IF(History!BX$2="","",#REF!*$C$8)</f>
        <v>#REF!</v>
      </c>
      <c r="BU8" s="11" t="e">
        <f ca="1">IF(History!BY$2="","",#REF!*$C$8)</f>
        <v>#REF!</v>
      </c>
      <c r="BV8" s="11" t="e">
        <f ca="1">IF(History!BZ$2="","",#REF!*$C$8)</f>
        <v>#REF!</v>
      </c>
      <c r="BW8" s="11" t="e">
        <f ca="1">IF(History!CA$2="","",#REF!*$C$8)</f>
        <v>#REF!</v>
      </c>
      <c r="BX8" s="11" t="e">
        <f ca="1">IF(History!CB$2="","",#REF!*$C$8)</f>
        <v>#REF!</v>
      </c>
      <c r="BY8" s="11" t="e">
        <f ca="1">IF(History!CC$2="","",#REF!*$C$8)</f>
        <v>#REF!</v>
      </c>
      <c r="BZ8" s="11" t="e">
        <f ca="1">IF(History!CD$2="","",#REF!*$C$8)</f>
        <v>#REF!</v>
      </c>
      <c r="CA8" s="11" t="e">
        <f ca="1">IF(History!CE$2="","",#REF!*$C$8)</f>
        <v>#REF!</v>
      </c>
      <c r="CB8" s="11" t="e">
        <f ca="1">IF(History!CF$2="","",#REF!*$C$8)</f>
        <v>#REF!</v>
      </c>
      <c r="CC8" s="11" t="e">
        <f ca="1">IF(History!CG$2="","",#REF!*$C$8)</f>
        <v>#REF!</v>
      </c>
      <c r="CD8" s="11" t="e">
        <f ca="1">IF(History!CH$2="","",#REF!*$C$8)</f>
        <v>#REF!</v>
      </c>
      <c r="CE8" s="11" t="e">
        <f ca="1">IF(History!CI$2="","",#REF!*$C$8)</f>
        <v>#REF!</v>
      </c>
      <c r="CF8" s="11" t="str">
        <f ca="1">IF(History!CJ$2="","",#REF!*$C$8)</f>
        <v/>
      </c>
      <c r="CG8" s="11" t="str">
        <f ca="1">IF(History!CK$2="","",#REF!*$C$8)</f>
        <v/>
      </c>
      <c r="CH8" s="11" t="str">
        <f ca="1">IF(History!CL$2="","",#REF!*$C$8)</f>
        <v/>
      </c>
      <c r="CI8" s="11" t="str">
        <f ca="1">IF(History!CM$2="","",#REF!*$C$8)</f>
        <v/>
      </c>
      <c r="CJ8" s="11" t="str">
        <f ca="1">IF(History!CN$2="","",#REF!*$C$8)</f>
        <v/>
      </c>
      <c r="CK8" s="11" t="str">
        <f ca="1">IF(History!CO$2="","",#REF!*$C$8)</f>
        <v/>
      </c>
      <c r="CL8" s="11" t="str">
        <f ca="1">IF(History!CP$2="","",#REF!*$C$8)</f>
        <v/>
      </c>
      <c r="CM8" s="11" t="str">
        <f ca="1">IF(History!CQ$2="","",#REF!*$C$8)</f>
        <v/>
      </c>
      <c r="CN8" s="11" t="str">
        <f ca="1">IF(History!CR$2="","",#REF!*$C$8)</f>
        <v/>
      </c>
      <c r="CO8" s="11" t="str">
        <f ca="1">IF(History!CS$2="","",#REF!*$C$8)</f>
        <v/>
      </c>
      <c r="CP8" s="11" t="str">
        <f ca="1">IF(History!CT$2="","",#REF!*$C$8)</f>
        <v/>
      </c>
      <c r="CQ8" s="11" t="str">
        <f ca="1">IF(History!CU$2="","",#REF!*$C$8)</f>
        <v/>
      </c>
      <c r="CR8" s="11" t="str">
        <f ca="1">IF(History!CV$2="","",#REF!*$C$8)</f>
        <v/>
      </c>
      <c r="CS8" s="11" t="str">
        <f ca="1">IF(History!CW$2="","",#REF!*$C$8)</f>
        <v/>
      </c>
      <c r="CT8" s="11" t="str">
        <f ca="1">IF(History!CX$2="","",#REF!*$C$8)</f>
        <v/>
      </c>
      <c r="CU8" s="11" t="str">
        <f ca="1">IF(History!CY$2="","",#REF!*$C$8)</f>
        <v/>
      </c>
      <c r="CV8" s="11" t="str">
        <f ca="1">IF(History!CZ$2="","",#REF!*$C$8)</f>
        <v/>
      </c>
      <c r="CW8" s="11" t="str">
        <f ca="1">IF(History!DA$2="","",#REF!*$C$8)</f>
        <v/>
      </c>
      <c r="CX8" s="11" t="str">
        <f ca="1">IF(History!DB$2="","",#REF!*$C$8)</f>
        <v/>
      </c>
      <c r="CY8" s="11" t="str">
        <f ca="1">IF(History!DC$2="","",#REF!*$C$8)</f>
        <v/>
      </c>
      <c r="CZ8" s="11" t="str">
        <f ca="1">IF(History!DD$2="","",#REF!*$C$8)</f>
        <v/>
      </c>
      <c r="DA8" s="11" t="str">
        <f ca="1">IF(History!DE$2="","",#REF!*$C$8)</f>
        <v/>
      </c>
      <c r="DB8" s="11" t="str">
        <f ca="1">IF(History!DF$2="","",#REF!*$C$8)</f>
        <v/>
      </c>
      <c r="DC8" s="11" t="str">
        <f ca="1">IF(History!DG$2="","",#REF!*$C$8)</f>
        <v/>
      </c>
      <c r="DD8" s="11" t="str">
        <f ca="1">IF(History!DH$2="","",#REF!*$C$8)</f>
        <v/>
      </c>
      <c r="DE8" s="11" t="str">
        <f ca="1">IF(History!DI$2="","",#REF!*$C$8)</f>
        <v/>
      </c>
      <c r="DF8" s="11" t="str">
        <f ca="1">IF(History!DJ$2="","",#REF!*$C$8)</f>
        <v/>
      </c>
      <c r="DG8" s="11" t="str">
        <f ca="1">IF(History!DK$2="","",#REF!*$C$8)</f>
        <v/>
      </c>
      <c r="DH8" s="11" t="str">
        <f ca="1">IF(History!DL$2="","",#REF!*$C$8)</f>
        <v/>
      </c>
      <c r="DI8" s="11" t="str">
        <f ca="1">IF(History!DM$2="","",#REF!*$C$8)</f>
        <v/>
      </c>
      <c r="DJ8" s="11" t="str">
        <f ca="1">IF(History!DN$2="","",#REF!*$C$8)</f>
        <v/>
      </c>
      <c r="DK8" s="11" t="str">
        <f ca="1">IF(History!DO$2="","",#REF!*$C$8)</f>
        <v/>
      </c>
      <c r="DL8" s="11" t="str">
        <f ca="1">IF(History!DP$2="","",#REF!*$C$8)</f>
        <v/>
      </c>
      <c r="DM8" s="11" t="str">
        <f ca="1">IF(History!DQ$2="","",#REF!*$C$8)</f>
        <v/>
      </c>
      <c r="DN8" s="11" t="str">
        <f ca="1">IF(History!DR$2="","",#REF!*$C$8)</f>
        <v/>
      </c>
      <c r="DO8" s="11" t="str">
        <f ca="1">IF(History!DS$2="","",#REF!*$C$8)</f>
        <v/>
      </c>
      <c r="DP8" s="11" t="str">
        <f ca="1">IF(History!DT$2="","",#REF!*$C$8)</f>
        <v/>
      </c>
      <c r="DQ8" s="11" t="str">
        <f ca="1">IF(History!DU$2="","",#REF!*$C$8)</f>
        <v/>
      </c>
      <c r="DR8" s="11" t="str">
        <f ca="1">IF(History!DV$2="","",#REF!*$C$8)</f>
        <v/>
      </c>
      <c r="DS8" s="11" t="str">
        <f ca="1">IF(History!DW$2="","",#REF!*$C$8)</f>
        <v/>
      </c>
      <c r="DT8" s="11" t="str">
        <f ca="1">IF(History!DX$2="","",#REF!*$C$8)</f>
        <v/>
      </c>
      <c r="DU8" s="11" t="str">
        <f ca="1">IF(History!DY$2="","",#REF!*$C$8)</f>
        <v/>
      </c>
      <c r="DV8" s="11" t="str">
        <f ca="1">IF(History!DZ$2="","",#REF!*$C$8)</f>
        <v/>
      </c>
      <c r="DW8" s="11" t="str">
        <f ca="1">IF(History!EA$2="","",#REF!*$C$8)</f>
        <v/>
      </c>
      <c r="DX8" s="11" t="str">
        <f ca="1">IF(History!EB$2="","",#REF!*$C$8)</f>
        <v/>
      </c>
      <c r="DY8" s="11" t="str">
        <f ca="1">IF(History!EC$2="","",#REF!*$C$8)</f>
        <v/>
      </c>
      <c r="DZ8" s="11" t="str">
        <f ca="1">IF(History!ED$2="","",#REF!*$C$8)</f>
        <v/>
      </c>
      <c r="EA8" s="11" t="str">
        <f ca="1">IF(History!EE$2="","",#REF!*$C$8)</f>
        <v/>
      </c>
      <c r="EB8" s="11" t="str">
        <f ca="1">IF(History!EF$2="","",#REF!*$C$8)</f>
        <v/>
      </c>
      <c r="EC8" s="11" t="str">
        <f ca="1">IF(History!EG$2="","",#REF!*$C$8)</f>
        <v/>
      </c>
      <c r="ED8" s="11" t="str">
        <f ca="1">IF(History!EH$2="","",#REF!*$C$8)</f>
        <v/>
      </c>
      <c r="EE8" s="11" t="str">
        <f ca="1">IF(History!EI$2="","",#REF!*$C$8)</f>
        <v/>
      </c>
      <c r="EF8" s="11" t="str">
        <f ca="1">IF(History!EJ$2="","",#REF!*$C$8)</f>
        <v/>
      </c>
      <c r="EG8" s="11" t="str">
        <f ca="1">IF(History!EK$2="","",#REF!*$C$8)</f>
        <v/>
      </c>
      <c r="EH8" s="11" t="str">
        <f ca="1">IF(History!EL$2="","",#REF!*$C$8)</f>
        <v/>
      </c>
      <c r="EI8" s="11" t="str">
        <f ca="1">IF(History!EM$2="","",#REF!*$C$8)</f>
        <v/>
      </c>
      <c r="EJ8" s="11" t="str">
        <f ca="1">IF(History!EN$2="","",#REF!*$C$8)</f>
        <v/>
      </c>
      <c r="EK8" s="11" t="str">
        <f ca="1">IF(History!EO$2="","",#REF!*$C$8)</f>
        <v/>
      </c>
      <c r="EL8" s="11" t="str">
        <f ca="1">IF(History!EP$2="","",#REF!*$C$8)</f>
        <v/>
      </c>
      <c r="EM8" s="11" t="str">
        <f ca="1">IF(History!EQ$2="","",#REF!*$C$8)</f>
        <v/>
      </c>
      <c r="EN8" s="11" t="str">
        <f ca="1">IF(History!ER$2="","",#REF!*$C$8)</f>
        <v/>
      </c>
      <c r="EO8" s="11" t="str">
        <f ca="1">IF(History!ES$2="","",#REF!*$C$8)</f>
        <v/>
      </c>
      <c r="EP8" s="11" t="str">
        <f ca="1">IF(History!ET$2="","",#REF!*$C$8)</f>
        <v/>
      </c>
      <c r="EQ8" s="11" t="str">
        <f ca="1">IF(History!EU$2="","",#REF!*$C$8)</f>
        <v/>
      </c>
      <c r="ER8" s="11" t="str">
        <f ca="1">IF(History!EV$2="","",#REF!*$C$8)</f>
        <v/>
      </c>
      <c r="ES8" s="11" t="str">
        <f ca="1">IF(History!EW$2="","",#REF!*$C$8)</f>
        <v/>
      </c>
      <c r="ET8" s="11" t="str">
        <f ca="1">IF(History!EX$2="","",#REF!*$C$8)</f>
        <v/>
      </c>
      <c r="EU8" s="11" t="str">
        <f ca="1">IF(History!EY$2="","",#REF!*$C$8)</f>
        <v/>
      </c>
      <c r="EV8" s="11" t="str">
        <f ca="1">IF(History!EZ$2="","",#REF!*$C$8)</f>
        <v/>
      </c>
      <c r="EW8" s="11" t="str">
        <f ca="1">IF(History!FA$2="","",#REF!*$C$8)</f>
        <v/>
      </c>
      <c r="EX8" s="11" t="str">
        <f ca="1">IF(History!FB$2="","",#REF!*$C$8)</f>
        <v/>
      </c>
      <c r="EY8" s="11" t="str">
        <f ca="1">IF(History!FC$2="","",#REF!*$C$8)</f>
        <v/>
      </c>
      <c r="EZ8" s="11" t="str">
        <f ca="1">IF(History!FD$2="","",#REF!*$C$8)</f>
        <v/>
      </c>
      <c r="FA8" s="11" t="str">
        <f ca="1">IF(History!FE$2="","",#REF!*$C$8)</f>
        <v/>
      </c>
      <c r="FB8" s="11" t="str">
        <f ca="1">IF(History!FF$2="","",#REF!*$C$8)</f>
        <v/>
      </c>
      <c r="FC8" s="11" t="str">
        <f ca="1">IF(History!FG$2="","",#REF!*$C$8)</f>
        <v/>
      </c>
      <c r="FD8" s="11" t="str">
        <f ca="1">IF(History!FH$2="","",#REF!*$C$8)</f>
        <v/>
      </c>
      <c r="FE8" s="11" t="str">
        <f ca="1">IF(History!FI$2="","",#REF!*$C$8)</f>
        <v/>
      </c>
      <c r="FF8" s="11" t="str">
        <f ca="1">IF(History!FJ$2="","",#REF!*$C$8)</f>
        <v/>
      </c>
      <c r="FG8" s="11" t="str">
        <f ca="1">IF(History!FK$2="","",#REF!*$C$8)</f>
        <v/>
      </c>
      <c r="FH8" s="11" t="str">
        <f ca="1">IF(History!FL$2="","",#REF!*$C$8)</f>
        <v/>
      </c>
      <c r="FI8" s="11" t="str">
        <f ca="1">IF(History!FM$2="","",#REF!*$C$8)</f>
        <v/>
      </c>
      <c r="FJ8" s="11" t="str">
        <f ca="1">IF(History!FN$2="","",#REF!*$C$8)</f>
        <v/>
      </c>
      <c r="FK8" s="11" t="str">
        <f ca="1">IF(History!FO$2="","",#REF!*$C$8)</f>
        <v/>
      </c>
      <c r="FL8" s="11" t="str">
        <f ca="1">IF(History!FP$2="","",#REF!*$C$8)</f>
        <v/>
      </c>
      <c r="FM8" s="11" t="str">
        <f ca="1">IF(History!FQ$2="","",#REF!*$C$8)</f>
        <v/>
      </c>
      <c r="FN8" s="11" t="str">
        <f ca="1">IF(History!FR$2="","",#REF!*$C$8)</f>
        <v/>
      </c>
      <c r="FO8" s="11" t="str">
        <f ca="1">IF(History!FS$2="","",#REF!*$C$8)</f>
        <v/>
      </c>
      <c r="FP8" s="11" t="str">
        <f ca="1">IF(History!FT$2="","",#REF!*$C$8)</f>
        <v/>
      </c>
      <c r="FQ8" s="11" t="str">
        <f ca="1">IF(History!FU$2="","",#REF!*$C$8)</f>
        <v/>
      </c>
      <c r="FR8" s="11" t="str">
        <f ca="1">IF(History!FV$2="","",#REF!*$C$8)</f>
        <v/>
      </c>
      <c r="FS8" s="11" t="str">
        <f ca="1">IF(History!FW$2="","",#REF!*$C$8)</f>
        <v/>
      </c>
      <c r="FT8" s="11" t="str">
        <f ca="1">IF(History!FX$2="","",#REF!*$C$8)</f>
        <v/>
      </c>
      <c r="FU8" s="11" t="str">
        <f ca="1">IF(History!FY$2="","",#REF!*$C$8)</f>
        <v/>
      </c>
      <c r="FV8" s="11" t="str">
        <f ca="1">IF(History!FZ$2="","",#REF!*$C$8)</f>
        <v/>
      </c>
      <c r="FW8" s="11" t="str">
        <f ca="1">IF(History!GA$2="","",#REF!*$C$8)</f>
        <v/>
      </c>
      <c r="FX8" s="11" t="str">
        <f ca="1">IF(History!GB$2="","",#REF!*$C$8)</f>
        <v/>
      </c>
      <c r="FY8" s="11" t="str">
        <f ca="1">IF(History!GC$2="","",#REF!*$C$8)</f>
        <v/>
      </c>
      <c r="FZ8" s="11" t="str">
        <f ca="1">IF(History!GD$2="","",#REF!*$C$8)</f>
        <v/>
      </c>
      <c r="GA8" s="11" t="str">
        <f ca="1">IF(History!GE$2="","",#REF!*$C$8)</f>
        <v/>
      </c>
      <c r="GB8" s="11" t="str">
        <f ca="1">IF(History!GF$2="","",#REF!*$C$8)</f>
        <v/>
      </c>
      <c r="GC8" s="11" t="str">
        <f ca="1">IF(History!GG$2="","",#REF!*$C$8)</f>
        <v/>
      </c>
      <c r="GD8" s="11" t="str">
        <f ca="1">IF(History!GH$2="","",#REF!*$C$8)</f>
        <v/>
      </c>
      <c r="GE8" s="11" t="str">
        <f ca="1">IF(History!GI$2="","",#REF!*$C$8)</f>
        <v/>
      </c>
      <c r="GF8" s="11" t="str">
        <f ca="1">IF(History!GJ$2="","",#REF!*$C$8)</f>
        <v/>
      </c>
      <c r="GG8" s="11" t="str">
        <f ca="1">IF(History!GK$2="","",#REF!*$C$8)</f>
        <v/>
      </c>
      <c r="GH8" s="11" t="str">
        <f ca="1">IF(History!GL$2="","",#REF!*$C$8)</f>
        <v/>
      </c>
      <c r="GI8" s="11" t="str">
        <f ca="1">IF(History!GM$2="","",#REF!*$C$8)</f>
        <v/>
      </c>
      <c r="GJ8" s="11" t="str">
        <f ca="1">IF(History!GN$2="","",#REF!*$C$8)</f>
        <v/>
      </c>
      <c r="GK8" s="11" t="str">
        <f ca="1">IF(History!GO$2="","",#REF!*$C$8)</f>
        <v/>
      </c>
      <c r="GL8" s="11" t="str">
        <f ca="1">IF(History!GP$2="","",#REF!*$C$8)</f>
        <v/>
      </c>
      <c r="GM8" s="11" t="str">
        <f ca="1">IF(History!GQ$2="","",#REF!*$C$8)</f>
        <v/>
      </c>
      <c r="GN8" s="11" t="str">
        <f ca="1">IF(History!GR$2="","",#REF!*$C$8)</f>
        <v/>
      </c>
      <c r="GO8" s="11" t="str">
        <f ca="1">IF(History!GS$2="","",#REF!*$C$8)</f>
        <v/>
      </c>
      <c r="GP8" s="11" t="str">
        <f ca="1">IF(History!GT$2="","",#REF!*$C$8)</f>
        <v/>
      </c>
      <c r="GQ8" s="11" t="str">
        <f ca="1">IF(History!GU$2="","",#REF!*$C$8)</f>
        <v/>
      </c>
      <c r="GR8" s="11" t="str">
        <f ca="1">IF(History!GV$2="","",#REF!*$C$8)</f>
        <v/>
      </c>
      <c r="GS8" s="11" t="str">
        <f ca="1">IF(History!GW$2="","",#REF!*$C$8)</f>
        <v/>
      </c>
      <c r="GT8" s="11" t="str">
        <f ca="1">IF(History!GX$2="","",#REF!*$C$8)</f>
        <v/>
      </c>
      <c r="GU8" s="11" t="str">
        <f ca="1">IF(History!GY$2="","",#REF!*$C$8)</f>
        <v/>
      </c>
      <c r="GV8" s="11" t="str">
        <f ca="1">IF(History!GZ$2="","",#REF!*$C$8)</f>
        <v/>
      </c>
      <c r="GW8" s="11" t="str">
        <f ca="1">IF(History!HA$2="","",#REF!*$C$8)</f>
        <v/>
      </c>
      <c r="GX8" s="11" t="str">
        <f ca="1">IF(History!HB$2="","",#REF!*$C$8)</f>
        <v/>
      </c>
      <c r="GY8" s="11" t="str">
        <f ca="1">IF(History!HC$2="","",#REF!*$C$8)</f>
        <v/>
      </c>
      <c r="GZ8" s="11" t="str">
        <f ca="1">IF(History!HD$2="","",#REF!*$C$8)</f>
        <v/>
      </c>
      <c r="HA8" s="11" t="str">
        <f ca="1">IF(History!HE$2="","",#REF!*$C$8)</f>
        <v/>
      </c>
      <c r="HB8" s="11" t="str">
        <f ca="1">IF(History!HF$2="","",#REF!*$C$8)</f>
        <v/>
      </c>
      <c r="HC8" s="11" t="str">
        <f ca="1">IF(History!HG$2="","",#REF!*$C$8)</f>
        <v/>
      </c>
      <c r="HD8" s="11" t="str">
        <f ca="1">IF(History!HH$2="","",#REF!*$C$8)</f>
        <v/>
      </c>
      <c r="HE8" s="11" t="str">
        <f ca="1">IF(History!HI$2="","",#REF!*$C$8)</f>
        <v/>
      </c>
      <c r="HF8" s="11" t="str">
        <f ca="1">IF(History!HJ$2="","",#REF!*$C$8)</f>
        <v/>
      </c>
      <c r="HG8" s="11" t="str">
        <f ca="1">IF(History!HK$2="","",#REF!*$C$8)</f>
        <v/>
      </c>
      <c r="HH8" s="11" t="str">
        <f ca="1">IF(History!HL$2="","",#REF!*$C$8)</f>
        <v/>
      </c>
      <c r="HI8" s="11" t="str">
        <f ca="1">IF(History!HM$2="","",#REF!*$C$8)</f>
        <v/>
      </c>
      <c r="HJ8" s="11" t="str">
        <f ca="1">IF(History!HN$2="","",#REF!*$C$8)</f>
        <v/>
      </c>
      <c r="HK8" s="11" t="str">
        <f ca="1">IF(History!HO$2="","",#REF!*$C$8)</f>
        <v/>
      </c>
      <c r="HL8" s="11" t="str">
        <f ca="1">IF(History!HP$2="","",#REF!*$C$8)</f>
        <v/>
      </c>
      <c r="HM8" s="11" t="str">
        <f ca="1">IF(History!HQ$2="","",#REF!*$C$8)</f>
        <v/>
      </c>
      <c r="HN8" s="11" t="str">
        <f ca="1">IF(History!HR$2="","",#REF!*$C$8)</f>
        <v/>
      </c>
      <c r="HO8" s="11" t="str">
        <f ca="1">IF(History!HS$2="","",#REF!*$C$8)</f>
        <v/>
      </c>
      <c r="HP8" s="11" t="str">
        <f ca="1">IF(History!HT$2="","",#REF!*$C$8)</f>
        <v/>
      </c>
      <c r="HQ8" s="11" t="str">
        <f ca="1">IF(History!HU$2="","",#REF!*$C$8)</f>
        <v/>
      </c>
      <c r="HR8" s="11" t="str">
        <f ca="1">IF(History!HV$2="","",#REF!*$C$8)</f>
        <v/>
      </c>
      <c r="HS8" s="11" t="str">
        <f ca="1">IF(History!HW$2="","",#REF!*$C$8)</f>
        <v/>
      </c>
      <c r="HT8" s="11" t="str">
        <f ca="1">IF(History!HX$2="","",#REF!*$C$8)</f>
        <v/>
      </c>
      <c r="HU8" s="11" t="str">
        <f ca="1">IF(History!HY$2="","",#REF!*$C$8)</f>
        <v/>
      </c>
      <c r="HV8" s="11" t="str">
        <f ca="1">IF(History!HZ$2="","",#REF!*$C$8)</f>
        <v/>
      </c>
      <c r="HW8" s="11" t="str">
        <f ca="1">IF(History!IA$2="","",#REF!*$C$8)</f>
        <v/>
      </c>
      <c r="HX8" s="11" t="str">
        <f ca="1">IF(History!IB$2="","",#REF!*$C$8)</f>
        <v/>
      </c>
      <c r="HY8" s="11" t="str">
        <f ca="1">IF(History!IC$2="","",#REF!*$C$8)</f>
        <v/>
      </c>
      <c r="HZ8" s="11" t="str">
        <f ca="1">IF(History!ID$2="","",#REF!*$C$8)</f>
        <v/>
      </c>
      <c r="IA8" s="11" t="str">
        <f ca="1">IF(History!IE$2="","",#REF!*$C$8)</f>
        <v/>
      </c>
      <c r="IB8" s="11" t="str">
        <f ca="1">IF(History!IF$2="","",#REF!*$C$8)</f>
        <v/>
      </c>
      <c r="IC8" s="11" t="str">
        <f ca="1">IF(History!IG$2="","",#REF!*$C$8)</f>
        <v/>
      </c>
      <c r="ID8" s="11" t="str">
        <f ca="1">IF(History!IH$2="","",#REF!*$C$8)</f>
        <v/>
      </c>
      <c r="IE8" s="11" t="str">
        <f ca="1">IF(History!II$2="","",#REF!*$C$8)</f>
        <v/>
      </c>
      <c r="IF8" s="11" t="str">
        <f ca="1">IF(History!IJ$2="","",#REF!*$C$8)</f>
        <v/>
      </c>
      <c r="IG8" s="11" t="str">
        <f ca="1">IF(History!IK$2="","",#REF!*$C$8)</f>
        <v/>
      </c>
      <c r="IH8" s="11" t="str">
        <f ca="1">IF(History!IL$2="","",#REF!*$C$8)</f>
        <v/>
      </c>
      <c r="II8" s="11" t="str">
        <f ca="1">IF(History!IM$2="","",#REF!*$C$8)</f>
        <v/>
      </c>
      <c r="IJ8" s="11" t="str">
        <f ca="1">IF(History!IN$2="","",#REF!*$C$8)</f>
        <v/>
      </c>
      <c r="IK8" s="11" t="str">
        <f ca="1">IF(History!IO$2="","",#REF!*$C$8)</f>
        <v/>
      </c>
      <c r="IL8" s="11" t="str">
        <f ca="1">IF(History!IP$2="","",#REF!*$C$8)</f>
        <v/>
      </c>
      <c r="IM8" s="11" t="str">
        <f ca="1">IF(History!IQ$2="","",#REF!*$C$8)</f>
        <v/>
      </c>
      <c r="IN8" s="11" t="str">
        <f ca="1">IF(History!IR$2="","",#REF!*$C$8)</f>
        <v/>
      </c>
      <c r="IO8" s="11" t="str">
        <f ca="1">IF(History!IS$2="","",#REF!*$C$8)</f>
        <v/>
      </c>
      <c r="IP8" s="11" t="str">
        <f ca="1">IF(History!IT$2="","",#REF!*$C$8)</f>
        <v/>
      </c>
      <c r="IQ8" s="11" t="str">
        <f ca="1">IF(History!IU$2="","",#REF!*$C$8)</f>
        <v/>
      </c>
      <c r="IR8" s="11" t="str">
        <f ca="1">IF(History!IV$2="","",#REF!*$C$8)</f>
        <v/>
      </c>
      <c r="IS8" s="11" t="str">
        <f ca="1">IF(History!IW$2="","",#REF!*$C$8)</f>
        <v/>
      </c>
      <c r="IT8" s="11" t="str">
        <f ca="1">IF(History!IX$2="","",#REF!*$C$8)</f>
        <v/>
      </c>
      <c r="IU8" s="11" t="str">
        <f ca="1">IF(History!IY$2="","",#REF!*$C$8)</f>
        <v/>
      </c>
      <c r="IV8" s="11" t="str">
        <f ca="1">IF(History!IZ$2="","",#REF!*$C$8)</f>
        <v/>
      </c>
      <c r="IW8" s="11" t="str">
        <f ca="1">IF(History!JA$2="","",#REF!*$C$8)</f>
        <v/>
      </c>
      <c r="IX8" s="11" t="str">
        <f ca="1">IF(History!JB$2="","",#REF!*$C$8)</f>
        <v/>
      </c>
      <c r="IY8" s="11" t="str">
        <f ca="1">IF(History!JC$2="","",#REF!*$C$8)</f>
        <v/>
      </c>
      <c r="IZ8" s="11" t="str">
        <f ca="1">IF(History!JD$2="","",#REF!*$C$8)</f>
        <v/>
      </c>
      <c r="JA8" s="11" t="str">
        <f ca="1">IF(History!JE$2="","",#REF!*$C$8)</f>
        <v/>
      </c>
      <c r="JB8" s="11" t="str">
        <f ca="1">IF(History!JF$2="","",#REF!*$C$8)</f>
        <v/>
      </c>
      <c r="JC8" s="11" t="str">
        <f ca="1">IF(History!JG$2="","",#REF!*$C$8)</f>
        <v/>
      </c>
      <c r="JD8" s="11" t="str">
        <f ca="1">IF(History!JH$2="","",#REF!*$C$8)</f>
        <v/>
      </c>
      <c r="JE8" s="11" t="str">
        <f ca="1">IF(History!JI$2="","",#REF!*$C$8)</f>
        <v/>
      </c>
      <c r="JF8" s="11" t="str">
        <f ca="1">IF(History!JJ$2="","",#REF!*$C$8)</f>
        <v/>
      </c>
      <c r="JG8" s="11" t="str">
        <f ca="1">IF(History!JK$2="","",#REF!*$C$8)</f>
        <v/>
      </c>
      <c r="JH8" s="11" t="str">
        <f ca="1">IF(History!JL$2="","",#REF!*$C$8)</f>
        <v/>
      </c>
      <c r="JI8" s="11" t="str">
        <f ca="1">IF(History!JM$2="","",#REF!*$C$8)</f>
        <v/>
      </c>
      <c r="JJ8" s="11" t="str">
        <f ca="1">IF(History!JN$2="","",#REF!*$C$8)</f>
        <v/>
      </c>
      <c r="JK8" s="11" t="str">
        <f ca="1">IF(History!JO$2="","",#REF!*$C$8)</f>
        <v/>
      </c>
      <c r="JL8" s="11" t="str">
        <f ca="1">IF(History!JP$2="","",#REF!*$C$8)</f>
        <v/>
      </c>
      <c r="JM8" s="11" t="str">
        <f ca="1">IF(History!JQ$2="","",#REF!*$C$8)</f>
        <v/>
      </c>
      <c r="JN8" s="11" t="str">
        <f ca="1">IF(History!JR$2="","",#REF!*$C$8)</f>
        <v/>
      </c>
      <c r="JO8" s="11" t="str">
        <f ca="1">IF(History!JS$2="","",#REF!*$C$8)</f>
        <v/>
      </c>
      <c r="JP8" s="11" t="str">
        <f ca="1">IF(History!JT$2="","",#REF!*$C$8)</f>
        <v/>
      </c>
      <c r="JQ8" s="11" t="str">
        <f ca="1">IF(History!JU$2="","",#REF!*$C$8)</f>
        <v/>
      </c>
      <c r="JR8" s="11" t="str">
        <f ca="1">IF(History!JV$2="","",#REF!*$C$8)</f>
        <v/>
      </c>
      <c r="JS8" s="11" t="str">
        <f ca="1">IF(History!JW$2="","",#REF!*$C$8)</f>
        <v/>
      </c>
      <c r="JT8" s="11" t="str">
        <f ca="1">IF(History!JX$2="","",#REF!*$C$8)</f>
        <v/>
      </c>
      <c r="JU8" s="11" t="str">
        <f ca="1">IF(History!JY$2="","",#REF!*$C$8)</f>
        <v/>
      </c>
      <c r="JV8" s="11" t="str">
        <f ca="1">IF(History!JZ$2="","",#REF!*$C$8)</f>
        <v/>
      </c>
      <c r="JW8" s="11" t="str">
        <f ca="1">IF(History!KA$2="","",#REF!*$C$8)</f>
        <v/>
      </c>
      <c r="JX8" s="11" t="str">
        <f ca="1">IF(History!KB$2="","",#REF!*$C$8)</f>
        <v/>
      </c>
      <c r="JY8" s="11" t="str">
        <f ca="1">IF(History!KC$2="","",#REF!*$C$8)</f>
        <v/>
      </c>
      <c r="JZ8" s="11" t="str">
        <f ca="1">IF(History!KD$2="","",#REF!*$C$8)</f>
        <v/>
      </c>
      <c r="KA8" s="11" t="str">
        <f ca="1">IF(History!KE$2="","",#REF!*$C$8)</f>
        <v/>
      </c>
      <c r="KB8" s="11" t="str">
        <f ca="1">IF(History!KF$2="","",#REF!*$C$8)</f>
        <v/>
      </c>
    </row>
    <row r="9" spans="1:288" ht="15.75" customHeight="1">
      <c r="A9" s="18" t="s">
        <v>132</v>
      </c>
      <c r="B9" s="6" t="s">
        <v>136</v>
      </c>
      <c r="C9" s="23">
        <v>1008</v>
      </c>
      <c r="D9" s="11" t="e">
        <f ca="1">IF(History!H$2="","",#REF!*$C$9)</f>
        <v>#REF!</v>
      </c>
      <c r="E9" s="11" t="e">
        <f ca="1">IF(History!I$2="","",#REF!*$C$9)</f>
        <v>#REF!</v>
      </c>
      <c r="F9" s="11" t="e">
        <f ca="1">IF(History!J$2="","",#REF!*$C$9)</f>
        <v>#REF!</v>
      </c>
      <c r="G9" s="11" t="e">
        <f ca="1">IF(History!K$2="","",#REF!*$C$9)</f>
        <v>#REF!</v>
      </c>
      <c r="H9" s="11" t="e">
        <f ca="1">IF(History!L$2="","",#REF!*$C$9)</f>
        <v>#REF!</v>
      </c>
      <c r="I9" s="11" t="e">
        <f ca="1">IF(History!M$2="","",#REF!*$C$9)</f>
        <v>#REF!</v>
      </c>
      <c r="J9" s="11" t="e">
        <f ca="1">IF(History!N$2="","",#REF!*$C$9)</f>
        <v>#REF!</v>
      </c>
      <c r="K9" s="11" t="e">
        <f ca="1">IF(History!O$2="","",#REF!*$C$9)</f>
        <v>#REF!</v>
      </c>
      <c r="L9" s="11" t="e">
        <f ca="1">IF(History!P$2="","",#REF!*$C$9)</f>
        <v>#REF!</v>
      </c>
      <c r="M9" s="11" t="e">
        <f ca="1">IF(History!Q$2="","",#REF!*$C$9)</f>
        <v>#REF!</v>
      </c>
      <c r="N9" s="11" t="e">
        <f ca="1">IF(History!R$2="","",#REF!*$C$9)</f>
        <v>#REF!</v>
      </c>
      <c r="O9" s="11" t="e">
        <f ca="1">IF(History!S$2="","",#REF!*$C$9)</f>
        <v>#REF!</v>
      </c>
      <c r="P9" s="11" t="e">
        <f ca="1">IF(History!T$2="","",#REF!*$C$9)</f>
        <v>#REF!</v>
      </c>
      <c r="Q9" s="11" t="e">
        <f ca="1">IF(History!U$2="","",#REF!*$C$9)</f>
        <v>#REF!</v>
      </c>
      <c r="R9" s="11" t="e">
        <f ca="1">IF(History!V$2="","",#REF!*$C$9)</f>
        <v>#REF!</v>
      </c>
      <c r="S9" s="11" t="e">
        <f ca="1">IF(History!W$2="","",#REF!*$C$9)</f>
        <v>#REF!</v>
      </c>
      <c r="T9" s="11" t="e">
        <f ca="1">IF(History!X$2="","",#REF!*$C$9)</f>
        <v>#REF!</v>
      </c>
      <c r="U9" s="11" t="e">
        <f ca="1">IF(History!Y$2="","",#REF!*$C$9)</f>
        <v>#REF!</v>
      </c>
      <c r="V9" s="11" t="e">
        <f ca="1">IF(History!Z$2="","",#REF!*$C$9)</f>
        <v>#REF!</v>
      </c>
      <c r="W9" s="11" t="e">
        <f ca="1">IF(History!AA$2="","",#REF!*$C$9)</f>
        <v>#REF!</v>
      </c>
      <c r="X9" s="11" t="e">
        <f ca="1">IF(History!AB$2="","",#REF!*$C$9)</f>
        <v>#REF!</v>
      </c>
      <c r="Y9" s="11" t="e">
        <f ca="1">IF(History!AC$2="","",#REF!*$C$9)</f>
        <v>#REF!</v>
      </c>
      <c r="Z9" s="11" t="e">
        <f ca="1">IF(History!AD$2="","",#REF!*$C$9)</f>
        <v>#REF!</v>
      </c>
      <c r="AA9" s="11" t="e">
        <f ca="1">IF(History!AE$2="","",#REF!*$C$9)</f>
        <v>#REF!</v>
      </c>
      <c r="AB9" s="11" t="e">
        <f ca="1">IF(History!AF$2="","",#REF!*$C$9)</f>
        <v>#REF!</v>
      </c>
      <c r="AC9" s="11" t="e">
        <f ca="1">IF(History!AG$2="","",#REF!*$C$9)</f>
        <v>#REF!</v>
      </c>
      <c r="AD9" s="11" t="e">
        <f ca="1">IF(History!AH$2="","",#REF!*$C$9)</f>
        <v>#REF!</v>
      </c>
      <c r="AE9" s="11" t="e">
        <f ca="1">IF(History!AI$2="","",#REF!*$C$9)</f>
        <v>#REF!</v>
      </c>
      <c r="AF9" s="11" t="e">
        <f ca="1">IF(History!AJ$2="","",#REF!*$C$9)</f>
        <v>#REF!</v>
      </c>
      <c r="AG9" s="11" t="e">
        <f ca="1">IF(History!AK$2="","",#REF!*$C$9)</f>
        <v>#REF!</v>
      </c>
      <c r="AH9" s="11" t="e">
        <f ca="1">IF(History!AL$2="","",#REF!*$C$9)</f>
        <v>#REF!</v>
      </c>
      <c r="AI9" s="11" t="e">
        <f ca="1">IF(History!AM$2="","",#REF!*$C$9)</f>
        <v>#REF!</v>
      </c>
      <c r="AJ9" s="11" t="e">
        <f ca="1">IF(History!AN$2="","",#REF!*$C$9)</f>
        <v>#REF!</v>
      </c>
      <c r="AK9" s="11" t="e">
        <f ca="1">IF(History!AO$2="","",#REF!*$C$9)</f>
        <v>#REF!</v>
      </c>
      <c r="AL9" s="11" t="e">
        <f ca="1">IF(History!AP$2="","",#REF!*$C$9)</f>
        <v>#REF!</v>
      </c>
      <c r="AM9" s="11" t="e">
        <f ca="1">IF(History!AQ$2="","",#REF!*$C$9)</f>
        <v>#REF!</v>
      </c>
      <c r="AN9" s="11" t="e">
        <f ca="1">IF(History!AR$2="","",#REF!*$C$9)</f>
        <v>#REF!</v>
      </c>
      <c r="AO9" s="11" t="e">
        <f ca="1">IF(History!AS$2="","",#REF!*$C$9)</f>
        <v>#REF!</v>
      </c>
      <c r="AP9" s="11" t="e">
        <f ca="1">IF(History!AT$2="","",#REF!*$C$9)</f>
        <v>#REF!</v>
      </c>
      <c r="AQ9" s="11" t="e">
        <f ca="1">IF(History!AU$2="","",#REF!*$C$9)</f>
        <v>#REF!</v>
      </c>
      <c r="AR9" s="11" t="e">
        <f ca="1">IF(History!AV$2="","",#REF!*$C$9)</f>
        <v>#REF!</v>
      </c>
      <c r="AS9" s="11" t="e">
        <f ca="1">IF(History!AW$2="","",#REF!*$C$9)</f>
        <v>#REF!</v>
      </c>
      <c r="AT9" s="11" t="e">
        <f ca="1">IF(History!AX$2="","",#REF!*$C$9)</f>
        <v>#REF!</v>
      </c>
      <c r="AU9" s="11" t="e">
        <f ca="1">IF(History!AY$2="","",#REF!*$C$9)</f>
        <v>#REF!</v>
      </c>
      <c r="AV9" s="11" t="e">
        <f ca="1">IF(History!AZ$2="","",#REF!*$C$9)</f>
        <v>#REF!</v>
      </c>
      <c r="AW9" s="11" t="e">
        <f ca="1">IF(History!BA$2="","",#REF!*$C$9)</f>
        <v>#REF!</v>
      </c>
      <c r="AX9" s="11" t="e">
        <f ca="1">IF(History!BB$2="","",#REF!*$C$9)</f>
        <v>#REF!</v>
      </c>
      <c r="AY9" s="11" t="e">
        <f ca="1">IF(History!BC$2="","",#REF!*$C$9)</f>
        <v>#REF!</v>
      </c>
      <c r="AZ9" s="11" t="e">
        <f ca="1">IF(History!BD$2="","",#REF!*$C$9)</f>
        <v>#REF!</v>
      </c>
      <c r="BA9" s="11" t="e">
        <f ca="1">IF(History!BE$2="","",#REF!*$C$9)</f>
        <v>#REF!</v>
      </c>
      <c r="BB9" s="11" t="e">
        <f ca="1">IF(History!BF$2="","",#REF!*$C$9)</f>
        <v>#REF!</v>
      </c>
      <c r="BC9" s="11" t="e">
        <f ca="1">IF(History!BG$2="","",#REF!*$C$9)</f>
        <v>#REF!</v>
      </c>
      <c r="BD9" s="11" t="e">
        <f ca="1">IF(History!BH$2="","",#REF!*$C$9)</f>
        <v>#REF!</v>
      </c>
      <c r="BE9" s="11" t="e">
        <f ca="1">IF(History!BI$2="","",#REF!*$C$9)</f>
        <v>#REF!</v>
      </c>
      <c r="BF9" s="11" t="e">
        <f ca="1">IF(History!BJ$2="","",#REF!*$C$9)</f>
        <v>#REF!</v>
      </c>
      <c r="BG9" s="11" t="e">
        <f ca="1">IF(History!BK$2="","",#REF!*$C$9)</f>
        <v>#REF!</v>
      </c>
      <c r="BH9" s="11" t="e">
        <f ca="1">IF(History!BL$2="","",#REF!*$C$9)</f>
        <v>#REF!</v>
      </c>
      <c r="BI9" s="11" t="e">
        <f ca="1">IF(History!BM$2="","",#REF!*$C$9)</f>
        <v>#REF!</v>
      </c>
      <c r="BJ9" s="11" t="e">
        <f ca="1">IF(History!BN$2="","",#REF!*$C$9)</f>
        <v>#REF!</v>
      </c>
      <c r="BK9" s="11" t="e">
        <f ca="1">IF(History!BO$2="","",#REF!*$C$9)</f>
        <v>#REF!</v>
      </c>
      <c r="BL9" s="11" t="e">
        <f ca="1">IF(History!BP$2="","",#REF!*$C$9)</f>
        <v>#REF!</v>
      </c>
      <c r="BM9" s="11" t="e">
        <f ca="1">IF(History!BQ$2="","",#REF!*$C$9)</f>
        <v>#REF!</v>
      </c>
      <c r="BN9" s="11" t="e">
        <f ca="1">IF(History!BR$2="","",#REF!*$C$9)</f>
        <v>#REF!</v>
      </c>
      <c r="BO9" s="11" t="e">
        <f ca="1">IF(History!BS$2="","",#REF!*$C$9)</f>
        <v>#REF!</v>
      </c>
      <c r="BP9" s="11" t="e">
        <f ca="1">IF(History!BT$2="","",#REF!*$C$9)</f>
        <v>#REF!</v>
      </c>
      <c r="BQ9" s="11" t="e">
        <f ca="1">IF(History!BU$2="","",#REF!*$C$9)</f>
        <v>#REF!</v>
      </c>
      <c r="BR9" s="11" t="e">
        <f ca="1">IF(History!BV$2="","",#REF!*$C$9)</f>
        <v>#REF!</v>
      </c>
      <c r="BS9" s="11" t="e">
        <f ca="1">IF(History!BW$2="","",#REF!*$C$9)</f>
        <v>#REF!</v>
      </c>
      <c r="BT9" s="11" t="e">
        <f ca="1">IF(History!BX$2="","",#REF!*$C$9)</f>
        <v>#REF!</v>
      </c>
      <c r="BU9" s="11" t="e">
        <f ca="1">IF(History!BY$2="","",#REF!*$C$9)</f>
        <v>#REF!</v>
      </c>
      <c r="BV9" s="11" t="e">
        <f ca="1">IF(History!BZ$2="","",#REF!*$C$9)</f>
        <v>#REF!</v>
      </c>
      <c r="BW9" s="11" t="e">
        <f ca="1">IF(History!CA$2="","",#REF!*$C$9)</f>
        <v>#REF!</v>
      </c>
      <c r="BX9" s="11" t="e">
        <f ca="1">IF(History!CB$2="","",#REF!*$C$9)</f>
        <v>#REF!</v>
      </c>
      <c r="BY9" s="11" t="e">
        <f ca="1">IF(History!CC$2="","",#REF!*$C$9)</f>
        <v>#REF!</v>
      </c>
      <c r="BZ9" s="11" t="e">
        <f ca="1">IF(History!CD$2="","",#REF!*$C$9)</f>
        <v>#REF!</v>
      </c>
      <c r="CA9" s="11" t="e">
        <f ca="1">IF(History!CE$2="","",#REF!*$C$9)</f>
        <v>#REF!</v>
      </c>
      <c r="CB9" s="11" t="e">
        <f ca="1">IF(History!CF$2="","",#REF!*$C$9)</f>
        <v>#REF!</v>
      </c>
      <c r="CC9" s="11" t="e">
        <f ca="1">IF(History!CG$2="","",#REF!*$C$9)</f>
        <v>#REF!</v>
      </c>
      <c r="CD9" s="11" t="e">
        <f ca="1">IF(History!CH$2="","",#REF!*$C$9)</f>
        <v>#REF!</v>
      </c>
      <c r="CE9" s="11" t="e">
        <f ca="1">IF(History!CI$2="","",#REF!*$C$9)</f>
        <v>#REF!</v>
      </c>
      <c r="CF9" s="11" t="str">
        <f ca="1">IF(History!CJ$2="","",#REF!*$C$9)</f>
        <v/>
      </c>
      <c r="CG9" s="11" t="str">
        <f ca="1">IF(History!CK$2="","",#REF!*$C$9)</f>
        <v/>
      </c>
      <c r="CH9" s="11" t="str">
        <f ca="1">IF(History!CL$2="","",#REF!*$C$9)</f>
        <v/>
      </c>
      <c r="CI9" s="11" t="str">
        <f ca="1">IF(History!CM$2="","",#REF!*$C$9)</f>
        <v/>
      </c>
      <c r="CJ9" s="11" t="str">
        <f ca="1">IF(History!CN$2="","",#REF!*$C$9)</f>
        <v/>
      </c>
      <c r="CK9" s="11" t="str">
        <f ca="1">IF(History!CO$2="","",#REF!*$C$9)</f>
        <v/>
      </c>
      <c r="CL9" s="11" t="str">
        <f ca="1">IF(History!CP$2="","",#REF!*$C$9)</f>
        <v/>
      </c>
      <c r="CM9" s="11" t="str">
        <f ca="1">IF(History!CQ$2="","",#REF!*$C$9)</f>
        <v/>
      </c>
      <c r="CN9" s="11" t="str">
        <f ca="1">IF(History!CR$2="","",#REF!*$C$9)</f>
        <v/>
      </c>
      <c r="CO9" s="11" t="str">
        <f ca="1">IF(History!CS$2="","",#REF!*$C$9)</f>
        <v/>
      </c>
      <c r="CP9" s="11" t="str">
        <f ca="1">IF(History!CT$2="","",#REF!*$C$9)</f>
        <v/>
      </c>
      <c r="CQ9" s="11" t="str">
        <f ca="1">IF(History!CU$2="","",#REF!*$C$9)</f>
        <v/>
      </c>
      <c r="CR9" s="11" t="str">
        <f ca="1">IF(History!CV$2="","",#REF!*$C$9)</f>
        <v/>
      </c>
      <c r="CS9" s="11" t="str">
        <f ca="1">IF(History!CW$2="","",#REF!*$C$9)</f>
        <v/>
      </c>
      <c r="CT9" s="11" t="str">
        <f ca="1">IF(History!CX$2="","",#REF!*$C$9)</f>
        <v/>
      </c>
      <c r="CU9" s="11" t="str">
        <f ca="1">IF(History!CY$2="","",#REF!*$C$9)</f>
        <v/>
      </c>
      <c r="CV9" s="11" t="str">
        <f ca="1">IF(History!CZ$2="","",#REF!*$C$9)</f>
        <v/>
      </c>
      <c r="CW9" s="11" t="str">
        <f ca="1">IF(History!DA$2="","",#REF!*$C$9)</f>
        <v/>
      </c>
      <c r="CX9" s="11" t="str">
        <f ca="1">IF(History!DB$2="","",#REF!*$C$9)</f>
        <v/>
      </c>
      <c r="CY9" s="11" t="str">
        <f ca="1">IF(History!DC$2="","",#REF!*$C$9)</f>
        <v/>
      </c>
      <c r="CZ9" s="11" t="str">
        <f ca="1">IF(History!DD$2="","",#REF!*$C$9)</f>
        <v/>
      </c>
      <c r="DA9" s="11" t="str">
        <f ca="1">IF(History!DE$2="","",#REF!*$C$9)</f>
        <v/>
      </c>
      <c r="DB9" s="11" t="str">
        <f ca="1">IF(History!DF$2="","",#REF!*$C$9)</f>
        <v/>
      </c>
      <c r="DC9" s="11" t="str">
        <f ca="1">IF(History!DG$2="","",#REF!*$C$9)</f>
        <v/>
      </c>
      <c r="DD9" s="11" t="str">
        <f ca="1">IF(History!DH$2="","",#REF!*$C$9)</f>
        <v/>
      </c>
      <c r="DE9" s="11" t="str">
        <f ca="1">IF(History!DI$2="","",#REF!*$C$9)</f>
        <v/>
      </c>
      <c r="DF9" s="11" t="str">
        <f ca="1">IF(History!DJ$2="","",#REF!*$C$9)</f>
        <v/>
      </c>
      <c r="DG9" s="11" t="str">
        <f ca="1">IF(History!DK$2="","",#REF!*$C$9)</f>
        <v/>
      </c>
      <c r="DH9" s="11" t="str">
        <f ca="1">IF(History!DL$2="","",#REF!*$C$9)</f>
        <v/>
      </c>
      <c r="DI9" s="11" t="str">
        <f ca="1">IF(History!DM$2="","",#REF!*$C$9)</f>
        <v/>
      </c>
      <c r="DJ9" s="11" t="str">
        <f ca="1">IF(History!DN$2="","",#REF!*$C$9)</f>
        <v/>
      </c>
      <c r="DK9" s="11" t="str">
        <f ca="1">IF(History!DO$2="","",#REF!*$C$9)</f>
        <v/>
      </c>
      <c r="DL9" s="11" t="str">
        <f ca="1">IF(History!DP$2="","",#REF!*$C$9)</f>
        <v/>
      </c>
      <c r="DM9" s="11" t="str">
        <f ca="1">IF(History!DQ$2="","",#REF!*$C$9)</f>
        <v/>
      </c>
      <c r="DN9" s="11" t="str">
        <f ca="1">IF(History!DR$2="","",#REF!*$C$9)</f>
        <v/>
      </c>
      <c r="DO9" s="11" t="str">
        <f ca="1">IF(History!DS$2="","",#REF!*$C$9)</f>
        <v/>
      </c>
      <c r="DP9" s="11" t="str">
        <f ca="1">IF(History!DT$2="","",#REF!*$C$9)</f>
        <v/>
      </c>
      <c r="DQ9" s="11" t="str">
        <f ca="1">IF(History!DU$2="","",#REF!*$C$9)</f>
        <v/>
      </c>
      <c r="DR9" s="11" t="str">
        <f ca="1">IF(History!DV$2="","",#REF!*$C$9)</f>
        <v/>
      </c>
      <c r="DS9" s="11" t="str">
        <f ca="1">IF(History!DW$2="","",#REF!*$C$9)</f>
        <v/>
      </c>
      <c r="DT9" s="11" t="str">
        <f ca="1">IF(History!DX$2="","",#REF!*$C$9)</f>
        <v/>
      </c>
      <c r="DU9" s="11" t="str">
        <f ca="1">IF(History!DY$2="","",#REF!*$C$9)</f>
        <v/>
      </c>
      <c r="DV9" s="11" t="str">
        <f ca="1">IF(History!DZ$2="","",#REF!*$C$9)</f>
        <v/>
      </c>
      <c r="DW9" s="11" t="str">
        <f ca="1">IF(History!EA$2="","",#REF!*$C$9)</f>
        <v/>
      </c>
      <c r="DX9" s="11" t="str">
        <f ca="1">IF(History!EB$2="","",#REF!*$C$9)</f>
        <v/>
      </c>
      <c r="DY9" s="11" t="str">
        <f ca="1">IF(History!EC$2="","",#REF!*$C$9)</f>
        <v/>
      </c>
      <c r="DZ9" s="11" t="str">
        <f ca="1">IF(History!ED$2="","",#REF!*$C$9)</f>
        <v/>
      </c>
      <c r="EA9" s="11" t="str">
        <f ca="1">IF(History!EE$2="","",#REF!*$C$9)</f>
        <v/>
      </c>
      <c r="EB9" s="11" t="str">
        <f ca="1">IF(History!EF$2="","",#REF!*$C$9)</f>
        <v/>
      </c>
      <c r="EC9" s="11" t="str">
        <f ca="1">IF(History!EG$2="","",#REF!*$C$9)</f>
        <v/>
      </c>
      <c r="ED9" s="11" t="str">
        <f ca="1">IF(History!EH$2="","",#REF!*$C$9)</f>
        <v/>
      </c>
      <c r="EE9" s="11" t="str">
        <f ca="1">IF(History!EI$2="","",#REF!*$C$9)</f>
        <v/>
      </c>
      <c r="EF9" s="11" t="str">
        <f ca="1">IF(History!EJ$2="","",#REF!*$C$9)</f>
        <v/>
      </c>
      <c r="EG9" s="11" t="str">
        <f ca="1">IF(History!EK$2="","",#REF!*$C$9)</f>
        <v/>
      </c>
      <c r="EH9" s="11" t="str">
        <f ca="1">IF(History!EL$2="","",#REF!*$C$9)</f>
        <v/>
      </c>
      <c r="EI9" s="11" t="str">
        <f ca="1">IF(History!EM$2="","",#REF!*$C$9)</f>
        <v/>
      </c>
      <c r="EJ9" s="11" t="str">
        <f ca="1">IF(History!EN$2="","",#REF!*$C$9)</f>
        <v/>
      </c>
      <c r="EK9" s="11" t="str">
        <f ca="1">IF(History!EO$2="","",#REF!*$C$9)</f>
        <v/>
      </c>
      <c r="EL9" s="11" t="str">
        <f ca="1">IF(History!EP$2="","",#REF!*$C$9)</f>
        <v/>
      </c>
      <c r="EM9" s="11" t="str">
        <f ca="1">IF(History!EQ$2="","",#REF!*$C$9)</f>
        <v/>
      </c>
      <c r="EN9" s="11" t="str">
        <f ca="1">IF(History!ER$2="","",#REF!*$C$9)</f>
        <v/>
      </c>
      <c r="EO9" s="11" t="str">
        <f ca="1">IF(History!ES$2="","",#REF!*$C$9)</f>
        <v/>
      </c>
      <c r="EP9" s="11" t="str">
        <f ca="1">IF(History!ET$2="","",#REF!*$C$9)</f>
        <v/>
      </c>
      <c r="EQ9" s="11" t="str">
        <f ca="1">IF(History!EU$2="","",#REF!*$C$9)</f>
        <v/>
      </c>
      <c r="ER9" s="11" t="str">
        <f ca="1">IF(History!EV$2="","",#REF!*$C$9)</f>
        <v/>
      </c>
      <c r="ES9" s="11" t="str">
        <f ca="1">IF(History!EW$2="","",#REF!*$C$9)</f>
        <v/>
      </c>
      <c r="ET9" s="11" t="str">
        <f ca="1">IF(History!EX$2="","",#REF!*$C$9)</f>
        <v/>
      </c>
      <c r="EU9" s="11" t="str">
        <f ca="1">IF(History!EY$2="","",#REF!*$C$9)</f>
        <v/>
      </c>
      <c r="EV9" s="11" t="str">
        <f ca="1">IF(History!EZ$2="","",#REF!*$C$9)</f>
        <v/>
      </c>
      <c r="EW9" s="11" t="str">
        <f ca="1">IF(History!FA$2="","",#REF!*$C$9)</f>
        <v/>
      </c>
      <c r="EX9" s="11" t="str">
        <f ca="1">IF(History!FB$2="","",#REF!*$C$9)</f>
        <v/>
      </c>
      <c r="EY9" s="11" t="str">
        <f ca="1">IF(History!FC$2="","",#REF!*$C$9)</f>
        <v/>
      </c>
      <c r="EZ9" s="11" t="str">
        <f ca="1">IF(History!FD$2="","",#REF!*$C$9)</f>
        <v/>
      </c>
      <c r="FA9" s="11" t="str">
        <f ca="1">IF(History!FE$2="","",#REF!*$C$9)</f>
        <v/>
      </c>
      <c r="FB9" s="11" t="str">
        <f ca="1">IF(History!FF$2="","",#REF!*$C$9)</f>
        <v/>
      </c>
      <c r="FC9" s="11" t="str">
        <f ca="1">IF(History!FG$2="","",#REF!*$C$9)</f>
        <v/>
      </c>
      <c r="FD9" s="11" t="str">
        <f ca="1">IF(History!FH$2="","",#REF!*$C$9)</f>
        <v/>
      </c>
      <c r="FE9" s="11" t="str">
        <f ca="1">IF(History!FI$2="","",#REF!*$C$9)</f>
        <v/>
      </c>
      <c r="FF9" s="11" t="str">
        <f ca="1">IF(History!FJ$2="","",#REF!*$C$9)</f>
        <v/>
      </c>
      <c r="FG9" s="11" t="str">
        <f ca="1">IF(History!FK$2="","",#REF!*$C$9)</f>
        <v/>
      </c>
      <c r="FH9" s="11" t="str">
        <f ca="1">IF(History!FL$2="","",#REF!*$C$9)</f>
        <v/>
      </c>
      <c r="FI9" s="11" t="str">
        <f ca="1">IF(History!FM$2="","",#REF!*$C$9)</f>
        <v/>
      </c>
      <c r="FJ9" s="11" t="str">
        <f ca="1">IF(History!FN$2="","",#REF!*$C$9)</f>
        <v/>
      </c>
      <c r="FK9" s="11" t="str">
        <f ca="1">IF(History!FO$2="","",#REF!*$C$9)</f>
        <v/>
      </c>
      <c r="FL9" s="11" t="str">
        <f ca="1">IF(History!FP$2="","",#REF!*$C$9)</f>
        <v/>
      </c>
      <c r="FM9" s="11" t="str">
        <f ca="1">IF(History!FQ$2="","",#REF!*$C$9)</f>
        <v/>
      </c>
      <c r="FN9" s="11" t="str">
        <f ca="1">IF(History!FR$2="","",#REF!*$C$9)</f>
        <v/>
      </c>
      <c r="FO9" s="11" t="str">
        <f ca="1">IF(History!FS$2="","",#REF!*$C$9)</f>
        <v/>
      </c>
      <c r="FP9" s="11" t="str">
        <f ca="1">IF(History!FT$2="","",#REF!*$C$9)</f>
        <v/>
      </c>
      <c r="FQ9" s="11" t="str">
        <f ca="1">IF(History!FU$2="","",#REF!*$C$9)</f>
        <v/>
      </c>
      <c r="FR9" s="11" t="str">
        <f ca="1">IF(History!FV$2="","",#REF!*$C$9)</f>
        <v/>
      </c>
      <c r="FS9" s="11" t="str">
        <f ca="1">IF(History!FW$2="","",#REF!*$C$9)</f>
        <v/>
      </c>
      <c r="FT9" s="11" t="str">
        <f ca="1">IF(History!FX$2="","",#REF!*$C$9)</f>
        <v/>
      </c>
      <c r="FU9" s="11" t="str">
        <f ca="1">IF(History!FY$2="","",#REF!*$C$9)</f>
        <v/>
      </c>
      <c r="FV9" s="11" t="str">
        <f ca="1">IF(History!FZ$2="","",#REF!*$C$9)</f>
        <v/>
      </c>
      <c r="FW9" s="11" t="str">
        <f ca="1">IF(History!GA$2="","",#REF!*$C$9)</f>
        <v/>
      </c>
      <c r="FX9" s="11" t="str">
        <f ca="1">IF(History!GB$2="","",#REF!*$C$9)</f>
        <v/>
      </c>
      <c r="FY9" s="11" t="str">
        <f ca="1">IF(History!GC$2="","",#REF!*$C$9)</f>
        <v/>
      </c>
      <c r="FZ9" s="11" t="str">
        <f ca="1">IF(History!GD$2="","",#REF!*$C$9)</f>
        <v/>
      </c>
      <c r="GA9" s="11" t="str">
        <f ca="1">IF(History!GE$2="","",#REF!*$C$9)</f>
        <v/>
      </c>
      <c r="GB9" s="11" t="str">
        <f ca="1">IF(History!GF$2="","",#REF!*$C$9)</f>
        <v/>
      </c>
      <c r="GC9" s="11" t="str">
        <f ca="1">IF(History!GG$2="","",#REF!*$C$9)</f>
        <v/>
      </c>
      <c r="GD9" s="11" t="str">
        <f ca="1">IF(History!GH$2="","",#REF!*$C$9)</f>
        <v/>
      </c>
      <c r="GE9" s="11" t="str">
        <f ca="1">IF(History!GI$2="","",#REF!*$C$9)</f>
        <v/>
      </c>
      <c r="GF9" s="11" t="str">
        <f ca="1">IF(History!GJ$2="","",#REF!*$C$9)</f>
        <v/>
      </c>
      <c r="GG9" s="11" t="str">
        <f ca="1">IF(History!GK$2="","",#REF!*$C$9)</f>
        <v/>
      </c>
      <c r="GH9" s="11" t="str">
        <f ca="1">IF(History!GL$2="","",#REF!*$C$9)</f>
        <v/>
      </c>
      <c r="GI9" s="11" t="str">
        <f ca="1">IF(History!GM$2="","",#REF!*$C$9)</f>
        <v/>
      </c>
      <c r="GJ9" s="11" t="str">
        <f ca="1">IF(History!GN$2="","",#REF!*$C$9)</f>
        <v/>
      </c>
      <c r="GK9" s="11" t="str">
        <f ca="1">IF(History!GO$2="","",#REF!*$C$9)</f>
        <v/>
      </c>
      <c r="GL9" s="11" t="str">
        <f ca="1">IF(History!GP$2="","",#REF!*$C$9)</f>
        <v/>
      </c>
      <c r="GM9" s="11" t="str">
        <f ca="1">IF(History!GQ$2="","",#REF!*$C$9)</f>
        <v/>
      </c>
      <c r="GN9" s="11" t="str">
        <f ca="1">IF(History!GR$2="","",#REF!*$C$9)</f>
        <v/>
      </c>
      <c r="GO9" s="11" t="str">
        <f ca="1">IF(History!GS$2="","",#REF!*$C$9)</f>
        <v/>
      </c>
      <c r="GP9" s="11" t="str">
        <f ca="1">IF(History!GT$2="","",#REF!*$C$9)</f>
        <v/>
      </c>
      <c r="GQ9" s="11" t="str">
        <f ca="1">IF(History!GU$2="","",#REF!*$C$9)</f>
        <v/>
      </c>
      <c r="GR9" s="11" t="str">
        <f ca="1">IF(History!GV$2="","",#REF!*$C$9)</f>
        <v/>
      </c>
      <c r="GS9" s="11" t="str">
        <f ca="1">IF(History!GW$2="","",#REF!*$C$9)</f>
        <v/>
      </c>
      <c r="GT9" s="11" t="str">
        <f ca="1">IF(History!GX$2="","",#REF!*$C$9)</f>
        <v/>
      </c>
      <c r="GU9" s="11" t="str">
        <f ca="1">IF(History!GY$2="","",#REF!*$C$9)</f>
        <v/>
      </c>
      <c r="GV9" s="11" t="str">
        <f ca="1">IF(History!GZ$2="","",#REF!*$C$9)</f>
        <v/>
      </c>
      <c r="GW9" s="11" t="str">
        <f ca="1">IF(History!HA$2="","",#REF!*$C$9)</f>
        <v/>
      </c>
      <c r="GX9" s="11" t="str">
        <f ca="1">IF(History!HB$2="","",#REF!*$C$9)</f>
        <v/>
      </c>
      <c r="GY9" s="11" t="str">
        <f ca="1">IF(History!HC$2="","",#REF!*$C$9)</f>
        <v/>
      </c>
      <c r="GZ9" s="11" t="str">
        <f ca="1">IF(History!HD$2="","",#REF!*$C$9)</f>
        <v/>
      </c>
      <c r="HA9" s="11" t="str">
        <f ca="1">IF(History!HE$2="","",#REF!*$C$9)</f>
        <v/>
      </c>
      <c r="HB9" s="11" t="str">
        <f ca="1">IF(History!HF$2="","",#REF!*$C$9)</f>
        <v/>
      </c>
      <c r="HC9" s="11" t="str">
        <f ca="1">IF(History!HG$2="","",#REF!*$C$9)</f>
        <v/>
      </c>
      <c r="HD9" s="11" t="str">
        <f ca="1">IF(History!HH$2="","",#REF!*$C$9)</f>
        <v/>
      </c>
      <c r="HE9" s="11" t="str">
        <f ca="1">IF(History!HI$2="","",#REF!*$C$9)</f>
        <v/>
      </c>
      <c r="HF9" s="11" t="str">
        <f ca="1">IF(History!HJ$2="","",#REF!*$C$9)</f>
        <v/>
      </c>
      <c r="HG9" s="11" t="str">
        <f ca="1">IF(History!HK$2="","",#REF!*$C$9)</f>
        <v/>
      </c>
      <c r="HH9" s="11" t="str">
        <f ca="1">IF(History!HL$2="","",#REF!*$C$9)</f>
        <v/>
      </c>
      <c r="HI9" s="11" t="str">
        <f ca="1">IF(History!HM$2="","",#REF!*$C$9)</f>
        <v/>
      </c>
      <c r="HJ9" s="11" t="str">
        <f ca="1">IF(History!HN$2="","",#REF!*$C$9)</f>
        <v/>
      </c>
      <c r="HK9" s="11" t="str">
        <f ca="1">IF(History!HO$2="","",#REF!*$C$9)</f>
        <v/>
      </c>
      <c r="HL9" s="11" t="str">
        <f ca="1">IF(History!HP$2="","",#REF!*$C$9)</f>
        <v/>
      </c>
      <c r="HM9" s="11" t="str">
        <f ca="1">IF(History!HQ$2="","",#REF!*$C$9)</f>
        <v/>
      </c>
      <c r="HN9" s="11" t="str">
        <f ca="1">IF(History!HR$2="","",#REF!*$C$9)</f>
        <v/>
      </c>
      <c r="HO9" s="11" t="str">
        <f ca="1">IF(History!HS$2="","",#REF!*$C$9)</f>
        <v/>
      </c>
      <c r="HP9" s="11" t="str">
        <f ca="1">IF(History!HT$2="","",#REF!*$C$9)</f>
        <v/>
      </c>
      <c r="HQ9" s="11" t="str">
        <f ca="1">IF(History!HU$2="","",#REF!*$C$9)</f>
        <v/>
      </c>
      <c r="HR9" s="11" t="str">
        <f ca="1">IF(History!HV$2="","",#REF!*$C$9)</f>
        <v/>
      </c>
      <c r="HS9" s="11" t="str">
        <f ca="1">IF(History!HW$2="","",#REF!*$C$9)</f>
        <v/>
      </c>
      <c r="HT9" s="11" t="str">
        <f ca="1">IF(History!HX$2="","",#REF!*$C$9)</f>
        <v/>
      </c>
      <c r="HU9" s="11" t="str">
        <f ca="1">IF(History!HY$2="","",#REF!*$C$9)</f>
        <v/>
      </c>
      <c r="HV9" s="11" t="str">
        <f ca="1">IF(History!HZ$2="","",#REF!*$C$9)</f>
        <v/>
      </c>
      <c r="HW9" s="11" t="str">
        <f ca="1">IF(History!IA$2="","",#REF!*$C$9)</f>
        <v/>
      </c>
      <c r="HX9" s="11" t="str">
        <f ca="1">IF(History!IB$2="","",#REF!*$C$9)</f>
        <v/>
      </c>
      <c r="HY9" s="11" t="str">
        <f ca="1">IF(History!IC$2="","",#REF!*$C$9)</f>
        <v/>
      </c>
      <c r="HZ9" s="11" t="str">
        <f ca="1">IF(History!ID$2="","",#REF!*$C$9)</f>
        <v/>
      </c>
      <c r="IA9" s="11" t="str">
        <f ca="1">IF(History!IE$2="","",#REF!*$C$9)</f>
        <v/>
      </c>
      <c r="IB9" s="11" t="str">
        <f ca="1">IF(History!IF$2="","",#REF!*$C$9)</f>
        <v/>
      </c>
      <c r="IC9" s="11" t="str">
        <f ca="1">IF(History!IG$2="","",#REF!*$C$9)</f>
        <v/>
      </c>
      <c r="ID9" s="11" t="str">
        <f ca="1">IF(History!IH$2="","",#REF!*$C$9)</f>
        <v/>
      </c>
      <c r="IE9" s="11" t="str">
        <f ca="1">IF(History!II$2="","",#REF!*$C$9)</f>
        <v/>
      </c>
      <c r="IF9" s="11" t="str">
        <f ca="1">IF(History!IJ$2="","",#REF!*$C$9)</f>
        <v/>
      </c>
      <c r="IG9" s="11" t="str">
        <f ca="1">IF(History!IK$2="","",#REF!*$C$9)</f>
        <v/>
      </c>
      <c r="IH9" s="11" t="str">
        <f ca="1">IF(History!IL$2="","",#REF!*$C$9)</f>
        <v/>
      </c>
      <c r="II9" s="11" t="str">
        <f ca="1">IF(History!IM$2="","",#REF!*$C$9)</f>
        <v/>
      </c>
      <c r="IJ9" s="11" t="str">
        <f ca="1">IF(History!IN$2="","",#REF!*$C$9)</f>
        <v/>
      </c>
      <c r="IK9" s="11" t="str">
        <f ca="1">IF(History!IO$2="","",#REF!*$C$9)</f>
        <v/>
      </c>
      <c r="IL9" s="11" t="str">
        <f ca="1">IF(History!IP$2="","",#REF!*$C$9)</f>
        <v/>
      </c>
      <c r="IM9" s="11" t="str">
        <f ca="1">IF(History!IQ$2="","",#REF!*$C$9)</f>
        <v/>
      </c>
      <c r="IN9" s="11" t="str">
        <f ca="1">IF(History!IR$2="","",#REF!*$C$9)</f>
        <v/>
      </c>
      <c r="IO9" s="11" t="str">
        <f ca="1">IF(History!IS$2="","",#REF!*$C$9)</f>
        <v/>
      </c>
      <c r="IP9" s="11" t="str">
        <f ca="1">IF(History!IT$2="","",#REF!*$C$9)</f>
        <v/>
      </c>
      <c r="IQ9" s="11" t="str">
        <f ca="1">IF(History!IU$2="","",#REF!*$C$9)</f>
        <v/>
      </c>
      <c r="IR9" s="11" t="str">
        <f ca="1">IF(History!IV$2="","",#REF!*$C$9)</f>
        <v/>
      </c>
      <c r="IS9" s="11" t="str">
        <f ca="1">IF(History!IW$2="","",#REF!*$C$9)</f>
        <v/>
      </c>
      <c r="IT9" s="11" t="str">
        <f ca="1">IF(History!IX$2="","",#REF!*$C$9)</f>
        <v/>
      </c>
      <c r="IU9" s="11" t="str">
        <f ca="1">IF(History!IY$2="","",#REF!*$C$9)</f>
        <v/>
      </c>
      <c r="IV9" s="11" t="str">
        <f ca="1">IF(History!IZ$2="","",#REF!*$C$9)</f>
        <v/>
      </c>
      <c r="IW9" s="11" t="str">
        <f ca="1">IF(History!JA$2="","",#REF!*$C$9)</f>
        <v/>
      </c>
      <c r="IX9" s="11" t="str">
        <f ca="1">IF(History!JB$2="","",#REF!*$C$9)</f>
        <v/>
      </c>
      <c r="IY9" s="11" t="str">
        <f ca="1">IF(History!JC$2="","",#REF!*$C$9)</f>
        <v/>
      </c>
      <c r="IZ9" s="11" t="str">
        <f ca="1">IF(History!JD$2="","",#REF!*$C$9)</f>
        <v/>
      </c>
      <c r="JA9" s="11" t="str">
        <f ca="1">IF(History!JE$2="","",#REF!*$C$9)</f>
        <v/>
      </c>
      <c r="JB9" s="11" t="str">
        <f ca="1">IF(History!JF$2="","",#REF!*$C$9)</f>
        <v/>
      </c>
      <c r="JC9" s="11" t="str">
        <f ca="1">IF(History!JG$2="","",#REF!*$C$9)</f>
        <v/>
      </c>
      <c r="JD9" s="11" t="str">
        <f ca="1">IF(History!JH$2="","",#REF!*$C$9)</f>
        <v/>
      </c>
      <c r="JE9" s="11" t="str">
        <f ca="1">IF(History!JI$2="","",#REF!*$C$9)</f>
        <v/>
      </c>
      <c r="JF9" s="11" t="str">
        <f ca="1">IF(History!JJ$2="","",#REF!*$C$9)</f>
        <v/>
      </c>
      <c r="JG9" s="11" t="str">
        <f ca="1">IF(History!JK$2="","",#REF!*$C$9)</f>
        <v/>
      </c>
      <c r="JH9" s="11" t="str">
        <f ca="1">IF(History!JL$2="","",#REF!*$C$9)</f>
        <v/>
      </c>
      <c r="JI9" s="11" t="str">
        <f ca="1">IF(History!JM$2="","",#REF!*$C$9)</f>
        <v/>
      </c>
      <c r="JJ9" s="11" t="str">
        <f ca="1">IF(History!JN$2="","",#REF!*$C$9)</f>
        <v/>
      </c>
      <c r="JK9" s="11" t="str">
        <f ca="1">IF(History!JO$2="","",#REF!*$C$9)</f>
        <v/>
      </c>
      <c r="JL9" s="11" t="str">
        <f ca="1">IF(History!JP$2="","",#REF!*$C$9)</f>
        <v/>
      </c>
      <c r="JM9" s="11" t="str">
        <f ca="1">IF(History!JQ$2="","",#REF!*$C$9)</f>
        <v/>
      </c>
      <c r="JN9" s="11" t="str">
        <f ca="1">IF(History!JR$2="","",#REF!*$C$9)</f>
        <v/>
      </c>
      <c r="JO9" s="11" t="str">
        <f ca="1">IF(History!JS$2="","",#REF!*$C$9)</f>
        <v/>
      </c>
      <c r="JP9" s="11" t="str">
        <f ca="1">IF(History!JT$2="","",#REF!*$C$9)</f>
        <v/>
      </c>
      <c r="JQ9" s="11" t="str">
        <f ca="1">IF(History!JU$2="","",#REF!*$C$9)</f>
        <v/>
      </c>
      <c r="JR9" s="11" t="str">
        <f ca="1">IF(History!JV$2="","",#REF!*$C$9)</f>
        <v/>
      </c>
      <c r="JS9" s="11" t="str">
        <f ca="1">IF(History!JW$2="","",#REF!*$C$9)</f>
        <v/>
      </c>
      <c r="JT9" s="11" t="str">
        <f ca="1">IF(History!JX$2="","",#REF!*$C$9)</f>
        <v/>
      </c>
      <c r="JU9" s="11" t="str">
        <f ca="1">IF(History!JY$2="","",#REF!*$C$9)</f>
        <v/>
      </c>
      <c r="JV9" s="11" t="str">
        <f ca="1">IF(History!JZ$2="","",#REF!*$C$9)</f>
        <v/>
      </c>
      <c r="JW9" s="11" t="str">
        <f ca="1">IF(History!KA$2="","",#REF!*$C$9)</f>
        <v/>
      </c>
      <c r="JX9" s="11" t="str">
        <f ca="1">IF(History!KB$2="","",#REF!*$C$9)</f>
        <v/>
      </c>
      <c r="JY9" s="11" t="str">
        <f ca="1">IF(History!KC$2="","",#REF!*$C$9)</f>
        <v/>
      </c>
      <c r="JZ9" s="11" t="str">
        <f ca="1">IF(History!KD$2="","",#REF!*$C$9)</f>
        <v/>
      </c>
      <c r="KA9" s="11" t="str">
        <f ca="1">IF(History!KE$2="","",#REF!*$C$9)</f>
        <v/>
      </c>
      <c r="KB9" s="11" t="str">
        <f ca="1">IF(History!KF$2="","",#REF!*$C$9)</f>
        <v/>
      </c>
    </row>
    <row r="10" spans="1:288" ht="15.75" customHeight="1">
      <c r="A10" s="18" t="s">
        <v>132</v>
      </c>
      <c r="B10" s="6" t="s">
        <v>137</v>
      </c>
      <c r="C10" s="26">
        <v>604</v>
      </c>
      <c r="D10" s="11" t="e">
        <f ca="1">IF(History!H$2="","",#REF!*$C$10)</f>
        <v>#REF!</v>
      </c>
      <c r="E10" s="11" t="e">
        <f ca="1">IF(History!I$2="","",#REF!*$C$10)</f>
        <v>#REF!</v>
      </c>
      <c r="F10" s="11" t="e">
        <f ca="1">IF(History!J$2="","",#REF!*$C$10)</f>
        <v>#REF!</v>
      </c>
      <c r="G10" s="11" t="e">
        <f ca="1">IF(History!K$2="","",#REF!*$C$10)</f>
        <v>#REF!</v>
      </c>
      <c r="H10" s="11" t="e">
        <f ca="1">IF(History!L$2="","",#REF!*$C$10)</f>
        <v>#REF!</v>
      </c>
      <c r="I10" s="11" t="e">
        <f ca="1">IF(History!M$2="","",#REF!*$C$10)</f>
        <v>#REF!</v>
      </c>
      <c r="J10" s="11" t="e">
        <f ca="1">IF(History!N$2="","",#REF!*$C$10)</f>
        <v>#REF!</v>
      </c>
      <c r="K10" s="11" t="e">
        <f ca="1">IF(History!O$2="","",#REF!*$C$10)</f>
        <v>#REF!</v>
      </c>
      <c r="L10" s="11" t="e">
        <f ca="1">IF(History!P$2="","",#REF!*$C$10)</f>
        <v>#REF!</v>
      </c>
      <c r="M10" s="11" t="e">
        <f ca="1">IF(History!Q$2="","",#REF!*$C$10)</f>
        <v>#REF!</v>
      </c>
      <c r="N10" s="11" t="e">
        <f ca="1">IF(History!R$2="","",#REF!*$C$10)</f>
        <v>#REF!</v>
      </c>
      <c r="O10" s="11" t="e">
        <f ca="1">IF(History!S$2="","",#REF!*$C$10)</f>
        <v>#REF!</v>
      </c>
      <c r="P10" s="11" t="e">
        <f ca="1">IF(History!T$2="","",#REF!*$C$10)</f>
        <v>#REF!</v>
      </c>
      <c r="Q10" s="11" t="e">
        <f ca="1">IF(History!U$2="","",#REF!*$C$10)</f>
        <v>#REF!</v>
      </c>
      <c r="R10" s="11" t="e">
        <f ca="1">IF(History!V$2="","",#REF!*$C$10)</f>
        <v>#REF!</v>
      </c>
      <c r="S10" s="11" t="e">
        <f ca="1">IF(History!W$2="","",#REF!*$C$10)</f>
        <v>#REF!</v>
      </c>
      <c r="T10" s="11" t="e">
        <f ca="1">IF(History!X$2="","",#REF!*$C$10)</f>
        <v>#REF!</v>
      </c>
      <c r="U10" s="11" t="e">
        <f ca="1">IF(History!Y$2="","",#REF!*$C$10)</f>
        <v>#REF!</v>
      </c>
      <c r="V10" s="11" t="e">
        <f ca="1">IF(History!Z$2="","",#REF!*$C$10)</f>
        <v>#REF!</v>
      </c>
      <c r="W10" s="11" t="e">
        <f ca="1">IF(History!AA$2="","",#REF!*$C$10)</f>
        <v>#REF!</v>
      </c>
      <c r="X10" s="11" t="e">
        <f ca="1">IF(History!AB$2="","",#REF!*$C$10)</f>
        <v>#REF!</v>
      </c>
      <c r="Y10" s="11" t="e">
        <f ca="1">IF(History!AC$2="","",#REF!*$C$10)</f>
        <v>#REF!</v>
      </c>
      <c r="Z10" s="11" t="e">
        <f ca="1">IF(History!AD$2="","",#REF!*$C$10)</f>
        <v>#REF!</v>
      </c>
      <c r="AA10" s="11" t="e">
        <f ca="1">IF(History!AE$2="","",#REF!*$C$10)</f>
        <v>#REF!</v>
      </c>
      <c r="AB10" s="11" t="e">
        <f ca="1">IF(History!AF$2="","",#REF!*$C$10)</f>
        <v>#REF!</v>
      </c>
      <c r="AC10" s="11" t="e">
        <f ca="1">IF(History!AG$2="","",#REF!*$C$10)</f>
        <v>#REF!</v>
      </c>
      <c r="AD10" s="11" t="e">
        <f ca="1">IF(History!AH$2="","",#REF!*$C$10)</f>
        <v>#REF!</v>
      </c>
      <c r="AE10" s="11" t="e">
        <f ca="1">IF(History!AI$2="","",#REF!*$C$10)</f>
        <v>#REF!</v>
      </c>
      <c r="AF10" s="11" t="e">
        <f ca="1">IF(History!AJ$2="","",#REF!*$C$10)</f>
        <v>#REF!</v>
      </c>
      <c r="AG10" s="11" t="e">
        <f ca="1">IF(History!AK$2="","",#REF!*$C$10)</f>
        <v>#REF!</v>
      </c>
      <c r="AH10" s="11" t="e">
        <f ca="1">IF(History!AL$2="","",#REF!*$C$10)</f>
        <v>#REF!</v>
      </c>
      <c r="AI10" s="11" t="e">
        <f ca="1">IF(History!AM$2="","",#REF!*$C$10)</f>
        <v>#REF!</v>
      </c>
      <c r="AJ10" s="11" t="e">
        <f ca="1">IF(History!AN$2="","",#REF!*$C$10)</f>
        <v>#REF!</v>
      </c>
      <c r="AK10" s="11" t="e">
        <f ca="1">IF(History!AO$2="","",#REF!*$C$10)</f>
        <v>#REF!</v>
      </c>
      <c r="AL10" s="11" t="e">
        <f ca="1">IF(History!AP$2="","",#REF!*$C$10)</f>
        <v>#REF!</v>
      </c>
      <c r="AM10" s="11" t="e">
        <f ca="1">IF(History!AQ$2="","",#REF!*$C$10)</f>
        <v>#REF!</v>
      </c>
      <c r="AN10" s="11" t="e">
        <f ca="1">IF(History!AR$2="","",#REF!*$C$10)</f>
        <v>#REF!</v>
      </c>
      <c r="AO10" s="11" t="e">
        <f ca="1">IF(History!AS$2="","",#REF!*$C$10)</f>
        <v>#REF!</v>
      </c>
      <c r="AP10" s="11" t="e">
        <f ca="1">IF(History!AT$2="","",#REF!*$C$10)</f>
        <v>#REF!</v>
      </c>
      <c r="AQ10" s="11" t="e">
        <f ca="1">IF(History!AU$2="","",#REF!*$C$10)</f>
        <v>#REF!</v>
      </c>
      <c r="AR10" s="11" t="e">
        <f ca="1">IF(History!AV$2="","",#REF!*$C$10)</f>
        <v>#REF!</v>
      </c>
      <c r="AS10" s="11" t="e">
        <f ca="1">IF(History!AW$2="","",#REF!*$C$10)</f>
        <v>#REF!</v>
      </c>
      <c r="AT10" s="11" t="e">
        <f ca="1">IF(History!AX$2="","",#REF!*$C$10)</f>
        <v>#REF!</v>
      </c>
      <c r="AU10" s="11" t="e">
        <f ca="1">IF(History!AY$2="","",#REF!*$C$10)</f>
        <v>#REF!</v>
      </c>
      <c r="AV10" s="11" t="e">
        <f ca="1">IF(History!AZ$2="","",#REF!*$C$10)</f>
        <v>#REF!</v>
      </c>
      <c r="AW10" s="11" t="e">
        <f ca="1">IF(History!BA$2="","",#REF!*$C$10)</f>
        <v>#REF!</v>
      </c>
      <c r="AX10" s="11" t="e">
        <f ca="1">IF(History!BB$2="","",#REF!*$C$10)</f>
        <v>#REF!</v>
      </c>
      <c r="AY10" s="11" t="e">
        <f ca="1">IF(History!BC$2="","",#REF!*$C$10)</f>
        <v>#REF!</v>
      </c>
      <c r="AZ10" s="11" t="e">
        <f ca="1">IF(History!BD$2="","",#REF!*$C$10)</f>
        <v>#REF!</v>
      </c>
      <c r="BA10" s="11" t="e">
        <f ca="1">IF(History!BE$2="","",#REF!*$C$10)</f>
        <v>#REF!</v>
      </c>
      <c r="BB10" s="11" t="e">
        <f ca="1">IF(History!BF$2="","",#REF!*$C$10)</f>
        <v>#REF!</v>
      </c>
      <c r="BC10" s="11" t="e">
        <f ca="1">IF(History!BG$2="","",#REF!*$C$10)</f>
        <v>#REF!</v>
      </c>
      <c r="BD10" s="11" t="e">
        <f ca="1">IF(History!BH$2="","",#REF!*$C$10)</f>
        <v>#REF!</v>
      </c>
      <c r="BE10" s="11" t="e">
        <f ca="1">IF(History!BI$2="","",#REF!*$C$10)</f>
        <v>#REF!</v>
      </c>
      <c r="BF10" s="11" t="e">
        <f ca="1">IF(History!BJ$2="","",#REF!*$C$10)</f>
        <v>#REF!</v>
      </c>
      <c r="BG10" s="11" t="e">
        <f ca="1">IF(History!BK$2="","",#REF!*$C$10)</f>
        <v>#REF!</v>
      </c>
      <c r="BH10" s="11" t="e">
        <f ca="1">IF(History!BL$2="","",#REF!*$C$10)</f>
        <v>#REF!</v>
      </c>
      <c r="BI10" s="11" t="e">
        <f ca="1">IF(History!BM$2="","",#REF!*$C$10)</f>
        <v>#REF!</v>
      </c>
      <c r="BJ10" s="11" t="e">
        <f ca="1">IF(History!BN$2="","",#REF!*$C$10)</f>
        <v>#REF!</v>
      </c>
      <c r="BK10" s="11" t="e">
        <f ca="1">IF(History!BO$2="","",#REF!*$C$10)</f>
        <v>#REF!</v>
      </c>
      <c r="BL10" s="11" t="e">
        <f ca="1">IF(History!BP$2="","",#REF!*$C$10)</f>
        <v>#REF!</v>
      </c>
      <c r="BM10" s="11" t="e">
        <f ca="1">IF(History!BQ$2="","",#REF!*$C$10)</f>
        <v>#REF!</v>
      </c>
      <c r="BN10" s="11" t="e">
        <f ca="1">IF(History!BR$2="","",#REF!*$C$10)</f>
        <v>#REF!</v>
      </c>
      <c r="BO10" s="11" t="e">
        <f ca="1">IF(History!BS$2="","",#REF!*$C$10)</f>
        <v>#REF!</v>
      </c>
      <c r="BP10" s="11" t="e">
        <f ca="1">IF(History!BT$2="","",#REF!*$C$10)</f>
        <v>#REF!</v>
      </c>
      <c r="BQ10" s="11" t="e">
        <f ca="1">IF(History!BU$2="","",#REF!*$C$10)</f>
        <v>#REF!</v>
      </c>
      <c r="BR10" s="11" t="e">
        <f ca="1">IF(History!BV$2="","",#REF!*$C$10)</f>
        <v>#REF!</v>
      </c>
      <c r="BS10" s="11" t="e">
        <f ca="1">IF(History!BW$2="","",#REF!*$C$10)</f>
        <v>#REF!</v>
      </c>
      <c r="BT10" s="11" t="e">
        <f ca="1">IF(History!BX$2="","",#REF!*$C$10)</f>
        <v>#REF!</v>
      </c>
      <c r="BU10" s="11" t="e">
        <f ca="1">IF(History!BY$2="","",#REF!*$C$10)</f>
        <v>#REF!</v>
      </c>
      <c r="BV10" s="11" t="e">
        <f ca="1">IF(History!BZ$2="","",#REF!*$C$10)</f>
        <v>#REF!</v>
      </c>
      <c r="BW10" s="11" t="e">
        <f ca="1">IF(History!CA$2="","",#REF!*$C$10)</f>
        <v>#REF!</v>
      </c>
      <c r="BX10" s="11" t="e">
        <f ca="1">IF(History!CB$2="","",#REF!*$C$10)</f>
        <v>#REF!</v>
      </c>
      <c r="BY10" s="11" t="e">
        <f ca="1">IF(History!CC$2="","",#REF!*$C$10)</f>
        <v>#REF!</v>
      </c>
      <c r="BZ10" s="11" t="e">
        <f ca="1">IF(History!CD$2="","",#REF!*$C$10)</f>
        <v>#REF!</v>
      </c>
      <c r="CA10" s="11" t="e">
        <f ca="1">IF(History!CE$2="","",#REF!*$C$10)</f>
        <v>#REF!</v>
      </c>
      <c r="CB10" s="11" t="e">
        <f ca="1">IF(History!CF$2="","",#REF!*$C$10)</f>
        <v>#REF!</v>
      </c>
      <c r="CC10" s="11" t="e">
        <f ca="1">IF(History!CG$2="","",#REF!*$C$10)</f>
        <v>#REF!</v>
      </c>
      <c r="CD10" s="11" t="e">
        <f ca="1">IF(History!CH$2="","",#REF!*$C$10)</f>
        <v>#REF!</v>
      </c>
      <c r="CE10" s="11" t="e">
        <f ca="1">IF(History!CI$2="","",#REF!*$C$10)</f>
        <v>#REF!</v>
      </c>
      <c r="CF10" s="11" t="str">
        <f ca="1">IF(History!CJ$2="","",#REF!*$C$10)</f>
        <v/>
      </c>
      <c r="CG10" s="11" t="str">
        <f ca="1">IF(History!CK$2="","",#REF!*$C$10)</f>
        <v/>
      </c>
      <c r="CH10" s="11" t="str">
        <f ca="1">IF(History!CL$2="","",#REF!*$C$10)</f>
        <v/>
      </c>
      <c r="CI10" s="11" t="str">
        <f ca="1">IF(History!CM$2="","",#REF!*$C$10)</f>
        <v/>
      </c>
      <c r="CJ10" s="11" t="str">
        <f ca="1">IF(History!CN$2="","",#REF!*$C$10)</f>
        <v/>
      </c>
      <c r="CK10" s="11" t="str">
        <f ca="1">IF(History!CO$2="","",#REF!*$C$10)</f>
        <v/>
      </c>
      <c r="CL10" s="11" t="str">
        <f ca="1">IF(History!CP$2="","",#REF!*$C$10)</f>
        <v/>
      </c>
      <c r="CM10" s="11" t="str">
        <f ca="1">IF(History!CQ$2="","",#REF!*$C$10)</f>
        <v/>
      </c>
      <c r="CN10" s="11" t="str">
        <f ca="1">IF(History!CR$2="","",#REF!*$C$10)</f>
        <v/>
      </c>
      <c r="CO10" s="11" t="str">
        <f ca="1">IF(History!CS$2="","",#REF!*$C$10)</f>
        <v/>
      </c>
      <c r="CP10" s="11" t="str">
        <f ca="1">IF(History!CT$2="","",#REF!*$C$10)</f>
        <v/>
      </c>
      <c r="CQ10" s="11" t="str">
        <f ca="1">IF(History!CU$2="","",#REF!*$C$10)</f>
        <v/>
      </c>
      <c r="CR10" s="11" t="str">
        <f ca="1">IF(History!CV$2="","",#REF!*$C$10)</f>
        <v/>
      </c>
      <c r="CS10" s="11" t="str">
        <f ca="1">IF(History!CW$2="","",#REF!*$C$10)</f>
        <v/>
      </c>
      <c r="CT10" s="11" t="str">
        <f ca="1">IF(History!CX$2="","",#REF!*$C$10)</f>
        <v/>
      </c>
      <c r="CU10" s="11" t="str">
        <f ca="1">IF(History!CY$2="","",#REF!*$C$10)</f>
        <v/>
      </c>
      <c r="CV10" s="11" t="str">
        <f ca="1">IF(History!CZ$2="","",#REF!*$C$10)</f>
        <v/>
      </c>
      <c r="CW10" s="11" t="str">
        <f ca="1">IF(History!DA$2="","",#REF!*$C$10)</f>
        <v/>
      </c>
      <c r="CX10" s="11" t="str">
        <f ca="1">IF(History!DB$2="","",#REF!*$C$10)</f>
        <v/>
      </c>
      <c r="CY10" s="11" t="str">
        <f ca="1">IF(History!DC$2="","",#REF!*$C$10)</f>
        <v/>
      </c>
      <c r="CZ10" s="11" t="str">
        <f ca="1">IF(History!DD$2="","",#REF!*$C$10)</f>
        <v/>
      </c>
      <c r="DA10" s="11" t="str">
        <f ca="1">IF(History!DE$2="","",#REF!*$C$10)</f>
        <v/>
      </c>
      <c r="DB10" s="11" t="str">
        <f ca="1">IF(History!DF$2="","",#REF!*$C$10)</f>
        <v/>
      </c>
      <c r="DC10" s="11" t="str">
        <f ca="1">IF(History!DG$2="","",#REF!*$C$10)</f>
        <v/>
      </c>
      <c r="DD10" s="11" t="str">
        <f ca="1">IF(History!DH$2="","",#REF!*$C$10)</f>
        <v/>
      </c>
      <c r="DE10" s="11" t="str">
        <f ca="1">IF(History!DI$2="","",#REF!*$C$10)</f>
        <v/>
      </c>
      <c r="DF10" s="11" t="str">
        <f ca="1">IF(History!DJ$2="","",#REF!*$C$10)</f>
        <v/>
      </c>
      <c r="DG10" s="11" t="str">
        <f ca="1">IF(History!DK$2="","",#REF!*$C$10)</f>
        <v/>
      </c>
      <c r="DH10" s="11" t="str">
        <f ca="1">IF(History!DL$2="","",#REF!*$C$10)</f>
        <v/>
      </c>
      <c r="DI10" s="11" t="str">
        <f ca="1">IF(History!DM$2="","",#REF!*$C$10)</f>
        <v/>
      </c>
      <c r="DJ10" s="11" t="str">
        <f ca="1">IF(History!DN$2="","",#REF!*$C$10)</f>
        <v/>
      </c>
      <c r="DK10" s="11" t="str">
        <f ca="1">IF(History!DO$2="","",#REF!*$C$10)</f>
        <v/>
      </c>
      <c r="DL10" s="11" t="str">
        <f ca="1">IF(History!DP$2="","",#REF!*$C$10)</f>
        <v/>
      </c>
      <c r="DM10" s="11" t="str">
        <f ca="1">IF(History!DQ$2="","",#REF!*$C$10)</f>
        <v/>
      </c>
      <c r="DN10" s="11" t="str">
        <f ca="1">IF(History!DR$2="","",#REF!*$C$10)</f>
        <v/>
      </c>
      <c r="DO10" s="11" t="str">
        <f ca="1">IF(History!DS$2="","",#REF!*$C$10)</f>
        <v/>
      </c>
      <c r="DP10" s="11" t="str">
        <f ca="1">IF(History!DT$2="","",#REF!*$C$10)</f>
        <v/>
      </c>
      <c r="DQ10" s="11" t="str">
        <f ca="1">IF(History!DU$2="","",#REF!*$C$10)</f>
        <v/>
      </c>
      <c r="DR10" s="11" t="str">
        <f ca="1">IF(History!DV$2="","",#REF!*$C$10)</f>
        <v/>
      </c>
      <c r="DS10" s="11" t="str">
        <f ca="1">IF(History!DW$2="","",#REF!*$C$10)</f>
        <v/>
      </c>
      <c r="DT10" s="11" t="str">
        <f ca="1">IF(History!DX$2="","",#REF!*$C$10)</f>
        <v/>
      </c>
      <c r="DU10" s="11" t="str">
        <f ca="1">IF(History!DY$2="","",#REF!*$C$10)</f>
        <v/>
      </c>
      <c r="DV10" s="11" t="str">
        <f ca="1">IF(History!DZ$2="","",#REF!*$C$10)</f>
        <v/>
      </c>
      <c r="DW10" s="11" t="str">
        <f ca="1">IF(History!EA$2="","",#REF!*$C$10)</f>
        <v/>
      </c>
      <c r="DX10" s="11" t="str">
        <f ca="1">IF(History!EB$2="","",#REF!*$C$10)</f>
        <v/>
      </c>
      <c r="DY10" s="11" t="str">
        <f ca="1">IF(History!EC$2="","",#REF!*$C$10)</f>
        <v/>
      </c>
      <c r="DZ10" s="11" t="str">
        <f ca="1">IF(History!ED$2="","",#REF!*$C$10)</f>
        <v/>
      </c>
      <c r="EA10" s="11" t="str">
        <f ca="1">IF(History!EE$2="","",#REF!*$C$10)</f>
        <v/>
      </c>
      <c r="EB10" s="11" t="str">
        <f ca="1">IF(History!EF$2="","",#REF!*$C$10)</f>
        <v/>
      </c>
      <c r="EC10" s="11" t="str">
        <f ca="1">IF(History!EG$2="","",#REF!*$C$10)</f>
        <v/>
      </c>
      <c r="ED10" s="11" t="str">
        <f ca="1">IF(History!EH$2="","",#REF!*$C$10)</f>
        <v/>
      </c>
      <c r="EE10" s="11" t="str">
        <f ca="1">IF(History!EI$2="","",#REF!*$C$10)</f>
        <v/>
      </c>
      <c r="EF10" s="11" t="str">
        <f ca="1">IF(History!EJ$2="","",#REF!*$C$10)</f>
        <v/>
      </c>
      <c r="EG10" s="11" t="str">
        <f ca="1">IF(History!EK$2="","",#REF!*$C$10)</f>
        <v/>
      </c>
      <c r="EH10" s="11" t="str">
        <f ca="1">IF(History!EL$2="","",#REF!*$C$10)</f>
        <v/>
      </c>
      <c r="EI10" s="11" t="str">
        <f ca="1">IF(History!EM$2="","",#REF!*$C$10)</f>
        <v/>
      </c>
      <c r="EJ10" s="11" t="str">
        <f ca="1">IF(History!EN$2="","",#REF!*$C$10)</f>
        <v/>
      </c>
      <c r="EK10" s="11" t="str">
        <f ca="1">IF(History!EO$2="","",#REF!*$C$10)</f>
        <v/>
      </c>
      <c r="EL10" s="11" t="str">
        <f ca="1">IF(History!EP$2="","",#REF!*$C$10)</f>
        <v/>
      </c>
      <c r="EM10" s="11" t="str">
        <f ca="1">IF(History!EQ$2="","",#REF!*$C$10)</f>
        <v/>
      </c>
      <c r="EN10" s="11" t="str">
        <f ca="1">IF(History!ER$2="","",#REF!*$C$10)</f>
        <v/>
      </c>
      <c r="EO10" s="11" t="str">
        <f ca="1">IF(History!ES$2="","",#REF!*$C$10)</f>
        <v/>
      </c>
      <c r="EP10" s="11" t="str">
        <f ca="1">IF(History!ET$2="","",#REF!*$C$10)</f>
        <v/>
      </c>
      <c r="EQ10" s="11" t="str">
        <f ca="1">IF(History!EU$2="","",#REF!*$C$10)</f>
        <v/>
      </c>
      <c r="ER10" s="11" t="str">
        <f ca="1">IF(History!EV$2="","",#REF!*$C$10)</f>
        <v/>
      </c>
      <c r="ES10" s="11" t="str">
        <f ca="1">IF(History!EW$2="","",#REF!*$C$10)</f>
        <v/>
      </c>
      <c r="ET10" s="11" t="str">
        <f ca="1">IF(History!EX$2="","",#REF!*$C$10)</f>
        <v/>
      </c>
      <c r="EU10" s="11" t="str">
        <f ca="1">IF(History!EY$2="","",#REF!*$C$10)</f>
        <v/>
      </c>
      <c r="EV10" s="11" t="str">
        <f ca="1">IF(History!EZ$2="","",#REF!*$C$10)</f>
        <v/>
      </c>
      <c r="EW10" s="11" t="str">
        <f ca="1">IF(History!FA$2="","",#REF!*$C$10)</f>
        <v/>
      </c>
      <c r="EX10" s="11" t="str">
        <f ca="1">IF(History!FB$2="","",#REF!*$C$10)</f>
        <v/>
      </c>
      <c r="EY10" s="11" t="str">
        <f ca="1">IF(History!FC$2="","",#REF!*$C$10)</f>
        <v/>
      </c>
      <c r="EZ10" s="11" t="str">
        <f ca="1">IF(History!FD$2="","",#REF!*$C$10)</f>
        <v/>
      </c>
      <c r="FA10" s="11" t="str">
        <f ca="1">IF(History!FE$2="","",#REF!*$C$10)</f>
        <v/>
      </c>
      <c r="FB10" s="11" t="str">
        <f ca="1">IF(History!FF$2="","",#REF!*$C$10)</f>
        <v/>
      </c>
      <c r="FC10" s="11" t="str">
        <f ca="1">IF(History!FG$2="","",#REF!*$C$10)</f>
        <v/>
      </c>
      <c r="FD10" s="11" t="str">
        <f ca="1">IF(History!FH$2="","",#REF!*$C$10)</f>
        <v/>
      </c>
      <c r="FE10" s="11" t="str">
        <f ca="1">IF(History!FI$2="","",#REF!*$C$10)</f>
        <v/>
      </c>
      <c r="FF10" s="11" t="str">
        <f ca="1">IF(History!FJ$2="","",#REF!*$C$10)</f>
        <v/>
      </c>
      <c r="FG10" s="11" t="str">
        <f ca="1">IF(History!FK$2="","",#REF!*$C$10)</f>
        <v/>
      </c>
      <c r="FH10" s="11" t="str">
        <f ca="1">IF(History!FL$2="","",#REF!*$C$10)</f>
        <v/>
      </c>
      <c r="FI10" s="11" t="str">
        <f ca="1">IF(History!FM$2="","",#REF!*$C$10)</f>
        <v/>
      </c>
      <c r="FJ10" s="11" t="str">
        <f ca="1">IF(History!FN$2="","",#REF!*$C$10)</f>
        <v/>
      </c>
      <c r="FK10" s="11" t="str">
        <f ca="1">IF(History!FO$2="","",#REF!*$C$10)</f>
        <v/>
      </c>
      <c r="FL10" s="11" t="str">
        <f ca="1">IF(History!FP$2="","",#REF!*$C$10)</f>
        <v/>
      </c>
      <c r="FM10" s="11" t="str">
        <f ca="1">IF(History!FQ$2="","",#REF!*$C$10)</f>
        <v/>
      </c>
      <c r="FN10" s="11" t="str">
        <f ca="1">IF(History!FR$2="","",#REF!*$C$10)</f>
        <v/>
      </c>
      <c r="FO10" s="11" t="str">
        <f ca="1">IF(History!FS$2="","",#REF!*$C$10)</f>
        <v/>
      </c>
      <c r="FP10" s="11" t="str">
        <f ca="1">IF(History!FT$2="","",#REF!*$C$10)</f>
        <v/>
      </c>
      <c r="FQ10" s="11" t="str">
        <f ca="1">IF(History!FU$2="","",#REF!*$C$10)</f>
        <v/>
      </c>
      <c r="FR10" s="11" t="str">
        <f ca="1">IF(History!FV$2="","",#REF!*$C$10)</f>
        <v/>
      </c>
      <c r="FS10" s="11" t="str">
        <f ca="1">IF(History!FW$2="","",#REF!*$C$10)</f>
        <v/>
      </c>
      <c r="FT10" s="11" t="str">
        <f ca="1">IF(History!FX$2="","",#REF!*$C$10)</f>
        <v/>
      </c>
      <c r="FU10" s="11" t="str">
        <f ca="1">IF(History!FY$2="","",#REF!*$C$10)</f>
        <v/>
      </c>
      <c r="FV10" s="11" t="str">
        <f ca="1">IF(History!FZ$2="","",#REF!*$C$10)</f>
        <v/>
      </c>
      <c r="FW10" s="11" t="str">
        <f ca="1">IF(History!GA$2="","",#REF!*$C$10)</f>
        <v/>
      </c>
      <c r="FX10" s="11" t="str">
        <f ca="1">IF(History!GB$2="","",#REF!*$C$10)</f>
        <v/>
      </c>
      <c r="FY10" s="11" t="str">
        <f ca="1">IF(History!GC$2="","",#REF!*$C$10)</f>
        <v/>
      </c>
      <c r="FZ10" s="11" t="str">
        <f ca="1">IF(History!GD$2="","",#REF!*$C$10)</f>
        <v/>
      </c>
      <c r="GA10" s="11" t="str">
        <f ca="1">IF(History!GE$2="","",#REF!*$C$10)</f>
        <v/>
      </c>
      <c r="GB10" s="11" t="str">
        <f ca="1">IF(History!GF$2="","",#REF!*$C$10)</f>
        <v/>
      </c>
      <c r="GC10" s="11" t="str">
        <f ca="1">IF(History!GG$2="","",#REF!*$C$10)</f>
        <v/>
      </c>
      <c r="GD10" s="11" t="str">
        <f ca="1">IF(History!GH$2="","",#REF!*$C$10)</f>
        <v/>
      </c>
      <c r="GE10" s="11" t="str">
        <f ca="1">IF(History!GI$2="","",#REF!*$C$10)</f>
        <v/>
      </c>
      <c r="GF10" s="11" t="str">
        <f ca="1">IF(History!GJ$2="","",#REF!*$C$10)</f>
        <v/>
      </c>
      <c r="GG10" s="11" t="str">
        <f ca="1">IF(History!GK$2="","",#REF!*$C$10)</f>
        <v/>
      </c>
      <c r="GH10" s="11" t="str">
        <f ca="1">IF(History!GL$2="","",#REF!*$C$10)</f>
        <v/>
      </c>
      <c r="GI10" s="11" t="str">
        <f ca="1">IF(History!GM$2="","",#REF!*$C$10)</f>
        <v/>
      </c>
      <c r="GJ10" s="11" t="str">
        <f ca="1">IF(History!GN$2="","",#REF!*$C$10)</f>
        <v/>
      </c>
      <c r="GK10" s="11" t="str">
        <f ca="1">IF(History!GO$2="","",#REF!*$C$10)</f>
        <v/>
      </c>
      <c r="GL10" s="11" t="str">
        <f ca="1">IF(History!GP$2="","",#REF!*$C$10)</f>
        <v/>
      </c>
      <c r="GM10" s="11" t="str">
        <f ca="1">IF(History!GQ$2="","",#REF!*$C$10)</f>
        <v/>
      </c>
      <c r="GN10" s="11" t="str">
        <f ca="1">IF(History!GR$2="","",#REF!*$C$10)</f>
        <v/>
      </c>
      <c r="GO10" s="11" t="str">
        <f ca="1">IF(History!GS$2="","",#REF!*$C$10)</f>
        <v/>
      </c>
      <c r="GP10" s="11" t="str">
        <f ca="1">IF(History!GT$2="","",#REF!*$C$10)</f>
        <v/>
      </c>
      <c r="GQ10" s="11" t="str">
        <f ca="1">IF(History!GU$2="","",#REF!*$C$10)</f>
        <v/>
      </c>
      <c r="GR10" s="11" t="str">
        <f ca="1">IF(History!GV$2="","",#REF!*$C$10)</f>
        <v/>
      </c>
      <c r="GS10" s="11" t="str">
        <f ca="1">IF(History!GW$2="","",#REF!*$C$10)</f>
        <v/>
      </c>
      <c r="GT10" s="11" t="str">
        <f ca="1">IF(History!GX$2="","",#REF!*$C$10)</f>
        <v/>
      </c>
      <c r="GU10" s="11" t="str">
        <f ca="1">IF(History!GY$2="","",#REF!*$C$10)</f>
        <v/>
      </c>
      <c r="GV10" s="11" t="str">
        <f ca="1">IF(History!GZ$2="","",#REF!*$C$10)</f>
        <v/>
      </c>
      <c r="GW10" s="11" t="str">
        <f ca="1">IF(History!HA$2="","",#REF!*$C$10)</f>
        <v/>
      </c>
      <c r="GX10" s="11" t="str">
        <f ca="1">IF(History!HB$2="","",#REF!*$C$10)</f>
        <v/>
      </c>
      <c r="GY10" s="11" t="str">
        <f ca="1">IF(History!HC$2="","",#REF!*$C$10)</f>
        <v/>
      </c>
      <c r="GZ10" s="11" t="str">
        <f ca="1">IF(History!HD$2="","",#REF!*$C$10)</f>
        <v/>
      </c>
      <c r="HA10" s="11" t="str">
        <f ca="1">IF(History!HE$2="","",#REF!*$C$10)</f>
        <v/>
      </c>
      <c r="HB10" s="11" t="str">
        <f ca="1">IF(History!HF$2="","",#REF!*$C$10)</f>
        <v/>
      </c>
      <c r="HC10" s="11" t="str">
        <f ca="1">IF(History!HG$2="","",#REF!*$C$10)</f>
        <v/>
      </c>
      <c r="HD10" s="11" t="str">
        <f ca="1">IF(History!HH$2="","",#REF!*$C$10)</f>
        <v/>
      </c>
      <c r="HE10" s="11" t="str">
        <f ca="1">IF(History!HI$2="","",#REF!*$C$10)</f>
        <v/>
      </c>
      <c r="HF10" s="11" t="str">
        <f ca="1">IF(History!HJ$2="","",#REF!*$C$10)</f>
        <v/>
      </c>
      <c r="HG10" s="11" t="str">
        <f ca="1">IF(History!HK$2="","",#REF!*$C$10)</f>
        <v/>
      </c>
      <c r="HH10" s="11" t="str">
        <f ca="1">IF(History!HL$2="","",#REF!*$C$10)</f>
        <v/>
      </c>
      <c r="HI10" s="11" t="str">
        <f ca="1">IF(History!HM$2="","",#REF!*$C$10)</f>
        <v/>
      </c>
      <c r="HJ10" s="11" t="str">
        <f ca="1">IF(History!HN$2="","",#REF!*$C$10)</f>
        <v/>
      </c>
      <c r="HK10" s="11" t="str">
        <f ca="1">IF(History!HO$2="","",#REF!*$C$10)</f>
        <v/>
      </c>
      <c r="HL10" s="11" t="str">
        <f ca="1">IF(History!HP$2="","",#REF!*$C$10)</f>
        <v/>
      </c>
      <c r="HM10" s="11" t="str">
        <f ca="1">IF(History!HQ$2="","",#REF!*$C$10)</f>
        <v/>
      </c>
      <c r="HN10" s="11" t="str">
        <f ca="1">IF(History!HR$2="","",#REF!*$C$10)</f>
        <v/>
      </c>
      <c r="HO10" s="11" t="str">
        <f ca="1">IF(History!HS$2="","",#REF!*$C$10)</f>
        <v/>
      </c>
      <c r="HP10" s="11" t="str">
        <f ca="1">IF(History!HT$2="","",#REF!*$C$10)</f>
        <v/>
      </c>
      <c r="HQ10" s="11" t="str">
        <f ca="1">IF(History!HU$2="","",#REF!*$C$10)</f>
        <v/>
      </c>
      <c r="HR10" s="11" t="str">
        <f ca="1">IF(History!HV$2="","",#REF!*$C$10)</f>
        <v/>
      </c>
      <c r="HS10" s="11" t="str">
        <f ca="1">IF(History!HW$2="","",#REF!*$C$10)</f>
        <v/>
      </c>
      <c r="HT10" s="11" t="str">
        <f ca="1">IF(History!HX$2="","",#REF!*$C$10)</f>
        <v/>
      </c>
      <c r="HU10" s="11" t="str">
        <f ca="1">IF(History!HY$2="","",#REF!*$C$10)</f>
        <v/>
      </c>
      <c r="HV10" s="11" t="str">
        <f ca="1">IF(History!HZ$2="","",#REF!*$C$10)</f>
        <v/>
      </c>
      <c r="HW10" s="11" t="str">
        <f ca="1">IF(History!IA$2="","",#REF!*$C$10)</f>
        <v/>
      </c>
      <c r="HX10" s="11" t="str">
        <f ca="1">IF(History!IB$2="","",#REF!*$C$10)</f>
        <v/>
      </c>
      <c r="HY10" s="11" t="str">
        <f ca="1">IF(History!IC$2="","",#REF!*$C$10)</f>
        <v/>
      </c>
      <c r="HZ10" s="11" t="str">
        <f ca="1">IF(History!ID$2="","",#REF!*$C$10)</f>
        <v/>
      </c>
      <c r="IA10" s="11" t="str">
        <f ca="1">IF(History!IE$2="","",#REF!*$C$10)</f>
        <v/>
      </c>
      <c r="IB10" s="11" t="str">
        <f ca="1">IF(History!IF$2="","",#REF!*$C$10)</f>
        <v/>
      </c>
      <c r="IC10" s="11" t="str">
        <f ca="1">IF(History!IG$2="","",#REF!*$C$10)</f>
        <v/>
      </c>
      <c r="ID10" s="11" t="str">
        <f ca="1">IF(History!IH$2="","",#REF!*$C$10)</f>
        <v/>
      </c>
      <c r="IE10" s="11" t="str">
        <f ca="1">IF(History!II$2="","",#REF!*$C$10)</f>
        <v/>
      </c>
      <c r="IF10" s="11" t="str">
        <f ca="1">IF(History!IJ$2="","",#REF!*$C$10)</f>
        <v/>
      </c>
      <c r="IG10" s="11" t="str">
        <f ca="1">IF(History!IK$2="","",#REF!*$C$10)</f>
        <v/>
      </c>
      <c r="IH10" s="11" t="str">
        <f ca="1">IF(History!IL$2="","",#REF!*$C$10)</f>
        <v/>
      </c>
      <c r="II10" s="11" t="str">
        <f ca="1">IF(History!IM$2="","",#REF!*$C$10)</f>
        <v/>
      </c>
      <c r="IJ10" s="11" t="str">
        <f ca="1">IF(History!IN$2="","",#REF!*$C$10)</f>
        <v/>
      </c>
      <c r="IK10" s="11" t="str">
        <f ca="1">IF(History!IO$2="","",#REF!*$C$10)</f>
        <v/>
      </c>
      <c r="IL10" s="11" t="str">
        <f ca="1">IF(History!IP$2="","",#REF!*$C$10)</f>
        <v/>
      </c>
      <c r="IM10" s="11" t="str">
        <f ca="1">IF(History!IQ$2="","",#REF!*$C$10)</f>
        <v/>
      </c>
      <c r="IN10" s="11" t="str">
        <f ca="1">IF(History!IR$2="","",#REF!*$C$10)</f>
        <v/>
      </c>
      <c r="IO10" s="11" t="str">
        <f ca="1">IF(History!IS$2="","",#REF!*$C$10)</f>
        <v/>
      </c>
      <c r="IP10" s="11" t="str">
        <f ca="1">IF(History!IT$2="","",#REF!*$C$10)</f>
        <v/>
      </c>
      <c r="IQ10" s="11" t="str">
        <f ca="1">IF(History!IU$2="","",#REF!*$C$10)</f>
        <v/>
      </c>
      <c r="IR10" s="11" t="str">
        <f ca="1">IF(History!IV$2="","",#REF!*$C$10)</f>
        <v/>
      </c>
      <c r="IS10" s="11" t="str">
        <f ca="1">IF(History!IW$2="","",#REF!*$C$10)</f>
        <v/>
      </c>
      <c r="IT10" s="11" t="str">
        <f ca="1">IF(History!IX$2="","",#REF!*$C$10)</f>
        <v/>
      </c>
      <c r="IU10" s="11" t="str">
        <f ca="1">IF(History!IY$2="","",#REF!*$C$10)</f>
        <v/>
      </c>
      <c r="IV10" s="11" t="str">
        <f ca="1">IF(History!IZ$2="","",#REF!*$C$10)</f>
        <v/>
      </c>
      <c r="IW10" s="11" t="str">
        <f ca="1">IF(History!JA$2="","",#REF!*$C$10)</f>
        <v/>
      </c>
      <c r="IX10" s="11" t="str">
        <f ca="1">IF(History!JB$2="","",#REF!*$C$10)</f>
        <v/>
      </c>
      <c r="IY10" s="11" t="str">
        <f ca="1">IF(History!JC$2="","",#REF!*$C$10)</f>
        <v/>
      </c>
      <c r="IZ10" s="11" t="str">
        <f ca="1">IF(History!JD$2="","",#REF!*$C$10)</f>
        <v/>
      </c>
      <c r="JA10" s="11" t="str">
        <f ca="1">IF(History!JE$2="","",#REF!*$C$10)</f>
        <v/>
      </c>
      <c r="JB10" s="11" t="str">
        <f ca="1">IF(History!JF$2="","",#REF!*$C$10)</f>
        <v/>
      </c>
      <c r="JC10" s="11" t="str">
        <f ca="1">IF(History!JG$2="","",#REF!*$C$10)</f>
        <v/>
      </c>
      <c r="JD10" s="11" t="str">
        <f ca="1">IF(History!JH$2="","",#REF!*$C$10)</f>
        <v/>
      </c>
      <c r="JE10" s="11" t="str">
        <f ca="1">IF(History!JI$2="","",#REF!*$C$10)</f>
        <v/>
      </c>
      <c r="JF10" s="11" t="str">
        <f ca="1">IF(History!JJ$2="","",#REF!*$C$10)</f>
        <v/>
      </c>
      <c r="JG10" s="11" t="str">
        <f ca="1">IF(History!JK$2="","",#REF!*$C$10)</f>
        <v/>
      </c>
      <c r="JH10" s="11" t="str">
        <f ca="1">IF(History!JL$2="","",#REF!*$C$10)</f>
        <v/>
      </c>
      <c r="JI10" s="11" t="str">
        <f ca="1">IF(History!JM$2="","",#REF!*$C$10)</f>
        <v/>
      </c>
      <c r="JJ10" s="11" t="str">
        <f ca="1">IF(History!JN$2="","",#REF!*$C$10)</f>
        <v/>
      </c>
      <c r="JK10" s="11" t="str">
        <f ca="1">IF(History!JO$2="","",#REF!*$C$10)</f>
        <v/>
      </c>
      <c r="JL10" s="11" t="str">
        <f ca="1">IF(History!JP$2="","",#REF!*$C$10)</f>
        <v/>
      </c>
      <c r="JM10" s="11" t="str">
        <f ca="1">IF(History!JQ$2="","",#REF!*$C$10)</f>
        <v/>
      </c>
      <c r="JN10" s="11" t="str">
        <f ca="1">IF(History!JR$2="","",#REF!*$C$10)</f>
        <v/>
      </c>
      <c r="JO10" s="11" t="str">
        <f ca="1">IF(History!JS$2="","",#REF!*$C$10)</f>
        <v/>
      </c>
      <c r="JP10" s="11" t="str">
        <f ca="1">IF(History!JT$2="","",#REF!*$C$10)</f>
        <v/>
      </c>
      <c r="JQ10" s="11" t="str">
        <f ca="1">IF(History!JU$2="","",#REF!*$C$10)</f>
        <v/>
      </c>
      <c r="JR10" s="11" t="str">
        <f ca="1">IF(History!JV$2="","",#REF!*$C$10)</f>
        <v/>
      </c>
      <c r="JS10" s="11" t="str">
        <f ca="1">IF(History!JW$2="","",#REF!*$C$10)</f>
        <v/>
      </c>
      <c r="JT10" s="11" t="str">
        <f ca="1">IF(History!JX$2="","",#REF!*$C$10)</f>
        <v/>
      </c>
      <c r="JU10" s="11" t="str">
        <f ca="1">IF(History!JY$2="","",#REF!*$C$10)</f>
        <v/>
      </c>
      <c r="JV10" s="11" t="str">
        <f ca="1">IF(History!JZ$2="","",#REF!*$C$10)</f>
        <v/>
      </c>
      <c r="JW10" s="11" t="str">
        <f ca="1">IF(History!KA$2="","",#REF!*$C$10)</f>
        <v/>
      </c>
      <c r="JX10" s="11" t="str">
        <f ca="1">IF(History!KB$2="","",#REF!*$C$10)</f>
        <v/>
      </c>
      <c r="JY10" s="11" t="str">
        <f ca="1">IF(History!KC$2="","",#REF!*$C$10)</f>
        <v/>
      </c>
      <c r="JZ10" s="11" t="str">
        <f ca="1">IF(History!KD$2="","",#REF!*$C$10)</f>
        <v/>
      </c>
      <c r="KA10" s="11" t="str">
        <f ca="1">IF(History!KE$2="","",#REF!*$C$10)</f>
        <v/>
      </c>
      <c r="KB10" s="11" t="str">
        <f ca="1">IF(History!KF$2="","",#REF!*$C$10)</f>
        <v/>
      </c>
    </row>
    <row r="11" spans="1:288" ht="15.75" customHeight="1">
      <c r="A11" s="18" t="s">
        <v>132</v>
      </c>
      <c r="B11" s="6" t="s">
        <v>28</v>
      </c>
      <c r="C11" s="26">
        <v>226</v>
      </c>
      <c r="D11" s="11" t="e">
        <f ca="1">IF(History!H$2="","",#REF!*$C$11)</f>
        <v>#REF!</v>
      </c>
      <c r="E11" s="11" t="e">
        <f ca="1">IF(History!I$2="","",#REF!*$C$11)</f>
        <v>#REF!</v>
      </c>
      <c r="F11" s="11" t="e">
        <f ca="1">IF(History!J$2="","",#REF!*$C$11)</f>
        <v>#REF!</v>
      </c>
      <c r="G11" s="11" t="e">
        <f ca="1">IF(History!K$2="","",#REF!*$C$11)</f>
        <v>#REF!</v>
      </c>
      <c r="H11" s="11" t="e">
        <f ca="1">IF(History!L$2="","",#REF!*$C$11)</f>
        <v>#REF!</v>
      </c>
      <c r="I11" s="11" t="e">
        <f ca="1">IF(History!M$2="","",#REF!*$C$11)</f>
        <v>#REF!</v>
      </c>
      <c r="J11" s="11" t="e">
        <f ca="1">IF(History!N$2="","",#REF!*$C$11)</f>
        <v>#REF!</v>
      </c>
      <c r="K11" s="11" t="e">
        <f ca="1">IF(History!O$2="","",#REF!*$C$11)</f>
        <v>#REF!</v>
      </c>
      <c r="L11" s="11" t="e">
        <f ca="1">IF(History!P$2="","",#REF!*$C$11)</f>
        <v>#REF!</v>
      </c>
      <c r="M11" s="11" t="e">
        <f ca="1">IF(History!Q$2="","",#REF!*$C$11)</f>
        <v>#REF!</v>
      </c>
      <c r="N11" s="11" t="e">
        <f ca="1">IF(History!R$2="","",#REF!*$C$11)</f>
        <v>#REF!</v>
      </c>
      <c r="O11" s="11" t="e">
        <f ca="1">IF(History!S$2="","",#REF!*$C$11)</f>
        <v>#REF!</v>
      </c>
      <c r="P11" s="11" t="e">
        <f ca="1">IF(History!T$2="","",#REF!*$C$11)</f>
        <v>#REF!</v>
      </c>
      <c r="Q11" s="11" t="e">
        <f ca="1">IF(History!U$2="","",#REF!*$C$11)</f>
        <v>#REF!</v>
      </c>
      <c r="R11" s="11" t="e">
        <f ca="1">IF(History!V$2="","",#REF!*$C$11)</f>
        <v>#REF!</v>
      </c>
      <c r="S11" s="11" t="e">
        <f ca="1">IF(History!W$2="","",#REF!*$C$11)</f>
        <v>#REF!</v>
      </c>
      <c r="T11" s="11" t="e">
        <f ca="1">IF(History!X$2="","",#REF!*$C$11)</f>
        <v>#REF!</v>
      </c>
      <c r="U11" s="11" t="e">
        <f ca="1">IF(History!Y$2="","",#REF!*$C$11)</f>
        <v>#REF!</v>
      </c>
      <c r="V11" s="11" t="e">
        <f ca="1">IF(History!Z$2="","",#REF!*$C$11)</f>
        <v>#REF!</v>
      </c>
      <c r="W11" s="11" t="e">
        <f ca="1">IF(History!AA$2="","",#REF!*$C$11)</f>
        <v>#REF!</v>
      </c>
      <c r="X11" s="11" t="e">
        <f ca="1">IF(History!AB$2="","",#REF!*$C$11)</f>
        <v>#REF!</v>
      </c>
      <c r="Y11" s="11" t="e">
        <f ca="1">IF(History!AC$2="","",#REF!*$C$11)</f>
        <v>#REF!</v>
      </c>
      <c r="Z11" s="11" t="e">
        <f ca="1">IF(History!AD$2="","",#REF!*$C$11)</f>
        <v>#REF!</v>
      </c>
      <c r="AA11" s="11" t="e">
        <f ca="1">IF(History!AE$2="","",#REF!*$C$11)</f>
        <v>#REF!</v>
      </c>
      <c r="AB11" s="11" t="e">
        <f ca="1">IF(History!AF$2="","",#REF!*$C$11)</f>
        <v>#REF!</v>
      </c>
      <c r="AC11" s="11" t="e">
        <f ca="1">IF(History!AG$2="","",#REF!*$C$11)</f>
        <v>#REF!</v>
      </c>
      <c r="AD11" s="11" t="e">
        <f ca="1">IF(History!AH$2="","",#REF!*$C$11)</f>
        <v>#REF!</v>
      </c>
      <c r="AE11" s="11" t="e">
        <f ca="1">IF(History!AI$2="","",#REF!*$C$11)</f>
        <v>#REF!</v>
      </c>
      <c r="AF11" s="11" t="e">
        <f ca="1">IF(History!AJ$2="","",#REF!*$C$11)</f>
        <v>#REF!</v>
      </c>
      <c r="AG11" s="11" t="e">
        <f ca="1">IF(History!AK$2="","",#REF!*$C$11)</f>
        <v>#REF!</v>
      </c>
      <c r="AH11" s="11" t="e">
        <f ca="1">IF(History!AL$2="","",#REF!*$C$11)</f>
        <v>#REF!</v>
      </c>
      <c r="AI11" s="11" t="e">
        <f ca="1">IF(History!AM$2="","",#REF!*$C$11)</f>
        <v>#REF!</v>
      </c>
      <c r="AJ11" s="11" t="e">
        <f ca="1">IF(History!AN$2="","",#REF!*$C$11)</f>
        <v>#REF!</v>
      </c>
      <c r="AK11" s="11" t="e">
        <f ca="1">IF(History!AO$2="","",#REF!*$C$11)</f>
        <v>#REF!</v>
      </c>
      <c r="AL11" s="11" t="e">
        <f ca="1">IF(History!AP$2="","",#REF!*$C$11)</f>
        <v>#REF!</v>
      </c>
      <c r="AM11" s="11" t="e">
        <f ca="1">IF(History!AQ$2="","",#REF!*$C$11)</f>
        <v>#REF!</v>
      </c>
      <c r="AN11" s="11" t="e">
        <f ca="1">IF(History!AR$2="","",#REF!*$C$11)</f>
        <v>#REF!</v>
      </c>
      <c r="AO11" s="11" t="e">
        <f ca="1">IF(History!AS$2="","",#REF!*$C$11)</f>
        <v>#REF!</v>
      </c>
      <c r="AP11" s="11" t="e">
        <f ca="1">IF(History!AT$2="","",#REF!*$C$11)</f>
        <v>#REF!</v>
      </c>
      <c r="AQ11" s="11" t="e">
        <f ca="1">IF(History!AU$2="","",#REF!*$C$11)</f>
        <v>#REF!</v>
      </c>
      <c r="AR11" s="11" t="e">
        <f ca="1">IF(History!AV$2="","",#REF!*$C$11)</f>
        <v>#REF!</v>
      </c>
      <c r="AS11" s="11" t="e">
        <f ca="1">IF(History!AW$2="","",#REF!*$C$11)</f>
        <v>#REF!</v>
      </c>
      <c r="AT11" s="11" t="e">
        <f ca="1">IF(History!AX$2="","",#REF!*$C$11)</f>
        <v>#REF!</v>
      </c>
      <c r="AU11" s="11" t="e">
        <f ca="1">IF(History!AY$2="","",#REF!*$C$11)</f>
        <v>#REF!</v>
      </c>
      <c r="AV11" s="11" t="e">
        <f ca="1">IF(History!AZ$2="","",#REF!*$C$11)</f>
        <v>#REF!</v>
      </c>
      <c r="AW11" s="11" t="e">
        <f ca="1">IF(History!BA$2="","",#REF!*$C$11)</f>
        <v>#REF!</v>
      </c>
      <c r="AX11" s="11" t="e">
        <f ca="1">IF(History!BB$2="","",#REF!*$C$11)</f>
        <v>#REF!</v>
      </c>
      <c r="AY11" s="11" t="e">
        <f ca="1">IF(History!BC$2="","",#REF!*$C$11)</f>
        <v>#REF!</v>
      </c>
      <c r="AZ11" s="11" t="e">
        <f ca="1">IF(History!BD$2="","",#REF!*$C$11)</f>
        <v>#REF!</v>
      </c>
      <c r="BA11" s="11" t="e">
        <f ca="1">IF(History!BE$2="","",#REF!*$C$11)</f>
        <v>#REF!</v>
      </c>
      <c r="BB11" s="11" t="e">
        <f ca="1">IF(History!BF$2="","",#REF!*$C$11)</f>
        <v>#REF!</v>
      </c>
      <c r="BC11" s="11" t="e">
        <f ca="1">IF(History!BG$2="","",#REF!*$C$11)</f>
        <v>#REF!</v>
      </c>
      <c r="BD11" s="11" t="e">
        <f ca="1">IF(History!BH$2="","",#REF!*$C$11)</f>
        <v>#REF!</v>
      </c>
      <c r="BE11" s="11" t="e">
        <f ca="1">IF(History!BI$2="","",#REF!*$C$11)</f>
        <v>#REF!</v>
      </c>
      <c r="BF11" s="11" t="e">
        <f ca="1">IF(History!BJ$2="","",#REF!*$C$11)</f>
        <v>#REF!</v>
      </c>
      <c r="BG11" s="11" t="e">
        <f ca="1">IF(History!BK$2="","",#REF!*$C$11)</f>
        <v>#REF!</v>
      </c>
      <c r="BH11" s="11" t="e">
        <f ca="1">IF(History!BL$2="","",#REF!*$C$11)</f>
        <v>#REF!</v>
      </c>
      <c r="BI11" s="11" t="e">
        <f ca="1">IF(History!BM$2="","",#REF!*$C$11)</f>
        <v>#REF!</v>
      </c>
      <c r="BJ11" s="11" t="e">
        <f ca="1">IF(History!BN$2="","",#REF!*$C$11)</f>
        <v>#REF!</v>
      </c>
      <c r="BK11" s="11" t="e">
        <f ca="1">IF(History!BO$2="","",#REF!*$C$11)</f>
        <v>#REF!</v>
      </c>
      <c r="BL11" s="11" t="e">
        <f ca="1">IF(History!BP$2="","",#REF!*$C$11)</f>
        <v>#REF!</v>
      </c>
      <c r="BM11" s="11" t="e">
        <f ca="1">IF(History!BQ$2="","",#REF!*$C$11)</f>
        <v>#REF!</v>
      </c>
      <c r="BN11" s="11" t="e">
        <f ca="1">IF(History!BR$2="","",#REF!*$C$11)</f>
        <v>#REF!</v>
      </c>
      <c r="BO11" s="11" t="e">
        <f ca="1">IF(History!BS$2="","",#REF!*$C$11)</f>
        <v>#REF!</v>
      </c>
      <c r="BP11" s="11" t="e">
        <f ca="1">IF(History!BT$2="","",#REF!*$C$11)</f>
        <v>#REF!</v>
      </c>
      <c r="BQ11" s="11" t="e">
        <f ca="1">IF(History!BU$2="","",#REF!*$C$11)</f>
        <v>#REF!</v>
      </c>
      <c r="BR11" s="11" t="e">
        <f ca="1">IF(History!BV$2="","",#REF!*$C$11)</f>
        <v>#REF!</v>
      </c>
      <c r="BS11" s="11" t="e">
        <f ca="1">IF(History!BW$2="","",#REF!*$C$11)</f>
        <v>#REF!</v>
      </c>
      <c r="BT11" s="11" t="e">
        <f ca="1">IF(History!BX$2="","",#REF!*$C$11)</f>
        <v>#REF!</v>
      </c>
      <c r="BU11" s="11" t="e">
        <f ca="1">IF(History!BY$2="","",#REF!*$C$11)</f>
        <v>#REF!</v>
      </c>
      <c r="BV11" s="11" t="e">
        <f ca="1">IF(History!BZ$2="","",#REF!*$C$11)</f>
        <v>#REF!</v>
      </c>
      <c r="BW11" s="11" t="e">
        <f ca="1">IF(History!CA$2="","",#REF!*$C$11)</f>
        <v>#REF!</v>
      </c>
      <c r="BX11" s="11" t="e">
        <f ca="1">IF(History!CB$2="","",#REF!*$C$11)</f>
        <v>#REF!</v>
      </c>
      <c r="BY11" s="11" t="e">
        <f ca="1">IF(History!CC$2="","",#REF!*$C$11)</f>
        <v>#REF!</v>
      </c>
      <c r="BZ11" s="11" t="e">
        <f ca="1">IF(History!CD$2="","",#REF!*$C$11)</f>
        <v>#REF!</v>
      </c>
      <c r="CA11" s="11" t="e">
        <f ca="1">IF(History!CE$2="","",#REF!*$C$11)</f>
        <v>#REF!</v>
      </c>
      <c r="CB11" s="11" t="e">
        <f ca="1">IF(History!CF$2="","",#REF!*$C$11)</f>
        <v>#REF!</v>
      </c>
      <c r="CC11" s="11" t="e">
        <f ca="1">IF(History!CG$2="","",#REF!*$C$11)</f>
        <v>#REF!</v>
      </c>
      <c r="CD11" s="11" t="e">
        <f ca="1">IF(History!CH$2="","",#REF!*$C$11)</f>
        <v>#REF!</v>
      </c>
      <c r="CE11" s="11" t="e">
        <f ca="1">IF(History!CI$2="","",#REF!*$C$11)</f>
        <v>#REF!</v>
      </c>
      <c r="CF11" s="11" t="str">
        <f ca="1">IF(History!CJ$2="","",#REF!*$C$11)</f>
        <v/>
      </c>
      <c r="CG11" s="11" t="str">
        <f ca="1">IF(History!CK$2="","",#REF!*$C$11)</f>
        <v/>
      </c>
      <c r="CH11" s="11" t="str">
        <f ca="1">IF(History!CL$2="","",#REF!*$C$11)</f>
        <v/>
      </c>
      <c r="CI11" s="11" t="str">
        <f ca="1">IF(History!CM$2="","",#REF!*$C$11)</f>
        <v/>
      </c>
      <c r="CJ11" s="11" t="str">
        <f ca="1">IF(History!CN$2="","",#REF!*$C$11)</f>
        <v/>
      </c>
      <c r="CK11" s="11" t="str">
        <f ca="1">IF(History!CO$2="","",#REF!*$C$11)</f>
        <v/>
      </c>
      <c r="CL11" s="11" t="str">
        <f ca="1">IF(History!CP$2="","",#REF!*$C$11)</f>
        <v/>
      </c>
      <c r="CM11" s="11" t="str">
        <f ca="1">IF(History!CQ$2="","",#REF!*$C$11)</f>
        <v/>
      </c>
      <c r="CN11" s="11" t="str">
        <f ca="1">IF(History!CR$2="","",#REF!*$C$11)</f>
        <v/>
      </c>
      <c r="CO11" s="11" t="str">
        <f ca="1">IF(History!CS$2="","",#REF!*$C$11)</f>
        <v/>
      </c>
      <c r="CP11" s="11" t="str">
        <f ca="1">IF(History!CT$2="","",#REF!*$C$11)</f>
        <v/>
      </c>
      <c r="CQ11" s="11" t="str">
        <f ca="1">IF(History!CU$2="","",#REF!*$C$11)</f>
        <v/>
      </c>
      <c r="CR11" s="11" t="str">
        <f ca="1">IF(History!CV$2="","",#REF!*$C$11)</f>
        <v/>
      </c>
      <c r="CS11" s="11" t="str">
        <f ca="1">IF(History!CW$2="","",#REF!*$C$11)</f>
        <v/>
      </c>
      <c r="CT11" s="11" t="str">
        <f ca="1">IF(History!CX$2="","",#REF!*$C$11)</f>
        <v/>
      </c>
      <c r="CU11" s="11" t="str">
        <f ca="1">IF(History!CY$2="","",#REF!*$C$11)</f>
        <v/>
      </c>
      <c r="CV11" s="11" t="str">
        <f ca="1">IF(History!CZ$2="","",#REF!*$C$11)</f>
        <v/>
      </c>
      <c r="CW11" s="11" t="str">
        <f ca="1">IF(History!DA$2="","",#REF!*$C$11)</f>
        <v/>
      </c>
      <c r="CX11" s="11" t="str">
        <f ca="1">IF(History!DB$2="","",#REF!*$C$11)</f>
        <v/>
      </c>
      <c r="CY11" s="11" t="str">
        <f ca="1">IF(History!DC$2="","",#REF!*$C$11)</f>
        <v/>
      </c>
      <c r="CZ11" s="11" t="str">
        <f ca="1">IF(History!DD$2="","",#REF!*$C$11)</f>
        <v/>
      </c>
      <c r="DA11" s="11" t="str">
        <f ca="1">IF(History!DE$2="","",#REF!*$C$11)</f>
        <v/>
      </c>
      <c r="DB11" s="11" t="str">
        <f ca="1">IF(History!DF$2="","",#REF!*$C$11)</f>
        <v/>
      </c>
      <c r="DC11" s="11" t="str">
        <f ca="1">IF(History!DG$2="","",#REF!*$C$11)</f>
        <v/>
      </c>
      <c r="DD11" s="11" t="str">
        <f ca="1">IF(History!DH$2="","",#REF!*$C$11)</f>
        <v/>
      </c>
      <c r="DE11" s="11" t="str">
        <f ca="1">IF(History!DI$2="","",#REF!*$C$11)</f>
        <v/>
      </c>
      <c r="DF11" s="11" t="str">
        <f ca="1">IF(History!DJ$2="","",#REF!*$C$11)</f>
        <v/>
      </c>
      <c r="DG11" s="11" t="str">
        <f ca="1">IF(History!DK$2="","",#REF!*$C$11)</f>
        <v/>
      </c>
      <c r="DH11" s="11" t="str">
        <f ca="1">IF(History!DL$2="","",#REF!*$C$11)</f>
        <v/>
      </c>
      <c r="DI11" s="11" t="str">
        <f ca="1">IF(History!DM$2="","",#REF!*$C$11)</f>
        <v/>
      </c>
      <c r="DJ11" s="11" t="str">
        <f ca="1">IF(History!DN$2="","",#REF!*$C$11)</f>
        <v/>
      </c>
      <c r="DK11" s="11" t="str">
        <f ca="1">IF(History!DO$2="","",#REF!*$C$11)</f>
        <v/>
      </c>
      <c r="DL11" s="11" t="str">
        <f ca="1">IF(History!DP$2="","",#REF!*$C$11)</f>
        <v/>
      </c>
      <c r="DM11" s="11" t="str">
        <f ca="1">IF(History!DQ$2="","",#REF!*$C$11)</f>
        <v/>
      </c>
      <c r="DN11" s="11" t="str">
        <f ca="1">IF(History!DR$2="","",#REF!*$C$11)</f>
        <v/>
      </c>
      <c r="DO11" s="11" t="str">
        <f ca="1">IF(History!DS$2="","",#REF!*$C$11)</f>
        <v/>
      </c>
      <c r="DP11" s="11" t="str">
        <f ca="1">IF(History!DT$2="","",#REF!*$C$11)</f>
        <v/>
      </c>
      <c r="DQ11" s="11" t="str">
        <f ca="1">IF(History!DU$2="","",#REF!*$C$11)</f>
        <v/>
      </c>
      <c r="DR11" s="11" t="str">
        <f ca="1">IF(History!DV$2="","",#REF!*$C$11)</f>
        <v/>
      </c>
      <c r="DS11" s="11" t="str">
        <f ca="1">IF(History!DW$2="","",#REF!*$C$11)</f>
        <v/>
      </c>
      <c r="DT11" s="11" t="str">
        <f ca="1">IF(History!DX$2="","",#REF!*$C$11)</f>
        <v/>
      </c>
      <c r="DU11" s="11" t="str">
        <f ca="1">IF(History!DY$2="","",#REF!*$C$11)</f>
        <v/>
      </c>
      <c r="DV11" s="11" t="str">
        <f ca="1">IF(History!DZ$2="","",#REF!*$C$11)</f>
        <v/>
      </c>
      <c r="DW11" s="11" t="str">
        <f ca="1">IF(History!EA$2="","",#REF!*$C$11)</f>
        <v/>
      </c>
      <c r="DX11" s="11" t="str">
        <f ca="1">IF(History!EB$2="","",#REF!*$C$11)</f>
        <v/>
      </c>
      <c r="DY11" s="11" t="str">
        <f ca="1">IF(History!EC$2="","",#REF!*$C$11)</f>
        <v/>
      </c>
      <c r="DZ11" s="11" t="str">
        <f ca="1">IF(History!ED$2="","",#REF!*$C$11)</f>
        <v/>
      </c>
      <c r="EA11" s="11" t="str">
        <f ca="1">IF(History!EE$2="","",#REF!*$C$11)</f>
        <v/>
      </c>
      <c r="EB11" s="11" t="str">
        <f ca="1">IF(History!EF$2="","",#REF!*$C$11)</f>
        <v/>
      </c>
      <c r="EC11" s="11" t="str">
        <f ca="1">IF(History!EG$2="","",#REF!*$C$11)</f>
        <v/>
      </c>
      <c r="ED11" s="11" t="str">
        <f ca="1">IF(History!EH$2="","",#REF!*$C$11)</f>
        <v/>
      </c>
      <c r="EE11" s="11" t="str">
        <f ca="1">IF(History!EI$2="","",#REF!*$C$11)</f>
        <v/>
      </c>
      <c r="EF11" s="11" t="str">
        <f ca="1">IF(History!EJ$2="","",#REF!*$C$11)</f>
        <v/>
      </c>
      <c r="EG11" s="11" t="str">
        <f ca="1">IF(History!EK$2="","",#REF!*$C$11)</f>
        <v/>
      </c>
      <c r="EH11" s="11" t="str">
        <f ca="1">IF(History!EL$2="","",#REF!*$C$11)</f>
        <v/>
      </c>
      <c r="EI11" s="11" t="str">
        <f ca="1">IF(History!EM$2="","",#REF!*$C$11)</f>
        <v/>
      </c>
      <c r="EJ11" s="11" t="str">
        <f ca="1">IF(History!EN$2="","",#REF!*$C$11)</f>
        <v/>
      </c>
      <c r="EK11" s="11" t="str">
        <f ca="1">IF(History!EO$2="","",#REF!*$C$11)</f>
        <v/>
      </c>
      <c r="EL11" s="11" t="str">
        <f ca="1">IF(History!EP$2="","",#REF!*$C$11)</f>
        <v/>
      </c>
      <c r="EM11" s="11" t="str">
        <f ca="1">IF(History!EQ$2="","",#REF!*$C$11)</f>
        <v/>
      </c>
      <c r="EN11" s="11" t="str">
        <f ca="1">IF(History!ER$2="","",#REF!*$C$11)</f>
        <v/>
      </c>
      <c r="EO11" s="11" t="str">
        <f ca="1">IF(History!ES$2="","",#REF!*$C$11)</f>
        <v/>
      </c>
      <c r="EP11" s="11" t="str">
        <f ca="1">IF(History!ET$2="","",#REF!*$C$11)</f>
        <v/>
      </c>
      <c r="EQ11" s="11" t="str">
        <f ca="1">IF(History!EU$2="","",#REF!*$C$11)</f>
        <v/>
      </c>
      <c r="ER11" s="11" t="str">
        <f ca="1">IF(History!EV$2="","",#REF!*$C$11)</f>
        <v/>
      </c>
      <c r="ES11" s="11" t="str">
        <f ca="1">IF(History!EW$2="","",#REF!*$C$11)</f>
        <v/>
      </c>
      <c r="ET11" s="11" t="str">
        <f ca="1">IF(History!EX$2="","",#REF!*$C$11)</f>
        <v/>
      </c>
      <c r="EU11" s="11" t="str">
        <f ca="1">IF(History!EY$2="","",#REF!*$C$11)</f>
        <v/>
      </c>
      <c r="EV11" s="11" t="str">
        <f ca="1">IF(History!EZ$2="","",#REF!*$C$11)</f>
        <v/>
      </c>
      <c r="EW11" s="11" t="str">
        <f ca="1">IF(History!FA$2="","",#REF!*$C$11)</f>
        <v/>
      </c>
      <c r="EX11" s="11" t="str">
        <f ca="1">IF(History!FB$2="","",#REF!*$C$11)</f>
        <v/>
      </c>
      <c r="EY11" s="11" t="str">
        <f ca="1">IF(History!FC$2="","",#REF!*$C$11)</f>
        <v/>
      </c>
      <c r="EZ11" s="11" t="str">
        <f ca="1">IF(History!FD$2="","",#REF!*$C$11)</f>
        <v/>
      </c>
      <c r="FA11" s="11" t="str">
        <f ca="1">IF(History!FE$2="","",#REF!*$C$11)</f>
        <v/>
      </c>
      <c r="FB11" s="11" t="str">
        <f ca="1">IF(History!FF$2="","",#REF!*$C$11)</f>
        <v/>
      </c>
      <c r="FC11" s="11" t="str">
        <f ca="1">IF(History!FG$2="","",#REF!*$C$11)</f>
        <v/>
      </c>
      <c r="FD11" s="11" t="str">
        <f ca="1">IF(History!FH$2="","",#REF!*$C$11)</f>
        <v/>
      </c>
      <c r="FE11" s="11" t="str">
        <f ca="1">IF(History!FI$2="","",#REF!*$C$11)</f>
        <v/>
      </c>
      <c r="FF11" s="11" t="str">
        <f ca="1">IF(History!FJ$2="","",#REF!*$C$11)</f>
        <v/>
      </c>
      <c r="FG11" s="11" t="str">
        <f ca="1">IF(History!FK$2="","",#REF!*$C$11)</f>
        <v/>
      </c>
      <c r="FH11" s="11" t="str">
        <f ca="1">IF(History!FL$2="","",#REF!*$C$11)</f>
        <v/>
      </c>
      <c r="FI11" s="11" t="str">
        <f ca="1">IF(History!FM$2="","",#REF!*$C$11)</f>
        <v/>
      </c>
      <c r="FJ11" s="11" t="str">
        <f ca="1">IF(History!FN$2="","",#REF!*$C$11)</f>
        <v/>
      </c>
      <c r="FK11" s="11" t="str">
        <f ca="1">IF(History!FO$2="","",#REF!*$C$11)</f>
        <v/>
      </c>
      <c r="FL11" s="11" t="str">
        <f ca="1">IF(History!FP$2="","",#REF!*$C$11)</f>
        <v/>
      </c>
      <c r="FM11" s="11" t="str">
        <f ca="1">IF(History!FQ$2="","",#REF!*$C$11)</f>
        <v/>
      </c>
      <c r="FN11" s="11" t="str">
        <f ca="1">IF(History!FR$2="","",#REF!*$C$11)</f>
        <v/>
      </c>
      <c r="FO11" s="11" t="str">
        <f ca="1">IF(History!FS$2="","",#REF!*$C$11)</f>
        <v/>
      </c>
      <c r="FP11" s="11" t="str">
        <f ca="1">IF(History!FT$2="","",#REF!*$C$11)</f>
        <v/>
      </c>
      <c r="FQ11" s="11" t="str">
        <f ca="1">IF(History!FU$2="","",#REF!*$C$11)</f>
        <v/>
      </c>
      <c r="FR11" s="11" t="str">
        <f ca="1">IF(History!FV$2="","",#REF!*$C$11)</f>
        <v/>
      </c>
      <c r="FS11" s="11" t="str">
        <f ca="1">IF(History!FW$2="","",#REF!*$C$11)</f>
        <v/>
      </c>
      <c r="FT11" s="11" t="str">
        <f ca="1">IF(History!FX$2="","",#REF!*$C$11)</f>
        <v/>
      </c>
      <c r="FU11" s="11" t="str">
        <f ca="1">IF(History!FY$2="","",#REF!*$C$11)</f>
        <v/>
      </c>
      <c r="FV11" s="11" t="str">
        <f ca="1">IF(History!FZ$2="","",#REF!*$C$11)</f>
        <v/>
      </c>
      <c r="FW11" s="11" t="str">
        <f ca="1">IF(History!GA$2="","",#REF!*$C$11)</f>
        <v/>
      </c>
      <c r="FX11" s="11" t="str">
        <f ca="1">IF(History!GB$2="","",#REF!*$C$11)</f>
        <v/>
      </c>
      <c r="FY11" s="11" t="str">
        <f ca="1">IF(History!GC$2="","",#REF!*$C$11)</f>
        <v/>
      </c>
      <c r="FZ11" s="11" t="str">
        <f ca="1">IF(History!GD$2="","",#REF!*$C$11)</f>
        <v/>
      </c>
      <c r="GA11" s="11" t="str">
        <f ca="1">IF(History!GE$2="","",#REF!*$C$11)</f>
        <v/>
      </c>
      <c r="GB11" s="11" t="str">
        <f ca="1">IF(History!GF$2="","",#REF!*$C$11)</f>
        <v/>
      </c>
      <c r="GC11" s="11" t="str">
        <f ca="1">IF(History!GG$2="","",#REF!*$C$11)</f>
        <v/>
      </c>
      <c r="GD11" s="11" t="str">
        <f ca="1">IF(History!GH$2="","",#REF!*$C$11)</f>
        <v/>
      </c>
      <c r="GE11" s="11" t="str">
        <f ca="1">IF(History!GI$2="","",#REF!*$C$11)</f>
        <v/>
      </c>
      <c r="GF11" s="11" t="str">
        <f ca="1">IF(History!GJ$2="","",#REF!*$C$11)</f>
        <v/>
      </c>
      <c r="GG11" s="11" t="str">
        <f ca="1">IF(History!GK$2="","",#REF!*$C$11)</f>
        <v/>
      </c>
      <c r="GH11" s="11" t="str">
        <f ca="1">IF(History!GL$2="","",#REF!*$C$11)</f>
        <v/>
      </c>
      <c r="GI11" s="11" t="str">
        <f ca="1">IF(History!GM$2="","",#REF!*$C$11)</f>
        <v/>
      </c>
      <c r="GJ11" s="11" t="str">
        <f ca="1">IF(History!GN$2="","",#REF!*$C$11)</f>
        <v/>
      </c>
      <c r="GK11" s="11" t="str">
        <f ca="1">IF(History!GO$2="","",#REF!*$C$11)</f>
        <v/>
      </c>
      <c r="GL11" s="11" t="str">
        <f ca="1">IF(History!GP$2="","",#REF!*$C$11)</f>
        <v/>
      </c>
      <c r="GM11" s="11" t="str">
        <f ca="1">IF(History!GQ$2="","",#REF!*$C$11)</f>
        <v/>
      </c>
      <c r="GN11" s="11" t="str">
        <f ca="1">IF(History!GR$2="","",#REF!*$C$11)</f>
        <v/>
      </c>
      <c r="GO11" s="11" t="str">
        <f ca="1">IF(History!GS$2="","",#REF!*$C$11)</f>
        <v/>
      </c>
      <c r="GP11" s="11" t="str">
        <f ca="1">IF(History!GT$2="","",#REF!*$C$11)</f>
        <v/>
      </c>
      <c r="GQ11" s="11" t="str">
        <f ca="1">IF(History!GU$2="","",#REF!*$C$11)</f>
        <v/>
      </c>
      <c r="GR11" s="11" t="str">
        <f ca="1">IF(History!GV$2="","",#REF!*$C$11)</f>
        <v/>
      </c>
      <c r="GS11" s="11" t="str">
        <f ca="1">IF(History!GW$2="","",#REF!*$C$11)</f>
        <v/>
      </c>
      <c r="GT11" s="11" t="str">
        <f ca="1">IF(History!GX$2="","",#REF!*$C$11)</f>
        <v/>
      </c>
      <c r="GU11" s="11" t="str">
        <f ca="1">IF(History!GY$2="","",#REF!*$C$11)</f>
        <v/>
      </c>
      <c r="GV11" s="11" t="str">
        <f ca="1">IF(History!GZ$2="","",#REF!*$C$11)</f>
        <v/>
      </c>
      <c r="GW11" s="11" t="str">
        <f ca="1">IF(History!HA$2="","",#REF!*$C$11)</f>
        <v/>
      </c>
      <c r="GX11" s="11" t="str">
        <f ca="1">IF(History!HB$2="","",#REF!*$C$11)</f>
        <v/>
      </c>
      <c r="GY11" s="11" t="str">
        <f ca="1">IF(History!HC$2="","",#REF!*$C$11)</f>
        <v/>
      </c>
      <c r="GZ11" s="11" t="str">
        <f ca="1">IF(History!HD$2="","",#REF!*$C$11)</f>
        <v/>
      </c>
      <c r="HA11" s="11" t="str">
        <f ca="1">IF(History!HE$2="","",#REF!*$C$11)</f>
        <v/>
      </c>
      <c r="HB11" s="11" t="str">
        <f ca="1">IF(History!HF$2="","",#REF!*$C$11)</f>
        <v/>
      </c>
      <c r="HC11" s="11" t="str">
        <f ca="1">IF(History!HG$2="","",#REF!*$C$11)</f>
        <v/>
      </c>
      <c r="HD11" s="11" t="str">
        <f ca="1">IF(History!HH$2="","",#REF!*$C$11)</f>
        <v/>
      </c>
      <c r="HE11" s="11" t="str">
        <f ca="1">IF(History!HI$2="","",#REF!*$C$11)</f>
        <v/>
      </c>
      <c r="HF11" s="11" t="str">
        <f ca="1">IF(History!HJ$2="","",#REF!*$C$11)</f>
        <v/>
      </c>
      <c r="HG11" s="11" t="str">
        <f ca="1">IF(History!HK$2="","",#REF!*$C$11)</f>
        <v/>
      </c>
      <c r="HH11" s="11" t="str">
        <f ca="1">IF(History!HL$2="","",#REF!*$C$11)</f>
        <v/>
      </c>
      <c r="HI11" s="11" t="str">
        <f ca="1">IF(History!HM$2="","",#REF!*$C$11)</f>
        <v/>
      </c>
      <c r="HJ11" s="11" t="str">
        <f ca="1">IF(History!HN$2="","",#REF!*$C$11)</f>
        <v/>
      </c>
      <c r="HK11" s="11" t="str">
        <f ca="1">IF(History!HO$2="","",#REF!*$C$11)</f>
        <v/>
      </c>
      <c r="HL11" s="11" t="str">
        <f ca="1">IF(History!HP$2="","",#REF!*$C$11)</f>
        <v/>
      </c>
      <c r="HM11" s="11" t="str">
        <f ca="1">IF(History!HQ$2="","",#REF!*$C$11)</f>
        <v/>
      </c>
      <c r="HN11" s="11" t="str">
        <f ca="1">IF(History!HR$2="","",#REF!*$C$11)</f>
        <v/>
      </c>
      <c r="HO11" s="11" t="str">
        <f ca="1">IF(History!HS$2="","",#REF!*$C$11)</f>
        <v/>
      </c>
      <c r="HP11" s="11" t="str">
        <f ca="1">IF(History!HT$2="","",#REF!*$C$11)</f>
        <v/>
      </c>
      <c r="HQ11" s="11" t="str">
        <f ca="1">IF(History!HU$2="","",#REF!*$C$11)</f>
        <v/>
      </c>
      <c r="HR11" s="11" t="str">
        <f ca="1">IF(History!HV$2="","",#REF!*$C$11)</f>
        <v/>
      </c>
      <c r="HS11" s="11" t="str">
        <f ca="1">IF(History!HW$2="","",#REF!*$C$11)</f>
        <v/>
      </c>
      <c r="HT11" s="11" t="str">
        <f ca="1">IF(History!HX$2="","",#REF!*$C$11)</f>
        <v/>
      </c>
      <c r="HU11" s="11" t="str">
        <f ca="1">IF(History!HY$2="","",#REF!*$C$11)</f>
        <v/>
      </c>
      <c r="HV11" s="11" t="str">
        <f ca="1">IF(History!HZ$2="","",#REF!*$C$11)</f>
        <v/>
      </c>
      <c r="HW11" s="11" t="str">
        <f ca="1">IF(History!IA$2="","",#REF!*$C$11)</f>
        <v/>
      </c>
      <c r="HX11" s="11" t="str">
        <f ca="1">IF(History!IB$2="","",#REF!*$C$11)</f>
        <v/>
      </c>
      <c r="HY11" s="11" t="str">
        <f ca="1">IF(History!IC$2="","",#REF!*$C$11)</f>
        <v/>
      </c>
      <c r="HZ11" s="11" t="str">
        <f ca="1">IF(History!ID$2="","",#REF!*$C$11)</f>
        <v/>
      </c>
      <c r="IA11" s="11" t="str">
        <f ca="1">IF(History!IE$2="","",#REF!*$C$11)</f>
        <v/>
      </c>
      <c r="IB11" s="11" t="str">
        <f ca="1">IF(History!IF$2="","",#REF!*$C$11)</f>
        <v/>
      </c>
      <c r="IC11" s="11" t="str">
        <f ca="1">IF(History!IG$2="","",#REF!*$C$11)</f>
        <v/>
      </c>
      <c r="ID11" s="11" t="str">
        <f ca="1">IF(History!IH$2="","",#REF!*$C$11)</f>
        <v/>
      </c>
      <c r="IE11" s="11" t="str">
        <f ca="1">IF(History!II$2="","",#REF!*$C$11)</f>
        <v/>
      </c>
      <c r="IF11" s="11" t="str">
        <f ca="1">IF(History!IJ$2="","",#REF!*$C$11)</f>
        <v/>
      </c>
      <c r="IG11" s="11" t="str">
        <f ca="1">IF(History!IK$2="","",#REF!*$C$11)</f>
        <v/>
      </c>
      <c r="IH11" s="11" t="str">
        <f ca="1">IF(History!IL$2="","",#REF!*$C$11)</f>
        <v/>
      </c>
      <c r="II11" s="11" t="str">
        <f ca="1">IF(History!IM$2="","",#REF!*$C$11)</f>
        <v/>
      </c>
      <c r="IJ11" s="11" t="str">
        <f ca="1">IF(History!IN$2="","",#REF!*$C$11)</f>
        <v/>
      </c>
      <c r="IK11" s="11" t="str">
        <f ca="1">IF(History!IO$2="","",#REF!*$C$11)</f>
        <v/>
      </c>
      <c r="IL11" s="11" t="str">
        <f ca="1">IF(History!IP$2="","",#REF!*$C$11)</f>
        <v/>
      </c>
      <c r="IM11" s="11" t="str">
        <f ca="1">IF(History!IQ$2="","",#REF!*$C$11)</f>
        <v/>
      </c>
      <c r="IN11" s="11" t="str">
        <f ca="1">IF(History!IR$2="","",#REF!*$C$11)</f>
        <v/>
      </c>
      <c r="IO11" s="11" t="str">
        <f ca="1">IF(History!IS$2="","",#REF!*$C$11)</f>
        <v/>
      </c>
      <c r="IP11" s="11" t="str">
        <f ca="1">IF(History!IT$2="","",#REF!*$C$11)</f>
        <v/>
      </c>
      <c r="IQ11" s="11" t="str">
        <f ca="1">IF(History!IU$2="","",#REF!*$C$11)</f>
        <v/>
      </c>
      <c r="IR11" s="11" t="str">
        <f ca="1">IF(History!IV$2="","",#REF!*$C$11)</f>
        <v/>
      </c>
      <c r="IS11" s="11" t="str">
        <f ca="1">IF(History!IW$2="","",#REF!*$C$11)</f>
        <v/>
      </c>
      <c r="IT11" s="11" t="str">
        <f ca="1">IF(History!IX$2="","",#REF!*$C$11)</f>
        <v/>
      </c>
      <c r="IU11" s="11" t="str">
        <f ca="1">IF(History!IY$2="","",#REF!*$C$11)</f>
        <v/>
      </c>
      <c r="IV11" s="11" t="str">
        <f ca="1">IF(History!IZ$2="","",#REF!*$C$11)</f>
        <v/>
      </c>
      <c r="IW11" s="11" t="str">
        <f ca="1">IF(History!JA$2="","",#REF!*$C$11)</f>
        <v/>
      </c>
      <c r="IX11" s="11" t="str">
        <f ca="1">IF(History!JB$2="","",#REF!*$C$11)</f>
        <v/>
      </c>
      <c r="IY11" s="11" t="str">
        <f ca="1">IF(History!JC$2="","",#REF!*$C$11)</f>
        <v/>
      </c>
      <c r="IZ11" s="11" t="str">
        <f ca="1">IF(History!JD$2="","",#REF!*$C$11)</f>
        <v/>
      </c>
      <c r="JA11" s="11" t="str">
        <f ca="1">IF(History!JE$2="","",#REF!*$C$11)</f>
        <v/>
      </c>
      <c r="JB11" s="11" t="str">
        <f ca="1">IF(History!JF$2="","",#REF!*$C$11)</f>
        <v/>
      </c>
      <c r="JC11" s="11" t="str">
        <f ca="1">IF(History!JG$2="","",#REF!*$C$11)</f>
        <v/>
      </c>
      <c r="JD11" s="11" t="str">
        <f ca="1">IF(History!JH$2="","",#REF!*$C$11)</f>
        <v/>
      </c>
      <c r="JE11" s="11" t="str">
        <f ca="1">IF(History!JI$2="","",#REF!*$C$11)</f>
        <v/>
      </c>
      <c r="JF11" s="11" t="str">
        <f ca="1">IF(History!JJ$2="","",#REF!*$C$11)</f>
        <v/>
      </c>
      <c r="JG11" s="11" t="str">
        <f ca="1">IF(History!JK$2="","",#REF!*$C$11)</f>
        <v/>
      </c>
      <c r="JH11" s="11" t="str">
        <f ca="1">IF(History!JL$2="","",#REF!*$C$11)</f>
        <v/>
      </c>
      <c r="JI11" s="11" t="str">
        <f ca="1">IF(History!JM$2="","",#REF!*$C$11)</f>
        <v/>
      </c>
      <c r="JJ11" s="11" t="str">
        <f ca="1">IF(History!JN$2="","",#REF!*$C$11)</f>
        <v/>
      </c>
      <c r="JK11" s="11" t="str">
        <f ca="1">IF(History!JO$2="","",#REF!*$C$11)</f>
        <v/>
      </c>
      <c r="JL11" s="11" t="str">
        <f ca="1">IF(History!JP$2="","",#REF!*$C$11)</f>
        <v/>
      </c>
      <c r="JM11" s="11" t="str">
        <f ca="1">IF(History!JQ$2="","",#REF!*$C$11)</f>
        <v/>
      </c>
      <c r="JN11" s="11" t="str">
        <f ca="1">IF(History!JR$2="","",#REF!*$C$11)</f>
        <v/>
      </c>
      <c r="JO11" s="11" t="str">
        <f ca="1">IF(History!JS$2="","",#REF!*$C$11)</f>
        <v/>
      </c>
      <c r="JP11" s="11" t="str">
        <f ca="1">IF(History!JT$2="","",#REF!*$C$11)</f>
        <v/>
      </c>
      <c r="JQ11" s="11" t="str">
        <f ca="1">IF(History!JU$2="","",#REF!*$C$11)</f>
        <v/>
      </c>
      <c r="JR11" s="11" t="str">
        <f ca="1">IF(History!JV$2="","",#REF!*$C$11)</f>
        <v/>
      </c>
      <c r="JS11" s="11" t="str">
        <f ca="1">IF(History!JW$2="","",#REF!*$C$11)</f>
        <v/>
      </c>
      <c r="JT11" s="11" t="str">
        <f ca="1">IF(History!JX$2="","",#REF!*$C$11)</f>
        <v/>
      </c>
      <c r="JU11" s="11" t="str">
        <f ca="1">IF(History!JY$2="","",#REF!*$C$11)</f>
        <v/>
      </c>
      <c r="JV11" s="11" t="str">
        <f ca="1">IF(History!JZ$2="","",#REF!*$C$11)</f>
        <v/>
      </c>
      <c r="JW11" s="11" t="str">
        <f ca="1">IF(History!KA$2="","",#REF!*$C$11)</f>
        <v/>
      </c>
      <c r="JX11" s="11" t="str">
        <f ca="1">IF(History!KB$2="","",#REF!*$C$11)</f>
        <v/>
      </c>
      <c r="JY11" s="11" t="str">
        <f ca="1">IF(History!KC$2="","",#REF!*$C$11)</f>
        <v/>
      </c>
      <c r="JZ11" s="11" t="str">
        <f ca="1">IF(History!KD$2="","",#REF!*$C$11)</f>
        <v/>
      </c>
      <c r="KA11" s="11" t="str">
        <f ca="1">IF(History!KE$2="","",#REF!*$C$11)</f>
        <v/>
      </c>
      <c r="KB11" s="11" t="str">
        <f ca="1">IF(History!KF$2="","",#REF!*$C$11)</f>
        <v/>
      </c>
    </row>
    <row r="12" spans="1:288" ht="15.75" customHeight="1">
      <c r="A12" s="18" t="s">
        <v>132</v>
      </c>
      <c r="B12" s="6" t="s">
        <v>138</v>
      </c>
      <c r="C12" s="26">
        <v>2814</v>
      </c>
      <c r="D12" s="11" t="e">
        <f ca="1">IF(History!H$2="","",#REF!*$C$12)</f>
        <v>#REF!</v>
      </c>
      <c r="E12" s="11" t="e">
        <f ca="1">IF(History!I$2="","",#REF!*$C$12)</f>
        <v>#REF!</v>
      </c>
      <c r="F12" s="11" t="e">
        <f ca="1">IF(History!J$2="","",#REF!*$C$12)</f>
        <v>#REF!</v>
      </c>
      <c r="G12" s="11" t="e">
        <f ca="1">IF(History!K$2="","",#REF!*$C$12)</f>
        <v>#REF!</v>
      </c>
      <c r="H12" s="11" t="e">
        <f ca="1">IF(History!L$2="","",#REF!*$C$12)</f>
        <v>#REF!</v>
      </c>
      <c r="I12" s="11" t="e">
        <f ca="1">IF(History!M$2="","",#REF!*$C$12)</f>
        <v>#REF!</v>
      </c>
      <c r="J12" s="11" t="e">
        <f ca="1">IF(History!N$2="","",#REF!*$C$12)</f>
        <v>#REF!</v>
      </c>
      <c r="K12" s="11" t="e">
        <f ca="1">IF(History!O$2="","",#REF!*$C$12)</f>
        <v>#REF!</v>
      </c>
      <c r="L12" s="11" t="e">
        <f ca="1">IF(History!P$2="","",#REF!*$C$12)</f>
        <v>#REF!</v>
      </c>
      <c r="M12" s="11" t="e">
        <f ca="1">IF(History!Q$2="","",#REF!*$C$12)</f>
        <v>#REF!</v>
      </c>
      <c r="N12" s="11" t="e">
        <f ca="1">IF(History!R$2="","",#REF!*$C$12)</f>
        <v>#REF!</v>
      </c>
      <c r="O12" s="11" t="e">
        <f ca="1">IF(History!S$2="","",#REF!*$C$12)</f>
        <v>#REF!</v>
      </c>
      <c r="P12" s="11" t="e">
        <f ca="1">IF(History!T$2="","",#REF!*$C$12)</f>
        <v>#REF!</v>
      </c>
      <c r="Q12" s="11" t="e">
        <f ca="1">IF(History!U$2="","",#REF!*$C$12)</f>
        <v>#REF!</v>
      </c>
      <c r="R12" s="11" t="e">
        <f ca="1">IF(History!V$2="","",#REF!*$C$12)</f>
        <v>#REF!</v>
      </c>
      <c r="S12" s="11" t="e">
        <f ca="1">IF(History!W$2="","",#REF!*$C$12)</f>
        <v>#REF!</v>
      </c>
      <c r="T12" s="11" t="e">
        <f ca="1">IF(History!X$2="","",#REF!*$C$12)</f>
        <v>#REF!</v>
      </c>
      <c r="U12" s="11" t="e">
        <f ca="1">IF(History!Y$2="","",#REF!*$C$12)</f>
        <v>#REF!</v>
      </c>
      <c r="V12" s="11" t="e">
        <f ca="1">IF(History!Z$2="","",#REF!*$C$12)</f>
        <v>#REF!</v>
      </c>
      <c r="W12" s="11" t="e">
        <f ca="1">IF(History!AA$2="","",#REF!*$C$12)</f>
        <v>#REF!</v>
      </c>
      <c r="X12" s="11" t="e">
        <f ca="1">IF(History!AB$2="","",#REF!*$C$12)</f>
        <v>#REF!</v>
      </c>
      <c r="Y12" s="11" t="e">
        <f ca="1">IF(History!AC$2="","",#REF!*$C$12)</f>
        <v>#REF!</v>
      </c>
      <c r="Z12" s="11" t="e">
        <f ca="1">IF(History!AD$2="","",#REF!*$C$12)</f>
        <v>#REF!</v>
      </c>
      <c r="AA12" s="11" t="e">
        <f ca="1">IF(History!AE$2="","",#REF!*$C$12)</f>
        <v>#REF!</v>
      </c>
      <c r="AB12" s="11" t="e">
        <f ca="1">IF(History!AF$2="","",#REF!*$C$12)</f>
        <v>#REF!</v>
      </c>
      <c r="AC12" s="11" t="e">
        <f ca="1">IF(History!AG$2="","",#REF!*$C$12)</f>
        <v>#REF!</v>
      </c>
      <c r="AD12" s="11" t="e">
        <f ca="1">IF(History!AH$2="","",#REF!*$C$12)</f>
        <v>#REF!</v>
      </c>
      <c r="AE12" s="11" t="e">
        <f ca="1">IF(History!AI$2="","",#REF!*$C$12)</f>
        <v>#REF!</v>
      </c>
      <c r="AF12" s="11" t="e">
        <f ca="1">IF(History!AJ$2="","",#REF!*$C$12)</f>
        <v>#REF!</v>
      </c>
      <c r="AG12" s="11" t="e">
        <f ca="1">IF(History!AK$2="","",#REF!*$C$12)</f>
        <v>#REF!</v>
      </c>
      <c r="AH12" s="11" t="e">
        <f ca="1">IF(History!AL$2="","",#REF!*$C$12)</f>
        <v>#REF!</v>
      </c>
      <c r="AI12" s="11" t="e">
        <f ca="1">IF(History!AM$2="","",#REF!*$C$12)</f>
        <v>#REF!</v>
      </c>
      <c r="AJ12" s="11" t="e">
        <f ca="1">IF(History!AN$2="","",#REF!*$C$12)</f>
        <v>#REF!</v>
      </c>
      <c r="AK12" s="11" t="e">
        <f ca="1">IF(History!AO$2="","",#REF!*$C$12)</f>
        <v>#REF!</v>
      </c>
      <c r="AL12" s="11" t="e">
        <f ca="1">IF(History!AP$2="","",#REF!*$C$12)</f>
        <v>#REF!</v>
      </c>
      <c r="AM12" s="11" t="e">
        <f ca="1">IF(History!AQ$2="","",#REF!*$C$12)</f>
        <v>#REF!</v>
      </c>
      <c r="AN12" s="11" t="e">
        <f ca="1">IF(History!AR$2="","",#REF!*$C$12)</f>
        <v>#REF!</v>
      </c>
      <c r="AO12" s="11" t="e">
        <f ca="1">IF(History!AS$2="","",#REF!*$C$12)</f>
        <v>#REF!</v>
      </c>
      <c r="AP12" s="11" t="e">
        <f ca="1">IF(History!AT$2="","",#REF!*$C$12)</f>
        <v>#REF!</v>
      </c>
      <c r="AQ12" s="11" t="e">
        <f ca="1">IF(History!AU$2="","",#REF!*$C$12)</f>
        <v>#REF!</v>
      </c>
      <c r="AR12" s="11" t="e">
        <f ca="1">IF(History!AV$2="","",#REF!*$C$12)</f>
        <v>#REF!</v>
      </c>
      <c r="AS12" s="11" t="e">
        <f ca="1">IF(History!AW$2="","",#REF!*$C$12)</f>
        <v>#REF!</v>
      </c>
      <c r="AT12" s="11" t="e">
        <f ca="1">IF(History!AX$2="","",#REF!*$C$12)</f>
        <v>#REF!</v>
      </c>
      <c r="AU12" s="11" t="e">
        <f ca="1">IF(History!AY$2="","",#REF!*$C$12)</f>
        <v>#REF!</v>
      </c>
      <c r="AV12" s="11" t="e">
        <f ca="1">IF(History!AZ$2="","",#REF!*$C$12)</f>
        <v>#REF!</v>
      </c>
      <c r="AW12" s="11" t="e">
        <f ca="1">IF(History!BA$2="","",#REF!*$C$12)</f>
        <v>#REF!</v>
      </c>
      <c r="AX12" s="11" t="e">
        <f ca="1">IF(History!BB$2="","",#REF!*$C$12)</f>
        <v>#REF!</v>
      </c>
      <c r="AY12" s="11" t="e">
        <f ca="1">IF(History!BC$2="","",#REF!*$C$12)</f>
        <v>#REF!</v>
      </c>
      <c r="AZ12" s="11" t="e">
        <f ca="1">IF(History!BD$2="","",#REF!*$C$12)</f>
        <v>#REF!</v>
      </c>
      <c r="BA12" s="11" t="e">
        <f ca="1">IF(History!BE$2="","",#REF!*$C$12)</f>
        <v>#REF!</v>
      </c>
      <c r="BB12" s="11" t="e">
        <f ca="1">IF(History!BF$2="","",#REF!*$C$12)</f>
        <v>#REF!</v>
      </c>
      <c r="BC12" s="11" t="e">
        <f ca="1">IF(History!BG$2="","",#REF!*$C$12)</f>
        <v>#REF!</v>
      </c>
      <c r="BD12" s="11" t="e">
        <f ca="1">IF(History!BH$2="","",#REF!*$C$12)</f>
        <v>#REF!</v>
      </c>
      <c r="BE12" s="11" t="e">
        <f ca="1">IF(History!BI$2="","",#REF!*$C$12)</f>
        <v>#REF!</v>
      </c>
      <c r="BF12" s="11" t="e">
        <f ca="1">IF(History!BJ$2="","",#REF!*$C$12)</f>
        <v>#REF!</v>
      </c>
      <c r="BG12" s="11" t="e">
        <f ca="1">IF(History!BK$2="","",#REF!*$C$12)</f>
        <v>#REF!</v>
      </c>
      <c r="BH12" s="11" t="e">
        <f ca="1">IF(History!BL$2="","",#REF!*$C$12)</f>
        <v>#REF!</v>
      </c>
      <c r="BI12" s="11" t="e">
        <f ca="1">IF(History!BM$2="","",#REF!*$C$12)</f>
        <v>#REF!</v>
      </c>
      <c r="BJ12" s="11" t="e">
        <f ca="1">IF(History!BN$2="","",#REF!*$C$12)</f>
        <v>#REF!</v>
      </c>
      <c r="BK12" s="11" t="e">
        <f ca="1">IF(History!BO$2="","",#REF!*$C$12)</f>
        <v>#REF!</v>
      </c>
      <c r="BL12" s="11" t="e">
        <f ca="1">IF(History!BP$2="","",#REF!*$C$12)</f>
        <v>#REF!</v>
      </c>
      <c r="BM12" s="11" t="e">
        <f ca="1">IF(History!BQ$2="","",#REF!*$C$12)</f>
        <v>#REF!</v>
      </c>
      <c r="BN12" s="11" t="e">
        <f ca="1">IF(History!BR$2="","",#REF!*$C$12)</f>
        <v>#REF!</v>
      </c>
      <c r="BO12" s="11" t="e">
        <f ca="1">IF(History!BS$2="","",#REF!*$C$12)</f>
        <v>#REF!</v>
      </c>
      <c r="BP12" s="11" t="e">
        <f ca="1">IF(History!BT$2="","",#REF!*$C$12)</f>
        <v>#REF!</v>
      </c>
      <c r="BQ12" s="11" t="e">
        <f ca="1">IF(History!BU$2="","",#REF!*$C$12)</f>
        <v>#REF!</v>
      </c>
      <c r="BR12" s="11" t="e">
        <f ca="1">IF(History!BV$2="","",#REF!*$C$12)</f>
        <v>#REF!</v>
      </c>
      <c r="BS12" s="11" t="e">
        <f ca="1">IF(History!BW$2="","",#REF!*$C$12)</f>
        <v>#REF!</v>
      </c>
      <c r="BT12" s="11" t="e">
        <f ca="1">IF(History!BX$2="","",#REF!*$C$12)</f>
        <v>#REF!</v>
      </c>
      <c r="BU12" s="11" t="e">
        <f ca="1">IF(History!BY$2="","",#REF!*$C$12)</f>
        <v>#REF!</v>
      </c>
      <c r="BV12" s="11" t="e">
        <f ca="1">IF(History!BZ$2="","",#REF!*$C$12)</f>
        <v>#REF!</v>
      </c>
      <c r="BW12" s="11" t="e">
        <f ca="1">IF(History!CA$2="","",#REF!*$C$12)</f>
        <v>#REF!</v>
      </c>
      <c r="BX12" s="11" t="e">
        <f ca="1">IF(History!CB$2="","",#REF!*$C$12)</f>
        <v>#REF!</v>
      </c>
      <c r="BY12" s="11" t="e">
        <f ca="1">IF(History!CC$2="","",#REF!*$C$12)</f>
        <v>#REF!</v>
      </c>
      <c r="BZ12" s="11" t="e">
        <f ca="1">IF(History!CD$2="","",#REF!*$C$12)</f>
        <v>#REF!</v>
      </c>
      <c r="CA12" s="11" t="e">
        <f ca="1">IF(History!CE$2="","",#REF!*$C$12)</f>
        <v>#REF!</v>
      </c>
      <c r="CB12" s="11" t="e">
        <f ca="1">IF(History!CF$2="","",#REF!*$C$12)</f>
        <v>#REF!</v>
      </c>
      <c r="CC12" s="11" t="e">
        <f ca="1">IF(History!CG$2="","",#REF!*$C$12)</f>
        <v>#REF!</v>
      </c>
      <c r="CD12" s="11" t="e">
        <f ca="1">IF(History!CH$2="","",#REF!*$C$12)</f>
        <v>#REF!</v>
      </c>
      <c r="CE12" s="11" t="e">
        <f ca="1">IF(History!CI$2="","",#REF!*$C$12)</f>
        <v>#REF!</v>
      </c>
      <c r="CF12" s="11" t="str">
        <f ca="1">IF(History!CJ$2="","",#REF!*$C$12)</f>
        <v/>
      </c>
      <c r="CG12" s="11" t="str">
        <f ca="1">IF(History!CK$2="","",#REF!*$C$12)</f>
        <v/>
      </c>
      <c r="CH12" s="11" t="str">
        <f ca="1">IF(History!CL$2="","",#REF!*$C$12)</f>
        <v/>
      </c>
      <c r="CI12" s="11" t="str">
        <f ca="1">IF(History!CM$2="","",#REF!*$C$12)</f>
        <v/>
      </c>
      <c r="CJ12" s="11" t="str">
        <f ca="1">IF(History!CN$2="","",#REF!*$C$12)</f>
        <v/>
      </c>
      <c r="CK12" s="11" t="str">
        <f ca="1">IF(History!CO$2="","",#REF!*$C$12)</f>
        <v/>
      </c>
      <c r="CL12" s="11" t="str">
        <f ca="1">IF(History!CP$2="","",#REF!*$C$12)</f>
        <v/>
      </c>
      <c r="CM12" s="11" t="str">
        <f ca="1">IF(History!CQ$2="","",#REF!*$C$12)</f>
        <v/>
      </c>
      <c r="CN12" s="11" t="str">
        <f ca="1">IF(History!CR$2="","",#REF!*$C$12)</f>
        <v/>
      </c>
      <c r="CO12" s="11" t="str">
        <f ca="1">IF(History!CS$2="","",#REF!*$C$12)</f>
        <v/>
      </c>
      <c r="CP12" s="11" t="str">
        <f ca="1">IF(History!CT$2="","",#REF!*$C$12)</f>
        <v/>
      </c>
      <c r="CQ12" s="11" t="str">
        <f ca="1">IF(History!CU$2="","",#REF!*$C$12)</f>
        <v/>
      </c>
      <c r="CR12" s="11" t="str">
        <f ca="1">IF(History!CV$2="","",#REF!*$C$12)</f>
        <v/>
      </c>
      <c r="CS12" s="11" t="str">
        <f ca="1">IF(History!CW$2="","",#REF!*$C$12)</f>
        <v/>
      </c>
      <c r="CT12" s="11" t="str">
        <f ca="1">IF(History!CX$2="","",#REF!*$C$12)</f>
        <v/>
      </c>
      <c r="CU12" s="11" t="str">
        <f ca="1">IF(History!CY$2="","",#REF!*$C$12)</f>
        <v/>
      </c>
      <c r="CV12" s="11" t="str">
        <f ca="1">IF(History!CZ$2="","",#REF!*$C$12)</f>
        <v/>
      </c>
      <c r="CW12" s="11" t="str">
        <f ca="1">IF(History!DA$2="","",#REF!*$C$12)</f>
        <v/>
      </c>
      <c r="CX12" s="11" t="str">
        <f ca="1">IF(History!DB$2="","",#REF!*$C$12)</f>
        <v/>
      </c>
      <c r="CY12" s="11" t="str">
        <f ca="1">IF(History!DC$2="","",#REF!*$C$12)</f>
        <v/>
      </c>
      <c r="CZ12" s="11" t="str">
        <f ca="1">IF(History!DD$2="","",#REF!*$C$12)</f>
        <v/>
      </c>
      <c r="DA12" s="11" t="str">
        <f ca="1">IF(History!DE$2="","",#REF!*$C$12)</f>
        <v/>
      </c>
      <c r="DB12" s="11" t="str">
        <f ca="1">IF(History!DF$2="","",#REF!*$C$12)</f>
        <v/>
      </c>
      <c r="DC12" s="11" t="str">
        <f ca="1">IF(History!DG$2="","",#REF!*$C$12)</f>
        <v/>
      </c>
      <c r="DD12" s="11" t="str">
        <f ca="1">IF(History!DH$2="","",#REF!*$C$12)</f>
        <v/>
      </c>
      <c r="DE12" s="11" t="str">
        <f ca="1">IF(History!DI$2="","",#REF!*$C$12)</f>
        <v/>
      </c>
      <c r="DF12" s="11" t="str">
        <f ca="1">IF(History!DJ$2="","",#REF!*$C$12)</f>
        <v/>
      </c>
      <c r="DG12" s="11" t="str">
        <f ca="1">IF(History!DK$2="","",#REF!*$C$12)</f>
        <v/>
      </c>
      <c r="DH12" s="11" t="str">
        <f ca="1">IF(History!DL$2="","",#REF!*$C$12)</f>
        <v/>
      </c>
      <c r="DI12" s="11" t="str">
        <f ca="1">IF(History!DM$2="","",#REF!*$C$12)</f>
        <v/>
      </c>
      <c r="DJ12" s="11" t="str">
        <f ca="1">IF(History!DN$2="","",#REF!*$C$12)</f>
        <v/>
      </c>
      <c r="DK12" s="11" t="str">
        <f ca="1">IF(History!DO$2="","",#REF!*$C$12)</f>
        <v/>
      </c>
      <c r="DL12" s="11" t="str">
        <f ca="1">IF(History!DP$2="","",#REF!*$C$12)</f>
        <v/>
      </c>
      <c r="DM12" s="11" t="str">
        <f ca="1">IF(History!DQ$2="","",#REF!*$C$12)</f>
        <v/>
      </c>
      <c r="DN12" s="11" t="str">
        <f ca="1">IF(History!DR$2="","",#REF!*$C$12)</f>
        <v/>
      </c>
      <c r="DO12" s="11" t="str">
        <f ca="1">IF(History!DS$2="","",#REF!*$C$12)</f>
        <v/>
      </c>
      <c r="DP12" s="11" t="str">
        <f ca="1">IF(History!DT$2="","",#REF!*$C$12)</f>
        <v/>
      </c>
      <c r="DQ12" s="11" t="str">
        <f ca="1">IF(History!DU$2="","",#REF!*$C$12)</f>
        <v/>
      </c>
      <c r="DR12" s="11" t="str">
        <f ca="1">IF(History!DV$2="","",#REF!*$C$12)</f>
        <v/>
      </c>
      <c r="DS12" s="11" t="str">
        <f ca="1">IF(History!DW$2="","",#REF!*$C$12)</f>
        <v/>
      </c>
      <c r="DT12" s="11" t="str">
        <f ca="1">IF(History!DX$2="","",#REF!*$C$12)</f>
        <v/>
      </c>
      <c r="DU12" s="11" t="str">
        <f ca="1">IF(History!DY$2="","",#REF!*$C$12)</f>
        <v/>
      </c>
      <c r="DV12" s="11" t="str">
        <f ca="1">IF(History!DZ$2="","",#REF!*$C$12)</f>
        <v/>
      </c>
      <c r="DW12" s="11" t="str">
        <f ca="1">IF(History!EA$2="","",#REF!*$C$12)</f>
        <v/>
      </c>
      <c r="DX12" s="11" t="str">
        <f ca="1">IF(History!EB$2="","",#REF!*$C$12)</f>
        <v/>
      </c>
      <c r="DY12" s="11" t="str">
        <f ca="1">IF(History!EC$2="","",#REF!*$C$12)</f>
        <v/>
      </c>
      <c r="DZ12" s="11" t="str">
        <f ca="1">IF(History!ED$2="","",#REF!*$C$12)</f>
        <v/>
      </c>
      <c r="EA12" s="11" t="str">
        <f ca="1">IF(History!EE$2="","",#REF!*$C$12)</f>
        <v/>
      </c>
      <c r="EB12" s="11" t="str">
        <f ca="1">IF(History!EF$2="","",#REF!*$C$12)</f>
        <v/>
      </c>
      <c r="EC12" s="11" t="str">
        <f ca="1">IF(History!EG$2="","",#REF!*$C$12)</f>
        <v/>
      </c>
      <c r="ED12" s="11" t="str">
        <f ca="1">IF(History!EH$2="","",#REF!*$C$12)</f>
        <v/>
      </c>
      <c r="EE12" s="11" t="str">
        <f ca="1">IF(History!EI$2="","",#REF!*$C$12)</f>
        <v/>
      </c>
      <c r="EF12" s="11" t="str">
        <f ca="1">IF(History!EJ$2="","",#REF!*$C$12)</f>
        <v/>
      </c>
      <c r="EG12" s="11" t="str">
        <f ca="1">IF(History!EK$2="","",#REF!*$C$12)</f>
        <v/>
      </c>
      <c r="EH12" s="11" t="str">
        <f ca="1">IF(History!EL$2="","",#REF!*$C$12)</f>
        <v/>
      </c>
      <c r="EI12" s="11" t="str">
        <f ca="1">IF(History!EM$2="","",#REF!*$C$12)</f>
        <v/>
      </c>
      <c r="EJ12" s="11" t="str">
        <f ca="1">IF(History!EN$2="","",#REF!*$C$12)</f>
        <v/>
      </c>
      <c r="EK12" s="11" t="str">
        <f ca="1">IF(History!EO$2="","",#REF!*$C$12)</f>
        <v/>
      </c>
      <c r="EL12" s="11" t="str">
        <f ca="1">IF(History!EP$2="","",#REF!*$C$12)</f>
        <v/>
      </c>
      <c r="EM12" s="11" t="str">
        <f ca="1">IF(History!EQ$2="","",#REF!*$C$12)</f>
        <v/>
      </c>
      <c r="EN12" s="11" t="str">
        <f ca="1">IF(History!ER$2="","",#REF!*$C$12)</f>
        <v/>
      </c>
      <c r="EO12" s="11" t="str">
        <f ca="1">IF(History!ES$2="","",#REF!*$C$12)</f>
        <v/>
      </c>
      <c r="EP12" s="11" t="str">
        <f ca="1">IF(History!ET$2="","",#REF!*$C$12)</f>
        <v/>
      </c>
      <c r="EQ12" s="11" t="str">
        <f ca="1">IF(History!EU$2="","",#REF!*$C$12)</f>
        <v/>
      </c>
      <c r="ER12" s="11" t="str">
        <f ca="1">IF(History!EV$2="","",#REF!*$C$12)</f>
        <v/>
      </c>
      <c r="ES12" s="11" t="str">
        <f ca="1">IF(History!EW$2="","",#REF!*$C$12)</f>
        <v/>
      </c>
      <c r="ET12" s="11" t="str">
        <f ca="1">IF(History!EX$2="","",#REF!*$C$12)</f>
        <v/>
      </c>
      <c r="EU12" s="11" t="str">
        <f ca="1">IF(History!EY$2="","",#REF!*$C$12)</f>
        <v/>
      </c>
      <c r="EV12" s="11" t="str">
        <f ca="1">IF(History!EZ$2="","",#REF!*$C$12)</f>
        <v/>
      </c>
      <c r="EW12" s="11" t="str">
        <f ca="1">IF(History!FA$2="","",#REF!*$C$12)</f>
        <v/>
      </c>
      <c r="EX12" s="11" t="str">
        <f ca="1">IF(History!FB$2="","",#REF!*$C$12)</f>
        <v/>
      </c>
      <c r="EY12" s="11" t="str">
        <f ca="1">IF(History!FC$2="","",#REF!*$C$12)</f>
        <v/>
      </c>
      <c r="EZ12" s="11" t="str">
        <f ca="1">IF(History!FD$2="","",#REF!*$C$12)</f>
        <v/>
      </c>
      <c r="FA12" s="11" t="str">
        <f ca="1">IF(History!FE$2="","",#REF!*$C$12)</f>
        <v/>
      </c>
      <c r="FB12" s="11" t="str">
        <f ca="1">IF(History!FF$2="","",#REF!*$C$12)</f>
        <v/>
      </c>
      <c r="FC12" s="11" t="str">
        <f ca="1">IF(History!FG$2="","",#REF!*$C$12)</f>
        <v/>
      </c>
      <c r="FD12" s="11" t="str">
        <f ca="1">IF(History!FH$2="","",#REF!*$C$12)</f>
        <v/>
      </c>
      <c r="FE12" s="11" t="str">
        <f ca="1">IF(History!FI$2="","",#REF!*$C$12)</f>
        <v/>
      </c>
      <c r="FF12" s="11" t="str">
        <f ca="1">IF(History!FJ$2="","",#REF!*$C$12)</f>
        <v/>
      </c>
      <c r="FG12" s="11" t="str">
        <f ca="1">IF(History!FK$2="","",#REF!*$C$12)</f>
        <v/>
      </c>
      <c r="FH12" s="11" t="str">
        <f ca="1">IF(History!FL$2="","",#REF!*$C$12)</f>
        <v/>
      </c>
      <c r="FI12" s="11" t="str">
        <f ca="1">IF(History!FM$2="","",#REF!*$C$12)</f>
        <v/>
      </c>
      <c r="FJ12" s="11" t="str">
        <f ca="1">IF(History!FN$2="","",#REF!*$C$12)</f>
        <v/>
      </c>
      <c r="FK12" s="11" t="str">
        <f ca="1">IF(History!FO$2="","",#REF!*$C$12)</f>
        <v/>
      </c>
      <c r="FL12" s="11" t="str">
        <f ca="1">IF(History!FP$2="","",#REF!*$C$12)</f>
        <v/>
      </c>
      <c r="FM12" s="11" t="str">
        <f ca="1">IF(History!FQ$2="","",#REF!*$C$12)</f>
        <v/>
      </c>
      <c r="FN12" s="11" t="str">
        <f ca="1">IF(History!FR$2="","",#REF!*$C$12)</f>
        <v/>
      </c>
      <c r="FO12" s="11" t="str">
        <f ca="1">IF(History!FS$2="","",#REF!*$C$12)</f>
        <v/>
      </c>
      <c r="FP12" s="11" t="str">
        <f ca="1">IF(History!FT$2="","",#REF!*$C$12)</f>
        <v/>
      </c>
      <c r="FQ12" s="11" t="str">
        <f ca="1">IF(History!FU$2="","",#REF!*$C$12)</f>
        <v/>
      </c>
      <c r="FR12" s="11" t="str">
        <f ca="1">IF(History!FV$2="","",#REF!*$C$12)</f>
        <v/>
      </c>
      <c r="FS12" s="11" t="str">
        <f ca="1">IF(History!FW$2="","",#REF!*$C$12)</f>
        <v/>
      </c>
      <c r="FT12" s="11" t="str">
        <f ca="1">IF(History!FX$2="","",#REF!*$C$12)</f>
        <v/>
      </c>
      <c r="FU12" s="11" t="str">
        <f ca="1">IF(History!FY$2="","",#REF!*$C$12)</f>
        <v/>
      </c>
      <c r="FV12" s="11" t="str">
        <f ca="1">IF(History!FZ$2="","",#REF!*$C$12)</f>
        <v/>
      </c>
      <c r="FW12" s="11" t="str">
        <f ca="1">IF(History!GA$2="","",#REF!*$C$12)</f>
        <v/>
      </c>
      <c r="FX12" s="11" t="str">
        <f ca="1">IF(History!GB$2="","",#REF!*$C$12)</f>
        <v/>
      </c>
      <c r="FY12" s="11" t="str">
        <f ca="1">IF(History!GC$2="","",#REF!*$C$12)</f>
        <v/>
      </c>
      <c r="FZ12" s="11" t="str">
        <f ca="1">IF(History!GD$2="","",#REF!*$C$12)</f>
        <v/>
      </c>
      <c r="GA12" s="11" t="str">
        <f ca="1">IF(History!GE$2="","",#REF!*$C$12)</f>
        <v/>
      </c>
      <c r="GB12" s="11" t="str">
        <f ca="1">IF(History!GF$2="","",#REF!*$C$12)</f>
        <v/>
      </c>
      <c r="GC12" s="11" t="str">
        <f ca="1">IF(History!GG$2="","",#REF!*$C$12)</f>
        <v/>
      </c>
      <c r="GD12" s="11" t="str">
        <f ca="1">IF(History!GH$2="","",#REF!*$C$12)</f>
        <v/>
      </c>
      <c r="GE12" s="11" t="str">
        <f ca="1">IF(History!GI$2="","",#REF!*$C$12)</f>
        <v/>
      </c>
      <c r="GF12" s="11" t="str">
        <f ca="1">IF(History!GJ$2="","",#REF!*$C$12)</f>
        <v/>
      </c>
      <c r="GG12" s="11" t="str">
        <f ca="1">IF(History!GK$2="","",#REF!*$C$12)</f>
        <v/>
      </c>
      <c r="GH12" s="11" t="str">
        <f ca="1">IF(History!GL$2="","",#REF!*$C$12)</f>
        <v/>
      </c>
      <c r="GI12" s="11" t="str">
        <f ca="1">IF(History!GM$2="","",#REF!*$C$12)</f>
        <v/>
      </c>
      <c r="GJ12" s="11" t="str">
        <f ca="1">IF(History!GN$2="","",#REF!*$C$12)</f>
        <v/>
      </c>
      <c r="GK12" s="11" t="str">
        <f ca="1">IF(History!GO$2="","",#REF!*$C$12)</f>
        <v/>
      </c>
      <c r="GL12" s="11" t="str">
        <f ca="1">IF(History!GP$2="","",#REF!*$C$12)</f>
        <v/>
      </c>
      <c r="GM12" s="11" t="str">
        <f ca="1">IF(History!GQ$2="","",#REF!*$C$12)</f>
        <v/>
      </c>
      <c r="GN12" s="11" t="str">
        <f ca="1">IF(History!GR$2="","",#REF!*$C$12)</f>
        <v/>
      </c>
      <c r="GO12" s="11" t="str">
        <f ca="1">IF(History!GS$2="","",#REF!*$C$12)</f>
        <v/>
      </c>
      <c r="GP12" s="11" t="str">
        <f ca="1">IF(History!GT$2="","",#REF!*$C$12)</f>
        <v/>
      </c>
      <c r="GQ12" s="11" t="str">
        <f ca="1">IF(History!GU$2="","",#REF!*$C$12)</f>
        <v/>
      </c>
      <c r="GR12" s="11" t="str">
        <f ca="1">IF(History!GV$2="","",#REF!*$C$12)</f>
        <v/>
      </c>
      <c r="GS12" s="11" t="str">
        <f ca="1">IF(History!GW$2="","",#REF!*$C$12)</f>
        <v/>
      </c>
      <c r="GT12" s="11" t="str">
        <f ca="1">IF(History!GX$2="","",#REF!*$C$12)</f>
        <v/>
      </c>
      <c r="GU12" s="11" t="str">
        <f ca="1">IF(History!GY$2="","",#REF!*$C$12)</f>
        <v/>
      </c>
      <c r="GV12" s="11" t="str">
        <f ca="1">IF(History!GZ$2="","",#REF!*$C$12)</f>
        <v/>
      </c>
      <c r="GW12" s="11" t="str">
        <f ca="1">IF(History!HA$2="","",#REF!*$C$12)</f>
        <v/>
      </c>
      <c r="GX12" s="11" t="str">
        <f ca="1">IF(History!HB$2="","",#REF!*$C$12)</f>
        <v/>
      </c>
      <c r="GY12" s="11" t="str">
        <f ca="1">IF(History!HC$2="","",#REF!*$C$12)</f>
        <v/>
      </c>
      <c r="GZ12" s="11" t="str">
        <f ca="1">IF(History!HD$2="","",#REF!*$C$12)</f>
        <v/>
      </c>
      <c r="HA12" s="11" t="str">
        <f ca="1">IF(History!HE$2="","",#REF!*$C$12)</f>
        <v/>
      </c>
      <c r="HB12" s="11" t="str">
        <f ca="1">IF(History!HF$2="","",#REF!*$C$12)</f>
        <v/>
      </c>
      <c r="HC12" s="11" t="str">
        <f ca="1">IF(History!HG$2="","",#REF!*$C$12)</f>
        <v/>
      </c>
      <c r="HD12" s="11" t="str">
        <f ca="1">IF(History!HH$2="","",#REF!*$C$12)</f>
        <v/>
      </c>
      <c r="HE12" s="11" t="str">
        <f ca="1">IF(History!HI$2="","",#REF!*$C$12)</f>
        <v/>
      </c>
      <c r="HF12" s="11" t="str">
        <f ca="1">IF(History!HJ$2="","",#REF!*$C$12)</f>
        <v/>
      </c>
      <c r="HG12" s="11" t="str">
        <f ca="1">IF(History!HK$2="","",#REF!*$C$12)</f>
        <v/>
      </c>
      <c r="HH12" s="11" t="str">
        <f ca="1">IF(History!HL$2="","",#REF!*$C$12)</f>
        <v/>
      </c>
      <c r="HI12" s="11" t="str">
        <f ca="1">IF(History!HM$2="","",#REF!*$C$12)</f>
        <v/>
      </c>
      <c r="HJ12" s="11" t="str">
        <f ca="1">IF(History!HN$2="","",#REF!*$C$12)</f>
        <v/>
      </c>
      <c r="HK12" s="11" t="str">
        <f ca="1">IF(History!HO$2="","",#REF!*$C$12)</f>
        <v/>
      </c>
      <c r="HL12" s="11" t="str">
        <f ca="1">IF(History!HP$2="","",#REF!*$C$12)</f>
        <v/>
      </c>
      <c r="HM12" s="11" t="str">
        <f ca="1">IF(History!HQ$2="","",#REF!*$C$12)</f>
        <v/>
      </c>
      <c r="HN12" s="11" t="str">
        <f ca="1">IF(History!HR$2="","",#REF!*$C$12)</f>
        <v/>
      </c>
      <c r="HO12" s="11" t="str">
        <f ca="1">IF(History!HS$2="","",#REF!*$C$12)</f>
        <v/>
      </c>
      <c r="HP12" s="11" t="str">
        <f ca="1">IF(History!HT$2="","",#REF!*$C$12)</f>
        <v/>
      </c>
      <c r="HQ12" s="11" t="str">
        <f ca="1">IF(History!HU$2="","",#REF!*$C$12)</f>
        <v/>
      </c>
      <c r="HR12" s="11" t="str">
        <f ca="1">IF(History!HV$2="","",#REF!*$C$12)</f>
        <v/>
      </c>
      <c r="HS12" s="11" t="str">
        <f ca="1">IF(History!HW$2="","",#REF!*$C$12)</f>
        <v/>
      </c>
      <c r="HT12" s="11" t="str">
        <f ca="1">IF(History!HX$2="","",#REF!*$C$12)</f>
        <v/>
      </c>
      <c r="HU12" s="11" t="str">
        <f ca="1">IF(History!HY$2="","",#REF!*$C$12)</f>
        <v/>
      </c>
      <c r="HV12" s="11" t="str">
        <f ca="1">IF(History!HZ$2="","",#REF!*$C$12)</f>
        <v/>
      </c>
      <c r="HW12" s="11" t="str">
        <f ca="1">IF(History!IA$2="","",#REF!*$C$12)</f>
        <v/>
      </c>
      <c r="HX12" s="11" t="str">
        <f ca="1">IF(History!IB$2="","",#REF!*$C$12)</f>
        <v/>
      </c>
      <c r="HY12" s="11" t="str">
        <f ca="1">IF(History!IC$2="","",#REF!*$C$12)</f>
        <v/>
      </c>
      <c r="HZ12" s="11" t="str">
        <f ca="1">IF(History!ID$2="","",#REF!*$C$12)</f>
        <v/>
      </c>
      <c r="IA12" s="11" t="str">
        <f ca="1">IF(History!IE$2="","",#REF!*$C$12)</f>
        <v/>
      </c>
      <c r="IB12" s="11" t="str">
        <f ca="1">IF(History!IF$2="","",#REF!*$C$12)</f>
        <v/>
      </c>
      <c r="IC12" s="11" t="str">
        <f ca="1">IF(History!IG$2="","",#REF!*$C$12)</f>
        <v/>
      </c>
      <c r="ID12" s="11" t="str">
        <f ca="1">IF(History!IH$2="","",#REF!*$C$12)</f>
        <v/>
      </c>
      <c r="IE12" s="11" t="str">
        <f ca="1">IF(History!II$2="","",#REF!*$C$12)</f>
        <v/>
      </c>
      <c r="IF12" s="11" t="str">
        <f ca="1">IF(History!IJ$2="","",#REF!*$C$12)</f>
        <v/>
      </c>
      <c r="IG12" s="11" t="str">
        <f ca="1">IF(History!IK$2="","",#REF!*$C$12)</f>
        <v/>
      </c>
      <c r="IH12" s="11" t="str">
        <f ca="1">IF(History!IL$2="","",#REF!*$C$12)</f>
        <v/>
      </c>
      <c r="II12" s="11" t="str">
        <f ca="1">IF(History!IM$2="","",#REF!*$C$12)</f>
        <v/>
      </c>
      <c r="IJ12" s="11" t="str">
        <f ca="1">IF(History!IN$2="","",#REF!*$C$12)</f>
        <v/>
      </c>
      <c r="IK12" s="11" t="str">
        <f ca="1">IF(History!IO$2="","",#REF!*$C$12)</f>
        <v/>
      </c>
      <c r="IL12" s="11" t="str">
        <f ca="1">IF(History!IP$2="","",#REF!*$C$12)</f>
        <v/>
      </c>
      <c r="IM12" s="11" t="str">
        <f ca="1">IF(History!IQ$2="","",#REF!*$C$12)</f>
        <v/>
      </c>
      <c r="IN12" s="11" t="str">
        <f ca="1">IF(History!IR$2="","",#REF!*$C$12)</f>
        <v/>
      </c>
      <c r="IO12" s="11" t="str">
        <f ca="1">IF(History!IS$2="","",#REF!*$C$12)</f>
        <v/>
      </c>
      <c r="IP12" s="11" t="str">
        <f ca="1">IF(History!IT$2="","",#REF!*$C$12)</f>
        <v/>
      </c>
      <c r="IQ12" s="11" t="str">
        <f ca="1">IF(History!IU$2="","",#REF!*$C$12)</f>
        <v/>
      </c>
      <c r="IR12" s="11" t="str">
        <f ca="1">IF(History!IV$2="","",#REF!*$C$12)</f>
        <v/>
      </c>
      <c r="IS12" s="11" t="str">
        <f ca="1">IF(History!IW$2="","",#REF!*$C$12)</f>
        <v/>
      </c>
      <c r="IT12" s="11" t="str">
        <f ca="1">IF(History!IX$2="","",#REF!*$C$12)</f>
        <v/>
      </c>
      <c r="IU12" s="11" t="str">
        <f ca="1">IF(History!IY$2="","",#REF!*$C$12)</f>
        <v/>
      </c>
      <c r="IV12" s="11" t="str">
        <f ca="1">IF(History!IZ$2="","",#REF!*$C$12)</f>
        <v/>
      </c>
      <c r="IW12" s="11" t="str">
        <f ca="1">IF(History!JA$2="","",#REF!*$C$12)</f>
        <v/>
      </c>
      <c r="IX12" s="11" t="str">
        <f ca="1">IF(History!JB$2="","",#REF!*$C$12)</f>
        <v/>
      </c>
      <c r="IY12" s="11" t="str">
        <f ca="1">IF(History!JC$2="","",#REF!*$C$12)</f>
        <v/>
      </c>
      <c r="IZ12" s="11" t="str">
        <f ca="1">IF(History!JD$2="","",#REF!*$C$12)</f>
        <v/>
      </c>
      <c r="JA12" s="11" t="str">
        <f ca="1">IF(History!JE$2="","",#REF!*$C$12)</f>
        <v/>
      </c>
      <c r="JB12" s="11" t="str">
        <f ca="1">IF(History!JF$2="","",#REF!*$C$12)</f>
        <v/>
      </c>
      <c r="JC12" s="11" t="str">
        <f ca="1">IF(History!JG$2="","",#REF!*$C$12)</f>
        <v/>
      </c>
      <c r="JD12" s="11" t="str">
        <f ca="1">IF(History!JH$2="","",#REF!*$C$12)</f>
        <v/>
      </c>
      <c r="JE12" s="11" t="str">
        <f ca="1">IF(History!JI$2="","",#REF!*$C$12)</f>
        <v/>
      </c>
      <c r="JF12" s="11" t="str">
        <f ca="1">IF(History!JJ$2="","",#REF!*$C$12)</f>
        <v/>
      </c>
      <c r="JG12" s="11" t="str">
        <f ca="1">IF(History!JK$2="","",#REF!*$C$12)</f>
        <v/>
      </c>
      <c r="JH12" s="11" t="str">
        <f ca="1">IF(History!JL$2="","",#REF!*$C$12)</f>
        <v/>
      </c>
      <c r="JI12" s="11" t="str">
        <f ca="1">IF(History!JM$2="","",#REF!*$C$12)</f>
        <v/>
      </c>
      <c r="JJ12" s="11" t="str">
        <f ca="1">IF(History!JN$2="","",#REF!*$C$12)</f>
        <v/>
      </c>
      <c r="JK12" s="11" t="str">
        <f ca="1">IF(History!JO$2="","",#REF!*$C$12)</f>
        <v/>
      </c>
      <c r="JL12" s="11" t="str">
        <f ca="1">IF(History!JP$2="","",#REF!*$C$12)</f>
        <v/>
      </c>
      <c r="JM12" s="11" t="str">
        <f ca="1">IF(History!JQ$2="","",#REF!*$C$12)</f>
        <v/>
      </c>
      <c r="JN12" s="11" t="str">
        <f ca="1">IF(History!JR$2="","",#REF!*$C$12)</f>
        <v/>
      </c>
      <c r="JO12" s="11" t="str">
        <f ca="1">IF(History!JS$2="","",#REF!*$C$12)</f>
        <v/>
      </c>
      <c r="JP12" s="11" t="str">
        <f ca="1">IF(History!JT$2="","",#REF!*$C$12)</f>
        <v/>
      </c>
      <c r="JQ12" s="11" t="str">
        <f ca="1">IF(History!JU$2="","",#REF!*$C$12)</f>
        <v/>
      </c>
      <c r="JR12" s="11" t="str">
        <f ca="1">IF(History!JV$2="","",#REF!*$C$12)</f>
        <v/>
      </c>
      <c r="JS12" s="11" t="str">
        <f ca="1">IF(History!JW$2="","",#REF!*$C$12)</f>
        <v/>
      </c>
      <c r="JT12" s="11" t="str">
        <f ca="1">IF(History!JX$2="","",#REF!*$C$12)</f>
        <v/>
      </c>
      <c r="JU12" s="11" t="str">
        <f ca="1">IF(History!JY$2="","",#REF!*$C$12)</f>
        <v/>
      </c>
      <c r="JV12" s="11" t="str">
        <f ca="1">IF(History!JZ$2="","",#REF!*$C$12)</f>
        <v/>
      </c>
      <c r="JW12" s="11" t="str">
        <f ca="1">IF(History!KA$2="","",#REF!*$C$12)</f>
        <v/>
      </c>
      <c r="JX12" s="11" t="str">
        <f ca="1">IF(History!KB$2="","",#REF!*$C$12)</f>
        <v/>
      </c>
      <c r="JY12" s="11" t="str">
        <f ca="1">IF(History!KC$2="","",#REF!*$C$12)</f>
        <v/>
      </c>
      <c r="JZ12" s="11" t="str">
        <f ca="1">IF(History!KD$2="","",#REF!*$C$12)</f>
        <v/>
      </c>
      <c r="KA12" s="11" t="str">
        <f ca="1">IF(History!KE$2="","",#REF!*$C$12)</f>
        <v/>
      </c>
      <c r="KB12" s="11" t="str">
        <f ca="1">IF(History!KF$2="","",#REF!*$C$12)</f>
        <v/>
      </c>
    </row>
    <row r="13" spans="1:288" ht="15.75" customHeight="1">
      <c r="A13" s="18" t="s">
        <v>132</v>
      </c>
      <c r="B13" s="6" t="s">
        <v>139</v>
      </c>
      <c r="C13" s="26">
        <v>756</v>
      </c>
      <c r="D13" s="11" t="e">
        <f ca="1">IF(History!H$2="","",#REF!*$C$13)</f>
        <v>#REF!</v>
      </c>
      <c r="E13" s="11" t="e">
        <f ca="1">IF(History!I$2="","",#REF!*$C$13)</f>
        <v>#REF!</v>
      </c>
      <c r="F13" s="11" t="e">
        <f ca="1">IF(History!J$2="","",#REF!*$C$13)</f>
        <v>#REF!</v>
      </c>
      <c r="G13" s="11" t="e">
        <f ca="1">IF(History!K$2="","",#REF!*$C$13)</f>
        <v>#REF!</v>
      </c>
      <c r="H13" s="11" t="e">
        <f ca="1">IF(History!L$2="","",#REF!*$C$13)</f>
        <v>#REF!</v>
      </c>
      <c r="I13" s="11" t="e">
        <f ca="1">IF(History!M$2="","",#REF!*$C$13)</f>
        <v>#REF!</v>
      </c>
      <c r="J13" s="11" t="e">
        <f ca="1">IF(History!N$2="","",#REF!*$C$13)</f>
        <v>#REF!</v>
      </c>
      <c r="K13" s="11" t="e">
        <f ca="1">IF(History!O$2="","",#REF!*$C$13)</f>
        <v>#REF!</v>
      </c>
      <c r="L13" s="11" t="e">
        <f ca="1">IF(History!P$2="","",#REF!*$C$13)</f>
        <v>#REF!</v>
      </c>
      <c r="M13" s="11" t="e">
        <f ca="1">IF(History!Q$2="","",#REF!*$C$13)</f>
        <v>#REF!</v>
      </c>
      <c r="N13" s="11" t="e">
        <f ca="1">IF(History!R$2="","",#REF!*$C$13)</f>
        <v>#REF!</v>
      </c>
      <c r="O13" s="11" t="e">
        <f ca="1">IF(History!S$2="","",#REF!*$C$13)</f>
        <v>#REF!</v>
      </c>
      <c r="P13" s="11" t="e">
        <f ca="1">IF(History!T$2="","",#REF!*$C$13)</f>
        <v>#REF!</v>
      </c>
      <c r="Q13" s="11" t="e">
        <f ca="1">IF(History!U$2="","",#REF!*$C$13)</f>
        <v>#REF!</v>
      </c>
      <c r="R13" s="11" t="e">
        <f ca="1">IF(History!V$2="","",#REF!*$C$13)</f>
        <v>#REF!</v>
      </c>
      <c r="S13" s="11" t="e">
        <f ca="1">IF(History!W$2="","",#REF!*$C$13)</f>
        <v>#REF!</v>
      </c>
      <c r="T13" s="11" t="e">
        <f ca="1">IF(History!X$2="","",#REF!*$C$13)</f>
        <v>#REF!</v>
      </c>
      <c r="U13" s="11" t="e">
        <f ca="1">IF(History!Y$2="","",#REF!*$C$13)</f>
        <v>#REF!</v>
      </c>
      <c r="V13" s="11" t="e">
        <f ca="1">IF(History!Z$2="","",#REF!*$C$13)</f>
        <v>#REF!</v>
      </c>
      <c r="W13" s="11" t="e">
        <f ca="1">IF(History!AA$2="","",#REF!*$C$13)</f>
        <v>#REF!</v>
      </c>
      <c r="X13" s="11" t="e">
        <f ca="1">IF(History!AB$2="","",#REF!*$C$13)</f>
        <v>#REF!</v>
      </c>
      <c r="Y13" s="11" t="e">
        <f ca="1">IF(History!AC$2="","",#REF!*$C$13)</f>
        <v>#REF!</v>
      </c>
      <c r="Z13" s="11" t="e">
        <f ca="1">IF(History!AD$2="","",#REF!*$C$13)</f>
        <v>#REF!</v>
      </c>
      <c r="AA13" s="11" t="e">
        <f ca="1">IF(History!AE$2="","",#REF!*$C$13)</f>
        <v>#REF!</v>
      </c>
      <c r="AB13" s="11" t="e">
        <f ca="1">IF(History!AF$2="","",#REF!*$C$13)</f>
        <v>#REF!</v>
      </c>
      <c r="AC13" s="11" t="e">
        <f ca="1">IF(History!AG$2="","",#REF!*$C$13)</f>
        <v>#REF!</v>
      </c>
      <c r="AD13" s="11" t="e">
        <f ca="1">IF(History!AH$2="","",#REF!*$C$13)</f>
        <v>#REF!</v>
      </c>
      <c r="AE13" s="11" t="e">
        <f ca="1">IF(History!AI$2="","",#REF!*$C$13)</f>
        <v>#REF!</v>
      </c>
      <c r="AF13" s="11" t="e">
        <f ca="1">IF(History!AJ$2="","",#REF!*$C$13)</f>
        <v>#REF!</v>
      </c>
      <c r="AG13" s="11" t="e">
        <f ca="1">IF(History!AK$2="","",#REF!*$C$13)</f>
        <v>#REF!</v>
      </c>
      <c r="AH13" s="11" t="e">
        <f ca="1">IF(History!AL$2="","",#REF!*$C$13)</f>
        <v>#REF!</v>
      </c>
      <c r="AI13" s="11" t="e">
        <f ca="1">IF(History!AM$2="","",#REF!*$C$13)</f>
        <v>#REF!</v>
      </c>
      <c r="AJ13" s="11" t="e">
        <f ca="1">IF(History!AN$2="","",#REF!*$C$13)</f>
        <v>#REF!</v>
      </c>
      <c r="AK13" s="11" t="e">
        <f ca="1">IF(History!AO$2="","",#REF!*$C$13)</f>
        <v>#REF!</v>
      </c>
      <c r="AL13" s="11" t="e">
        <f ca="1">IF(History!AP$2="","",#REF!*$C$13)</f>
        <v>#REF!</v>
      </c>
      <c r="AM13" s="11" t="e">
        <f ca="1">IF(History!AQ$2="","",#REF!*$C$13)</f>
        <v>#REF!</v>
      </c>
      <c r="AN13" s="11" t="e">
        <f ca="1">IF(History!AR$2="","",#REF!*$C$13)</f>
        <v>#REF!</v>
      </c>
      <c r="AO13" s="11" t="e">
        <f ca="1">IF(History!AS$2="","",#REF!*$C$13)</f>
        <v>#REF!</v>
      </c>
      <c r="AP13" s="11" t="e">
        <f ca="1">IF(History!AT$2="","",#REF!*$C$13)</f>
        <v>#REF!</v>
      </c>
      <c r="AQ13" s="11" t="e">
        <f ca="1">IF(History!AU$2="","",#REF!*$C$13)</f>
        <v>#REF!</v>
      </c>
      <c r="AR13" s="11" t="e">
        <f ca="1">IF(History!AV$2="","",#REF!*$C$13)</f>
        <v>#REF!</v>
      </c>
      <c r="AS13" s="11" t="e">
        <f ca="1">IF(History!AW$2="","",#REF!*$C$13)</f>
        <v>#REF!</v>
      </c>
      <c r="AT13" s="11" t="e">
        <f ca="1">IF(History!AX$2="","",#REF!*$C$13)</f>
        <v>#REF!</v>
      </c>
      <c r="AU13" s="11" t="e">
        <f ca="1">IF(History!AY$2="","",#REF!*$C$13)</f>
        <v>#REF!</v>
      </c>
      <c r="AV13" s="11" t="e">
        <f ca="1">IF(History!AZ$2="","",#REF!*$C$13)</f>
        <v>#REF!</v>
      </c>
      <c r="AW13" s="11" t="e">
        <f ca="1">IF(History!BA$2="","",#REF!*$C$13)</f>
        <v>#REF!</v>
      </c>
      <c r="AX13" s="11" t="e">
        <f ca="1">IF(History!BB$2="","",#REF!*$C$13)</f>
        <v>#REF!</v>
      </c>
      <c r="AY13" s="11" t="e">
        <f ca="1">IF(History!BC$2="","",#REF!*$C$13)</f>
        <v>#REF!</v>
      </c>
      <c r="AZ13" s="11" t="e">
        <f ca="1">IF(History!BD$2="","",#REF!*$C$13)</f>
        <v>#REF!</v>
      </c>
      <c r="BA13" s="11" t="e">
        <f ca="1">IF(History!BE$2="","",#REF!*$C$13)</f>
        <v>#REF!</v>
      </c>
      <c r="BB13" s="11" t="e">
        <f ca="1">IF(History!BF$2="","",#REF!*$C$13)</f>
        <v>#REF!</v>
      </c>
      <c r="BC13" s="11" t="e">
        <f ca="1">IF(History!BG$2="","",#REF!*$C$13)</f>
        <v>#REF!</v>
      </c>
      <c r="BD13" s="11" t="e">
        <f ca="1">IF(History!BH$2="","",#REF!*$C$13)</f>
        <v>#REF!</v>
      </c>
      <c r="BE13" s="11" t="e">
        <f ca="1">IF(History!BI$2="","",#REF!*$C$13)</f>
        <v>#REF!</v>
      </c>
      <c r="BF13" s="11" t="e">
        <f ca="1">IF(History!BJ$2="","",#REF!*$C$13)</f>
        <v>#REF!</v>
      </c>
      <c r="BG13" s="11" t="e">
        <f ca="1">IF(History!BK$2="","",#REF!*$C$13)</f>
        <v>#REF!</v>
      </c>
      <c r="BH13" s="11" t="e">
        <f ca="1">IF(History!BL$2="","",#REF!*$C$13)</f>
        <v>#REF!</v>
      </c>
      <c r="BI13" s="11" t="e">
        <f ca="1">IF(History!BM$2="","",#REF!*$C$13)</f>
        <v>#REF!</v>
      </c>
      <c r="BJ13" s="11" t="e">
        <f ca="1">IF(History!BN$2="","",#REF!*$C$13)</f>
        <v>#REF!</v>
      </c>
      <c r="BK13" s="11" t="e">
        <f ca="1">IF(History!BO$2="","",#REF!*$C$13)</f>
        <v>#REF!</v>
      </c>
      <c r="BL13" s="11" t="e">
        <f ca="1">IF(History!BP$2="","",#REF!*$C$13)</f>
        <v>#REF!</v>
      </c>
      <c r="BM13" s="11" t="e">
        <f ca="1">IF(History!BQ$2="","",#REF!*$C$13)</f>
        <v>#REF!</v>
      </c>
      <c r="BN13" s="11" t="e">
        <f ca="1">IF(History!BR$2="","",#REF!*$C$13)</f>
        <v>#REF!</v>
      </c>
      <c r="BO13" s="11" t="e">
        <f ca="1">IF(History!BS$2="","",#REF!*$C$13)</f>
        <v>#REF!</v>
      </c>
      <c r="BP13" s="11" t="e">
        <f ca="1">IF(History!BT$2="","",#REF!*$C$13)</f>
        <v>#REF!</v>
      </c>
      <c r="BQ13" s="11" t="e">
        <f ca="1">IF(History!BU$2="","",#REF!*$C$13)</f>
        <v>#REF!</v>
      </c>
      <c r="BR13" s="11" t="e">
        <f ca="1">IF(History!BV$2="","",#REF!*$C$13)</f>
        <v>#REF!</v>
      </c>
      <c r="BS13" s="11" t="e">
        <f ca="1">IF(History!BW$2="","",#REF!*$C$13)</f>
        <v>#REF!</v>
      </c>
      <c r="BT13" s="11" t="e">
        <f ca="1">IF(History!BX$2="","",#REF!*$C$13)</f>
        <v>#REF!</v>
      </c>
      <c r="BU13" s="11" t="e">
        <f ca="1">IF(History!BY$2="","",#REF!*$C$13)</f>
        <v>#REF!</v>
      </c>
      <c r="BV13" s="11" t="e">
        <f ca="1">IF(History!BZ$2="","",#REF!*$C$13)</f>
        <v>#REF!</v>
      </c>
      <c r="BW13" s="11" t="e">
        <f ca="1">IF(History!CA$2="","",#REF!*$C$13)</f>
        <v>#REF!</v>
      </c>
      <c r="BX13" s="11" t="e">
        <f ca="1">IF(History!CB$2="","",#REF!*$C$13)</f>
        <v>#REF!</v>
      </c>
      <c r="BY13" s="11" t="e">
        <f ca="1">IF(History!CC$2="","",#REF!*$C$13)</f>
        <v>#REF!</v>
      </c>
      <c r="BZ13" s="11" t="e">
        <f ca="1">IF(History!CD$2="","",#REF!*$C$13)</f>
        <v>#REF!</v>
      </c>
      <c r="CA13" s="11" t="e">
        <f ca="1">IF(History!CE$2="","",#REF!*$C$13)</f>
        <v>#REF!</v>
      </c>
      <c r="CB13" s="11" t="e">
        <f ca="1">IF(History!CF$2="","",#REF!*$C$13)</f>
        <v>#REF!</v>
      </c>
      <c r="CC13" s="11" t="e">
        <f ca="1">IF(History!CG$2="","",#REF!*$C$13)</f>
        <v>#REF!</v>
      </c>
      <c r="CD13" s="11" t="e">
        <f ca="1">IF(History!CH$2="","",#REF!*$C$13)</f>
        <v>#REF!</v>
      </c>
      <c r="CE13" s="11" t="e">
        <f ca="1">IF(History!CI$2="","",#REF!*$C$13)</f>
        <v>#REF!</v>
      </c>
      <c r="CF13" s="11" t="str">
        <f ca="1">IF(History!CJ$2="","",#REF!*$C$13)</f>
        <v/>
      </c>
      <c r="CG13" s="11" t="str">
        <f ca="1">IF(History!CK$2="","",#REF!*$C$13)</f>
        <v/>
      </c>
      <c r="CH13" s="11" t="str">
        <f ca="1">IF(History!CL$2="","",#REF!*$C$13)</f>
        <v/>
      </c>
      <c r="CI13" s="11" t="str">
        <f ca="1">IF(History!CM$2="","",#REF!*$C$13)</f>
        <v/>
      </c>
      <c r="CJ13" s="11" t="str">
        <f ca="1">IF(History!CN$2="","",#REF!*$C$13)</f>
        <v/>
      </c>
      <c r="CK13" s="11" t="str">
        <f ca="1">IF(History!CO$2="","",#REF!*$C$13)</f>
        <v/>
      </c>
      <c r="CL13" s="11" t="str">
        <f ca="1">IF(History!CP$2="","",#REF!*$C$13)</f>
        <v/>
      </c>
      <c r="CM13" s="11" t="str">
        <f ca="1">IF(History!CQ$2="","",#REF!*$C$13)</f>
        <v/>
      </c>
      <c r="CN13" s="11" t="str">
        <f ca="1">IF(History!CR$2="","",#REF!*$C$13)</f>
        <v/>
      </c>
      <c r="CO13" s="11" t="str">
        <f ca="1">IF(History!CS$2="","",#REF!*$C$13)</f>
        <v/>
      </c>
      <c r="CP13" s="11" t="str">
        <f ca="1">IF(History!CT$2="","",#REF!*$C$13)</f>
        <v/>
      </c>
      <c r="CQ13" s="11" t="str">
        <f ca="1">IF(History!CU$2="","",#REF!*$C$13)</f>
        <v/>
      </c>
      <c r="CR13" s="11" t="str">
        <f ca="1">IF(History!CV$2="","",#REF!*$C$13)</f>
        <v/>
      </c>
      <c r="CS13" s="11" t="str">
        <f ca="1">IF(History!CW$2="","",#REF!*$C$13)</f>
        <v/>
      </c>
      <c r="CT13" s="11" t="str">
        <f ca="1">IF(History!CX$2="","",#REF!*$C$13)</f>
        <v/>
      </c>
      <c r="CU13" s="11" t="str">
        <f ca="1">IF(History!CY$2="","",#REF!*$C$13)</f>
        <v/>
      </c>
      <c r="CV13" s="11" t="str">
        <f ca="1">IF(History!CZ$2="","",#REF!*$C$13)</f>
        <v/>
      </c>
      <c r="CW13" s="11" t="str">
        <f ca="1">IF(History!DA$2="","",#REF!*$C$13)</f>
        <v/>
      </c>
      <c r="CX13" s="11" t="str">
        <f ca="1">IF(History!DB$2="","",#REF!*$C$13)</f>
        <v/>
      </c>
      <c r="CY13" s="11" t="str">
        <f ca="1">IF(History!DC$2="","",#REF!*$C$13)</f>
        <v/>
      </c>
      <c r="CZ13" s="11" t="str">
        <f ca="1">IF(History!DD$2="","",#REF!*$C$13)</f>
        <v/>
      </c>
      <c r="DA13" s="11" t="str">
        <f ca="1">IF(History!DE$2="","",#REF!*$C$13)</f>
        <v/>
      </c>
      <c r="DB13" s="11" t="str">
        <f ca="1">IF(History!DF$2="","",#REF!*$C$13)</f>
        <v/>
      </c>
      <c r="DC13" s="11" t="str">
        <f ca="1">IF(History!DG$2="","",#REF!*$C$13)</f>
        <v/>
      </c>
      <c r="DD13" s="11" t="str">
        <f ca="1">IF(History!DH$2="","",#REF!*$C$13)</f>
        <v/>
      </c>
      <c r="DE13" s="11" t="str">
        <f ca="1">IF(History!DI$2="","",#REF!*$C$13)</f>
        <v/>
      </c>
      <c r="DF13" s="11" t="str">
        <f ca="1">IF(History!DJ$2="","",#REF!*$C$13)</f>
        <v/>
      </c>
      <c r="DG13" s="11" t="str">
        <f ca="1">IF(History!DK$2="","",#REF!*$C$13)</f>
        <v/>
      </c>
      <c r="DH13" s="11" t="str">
        <f ca="1">IF(History!DL$2="","",#REF!*$C$13)</f>
        <v/>
      </c>
      <c r="DI13" s="11" t="str">
        <f ca="1">IF(History!DM$2="","",#REF!*$C$13)</f>
        <v/>
      </c>
      <c r="DJ13" s="11" t="str">
        <f ca="1">IF(History!DN$2="","",#REF!*$C$13)</f>
        <v/>
      </c>
      <c r="DK13" s="11" t="str">
        <f ca="1">IF(History!DO$2="","",#REF!*$C$13)</f>
        <v/>
      </c>
      <c r="DL13" s="11" t="str">
        <f ca="1">IF(History!DP$2="","",#REF!*$C$13)</f>
        <v/>
      </c>
      <c r="DM13" s="11" t="str">
        <f ca="1">IF(History!DQ$2="","",#REF!*$C$13)</f>
        <v/>
      </c>
      <c r="DN13" s="11" t="str">
        <f ca="1">IF(History!DR$2="","",#REF!*$C$13)</f>
        <v/>
      </c>
      <c r="DO13" s="11" t="str">
        <f ca="1">IF(History!DS$2="","",#REF!*$C$13)</f>
        <v/>
      </c>
      <c r="DP13" s="11" t="str">
        <f ca="1">IF(History!DT$2="","",#REF!*$C$13)</f>
        <v/>
      </c>
      <c r="DQ13" s="11" t="str">
        <f ca="1">IF(History!DU$2="","",#REF!*$C$13)</f>
        <v/>
      </c>
      <c r="DR13" s="11" t="str">
        <f ca="1">IF(History!DV$2="","",#REF!*$C$13)</f>
        <v/>
      </c>
      <c r="DS13" s="11" t="str">
        <f ca="1">IF(History!DW$2="","",#REF!*$C$13)</f>
        <v/>
      </c>
      <c r="DT13" s="11" t="str">
        <f ca="1">IF(History!DX$2="","",#REF!*$C$13)</f>
        <v/>
      </c>
      <c r="DU13" s="11" t="str">
        <f ca="1">IF(History!DY$2="","",#REF!*$C$13)</f>
        <v/>
      </c>
      <c r="DV13" s="11" t="str">
        <f ca="1">IF(History!DZ$2="","",#REF!*$C$13)</f>
        <v/>
      </c>
      <c r="DW13" s="11" t="str">
        <f ca="1">IF(History!EA$2="","",#REF!*$C$13)</f>
        <v/>
      </c>
      <c r="DX13" s="11" t="str">
        <f ca="1">IF(History!EB$2="","",#REF!*$C$13)</f>
        <v/>
      </c>
      <c r="DY13" s="11" t="str">
        <f ca="1">IF(History!EC$2="","",#REF!*$C$13)</f>
        <v/>
      </c>
      <c r="DZ13" s="11" t="str">
        <f ca="1">IF(History!ED$2="","",#REF!*$C$13)</f>
        <v/>
      </c>
      <c r="EA13" s="11" t="str">
        <f ca="1">IF(History!EE$2="","",#REF!*$C$13)</f>
        <v/>
      </c>
      <c r="EB13" s="11" t="str">
        <f ca="1">IF(History!EF$2="","",#REF!*$C$13)</f>
        <v/>
      </c>
      <c r="EC13" s="11" t="str">
        <f ca="1">IF(History!EG$2="","",#REF!*$C$13)</f>
        <v/>
      </c>
      <c r="ED13" s="11" t="str">
        <f ca="1">IF(History!EH$2="","",#REF!*$C$13)</f>
        <v/>
      </c>
      <c r="EE13" s="11" t="str">
        <f ca="1">IF(History!EI$2="","",#REF!*$C$13)</f>
        <v/>
      </c>
      <c r="EF13" s="11" t="str">
        <f ca="1">IF(History!EJ$2="","",#REF!*$C$13)</f>
        <v/>
      </c>
      <c r="EG13" s="11" t="str">
        <f ca="1">IF(History!EK$2="","",#REF!*$C$13)</f>
        <v/>
      </c>
      <c r="EH13" s="11" t="str">
        <f ca="1">IF(History!EL$2="","",#REF!*$C$13)</f>
        <v/>
      </c>
      <c r="EI13" s="11" t="str">
        <f ca="1">IF(History!EM$2="","",#REF!*$C$13)</f>
        <v/>
      </c>
      <c r="EJ13" s="11" t="str">
        <f ca="1">IF(History!EN$2="","",#REF!*$C$13)</f>
        <v/>
      </c>
      <c r="EK13" s="11" t="str">
        <f ca="1">IF(History!EO$2="","",#REF!*$C$13)</f>
        <v/>
      </c>
      <c r="EL13" s="11" t="str">
        <f ca="1">IF(History!EP$2="","",#REF!*$C$13)</f>
        <v/>
      </c>
      <c r="EM13" s="11" t="str">
        <f ca="1">IF(History!EQ$2="","",#REF!*$C$13)</f>
        <v/>
      </c>
      <c r="EN13" s="11" t="str">
        <f ca="1">IF(History!ER$2="","",#REF!*$C$13)</f>
        <v/>
      </c>
      <c r="EO13" s="11" t="str">
        <f ca="1">IF(History!ES$2="","",#REF!*$C$13)</f>
        <v/>
      </c>
      <c r="EP13" s="11" t="str">
        <f ca="1">IF(History!ET$2="","",#REF!*$C$13)</f>
        <v/>
      </c>
      <c r="EQ13" s="11" t="str">
        <f ca="1">IF(History!EU$2="","",#REF!*$C$13)</f>
        <v/>
      </c>
      <c r="ER13" s="11" t="str">
        <f ca="1">IF(History!EV$2="","",#REF!*$C$13)</f>
        <v/>
      </c>
      <c r="ES13" s="11" t="str">
        <f ca="1">IF(History!EW$2="","",#REF!*$C$13)</f>
        <v/>
      </c>
      <c r="ET13" s="11" t="str">
        <f ca="1">IF(History!EX$2="","",#REF!*$C$13)</f>
        <v/>
      </c>
      <c r="EU13" s="11" t="str">
        <f ca="1">IF(History!EY$2="","",#REF!*$C$13)</f>
        <v/>
      </c>
      <c r="EV13" s="11" t="str">
        <f ca="1">IF(History!EZ$2="","",#REF!*$C$13)</f>
        <v/>
      </c>
      <c r="EW13" s="11" t="str">
        <f ca="1">IF(History!FA$2="","",#REF!*$C$13)</f>
        <v/>
      </c>
      <c r="EX13" s="11" t="str">
        <f ca="1">IF(History!FB$2="","",#REF!*$C$13)</f>
        <v/>
      </c>
      <c r="EY13" s="11" t="str">
        <f ca="1">IF(History!FC$2="","",#REF!*$C$13)</f>
        <v/>
      </c>
      <c r="EZ13" s="11" t="str">
        <f ca="1">IF(History!FD$2="","",#REF!*$C$13)</f>
        <v/>
      </c>
      <c r="FA13" s="11" t="str">
        <f ca="1">IF(History!FE$2="","",#REF!*$C$13)</f>
        <v/>
      </c>
      <c r="FB13" s="11" t="str">
        <f ca="1">IF(History!FF$2="","",#REF!*$C$13)</f>
        <v/>
      </c>
      <c r="FC13" s="11" t="str">
        <f ca="1">IF(History!FG$2="","",#REF!*$C$13)</f>
        <v/>
      </c>
      <c r="FD13" s="11" t="str">
        <f ca="1">IF(History!FH$2="","",#REF!*$C$13)</f>
        <v/>
      </c>
      <c r="FE13" s="11" t="str">
        <f ca="1">IF(History!FI$2="","",#REF!*$C$13)</f>
        <v/>
      </c>
      <c r="FF13" s="11" t="str">
        <f ca="1">IF(History!FJ$2="","",#REF!*$C$13)</f>
        <v/>
      </c>
      <c r="FG13" s="11" t="str">
        <f ca="1">IF(History!FK$2="","",#REF!*$C$13)</f>
        <v/>
      </c>
      <c r="FH13" s="11" t="str">
        <f ca="1">IF(History!FL$2="","",#REF!*$C$13)</f>
        <v/>
      </c>
      <c r="FI13" s="11" t="str">
        <f ca="1">IF(History!FM$2="","",#REF!*$C$13)</f>
        <v/>
      </c>
      <c r="FJ13" s="11" t="str">
        <f ca="1">IF(History!FN$2="","",#REF!*$C$13)</f>
        <v/>
      </c>
      <c r="FK13" s="11" t="str">
        <f ca="1">IF(History!FO$2="","",#REF!*$C$13)</f>
        <v/>
      </c>
      <c r="FL13" s="11" t="str">
        <f ca="1">IF(History!FP$2="","",#REF!*$C$13)</f>
        <v/>
      </c>
      <c r="FM13" s="11" t="str">
        <f ca="1">IF(History!FQ$2="","",#REF!*$C$13)</f>
        <v/>
      </c>
      <c r="FN13" s="11" t="str">
        <f ca="1">IF(History!FR$2="","",#REF!*$C$13)</f>
        <v/>
      </c>
      <c r="FO13" s="11" t="str">
        <f ca="1">IF(History!FS$2="","",#REF!*$C$13)</f>
        <v/>
      </c>
      <c r="FP13" s="11" t="str">
        <f ca="1">IF(History!FT$2="","",#REF!*$C$13)</f>
        <v/>
      </c>
      <c r="FQ13" s="11" t="str">
        <f ca="1">IF(History!FU$2="","",#REF!*$C$13)</f>
        <v/>
      </c>
      <c r="FR13" s="11" t="str">
        <f ca="1">IF(History!FV$2="","",#REF!*$C$13)</f>
        <v/>
      </c>
      <c r="FS13" s="11" t="str">
        <f ca="1">IF(History!FW$2="","",#REF!*$C$13)</f>
        <v/>
      </c>
      <c r="FT13" s="11" t="str">
        <f ca="1">IF(History!FX$2="","",#REF!*$C$13)</f>
        <v/>
      </c>
      <c r="FU13" s="11" t="str">
        <f ca="1">IF(History!FY$2="","",#REF!*$C$13)</f>
        <v/>
      </c>
      <c r="FV13" s="11" t="str">
        <f ca="1">IF(History!FZ$2="","",#REF!*$C$13)</f>
        <v/>
      </c>
      <c r="FW13" s="11" t="str">
        <f ca="1">IF(History!GA$2="","",#REF!*$C$13)</f>
        <v/>
      </c>
      <c r="FX13" s="11" t="str">
        <f ca="1">IF(History!GB$2="","",#REF!*$C$13)</f>
        <v/>
      </c>
      <c r="FY13" s="11" t="str">
        <f ca="1">IF(History!GC$2="","",#REF!*$C$13)</f>
        <v/>
      </c>
      <c r="FZ13" s="11" t="str">
        <f ca="1">IF(History!GD$2="","",#REF!*$C$13)</f>
        <v/>
      </c>
      <c r="GA13" s="11" t="str">
        <f ca="1">IF(History!GE$2="","",#REF!*$C$13)</f>
        <v/>
      </c>
      <c r="GB13" s="11" t="str">
        <f ca="1">IF(History!GF$2="","",#REF!*$C$13)</f>
        <v/>
      </c>
      <c r="GC13" s="11" t="str">
        <f ca="1">IF(History!GG$2="","",#REF!*$C$13)</f>
        <v/>
      </c>
      <c r="GD13" s="11" t="str">
        <f ca="1">IF(History!GH$2="","",#REF!*$C$13)</f>
        <v/>
      </c>
      <c r="GE13" s="11" t="str">
        <f ca="1">IF(History!GI$2="","",#REF!*$C$13)</f>
        <v/>
      </c>
      <c r="GF13" s="11" t="str">
        <f ca="1">IF(History!GJ$2="","",#REF!*$C$13)</f>
        <v/>
      </c>
      <c r="GG13" s="11" t="str">
        <f ca="1">IF(History!GK$2="","",#REF!*$C$13)</f>
        <v/>
      </c>
      <c r="GH13" s="11" t="str">
        <f ca="1">IF(History!GL$2="","",#REF!*$C$13)</f>
        <v/>
      </c>
      <c r="GI13" s="11" t="str">
        <f ca="1">IF(History!GM$2="","",#REF!*$C$13)</f>
        <v/>
      </c>
      <c r="GJ13" s="11" t="str">
        <f ca="1">IF(History!GN$2="","",#REF!*$C$13)</f>
        <v/>
      </c>
      <c r="GK13" s="11" t="str">
        <f ca="1">IF(History!GO$2="","",#REF!*$C$13)</f>
        <v/>
      </c>
      <c r="GL13" s="11" t="str">
        <f ca="1">IF(History!GP$2="","",#REF!*$C$13)</f>
        <v/>
      </c>
      <c r="GM13" s="11" t="str">
        <f ca="1">IF(History!GQ$2="","",#REF!*$C$13)</f>
        <v/>
      </c>
      <c r="GN13" s="11" t="str">
        <f ca="1">IF(History!GR$2="","",#REF!*$C$13)</f>
        <v/>
      </c>
      <c r="GO13" s="11" t="str">
        <f ca="1">IF(History!GS$2="","",#REF!*$C$13)</f>
        <v/>
      </c>
      <c r="GP13" s="11" t="str">
        <f ca="1">IF(History!GT$2="","",#REF!*$C$13)</f>
        <v/>
      </c>
      <c r="GQ13" s="11" t="str">
        <f ca="1">IF(History!GU$2="","",#REF!*$C$13)</f>
        <v/>
      </c>
      <c r="GR13" s="11" t="str">
        <f ca="1">IF(History!GV$2="","",#REF!*$C$13)</f>
        <v/>
      </c>
      <c r="GS13" s="11" t="str">
        <f ca="1">IF(History!GW$2="","",#REF!*$C$13)</f>
        <v/>
      </c>
      <c r="GT13" s="11" t="str">
        <f ca="1">IF(History!GX$2="","",#REF!*$C$13)</f>
        <v/>
      </c>
      <c r="GU13" s="11" t="str">
        <f ca="1">IF(History!GY$2="","",#REF!*$C$13)</f>
        <v/>
      </c>
      <c r="GV13" s="11" t="str">
        <f ca="1">IF(History!GZ$2="","",#REF!*$C$13)</f>
        <v/>
      </c>
      <c r="GW13" s="11" t="str">
        <f ca="1">IF(History!HA$2="","",#REF!*$C$13)</f>
        <v/>
      </c>
      <c r="GX13" s="11" t="str">
        <f ca="1">IF(History!HB$2="","",#REF!*$C$13)</f>
        <v/>
      </c>
      <c r="GY13" s="11" t="str">
        <f ca="1">IF(History!HC$2="","",#REF!*$C$13)</f>
        <v/>
      </c>
      <c r="GZ13" s="11" t="str">
        <f ca="1">IF(History!HD$2="","",#REF!*$C$13)</f>
        <v/>
      </c>
      <c r="HA13" s="11" t="str">
        <f ca="1">IF(History!HE$2="","",#REF!*$C$13)</f>
        <v/>
      </c>
      <c r="HB13" s="11" t="str">
        <f ca="1">IF(History!HF$2="","",#REF!*$C$13)</f>
        <v/>
      </c>
      <c r="HC13" s="11" t="str">
        <f ca="1">IF(History!HG$2="","",#REF!*$C$13)</f>
        <v/>
      </c>
      <c r="HD13" s="11" t="str">
        <f ca="1">IF(History!HH$2="","",#REF!*$C$13)</f>
        <v/>
      </c>
      <c r="HE13" s="11" t="str">
        <f ca="1">IF(History!HI$2="","",#REF!*$C$13)</f>
        <v/>
      </c>
      <c r="HF13" s="11" t="str">
        <f ca="1">IF(History!HJ$2="","",#REF!*$C$13)</f>
        <v/>
      </c>
      <c r="HG13" s="11" t="str">
        <f ca="1">IF(History!HK$2="","",#REF!*$C$13)</f>
        <v/>
      </c>
      <c r="HH13" s="11" t="str">
        <f ca="1">IF(History!HL$2="","",#REF!*$C$13)</f>
        <v/>
      </c>
      <c r="HI13" s="11" t="str">
        <f ca="1">IF(History!HM$2="","",#REF!*$C$13)</f>
        <v/>
      </c>
      <c r="HJ13" s="11" t="str">
        <f ca="1">IF(History!HN$2="","",#REF!*$C$13)</f>
        <v/>
      </c>
      <c r="HK13" s="11" t="str">
        <f ca="1">IF(History!HO$2="","",#REF!*$C$13)</f>
        <v/>
      </c>
      <c r="HL13" s="11" t="str">
        <f ca="1">IF(History!HP$2="","",#REF!*$C$13)</f>
        <v/>
      </c>
      <c r="HM13" s="11" t="str">
        <f ca="1">IF(History!HQ$2="","",#REF!*$C$13)</f>
        <v/>
      </c>
      <c r="HN13" s="11" t="str">
        <f ca="1">IF(History!HR$2="","",#REF!*$C$13)</f>
        <v/>
      </c>
      <c r="HO13" s="11" t="str">
        <f ca="1">IF(History!HS$2="","",#REF!*$C$13)</f>
        <v/>
      </c>
      <c r="HP13" s="11" t="str">
        <f ca="1">IF(History!HT$2="","",#REF!*$C$13)</f>
        <v/>
      </c>
      <c r="HQ13" s="11" t="str">
        <f ca="1">IF(History!HU$2="","",#REF!*$C$13)</f>
        <v/>
      </c>
      <c r="HR13" s="11" t="str">
        <f ca="1">IF(History!HV$2="","",#REF!*$C$13)</f>
        <v/>
      </c>
      <c r="HS13" s="11" t="str">
        <f ca="1">IF(History!HW$2="","",#REF!*$C$13)</f>
        <v/>
      </c>
      <c r="HT13" s="11" t="str">
        <f ca="1">IF(History!HX$2="","",#REF!*$C$13)</f>
        <v/>
      </c>
      <c r="HU13" s="11" t="str">
        <f ca="1">IF(History!HY$2="","",#REF!*$C$13)</f>
        <v/>
      </c>
      <c r="HV13" s="11" t="str">
        <f ca="1">IF(History!HZ$2="","",#REF!*$C$13)</f>
        <v/>
      </c>
      <c r="HW13" s="11" t="str">
        <f ca="1">IF(History!IA$2="","",#REF!*$C$13)</f>
        <v/>
      </c>
      <c r="HX13" s="11" t="str">
        <f ca="1">IF(History!IB$2="","",#REF!*$C$13)</f>
        <v/>
      </c>
      <c r="HY13" s="11" t="str">
        <f ca="1">IF(History!IC$2="","",#REF!*$C$13)</f>
        <v/>
      </c>
      <c r="HZ13" s="11" t="str">
        <f ca="1">IF(History!ID$2="","",#REF!*$C$13)</f>
        <v/>
      </c>
      <c r="IA13" s="11" t="str">
        <f ca="1">IF(History!IE$2="","",#REF!*$C$13)</f>
        <v/>
      </c>
      <c r="IB13" s="11" t="str">
        <f ca="1">IF(History!IF$2="","",#REF!*$C$13)</f>
        <v/>
      </c>
      <c r="IC13" s="11" t="str">
        <f ca="1">IF(History!IG$2="","",#REF!*$C$13)</f>
        <v/>
      </c>
      <c r="ID13" s="11" t="str">
        <f ca="1">IF(History!IH$2="","",#REF!*$C$13)</f>
        <v/>
      </c>
      <c r="IE13" s="11" t="str">
        <f ca="1">IF(History!II$2="","",#REF!*$C$13)</f>
        <v/>
      </c>
      <c r="IF13" s="11" t="str">
        <f ca="1">IF(History!IJ$2="","",#REF!*$C$13)</f>
        <v/>
      </c>
      <c r="IG13" s="11" t="str">
        <f ca="1">IF(History!IK$2="","",#REF!*$C$13)</f>
        <v/>
      </c>
      <c r="IH13" s="11" t="str">
        <f ca="1">IF(History!IL$2="","",#REF!*$C$13)</f>
        <v/>
      </c>
      <c r="II13" s="11" t="str">
        <f ca="1">IF(History!IM$2="","",#REF!*$C$13)</f>
        <v/>
      </c>
      <c r="IJ13" s="11" t="str">
        <f ca="1">IF(History!IN$2="","",#REF!*$C$13)</f>
        <v/>
      </c>
      <c r="IK13" s="11" t="str">
        <f ca="1">IF(History!IO$2="","",#REF!*$C$13)</f>
        <v/>
      </c>
      <c r="IL13" s="11" t="str">
        <f ca="1">IF(History!IP$2="","",#REF!*$C$13)</f>
        <v/>
      </c>
      <c r="IM13" s="11" t="str">
        <f ca="1">IF(History!IQ$2="","",#REF!*$C$13)</f>
        <v/>
      </c>
      <c r="IN13" s="11" t="str">
        <f ca="1">IF(History!IR$2="","",#REF!*$C$13)</f>
        <v/>
      </c>
      <c r="IO13" s="11" t="str">
        <f ca="1">IF(History!IS$2="","",#REF!*$C$13)</f>
        <v/>
      </c>
      <c r="IP13" s="11" t="str">
        <f ca="1">IF(History!IT$2="","",#REF!*$C$13)</f>
        <v/>
      </c>
      <c r="IQ13" s="11" t="str">
        <f ca="1">IF(History!IU$2="","",#REF!*$C$13)</f>
        <v/>
      </c>
      <c r="IR13" s="11" t="str">
        <f ca="1">IF(History!IV$2="","",#REF!*$C$13)</f>
        <v/>
      </c>
      <c r="IS13" s="11" t="str">
        <f ca="1">IF(History!IW$2="","",#REF!*$C$13)</f>
        <v/>
      </c>
      <c r="IT13" s="11" t="str">
        <f ca="1">IF(History!IX$2="","",#REF!*$C$13)</f>
        <v/>
      </c>
      <c r="IU13" s="11" t="str">
        <f ca="1">IF(History!IY$2="","",#REF!*$C$13)</f>
        <v/>
      </c>
      <c r="IV13" s="11" t="str">
        <f ca="1">IF(History!IZ$2="","",#REF!*$C$13)</f>
        <v/>
      </c>
      <c r="IW13" s="11" t="str">
        <f ca="1">IF(History!JA$2="","",#REF!*$C$13)</f>
        <v/>
      </c>
      <c r="IX13" s="11" t="str">
        <f ca="1">IF(History!JB$2="","",#REF!*$C$13)</f>
        <v/>
      </c>
      <c r="IY13" s="11" t="str">
        <f ca="1">IF(History!JC$2="","",#REF!*$C$13)</f>
        <v/>
      </c>
      <c r="IZ13" s="11" t="str">
        <f ca="1">IF(History!JD$2="","",#REF!*$C$13)</f>
        <v/>
      </c>
      <c r="JA13" s="11" t="str">
        <f ca="1">IF(History!JE$2="","",#REF!*$C$13)</f>
        <v/>
      </c>
      <c r="JB13" s="11" t="str">
        <f ca="1">IF(History!JF$2="","",#REF!*$C$13)</f>
        <v/>
      </c>
      <c r="JC13" s="11" t="str">
        <f ca="1">IF(History!JG$2="","",#REF!*$C$13)</f>
        <v/>
      </c>
      <c r="JD13" s="11" t="str">
        <f ca="1">IF(History!JH$2="","",#REF!*$C$13)</f>
        <v/>
      </c>
      <c r="JE13" s="11" t="str">
        <f ca="1">IF(History!JI$2="","",#REF!*$C$13)</f>
        <v/>
      </c>
      <c r="JF13" s="11" t="str">
        <f ca="1">IF(History!JJ$2="","",#REF!*$C$13)</f>
        <v/>
      </c>
      <c r="JG13" s="11" t="str">
        <f ca="1">IF(History!JK$2="","",#REF!*$C$13)</f>
        <v/>
      </c>
      <c r="JH13" s="11" t="str">
        <f ca="1">IF(History!JL$2="","",#REF!*$C$13)</f>
        <v/>
      </c>
      <c r="JI13" s="11" t="str">
        <f ca="1">IF(History!JM$2="","",#REF!*$C$13)</f>
        <v/>
      </c>
      <c r="JJ13" s="11" t="str">
        <f ca="1">IF(History!JN$2="","",#REF!*$C$13)</f>
        <v/>
      </c>
      <c r="JK13" s="11" t="str">
        <f ca="1">IF(History!JO$2="","",#REF!*$C$13)</f>
        <v/>
      </c>
      <c r="JL13" s="11" t="str">
        <f ca="1">IF(History!JP$2="","",#REF!*$C$13)</f>
        <v/>
      </c>
      <c r="JM13" s="11" t="str">
        <f ca="1">IF(History!JQ$2="","",#REF!*$C$13)</f>
        <v/>
      </c>
      <c r="JN13" s="11" t="str">
        <f ca="1">IF(History!JR$2="","",#REF!*$C$13)</f>
        <v/>
      </c>
      <c r="JO13" s="11" t="str">
        <f ca="1">IF(History!JS$2="","",#REF!*$C$13)</f>
        <v/>
      </c>
      <c r="JP13" s="11" t="str">
        <f ca="1">IF(History!JT$2="","",#REF!*$C$13)</f>
        <v/>
      </c>
      <c r="JQ13" s="11" t="str">
        <f ca="1">IF(History!JU$2="","",#REF!*$C$13)</f>
        <v/>
      </c>
      <c r="JR13" s="11" t="str">
        <f ca="1">IF(History!JV$2="","",#REF!*$C$13)</f>
        <v/>
      </c>
      <c r="JS13" s="11" t="str">
        <f ca="1">IF(History!JW$2="","",#REF!*$C$13)</f>
        <v/>
      </c>
      <c r="JT13" s="11" t="str">
        <f ca="1">IF(History!JX$2="","",#REF!*$C$13)</f>
        <v/>
      </c>
      <c r="JU13" s="11" t="str">
        <f ca="1">IF(History!JY$2="","",#REF!*$C$13)</f>
        <v/>
      </c>
      <c r="JV13" s="11" t="str">
        <f ca="1">IF(History!JZ$2="","",#REF!*$C$13)</f>
        <v/>
      </c>
      <c r="JW13" s="11" t="str">
        <f ca="1">IF(History!KA$2="","",#REF!*$C$13)</f>
        <v/>
      </c>
      <c r="JX13" s="11" t="str">
        <f ca="1">IF(History!KB$2="","",#REF!*$C$13)</f>
        <v/>
      </c>
      <c r="JY13" s="11" t="str">
        <f ca="1">IF(History!KC$2="","",#REF!*$C$13)</f>
        <v/>
      </c>
      <c r="JZ13" s="11" t="str">
        <f ca="1">IF(History!KD$2="","",#REF!*$C$13)</f>
        <v/>
      </c>
      <c r="KA13" s="11" t="str">
        <f ca="1">IF(History!KE$2="","",#REF!*$C$13)</f>
        <v/>
      </c>
      <c r="KB13" s="11" t="str">
        <f ca="1">IF(History!KF$2="","",#REF!*$C$13)</f>
        <v/>
      </c>
    </row>
    <row r="14" spans="1:288" ht="15.75" customHeight="1">
      <c r="A14" s="22" t="s">
        <v>30</v>
      </c>
      <c r="B14" s="6" t="s">
        <v>47</v>
      </c>
      <c r="C14" s="26">
        <v>1202</v>
      </c>
      <c r="D14" s="11">
        <f ca="1">IF(History!H$2="","",History!H3*$C$14)</f>
        <v>79368.06</v>
      </c>
      <c r="E14" s="11">
        <f ca="1">IF(History!I$2="","",History!I3*$C$14)</f>
        <v>80666.22</v>
      </c>
      <c r="F14" s="11">
        <f ca="1">IF(History!J$2="","",History!J3*$C$14)</f>
        <v>80870.559999999998</v>
      </c>
      <c r="G14" s="11">
        <f ca="1">IF(History!K$2="","",History!K3*$C$14)</f>
        <v>81471.56</v>
      </c>
      <c r="H14" s="11">
        <f ca="1">IF(History!L$2="","",History!L3*$C$14)</f>
        <v>80449.860000000015</v>
      </c>
      <c r="I14" s="11">
        <f ca="1">IF(History!M$2="","",History!M3*$C$14)</f>
        <v>78490.599999999991</v>
      </c>
      <c r="J14" s="11">
        <f ca="1">IF(History!N$2="","",History!N3*$C$14)</f>
        <v>77216.479999999996</v>
      </c>
      <c r="K14" s="11">
        <f ca="1">IF(History!O$2="","",History!O3*$C$14)</f>
        <v>77480.92</v>
      </c>
      <c r="L14" s="11">
        <f ca="1">IF(History!P$2="","",History!P3*$C$14)</f>
        <v>76050.540000000008</v>
      </c>
      <c r="M14" s="11">
        <f ca="1">IF(History!Q$2="","",History!Q3*$C$14)</f>
        <v>75365.400000000009</v>
      </c>
      <c r="N14" s="11">
        <f ca="1">IF(History!R$2="","",History!R3*$C$14)</f>
        <v>77060.22</v>
      </c>
      <c r="O14" s="11">
        <f ca="1">IF(History!S$2="","",History!S3*$C$14)</f>
        <v>77829.5</v>
      </c>
      <c r="P14" s="11">
        <f ca="1">IF(History!T$2="","",History!T3*$C$14)</f>
        <v>77108.3</v>
      </c>
      <c r="Q14" s="11">
        <f ca="1">IF(History!U$2="","",History!U3*$C$14)</f>
        <v>77757.37999999999</v>
      </c>
      <c r="R14" s="11">
        <f ca="1">IF(History!V$2="","",History!V3*$C$14)</f>
        <v>78274.240000000005</v>
      </c>
      <c r="S14" s="11">
        <f ca="1">IF(History!W$2="","",History!W3*$C$14)</f>
        <v>80005.12000000001</v>
      </c>
      <c r="T14" s="11">
        <f ca="1">IF(History!X$2="","",History!X3*$C$14)</f>
        <v>79608.460000000006</v>
      </c>
      <c r="U14" s="11">
        <f ca="1">IF(History!Y$2="","",History!Y3*$C$14)</f>
        <v>78442.52</v>
      </c>
      <c r="V14" s="11">
        <f ca="1">IF(History!Z$2="","",History!Z3*$C$14)</f>
        <v>79428.160000000003</v>
      </c>
      <c r="W14" s="11">
        <f ca="1">IF(History!AA$2="","",History!AA3*$C$14)</f>
        <v>79764.72</v>
      </c>
      <c r="X14" s="11">
        <f ca="1">IF(History!AB$2="","",History!AB3*$C$14)</f>
        <v>80678.240000000005</v>
      </c>
      <c r="Y14" s="11">
        <f ca="1">IF(History!AC$2="","",History!AC3*$C$14)</f>
        <v>81543.680000000008</v>
      </c>
      <c r="Z14" s="11">
        <f ca="1">IF(History!AD$2="","",History!AD3*$C$14)</f>
        <v>81135</v>
      </c>
      <c r="AA14" s="11">
        <f ca="1">IF(History!AE$2="","",History!AE3*$C$14)</f>
        <v>80714.3</v>
      </c>
      <c r="AB14" s="11">
        <f ca="1">IF(History!AF$2="","",History!AF3*$C$14)</f>
        <v>79884.92</v>
      </c>
      <c r="AC14" s="11">
        <f ca="1">IF(History!AG$2="","",History!AG3*$C$14)</f>
        <v>80534</v>
      </c>
      <c r="AD14" s="11">
        <f ca="1">IF(History!AH$2="","",History!AH3*$C$14)</f>
        <v>80473.900000000009</v>
      </c>
      <c r="AE14" s="11">
        <f ca="1">IF(History!AI$2="","",History!AI3*$C$14)</f>
        <v>77781.42</v>
      </c>
      <c r="AF14" s="11">
        <f ca="1">IF(History!AJ$2="","",History!AJ3*$C$14)</f>
        <v>77096.28</v>
      </c>
      <c r="AG14" s="11">
        <f ca="1">IF(History!AK$2="","",History!AK3*$C$14)</f>
        <v>76795.78</v>
      </c>
      <c r="AH14" s="11">
        <f ca="1">IF(History!AL$2="","",History!AL3*$C$14)</f>
        <v>75990.44</v>
      </c>
      <c r="AI14" s="11">
        <f ca="1">IF(History!AM$2="","",History!AM3*$C$14)</f>
        <v>72925.34</v>
      </c>
      <c r="AJ14" s="11">
        <f ca="1">IF(History!AN$2="","",History!AN3*$C$14)</f>
        <v>74499.959999999992</v>
      </c>
      <c r="AK14" s="11">
        <f ca="1">IF(History!AO$2="","",History!AO3*$C$14)</f>
        <v>71194.459999999992</v>
      </c>
      <c r="AL14" s="11">
        <f ca="1">IF(History!AP$2="","",History!AP3*$C$14)</f>
        <v>70425.180000000008</v>
      </c>
      <c r="AM14" s="11">
        <f ca="1">IF(History!AQ$2="","",History!AQ3*$C$14)</f>
        <v>71591.12000000001</v>
      </c>
      <c r="AN14" s="11">
        <f ca="1">IF(History!AR$2="","",History!AR3*$C$14)</f>
        <v>69259.239999999991</v>
      </c>
      <c r="AO14" s="11">
        <f ca="1">IF(History!AS$2="","",History!AS3*$C$14)</f>
        <v>68021.180000000008</v>
      </c>
      <c r="AP14" s="11">
        <f ca="1">IF(History!AT$2="","",History!AT3*$C$14)</f>
        <v>66771.099999999991</v>
      </c>
      <c r="AQ14" s="11">
        <f ca="1">IF(History!AU$2="","",History!AU3*$C$14)</f>
        <v>65953.739999999991</v>
      </c>
      <c r="AR14" s="11">
        <f ca="1">IF(History!AV$2="","",History!AV3*$C$14)</f>
        <v>67251.900000000009</v>
      </c>
      <c r="AS14" s="11">
        <f ca="1">IF(History!AW$2="","",History!AW3*$C$14)</f>
        <v>65965.760000000009</v>
      </c>
      <c r="AT14" s="11">
        <f ca="1">IF(History!AX$2="","",History!AX3*$C$14)</f>
        <v>65100.319999999992</v>
      </c>
      <c r="AU14" s="11">
        <f ca="1">IF(History!AY$2="","",History!AY3*$C$14)</f>
        <v>65184.46</v>
      </c>
      <c r="AV14" s="11">
        <f ca="1">IF(History!AZ$2="","",History!AZ3*$C$14)</f>
        <v>66242.22</v>
      </c>
      <c r="AW14" s="11">
        <f ca="1">IF(History!BA$2="","",History!BA3*$C$14)</f>
        <v>68273.599999999991</v>
      </c>
      <c r="AX14" s="11">
        <f ca="1">IF(History!BB$2="","",History!BB3*$C$14)</f>
        <v>68862.58</v>
      </c>
      <c r="AY14" s="11">
        <f ca="1">IF(History!BC$2="","",History!BC3*$C$14)</f>
        <v>68934.7</v>
      </c>
      <c r="AZ14" s="11">
        <f ca="1">IF(History!BD$2="","",History!BD3*$C$14)</f>
        <v>68489.959999999992</v>
      </c>
      <c r="BA14" s="11">
        <f ca="1">IF(History!BE$2="","",History!BE3*$C$14)</f>
        <v>69115</v>
      </c>
      <c r="BB14" s="11">
        <f ca="1">IF(History!BF$2="","",History!BF3*$C$14)</f>
        <v>67732.7</v>
      </c>
      <c r="BC14" s="11">
        <f ca="1">IF(History!BG$2="","",History!BG3*$C$14)</f>
        <v>67816.84</v>
      </c>
      <c r="BD14" s="11">
        <f ca="1">IF(History!BH$2="","",History!BH3*$C$14)</f>
        <v>68201.48</v>
      </c>
      <c r="BE14" s="11">
        <f ca="1">IF(History!BI$2="","",History!BI3*$C$14)</f>
        <v>67215.839999999997</v>
      </c>
      <c r="BF14" s="11">
        <f ca="1">IF(History!BJ$2="","",History!BJ3*$C$14)</f>
        <v>67876.94</v>
      </c>
      <c r="BG14" s="11">
        <f ca="1">IF(History!BK$2="","",History!BK3*$C$14)</f>
        <v>66073.94</v>
      </c>
      <c r="BH14" s="11">
        <f ca="1">IF(History!BL$2="","",History!BL3*$C$14)</f>
        <v>64186.799999999996</v>
      </c>
      <c r="BI14" s="11">
        <f ca="1">IF(History!BM$2="","",History!BM3*$C$14)</f>
        <v>62900.659999999996</v>
      </c>
      <c r="BJ14" s="11">
        <f ca="1">IF(History!BN$2="","",History!BN3*$C$14)</f>
        <v>63465.599999999999</v>
      </c>
      <c r="BK14" s="11">
        <f ca="1">IF(History!BO$2="","",History!BO3*$C$14)</f>
        <v>61999.159999999996</v>
      </c>
      <c r="BL14" s="11">
        <f ca="1">IF(History!BP$2="","",History!BP3*$C$14)</f>
        <v>60737.060000000005</v>
      </c>
      <c r="BM14" s="11">
        <f ca="1">IF(History!BQ$2="","",History!BQ3*$C$14)</f>
        <v>60136.060000000005</v>
      </c>
      <c r="BN14" s="11">
        <f ca="1">IF(History!BR$2="","",History!BR3*$C$14)</f>
        <v>61157.760000000002</v>
      </c>
      <c r="BO14" s="11">
        <f ca="1">IF(History!BS$2="","",History!BS3*$C$14)</f>
        <v>60761.1</v>
      </c>
      <c r="BP14" s="11">
        <f ca="1">IF(History!BT$2="","",History!BT3*$C$14)</f>
        <v>60508.680000000008</v>
      </c>
      <c r="BQ14" s="11">
        <f ca="1">IF(History!BU$2="","",History!BU3*$C$14)</f>
        <v>60280.299999999996</v>
      </c>
      <c r="BR14" s="11">
        <f ca="1">IF(History!BV$2="","",History!BV3*$C$14)</f>
        <v>61217.86</v>
      </c>
      <c r="BS14" s="11">
        <f ca="1">IF(History!BW$2="","",History!BW3*$C$14)</f>
        <v>62876.62</v>
      </c>
      <c r="BT14" s="11">
        <f ca="1">IF(History!BX$2="","",History!BX3*$C$14)</f>
        <v>63609.840000000004</v>
      </c>
      <c r="BU14" s="11">
        <f ca="1">IF(History!BY$2="","",History!BY3*$C$14)</f>
        <v>63826.200000000004</v>
      </c>
      <c r="BV14" s="11">
        <f ca="1">IF(History!BZ$2="","",History!BZ3*$C$14)</f>
        <v>63261.26</v>
      </c>
      <c r="BW14" s="11">
        <f ca="1">IF(History!CA$2="","",History!CA3*$C$14)</f>
        <v>61578.46</v>
      </c>
      <c r="BX14" s="11">
        <f ca="1">IF(History!CB$2="","",History!CB3*$C$14)</f>
        <v>61458.26</v>
      </c>
      <c r="BY14" s="11">
        <f ca="1">IF(History!CC$2="","",History!CC3*$C$14)</f>
        <v>60376.46</v>
      </c>
      <c r="BZ14" s="11">
        <f ca="1">IF(History!CD$2="","",History!CD3*$C$14)</f>
        <v>59619.200000000004</v>
      </c>
      <c r="CA14" s="11">
        <f ca="1">IF(History!CE$2="","",History!CE3*$C$14)</f>
        <v>60124.04</v>
      </c>
      <c r="CB14" s="11">
        <f ca="1">IF(History!CF$2="","",History!CF3*$C$14)</f>
        <v>57948.42</v>
      </c>
      <c r="CC14" s="11">
        <f ca="1">IF(History!CG$2="","",History!CG3*$C$14)</f>
        <v>58549.42</v>
      </c>
      <c r="CD14" s="11">
        <f ca="1">IF(History!CH$2="","",History!CH3*$C$14)</f>
        <v>60220.200000000004</v>
      </c>
      <c r="CE14" s="11">
        <f ca="1">IF(History!CI$2="","",History!CI3*$C$14)</f>
        <v>62780.46</v>
      </c>
      <c r="CF14" s="11" t="str">
        <f ca="1">IF(History!CJ$2="","",History!CJ3*$C$14)</f>
        <v/>
      </c>
      <c r="CG14" s="11" t="str">
        <f ca="1">IF(History!CK$2="","",History!CK3*$C$14)</f>
        <v/>
      </c>
      <c r="CH14" s="11" t="str">
        <f ca="1">IF(History!CL$2="","",History!CL3*$C$14)</f>
        <v/>
      </c>
      <c r="CI14" s="11" t="str">
        <f ca="1">IF(History!CM$2="","",History!CM3*$C$14)</f>
        <v/>
      </c>
      <c r="CJ14" s="11" t="str">
        <f ca="1">IF(History!CN$2="","",History!CN3*$C$14)</f>
        <v/>
      </c>
      <c r="CK14" s="11" t="str">
        <f ca="1">IF(History!CO$2="","",History!CO3*$C$14)</f>
        <v/>
      </c>
      <c r="CL14" s="11" t="str">
        <f ca="1">IF(History!CP$2="","",History!CP3*$C$14)</f>
        <v/>
      </c>
      <c r="CM14" s="11" t="str">
        <f ca="1">IF(History!CQ$2="","",History!CQ3*$C$14)</f>
        <v/>
      </c>
      <c r="CN14" s="11" t="str">
        <f ca="1">IF(History!CR$2="","",History!CR3*$C$14)</f>
        <v/>
      </c>
      <c r="CO14" s="11" t="str">
        <f ca="1">IF(History!CS$2="","",History!CS3*$C$14)</f>
        <v/>
      </c>
      <c r="CP14" s="11" t="str">
        <f ca="1">IF(History!CT$2="","",History!CT3*$C$14)</f>
        <v/>
      </c>
      <c r="CQ14" s="11" t="str">
        <f ca="1">IF(History!CU$2="","",History!CU3*$C$14)</f>
        <v/>
      </c>
      <c r="CR14" s="11" t="str">
        <f ca="1">IF(History!CV$2="","",History!CV3*$C$14)</f>
        <v/>
      </c>
      <c r="CS14" s="11" t="str">
        <f ca="1">IF(History!CW$2="","",History!CW3*$C$14)</f>
        <v/>
      </c>
      <c r="CT14" s="11" t="str">
        <f ca="1">IF(History!CX$2="","",History!CX3*$C$14)</f>
        <v/>
      </c>
      <c r="CU14" s="11" t="str">
        <f ca="1">IF(History!CY$2="","",History!CY3*$C$14)</f>
        <v/>
      </c>
      <c r="CV14" s="11" t="str">
        <f ca="1">IF(History!CZ$2="","",History!CZ3*$C$14)</f>
        <v/>
      </c>
      <c r="CW14" s="11" t="str">
        <f ca="1">IF(History!DA$2="","",History!DA3*$C$14)</f>
        <v/>
      </c>
      <c r="CX14" s="11" t="str">
        <f ca="1">IF(History!DB$2="","",History!DB3*$C$14)</f>
        <v/>
      </c>
      <c r="CY14" s="11" t="str">
        <f ca="1">IF(History!DC$2="","",History!DC3*$C$14)</f>
        <v/>
      </c>
      <c r="CZ14" s="11" t="str">
        <f ca="1">IF(History!DD$2="","",History!DD3*$C$14)</f>
        <v/>
      </c>
      <c r="DA14" s="11" t="str">
        <f ca="1">IF(History!DE$2="","",History!DE3*$C$14)</f>
        <v/>
      </c>
      <c r="DB14" s="11" t="str">
        <f ca="1">IF(History!DF$2="","",History!DF3*$C$14)</f>
        <v/>
      </c>
      <c r="DC14" s="11" t="str">
        <f ca="1">IF(History!DG$2="","",History!DG3*$C$14)</f>
        <v/>
      </c>
      <c r="DD14" s="11" t="str">
        <f ca="1">IF(History!DH$2="","",History!DH3*$C$14)</f>
        <v/>
      </c>
      <c r="DE14" s="11" t="str">
        <f ca="1">IF(History!DI$2="","",History!DI3*$C$14)</f>
        <v/>
      </c>
      <c r="DF14" s="11" t="str">
        <f ca="1">IF(History!DJ$2="","",History!DJ3*$C$14)</f>
        <v/>
      </c>
      <c r="DG14" s="11" t="str">
        <f ca="1">IF(History!DK$2="","",History!DK3*$C$14)</f>
        <v/>
      </c>
      <c r="DH14" s="11" t="str">
        <f ca="1">IF(History!DL$2="","",History!DL3*$C$14)</f>
        <v/>
      </c>
      <c r="DI14" s="11" t="str">
        <f ca="1">IF(History!DM$2="","",History!DM3*$C$14)</f>
        <v/>
      </c>
      <c r="DJ14" s="11" t="str">
        <f ca="1">IF(History!DN$2="","",History!DN3*$C$14)</f>
        <v/>
      </c>
      <c r="DK14" s="11" t="str">
        <f ca="1">IF(History!DO$2="","",History!DO3*$C$14)</f>
        <v/>
      </c>
      <c r="DL14" s="11" t="str">
        <f ca="1">IF(History!DP$2="","",History!DP3*$C$14)</f>
        <v/>
      </c>
      <c r="DM14" s="11" t="str">
        <f ca="1">IF(History!DQ$2="","",History!DQ3*$C$14)</f>
        <v/>
      </c>
      <c r="DN14" s="11" t="str">
        <f ca="1">IF(History!DR$2="","",History!DR3*$C$14)</f>
        <v/>
      </c>
      <c r="DO14" s="11" t="str">
        <f ca="1">IF(History!DS$2="","",History!DS3*$C$14)</f>
        <v/>
      </c>
      <c r="DP14" s="11" t="str">
        <f ca="1">IF(History!DT$2="","",History!DT3*$C$14)</f>
        <v/>
      </c>
      <c r="DQ14" s="11" t="str">
        <f ca="1">IF(History!DU$2="","",History!DU3*$C$14)</f>
        <v/>
      </c>
      <c r="DR14" s="11" t="str">
        <f ca="1">IF(History!DV$2="","",History!DV3*$C$14)</f>
        <v/>
      </c>
      <c r="DS14" s="11" t="str">
        <f ca="1">IF(History!DW$2="","",History!DW3*$C$14)</f>
        <v/>
      </c>
      <c r="DT14" s="11" t="str">
        <f ca="1">IF(History!DX$2="","",History!DX3*$C$14)</f>
        <v/>
      </c>
      <c r="DU14" s="11" t="str">
        <f ca="1">IF(History!DY$2="","",History!DY3*$C$14)</f>
        <v/>
      </c>
      <c r="DV14" s="11" t="str">
        <f ca="1">IF(History!DZ$2="","",History!DZ3*$C$14)</f>
        <v/>
      </c>
      <c r="DW14" s="11" t="str">
        <f ca="1">IF(History!EA$2="","",History!EA3*$C$14)</f>
        <v/>
      </c>
      <c r="DX14" s="11" t="str">
        <f ca="1">IF(History!EB$2="","",History!EB3*$C$14)</f>
        <v/>
      </c>
      <c r="DY14" s="11" t="str">
        <f ca="1">IF(History!EC$2="","",History!EC3*$C$14)</f>
        <v/>
      </c>
      <c r="DZ14" s="11" t="str">
        <f ca="1">IF(History!ED$2="","",History!ED3*$C$14)</f>
        <v/>
      </c>
      <c r="EA14" s="11" t="str">
        <f ca="1">IF(History!EE$2="","",History!EE3*$C$14)</f>
        <v/>
      </c>
      <c r="EB14" s="11" t="str">
        <f ca="1">IF(History!EF$2="","",History!EF3*$C$14)</f>
        <v/>
      </c>
      <c r="EC14" s="11" t="str">
        <f ca="1">IF(History!EG$2="","",History!EG3*$C$14)</f>
        <v/>
      </c>
      <c r="ED14" s="11" t="str">
        <f ca="1">IF(History!EH$2="","",History!EH3*$C$14)</f>
        <v/>
      </c>
      <c r="EE14" s="11" t="str">
        <f ca="1">IF(History!EI$2="","",History!EI3*$C$14)</f>
        <v/>
      </c>
      <c r="EF14" s="11" t="str">
        <f ca="1">IF(History!EJ$2="","",History!EJ3*$C$14)</f>
        <v/>
      </c>
      <c r="EG14" s="11" t="str">
        <f ca="1">IF(History!EK$2="","",History!EK3*$C$14)</f>
        <v/>
      </c>
      <c r="EH14" s="11" t="str">
        <f ca="1">IF(History!EL$2="","",History!EL3*$C$14)</f>
        <v/>
      </c>
      <c r="EI14" s="11" t="str">
        <f ca="1">IF(History!EM$2="","",History!EM3*$C$14)</f>
        <v/>
      </c>
      <c r="EJ14" s="11" t="str">
        <f ca="1">IF(History!EN$2="","",History!EN3*$C$14)</f>
        <v/>
      </c>
      <c r="EK14" s="11" t="str">
        <f ca="1">IF(History!EO$2="","",History!EO3*$C$14)</f>
        <v/>
      </c>
      <c r="EL14" s="11" t="str">
        <f ca="1">IF(History!EP$2="","",History!EP3*$C$14)</f>
        <v/>
      </c>
      <c r="EM14" s="11" t="str">
        <f ca="1">IF(History!EQ$2="","",History!EQ3*$C$14)</f>
        <v/>
      </c>
      <c r="EN14" s="11" t="str">
        <f ca="1">IF(History!ER$2="","",History!ER3*$C$14)</f>
        <v/>
      </c>
      <c r="EO14" s="11" t="str">
        <f ca="1">IF(History!ES$2="","",History!ES3*$C$14)</f>
        <v/>
      </c>
      <c r="EP14" s="11" t="str">
        <f ca="1">IF(History!ET$2="","",History!ET3*$C$14)</f>
        <v/>
      </c>
      <c r="EQ14" s="11" t="str">
        <f ca="1">IF(History!EU$2="","",History!EU3*$C$14)</f>
        <v/>
      </c>
      <c r="ER14" s="11" t="str">
        <f ca="1">IF(History!EV$2="","",History!EV3*$C$14)</f>
        <v/>
      </c>
      <c r="ES14" s="11" t="str">
        <f ca="1">IF(History!EW$2="","",History!EW3*$C$14)</f>
        <v/>
      </c>
      <c r="ET14" s="11" t="str">
        <f ca="1">IF(History!EX$2="","",History!EX3*$C$14)</f>
        <v/>
      </c>
      <c r="EU14" s="11" t="str">
        <f ca="1">IF(History!EY$2="","",History!EY3*$C$14)</f>
        <v/>
      </c>
      <c r="EV14" s="11" t="str">
        <f ca="1">IF(History!EZ$2="","",History!EZ3*$C$14)</f>
        <v/>
      </c>
      <c r="EW14" s="11" t="str">
        <f ca="1">IF(History!FA$2="","",History!FA3*$C$14)</f>
        <v/>
      </c>
      <c r="EX14" s="11" t="str">
        <f ca="1">IF(History!FB$2="","",History!FB3*$C$14)</f>
        <v/>
      </c>
      <c r="EY14" s="11" t="str">
        <f ca="1">IF(History!FC$2="","",History!FC3*$C$14)</f>
        <v/>
      </c>
      <c r="EZ14" s="11" t="str">
        <f ca="1">IF(History!FD$2="","",History!FD3*$C$14)</f>
        <v/>
      </c>
      <c r="FA14" s="11" t="str">
        <f ca="1">IF(History!FE$2="","",History!FE3*$C$14)</f>
        <v/>
      </c>
      <c r="FB14" s="11" t="str">
        <f ca="1">IF(History!FF$2="","",History!FF3*$C$14)</f>
        <v/>
      </c>
      <c r="FC14" s="11" t="str">
        <f ca="1">IF(History!FG$2="","",History!FG3*$C$14)</f>
        <v/>
      </c>
      <c r="FD14" s="11" t="str">
        <f ca="1">IF(History!FH$2="","",History!FH3*$C$14)</f>
        <v/>
      </c>
      <c r="FE14" s="11" t="str">
        <f ca="1">IF(History!FI$2="","",History!FI3*$C$14)</f>
        <v/>
      </c>
      <c r="FF14" s="11" t="str">
        <f ca="1">IF(History!FJ$2="","",History!FJ3*$C$14)</f>
        <v/>
      </c>
      <c r="FG14" s="11" t="str">
        <f ca="1">IF(History!FK$2="","",History!FK3*$C$14)</f>
        <v/>
      </c>
      <c r="FH14" s="11" t="str">
        <f ca="1">IF(History!FL$2="","",History!FL3*$C$14)</f>
        <v/>
      </c>
      <c r="FI14" s="11" t="str">
        <f ca="1">IF(History!FM$2="","",History!FM3*$C$14)</f>
        <v/>
      </c>
      <c r="FJ14" s="11" t="str">
        <f ca="1">IF(History!FN$2="","",History!FN3*$C$14)</f>
        <v/>
      </c>
      <c r="FK14" s="11" t="str">
        <f ca="1">IF(History!FO$2="","",History!FO3*$C$14)</f>
        <v/>
      </c>
      <c r="FL14" s="11" t="str">
        <f ca="1">IF(History!FP$2="","",History!FP3*$C$14)</f>
        <v/>
      </c>
      <c r="FM14" s="11" t="str">
        <f ca="1">IF(History!FQ$2="","",History!FQ3*$C$14)</f>
        <v/>
      </c>
      <c r="FN14" s="11" t="str">
        <f ca="1">IF(History!FR$2="","",History!FR3*$C$14)</f>
        <v/>
      </c>
      <c r="FO14" s="11" t="str">
        <f ca="1">IF(History!FS$2="","",History!FS3*$C$14)</f>
        <v/>
      </c>
      <c r="FP14" s="11" t="str">
        <f ca="1">IF(History!FT$2="","",History!FT3*$C$14)</f>
        <v/>
      </c>
      <c r="FQ14" s="11" t="str">
        <f ca="1">IF(History!FU$2="","",History!FU3*$C$14)</f>
        <v/>
      </c>
      <c r="FR14" s="11" t="str">
        <f ca="1">IF(History!FV$2="","",History!FV3*$C$14)</f>
        <v/>
      </c>
      <c r="FS14" s="11" t="str">
        <f ca="1">IF(History!FW$2="","",History!FW3*$C$14)</f>
        <v/>
      </c>
      <c r="FT14" s="11" t="str">
        <f ca="1">IF(History!FX$2="","",History!FX3*$C$14)</f>
        <v/>
      </c>
      <c r="FU14" s="11" t="str">
        <f ca="1">IF(History!FY$2="","",History!FY3*$C$14)</f>
        <v/>
      </c>
      <c r="FV14" s="11" t="str">
        <f ca="1">IF(History!FZ$2="","",History!FZ3*$C$14)</f>
        <v/>
      </c>
      <c r="FW14" s="11" t="str">
        <f ca="1">IF(History!GA$2="","",History!GA3*$C$14)</f>
        <v/>
      </c>
      <c r="FX14" s="11" t="str">
        <f ca="1">IF(History!GB$2="","",History!GB3*$C$14)</f>
        <v/>
      </c>
      <c r="FY14" s="11" t="str">
        <f ca="1">IF(History!GC$2="","",History!GC3*$C$14)</f>
        <v/>
      </c>
      <c r="FZ14" s="11" t="str">
        <f ca="1">IF(History!GD$2="","",History!GD3*$C$14)</f>
        <v/>
      </c>
      <c r="GA14" s="11" t="str">
        <f ca="1">IF(History!GE$2="","",History!GE3*$C$14)</f>
        <v/>
      </c>
      <c r="GB14" s="11" t="str">
        <f ca="1">IF(History!GF$2="","",History!GF3*$C$14)</f>
        <v/>
      </c>
      <c r="GC14" s="11" t="str">
        <f ca="1">IF(History!GG$2="","",History!GG3*$C$14)</f>
        <v/>
      </c>
      <c r="GD14" s="11" t="str">
        <f ca="1">IF(History!GH$2="","",History!GH3*$C$14)</f>
        <v/>
      </c>
      <c r="GE14" s="11" t="str">
        <f ca="1">IF(History!GI$2="","",History!GI3*$C$14)</f>
        <v/>
      </c>
      <c r="GF14" s="11" t="str">
        <f ca="1">IF(History!GJ$2="","",History!GJ3*$C$14)</f>
        <v/>
      </c>
      <c r="GG14" s="11" t="str">
        <f ca="1">IF(History!GK$2="","",History!GK3*$C$14)</f>
        <v/>
      </c>
      <c r="GH14" s="11" t="str">
        <f ca="1">IF(History!GL$2="","",History!GL3*$C$14)</f>
        <v/>
      </c>
      <c r="GI14" s="11" t="str">
        <f ca="1">IF(History!GM$2="","",History!GM3*$C$14)</f>
        <v/>
      </c>
      <c r="GJ14" s="11" t="str">
        <f ca="1">IF(History!GN$2="","",History!GN3*$C$14)</f>
        <v/>
      </c>
      <c r="GK14" s="11" t="str">
        <f ca="1">IF(History!GO$2="","",History!GO3*$C$14)</f>
        <v/>
      </c>
      <c r="GL14" s="11" t="str">
        <f ca="1">IF(History!GP$2="","",History!GP3*$C$14)</f>
        <v/>
      </c>
      <c r="GM14" s="11" t="str">
        <f ca="1">IF(History!GQ$2="","",History!GQ3*$C$14)</f>
        <v/>
      </c>
      <c r="GN14" s="11" t="str">
        <f ca="1">IF(History!GR$2="","",History!GR3*$C$14)</f>
        <v/>
      </c>
      <c r="GO14" s="11" t="str">
        <f ca="1">IF(History!GS$2="","",History!GS3*$C$14)</f>
        <v/>
      </c>
      <c r="GP14" s="11" t="str">
        <f ca="1">IF(History!GT$2="","",History!GT3*$C$14)</f>
        <v/>
      </c>
      <c r="GQ14" s="11" t="str">
        <f ca="1">IF(History!GU$2="","",History!GU3*$C$14)</f>
        <v/>
      </c>
      <c r="GR14" s="11" t="str">
        <f ca="1">IF(History!GV$2="","",History!GV3*$C$14)</f>
        <v/>
      </c>
      <c r="GS14" s="11" t="str">
        <f ca="1">IF(History!GW$2="","",History!GW3*$C$14)</f>
        <v/>
      </c>
      <c r="GT14" s="11" t="str">
        <f ca="1">IF(History!GX$2="","",History!GX3*$C$14)</f>
        <v/>
      </c>
      <c r="GU14" s="11" t="str">
        <f ca="1">IF(History!GY$2="","",History!GY3*$C$14)</f>
        <v/>
      </c>
      <c r="GV14" s="11" t="str">
        <f ca="1">IF(History!GZ$2="","",History!GZ3*$C$14)</f>
        <v/>
      </c>
      <c r="GW14" s="11" t="str">
        <f ca="1">IF(History!HA$2="","",History!HA3*$C$14)</f>
        <v/>
      </c>
      <c r="GX14" s="11" t="str">
        <f ca="1">IF(History!HB$2="","",History!HB3*$C$14)</f>
        <v/>
      </c>
      <c r="GY14" s="11" t="str">
        <f ca="1">IF(History!HC$2="","",History!HC3*$C$14)</f>
        <v/>
      </c>
      <c r="GZ14" s="11" t="str">
        <f ca="1">IF(History!HD$2="","",History!HD3*$C$14)</f>
        <v/>
      </c>
      <c r="HA14" s="11" t="str">
        <f ca="1">IF(History!HE$2="","",History!HE3*$C$14)</f>
        <v/>
      </c>
      <c r="HB14" s="11" t="str">
        <f ca="1">IF(History!HF$2="","",History!HF3*$C$14)</f>
        <v/>
      </c>
      <c r="HC14" s="11" t="str">
        <f ca="1">IF(History!HG$2="","",History!HG3*$C$14)</f>
        <v/>
      </c>
      <c r="HD14" s="11" t="str">
        <f ca="1">IF(History!HH$2="","",History!HH3*$C$14)</f>
        <v/>
      </c>
      <c r="HE14" s="11" t="str">
        <f ca="1">IF(History!HI$2="","",History!HI3*$C$14)</f>
        <v/>
      </c>
      <c r="HF14" s="11" t="str">
        <f ca="1">IF(History!HJ$2="","",History!HJ3*$C$14)</f>
        <v/>
      </c>
      <c r="HG14" s="11" t="str">
        <f ca="1">IF(History!HK$2="","",History!HK3*$C$14)</f>
        <v/>
      </c>
      <c r="HH14" s="11" t="str">
        <f ca="1">IF(History!HL$2="","",History!HL3*$C$14)</f>
        <v/>
      </c>
      <c r="HI14" s="11" t="str">
        <f ca="1">IF(History!HM$2="","",History!HM3*$C$14)</f>
        <v/>
      </c>
      <c r="HJ14" s="11" t="str">
        <f ca="1">IF(History!HN$2="","",History!HN3*$C$14)</f>
        <v/>
      </c>
      <c r="HK14" s="11" t="str">
        <f ca="1">IF(History!HO$2="","",History!HO3*$C$14)</f>
        <v/>
      </c>
      <c r="HL14" s="11" t="str">
        <f ca="1">IF(History!HP$2="","",History!HP3*$C$14)</f>
        <v/>
      </c>
      <c r="HM14" s="11" t="str">
        <f ca="1">IF(History!HQ$2="","",History!HQ3*$C$14)</f>
        <v/>
      </c>
      <c r="HN14" s="11" t="str">
        <f ca="1">IF(History!HR$2="","",History!HR3*$C$14)</f>
        <v/>
      </c>
      <c r="HO14" s="11" t="str">
        <f ca="1">IF(History!HS$2="","",History!HS3*$C$14)</f>
        <v/>
      </c>
      <c r="HP14" s="11" t="str">
        <f ca="1">IF(History!HT$2="","",History!HT3*$C$14)</f>
        <v/>
      </c>
      <c r="HQ14" s="11" t="str">
        <f ca="1">IF(History!HU$2="","",History!HU3*$C$14)</f>
        <v/>
      </c>
      <c r="HR14" s="11" t="str">
        <f ca="1">IF(History!HV$2="","",History!HV3*$C$14)</f>
        <v/>
      </c>
      <c r="HS14" s="11" t="str">
        <f ca="1">IF(History!HW$2="","",History!HW3*$C$14)</f>
        <v/>
      </c>
      <c r="HT14" s="11" t="str">
        <f ca="1">IF(History!HX$2="","",History!HX3*$C$14)</f>
        <v/>
      </c>
      <c r="HU14" s="11" t="str">
        <f ca="1">IF(History!HY$2="","",History!HY3*$C$14)</f>
        <v/>
      </c>
      <c r="HV14" s="11" t="str">
        <f ca="1">IF(History!HZ$2="","",History!HZ3*$C$14)</f>
        <v/>
      </c>
      <c r="HW14" s="11" t="str">
        <f ca="1">IF(History!IA$2="","",History!IA3*$C$14)</f>
        <v/>
      </c>
      <c r="HX14" s="11" t="str">
        <f ca="1">IF(History!IB$2="","",History!IB3*$C$14)</f>
        <v/>
      </c>
      <c r="HY14" s="11" t="str">
        <f ca="1">IF(History!IC$2="","",History!IC3*$C$14)</f>
        <v/>
      </c>
      <c r="HZ14" s="11" t="str">
        <f ca="1">IF(History!ID$2="","",History!ID3*$C$14)</f>
        <v/>
      </c>
      <c r="IA14" s="11" t="str">
        <f ca="1">IF(History!IE$2="","",History!IE3*$C$14)</f>
        <v/>
      </c>
      <c r="IB14" s="11" t="str">
        <f ca="1">IF(History!IF$2="","",History!IF3*$C$14)</f>
        <v/>
      </c>
      <c r="IC14" s="11" t="str">
        <f ca="1">IF(History!IG$2="","",History!IG3*$C$14)</f>
        <v/>
      </c>
      <c r="ID14" s="11" t="str">
        <f ca="1">IF(History!IH$2="","",History!IH3*$C$14)</f>
        <v/>
      </c>
      <c r="IE14" s="11" t="str">
        <f ca="1">IF(History!II$2="","",History!II3*$C$14)</f>
        <v/>
      </c>
      <c r="IF14" s="11" t="str">
        <f ca="1">IF(History!IJ$2="","",History!IJ3*$C$14)</f>
        <v/>
      </c>
      <c r="IG14" s="11" t="str">
        <f ca="1">IF(History!IK$2="","",History!IK3*$C$14)</f>
        <v/>
      </c>
      <c r="IH14" s="11" t="str">
        <f ca="1">IF(History!IL$2="","",History!IL3*$C$14)</f>
        <v/>
      </c>
      <c r="II14" s="11" t="str">
        <f ca="1">IF(History!IM$2="","",History!IM3*$C$14)</f>
        <v/>
      </c>
      <c r="IJ14" s="11" t="str">
        <f ca="1">IF(History!IN$2="","",History!IN3*$C$14)</f>
        <v/>
      </c>
      <c r="IK14" s="11" t="str">
        <f ca="1">IF(History!IO$2="","",History!IO3*$C$14)</f>
        <v/>
      </c>
      <c r="IL14" s="11" t="str">
        <f ca="1">IF(History!IP$2="","",History!IP3*$C$14)</f>
        <v/>
      </c>
      <c r="IM14" s="11" t="str">
        <f ca="1">IF(History!IQ$2="","",History!IQ3*$C$14)</f>
        <v/>
      </c>
      <c r="IN14" s="11" t="str">
        <f ca="1">IF(History!IR$2="","",History!IR3*$C$14)</f>
        <v/>
      </c>
      <c r="IO14" s="11" t="str">
        <f ca="1">IF(History!IS$2="","",History!IS3*$C$14)</f>
        <v/>
      </c>
      <c r="IP14" s="11" t="str">
        <f ca="1">IF(History!IT$2="","",History!IT3*$C$14)</f>
        <v/>
      </c>
      <c r="IQ14" s="11" t="str">
        <f ca="1">IF(History!IU$2="","",History!IU3*$C$14)</f>
        <v/>
      </c>
      <c r="IR14" s="11" t="str">
        <f ca="1">IF(History!IV$2="","",History!IV3*$C$14)</f>
        <v/>
      </c>
      <c r="IS14" s="11" t="str">
        <f ca="1">IF(History!IW$2="","",History!IW3*$C$14)</f>
        <v/>
      </c>
      <c r="IT14" s="11" t="str">
        <f ca="1">IF(History!IX$2="","",History!IX3*$C$14)</f>
        <v/>
      </c>
      <c r="IU14" s="11" t="str">
        <f ca="1">IF(History!IY$2="","",History!IY3*$C$14)</f>
        <v/>
      </c>
      <c r="IV14" s="11" t="str">
        <f ca="1">IF(History!IZ$2="","",History!IZ3*$C$14)</f>
        <v/>
      </c>
      <c r="IW14" s="11" t="str">
        <f ca="1">IF(History!JA$2="","",History!JA3*$C$14)</f>
        <v/>
      </c>
      <c r="IX14" s="11" t="str">
        <f ca="1">IF(History!JB$2="","",History!JB3*$C$14)</f>
        <v/>
      </c>
      <c r="IY14" s="11" t="str">
        <f ca="1">IF(History!JC$2="","",History!JC3*$C$14)</f>
        <v/>
      </c>
      <c r="IZ14" s="11" t="str">
        <f ca="1">IF(History!JD$2="","",History!JD3*$C$14)</f>
        <v/>
      </c>
      <c r="JA14" s="11" t="str">
        <f ca="1">IF(History!JE$2="","",History!JE3*$C$14)</f>
        <v/>
      </c>
      <c r="JB14" s="11" t="str">
        <f ca="1">IF(History!JF$2="","",History!JF3*$C$14)</f>
        <v/>
      </c>
      <c r="JC14" s="11" t="str">
        <f ca="1">IF(History!JG$2="","",History!JG3*$C$14)</f>
        <v/>
      </c>
      <c r="JD14" s="11" t="str">
        <f ca="1">IF(History!JH$2="","",History!JH3*$C$14)</f>
        <v/>
      </c>
      <c r="JE14" s="11" t="str">
        <f ca="1">IF(History!JI$2="","",History!JI3*$C$14)</f>
        <v/>
      </c>
      <c r="JF14" s="11" t="str">
        <f ca="1">IF(History!JJ$2="","",History!JJ3*$C$14)</f>
        <v/>
      </c>
      <c r="JG14" s="11" t="str">
        <f ca="1">IF(History!JK$2="","",History!JK3*$C$14)</f>
        <v/>
      </c>
      <c r="JH14" s="11" t="str">
        <f ca="1">IF(History!JL$2="","",History!JL3*$C$14)</f>
        <v/>
      </c>
      <c r="JI14" s="11" t="str">
        <f ca="1">IF(History!JM$2="","",History!JM3*$C$14)</f>
        <v/>
      </c>
      <c r="JJ14" s="11" t="str">
        <f ca="1">IF(History!JN$2="","",History!JN3*$C$14)</f>
        <v/>
      </c>
      <c r="JK14" s="11" t="str">
        <f ca="1">IF(History!JO$2="","",History!JO3*$C$14)</f>
        <v/>
      </c>
      <c r="JL14" s="11" t="str">
        <f ca="1">IF(History!JP$2="","",History!JP3*$C$14)</f>
        <v/>
      </c>
      <c r="JM14" s="11" t="str">
        <f ca="1">IF(History!JQ$2="","",History!JQ3*$C$14)</f>
        <v/>
      </c>
      <c r="JN14" s="11" t="str">
        <f ca="1">IF(History!JR$2="","",History!JR3*$C$14)</f>
        <v/>
      </c>
      <c r="JO14" s="11" t="str">
        <f ca="1">IF(History!JS$2="","",History!JS3*$C$14)</f>
        <v/>
      </c>
      <c r="JP14" s="11" t="str">
        <f ca="1">IF(History!JT$2="","",History!JT3*$C$14)</f>
        <v/>
      </c>
      <c r="JQ14" s="11" t="str">
        <f ca="1">IF(History!JU$2="","",History!JU3*$C$14)</f>
        <v/>
      </c>
      <c r="JR14" s="11" t="str">
        <f ca="1">IF(History!JV$2="","",History!JV3*$C$14)</f>
        <v/>
      </c>
      <c r="JS14" s="11" t="str">
        <f ca="1">IF(History!JW$2="","",History!JW3*$C$14)</f>
        <v/>
      </c>
      <c r="JT14" s="11" t="str">
        <f ca="1">IF(History!JX$2="","",History!JX3*$C$14)</f>
        <v/>
      </c>
      <c r="JU14" s="11" t="str">
        <f ca="1">IF(History!JY$2="","",History!JY3*$C$14)</f>
        <v/>
      </c>
      <c r="JV14" s="11" t="str">
        <f ca="1">IF(History!JZ$2="","",History!JZ3*$C$14)</f>
        <v/>
      </c>
      <c r="JW14" s="11" t="str">
        <f ca="1">IF(History!KA$2="","",History!KA3*$C$14)</f>
        <v/>
      </c>
      <c r="JX14" s="11" t="str">
        <f ca="1">IF(History!KB$2="","",History!KB3*$C$14)</f>
        <v/>
      </c>
      <c r="JY14" s="11" t="str">
        <f ca="1">IF(History!KC$2="","",History!KC3*$C$14)</f>
        <v/>
      </c>
      <c r="JZ14" s="11" t="str">
        <f ca="1">IF(History!KD$2="","",History!KD3*$C$14)</f>
        <v/>
      </c>
      <c r="KA14" s="11" t="str">
        <f ca="1">IF(History!KE$2="","",History!KE3*$C$14)</f>
        <v/>
      </c>
      <c r="KB14" s="11" t="str">
        <f ca="1">IF(History!KF$2="","",History!KF3*$C$14)</f>
        <v/>
      </c>
    </row>
    <row r="15" spans="1:288" ht="15.75" customHeight="1">
      <c r="A15" s="22" t="s">
        <v>30</v>
      </c>
      <c r="B15" s="6" t="s">
        <v>48</v>
      </c>
      <c r="C15" s="26">
        <v>93</v>
      </c>
      <c r="D15" s="11">
        <f ca="1">IF(History!H$2="","",History!H4*$C$15)</f>
        <v>53196</v>
      </c>
      <c r="E15" s="11">
        <f ca="1">IF(History!I$2="","",History!I4*$C$15)</f>
        <v>53794.920000000006</v>
      </c>
      <c r="F15" s="11">
        <f ca="1">IF(History!J$2="","",History!J4*$C$15)</f>
        <v>53325.27</v>
      </c>
      <c r="G15" s="11">
        <f ca="1">IF(History!K$2="","",History!K4*$C$15)</f>
        <v>48477.18</v>
      </c>
      <c r="H15" s="11">
        <f ca="1">IF(History!L$2="","",History!L4*$C$15)</f>
        <v>49384.86</v>
      </c>
      <c r="I15" s="11">
        <f ca="1">IF(History!M$2="","",History!M4*$C$15)</f>
        <v>48577.62</v>
      </c>
      <c r="J15" s="11">
        <f ca="1">IF(History!N$2="","",History!N4*$C$15)</f>
        <v>48479.969999999994</v>
      </c>
      <c r="K15" s="11">
        <f ca="1">IF(History!O$2="","",History!O4*$C$15)</f>
        <v>47895</v>
      </c>
      <c r="L15" s="11">
        <f ca="1">IF(History!P$2="","",History!P4*$C$15)</f>
        <v>47219.82</v>
      </c>
      <c r="M15" s="11">
        <f ca="1">IF(History!Q$2="","",History!Q4*$C$15)</f>
        <v>48903.12</v>
      </c>
      <c r="N15" s="11">
        <f ca="1">IF(History!R$2="","",History!R4*$C$15)</f>
        <v>46042.439999999995</v>
      </c>
      <c r="O15" s="11">
        <f ca="1">IF(History!S$2="","",History!S4*$C$15)</f>
        <v>45051.060000000005</v>
      </c>
      <c r="P15" s="11">
        <f ca="1">IF(History!T$2="","",History!T4*$C$15)</f>
        <v>49168.170000000006</v>
      </c>
      <c r="Q15" s="11">
        <f ca="1">IF(History!U$2="","",History!U4*$C$15)</f>
        <v>52180.44</v>
      </c>
      <c r="R15" s="11">
        <f ca="1">IF(History!V$2="","",History!V4*$C$15)</f>
        <v>54477.54</v>
      </c>
      <c r="S15" s="11">
        <f ca="1">IF(History!W$2="","",History!W4*$C$15)</f>
        <v>54548.219999999994</v>
      </c>
      <c r="T15" s="11">
        <f ca="1">IF(History!X$2="","",History!X4*$C$15)</f>
        <v>54046.95</v>
      </c>
      <c r="U15" s="11">
        <f ca="1">IF(History!Y$2="","",History!Y4*$C$15)</f>
        <v>52159.05</v>
      </c>
      <c r="V15" s="11">
        <f ca="1">IF(History!Z$2="","",History!Z4*$C$15)</f>
        <v>53709.36</v>
      </c>
      <c r="W15" s="11">
        <f ca="1">IF(History!AA$2="","",History!AA4*$C$15)</f>
        <v>53307.600000000006</v>
      </c>
      <c r="X15" s="11">
        <f ca="1">IF(History!AB$2="","",History!AB4*$C$15)</f>
        <v>54988.11</v>
      </c>
      <c r="Y15" s="11">
        <f ca="1">IF(History!AC$2="","",History!AC4*$C$15)</f>
        <v>57099.21</v>
      </c>
      <c r="Z15" s="11">
        <f ca="1">IF(History!AD$2="","",History!AD4*$C$15)</f>
        <v>56772.780000000006</v>
      </c>
      <c r="AA15" s="11">
        <f ca="1">IF(History!AE$2="","",History!AE4*$C$15)</f>
        <v>54285.96</v>
      </c>
      <c r="AB15" s="11">
        <f ca="1">IF(History!AF$2="","",History!AF4*$C$15)</f>
        <v>53900.94</v>
      </c>
      <c r="AC15" s="11">
        <f ca="1">IF(History!AG$2="","",History!AG4*$C$15)</f>
        <v>55024.38</v>
      </c>
      <c r="AD15" s="11">
        <f ca="1">IF(History!AH$2="","",History!AH4*$C$15)</f>
        <v>54952.77</v>
      </c>
      <c r="AE15" s="11">
        <f ca="1">IF(History!AI$2="","",History!AI4*$C$15)</f>
        <v>52614.75</v>
      </c>
      <c r="AF15" s="11">
        <f ca="1">IF(History!AJ$2="","",History!AJ4*$C$15)</f>
        <v>51708.93</v>
      </c>
      <c r="AG15" s="11">
        <f ca="1">IF(History!AK$2="","",History!AK4*$C$15)</f>
        <v>51163.95</v>
      </c>
      <c r="AH15" s="11">
        <f ca="1">IF(History!AL$2="","",History!AL4*$C$15)</f>
        <v>48797.100000000006</v>
      </c>
      <c r="AI15" s="11">
        <f ca="1">IF(History!AM$2="","",History!AM4*$C$15)</f>
        <v>53377.350000000006</v>
      </c>
      <c r="AJ15" s="11">
        <f ca="1">IF(History!AN$2="","",History!AN4*$C$15)</f>
        <v>53961.39</v>
      </c>
      <c r="AK15" s="11">
        <f ca="1">IF(History!AO$2="","",History!AO4*$C$15)</f>
        <v>53932.56</v>
      </c>
      <c r="AL15" s="11">
        <f ca="1">IF(History!AP$2="","",History!AP4*$C$15)</f>
        <v>53109.51</v>
      </c>
      <c r="AM15" s="11">
        <f ca="1">IF(History!AQ$2="","",History!AQ4*$C$15)</f>
        <v>54596.579999999994</v>
      </c>
      <c r="AN15" s="11">
        <f ca="1">IF(History!AR$2="","",History!AR4*$C$15)</f>
        <v>52294.829999999994</v>
      </c>
      <c r="AO15" s="11">
        <f ca="1">IF(History!AS$2="","",History!AS4*$C$15)</f>
        <v>50877.51</v>
      </c>
      <c r="AP15" s="11">
        <f ca="1">IF(History!AT$2="","",History!AT4*$C$15)</f>
        <v>48324.66</v>
      </c>
      <c r="AQ15" s="11">
        <f ca="1">IF(History!AU$2="","",History!AU4*$C$15)</f>
        <v>48192.600000000006</v>
      </c>
      <c r="AR15" s="11">
        <f ca="1">IF(History!AV$2="","",History!AV4*$C$15)</f>
        <v>52040.94</v>
      </c>
      <c r="AS15" s="11">
        <f ca="1">IF(History!AW$2="","",History!AW4*$C$15)</f>
        <v>49623.87</v>
      </c>
      <c r="AT15" s="11">
        <f ca="1">IF(History!AX$2="","",History!AX4*$C$15)</f>
        <v>47629.95</v>
      </c>
      <c r="AU15" s="11">
        <f ca="1">IF(History!AY$2="","",History!AY4*$C$15)</f>
        <v>46044.3</v>
      </c>
      <c r="AV15" s="11">
        <f ca="1">IF(History!AZ$2="","",History!AZ4*$C$15)</f>
        <v>47822.46</v>
      </c>
      <c r="AW15" s="11">
        <f ca="1">IF(History!BA$2="","",History!BA4*$C$15)</f>
        <v>50908.2</v>
      </c>
      <c r="AX15" s="11">
        <f ca="1">IF(History!BB$2="","",History!BB4*$C$15)</f>
        <v>52701.24</v>
      </c>
      <c r="AY15" s="11">
        <f ca="1">IF(History!BC$2="","",History!BC4*$C$15)</f>
        <v>53928.84</v>
      </c>
      <c r="AZ15" s="11">
        <f ca="1">IF(History!BD$2="","",History!BD4*$C$15)</f>
        <v>52991.399999999994</v>
      </c>
      <c r="BA15" s="11">
        <f ca="1">IF(History!BE$2="","",History!BE4*$C$15)</f>
        <v>54745.38</v>
      </c>
      <c r="BB15" s="11">
        <f ca="1">IF(History!BF$2="","",History!BF4*$C$15)</f>
        <v>52820.280000000006</v>
      </c>
      <c r="BC15" s="11">
        <f ca="1">IF(History!BG$2="","",History!BG4*$C$15)</f>
        <v>54041.37</v>
      </c>
      <c r="BD15" s="11">
        <f ca="1">IF(History!BH$2="","",History!BH4*$C$15)</f>
        <v>52253.91</v>
      </c>
      <c r="BE15" s="11">
        <f ca="1">IF(History!BI$2="","",History!BI4*$C$15)</f>
        <v>54196.68</v>
      </c>
      <c r="BF15" s="11">
        <f ca="1">IF(History!BJ$2="","",History!BJ4*$C$15)</f>
        <v>55590.75</v>
      </c>
      <c r="BG15" s="11">
        <f ca="1">IF(History!BK$2="","",History!BK4*$C$15)</f>
        <v>53381.07</v>
      </c>
      <c r="BH15" s="11">
        <f ca="1">IF(History!BL$2="","",History!BL4*$C$15)</f>
        <v>51790.77</v>
      </c>
      <c r="BI15" s="11">
        <f ca="1">IF(History!BM$2="","",History!BM4*$C$15)</f>
        <v>51028.170000000006</v>
      </c>
      <c r="BJ15" s="11">
        <f ca="1">IF(History!BN$2="","",History!BN4*$C$15)</f>
        <v>53458.26</v>
      </c>
      <c r="BK15" s="11">
        <f ca="1">IF(History!BO$2="","",History!BO4*$C$15)</f>
        <v>51449.46</v>
      </c>
      <c r="BL15" s="11">
        <f ca="1">IF(History!BP$2="","",History!BP4*$C$15)</f>
        <v>49099.350000000006</v>
      </c>
      <c r="BM15" s="11">
        <f ca="1">IF(History!BQ$2="","",History!BQ4*$C$15)</f>
        <v>49269.54</v>
      </c>
      <c r="BN15" s="11">
        <f ca="1">IF(History!BR$2="","",History!BR4*$C$15)</f>
        <v>47950.8</v>
      </c>
      <c r="BO15" s="11">
        <f ca="1">IF(History!BS$2="","",History!BS4*$C$15)</f>
        <v>47562.060000000005</v>
      </c>
      <c r="BP15" s="11">
        <f ca="1">IF(History!BT$2="","",History!BT4*$C$15)</f>
        <v>47449.53</v>
      </c>
      <c r="BQ15" s="11">
        <f ca="1">IF(History!BU$2="","",History!BU4*$C$15)</f>
        <v>48924.51</v>
      </c>
      <c r="BR15" s="11">
        <f ca="1">IF(History!BV$2="","",History!BV4*$C$15)</f>
        <v>47181.689999999995</v>
      </c>
      <c r="BS15" s="11">
        <f ca="1">IF(History!BW$2="","",History!BW4*$C$15)</f>
        <v>46270.29</v>
      </c>
      <c r="BT15" s="11">
        <f ca="1">IF(History!BX$2="","",History!BX4*$C$15)</f>
        <v>47839.199999999997</v>
      </c>
      <c r="BU15" s="11">
        <f ca="1">IF(History!BY$2="","",History!BY4*$C$15)</f>
        <v>46985.46</v>
      </c>
      <c r="BV15" s="11">
        <f ca="1">IF(History!BZ$2="","",History!BZ4*$C$15)</f>
        <v>45725.310000000005</v>
      </c>
      <c r="BW15" s="11">
        <f ca="1">IF(History!CA$2="","",History!CA4*$C$15)</f>
        <v>43840.2</v>
      </c>
      <c r="BX15" s="11">
        <f ca="1">IF(History!CB$2="","",History!CB4*$C$15)</f>
        <v>43921.11</v>
      </c>
      <c r="BY15" s="11">
        <f ca="1">IF(History!CC$2="","",History!CC4*$C$15)</f>
        <v>42408</v>
      </c>
      <c r="BZ15" s="11">
        <f ca="1">IF(History!CD$2="","",History!CD4*$C$15)</f>
        <v>43364.97</v>
      </c>
      <c r="CA15" s="11">
        <f ca="1">IF(History!CE$2="","",History!CE4*$C$15)</f>
        <v>46873.86</v>
      </c>
      <c r="CB15" s="11">
        <f ca="1">IF(History!CF$2="","",History!CF4*$C$15)</f>
        <v>44463.3</v>
      </c>
      <c r="CC15" s="11">
        <f ca="1">IF(History!CG$2="","",History!CG4*$C$15)</f>
        <v>45058.5</v>
      </c>
      <c r="CD15" s="11">
        <f ca="1">IF(History!CH$2="","",History!CH4*$C$15)</f>
        <v>44812.98</v>
      </c>
      <c r="CE15" s="11">
        <f ca="1">IF(History!CI$2="","",History!CI4*$C$15)</f>
        <v>46449.78</v>
      </c>
      <c r="CF15" s="11" t="str">
        <f ca="1">IF(History!CJ$2="","",History!CJ4*$C$15)</f>
        <v/>
      </c>
      <c r="CG15" s="11" t="str">
        <f ca="1">IF(History!CK$2="","",History!CK4*$C$15)</f>
        <v/>
      </c>
      <c r="CH15" s="11" t="str">
        <f ca="1">IF(History!CL$2="","",History!CL4*$C$15)</f>
        <v/>
      </c>
      <c r="CI15" s="11" t="str">
        <f ca="1">IF(History!CM$2="","",History!CM4*$C$15)</f>
        <v/>
      </c>
      <c r="CJ15" s="11" t="str">
        <f ca="1">IF(History!CN$2="","",History!CN4*$C$15)</f>
        <v/>
      </c>
      <c r="CK15" s="11" t="str">
        <f ca="1">IF(History!CO$2="","",History!CO4*$C$15)</f>
        <v/>
      </c>
      <c r="CL15" s="11" t="str">
        <f ca="1">IF(History!CP$2="","",History!CP4*$C$15)</f>
        <v/>
      </c>
      <c r="CM15" s="11" t="str">
        <f ca="1">IF(History!CQ$2="","",History!CQ4*$C$15)</f>
        <v/>
      </c>
      <c r="CN15" s="11" t="str">
        <f ca="1">IF(History!CR$2="","",History!CR4*$C$15)</f>
        <v/>
      </c>
      <c r="CO15" s="11" t="str">
        <f ca="1">IF(History!CS$2="","",History!CS4*$C$15)</f>
        <v/>
      </c>
      <c r="CP15" s="11" t="str">
        <f ca="1">IF(History!CT$2="","",History!CT4*$C$15)</f>
        <v/>
      </c>
      <c r="CQ15" s="11" t="str">
        <f ca="1">IF(History!CU$2="","",History!CU4*$C$15)</f>
        <v/>
      </c>
      <c r="CR15" s="11" t="str">
        <f ca="1">IF(History!CV$2="","",History!CV4*$C$15)</f>
        <v/>
      </c>
      <c r="CS15" s="11" t="str">
        <f ca="1">IF(History!CW$2="","",History!CW4*$C$15)</f>
        <v/>
      </c>
      <c r="CT15" s="11" t="str">
        <f ca="1">IF(History!CX$2="","",History!CX4*$C$15)</f>
        <v/>
      </c>
      <c r="CU15" s="11" t="str">
        <f ca="1">IF(History!CY$2="","",History!CY4*$C$15)</f>
        <v/>
      </c>
      <c r="CV15" s="11" t="str">
        <f ca="1">IF(History!CZ$2="","",History!CZ4*$C$15)</f>
        <v/>
      </c>
      <c r="CW15" s="11" t="str">
        <f ca="1">IF(History!DA$2="","",History!DA4*$C$15)</f>
        <v/>
      </c>
      <c r="CX15" s="11" t="str">
        <f ca="1">IF(History!DB$2="","",History!DB4*$C$15)</f>
        <v/>
      </c>
      <c r="CY15" s="11" t="str">
        <f ca="1">IF(History!DC$2="","",History!DC4*$C$15)</f>
        <v/>
      </c>
      <c r="CZ15" s="11" t="str">
        <f ca="1">IF(History!DD$2="","",History!DD4*$C$15)</f>
        <v/>
      </c>
      <c r="DA15" s="11" t="str">
        <f ca="1">IF(History!DE$2="","",History!DE4*$C$15)</f>
        <v/>
      </c>
      <c r="DB15" s="11" t="str">
        <f ca="1">IF(History!DF$2="","",History!DF4*$C$15)</f>
        <v/>
      </c>
      <c r="DC15" s="11" t="str">
        <f ca="1">IF(History!DG$2="","",History!DG4*$C$15)</f>
        <v/>
      </c>
      <c r="DD15" s="11" t="str">
        <f ca="1">IF(History!DH$2="","",History!DH4*$C$15)</f>
        <v/>
      </c>
      <c r="DE15" s="11" t="str">
        <f ca="1">IF(History!DI$2="","",History!DI4*$C$15)</f>
        <v/>
      </c>
      <c r="DF15" s="11" t="str">
        <f ca="1">IF(History!DJ$2="","",History!DJ4*$C$15)</f>
        <v/>
      </c>
      <c r="DG15" s="11" t="str">
        <f ca="1">IF(History!DK$2="","",History!DK4*$C$15)</f>
        <v/>
      </c>
      <c r="DH15" s="11" t="str">
        <f ca="1">IF(History!DL$2="","",History!DL4*$C$15)</f>
        <v/>
      </c>
      <c r="DI15" s="11" t="str">
        <f ca="1">IF(History!DM$2="","",History!DM4*$C$15)</f>
        <v/>
      </c>
      <c r="DJ15" s="11" t="str">
        <f ca="1">IF(History!DN$2="","",History!DN4*$C$15)</f>
        <v/>
      </c>
      <c r="DK15" s="11" t="str">
        <f ca="1">IF(History!DO$2="","",History!DO4*$C$15)</f>
        <v/>
      </c>
      <c r="DL15" s="11" t="str">
        <f ca="1">IF(History!DP$2="","",History!DP4*$C$15)</f>
        <v/>
      </c>
      <c r="DM15" s="11" t="str">
        <f ca="1">IF(History!DQ$2="","",History!DQ4*$C$15)</f>
        <v/>
      </c>
      <c r="DN15" s="11" t="str">
        <f ca="1">IF(History!DR$2="","",History!DR4*$C$15)</f>
        <v/>
      </c>
      <c r="DO15" s="11" t="str">
        <f ca="1">IF(History!DS$2="","",History!DS4*$C$15)</f>
        <v/>
      </c>
      <c r="DP15" s="11" t="str">
        <f ca="1">IF(History!DT$2="","",History!DT4*$C$15)</f>
        <v/>
      </c>
      <c r="DQ15" s="11" t="str">
        <f ca="1">IF(History!DU$2="","",History!DU4*$C$15)</f>
        <v/>
      </c>
      <c r="DR15" s="11" t="str">
        <f ca="1">IF(History!DV$2="","",History!DV4*$C$15)</f>
        <v/>
      </c>
      <c r="DS15" s="11" t="str">
        <f ca="1">IF(History!DW$2="","",History!DW4*$C$15)</f>
        <v/>
      </c>
      <c r="DT15" s="11" t="str">
        <f ca="1">IF(History!DX$2="","",History!DX4*$C$15)</f>
        <v/>
      </c>
      <c r="DU15" s="11" t="str">
        <f ca="1">IF(History!DY$2="","",History!DY4*$C$15)</f>
        <v/>
      </c>
      <c r="DV15" s="11" t="str">
        <f ca="1">IF(History!DZ$2="","",History!DZ4*$C$15)</f>
        <v/>
      </c>
      <c r="DW15" s="11" t="str">
        <f ca="1">IF(History!EA$2="","",History!EA4*$C$15)</f>
        <v/>
      </c>
      <c r="DX15" s="11" t="str">
        <f ca="1">IF(History!EB$2="","",History!EB4*$C$15)</f>
        <v/>
      </c>
      <c r="DY15" s="11" t="str">
        <f ca="1">IF(History!EC$2="","",History!EC4*$C$15)</f>
        <v/>
      </c>
      <c r="DZ15" s="11" t="str">
        <f ca="1">IF(History!ED$2="","",History!ED4*$C$15)</f>
        <v/>
      </c>
      <c r="EA15" s="11" t="str">
        <f ca="1">IF(History!EE$2="","",History!EE4*$C$15)</f>
        <v/>
      </c>
      <c r="EB15" s="11" t="str">
        <f ca="1">IF(History!EF$2="","",History!EF4*$C$15)</f>
        <v/>
      </c>
      <c r="EC15" s="11" t="str">
        <f ca="1">IF(History!EG$2="","",History!EG4*$C$15)</f>
        <v/>
      </c>
      <c r="ED15" s="11" t="str">
        <f ca="1">IF(History!EH$2="","",History!EH4*$C$15)</f>
        <v/>
      </c>
      <c r="EE15" s="11" t="str">
        <f ca="1">IF(History!EI$2="","",History!EI4*$C$15)</f>
        <v/>
      </c>
      <c r="EF15" s="11" t="str">
        <f ca="1">IF(History!EJ$2="","",History!EJ4*$C$15)</f>
        <v/>
      </c>
      <c r="EG15" s="11" t="str">
        <f ca="1">IF(History!EK$2="","",History!EK4*$C$15)</f>
        <v/>
      </c>
      <c r="EH15" s="11" t="str">
        <f ca="1">IF(History!EL$2="","",History!EL4*$C$15)</f>
        <v/>
      </c>
      <c r="EI15" s="11" t="str">
        <f ca="1">IF(History!EM$2="","",History!EM4*$C$15)</f>
        <v/>
      </c>
      <c r="EJ15" s="11" t="str">
        <f ca="1">IF(History!EN$2="","",History!EN4*$C$15)</f>
        <v/>
      </c>
      <c r="EK15" s="11" t="str">
        <f ca="1">IF(History!EO$2="","",History!EO4*$C$15)</f>
        <v/>
      </c>
      <c r="EL15" s="11" t="str">
        <f ca="1">IF(History!EP$2="","",History!EP4*$C$15)</f>
        <v/>
      </c>
      <c r="EM15" s="11" t="str">
        <f ca="1">IF(History!EQ$2="","",History!EQ4*$C$15)</f>
        <v/>
      </c>
      <c r="EN15" s="11" t="str">
        <f ca="1">IF(History!ER$2="","",History!ER4*$C$15)</f>
        <v/>
      </c>
      <c r="EO15" s="11" t="str">
        <f ca="1">IF(History!ES$2="","",History!ES4*$C$15)</f>
        <v/>
      </c>
      <c r="EP15" s="11" t="str">
        <f ca="1">IF(History!ET$2="","",History!ET4*$C$15)</f>
        <v/>
      </c>
      <c r="EQ15" s="11" t="str">
        <f ca="1">IF(History!EU$2="","",History!EU4*$C$15)</f>
        <v/>
      </c>
      <c r="ER15" s="11" t="str">
        <f ca="1">IF(History!EV$2="","",History!EV4*$C$15)</f>
        <v/>
      </c>
      <c r="ES15" s="11" t="str">
        <f ca="1">IF(History!EW$2="","",History!EW4*$C$15)</f>
        <v/>
      </c>
      <c r="ET15" s="11" t="str">
        <f ca="1">IF(History!EX$2="","",History!EX4*$C$15)</f>
        <v/>
      </c>
      <c r="EU15" s="11" t="str">
        <f ca="1">IF(History!EY$2="","",History!EY4*$C$15)</f>
        <v/>
      </c>
      <c r="EV15" s="11" t="str">
        <f ca="1">IF(History!EZ$2="","",History!EZ4*$C$15)</f>
        <v/>
      </c>
      <c r="EW15" s="11" t="str">
        <f ca="1">IF(History!FA$2="","",History!FA4*$C$15)</f>
        <v/>
      </c>
      <c r="EX15" s="11" t="str">
        <f ca="1">IF(History!FB$2="","",History!FB4*$C$15)</f>
        <v/>
      </c>
      <c r="EY15" s="11" t="str">
        <f ca="1">IF(History!FC$2="","",History!FC4*$C$15)</f>
        <v/>
      </c>
      <c r="EZ15" s="11" t="str">
        <f ca="1">IF(History!FD$2="","",History!FD4*$C$15)</f>
        <v/>
      </c>
      <c r="FA15" s="11" t="str">
        <f ca="1">IF(History!FE$2="","",History!FE4*$C$15)</f>
        <v/>
      </c>
      <c r="FB15" s="11" t="str">
        <f ca="1">IF(History!FF$2="","",History!FF4*$C$15)</f>
        <v/>
      </c>
      <c r="FC15" s="11" t="str">
        <f ca="1">IF(History!FG$2="","",History!FG4*$C$15)</f>
        <v/>
      </c>
      <c r="FD15" s="11" t="str">
        <f ca="1">IF(History!FH$2="","",History!FH4*$C$15)</f>
        <v/>
      </c>
      <c r="FE15" s="11" t="str">
        <f ca="1">IF(History!FI$2="","",History!FI4*$C$15)</f>
        <v/>
      </c>
      <c r="FF15" s="11" t="str">
        <f ca="1">IF(History!FJ$2="","",History!FJ4*$C$15)</f>
        <v/>
      </c>
      <c r="FG15" s="11" t="str">
        <f ca="1">IF(History!FK$2="","",History!FK4*$C$15)</f>
        <v/>
      </c>
      <c r="FH15" s="11" t="str">
        <f ca="1">IF(History!FL$2="","",History!FL4*$C$15)</f>
        <v/>
      </c>
      <c r="FI15" s="11" t="str">
        <f ca="1">IF(History!FM$2="","",History!FM4*$C$15)</f>
        <v/>
      </c>
      <c r="FJ15" s="11" t="str">
        <f ca="1">IF(History!FN$2="","",History!FN4*$C$15)</f>
        <v/>
      </c>
      <c r="FK15" s="11" t="str">
        <f ca="1">IF(History!FO$2="","",History!FO4*$C$15)</f>
        <v/>
      </c>
      <c r="FL15" s="11" t="str">
        <f ca="1">IF(History!FP$2="","",History!FP4*$C$15)</f>
        <v/>
      </c>
      <c r="FM15" s="11" t="str">
        <f ca="1">IF(History!FQ$2="","",History!FQ4*$C$15)</f>
        <v/>
      </c>
      <c r="FN15" s="11" t="str">
        <f ca="1">IF(History!FR$2="","",History!FR4*$C$15)</f>
        <v/>
      </c>
      <c r="FO15" s="11" t="str">
        <f ca="1">IF(History!FS$2="","",History!FS4*$C$15)</f>
        <v/>
      </c>
      <c r="FP15" s="11" t="str">
        <f ca="1">IF(History!FT$2="","",History!FT4*$C$15)</f>
        <v/>
      </c>
      <c r="FQ15" s="11" t="str">
        <f ca="1">IF(History!FU$2="","",History!FU4*$C$15)</f>
        <v/>
      </c>
      <c r="FR15" s="11" t="str">
        <f ca="1">IF(History!FV$2="","",History!FV4*$C$15)</f>
        <v/>
      </c>
      <c r="FS15" s="11" t="str">
        <f ca="1">IF(History!FW$2="","",History!FW4*$C$15)</f>
        <v/>
      </c>
      <c r="FT15" s="11" t="str">
        <f ca="1">IF(History!FX$2="","",History!FX4*$C$15)</f>
        <v/>
      </c>
      <c r="FU15" s="11" t="str">
        <f ca="1">IF(History!FY$2="","",History!FY4*$C$15)</f>
        <v/>
      </c>
      <c r="FV15" s="11" t="str">
        <f ca="1">IF(History!FZ$2="","",History!FZ4*$C$15)</f>
        <v/>
      </c>
      <c r="FW15" s="11" t="str">
        <f ca="1">IF(History!GA$2="","",History!GA4*$C$15)</f>
        <v/>
      </c>
      <c r="FX15" s="11" t="str">
        <f ca="1">IF(History!GB$2="","",History!GB4*$C$15)</f>
        <v/>
      </c>
      <c r="FY15" s="11" t="str">
        <f ca="1">IF(History!GC$2="","",History!GC4*$C$15)</f>
        <v/>
      </c>
      <c r="FZ15" s="11" t="str">
        <f ca="1">IF(History!GD$2="","",History!GD4*$C$15)</f>
        <v/>
      </c>
      <c r="GA15" s="11" t="str">
        <f ca="1">IF(History!GE$2="","",History!GE4*$C$15)</f>
        <v/>
      </c>
      <c r="GB15" s="11" t="str">
        <f ca="1">IF(History!GF$2="","",History!GF4*$C$15)</f>
        <v/>
      </c>
      <c r="GC15" s="11" t="str">
        <f ca="1">IF(History!GG$2="","",History!GG4*$C$15)</f>
        <v/>
      </c>
      <c r="GD15" s="11" t="str">
        <f ca="1">IF(History!GH$2="","",History!GH4*$C$15)</f>
        <v/>
      </c>
      <c r="GE15" s="11" t="str">
        <f ca="1">IF(History!GI$2="","",History!GI4*$C$15)</f>
        <v/>
      </c>
      <c r="GF15" s="11" t="str">
        <f ca="1">IF(History!GJ$2="","",History!GJ4*$C$15)</f>
        <v/>
      </c>
      <c r="GG15" s="11" t="str">
        <f ca="1">IF(History!GK$2="","",History!GK4*$C$15)</f>
        <v/>
      </c>
      <c r="GH15" s="11" t="str">
        <f ca="1">IF(History!GL$2="","",History!GL4*$C$15)</f>
        <v/>
      </c>
      <c r="GI15" s="11" t="str">
        <f ca="1">IF(History!GM$2="","",History!GM4*$C$15)</f>
        <v/>
      </c>
      <c r="GJ15" s="11" t="str">
        <f ca="1">IF(History!GN$2="","",History!GN4*$C$15)</f>
        <v/>
      </c>
      <c r="GK15" s="11" t="str">
        <f ca="1">IF(History!GO$2="","",History!GO4*$C$15)</f>
        <v/>
      </c>
      <c r="GL15" s="11" t="str">
        <f ca="1">IF(History!GP$2="","",History!GP4*$C$15)</f>
        <v/>
      </c>
      <c r="GM15" s="11" t="str">
        <f ca="1">IF(History!GQ$2="","",History!GQ4*$C$15)</f>
        <v/>
      </c>
      <c r="GN15" s="11" t="str">
        <f ca="1">IF(History!GR$2="","",History!GR4*$C$15)</f>
        <v/>
      </c>
      <c r="GO15" s="11" t="str">
        <f ca="1">IF(History!GS$2="","",History!GS4*$C$15)</f>
        <v/>
      </c>
      <c r="GP15" s="11" t="str">
        <f ca="1">IF(History!GT$2="","",History!GT4*$C$15)</f>
        <v/>
      </c>
      <c r="GQ15" s="11" t="str">
        <f ca="1">IF(History!GU$2="","",History!GU4*$C$15)</f>
        <v/>
      </c>
      <c r="GR15" s="11" t="str">
        <f ca="1">IF(History!GV$2="","",History!GV4*$C$15)</f>
        <v/>
      </c>
      <c r="GS15" s="11" t="str">
        <f ca="1">IF(History!GW$2="","",History!GW4*$C$15)</f>
        <v/>
      </c>
      <c r="GT15" s="11" t="str">
        <f ca="1">IF(History!GX$2="","",History!GX4*$C$15)</f>
        <v/>
      </c>
      <c r="GU15" s="11" t="str">
        <f ca="1">IF(History!GY$2="","",History!GY4*$C$15)</f>
        <v/>
      </c>
      <c r="GV15" s="11" t="str">
        <f ca="1">IF(History!GZ$2="","",History!GZ4*$C$15)</f>
        <v/>
      </c>
      <c r="GW15" s="11" t="str">
        <f ca="1">IF(History!HA$2="","",History!HA4*$C$15)</f>
        <v/>
      </c>
      <c r="GX15" s="11" t="str">
        <f ca="1">IF(History!HB$2="","",History!HB4*$C$15)</f>
        <v/>
      </c>
      <c r="GY15" s="11" t="str">
        <f ca="1">IF(History!HC$2="","",History!HC4*$C$15)</f>
        <v/>
      </c>
      <c r="GZ15" s="11" t="str">
        <f ca="1">IF(History!HD$2="","",History!HD4*$C$15)</f>
        <v/>
      </c>
      <c r="HA15" s="11" t="str">
        <f ca="1">IF(History!HE$2="","",History!HE4*$C$15)</f>
        <v/>
      </c>
      <c r="HB15" s="11" t="str">
        <f ca="1">IF(History!HF$2="","",History!HF4*$C$15)</f>
        <v/>
      </c>
      <c r="HC15" s="11" t="str">
        <f ca="1">IF(History!HG$2="","",History!HG4*$C$15)</f>
        <v/>
      </c>
      <c r="HD15" s="11" t="str">
        <f ca="1">IF(History!HH$2="","",History!HH4*$C$15)</f>
        <v/>
      </c>
      <c r="HE15" s="11" t="str">
        <f ca="1">IF(History!HI$2="","",History!HI4*$C$15)</f>
        <v/>
      </c>
      <c r="HF15" s="11" t="str">
        <f ca="1">IF(History!HJ$2="","",History!HJ4*$C$15)</f>
        <v/>
      </c>
      <c r="HG15" s="11" t="str">
        <f ca="1">IF(History!HK$2="","",History!HK4*$C$15)</f>
        <v/>
      </c>
      <c r="HH15" s="11" t="str">
        <f ca="1">IF(History!HL$2="","",History!HL4*$C$15)</f>
        <v/>
      </c>
      <c r="HI15" s="11" t="str">
        <f ca="1">IF(History!HM$2="","",History!HM4*$C$15)</f>
        <v/>
      </c>
      <c r="HJ15" s="11" t="str">
        <f ca="1">IF(History!HN$2="","",History!HN4*$C$15)</f>
        <v/>
      </c>
      <c r="HK15" s="11" t="str">
        <f ca="1">IF(History!HO$2="","",History!HO4*$C$15)</f>
        <v/>
      </c>
      <c r="HL15" s="11" t="str">
        <f ca="1">IF(History!HP$2="","",History!HP4*$C$15)</f>
        <v/>
      </c>
      <c r="HM15" s="11" t="str">
        <f ca="1">IF(History!HQ$2="","",History!HQ4*$C$15)</f>
        <v/>
      </c>
      <c r="HN15" s="11" t="str">
        <f ca="1">IF(History!HR$2="","",History!HR4*$C$15)</f>
        <v/>
      </c>
      <c r="HO15" s="11" t="str">
        <f ca="1">IF(History!HS$2="","",History!HS4*$C$15)</f>
        <v/>
      </c>
      <c r="HP15" s="11" t="str">
        <f ca="1">IF(History!HT$2="","",History!HT4*$C$15)</f>
        <v/>
      </c>
      <c r="HQ15" s="11" t="str">
        <f ca="1">IF(History!HU$2="","",History!HU4*$C$15)</f>
        <v/>
      </c>
      <c r="HR15" s="11" t="str">
        <f ca="1">IF(History!HV$2="","",History!HV4*$C$15)</f>
        <v/>
      </c>
      <c r="HS15" s="11" t="str">
        <f ca="1">IF(History!HW$2="","",History!HW4*$C$15)</f>
        <v/>
      </c>
      <c r="HT15" s="11" t="str">
        <f ca="1">IF(History!HX$2="","",History!HX4*$C$15)</f>
        <v/>
      </c>
      <c r="HU15" s="11" t="str">
        <f ca="1">IF(History!HY$2="","",History!HY4*$C$15)</f>
        <v/>
      </c>
      <c r="HV15" s="11" t="str">
        <f ca="1">IF(History!HZ$2="","",History!HZ4*$C$15)</f>
        <v/>
      </c>
      <c r="HW15" s="11" t="str">
        <f ca="1">IF(History!IA$2="","",History!IA4*$C$15)</f>
        <v/>
      </c>
      <c r="HX15" s="11" t="str">
        <f ca="1">IF(History!IB$2="","",History!IB4*$C$15)</f>
        <v/>
      </c>
      <c r="HY15" s="11" t="str">
        <f ca="1">IF(History!IC$2="","",History!IC4*$C$15)</f>
        <v/>
      </c>
      <c r="HZ15" s="11" t="str">
        <f ca="1">IF(History!ID$2="","",History!ID4*$C$15)</f>
        <v/>
      </c>
      <c r="IA15" s="11" t="str">
        <f ca="1">IF(History!IE$2="","",History!IE4*$C$15)</f>
        <v/>
      </c>
      <c r="IB15" s="11" t="str">
        <f ca="1">IF(History!IF$2="","",History!IF4*$C$15)</f>
        <v/>
      </c>
      <c r="IC15" s="11" t="str">
        <f ca="1">IF(History!IG$2="","",History!IG4*$C$15)</f>
        <v/>
      </c>
      <c r="ID15" s="11" t="str">
        <f ca="1">IF(History!IH$2="","",History!IH4*$C$15)</f>
        <v/>
      </c>
      <c r="IE15" s="11" t="str">
        <f ca="1">IF(History!II$2="","",History!II4*$C$15)</f>
        <v/>
      </c>
      <c r="IF15" s="11" t="str">
        <f ca="1">IF(History!IJ$2="","",History!IJ4*$C$15)</f>
        <v/>
      </c>
      <c r="IG15" s="11" t="str">
        <f ca="1">IF(History!IK$2="","",History!IK4*$C$15)</f>
        <v/>
      </c>
      <c r="IH15" s="11" t="str">
        <f ca="1">IF(History!IL$2="","",History!IL4*$C$15)</f>
        <v/>
      </c>
      <c r="II15" s="11" t="str">
        <f ca="1">IF(History!IM$2="","",History!IM4*$C$15)</f>
        <v/>
      </c>
      <c r="IJ15" s="11" t="str">
        <f ca="1">IF(History!IN$2="","",History!IN4*$C$15)</f>
        <v/>
      </c>
      <c r="IK15" s="11" t="str">
        <f ca="1">IF(History!IO$2="","",History!IO4*$C$15)</f>
        <v/>
      </c>
      <c r="IL15" s="11" t="str">
        <f ca="1">IF(History!IP$2="","",History!IP4*$C$15)</f>
        <v/>
      </c>
      <c r="IM15" s="11" t="str">
        <f ca="1">IF(History!IQ$2="","",History!IQ4*$C$15)</f>
        <v/>
      </c>
      <c r="IN15" s="11" t="str">
        <f ca="1">IF(History!IR$2="","",History!IR4*$C$15)</f>
        <v/>
      </c>
      <c r="IO15" s="11" t="str">
        <f ca="1">IF(History!IS$2="","",History!IS4*$C$15)</f>
        <v/>
      </c>
      <c r="IP15" s="11" t="str">
        <f ca="1">IF(History!IT$2="","",History!IT4*$C$15)</f>
        <v/>
      </c>
      <c r="IQ15" s="11" t="str">
        <f ca="1">IF(History!IU$2="","",History!IU4*$C$15)</f>
        <v/>
      </c>
      <c r="IR15" s="11" t="str">
        <f ca="1">IF(History!IV$2="","",History!IV4*$C$15)</f>
        <v/>
      </c>
      <c r="IS15" s="11" t="str">
        <f ca="1">IF(History!IW$2="","",History!IW4*$C$15)</f>
        <v/>
      </c>
      <c r="IT15" s="11" t="str">
        <f ca="1">IF(History!IX$2="","",History!IX4*$C$15)</f>
        <v/>
      </c>
      <c r="IU15" s="11" t="str">
        <f ca="1">IF(History!IY$2="","",History!IY4*$C$15)</f>
        <v/>
      </c>
      <c r="IV15" s="11" t="str">
        <f ca="1">IF(History!IZ$2="","",History!IZ4*$C$15)</f>
        <v/>
      </c>
      <c r="IW15" s="11" t="str">
        <f ca="1">IF(History!JA$2="","",History!JA4*$C$15)</f>
        <v/>
      </c>
      <c r="IX15" s="11" t="str">
        <f ca="1">IF(History!JB$2="","",History!JB4*$C$15)</f>
        <v/>
      </c>
      <c r="IY15" s="11" t="str">
        <f ca="1">IF(History!JC$2="","",History!JC4*$C$15)</f>
        <v/>
      </c>
      <c r="IZ15" s="11" t="str">
        <f ca="1">IF(History!JD$2="","",History!JD4*$C$15)</f>
        <v/>
      </c>
      <c r="JA15" s="11" t="str">
        <f ca="1">IF(History!JE$2="","",History!JE4*$C$15)</f>
        <v/>
      </c>
      <c r="JB15" s="11" t="str">
        <f ca="1">IF(History!JF$2="","",History!JF4*$C$15)</f>
        <v/>
      </c>
      <c r="JC15" s="11" t="str">
        <f ca="1">IF(History!JG$2="","",History!JG4*$C$15)</f>
        <v/>
      </c>
      <c r="JD15" s="11" t="str">
        <f ca="1">IF(History!JH$2="","",History!JH4*$C$15)</f>
        <v/>
      </c>
      <c r="JE15" s="11" t="str">
        <f ca="1">IF(History!JI$2="","",History!JI4*$C$15)</f>
        <v/>
      </c>
      <c r="JF15" s="11" t="str">
        <f ca="1">IF(History!JJ$2="","",History!JJ4*$C$15)</f>
        <v/>
      </c>
      <c r="JG15" s="11" t="str">
        <f ca="1">IF(History!JK$2="","",History!JK4*$C$15)</f>
        <v/>
      </c>
      <c r="JH15" s="11" t="str">
        <f ca="1">IF(History!JL$2="","",History!JL4*$C$15)</f>
        <v/>
      </c>
      <c r="JI15" s="11" t="str">
        <f ca="1">IF(History!JM$2="","",History!JM4*$C$15)</f>
        <v/>
      </c>
      <c r="JJ15" s="11" t="str">
        <f ca="1">IF(History!JN$2="","",History!JN4*$C$15)</f>
        <v/>
      </c>
      <c r="JK15" s="11" t="str">
        <f ca="1">IF(History!JO$2="","",History!JO4*$C$15)</f>
        <v/>
      </c>
      <c r="JL15" s="11" t="str">
        <f ca="1">IF(History!JP$2="","",History!JP4*$C$15)</f>
        <v/>
      </c>
      <c r="JM15" s="11" t="str">
        <f ca="1">IF(History!JQ$2="","",History!JQ4*$C$15)</f>
        <v/>
      </c>
      <c r="JN15" s="11" t="str">
        <f ca="1">IF(History!JR$2="","",History!JR4*$C$15)</f>
        <v/>
      </c>
      <c r="JO15" s="11" t="str">
        <f ca="1">IF(History!JS$2="","",History!JS4*$C$15)</f>
        <v/>
      </c>
      <c r="JP15" s="11" t="str">
        <f ca="1">IF(History!JT$2="","",History!JT4*$C$15)</f>
        <v/>
      </c>
      <c r="JQ15" s="11" t="str">
        <f ca="1">IF(History!JU$2="","",History!JU4*$C$15)</f>
        <v/>
      </c>
      <c r="JR15" s="11" t="str">
        <f ca="1">IF(History!JV$2="","",History!JV4*$C$15)</f>
        <v/>
      </c>
      <c r="JS15" s="11" t="str">
        <f ca="1">IF(History!JW$2="","",History!JW4*$C$15)</f>
        <v/>
      </c>
      <c r="JT15" s="11" t="str">
        <f ca="1">IF(History!JX$2="","",History!JX4*$C$15)</f>
        <v/>
      </c>
      <c r="JU15" s="11" t="str">
        <f ca="1">IF(History!JY$2="","",History!JY4*$C$15)</f>
        <v/>
      </c>
      <c r="JV15" s="11" t="str">
        <f ca="1">IF(History!JZ$2="","",History!JZ4*$C$15)</f>
        <v/>
      </c>
      <c r="JW15" s="11" t="str">
        <f ca="1">IF(History!KA$2="","",History!KA4*$C$15)</f>
        <v/>
      </c>
      <c r="JX15" s="11" t="str">
        <f ca="1">IF(History!KB$2="","",History!KB4*$C$15)</f>
        <v/>
      </c>
      <c r="JY15" s="11" t="str">
        <f ca="1">IF(History!KC$2="","",History!KC4*$C$15)</f>
        <v/>
      </c>
      <c r="JZ15" s="11" t="str">
        <f ca="1">IF(History!KD$2="","",History!KD4*$C$15)</f>
        <v/>
      </c>
      <c r="KA15" s="11" t="str">
        <f ca="1">IF(History!KE$2="","",History!KE4*$C$15)</f>
        <v/>
      </c>
      <c r="KB15" s="11" t="str">
        <f ca="1">IF(History!KF$2="","",History!KF4*$C$15)</f>
        <v/>
      </c>
    </row>
    <row r="16" spans="1:288" ht="15.75" customHeight="1">
      <c r="A16" s="22" t="s">
        <v>30</v>
      </c>
      <c r="B16" s="6" t="s">
        <v>49</v>
      </c>
      <c r="C16" s="26">
        <v>36</v>
      </c>
      <c r="D16" s="11">
        <f ca="1">IF(History!H$2="","",History!H5*$C$16)</f>
        <v>19760.759999999998</v>
      </c>
      <c r="E16" s="11">
        <f ca="1">IF(History!I$2="","",History!I5*$C$16)</f>
        <v>20147.04</v>
      </c>
      <c r="F16" s="11">
        <f ca="1">IF(History!J$2="","",History!J5*$C$16)</f>
        <v>19420.920000000002</v>
      </c>
      <c r="G16" s="11">
        <f ca="1">IF(History!K$2="","",History!K5*$C$16)</f>
        <v>18892.079999999998</v>
      </c>
      <c r="H16" s="11">
        <f ca="1">IF(History!L$2="","",History!L5*$C$16)</f>
        <v>18886.68</v>
      </c>
      <c r="I16" s="11">
        <f ca="1">IF(History!M$2="","",History!M5*$C$16)</f>
        <v>17624.16</v>
      </c>
      <c r="J16" s="11">
        <f ca="1">IF(History!N$2="","",History!N5*$C$16)</f>
        <v>17913.239999999998</v>
      </c>
      <c r="K16" s="11">
        <f ca="1">IF(History!O$2="","",History!O5*$C$16)</f>
        <v>17665.559999999998</v>
      </c>
      <c r="L16" s="11">
        <f ca="1">IF(History!P$2="","",History!P5*$C$16)</f>
        <v>16660.079999999998</v>
      </c>
      <c r="M16" s="11">
        <f ca="1">IF(History!Q$2="","",History!Q5*$C$16)</f>
        <v>17079.48</v>
      </c>
      <c r="N16" s="11">
        <f ca="1">IF(History!R$2="","",History!R5*$C$16)</f>
        <v>16847.64</v>
      </c>
      <c r="O16" s="11">
        <f ca="1">IF(History!S$2="","",History!S5*$C$16)</f>
        <v>16464.96</v>
      </c>
      <c r="P16" s="11">
        <f ca="1">IF(History!T$2="","",History!T5*$C$16)</f>
        <v>16402.32</v>
      </c>
      <c r="Q16" s="11">
        <f ca="1">IF(History!U$2="","",History!U5*$C$16)</f>
        <v>16702.559999999998</v>
      </c>
      <c r="R16" s="11">
        <f ca="1">IF(History!V$2="","",History!V5*$C$16)</f>
        <v>17818.559999999998</v>
      </c>
      <c r="S16" s="11">
        <f ca="1">IF(History!W$2="","",History!W5*$C$16)</f>
        <v>18308.16</v>
      </c>
      <c r="T16" s="11">
        <f ca="1">IF(History!X$2="","",History!X5*$C$16)</f>
        <v>18202.32</v>
      </c>
      <c r="U16" s="11">
        <f ca="1">IF(History!Y$2="","",History!Y5*$C$16)</f>
        <v>18119.16</v>
      </c>
      <c r="V16" s="11">
        <f ca="1">IF(History!Z$2="","",History!Z5*$C$16)</f>
        <v>17634.96</v>
      </c>
      <c r="W16" s="11">
        <f ca="1">IF(History!AA$2="","",History!AA5*$C$16)</f>
        <v>18007.920000000002</v>
      </c>
      <c r="X16" s="11">
        <f ca="1">IF(History!AB$2="","",History!AB5*$C$16)</f>
        <v>18557.64</v>
      </c>
      <c r="Y16" s="11">
        <f ca="1">IF(History!AC$2="","",History!AC5*$C$16)</f>
        <v>19653.840000000004</v>
      </c>
      <c r="Z16" s="11">
        <f ca="1">IF(History!AD$2="","",History!AD5*$C$16)</f>
        <v>19164.96</v>
      </c>
      <c r="AA16" s="11">
        <f ca="1">IF(History!AE$2="","",History!AE5*$C$16)</f>
        <v>18327.600000000002</v>
      </c>
      <c r="AB16" s="11">
        <f ca="1">IF(History!AF$2="","",History!AF5*$C$16)</f>
        <v>18204.12</v>
      </c>
      <c r="AC16" s="11">
        <f ca="1">IF(History!AG$2="","",History!AG5*$C$16)</f>
        <v>19016.64</v>
      </c>
      <c r="AD16" s="11">
        <f ca="1">IF(History!AH$2="","",History!AH5*$C$16)</f>
        <v>18949.68</v>
      </c>
      <c r="AE16" s="11">
        <f ca="1">IF(History!AI$2="","",History!AI5*$C$16)</f>
        <v>18063.36</v>
      </c>
      <c r="AF16" s="11">
        <f ca="1">IF(History!AJ$2="","",History!AJ5*$C$16)</f>
        <v>17951.399999999998</v>
      </c>
      <c r="AG16" s="11">
        <f ca="1">IF(History!AK$2="","",History!AK5*$C$16)</f>
        <v>17787.96</v>
      </c>
      <c r="AH16" s="11">
        <f ca="1">IF(History!AL$2="","",History!AL5*$C$16)</f>
        <v>17375.760000000002</v>
      </c>
      <c r="AI16" s="11">
        <f ca="1">IF(History!AM$2="","",History!AM5*$C$16)</f>
        <v>18329.399999999998</v>
      </c>
      <c r="AJ16" s="11">
        <f ca="1">IF(History!AN$2="","",History!AN5*$C$16)</f>
        <v>18452.159999999996</v>
      </c>
      <c r="AK16" s="11">
        <f ca="1">IF(History!AO$2="","",History!AO5*$C$16)</f>
        <v>18412.559999999998</v>
      </c>
      <c r="AL16" s="11">
        <f ca="1">IF(History!AP$2="","",History!AP5*$C$16)</f>
        <v>18034.920000000002</v>
      </c>
      <c r="AM16" s="11">
        <f ca="1">IF(History!AQ$2="","",History!AQ5*$C$16)</f>
        <v>17861.04</v>
      </c>
      <c r="AN16" s="11">
        <f ca="1">IF(History!AR$2="","",History!AR5*$C$16)</f>
        <v>17188.2</v>
      </c>
      <c r="AO16" s="11">
        <f ca="1">IF(History!AS$2="","",History!AS5*$C$16)</f>
        <v>16721.28</v>
      </c>
      <c r="AP16" s="11">
        <f ca="1">IF(History!AT$2="","",History!AT5*$C$16)</f>
        <v>15680.52</v>
      </c>
      <c r="AQ16" s="11">
        <f ca="1">IF(History!AU$2="","",History!AU5*$C$16)</f>
        <v>14940.36</v>
      </c>
      <c r="AR16" s="11">
        <f ca="1">IF(History!AV$2="","",History!AV5*$C$16)</f>
        <v>15913.800000000001</v>
      </c>
      <c r="AS16" s="11">
        <f ca="1">IF(History!AW$2="","",History!AW5*$C$16)</f>
        <v>15483.24</v>
      </c>
      <c r="AT16" s="11">
        <f ca="1">IF(History!AX$2="","",History!AX5*$C$16)</f>
        <v>14424.12</v>
      </c>
      <c r="AU16" s="11">
        <f ca="1">IF(History!AY$2="","",History!AY5*$C$16)</f>
        <v>13611.24</v>
      </c>
      <c r="AV16" s="11">
        <f ca="1">IF(History!AZ$2="","",History!AZ5*$C$16)</f>
        <v>14066.28</v>
      </c>
      <c r="AW16" s="11">
        <f ca="1">IF(History!BA$2="","",History!BA5*$C$16)</f>
        <v>15143.4</v>
      </c>
      <c r="AX16" s="11">
        <f ca="1">IF(History!BB$2="","",History!BB5*$C$16)</f>
        <v>15317.28</v>
      </c>
      <c r="AY16" s="11">
        <f ca="1">IF(History!BC$2="","",History!BC5*$C$16)</f>
        <v>15943.32</v>
      </c>
      <c r="AZ16" s="11">
        <f ca="1">IF(History!BD$2="","",History!BD5*$C$16)</f>
        <v>15568.920000000002</v>
      </c>
      <c r="BA16" s="11">
        <f ca="1">IF(History!BE$2="","",History!BE5*$C$16)</f>
        <v>16453.079999999998</v>
      </c>
      <c r="BB16" s="11">
        <f ca="1">IF(History!BF$2="","",History!BF5*$C$16)</f>
        <v>15734.16</v>
      </c>
      <c r="BC16" s="11">
        <f ca="1">IF(History!BG$2="","",History!BG5*$C$16)</f>
        <v>15705.36</v>
      </c>
      <c r="BD16" s="11">
        <f ca="1">IF(History!BH$2="","",History!BH5*$C$16)</f>
        <v>15495.84</v>
      </c>
      <c r="BE16" s="11">
        <f ca="1">IF(History!BI$2="","",History!BI5*$C$16)</f>
        <v>15624</v>
      </c>
      <c r="BF16" s="11">
        <f ca="1">IF(History!BJ$2="","",History!BJ5*$C$16)</f>
        <v>16305.84</v>
      </c>
      <c r="BG16" s="11">
        <f ca="1">IF(History!BK$2="","",History!BK5*$C$16)</f>
        <v>15918.12</v>
      </c>
      <c r="BH16" s="11">
        <f ca="1">IF(History!BL$2="","",History!BL5*$C$16)</f>
        <v>15696</v>
      </c>
      <c r="BI16" s="11">
        <f ca="1">IF(History!BM$2="","",History!BM5*$C$16)</f>
        <v>16070.76</v>
      </c>
      <c r="BJ16" s="11">
        <f ca="1">IF(History!BN$2="","",History!BN5*$C$16)</f>
        <v>16034.039999999999</v>
      </c>
      <c r="BK16" s="11">
        <f ca="1">IF(History!BO$2="","",History!BO5*$C$16)</f>
        <v>15724.800000000001</v>
      </c>
      <c r="BL16" s="11">
        <f ca="1">IF(History!BP$2="","",History!BP5*$C$16)</f>
        <v>15182.64</v>
      </c>
      <c r="BM16" s="11">
        <f ca="1">IF(History!BQ$2="","",History!BQ5*$C$16)</f>
        <v>15198.48</v>
      </c>
      <c r="BN16" s="11">
        <f ca="1">IF(History!BR$2="","",History!BR5*$C$16)</f>
        <v>15140.16</v>
      </c>
      <c r="BO16" s="11">
        <f ca="1">IF(History!BS$2="","",History!BS5*$C$16)</f>
        <v>14748.84</v>
      </c>
      <c r="BP16" s="11">
        <f ca="1">IF(History!BT$2="","",History!BT5*$C$16)</f>
        <v>14624.28</v>
      </c>
      <c r="BQ16" s="11">
        <f ca="1">IF(History!BU$2="","",History!BU5*$C$16)</f>
        <v>15008.76</v>
      </c>
      <c r="BR16" s="11">
        <f ca="1">IF(History!BV$2="","",History!BV5*$C$16)</f>
        <v>14753.52</v>
      </c>
      <c r="BS16" s="11">
        <f ca="1">IF(History!BW$2="","",History!BW5*$C$16)</f>
        <v>14611.68</v>
      </c>
      <c r="BT16" s="11">
        <f ca="1">IF(History!BX$2="","",History!BX5*$C$16)</f>
        <v>15283.44</v>
      </c>
      <c r="BU16" s="11">
        <f ca="1">IF(History!BY$2="","",History!BY5*$C$16)</f>
        <v>15090.48</v>
      </c>
      <c r="BV16" s="11">
        <f ca="1">IF(History!BZ$2="","",History!BZ5*$C$16)</f>
        <v>13810.68</v>
      </c>
      <c r="BW16" s="11">
        <f ca="1">IF(History!CA$2="","",History!CA5*$C$16)</f>
        <v>12980.52</v>
      </c>
      <c r="BX16" s="11">
        <f ca="1">IF(History!CB$2="","",History!CB5*$C$16)</f>
        <v>13278.960000000001</v>
      </c>
      <c r="BY16" s="11">
        <f ca="1">IF(History!CC$2="","",History!CC5*$C$16)</f>
        <v>13006.800000000001</v>
      </c>
      <c r="BZ16" s="11">
        <f ca="1">IF(History!CD$2="","",History!CD5*$C$16)</f>
        <v>12975.48</v>
      </c>
      <c r="CA16" s="11">
        <f ca="1">IF(History!CE$2="","",History!CE5*$C$16)</f>
        <v>10967.76</v>
      </c>
      <c r="CB16" s="11">
        <f ca="1">IF(History!CF$2="","",History!CF5*$C$16)</f>
        <v>10436.76</v>
      </c>
      <c r="CC16" s="11">
        <f ca="1">IF(History!CG$2="","",History!CG5*$C$16)</f>
        <v>11119.68</v>
      </c>
      <c r="CD16" s="11">
        <f ca="1">IF(History!CH$2="","",History!CH5*$C$16)</f>
        <v>10836.72</v>
      </c>
      <c r="CE16" s="11">
        <f ca="1">IF(History!CI$2="","",History!CI5*$C$16)</f>
        <v>11192.039999999999</v>
      </c>
      <c r="CF16" s="11" t="str">
        <f ca="1">IF(History!CJ$2="","",History!CJ5*$C$16)</f>
        <v/>
      </c>
      <c r="CG16" s="11" t="str">
        <f ca="1">IF(History!CK$2="","",History!CK5*$C$16)</f>
        <v/>
      </c>
      <c r="CH16" s="11" t="str">
        <f ca="1">IF(History!CL$2="","",History!CL5*$C$16)</f>
        <v/>
      </c>
      <c r="CI16" s="11" t="str">
        <f ca="1">IF(History!CM$2="","",History!CM5*$C$16)</f>
        <v/>
      </c>
      <c r="CJ16" s="11" t="str">
        <f ca="1">IF(History!CN$2="","",History!CN5*$C$16)</f>
        <v/>
      </c>
      <c r="CK16" s="11" t="str">
        <f ca="1">IF(History!CO$2="","",History!CO5*$C$16)</f>
        <v/>
      </c>
      <c r="CL16" s="11" t="str">
        <f ca="1">IF(History!CP$2="","",History!CP5*$C$16)</f>
        <v/>
      </c>
      <c r="CM16" s="11" t="str">
        <f ca="1">IF(History!CQ$2="","",History!CQ5*$C$16)</f>
        <v/>
      </c>
      <c r="CN16" s="11" t="str">
        <f ca="1">IF(History!CR$2="","",History!CR5*$C$16)</f>
        <v/>
      </c>
      <c r="CO16" s="11" t="str">
        <f ca="1">IF(History!CS$2="","",History!CS5*$C$16)</f>
        <v/>
      </c>
      <c r="CP16" s="11" t="str">
        <f ca="1">IF(History!CT$2="","",History!CT5*$C$16)</f>
        <v/>
      </c>
      <c r="CQ16" s="11" t="str">
        <f ca="1">IF(History!CU$2="","",History!CU5*$C$16)</f>
        <v/>
      </c>
      <c r="CR16" s="11" t="str">
        <f ca="1">IF(History!CV$2="","",History!CV5*$C$16)</f>
        <v/>
      </c>
      <c r="CS16" s="11" t="str">
        <f ca="1">IF(History!CW$2="","",History!CW5*$C$16)</f>
        <v/>
      </c>
      <c r="CT16" s="11" t="str">
        <f ca="1">IF(History!CX$2="","",History!CX5*$C$16)</f>
        <v/>
      </c>
      <c r="CU16" s="11" t="str">
        <f ca="1">IF(History!CY$2="","",History!CY5*$C$16)</f>
        <v/>
      </c>
      <c r="CV16" s="11" t="str">
        <f ca="1">IF(History!CZ$2="","",History!CZ5*$C$16)</f>
        <v/>
      </c>
      <c r="CW16" s="11" t="str">
        <f ca="1">IF(History!DA$2="","",History!DA5*$C$16)</f>
        <v/>
      </c>
      <c r="CX16" s="11" t="str">
        <f ca="1">IF(History!DB$2="","",History!DB5*$C$16)</f>
        <v/>
      </c>
      <c r="CY16" s="11" t="str">
        <f ca="1">IF(History!DC$2="","",History!DC5*$C$16)</f>
        <v/>
      </c>
      <c r="CZ16" s="11" t="str">
        <f ca="1">IF(History!DD$2="","",History!DD5*$C$16)</f>
        <v/>
      </c>
      <c r="DA16" s="11" t="str">
        <f ca="1">IF(History!DE$2="","",History!DE5*$C$16)</f>
        <v/>
      </c>
      <c r="DB16" s="11" t="str">
        <f ca="1">IF(History!DF$2="","",History!DF5*$C$16)</f>
        <v/>
      </c>
      <c r="DC16" s="11" t="str">
        <f ca="1">IF(History!DG$2="","",History!DG5*$C$16)</f>
        <v/>
      </c>
      <c r="DD16" s="11" t="str">
        <f ca="1">IF(History!DH$2="","",History!DH5*$C$16)</f>
        <v/>
      </c>
      <c r="DE16" s="11" t="str">
        <f ca="1">IF(History!DI$2="","",History!DI5*$C$16)</f>
        <v/>
      </c>
      <c r="DF16" s="11" t="str">
        <f ca="1">IF(History!DJ$2="","",History!DJ5*$C$16)</f>
        <v/>
      </c>
      <c r="DG16" s="11" t="str">
        <f ca="1">IF(History!DK$2="","",History!DK5*$C$16)</f>
        <v/>
      </c>
      <c r="DH16" s="11" t="str">
        <f ca="1">IF(History!DL$2="","",History!DL5*$C$16)</f>
        <v/>
      </c>
      <c r="DI16" s="11" t="str">
        <f ca="1">IF(History!DM$2="","",History!DM5*$C$16)</f>
        <v/>
      </c>
      <c r="DJ16" s="11" t="str">
        <f ca="1">IF(History!DN$2="","",History!DN5*$C$16)</f>
        <v/>
      </c>
      <c r="DK16" s="11" t="str">
        <f ca="1">IF(History!DO$2="","",History!DO5*$C$16)</f>
        <v/>
      </c>
      <c r="DL16" s="11" t="str">
        <f ca="1">IF(History!DP$2="","",History!DP5*$C$16)</f>
        <v/>
      </c>
      <c r="DM16" s="11" t="str">
        <f ca="1">IF(History!DQ$2="","",History!DQ5*$C$16)</f>
        <v/>
      </c>
      <c r="DN16" s="11" t="str">
        <f ca="1">IF(History!DR$2="","",History!DR5*$C$16)</f>
        <v/>
      </c>
      <c r="DO16" s="11" t="str">
        <f ca="1">IF(History!DS$2="","",History!DS5*$C$16)</f>
        <v/>
      </c>
      <c r="DP16" s="11" t="str">
        <f ca="1">IF(History!DT$2="","",History!DT5*$C$16)</f>
        <v/>
      </c>
      <c r="DQ16" s="11" t="str">
        <f ca="1">IF(History!DU$2="","",History!DU5*$C$16)</f>
        <v/>
      </c>
      <c r="DR16" s="11" t="str">
        <f ca="1">IF(History!DV$2="","",History!DV5*$C$16)</f>
        <v/>
      </c>
      <c r="DS16" s="11" t="str">
        <f ca="1">IF(History!DW$2="","",History!DW5*$C$16)</f>
        <v/>
      </c>
      <c r="DT16" s="11" t="str">
        <f ca="1">IF(History!DX$2="","",History!DX5*$C$16)</f>
        <v/>
      </c>
      <c r="DU16" s="11" t="str">
        <f ca="1">IF(History!DY$2="","",History!DY5*$C$16)</f>
        <v/>
      </c>
      <c r="DV16" s="11" t="str">
        <f ca="1">IF(History!DZ$2="","",History!DZ5*$C$16)</f>
        <v/>
      </c>
      <c r="DW16" s="11" t="str">
        <f ca="1">IF(History!EA$2="","",History!EA5*$C$16)</f>
        <v/>
      </c>
      <c r="DX16" s="11" t="str">
        <f ca="1">IF(History!EB$2="","",History!EB5*$C$16)</f>
        <v/>
      </c>
      <c r="DY16" s="11" t="str">
        <f ca="1">IF(History!EC$2="","",History!EC5*$C$16)</f>
        <v/>
      </c>
      <c r="DZ16" s="11" t="str">
        <f ca="1">IF(History!ED$2="","",History!ED5*$C$16)</f>
        <v/>
      </c>
      <c r="EA16" s="11" t="str">
        <f ca="1">IF(History!EE$2="","",History!EE5*$C$16)</f>
        <v/>
      </c>
      <c r="EB16" s="11" t="str">
        <f ca="1">IF(History!EF$2="","",History!EF5*$C$16)</f>
        <v/>
      </c>
      <c r="EC16" s="11" t="str">
        <f ca="1">IF(History!EG$2="","",History!EG5*$C$16)</f>
        <v/>
      </c>
      <c r="ED16" s="11" t="str">
        <f ca="1">IF(History!EH$2="","",History!EH5*$C$16)</f>
        <v/>
      </c>
      <c r="EE16" s="11" t="str">
        <f ca="1">IF(History!EI$2="","",History!EI5*$C$16)</f>
        <v/>
      </c>
      <c r="EF16" s="11" t="str">
        <f ca="1">IF(History!EJ$2="","",History!EJ5*$C$16)</f>
        <v/>
      </c>
      <c r="EG16" s="11" t="str">
        <f ca="1">IF(History!EK$2="","",History!EK5*$C$16)</f>
        <v/>
      </c>
      <c r="EH16" s="11" t="str">
        <f ca="1">IF(History!EL$2="","",History!EL5*$C$16)</f>
        <v/>
      </c>
      <c r="EI16" s="11" t="str">
        <f ca="1">IF(History!EM$2="","",History!EM5*$C$16)</f>
        <v/>
      </c>
      <c r="EJ16" s="11" t="str">
        <f ca="1">IF(History!EN$2="","",History!EN5*$C$16)</f>
        <v/>
      </c>
      <c r="EK16" s="11" t="str">
        <f ca="1">IF(History!EO$2="","",History!EO5*$C$16)</f>
        <v/>
      </c>
      <c r="EL16" s="11" t="str">
        <f ca="1">IF(History!EP$2="","",History!EP5*$C$16)</f>
        <v/>
      </c>
      <c r="EM16" s="11" t="str">
        <f ca="1">IF(History!EQ$2="","",History!EQ5*$C$16)</f>
        <v/>
      </c>
      <c r="EN16" s="11" t="str">
        <f ca="1">IF(History!ER$2="","",History!ER5*$C$16)</f>
        <v/>
      </c>
      <c r="EO16" s="11" t="str">
        <f ca="1">IF(History!ES$2="","",History!ES5*$C$16)</f>
        <v/>
      </c>
      <c r="EP16" s="11" t="str">
        <f ca="1">IF(History!ET$2="","",History!ET5*$C$16)</f>
        <v/>
      </c>
      <c r="EQ16" s="11" t="str">
        <f ca="1">IF(History!EU$2="","",History!EU5*$C$16)</f>
        <v/>
      </c>
      <c r="ER16" s="11" t="str">
        <f ca="1">IF(History!EV$2="","",History!EV5*$C$16)</f>
        <v/>
      </c>
      <c r="ES16" s="11" t="str">
        <f ca="1">IF(History!EW$2="","",History!EW5*$C$16)</f>
        <v/>
      </c>
      <c r="ET16" s="11" t="str">
        <f ca="1">IF(History!EX$2="","",History!EX5*$C$16)</f>
        <v/>
      </c>
      <c r="EU16" s="11" t="str">
        <f ca="1">IF(History!EY$2="","",History!EY5*$C$16)</f>
        <v/>
      </c>
      <c r="EV16" s="11" t="str">
        <f ca="1">IF(History!EZ$2="","",History!EZ5*$C$16)</f>
        <v/>
      </c>
      <c r="EW16" s="11" t="str">
        <f ca="1">IF(History!FA$2="","",History!FA5*$C$16)</f>
        <v/>
      </c>
      <c r="EX16" s="11" t="str">
        <f ca="1">IF(History!FB$2="","",History!FB5*$C$16)</f>
        <v/>
      </c>
      <c r="EY16" s="11" t="str">
        <f ca="1">IF(History!FC$2="","",History!FC5*$C$16)</f>
        <v/>
      </c>
      <c r="EZ16" s="11" t="str">
        <f ca="1">IF(History!FD$2="","",History!FD5*$C$16)</f>
        <v/>
      </c>
      <c r="FA16" s="11" t="str">
        <f ca="1">IF(History!FE$2="","",History!FE5*$C$16)</f>
        <v/>
      </c>
      <c r="FB16" s="11" t="str">
        <f ca="1">IF(History!FF$2="","",History!FF5*$C$16)</f>
        <v/>
      </c>
      <c r="FC16" s="11" t="str">
        <f ca="1">IF(History!FG$2="","",History!FG5*$C$16)</f>
        <v/>
      </c>
      <c r="FD16" s="11" t="str">
        <f ca="1">IF(History!FH$2="","",History!FH5*$C$16)</f>
        <v/>
      </c>
      <c r="FE16" s="11" t="str">
        <f ca="1">IF(History!FI$2="","",History!FI5*$C$16)</f>
        <v/>
      </c>
      <c r="FF16" s="11" t="str">
        <f ca="1">IF(History!FJ$2="","",History!FJ5*$C$16)</f>
        <v/>
      </c>
      <c r="FG16" s="11" t="str">
        <f ca="1">IF(History!FK$2="","",History!FK5*$C$16)</f>
        <v/>
      </c>
      <c r="FH16" s="11" t="str">
        <f ca="1">IF(History!FL$2="","",History!FL5*$C$16)</f>
        <v/>
      </c>
      <c r="FI16" s="11" t="str">
        <f ca="1">IF(History!FM$2="","",History!FM5*$C$16)</f>
        <v/>
      </c>
      <c r="FJ16" s="11" t="str">
        <f ca="1">IF(History!FN$2="","",History!FN5*$C$16)</f>
        <v/>
      </c>
      <c r="FK16" s="11" t="str">
        <f ca="1">IF(History!FO$2="","",History!FO5*$C$16)</f>
        <v/>
      </c>
      <c r="FL16" s="11" t="str">
        <f ca="1">IF(History!FP$2="","",History!FP5*$C$16)</f>
        <v/>
      </c>
      <c r="FM16" s="11" t="str">
        <f ca="1">IF(History!FQ$2="","",History!FQ5*$C$16)</f>
        <v/>
      </c>
      <c r="FN16" s="11" t="str">
        <f ca="1">IF(History!FR$2="","",History!FR5*$C$16)</f>
        <v/>
      </c>
      <c r="FO16" s="11" t="str">
        <f ca="1">IF(History!FS$2="","",History!FS5*$C$16)</f>
        <v/>
      </c>
      <c r="FP16" s="11" t="str">
        <f ca="1">IF(History!FT$2="","",History!FT5*$C$16)</f>
        <v/>
      </c>
      <c r="FQ16" s="11" t="str">
        <f ca="1">IF(History!FU$2="","",History!FU5*$C$16)</f>
        <v/>
      </c>
      <c r="FR16" s="11" t="str">
        <f ca="1">IF(History!FV$2="","",History!FV5*$C$16)</f>
        <v/>
      </c>
      <c r="FS16" s="11" t="str">
        <f ca="1">IF(History!FW$2="","",History!FW5*$C$16)</f>
        <v/>
      </c>
      <c r="FT16" s="11" t="str">
        <f ca="1">IF(History!FX$2="","",History!FX5*$C$16)</f>
        <v/>
      </c>
      <c r="FU16" s="11" t="str">
        <f ca="1">IF(History!FY$2="","",History!FY5*$C$16)</f>
        <v/>
      </c>
      <c r="FV16" s="11" t="str">
        <f ca="1">IF(History!FZ$2="","",History!FZ5*$C$16)</f>
        <v/>
      </c>
      <c r="FW16" s="11" t="str">
        <f ca="1">IF(History!GA$2="","",History!GA5*$C$16)</f>
        <v/>
      </c>
      <c r="FX16" s="11" t="str">
        <f ca="1">IF(History!GB$2="","",History!GB5*$C$16)</f>
        <v/>
      </c>
      <c r="FY16" s="11" t="str">
        <f ca="1">IF(History!GC$2="","",History!GC5*$C$16)</f>
        <v/>
      </c>
      <c r="FZ16" s="11" t="str">
        <f ca="1">IF(History!GD$2="","",History!GD5*$C$16)</f>
        <v/>
      </c>
      <c r="GA16" s="11" t="str">
        <f ca="1">IF(History!GE$2="","",History!GE5*$C$16)</f>
        <v/>
      </c>
      <c r="GB16" s="11" t="str">
        <f ca="1">IF(History!GF$2="","",History!GF5*$C$16)</f>
        <v/>
      </c>
      <c r="GC16" s="11" t="str">
        <f ca="1">IF(History!GG$2="","",History!GG5*$C$16)</f>
        <v/>
      </c>
      <c r="GD16" s="11" t="str">
        <f ca="1">IF(History!GH$2="","",History!GH5*$C$16)</f>
        <v/>
      </c>
      <c r="GE16" s="11" t="str">
        <f ca="1">IF(History!GI$2="","",History!GI5*$C$16)</f>
        <v/>
      </c>
      <c r="GF16" s="11" t="str">
        <f ca="1">IF(History!GJ$2="","",History!GJ5*$C$16)</f>
        <v/>
      </c>
      <c r="GG16" s="11" t="str">
        <f ca="1">IF(History!GK$2="","",History!GK5*$C$16)</f>
        <v/>
      </c>
      <c r="GH16" s="11" t="str">
        <f ca="1">IF(History!GL$2="","",History!GL5*$C$16)</f>
        <v/>
      </c>
      <c r="GI16" s="11" t="str">
        <f ca="1">IF(History!GM$2="","",History!GM5*$C$16)</f>
        <v/>
      </c>
      <c r="GJ16" s="11" t="str">
        <f ca="1">IF(History!GN$2="","",History!GN5*$C$16)</f>
        <v/>
      </c>
      <c r="GK16" s="11" t="str">
        <f ca="1">IF(History!GO$2="","",History!GO5*$C$16)</f>
        <v/>
      </c>
      <c r="GL16" s="11" t="str">
        <f ca="1">IF(History!GP$2="","",History!GP5*$C$16)</f>
        <v/>
      </c>
      <c r="GM16" s="11" t="str">
        <f ca="1">IF(History!GQ$2="","",History!GQ5*$C$16)</f>
        <v/>
      </c>
      <c r="GN16" s="11" t="str">
        <f ca="1">IF(History!GR$2="","",History!GR5*$C$16)</f>
        <v/>
      </c>
      <c r="GO16" s="11" t="str">
        <f ca="1">IF(History!GS$2="","",History!GS5*$C$16)</f>
        <v/>
      </c>
      <c r="GP16" s="11" t="str">
        <f ca="1">IF(History!GT$2="","",History!GT5*$C$16)</f>
        <v/>
      </c>
      <c r="GQ16" s="11" t="str">
        <f ca="1">IF(History!GU$2="","",History!GU5*$C$16)</f>
        <v/>
      </c>
      <c r="GR16" s="11" t="str">
        <f ca="1">IF(History!GV$2="","",History!GV5*$C$16)</f>
        <v/>
      </c>
      <c r="GS16" s="11" t="str">
        <f ca="1">IF(History!GW$2="","",History!GW5*$C$16)</f>
        <v/>
      </c>
      <c r="GT16" s="11" t="str">
        <f ca="1">IF(History!GX$2="","",History!GX5*$C$16)</f>
        <v/>
      </c>
      <c r="GU16" s="11" t="str">
        <f ca="1">IF(History!GY$2="","",History!GY5*$C$16)</f>
        <v/>
      </c>
      <c r="GV16" s="11" t="str">
        <f ca="1">IF(History!GZ$2="","",History!GZ5*$C$16)</f>
        <v/>
      </c>
      <c r="GW16" s="11" t="str">
        <f ca="1">IF(History!HA$2="","",History!HA5*$C$16)</f>
        <v/>
      </c>
      <c r="GX16" s="11" t="str">
        <f ca="1">IF(History!HB$2="","",History!HB5*$C$16)</f>
        <v/>
      </c>
      <c r="GY16" s="11" t="str">
        <f ca="1">IF(History!HC$2="","",History!HC5*$C$16)</f>
        <v/>
      </c>
      <c r="GZ16" s="11" t="str">
        <f ca="1">IF(History!HD$2="","",History!HD5*$C$16)</f>
        <v/>
      </c>
      <c r="HA16" s="11" t="str">
        <f ca="1">IF(History!HE$2="","",History!HE5*$C$16)</f>
        <v/>
      </c>
      <c r="HB16" s="11" t="str">
        <f ca="1">IF(History!HF$2="","",History!HF5*$C$16)</f>
        <v/>
      </c>
      <c r="HC16" s="11" t="str">
        <f ca="1">IF(History!HG$2="","",History!HG5*$C$16)</f>
        <v/>
      </c>
      <c r="HD16" s="11" t="str">
        <f ca="1">IF(History!HH$2="","",History!HH5*$C$16)</f>
        <v/>
      </c>
      <c r="HE16" s="11" t="str">
        <f ca="1">IF(History!HI$2="","",History!HI5*$C$16)</f>
        <v/>
      </c>
      <c r="HF16" s="11" t="str">
        <f ca="1">IF(History!HJ$2="","",History!HJ5*$C$16)</f>
        <v/>
      </c>
      <c r="HG16" s="11" t="str">
        <f ca="1">IF(History!HK$2="","",History!HK5*$C$16)</f>
        <v/>
      </c>
      <c r="HH16" s="11" t="str">
        <f ca="1">IF(History!HL$2="","",History!HL5*$C$16)</f>
        <v/>
      </c>
      <c r="HI16" s="11" t="str">
        <f ca="1">IF(History!HM$2="","",History!HM5*$C$16)</f>
        <v/>
      </c>
      <c r="HJ16" s="11" t="str">
        <f ca="1">IF(History!HN$2="","",History!HN5*$C$16)</f>
        <v/>
      </c>
      <c r="HK16" s="11" t="str">
        <f ca="1">IF(History!HO$2="","",History!HO5*$C$16)</f>
        <v/>
      </c>
      <c r="HL16" s="11" t="str">
        <f ca="1">IF(History!HP$2="","",History!HP5*$C$16)</f>
        <v/>
      </c>
      <c r="HM16" s="11" t="str">
        <f ca="1">IF(History!HQ$2="","",History!HQ5*$C$16)</f>
        <v/>
      </c>
      <c r="HN16" s="11" t="str">
        <f ca="1">IF(History!HR$2="","",History!HR5*$C$16)</f>
        <v/>
      </c>
      <c r="HO16" s="11" t="str">
        <f ca="1">IF(History!HS$2="","",History!HS5*$C$16)</f>
        <v/>
      </c>
      <c r="HP16" s="11" t="str">
        <f ca="1">IF(History!HT$2="","",History!HT5*$C$16)</f>
        <v/>
      </c>
      <c r="HQ16" s="11" t="str">
        <f ca="1">IF(History!HU$2="","",History!HU5*$C$16)</f>
        <v/>
      </c>
      <c r="HR16" s="11" t="str">
        <f ca="1">IF(History!HV$2="","",History!HV5*$C$16)</f>
        <v/>
      </c>
      <c r="HS16" s="11" t="str">
        <f ca="1">IF(History!HW$2="","",History!HW5*$C$16)</f>
        <v/>
      </c>
      <c r="HT16" s="11" t="str">
        <f ca="1">IF(History!HX$2="","",History!HX5*$C$16)</f>
        <v/>
      </c>
      <c r="HU16" s="11" t="str">
        <f ca="1">IF(History!HY$2="","",History!HY5*$C$16)</f>
        <v/>
      </c>
      <c r="HV16" s="11" t="str">
        <f ca="1">IF(History!HZ$2="","",History!HZ5*$C$16)</f>
        <v/>
      </c>
      <c r="HW16" s="11" t="str">
        <f ca="1">IF(History!IA$2="","",History!IA5*$C$16)</f>
        <v/>
      </c>
      <c r="HX16" s="11" t="str">
        <f ca="1">IF(History!IB$2="","",History!IB5*$C$16)</f>
        <v/>
      </c>
      <c r="HY16" s="11" t="str">
        <f ca="1">IF(History!IC$2="","",History!IC5*$C$16)</f>
        <v/>
      </c>
      <c r="HZ16" s="11" t="str">
        <f ca="1">IF(History!ID$2="","",History!ID5*$C$16)</f>
        <v/>
      </c>
      <c r="IA16" s="11" t="str">
        <f ca="1">IF(History!IE$2="","",History!IE5*$C$16)</f>
        <v/>
      </c>
      <c r="IB16" s="11" t="str">
        <f ca="1">IF(History!IF$2="","",History!IF5*$C$16)</f>
        <v/>
      </c>
      <c r="IC16" s="11" t="str">
        <f ca="1">IF(History!IG$2="","",History!IG5*$C$16)</f>
        <v/>
      </c>
      <c r="ID16" s="11" t="str">
        <f ca="1">IF(History!IH$2="","",History!IH5*$C$16)</f>
        <v/>
      </c>
      <c r="IE16" s="11" t="str">
        <f ca="1">IF(History!II$2="","",History!II5*$C$16)</f>
        <v/>
      </c>
      <c r="IF16" s="11" t="str">
        <f ca="1">IF(History!IJ$2="","",History!IJ5*$C$16)</f>
        <v/>
      </c>
      <c r="IG16" s="11" t="str">
        <f ca="1">IF(History!IK$2="","",History!IK5*$C$16)</f>
        <v/>
      </c>
      <c r="IH16" s="11" t="str">
        <f ca="1">IF(History!IL$2="","",History!IL5*$C$16)</f>
        <v/>
      </c>
      <c r="II16" s="11" t="str">
        <f ca="1">IF(History!IM$2="","",History!IM5*$C$16)</f>
        <v/>
      </c>
      <c r="IJ16" s="11" t="str">
        <f ca="1">IF(History!IN$2="","",History!IN5*$C$16)</f>
        <v/>
      </c>
      <c r="IK16" s="11" t="str">
        <f ca="1">IF(History!IO$2="","",History!IO5*$C$16)</f>
        <v/>
      </c>
      <c r="IL16" s="11" t="str">
        <f ca="1">IF(History!IP$2="","",History!IP5*$C$16)</f>
        <v/>
      </c>
      <c r="IM16" s="11" t="str">
        <f ca="1">IF(History!IQ$2="","",History!IQ5*$C$16)</f>
        <v/>
      </c>
      <c r="IN16" s="11" t="str">
        <f ca="1">IF(History!IR$2="","",History!IR5*$C$16)</f>
        <v/>
      </c>
      <c r="IO16" s="11" t="str">
        <f ca="1">IF(History!IS$2="","",History!IS5*$C$16)</f>
        <v/>
      </c>
      <c r="IP16" s="11" t="str">
        <f ca="1">IF(History!IT$2="","",History!IT5*$C$16)</f>
        <v/>
      </c>
      <c r="IQ16" s="11" t="str">
        <f ca="1">IF(History!IU$2="","",History!IU5*$C$16)</f>
        <v/>
      </c>
      <c r="IR16" s="11" t="str">
        <f ca="1">IF(History!IV$2="","",History!IV5*$C$16)</f>
        <v/>
      </c>
      <c r="IS16" s="11" t="str">
        <f ca="1">IF(History!IW$2="","",History!IW5*$C$16)</f>
        <v/>
      </c>
      <c r="IT16" s="11" t="str">
        <f ca="1">IF(History!IX$2="","",History!IX5*$C$16)</f>
        <v/>
      </c>
      <c r="IU16" s="11" t="str">
        <f ca="1">IF(History!IY$2="","",History!IY5*$C$16)</f>
        <v/>
      </c>
      <c r="IV16" s="11" t="str">
        <f ca="1">IF(History!IZ$2="","",History!IZ5*$C$16)</f>
        <v/>
      </c>
      <c r="IW16" s="11" t="str">
        <f ca="1">IF(History!JA$2="","",History!JA5*$C$16)</f>
        <v/>
      </c>
      <c r="IX16" s="11" t="str">
        <f ca="1">IF(History!JB$2="","",History!JB5*$C$16)</f>
        <v/>
      </c>
      <c r="IY16" s="11" t="str">
        <f ca="1">IF(History!JC$2="","",History!JC5*$C$16)</f>
        <v/>
      </c>
      <c r="IZ16" s="11" t="str">
        <f ca="1">IF(History!JD$2="","",History!JD5*$C$16)</f>
        <v/>
      </c>
      <c r="JA16" s="11" t="str">
        <f ca="1">IF(History!JE$2="","",History!JE5*$C$16)</f>
        <v/>
      </c>
      <c r="JB16" s="11" t="str">
        <f ca="1">IF(History!JF$2="","",History!JF5*$C$16)</f>
        <v/>
      </c>
      <c r="JC16" s="11" t="str">
        <f ca="1">IF(History!JG$2="","",History!JG5*$C$16)</f>
        <v/>
      </c>
      <c r="JD16" s="11" t="str">
        <f ca="1">IF(History!JH$2="","",History!JH5*$C$16)</f>
        <v/>
      </c>
      <c r="JE16" s="11" t="str">
        <f ca="1">IF(History!JI$2="","",History!JI5*$C$16)</f>
        <v/>
      </c>
      <c r="JF16" s="11" t="str">
        <f ca="1">IF(History!JJ$2="","",History!JJ5*$C$16)</f>
        <v/>
      </c>
      <c r="JG16" s="11" t="str">
        <f ca="1">IF(History!JK$2="","",History!JK5*$C$16)</f>
        <v/>
      </c>
      <c r="JH16" s="11" t="str">
        <f ca="1">IF(History!JL$2="","",History!JL5*$C$16)</f>
        <v/>
      </c>
      <c r="JI16" s="11" t="str">
        <f ca="1">IF(History!JM$2="","",History!JM5*$C$16)</f>
        <v/>
      </c>
      <c r="JJ16" s="11" t="str">
        <f ca="1">IF(History!JN$2="","",History!JN5*$C$16)</f>
        <v/>
      </c>
      <c r="JK16" s="11" t="str">
        <f ca="1">IF(History!JO$2="","",History!JO5*$C$16)</f>
        <v/>
      </c>
      <c r="JL16" s="11" t="str">
        <f ca="1">IF(History!JP$2="","",History!JP5*$C$16)</f>
        <v/>
      </c>
      <c r="JM16" s="11" t="str">
        <f ca="1">IF(History!JQ$2="","",History!JQ5*$C$16)</f>
        <v/>
      </c>
      <c r="JN16" s="11" t="str">
        <f ca="1">IF(History!JR$2="","",History!JR5*$C$16)</f>
        <v/>
      </c>
      <c r="JO16" s="11" t="str">
        <f ca="1">IF(History!JS$2="","",History!JS5*$C$16)</f>
        <v/>
      </c>
      <c r="JP16" s="11" t="str">
        <f ca="1">IF(History!JT$2="","",History!JT5*$C$16)</f>
        <v/>
      </c>
      <c r="JQ16" s="11" t="str">
        <f ca="1">IF(History!JU$2="","",History!JU5*$C$16)</f>
        <v/>
      </c>
      <c r="JR16" s="11" t="str">
        <f ca="1">IF(History!JV$2="","",History!JV5*$C$16)</f>
        <v/>
      </c>
      <c r="JS16" s="11" t="str">
        <f ca="1">IF(History!JW$2="","",History!JW5*$C$16)</f>
        <v/>
      </c>
      <c r="JT16" s="11" t="str">
        <f ca="1">IF(History!JX$2="","",History!JX5*$C$16)</f>
        <v/>
      </c>
      <c r="JU16" s="11" t="str">
        <f ca="1">IF(History!JY$2="","",History!JY5*$C$16)</f>
        <v/>
      </c>
      <c r="JV16" s="11" t="str">
        <f ca="1">IF(History!JZ$2="","",History!JZ5*$C$16)</f>
        <v/>
      </c>
      <c r="JW16" s="11" t="str">
        <f ca="1">IF(History!KA$2="","",History!KA5*$C$16)</f>
        <v/>
      </c>
      <c r="JX16" s="11" t="str">
        <f ca="1">IF(History!KB$2="","",History!KB5*$C$16)</f>
        <v/>
      </c>
      <c r="JY16" s="11" t="str">
        <f ca="1">IF(History!KC$2="","",History!KC5*$C$16)</f>
        <v/>
      </c>
      <c r="JZ16" s="11" t="str">
        <f ca="1">IF(History!KD$2="","",History!KD5*$C$16)</f>
        <v/>
      </c>
      <c r="KA16" s="11" t="str">
        <f ca="1">IF(History!KE$2="","",History!KE5*$C$16)</f>
        <v/>
      </c>
      <c r="KB16" s="11" t="str">
        <f ca="1">IF(History!KF$2="","",History!KF5*$C$16)</f>
        <v/>
      </c>
    </row>
    <row r="17" spans="1:288" ht="15.75" customHeight="1">
      <c r="A17" s="22" t="s">
        <v>30</v>
      </c>
      <c r="B17" s="6" t="s">
        <v>50</v>
      </c>
      <c r="C17" s="26">
        <v>411</v>
      </c>
      <c r="D17" s="11">
        <f ca="1">IF(History!H$2="","",History!H6*$C$17)</f>
        <v>24002.399999999998</v>
      </c>
      <c r="E17" s="11">
        <f ca="1">IF(History!I$2="","",History!I6*$C$17)</f>
        <v>24322.98</v>
      </c>
      <c r="F17" s="11">
        <f ca="1">IF(History!J$2="","",History!J6*$C$17)</f>
        <v>24355.86</v>
      </c>
      <c r="G17" s="11">
        <f ca="1">IF(History!K$2="","",History!K6*$C$17)</f>
        <v>24635.34</v>
      </c>
      <c r="H17" s="11">
        <f ca="1">IF(History!L$2="","",History!L6*$C$17)</f>
        <v>24964.14</v>
      </c>
      <c r="I17" s="11">
        <f ca="1">IF(History!M$2="","",History!M6*$C$17)</f>
        <v>24742.2</v>
      </c>
      <c r="J17" s="11">
        <f ca="1">IF(History!N$2="","",History!N6*$C$17)</f>
        <v>24594.240000000002</v>
      </c>
      <c r="K17" s="11">
        <f ca="1">IF(History!O$2="","",History!O6*$C$17)</f>
        <v>23759.91</v>
      </c>
      <c r="L17" s="11">
        <f ca="1">IF(History!P$2="","",History!P6*$C$17)</f>
        <v>23311.919999999998</v>
      </c>
      <c r="M17" s="11">
        <f ca="1">IF(History!Q$2="","",History!Q6*$C$17)</f>
        <v>23270.82</v>
      </c>
      <c r="N17" s="11">
        <f ca="1">IF(History!R$2="","",History!R6*$C$17)</f>
        <v>23500.98</v>
      </c>
      <c r="O17" s="11">
        <f ca="1">IF(History!S$2="","",History!S6*$C$17)</f>
        <v>23517.42</v>
      </c>
      <c r="P17" s="11">
        <f ca="1">IF(History!T$2="","",History!T6*$C$17)</f>
        <v>24733.98</v>
      </c>
      <c r="Q17" s="11">
        <f ca="1">IF(History!U$2="","",History!U6*$C$17)</f>
        <v>24676.44</v>
      </c>
      <c r="R17" s="11">
        <f ca="1">IF(History!V$2="","",History!V6*$C$17)</f>
        <v>24549.03</v>
      </c>
      <c r="S17" s="11">
        <f ca="1">IF(History!W$2="","",History!W6*$C$17)</f>
        <v>25403.91</v>
      </c>
      <c r="T17" s="11">
        <f ca="1">IF(History!X$2="","",History!X6*$C$17)</f>
        <v>25342.26</v>
      </c>
      <c r="U17" s="11">
        <f ca="1">IF(History!Y$2="","",History!Y6*$C$17)</f>
        <v>25157.31</v>
      </c>
      <c r="V17" s="11">
        <f ca="1">IF(History!Z$2="","",History!Z6*$C$17)</f>
        <v>24906.600000000002</v>
      </c>
      <c r="W17" s="11">
        <f ca="1">IF(History!AA$2="","",History!AA6*$C$17)</f>
        <v>24623.01</v>
      </c>
      <c r="X17" s="11">
        <f ca="1">IF(History!AB$2="","",History!AB6*$C$17)</f>
        <v>25107.99</v>
      </c>
      <c r="Y17" s="11">
        <f ca="1">IF(History!AC$2="","",History!AC6*$C$17)</f>
        <v>25477.89</v>
      </c>
      <c r="Z17" s="11">
        <f ca="1">IF(History!AD$2="","",History!AD6*$C$17)</f>
        <v>25050.45</v>
      </c>
      <c r="AA17" s="11">
        <f ca="1">IF(History!AE$2="","",History!AE6*$C$17)</f>
        <v>25107.99</v>
      </c>
      <c r="AB17" s="11">
        <f ca="1">IF(History!AF$2="","",History!AF6*$C$17)</f>
        <v>25001.13</v>
      </c>
      <c r="AC17" s="11">
        <f ca="1">IF(History!AG$2="","",History!AG6*$C$17)</f>
        <v>25424.46</v>
      </c>
      <c r="AD17" s="11">
        <f ca="1">IF(History!AH$2="","",History!AH6*$C$17)</f>
        <v>25514.880000000001</v>
      </c>
      <c r="AE17" s="11">
        <f ca="1">IF(History!AI$2="","",History!AI6*$C$17)</f>
        <v>25140.87</v>
      </c>
      <c r="AF17" s="11">
        <f ca="1">IF(History!AJ$2="","",History!AJ6*$C$17)</f>
        <v>24902.49</v>
      </c>
      <c r="AG17" s="11">
        <f ca="1">IF(History!AK$2="","",History!AK6*$C$17)</f>
        <v>24783.3</v>
      </c>
      <c r="AH17" s="11">
        <f ca="1">IF(History!AL$2="","",History!AL6*$C$17)</f>
        <v>24647.67</v>
      </c>
      <c r="AI17" s="11">
        <f ca="1">IF(History!AM$2="","",History!AM6*$C$17)</f>
        <v>24133.919999999998</v>
      </c>
      <c r="AJ17" s="11">
        <f ca="1">IF(History!AN$2="","",History!AN6*$C$17)</f>
        <v>24516.149999999998</v>
      </c>
      <c r="AK17" s="11">
        <f ca="1">IF(History!AO$2="","",History!AO6*$C$17)</f>
        <v>24232.560000000001</v>
      </c>
      <c r="AL17" s="11">
        <f ca="1">IF(History!AP$2="","",History!AP6*$C$17)</f>
        <v>23480.43</v>
      </c>
      <c r="AM17" s="11">
        <f ca="1">IF(History!AQ$2="","",History!AQ6*$C$17)</f>
        <v>24331.200000000001</v>
      </c>
      <c r="AN17" s="11">
        <f ca="1">IF(History!AR$2="","",History!AR6*$C$17)</f>
        <v>24524.37</v>
      </c>
      <c r="AO17" s="11">
        <f ca="1">IF(History!AS$2="","",History!AS6*$C$17)</f>
        <v>24179.13</v>
      </c>
      <c r="AP17" s="11">
        <f ca="1">IF(History!AT$2="","",History!AT6*$C$17)</f>
        <v>23829.78</v>
      </c>
      <c r="AQ17" s="11">
        <f ca="1">IF(History!AU$2="","",History!AU6*$C$17)</f>
        <v>23772.240000000002</v>
      </c>
      <c r="AR17" s="11">
        <f ca="1">IF(History!AV$2="","",History!AV6*$C$17)</f>
        <v>24577.8</v>
      </c>
      <c r="AS17" s="11">
        <f ca="1">IF(History!AW$2="","",History!AW6*$C$17)</f>
        <v>24918.93</v>
      </c>
      <c r="AT17" s="11">
        <f ca="1">IF(History!AX$2="","",History!AX6*$C$17)</f>
        <v>25034.01</v>
      </c>
      <c r="AU17" s="11">
        <f ca="1">IF(History!AY$2="","",History!AY6*$C$17)</f>
        <v>24775.08</v>
      </c>
      <c r="AV17" s="11">
        <f ca="1">IF(History!AZ$2="","",History!AZ6*$C$17)</f>
        <v>24195.57</v>
      </c>
      <c r="AW17" s="11">
        <f ca="1">IF(History!BA$2="","",History!BA6*$C$17)</f>
        <v>24512.04</v>
      </c>
      <c r="AX17" s="11">
        <f ca="1">IF(History!BB$2="","",History!BB6*$C$17)</f>
        <v>25827.24</v>
      </c>
      <c r="AY17" s="11">
        <f ca="1">IF(History!BC$2="","",History!BC6*$C$17)</f>
        <v>25642.29</v>
      </c>
      <c r="AZ17" s="11">
        <f ca="1">IF(History!BD$2="","",History!BD6*$C$17)</f>
        <v>26032.74</v>
      </c>
      <c r="BA17" s="11">
        <f ca="1">IF(History!BE$2="","",History!BE6*$C$17)</f>
        <v>26119.05</v>
      </c>
      <c r="BB17" s="11">
        <f ca="1">IF(History!BF$2="","",History!BF6*$C$17)</f>
        <v>26016.3</v>
      </c>
      <c r="BC17" s="11">
        <f ca="1">IF(History!BG$2="","",History!BG6*$C$17)</f>
        <v>26340.99</v>
      </c>
      <c r="BD17" s="11">
        <f ca="1">IF(History!BH$2="","",History!BH6*$C$17)</f>
        <v>26591.7</v>
      </c>
      <c r="BE17" s="11">
        <f ca="1">IF(History!BI$2="","",History!BI6*$C$17)</f>
        <v>26349.21</v>
      </c>
      <c r="BF17" s="11">
        <f ca="1">IF(History!BJ$2="","",History!BJ6*$C$17)</f>
        <v>26382.09</v>
      </c>
      <c r="BG17" s="11">
        <f ca="1">IF(History!BK$2="","",History!BK6*$C$17)</f>
        <v>26410.86</v>
      </c>
      <c r="BH17" s="11">
        <f ca="1">IF(History!BL$2="","",History!BL6*$C$17)</f>
        <v>26188.92</v>
      </c>
      <c r="BI17" s="11">
        <f ca="1">IF(History!BM$2="","",History!BM6*$C$17)</f>
        <v>26377.980000000003</v>
      </c>
      <c r="BJ17" s="11">
        <f ca="1">IF(History!BN$2="","",History!BN6*$C$17)</f>
        <v>26308.11</v>
      </c>
      <c r="BK17" s="11">
        <f ca="1">IF(History!BO$2="","",History!BO6*$C$17)</f>
        <v>26094.39</v>
      </c>
      <c r="BL17" s="11">
        <f ca="1">IF(History!BP$2="","",History!BP6*$C$17)</f>
        <v>25346.37</v>
      </c>
      <c r="BM17" s="11">
        <f ca="1">IF(History!BQ$2="","",History!BQ6*$C$17)</f>
        <v>25173.75</v>
      </c>
      <c r="BN17" s="11">
        <f ca="1">IF(History!BR$2="","",History!BR6*$C$17)</f>
        <v>25350.48</v>
      </c>
      <c r="BO17" s="11">
        <f ca="1">IF(History!BS$2="","",History!BS6*$C$17)</f>
        <v>25461.45</v>
      </c>
      <c r="BP17" s="11">
        <f ca="1">IF(History!BT$2="","",History!BT6*$C$17)</f>
        <v>25999.86</v>
      </c>
      <c r="BQ17" s="11">
        <f ca="1">IF(History!BU$2="","",History!BU6*$C$17)</f>
        <v>26369.759999999998</v>
      </c>
      <c r="BR17" s="11">
        <f ca="1">IF(History!BV$2="","",History!BV6*$C$17)</f>
        <v>26916.39</v>
      </c>
      <c r="BS17" s="11">
        <f ca="1">IF(History!BW$2="","",History!BW6*$C$17)</f>
        <v>27076.679999999997</v>
      </c>
      <c r="BT17" s="11">
        <f ca="1">IF(History!BX$2="","",History!BX6*$C$17)</f>
        <v>27557.55</v>
      </c>
      <c r="BU17" s="11">
        <f ca="1">IF(History!BY$2="","",History!BY6*$C$17)</f>
        <v>27758.940000000002</v>
      </c>
      <c r="BV17" s="11">
        <f ca="1">IF(History!BZ$2="","",History!BZ6*$C$17)</f>
        <v>28568.61</v>
      </c>
      <c r="BW17" s="11">
        <f ca="1">IF(History!CA$2="","",History!CA6*$C$17)</f>
        <v>28153.5</v>
      </c>
      <c r="BX17" s="11">
        <f ca="1">IF(History!CB$2="","",History!CB6*$C$17)</f>
        <v>27976.769999999997</v>
      </c>
      <c r="BY17" s="11">
        <f ca="1">IF(History!CC$2="","",History!CC6*$C$17)</f>
        <v>27689.070000000003</v>
      </c>
      <c r="BZ17" s="11">
        <f ca="1">IF(History!CD$2="","",History!CD6*$C$17)</f>
        <v>27721.95</v>
      </c>
      <c r="CA17" s="11">
        <f ca="1">IF(History!CE$2="","",History!CE6*$C$17)</f>
        <v>27869.91</v>
      </c>
      <c r="CB17" s="11">
        <f ca="1">IF(History!CF$2="","",History!CF6*$C$17)</f>
        <v>27331.5</v>
      </c>
      <c r="CC17" s="11">
        <f ca="1">IF(History!CG$2="","",History!CG6*$C$17)</f>
        <v>27561.66</v>
      </c>
      <c r="CD17" s="11">
        <f ca="1">IF(History!CH$2="","",History!CH6*$C$17)</f>
        <v>28009.65</v>
      </c>
      <c r="CE17" s="11">
        <f ca="1">IF(History!CI$2="","",History!CI6*$C$17)</f>
        <v>29020.71</v>
      </c>
      <c r="CF17" s="11" t="str">
        <f ca="1">IF(History!CJ$2="","",History!CJ6*$C$17)</f>
        <v/>
      </c>
      <c r="CG17" s="11" t="str">
        <f ca="1">IF(History!CK$2="","",History!CK6*$C$17)</f>
        <v/>
      </c>
      <c r="CH17" s="11" t="str">
        <f ca="1">IF(History!CL$2="","",History!CL6*$C$17)</f>
        <v/>
      </c>
      <c r="CI17" s="11" t="str">
        <f ca="1">IF(History!CM$2="","",History!CM6*$C$17)</f>
        <v/>
      </c>
      <c r="CJ17" s="11" t="str">
        <f ca="1">IF(History!CN$2="","",History!CN6*$C$17)</f>
        <v/>
      </c>
      <c r="CK17" s="11" t="str">
        <f ca="1">IF(History!CO$2="","",History!CO6*$C$17)</f>
        <v/>
      </c>
      <c r="CL17" s="11" t="str">
        <f ca="1">IF(History!CP$2="","",History!CP6*$C$17)</f>
        <v/>
      </c>
      <c r="CM17" s="11" t="str">
        <f ca="1">IF(History!CQ$2="","",History!CQ6*$C$17)</f>
        <v/>
      </c>
      <c r="CN17" s="11" t="str">
        <f ca="1">IF(History!CR$2="","",History!CR6*$C$17)</f>
        <v/>
      </c>
      <c r="CO17" s="11" t="str">
        <f ca="1">IF(History!CS$2="","",History!CS6*$C$17)</f>
        <v/>
      </c>
      <c r="CP17" s="11" t="str">
        <f ca="1">IF(History!CT$2="","",History!CT6*$C$17)</f>
        <v/>
      </c>
      <c r="CQ17" s="11" t="str">
        <f ca="1">IF(History!CU$2="","",History!CU6*$C$17)</f>
        <v/>
      </c>
      <c r="CR17" s="11" t="str">
        <f ca="1">IF(History!CV$2="","",History!CV6*$C$17)</f>
        <v/>
      </c>
      <c r="CS17" s="11" t="str">
        <f ca="1">IF(History!CW$2="","",History!CW6*$C$17)</f>
        <v/>
      </c>
      <c r="CT17" s="11" t="str">
        <f ca="1">IF(History!CX$2="","",History!CX6*$C$17)</f>
        <v/>
      </c>
      <c r="CU17" s="11" t="str">
        <f ca="1">IF(History!CY$2="","",History!CY6*$C$17)</f>
        <v/>
      </c>
      <c r="CV17" s="11" t="str">
        <f ca="1">IF(History!CZ$2="","",History!CZ6*$C$17)</f>
        <v/>
      </c>
      <c r="CW17" s="11" t="str">
        <f ca="1">IF(History!DA$2="","",History!DA6*$C$17)</f>
        <v/>
      </c>
      <c r="CX17" s="11" t="str">
        <f ca="1">IF(History!DB$2="","",History!DB6*$C$17)</f>
        <v/>
      </c>
      <c r="CY17" s="11" t="str">
        <f ca="1">IF(History!DC$2="","",History!DC6*$C$17)</f>
        <v/>
      </c>
      <c r="CZ17" s="11" t="str">
        <f ca="1">IF(History!DD$2="","",History!DD6*$C$17)</f>
        <v/>
      </c>
      <c r="DA17" s="11" t="str">
        <f ca="1">IF(History!DE$2="","",History!DE6*$C$17)</f>
        <v/>
      </c>
      <c r="DB17" s="11" t="str">
        <f ca="1">IF(History!DF$2="","",History!DF6*$C$17)</f>
        <v/>
      </c>
      <c r="DC17" s="11" t="str">
        <f ca="1">IF(History!DG$2="","",History!DG6*$C$17)</f>
        <v/>
      </c>
      <c r="DD17" s="11" t="str">
        <f ca="1">IF(History!DH$2="","",History!DH6*$C$17)</f>
        <v/>
      </c>
      <c r="DE17" s="11" t="str">
        <f ca="1">IF(History!DI$2="","",History!DI6*$C$17)</f>
        <v/>
      </c>
      <c r="DF17" s="11" t="str">
        <f ca="1">IF(History!DJ$2="","",History!DJ6*$C$17)</f>
        <v/>
      </c>
      <c r="DG17" s="11" t="str">
        <f ca="1">IF(History!DK$2="","",History!DK6*$C$17)</f>
        <v/>
      </c>
      <c r="DH17" s="11" t="str">
        <f ca="1">IF(History!DL$2="","",History!DL6*$C$17)</f>
        <v/>
      </c>
      <c r="DI17" s="11" t="str">
        <f ca="1">IF(History!DM$2="","",History!DM6*$C$17)</f>
        <v/>
      </c>
      <c r="DJ17" s="11" t="str">
        <f ca="1">IF(History!DN$2="","",History!DN6*$C$17)</f>
        <v/>
      </c>
      <c r="DK17" s="11" t="str">
        <f ca="1">IF(History!DO$2="","",History!DO6*$C$17)</f>
        <v/>
      </c>
      <c r="DL17" s="11" t="str">
        <f ca="1">IF(History!DP$2="","",History!DP6*$C$17)</f>
        <v/>
      </c>
      <c r="DM17" s="11" t="str">
        <f ca="1">IF(History!DQ$2="","",History!DQ6*$C$17)</f>
        <v/>
      </c>
      <c r="DN17" s="11" t="str">
        <f ca="1">IF(History!DR$2="","",History!DR6*$C$17)</f>
        <v/>
      </c>
      <c r="DO17" s="11" t="str">
        <f ca="1">IF(History!DS$2="","",History!DS6*$C$17)</f>
        <v/>
      </c>
      <c r="DP17" s="11" t="str">
        <f ca="1">IF(History!DT$2="","",History!DT6*$C$17)</f>
        <v/>
      </c>
      <c r="DQ17" s="11" t="str">
        <f ca="1">IF(History!DU$2="","",History!DU6*$C$17)</f>
        <v/>
      </c>
      <c r="DR17" s="11" t="str">
        <f ca="1">IF(History!DV$2="","",History!DV6*$C$17)</f>
        <v/>
      </c>
      <c r="DS17" s="11" t="str">
        <f ca="1">IF(History!DW$2="","",History!DW6*$C$17)</f>
        <v/>
      </c>
      <c r="DT17" s="11" t="str">
        <f ca="1">IF(History!DX$2="","",History!DX6*$C$17)</f>
        <v/>
      </c>
      <c r="DU17" s="11" t="str">
        <f ca="1">IF(History!DY$2="","",History!DY6*$C$17)</f>
        <v/>
      </c>
      <c r="DV17" s="11" t="str">
        <f ca="1">IF(History!DZ$2="","",History!DZ6*$C$17)</f>
        <v/>
      </c>
      <c r="DW17" s="11" t="str">
        <f ca="1">IF(History!EA$2="","",History!EA6*$C$17)</f>
        <v/>
      </c>
      <c r="DX17" s="11" t="str">
        <f ca="1">IF(History!EB$2="","",History!EB6*$C$17)</f>
        <v/>
      </c>
      <c r="DY17" s="11" t="str">
        <f ca="1">IF(History!EC$2="","",History!EC6*$C$17)</f>
        <v/>
      </c>
      <c r="DZ17" s="11" t="str">
        <f ca="1">IF(History!ED$2="","",History!ED6*$C$17)</f>
        <v/>
      </c>
      <c r="EA17" s="11" t="str">
        <f ca="1">IF(History!EE$2="","",History!EE6*$C$17)</f>
        <v/>
      </c>
      <c r="EB17" s="11" t="str">
        <f ca="1">IF(History!EF$2="","",History!EF6*$C$17)</f>
        <v/>
      </c>
      <c r="EC17" s="11" t="str">
        <f ca="1">IF(History!EG$2="","",History!EG6*$C$17)</f>
        <v/>
      </c>
      <c r="ED17" s="11" t="str">
        <f ca="1">IF(History!EH$2="","",History!EH6*$C$17)</f>
        <v/>
      </c>
      <c r="EE17" s="11" t="str">
        <f ca="1">IF(History!EI$2="","",History!EI6*$C$17)</f>
        <v/>
      </c>
      <c r="EF17" s="11" t="str">
        <f ca="1">IF(History!EJ$2="","",History!EJ6*$C$17)</f>
        <v/>
      </c>
      <c r="EG17" s="11" t="str">
        <f ca="1">IF(History!EK$2="","",History!EK6*$C$17)</f>
        <v/>
      </c>
      <c r="EH17" s="11" t="str">
        <f ca="1">IF(History!EL$2="","",History!EL6*$C$17)</f>
        <v/>
      </c>
      <c r="EI17" s="11" t="str">
        <f ca="1">IF(History!EM$2="","",History!EM6*$C$17)</f>
        <v/>
      </c>
      <c r="EJ17" s="11" t="str">
        <f ca="1">IF(History!EN$2="","",History!EN6*$C$17)</f>
        <v/>
      </c>
      <c r="EK17" s="11" t="str">
        <f ca="1">IF(History!EO$2="","",History!EO6*$C$17)</f>
        <v/>
      </c>
      <c r="EL17" s="11" t="str">
        <f ca="1">IF(History!EP$2="","",History!EP6*$C$17)</f>
        <v/>
      </c>
      <c r="EM17" s="11" t="str">
        <f ca="1">IF(History!EQ$2="","",History!EQ6*$C$17)</f>
        <v/>
      </c>
      <c r="EN17" s="11" t="str">
        <f ca="1">IF(History!ER$2="","",History!ER6*$C$17)</f>
        <v/>
      </c>
      <c r="EO17" s="11" t="str">
        <f ca="1">IF(History!ES$2="","",History!ES6*$C$17)</f>
        <v/>
      </c>
      <c r="EP17" s="11" t="str">
        <f ca="1">IF(History!ET$2="","",History!ET6*$C$17)</f>
        <v/>
      </c>
      <c r="EQ17" s="11" t="str">
        <f ca="1">IF(History!EU$2="","",History!EU6*$C$17)</f>
        <v/>
      </c>
      <c r="ER17" s="11" t="str">
        <f ca="1">IF(History!EV$2="","",History!EV6*$C$17)</f>
        <v/>
      </c>
      <c r="ES17" s="11" t="str">
        <f ca="1">IF(History!EW$2="","",History!EW6*$C$17)</f>
        <v/>
      </c>
      <c r="ET17" s="11" t="str">
        <f ca="1">IF(History!EX$2="","",History!EX6*$C$17)</f>
        <v/>
      </c>
      <c r="EU17" s="11" t="str">
        <f ca="1">IF(History!EY$2="","",History!EY6*$C$17)</f>
        <v/>
      </c>
      <c r="EV17" s="11" t="str">
        <f ca="1">IF(History!EZ$2="","",History!EZ6*$C$17)</f>
        <v/>
      </c>
      <c r="EW17" s="11" t="str">
        <f ca="1">IF(History!FA$2="","",History!FA6*$C$17)</f>
        <v/>
      </c>
      <c r="EX17" s="11" t="str">
        <f ca="1">IF(History!FB$2="","",History!FB6*$C$17)</f>
        <v/>
      </c>
      <c r="EY17" s="11" t="str">
        <f ca="1">IF(History!FC$2="","",History!FC6*$C$17)</f>
        <v/>
      </c>
      <c r="EZ17" s="11" t="str">
        <f ca="1">IF(History!FD$2="","",History!FD6*$C$17)</f>
        <v/>
      </c>
      <c r="FA17" s="11" t="str">
        <f ca="1">IF(History!FE$2="","",History!FE6*$C$17)</f>
        <v/>
      </c>
      <c r="FB17" s="11" t="str">
        <f ca="1">IF(History!FF$2="","",History!FF6*$C$17)</f>
        <v/>
      </c>
      <c r="FC17" s="11" t="str">
        <f ca="1">IF(History!FG$2="","",History!FG6*$C$17)</f>
        <v/>
      </c>
      <c r="FD17" s="11" t="str">
        <f ca="1">IF(History!FH$2="","",History!FH6*$C$17)</f>
        <v/>
      </c>
      <c r="FE17" s="11" t="str">
        <f ca="1">IF(History!FI$2="","",History!FI6*$C$17)</f>
        <v/>
      </c>
      <c r="FF17" s="11" t="str">
        <f ca="1">IF(History!FJ$2="","",History!FJ6*$C$17)</f>
        <v/>
      </c>
      <c r="FG17" s="11" t="str">
        <f ca="1">IF(History!FK$2="","",History!FK6*$C$17)</f>
        <v/>
      </c>
      <c r="FH17" s="11" t="str">
        <f ca="1">IF(History!FL$2="","",History!FL6*$C$17)</f>
        <v/>
      </c>
      <c r="FI17" s="11" t="str">
        <f ca="1">IF(History!FM$2="","",History!FM6*$C$17)</f>
        <v/>
      </c>
      <c r="FJ17" s="11" t="str">
        <f ca="1">IF(History!FN$2="","",History!FN6*$C$17)</f>
        <v/>
      </c>
      <c r="FK17" s="11" t="str">
        <f ca="1">IF(History!FO$2="","",History!FO6*$C$17)</f>
        <v/>
      </c>
      <c r="FL17" s="11" t="str">
        <f ca="1">IF(History!FP$2="","",History!FP6*$C$17)</f>
        <v/>
      </c>
      <c r="FM17" s="11" t="str">
        <f ca="1">IF(History!FQ$2="","",History!FQ6*$C$17)</f>
        <v/>
      </c>
      <c r="FN17" s="11" t="str">
        <f ca="1">IF(History!FR$2="","",History!FR6*$C$17)</f>
        <v/>
      </c>
      <c r="FO17" s="11" t="str">
        <f ca="1">IF(History!FS$2="","",History!FS6*$C$17)</f>
        <v/>
      </c>
      <c r="FP17" s="11" t="str">
        <f ca="1">IF(History!FT$2="","",History!FT6*$C$17)</f>
        <v/>
      </c>
      <c r="FQ17" s="11" t="str">
        <f ca="1">IF(History!FU$2="","",History!FU6*$C$17)</f>
        <v/>
      </c>
      <c r="FR17" s="11" t="str">
        <f ca="1">IF(History!FV$2="","",History!FV6*$C$17)</f>
        <v/>
      </c>
      <c r="FS17" s="11" t="str">
        <f ca="1">IF(History!FW$2="","",History!FW6*$C$17)</f>
        <v/>
      </c>
      <c r="FT17" s="11" t="str">
        <f ca="1">IF(History!FX$2="","",History!FX6*$C$17)</f>
        <v/>
      </c>
      <c r="FU17" s="11" t="str">
        <f ca="1">IF(History!FY$2="","",History!FY6*$C$17)</f>
        <v/>
      </c>
      <c r="FV17" s="11" t="str">
        <f ca="1">IF(History!FZ$2="","",History!FZ6*$C$17)</f>
        <v/>
      </c>
      <c r="FW17" s="11" t="str">
        <f ca="1">IF(History!GA$2="","",History!GA6*$C$17)</f>
        <v/>
      </c>
      <c r="FX17" s="11" t="str">
        <f ca="1">IF(History!GB$2="","",History!GB6*$C$17)</f>
        <v/>
      </c>
      <c r="FY17" s="11" t="str">
        <f ca="1">IF(History!GC$2="","",History!GC6*$C$17)</f>
        <v/>
      </c>
      <c r="FZ17" s="11" t="str">
        <f ca="1">IF(History!GD$2="","",History!GD6*$C$17)</f>
        <v/>
      </c>
      <c r="GA17" s="11" t="str">
        <f ca="1">IF(History!GE$2="","",History!GE6*$C$17)</f>
        <v/>
      </c>
      <c r="GB17" s="11" t="str">
        <f ca="1">IF(History!GF$2="","",History!GF6*$C$17)</f>
        <v/>
      </c>
      <c r="GC17" s="11" t="str">
        <f ca="1">IF(History!GG$2="","",History!GG6*$C$17)</f>
        <v/>
      </c>
      <c r="GD17" s="11" t="str">
        <f ca="1">IF(History!GH$2="","",History!GH6*$C$17)</f>
        <v/>
      </c>
      <c r="GE17" s="11" t="str">
        <f ca="1">IF(History!GI$2="","",History!GI6*$C$17)</f>
        <v/>
      </c>
      <c r="GF17" s="11" t="str">
        <f ca="1">IF(History!GJ$2="","",History!GJ6*$C$17)</f>
        <v/>
      </c>
      <c r="GG17" s="11" t="str">
        <f ca="1">IF(History!GK$2="","",History!GK6*$C$17)</f>
        <v/>
      </c>
      <c r="GH17" s="11" t="str">
        <f ca="1">IF(History!GL$2="","",History!GL6*$C$17)</f>
        <v/>
      </c>
      <c r="GI17" s="11" t="str">
        <f ca="1">IF(History!GM$2="","",History!GM6*$C$17)</f>
        <v/>
      </c>
      <c r="GJ17" s="11" t="str">
        <f ca="1">IF(History!GN$2="","",History!GN6*$C$17)</f>
        <v/>
      </c>
      <c r="GK17" s="11" t="str">
        <f ca="1">IF(History!GO$2="","",History!GO6*$C$17)</f>
        <v/>
      </c>
      <c r="GL17" s="11" t="str">
        <f ca="1">IF(History!GP$2="","",History!GP6*$C$17)</f>
        <v/>
      </c>
      <c r="GM17" s="11" t="str">
        <f ca="1">IF(History!GQ$2="","",History!GQ6*$C$17)</f>
        <v/>
      </c>
      <c r="GN17" s="11" t="str">
        <f ca="1">IF(History!GR$2="","",History!GR6*$C$17)</f>
        <v/>
      </c>
      <c r="GO17" s="11" t="str">
        <f ca="1">IF(History!GS$2="","",History!GS6*$C$17)</f>
        <v/>
      </c>
      <c r="GP17" s="11" t="str">
        <f ca="1">IF(History!GT$2="","",History!GT6*$C$17)</f>
        <v/>
      </c>
      <c r="GQ17" s="11" t="str">
        <f ca="1">IF(History!GU$2="","",History!GU6*$C$17)</f>
        <v/>
      </c>
      <c r="GR17" s="11" t="str">
        <f ca="1">IF(History!GV$2="","",History!GV6*$C$17)</f>
        <v/>
      </c>
      <c r="GS17" s="11" t="str">
        <f ca="1">IF(History!GW$2="","",History!GW6*$C$17)</f>
        <v/>
      </c>
      <c r="GT17" s="11" t="str">
        <f ca="1">IF(History!GX$2="","",History!GX6*$C$17)</f>
        <v/>
      </c>
      <c r="GU17" s="11" t="str">
        <f ca="1">IF(History!GY$2="","",History!GY6*$C$17)</f>
        <v/>
      </c>
      <c r="GV17" s="11" t="str">
        <f ca="1">IF(History!GZ$2="","",History!GZ6*$C$17)</f>
        <v/>
      </c>
      <c r="GW17" s="11" t="str">
        <f ca="1">IF(History!HA$2="","",History!HA6*$C$17)</f>
        <v/>
      </c>
      <c r="GX17" s="11" t="str">
        <f ca="1">IF(History!HB$2="","",History!HB6*$C$17)</f>
        <v/>
      </c>
      <c r="GY17" s="11" t="str">
        <f ca="1">IF(History!HC$2="","",History!HC6*$C$17)</f>
        <v/>
      </c>
      <c r="GZ17" s="11" t="str">
        <f ca="1">IF(History!HD$2="","",History!HD6*$C$17)</f>
        <v/>
      </c>
      <c r="HA17" s="11" t="str">
        <f ca="1">IF(History!HE$2="","",History!HE6*$C$17)</f>
        <v/>
      </c>
      <c r="HB17" s="11" t="str">
        <f ca="1">IF(History!HF$2="","",History!HF6*$C$17)</f>
        <v/>
      </c>
      <c r="HC17" s="11" t="str">
        <f ca="1">IF(History!HG$2="","",History!HG6*$C$17)</f>
        <v/>
      </c>
      <c r="HD17" s="11" t="str">
        <f ca="1">IF(History!HH$2="","",History!HH6*$C$17)</f>
        <v/>
      </c>
      <c r="HE17" s="11" t="str">
        <f ca="1">IF(History!HI$2="","",History!HI6*$C$17)</f>
        <v/>
      </c>
      <c r="HF17" s="11" t="str">
        <f ca="1">IF(History!HJ$2="","",History!HJ6*$C$17)</f>
        <v/>
      </c>
      <c r="HG17" s="11" t="str">
        <f ca="1">IF(History!HK$2="","",History!HK6*$C$17)</f>
        <v/>
      </c>
      <c r="HH17" s="11" t="str">
        <f ca="1">IF(History!HL$2="","",History!HL6*$C$17)</f>
        <v/>
      </c>
      <c r="HI17" s="11" t="str">
        <f ca="1">IF(History!HM$2="","",History!HM6*$C$17)</f>
        <v/>
      </c>
      <c r="HJ17" s="11" t="str">
        <f ca="1">IF(History!HN$2="","",History!HN6*$C$17)</f>
        <v/>
      </c>
      <c r="HK17" s="11" t="str">
        <f ca="1">IF(History!HO$2="","",History!HO6*$C$17)</f>
        <v/>
      </c>
      <c r="HL17" s="11" t="str">
        <f ca="1">IF(History!HP$2="","",History!HP6*$C$17)</f>
        <v/>
      </c>
      <c r="HM17" s="11" t="str">
        <f ca="1">IF(History!HQ$2="","",History!HQ6*$C$17)</f>
        <v/>
      </c>
      <c r="HN17" s="11" t="str">
        <f ca="1">IF(History!HR$2="","",History!HR6*$C$17)</f>
        <v/>
      </c>
      <c r="HO17" s="11" t="str">
        <f ca="1">IF(History!HS$2="","",History!HS6*$C$17)</f>
        <v/>
      </c>
      <c r="HP17" s="11" t="str">
        <f ca="1">IF(History!HT$2="","",History!HT6*$C$17)</f>
        <v/>
      </c>
      <c r="HQ17" s="11" t="str">
        <f ca="1">IF(History!HU$2="","",History!HU6*$C$17)</f>
        <v/>
      </c>
      <c r="HR17" s="11" t="str">
        <f ca="1">IF(History!HV$2="","",History!HV6*$C$17)</f>
        <v/>
      </c>
      <c r="HS17" s="11" t="str">
        <f ca="1">IF(History!HW$2="","",History!HW6*$C$17)</f>
        <v/>
      </c>
      <c r="HT17" s="11" t="str">
        <f ca="1">IF(History!HX$2="","",History!HX6*$C$17)</f>
        <v/>
      </c>
      <c r="HU17" s="11" t="str">
        <f ca="1">IF(History!HY$2="","",History!HY6*$C$17)</f>
        <v/>
      </c>
      <c r="HV17" s="11" t="str">
        <f ca="1">IF(History!HZ$2="","",History!HZ6*$C$17)</f>
        <v/>
      </c>
      <c r="HW17" s="11" t="str">
        <f ca="1">IF(History!IA$2="","",History!IA6*$C$17)</f>
        <v/>
      </c>
      <c r="HX17" s="11" t="str">
        <f ca="1">IF(History!IB$2="","",History!IB6*$C$17)</f>
        <v/>
      </c>
      <c r="HY17" s="11" t="str">
        <f ca="1">IF(History!IC$2="","",History!IC6*$C$17)</f>
        <v/>
      </c>
      <c r="HZ17" s="11" t="str">
        <f ca="1">IF(History!ID$2="","",History!ID6*$C$17)</f>
        <v/>
      </c>
      <c r="IA17" s="11" t="str">
        <f ca="1">IF(History!IE$2="","",History!IE6*$C$17)</f>
        <v/>
      </c>
      <c r="IB17" s="11" t="str">
        <f ca="1">IF(History!IF$2="","",History!IF6*$C$17)</f>
        <v/>
      </c>
      <c r="IC17" s="11" t="str">
        <f ca="1">IF(History!IG$2="","",History!IG6*$C$17)</f>
        <v/>
      </c>
      <c r="ID17" s="11" t="str">
        <f ca="1">IF(History!IH$2="","",History!IH6*$C$17)</f>
        <v/>
      </c>
      <c r="IE17" s="11" t="str">
        <f ca="1">IF(History!II$2="","",History!II6*$C$17)</f>
        <v/>
      </c>
      <c r="IF17" s="11" t="str">
        <f ca="1">IF(History!IJ$2="","",History!IJ6*$C$17)</f>
        <v/>
      </c>
      <c r="IG17" s="11" t="str">
        <f ca="1">IF(History!IK$2="","",History!IK6*$C$17)</f>
        <v/>
      </c>
      <c r="IH17" s="11" t="str">
        <f ca="1">IF(History!IL$2="","",History!IL6*$C$17)</f>
        <v/>
      </c>
      <c r="II17" s="11" t="str">
        <f ca="1">IF(History!IM$2="","",History!IM6*$C$17)</f>
        <v/>
      </c>
      <c r="IJ17" s="11" t="str">
        <f ca="1">IF(History!IN$2="","",History!IN6*$C$17)</f>
        <v/>
      </c>
      <c r="IK17" s="11" t="str">
        <f ca="1">IF(History!IO$2="","",History!IO6*$C$17)</f>
        <v/>
      </c>
      <c r="IL17" s="11" t="str">
        <f ca="1">IF(History!IP$2="","",History!IP6*$C$17)</f>
        <v/>
      </c>
      <c r="IM17" s="11" t="str">
        <f ca="1">IF(History!IQ$2="","",History!IQ6*$C$17)</f>
        <v/>
      </c>
      <c r="IN17" s="11" t="str">
        <f ca="1">IF(History!IR$2="","",History!IR6*$C$17)</f>
        <v/>
      </c>
      <c r="IO17" s="11" t="str">
        <f ca="1">IF(History!IS$2="","",History!IS6*$C$17)</f>
        <v/>
      </c>
      <c r="IP17" s="11" t="str">
        <f ca="1">IF(History!IT$2="","",History!IT6*$C$17)</f>
        <v/>
      </c>
      <c r="IQ17" s="11" t="str">
        <f ca="1">IF(History!IU$2="","",History!IU6*$C$17)</f>
        <v/>
      </c>
      <c r="IR17" s="11" t="str">
        <f ca="1">IF(History!IV$2="","",History!IV6*$C$17)</f>
        <v/>
      </c>
      <c r="IS17" s="11" t="str">
        <f ca="1">IF(History!IW$2="","",History!IW6*$C$17)</f>
        <v/>
      </c>
      <c r="IT17" s="11" t="str">
        <f ca="1">IF(History!IX$2="","",History!IX6*$C$17)</f>
        <v/>
      </c>
      <c r="IU17" s="11" t="str">
        <f ca="1">IF(History!IY$2="","",History!IY6*$C$17)</f>
        <v/>
      </c>
      <c r="IV17" s="11" t="str">
        <f ca="1">IF(History!IZ$2="","",History!IZ6*$C$17)</f>
        <v/>
      </c>
      <c r="IW17" s="11" t="str">
        <f ca="1">IF(History!JA$2="","",History!JA6*$C$17)</f>
        <v/>
      </c>
      <c r="IX17" s="11" t="str">
        <f ca="1">IF(History!JB$2="","",History!JB6*$C$17)</f>
        <v/>
      </c>
      <c r="IY17" s="11" t="str">
        <f ca="1">IF(History!JC$2="","",History!JC6*$C$17)</f>
        <v/>
      </c>
      <c r="IZ17" s="11" t="str">
        <f ca="1">IF(History!JD$2="","",History!JD6*$C$17)</f>
        <v/>
      </c>
      <c r="JA17" s="11" t="str">
        <f ca="1">IF(History!JE$2="","",History!JE6*$C$17)</f>
        <v/>
      </c>
      <c r="JB17" s="11" t="str">
        <f ca="1">IF(History!JF$2="","",History!JF6*$C$17)</f>
        <v/>
      </c>
      <c r="JC17" s="11" t="str">
        <f ca="1">IF(History!JG$2="","",History!JG6*$C$17)</f>
        <v/>
      </c>
      <c r="JD17" s="11" t="str">
        <f ca="1">IF(History!JH$2="","",History!JH6*$C$17)</f>
        <v/>
      </c>
      <c r="JE17" s="11" t="str">
        <f ca="1">IF(History!JI$2="","",History!JI6*$C$17)</f>
        <v/>
      </c>
      <c r="JF17" s="11" t="str">
        <f ca="1">IF(History!JJ$2="","",History!JJ6*$C$17)</f>
        <v/>
      </c>
      <c r="JG17" s="11" t="str">
        <f ca="1">IF(History!JK$2="","",History!JK6*$C$17)</f>
        <v/>
      </c>
      <c r="JH17" s="11" t="str">
        <f ca="1">IF(History!JL$2="","",History!JL6*$C$17)</f>
        <v/>
      </c>
      <c r="JI17" s="11" t="str">
        <f ca="1">IF(History!JM$2="","",History!JM6*$C$17)</f>
        <v/>
      </c>
      <c r="JJ17" s="11" t="str">
        <f ca="1">IF(History!JN$2="","",History!JN6*$C$17)</f>
        <v/>
      </c>
      <c r="JK17" s="11" t="str">
        <f ca="1">IF(History!JO$2="","",History!JO6*$C$17)</f>
        <v/>
      </c>
      <c r="JL17" s="11" t="str">
        <f ca="1">IF(History!JP$2="","",History!JP6*$C$17)</f>
        <v/>
      </c>
      <c r="JM17" s="11" t="str">
        <f ca="1">IF(History!JQ$2="","",History!JQ6*$C$17)</f>
        <v/>
      </c>
      <c r="JN17" s="11" t="str">
        <f ca="1">IF(History!JR$2="","",History!JR6*$C$17)</f>
        <v/>
      </c>
      <c r="JO17" s="11" t="str">
        <f ca="1">IF(History!JS$2="","",History!JS6*$C$17)</f>
        <v/>
      </c>
      <c r="JP17" s="11" t="str">
        <f ca="1">IF(History!JT$2="","",History!JT6*$C$17)</f>
        <v/>
      </c>
      <c r="JQ17" s="11" t="str">
        <f ca="1">IF(History!JU$2="","",History!JU6*$C$17)</f>
        <v/>
      </c>
      <c r="JR17" s="11" t="str">
        <f ca="1">IF(History!JV$2="","",History!JV6*$C$17)</f>
        <v/>
      </c>
      <c r="JS17" s="11" t="str">
        <f ca="1">IF(History!JW$2="","",History!JW6*$C$17)</f>
        <v/>
      </c>
      <c r="JT17" s="11" t="str">
        <f ca="1">IF(History!JX$2="","",History!JX6*$C$17)</f>
        <v/>
      </c>
      <c r="JU17" s="11" t="str">
        <f ca="1">IF(History!JY$2="","",History!JY6*$C$17)</f>
        <v/>
      </c>
      <c r="JV17" s="11" t="str">
        <f ca="1">IF(History!JZ$2="","",History!JZ6*$C$17)</f>
        <v/>
      </c>
      <c r="JW17" s="11" t="str">
        <f ca="1">IF(History!KA$2="","",History!KA6*$C$17)</f>
        <v/>
      </c>
      <c r="JX17" s="11" t="str">
        <f ca="1">IF(History!KB$2="","",History!KB6*$C$17)</f>
        <v/>
      </c>
      <c r="JY17" s="11" t="str">
        <f ca="1">IF(History!KC$2="","",History!KC6*$C$17)</f>
        <v/>
      </c>
      <c r="JZ17" s="11" t="str">
        <f ca="1">IF(History!KD$2="","",History!KD6*$C$17)</f>
        <v/>
      </c>
      <c r="KA17" s="11" t="str">
        <f ca="1">IF(History!KE$2="","",History!KE6*$C$17)</f>
        <v/>
      </c>
      <c r="KB17" s="11" t="str">
        <f ca="1">IF(History!KF$2="","",History!KF6*$C$17)</f>
        <v/>
      </c>
    </row>
    <row r="18" spans="1:288" ht="15.75" customHeight="1">
      <c r="A18" s="22" t="s">
        <v>30</v>
      </c>
      <c r="B18" s="6" t="s">
        <v>51</v>
      </c>
      <c r="C18" s="26">
        <v>116</v>
      </c>
      <c r="D18" s="11">
        <f ca="1">IF(History!H$2="","",History!H7*$C$18)</f>
        <v>19242.079999999998</v>
      </c>
      <c r="E18" s="11">
        <f ca="1">IF(History!I$2="","",History!I7*$C$18)</f>
        <v>19630.68</v>
      </c>
      <c r="F18" s="11">
        <f ca="1">IF(History!J$2="","",History!J7*$C$18)</f>
        <v>19740.88</v>
      </c>
      <c r="G18" s="11">
        <f ca="1">IF(History!K$2="","",History!K7*$C$18)</f>
        <v>18926.560000000001</v>
      </c>
      <c r="H18" s="11">
        <f ca="1">IF(History!L$2="","",History!L7*$C$18)</f>
        <v>18763</v>
      </c>
      <c r="I18" s="11">
        <f ca="1">IF(History!M$2="","",History!M7*$C$18)</f>
        <v>17809.48</v>
      </c>
      <c r="J18" s="11">
        <f ca="1">IF(History!N$2="","",History!N7*$C$18)</f>
        <v>17767.719999999998</v>
      </c>
      <c r="K18" s="11">
        <f ca="1">IF(History!O$2="","",History!O7*$C$18)</f>
        <v>17435.96</v>
      </c>
      <c r="L18" s="11">
        <f ca="1">IF(History!P$2="","",History!P7*$C$18)</f>
        <v>17202.800000000003</v>
      </c>
      <c r="M18" s="11">
        <f ca="1">IF(History!Q$2="","",History!Q7*$C$18)</f>
        <v>17592.560000000001</v>
      </c>
      <c r="N18" s="11">
        <f ca="1">IF(History!R$2="","",History!R7*$C$18)</f>
        <v>16517.239999999998</v>
      </c>
      <c r="O18" s="11">
        <f ca="1">IF(History!S$2="","",History!S7*$C$18)</f>
        <v>16412.84</v>
      </c>
      <c r="P18" s="11">
        <f ca="1">IF(History!T$2="","",History!T7*$C$18)</f>
        <v>16121.679999999998</v>
      </c>
      <c r="Q18" s="11">
        <f ca="1">IF(History!U$2="","",History!U7*$C$18)</f>
        <v>16868.719999999998</v>
      </c>
      <c r="R18" s="11">
        <f ca="1">IF(History!V$2="","",History!V7*$C$18)</f>
        <v>17648.239999999998</v>
      </c>
      <c r="S18" s="11">
        <f ca="1">IF(History!W$2="","",History!W7*$C$18)</f>
        <v>17586.760000000002</v>
      </c>
      <c r="T18" s="11">
        <f ca="1">IF(History!X$2="","",History!X7*$C$18)</f>
        <v>17763.079999999998</v>
      </c>
      <c r="U18" s="11">
        <f ca="1">IF(History!Y$2="","",History!Y7*$C$18)</f>
        <v>16984.719999999998</v>
      </c>
      <c r="V18" s="11">
        <f ca="1">IF(History!Z$2="","",History!Z7*$C$18)</f>
        <v>17111.16</v>
      </c>
      <c r="W18" s="11">
        <f ca="1">IF(History!AA$2="","",History!AA7*$C$18)</f>
        <v>17019.52</v>
      </c>
      <c r="X18" s="11">
        <f ca="1">IF(History!AB$2="","",History!AB7*$C$18)</f>
        <v>17210.920000000002</v>
      </c>
      <c r="Y18" s="11">
        <f ca="1">IF(History!AC$2="","",History!AC7*$C$18)</f>
        <v>17910.400000000001</v>
      </c>
      <c r="Z18" s="11">
        <f ca="1">IF(History!AD$2="","",History!AD7*$C$18)</f>
        <v>17268.920000000002</v>
      </c>
      <c r="AA18" s="11">
        <f ca="1">IF(History!AE$2="","",History!AE7*$C$18)</f>
        <v>16530</v>
      </c>
      <c r="AB18" s="11">
        <f ca="1">IF(History!AF$2="","",History!AF7*$C$18)</f>
        <v>16481.280000000002</v>
      </c>
      <c r="AC18" s="11">
        <f ca="1">IF(History!AG$2="","",History!AG7*$C$18)</f>
        <v>16944.12</v>
      </c>
      <c r="AD18" s="11">
        <f ca="1">IF(History!AH$2="","",History!AH7*$C$18)</f>
        <v>16918.599999999999</v>
      </c>
      <c r="AE18" s="11">
        <f ca="1">IF(History!AI$2="","",History!AI7*$C$18)</f>
        <v>16033.52</v>
      </c>
      <c r="AF18" s="11">
        <f ca="1">IF(History!AJ$2="","",History!AJ7*$C$18)</f>
        <v>15654.199999999999</v>
      </c>
      <c r="AG18" s="11">
        <f ca="1">IF(History!AK$2="","",History!AK7*$C$18)</f>
        <v>15684.36</v>
      </c>
      <c r="AH18" s="11">
        <f ca="1">IF(History!AL$2="","",History!AL7*$C$18)</f>
        <v>16342.08</v>
      </c>
      <c r="AI18" s="11">
        <f ca="1">IF(History!AM$2="","",History!AM7*$C$18)</f>
        <v>17288.64</v>
      </c>
      <c r="AJ18" s="11">
        <f ca="1">IF(History!AN$2="","",History!AN7*$C$18)</f>
        <v>17739.88</v>
      </c>
      <c r="AK18" s="11">
        <f ca="1">IF(History!AO$2="","",History!AO7*$C$18)</f>
        <v>17565.88</v>
      </c>
      <c r="AL18" s="11">
        <f ca="1">IF(History!AP$2="","",History!AP7*$C$18)</f>
        <v>17461.48</v>
      </c>
      <c r="AM18" s="11">
        <f ca="1">IF(History!AQ$2="","",History!AQ7*$C$18)</f>
        <v>18265.36</v>
      </c>
      <c r="AN18" s="11">
        <f ca="1">IF(History!AR$2="","",History!AR7*$C$18)</f>
        <v>17857.04</v>
      </c>
      <c r="AO18" s="11">
        <f ca="1">IF(History!AS$2="","",History!AS7*$C$18)</f>
        <v>17944.04</v>
      </c>
      <c r="AP18" s="11">
        <f ca="1">IF(History!AT$2="","",History!AT7*$C$18)</f>
        <v>17446.400000000001</v>
      </c>
      <c r="AQ18" s="11">
        <f ca="1">IF(History!AU$2="","",History!AU7*$C$18)</f>
        <v>16912.800000000003</v>
      </c>
      <c r="AR18" s="11">
        <f ca="1">IF(History!AV$2="","",History!AV7*$C$18)</f>
        <v>17503.239999999998</v>
      </c>
      <c r="AS18" s="11">
        <f ca="1">IF(History!AW$2="","",History!AW7*$C$18)</f>
        <v>17337.36</v>
      </c>
      <c r="AT18" s="11">
        <f ca="1">IF(History!AX$2="","",History!AX7*$C$18)</f>
        <v>16809.560000000001</v>
      </c>
      <c r="AU18" s="11">
        <f ca="1">IF(History!AY$2="","",History!AY7*$C$18)</f>
        <v>16142.56</v>
      </c>
      <c r="AV18" s="11">
        <f ca="1">IF(History!AZ$2="","",History!AZ7*$C$18)</f>
        <v>16530</v>
      </c>
      <c r="AW18" s="11">
        <f ca="1">IF(History!BA$2="","",History!BA7*$C$18)</f>
        <v>17459.16</v>
      </c>
      <c r="AX18" s="11">
        <f ca="1">IF(History!BB$2="","",History!BB7*$C$18)</f>
        <v>17785.12</v>
      </c>
      <c r="AY18" s="11">
        <f ca="1">IF(History!BC$2="","",History!BC7*$C$18)</f>
        <v>18428.920000000002</v>
      </c>
      <c r="AZ18" s="11">
        <f ca="1">IF(History!BD$2="","",History!BD7*$C$18)</f>
        <v>18235.199999999997</v>
      </c>
      <c r="BA18" s="11">
        <f ca="1">IF(History!BE$2="","",History!BE7*$C$18)</f>
        <v>18583.199999999997</v>
      </c>
      <c r="BB18" s="11">
        <f ca="1">IF(History!BF$2="","",History!BF7*$C$18)</f>
        <v>18245.64</v>
      </c>
      <c r="BC18" s="11">
        <f ca="1">IF(History!BG$2="","",History!BG7*$C$18)</f>
        <v>18805.920000000002</v>
      </c>
      <c r="BD18" s="11">
        <f ca="1">IF(History!BH$2="","",History!BH7*$C$18)</f>
        <v>18425.439999999999</v>
      </c>
      <c r="BE18" s="11">
        <f ca="1">IF(History!BI$2="","",History!BI7*$C$18)</f>
        <v>18846.52</v>
      </c>
      <c r="BF18" s="11">
        <f ca="1">IF(History!BJ$2="","",History!BJ7*$C$18)</f>
        <v>19252.52</v>
      </c>
      <c r="BG18" s="11">
        <f ca="1">IF(History!BK$2="","",History!BK7*$C$18)</f>
        <v>18943.96</v>
      </c>
      <c r="BH18" s="11">
        <f ca="1">IF(History!BL$2="","",History!BL7*$C$18)</f>
        <v>19077.36</v>
      </c>
      <c r="BI18" s="11">
        <f ca="1">IF(History!BM$2="","",History!BM7*$C$18)</f>
        <v>19213.079999999998</v>
      </c>
      <c r="BJ18" s="11">
        <f ca="1">IF(History!BN$2="","",History!BN7*$C$18)</f>
        <v>19384.760000000002</v>
      </c>
      <c r="BK18" s="11">
        <f ca="1">IF(History!BO$2="","",History!BO7*$C$18)</f>
        <v>18960.199999999997</v>
      </c>
      <c r="BL18" s="11">
        <f ca="1">IF(History!BP$2="","",History!BP7*$C$18)</f>
        <v>18774.599999999999</v>
      </c>
      <c r="BM18" s="11">
        <f ca="1">IF(History!BQ$2="","",History!BQ7*$C$18)</f>
        <v>18923.079999999998</v>
      </c>
      <c r="BN18" s="11">
        <f ca="1">IF(History!BR$2="","",History!BR7*$C$18)</f>
        <v>18355.84</v>
      </c>
      <c r="BO18" s="11">
        <f ca="1">IF(History!BS$2="","",History!BS7*$C$18)</f>
        <v>17833.84</v>
      </c>
      <c r="BP18" s="11">
        <f ca="1">IF(History!BT$2="","",History!BT7*$C$18)</f>
        <v>17790.920000000002</v>
      </c>
      <c r="BQ18" s="11">
        <f ca="1">IF(History!BU$2="","",History!BU7*$C$18)</f>
        <v>18071.64</v>
      </c>
      <c r="BR18" s="11">
        <f ca="1">IF(History!BV$2="","",History!BV7*$C$18)</f>
        <v>17376.800000000003</v>
      </c>
      <c r="BS18" s="11">
        <f ca="1">IF(History!BW$2="","",History!BW7*$C$18)</f>
        <v>17470.760000000002</v>
      </c>
      <c r="BT18" s="11">
        <f ca="1">IF(History!BX$2="","",History!BX7*$C$18)</f>
        <v>18051.920000000002</v>
      </c>
      <c r="BU18" s="11">
        <f ca="1">IF(History!BY$2="","",History!BY7*$C$18)</f>
        <v>18227.079999999998</v>
      </c>
      <c r="BV18" s="11">
        <f ca="1">IF(History!BZ$2="","",History!BZ7*$C$18)</f>
        <v>17615.760000000002</v>
      </c>
      <c r="BW18" s="11">
        <f ca="1">IF(History!CA$2="","",History!CA7*$C$18)</f>
        <v>17176.12</v>
      </c>
      <c r="BX18" s="11">
        <f ca="1">IF(History!CB$2="","",History!CB7*$C$18)</f>
        <v>17527.599999999999</v>
      </c>
      <c r="BY18" s="11">
        <f ca="1">IF(History!CC$2="","",History!CC7*$C$18)</f>
        <v>17578.64</v>
      </c>
      <c r="BZ18" s="11">
        <f ca="1">IF(History!CD$2="","",History!CD7*$C$18)</f>
        <v>17795.560000000001</v>
      </c>
      <c r="CA18" s="11">
        <f ca="1">IF(History!CE$2="","",History!CE7*$C$18)</f>
        <v>18445.16</v>
      </c>
      <c r="CB18" s="11">
        <f ca="1">IF(History!CF$2="","",History!CF7*$C$18)</f>
        <v>17498.599999999999</v>
      </c>
      <c r="CC18" s="11">
        <f ca="1">IF(History!CG$2="","",History!CG7*$C$18)</f>
        <v>17456.84</v>
      </c>
      <c r="CD18" s="11">
        <f ca="1">IF(History!CH$2="","",History!CH7*$C$18)</f>
        <v>17730.599999999999</v>
      </c>
      <c r="CE18" s="11">
        <f ca="1">IF(History!CI$2="","",History!CI7*$C$18)</f>
        <v>18367.439999999999</v>
      </c>
      <c r="CF18" s="11" t="str">
        <f ca="1">IF(History!CJ$2="","",History!CJ7*$C$18)</f>
        <v/>
      </c>
      <c r="CG18" s="11" t="str">
        <f ca="1">IF(History!CK$2="","",History!CK7*$C$18)</f>
        <v/>
      </c>
      <c r="CH18" s="11" t="str">
        <f ca="1">IF(History!CL$2="","",History!CL7*$C$18)</f>
        <v/>
      </c>
      <c r="CI18" s="11" t="str">
        <f ca="1">IF(History!CM$2="","",History!CM7*$C$18)</f>
        <v/>
      </c>
      <c r="CJ18" s="11" t="str">
        <f ca="1">IF(History!CN$2="","",History!CN7*$C$18)</f>
        <v/>
      </c>
      <c r="CK18" s="11" t="str">
        <f ca="1">IF(History!CO$2="","",History!CO7*$C$18)</f>
        <v/>
      </c>
      <c r="CL18" s="11" t="str">
        <f ca="1">IF(History!CP$2="","",History!CP7*$C$18)</f>
        <v/>
      </c>
      <c r="CM18" s="11" t="str">
        <f ca="1">IF(History!CQ$2="","",History!CQ7*$C$18)</f>
        <v/>
      </c>
      <c r="CN18" s="11" t="str">
        <f ca="1">IF(History!CR$2="","",History!CR7*$C$18)</f>
        <v/>
      </c>
      <c r="CO18" s="11" t="str">
        <f ca="1">IF(History!CS$2="","",History!CS7*$C$18)</f>
        <v/>
      </c>
      <c r="CP18" s="11" t="str">
        <f ca="1">IF(History!CT$2="","",History!CT7*$C$18)</f>
        <v/>
      </c>
      <c r="CQ18" s="11" t="str">
        <f ca="1">IF(History!CU$2="","",History!CU7*$C$18)</f>
        <v/>
      </c>
      <c r="CR18" s="11" t="str">
        <f ca="1">IF(History!CV$2="","",History!CV7*$C$18)</f>
        <v/>
      </c>
      <c r="CS18" s="11" t="str">
        <f ca="1">IF(History!CW$2="","",History!CW7*$C$18)</f>
        <v/>
      </c>
      <c r="CT18" s="11" t="str">
        <f ca="1">IF(History!CX$2="","",History!CX7*$C$18)</f>
        <v/>
      </c>
      <c r="CU18" s="11" t="str">
        <f ca="1">IF(History!CY$2="","",History!CY7*$C$18)</f>
        <v/>
      </c>
      <c r="CV18" s="11" t="str">
        <f ca="1">IF(History!CZ$2="","",History!CZ7*$C$18)</f>
        <v/>
      </c>
      <c r="CW18" s="11" t="str">
        <f ca="1">IF(History!DA$2="","",History!DA7*$C$18)</f>
        <v/>
      </c>
      <c r="CX18" s="11" t="str">
        <f ca="1">IF(History!DB$2="","",History!DB7*$C$18)</f>
        <v/>
      </c>
      <c r="CY18" s="11" t="str">
        <f ca="1">IF(History!DC$2="","",History!DC7*$C$18)</f>
        <v/>
      </c>
      <c r="CZ18" s="11" t="str">
        <f ca="1">IF(History!DD$2="","",History!DD7*$C$18)</f>
        <v/>
      </c>
      <c r="DA18" s="11" t="str">
        <f ca="1">IF(History!DE$2="","",History!DE7*$C$18)</f>
        <v/>
      </c>
      <c r="DB18" s="11" t="str">
        <f ca="1">IF(History!DF$2="","",History!DF7*$C$18)</f>
        <v/>
      </c>
      <c r="DC18" s="11" t="str">
        <f ca="1">IF(History!DG$2="","",History!DG7*$C$18)</f>
        <v/>
      </c>
      <c r="DD18" s="11" t="str">
        <f ca="1">IF(History!DH$2="","",History!DH7*$C$18)</f>
        <v/>
      </c>
      <c r="DE18" s="11" t="str">
        <f ca="1">IF(History!DI$2="","",History!DI7*$C$18)</f>
        <v/>
      </c>
      <c r="DF18" s="11" t="str">
        <f ca="1">IF(History!DJ$2="","",History!DJ7*$C$18)</f>
        <v/>
      </c>
      <c r="DG18" s="11" t="str">
        <f ca="1">IF(History!DK$2="","",History!DK7*$C$18)</f>
        <v/>
      </c>
      <c r="DH18" s="11" t="str">
        <f ca="1">IF(History!DL$2="","",History!DL7*$C$18)</f>
        <v/>
      </c>
      <c r="DI18" s="11" t="str">
        <f ca="1">IF(History!DM$2="","",History!DM7*$C$18)</f>
        <v/>
      </c>
      <c r="DJ18" s="11" t="str">
        <f ca="1">IF(History!DN$2="","",History!DN7*$C$18)</f>
        <v/>
      </c>
      <c r="DK18" s="11" t="str">
        <f ca="1">IF(History!DO$2="","",History!DO7*$C$18)</f>
        <v/>
      </c>
      <c r="DL18" s="11" t="str">
        <f ca="1">IF(History!DP$2="","",History!DP7*$C$18)</f>
        <v/>
      </c>
      <c r="DM18" s="11" t="str">
        <f ca="1">IF(History!DQ$2="","",History!DQ7*$C$18)</f>
        <v/>
      </c>
      <c r="DN18" s="11" t="str">
        <f ca="1">IF(History!DR$2="","",History!DR7*$C$18)</f>
        <v/>
      </c>
      <c r="DO18" s="11" t="str">
        <f ca="1">IF(History!DS$2="","",History!DS7*$C$18)</f>
        <v/>
      </c>
      <c r="DP18" s="11" t="str">
        <f ca="1">IF(History!DT$2="","",History!DT7*$C$18)</f>
        <v/>
      </c>
      <c r="DQ18" s="11" t="str">
        <f ca="1">IF(History!DU$2="","",History!DU7*$C$18)</f>
        <v/>
      </c>
      <c r="DR18" s="11" t="str">
        <f ca="1">IF(History!DV$2="","",History!DV7*$C$18)</f>
        <v/>
      </c>
      <c r="DS18" s="11" t="str">
        <f ca="1">IF(History!DW$2="","",History!DW7*$C$18)</f>
        <v/>
      </c>
      <c r="DT18" s="11" t="str">
        <f ca="1">IF(History!DX$2="","",History!DX7*$C$18)</f>
        <v/>
      </c>
      <c r="DU18" s="11" t="str">
        <f ca="1">IF(History!DY$2="","",History!DY7*$C$18)</f>
        <v/>
      </c>
      <c r="DV18" s="11" t="str">
        <f ca="1">IF(History!DZ$2="","",History!DZ7*$C$18)</f>
        <v/>
      </c>
      <c r="DW18" s="11" t="str">
        <f ca="1">IF(History!EA$2="","",History!EA7*$C$18)</f>
        <v/>
      </c>
      <c r="DX18" s="11" t="str">
        <f ca="1">IF(History!EB$2="","",History!EB7*$C$18)</f>
        <v/>
      </c>
      <c r="DY18" s="11" t="str">
        <f ca="1">IF(History!EC$2="","",History!EC7*$C$18)</f>
        <v/>
      </c>
      <c r="DZ18" s="11" t="str">
        <f ca="1">IF(History!ED$2="","",History!ED7*$C$18)</f>
        <v/>
      </c>
      <c r="EA18" s="11" t="str">
        <f ca="1">IF(History!EE$2="","",History!EE7*$C$18)</f>
        <v/>
      </c>
      <c r="EB18" s="11" t="str">
        <f ca="1">IF(History!EF$2="","",History!EF7*$C$18)</f>
        <v/>
      </c>
      <c r="EC18" s="11" t="str">
        <f ca="1">IF(History!EG$2="","",History!EG7*$C$18)</f>
        <v/>
      </c>
      <c r="ED18" s="11" t="str">
        <f ca="1">IF(History!EH$2="","",History!EH7*$C$18)</f>
        <v/>
      </c>
      <c r="EE18" s="11" t="str">
        <f ca="1">IF(History!EI$2="","",History!EI7*$C$18)</f>
        <v/>
      </c>
      <c r="EF18" s="11" t="str">
        <f ca="1">IF(History!EJ$2="","",History!EJ7*$C$18)</f>
        <v/>
      </c>
      <c r="EG18" s="11" t="str">
        <f ca="1">IF(History!EK$2="","",History!EK7*$C$18)</f>
        <v/>
      </c>
      <c r="EH18" s="11" t="str">
        <f ca="1">IF(History!EL$2="","",History!EL7*$C$18)</f>
        <v/>
      </c>
      <c r="EI18" s="11" t="str">
        <f ca="1">IF(History!EM$2="","",History!EM7*$C$18)</f>
        <v/>
      </c>
      <c r="EJ18" s="11" t="str">
        <f ca="1">IF(History!EN$2="","",History!EN7*$C$18)</f>
        <v/>
      </c>
      <c r="EK18" s="11" t="str">
        <f ca="1">IF(History!EO$2="","",History!EO7*$C$18)</f>
        <v/>
      </c>
      <c r="EL18" s="11" t="str">
        <f ca="1">IF(History!EP$2="","",History!EP7*$C$18)</f>
        <v/>
      </c>
      <c r="EM18" s="11" t="str">
        <f ca="1">IF(History!EQ$2="","",History!EQ7*$C$18)</f>
        <v/>
      </c>
      <c r="EN18" s="11" t="str">
        <f ca="1">IF(History!ER$2="","",History!ER7*$C$18)</f>
        <v/>
      </c>
      <c r="EO18" s="11" t="str">
        <f ca="1">IF(History!ES$2="","",History!ES7*$C$18)</f>
        <v/>
      </c>
      <c r="EP18" s="11" t="str">
        <f ca="1">IF(History!ET$2="","",History!ET7*$C$18)</f>
        <v/>
      </c>
      <c r="EQ18" s="11" t="str">
        <f ca="1">IF(History!EU$2="","",History!EU7*$C$18)</f>
        <v/>
      </c>
      <c r="ER18" s="11" t="str">
        <f ca="1">IF(History!EV$2="","",History!EV7*$C$18)</f>
        <v/>
      </c>
      <c r="ES18" s="11" t="str">
        <f ca="1">IF(History!EW$2="","",History!EW7*$C$18)</f>
        <v/>
      </c>
      <c r="ET18" s="11" t="str">
        <f ca="1">IF(History!EX$2="","",History!EX7*$C$18)</f>
        <v/>
      </c>
      <c r="EU18" s="11" t="str">
        <f ca="1">IF(History!EY$2="","",History!EY7*$C$18)</f>
        <v/>
      </c>
      <c r="EV18" s="11" t="str">
        <f ca="1">IF(History!EZ$2="","",History!EZ7*$C$18)</f>
        <v/>
      </c>
      <c r="EW18" s="11" t="str">
        <f ca="1">IF(History!FA$2="","",History!FA7*$C$18)</f>
        <v/>
      </c>
      <c r="EX18" s="11" t="str">
        <f ca="1">IF(History!FB$2="","",History!FB7*$C$18)</f>
        <v/>
      </c>
      <c r="EY18" s="11" t="str">
        <f ca="1">IF(History!FC$2="","",History!FC7*$C$18)</f>
        <v/>
      </c>
      <c r="EZ18" s="11" t="str">
        <f ca="1">IF(History!FD$2="","",History!FD7*$C$18)</f>
        <v/>
      </c>
      <c r="FA18" s="11" t="str">
        <f ca="1">IF(History!FE$2="","",History!FE7*$C$18)</f>
        <v/>
      </c>
      <c r="FB18" s="11" t="str">
        <f ca="1">IF(History!FF$2="","",History!FF7*$C$18)</f>
        <v/>
      </c>
      <c r="FC18" s="11" t="str">
        <f ca="1">IF(History!FG$2="","",History!FG7*$C$18)</f>
        <v/>
      </c>
      <c r="FD18" s="11" t="str">
        <f ca="1">IF(History!FH$2="","",History!FH7*$C$18)</f>
        <v/>
      </c>
      <c r="FE18" s="11" t="str">
        <f ca="1">IF(History!FI$2="","",History!FI7*$C$18)</f>
        <v/>
      </c>
      <c r="FF18" s="11" t="str">
        <f ca="1">IF(History!FJ$2="","",History!FJ7*$C$18)</f>
        <v/>
      </c>
      <c r="FG18" s="11" t="str">
        <f ca="1">IF(History!FK$2="","",History!FK7*$C$18)</f>
        <v/>
      </c>
      <c r="FH18" s="11" t="str">
        <f ca="1">IF(History!FL$2="","",History!FL7*$C$18)</f>
        <v/>
      </c>
      <c r="FI18" s="11" t="str">
        <f ca="1">IF(History!FM$2="","",History!FM7*$C$18)</f>
        <v/>
      </c>
      <c r="FJ18" s="11" t="str">
        <f ca="1">IF(History!FN$2="","",History!FN7*$C$18)</f>
        <v/>
      </c>
      <c r="FK18" s="11" t="str">
        <f ca="1">IF(History!FO$2="","",History!FO7*$C$18)</f>
        <v/>
      </c>
      <c r="FL18" s="11" t="str">
        <f ca="1">IF(History!FP$2="","",History!FP7*$C$18)</f>
        <v/>
      </c>
      <c r="FM18" s="11" t="str">
        <f ca="1">IF(History!FQ$2="","",History!FQ7*$C$18)</f>
        <v/>
      </c>
      <c r="FN18" s="11" t="str">
        <f ca="1">IF(History!FR$2="","",History!FR7*$C$18)</f>
        <v/>
      </c>
      <c r="FO18" s="11" t="str">
        <f ca="1">IF(History!FS$2="","",History!FS7*$C$18)</f>
        <v/>
      </c>
      <c r="FP18" s="11" t="str">
        <f ca="1">IF(History!FT$2="","",History!FT7*$C$18)</f>
        <v/>
      </c>
      <c r="FQ18" s="11" t="str">
        <f ca="1">IF(History!FU$2="","",History!FU7*$C$18)</f>
        <v/>
      </c>
      <c r="FR18" s="11" t="str">
        <f ca="1">IF(History!FV$2="","",History!FV7*$C$18)</f>
        <v/>
      </c>
      <c r="FS18" s="11" t="str">
        <f ca="1">IF(History!FW$2="","",History!FW7*$C$18)</f>
        <v/>
      </c>
      <c r="FT18" s="11" t="str">
        <f ca="1">IF(History!FX$2="","",History!FX7*$C$18)</f>
        <v/>
      </c>
      <c r="FU18" s="11" t="str">
        <f ca="1">IF(History!FY$2="","",History!FY7*$C$18)</f>
        <v/>
      </c>
      <c r="FV18" s="11" t="str">
        <f ca="1">IF(History!FZ$2="","",History!FZ7*$C$18)</f>
        <v/>
      </c>
      <c r="FW18" s="11" t="str">
        <f ca="1">IF(History!GA$2="","",History!GA7*$C$18)</f>
        <v/>
      </c>
      <c r="FX18" s="11" t="str">
        <f ca="1">IF(History!GB$2="","",History!GB7*$C$18)</f>
        <v/>
      </c>
      <c r="FY18" s="11" t="str">
        <f ca="1">IF(History!GC$2="","",History!GC7*$C$18)</f>
        <v/>
      </c>
      <c r="FZ18" s="11" t="str">
        <f ca="1">IF(History!GD$2="","",History!GD7*$C$18)</f>
        <v/>
      </c>
      <c r="GA18" s="11" t="str">
        <f ca="1">IF(History!GE$2="","",History!GE7*$C$18)</f>
        <v/>
      </c>
      <c r="GB18" s="11" t="str">
        <f ca="1">IF(History!GF$2="","",History!GF7*$C$18)</f>
        <v/>
      </c>
      <c r="GC18" s="11" t="str">
        <f ca="1">IF(History!GG$2="","",History!GG7*$C$18)</f>
        <v/>
      </c>
      <c r="GD18" s="11" t="str">
        <f ca="1">IF(History!GH$2="","",History!GH7*$C$18)</f>
        <v/>
      </c>
      <c r="GE18" s="11" t="str">
        <f ca="1">IF(History!GI$2="","",History!GI7*$C$18)</f>
        <v/>
      </c>
      <c r="GF18" s="11" t="str">
        <f ca="1">IF(History!GJ$2="","",History!GJ7*$C$18)</f>
        <v/>
      </c>
      <c r="GG18" s="11" t="str">
        <f ca="1">IF(History!GK$2="","",History!GK7*$C$18)</f>
        <v/>
      </c>
      <c r="GH18" s="11" t="str">
        <f ca="1">IF(History!GL$2="","",History!GL7*$C$18)</f>
        <v/>
      </c>
      <c r="GI18" s="11" t="str">
        <f ca="1">IF(History!GM$2="","",History!GM7*$C$18)</f>
        <v/>
      </c>
      <c r="GJ18" s="11" t="str">
        <f ca="1">IF(History!GN$2="","",History!GN7*$C$18)</f>
        <v/>
      </c>
      <c r="GK18" s="11" t="str">
        <f ca="1">IF(History!GO$2="","",History!GO7*$C$18)</f>
        <v/>
      </c>
      <c r="GL18" s="11" t="str">
        <f ca="1">IF(History!GP$2="","",History!GP7*$C$18)</f>
        <v/>
      </c>
      <c r="GM18" s="11" t="str">
        <f ca="1">IF(History!GQ$2="","",History!GQ7*$C$18)</f>
        <v/>
      </c>
      <c r="GN18" s="11" t="str">
        <f ca="1">IF(History!GR$2="","",History!GR7*$C$18)</f>
        <v/>
      </c>
      <c r="GO18" s="11" t="str">
        <f ca="1">IF(History!GS$2="","",History!GS7*$C$18)</f>
        <v/>
      </c>
      <c r="GP18" s="11" t="str">
        <f ca="1">IF(History!GT$2="","",History!GT7*$C$18)</f>
        <v/>
      </c>
      <c r="GQ18" s="11" t="str">
        <f ca="1">IF(History!GU$2="","",History!GU7*$C$18)</f>
        <v/>
      </c>
      <c r="GR18" s="11" t="str">
        <f ca="1">IF(History!GV$2="","",History!GV7*$C$18)</f>
        <v/>
      </c>
      <c r="GS18" s="11" t="str">
        <f ca="1">IF(History!GW$2="","",History!GW7*$C$18)</f>
        <v/>
      </c>
      <c r="GT18" s="11" t="str">
        <f ca="1">IF(History!GX$2="","",History!GX7*$C$18)</f>
        <v/>
      </c>
      <c r="GU18" s="11" t="str">
        <f ca="1">IF(History!GY$2="","",History!GY7*$C$18)</f>
        <v/>
      </c>
      <c r="GV18" s="11" t="str">
        <f ca="1">IF(History!GZ$2="","",History!GZ7*$C$18)</f>
        <v/>
      </c>
      <c r="GW18" s="11" t="str">
        <f ca="1">IF(History!HA$2="","",History!HA7*$C$18)</f>
        <v/>
      </c>
      <c r="GX18" s="11" t="str">
        <f ca="1">IF(History!HB$2="","",History!HB7*$C$18)</f>
        <v/>
      </c>
      <c r="GY18" s="11" t="str">
        <f ca="1">IF(History!HC$2="","",History!HC7*$C$18)</f>
        <v/>
      </c>
      <c r="GZ18" s="11" t="str">
        <f ca="1">IF(History!HD$2="","",History!HD7*$C$18)</f>
        <v/>
      </c>
      <c r="HA18" s="11" t="str">
        <f ca="1">IF(History!HE$2="","",History!HE7*$C$18)</f>
        <v/>
      </c>
      <c r="HB18" s="11" t="str">
        <f ca="1">IF(History!HF$2="","",History!HF7*$C$18)</f>
        <v/>
      </c>
      <c r="HC18" s="11" t="str">
        <f ca="1">IF(History!HG$2="","",History!HG7*$C$18)</f>
        <v/>
      </c>
      <c r="HD18" s="11" t="str">
        <f ca="1">IF(History!HH$2="","",History!HH7*$C$18)</f>
        <v/>
      </c>
      <c r="HE18" s="11" t="str">
        <f ca="1">IF(History!HI$2="","",History!HI7*$C$18)</f>
        <v/>
      </c>
      <c r="HF18" s="11" t="str">
        <f ca="1">IF(History!HJ$2="","",History!HJ7*$C$18)</f>
        <v/>
      </c>
      <c r="HG18" s="11" t="str">
        <f ca="1">IF(History!HK$2="","",History!HK7*$C$18)</f>
        <v/>
      </c>
      <c r="HH18" s="11" t="str">
        <f ca="1">IF(History!HL$2="","",History!HL7*$C$18)</f>
        <v/>
      </c>
      <c r="HI18" s="11" t="str">
        <f ca="1">IF(History!HM$2="","",History!HM7*$C$18)</f>
        <v/>
      </c>
      <c r="HJ18" s="11" t="str">
        <f ca="1">IF(History!HN$2="","",History!HN7*$C$18)</f>
        <v/>
      </c>
      <c r="HK18" s="11" t="str">
        <f ca="1">IF(History!HO$2="","",History!HO7*$C$18)</f>
        <v/>
      </c>
      <c r="HL18" s="11" t="str">
        <f ca="1">IF(History!HP$2="","",History!HP7*$C$18)</f>
        <v/>
      </c>
      <c r="HM18" s="11" t="str">
        <f ca="1">IF(History!HQ$2="","",History!HQ7*$C$18)</f>
        <v/>
      </c>
      <c r="HN18" s="11" t="str">
        <f ca="1">IF(History!HR$2="","",History!HR7*$C$18)</f>
        <v/>
      </c>
      <c r="HO18" s="11" t="str">
        <f ca="1">IF(History!HS$2="","",History!HS7*$C$18)</f>
        <v/>
      </c>
      <c r="HP18" s="11" t="str">
        <f ca="1">IF(History!HT$2="","",History!HT7*$C$18)</f>
        <v/>
      </c>
      <c r="HQ18" s="11" t="str">
        <f ca="1">IF(History!HU$2="","",History!HU7*$C$18)</f>
        <v/>
      </c>
      <c r="HR18" s="11" t="str">
        <f ca="1">IF(History!HV$2="","",History!HV7*$C$18)</f>
        <v/>
      </c>
      <c r="HS18" s="11" t="str">
        <f ca="1">IF(History!HW$2="","",History!HW7*$C$18)</f>
        <v/>
      </c>
      <c r="HT18" s="11" t="str">
        <f ca="1">IF(History!HX$2="","",History!HX7*$C$18)</f>
        <v/>
      </c>
      <c r="HU18" s="11" t="str">
        <f ca="1">IF(History!HY$2="","",History!HY7*$C$18)</f>
        <v/>
      </c>
      <c r="HV18" s="11" t="str">
        <f ca="1">IF(History!HZ$2="","",History!HZ7*$C$18)</f>
        <v/>
      </c>
      <c r="HW18" s="11" t="str">
        <f ca="1">IF(History!IA$2="","",History!IA7*$C$18)</f>
        <v/>
      </c>
      <c r="HX18" s="11" t="str">
        <f ca="1">IF(History!IB$2="","",History!IB7*$C$18)</f>
        <v/>
      </c>
      <c r="HY18" s="11" t="str">
        <f ca="1">IF(History!IC$2="","",History!IC7*$C$18)</f>
        <v/>
      </c>
      <c r="HZ18" s="11" t="str">
        <f ca="1">IF(History!ID$2="","",History!ID7*$C$18)</f>
        <v/>
      </c>
      <c r="IA18" s="11" t="str">
        <f ca="1">IF(History!IE$2="","",History!IE7*$C$18)</f>
        <v/>
      </c>
      <c r="IB18" s="11" t="str">
        <f ca="1">IF(History!IF$2="","",History!IF7*$C$18)</f>
        <v/>
      </c>
      <c r="IC18" s="11" t="str">
        <f ca="1">IF(History!IG$2="","",History!IG7*$C$18)</f>
        <v/>
      </c>
      <c r="ID18" s="11" t="str">
        <f ca="1">IF(History!IH$2="","",History!IH7*$C$18)</f>
        <v/>
      </c>
      <c r="IE18" s="11" t="str">
        <f ca="1">IF(History!II$2="","",History!II7*$C$18)</f>
        <v/>
      </c>
      <c r="IF18" s="11" t="str">
        <f ca="1">IF(History!IJ$2="","",History!IJ7*$C$18)</f>
        <v/>
      </c>
      <c r="IG18" s="11" t="str">
        <f ca="1">IF(History!IK$2="","",History!IK7*$C$18)</f>
        <v/>
      </c>
      <c r="IH18" s="11" t="str">
        <f ca="1">IF(History!IL$2="","",History!IL7*$C$18)</f>
        <v/>
      </c>
      <c r="II18" s="11" t="str">
        <f ca="1">IF(History!IM$2="","",History!IM7*$C$18)</f>
        <v/>
      </c>
      <c r="IJ18" s="11" t="str">
        <f ca="1">IF(History!IN$2="","",History!IN7*$C$18)</f>
        <v/>
      </c>
      <c r="IK18" s="11" t="str">
        <f ca="1">IF(History!IO$2="","",History!IO7*$C$18)</f>
        <v/>
      </c>
      <c r="IL18" s="11" t="str">
        <f ca="1">IF(History!IP$2="","",History!IP7*$C$18)</f>
        <v/>
      </c>
      <c r="IM18" s="11" t="str">
        <f ca="1">IF(History!IQ$2="","",History!IQ7*$C$18)</f>
        <v/>
      </c>
      <c r="IN18" s="11" t="str">
        <f ca="1">IF(History!IR$2="","",History!IR7*$C$18)</f>
        <v/>
      </c>
      <c r="IO18" s="11" t="str">
        <f ca="1">IF(History!IS$2="","",History!IS7*$C$18)</f>
        <v/>
      </c>
      <c r="IP18" s="11" t="str">
        <f ca="1">IF(History!IT$2="","",History!IT7*$C$18)</f>
        <v/>
      </c>
      <c r="IQ18" s="11" t="str">
        <f ca="1">IF(History!IU$2="","",History!IU7*$C$18)</f>
        <v/>
      </c>
      <c r="IR18" s="11" t="str">
        <f ca="1">IF(History!IV$2="","",History!IV7*$C$18)</f>
        <v/>
      </c>
      <c r="IS18" s="11" t="str">
        <f ca="1">IF(History!IW$2="","",History!IW7*$C$18)</f>
        <v/>
      </c>
      <c r="IT18" s="11" t="str">
        <f ca="1">IF(History!IX$2="","",History!IX7*$C$18)</f>
        <v/>
      </c>
      <c r="IU18" s="11" t="str">
        <f ca="1">IF(History!IY$2="","",History!IY7*$C$18)</f>
        <v/>
      </c>
      <c r="IV18" s="11" t="str">
        <f ca="1">IF(History!IZ$2="","",History!IZ7*$C$18)</f>
        <v/>
      </c>
      <c r="IW18" s="11" t="str">
        <f ca="1">IF(History!JA$2="","",History!JA7*$C$18)</f>
        <v/>
      </c>
      <c r="IX18" s="11" t="str">
        <f ca="1">IF(History!JB$2="","",History!JB7*$C$18)</f>
        <v/>
      </c>
      <c r="IY18" s="11" t="str">
        <f ca="1">IF(History!JC$2="","",History!JC7*$C$18)</f>
        <v/>
      </c>
      <c r="IZ18" s="11" t="str">
        <f ca="1">IF(History!JD$2="","",History!JD7*$C$18)</f>
        <v/>
      </c>
      <c r="JA18" s="11" t="str">
        <f ca="1">IF(History!JE$2="","",History!JE7*$C$18)</f>
        <v/>
      </c>
      <c r="JB18" s="11" t="str">
        <f ca="1">IF(History!JF$2="","",History!JF7*$C$18)</f>
        <v/>
      </c>
      <c r="JC18" s="11" t="str">
        <f ca="1">IF(History!JG$2="","",History!JG7*$C$18)</f>
        <v/>
      </c>
      <c r="JD18" s="11" t="str">
        <f ca="1">IF(History!JH$2="","",History!JH7*$C$18)</f>
        <v/>
      </c>
      <c r="JE18" s="11" t="str">
        <f ca="1">IF(History!JI$2="","",History!JI7*$C$18)</f>
        <v/>
      </c>
      <c r="JF18" s="11" t="str">
        <f ca="1">IF(History!JJ$2="","",History!JJ7*$C$18)</f>
        <v/>
      </c>
      <c r="JG18" s="11" t="str">
        <f ca="1">IF(History!JK$2="","",History!JK7*$C$18)</f>
        <v/>
      </c>
      <c r="JH18" s="11" t="str">
        <f ca="1">IF(History!JL$2="","",History!JL7*$C$18)</f>
        <v/>
      </c>
      <c r="JI18" s="11" t="str">
        <f ca="1">IF(History!JM$2="","",History!JM7*$C$18)</f>
        <v/>
      </c>
      <c r="JJ18" s="11" t="str">
        <f ca="1">IF(History!JN$2="","",History!JN7*$C$18)</f>
        <v/>
      </c>
      <c r="JK18" s="11" t="str">
        <f ca="1">IF(History!JO$2="","",History!JO7*$C$18)</f>
        <v/>
      </c>
      <c r="JL18" s="11" t="str">
        <f ca="1">IF(History!JP$2="","",History!JP7*$C$18)</f>
        <v/>
      </c>
      <c r="JM18" s="11" t="str">
        <f ca="1">IF(History!JQ$2="","",History!JQ7*$C$18)</f>
        <v/>
      </c>
      <c r="JN18" s="11" t="str">
        <f ca="1">IF(History!JR$2="","",History!JR7*$C$18)</f>
        <v/>
      </c>
      <c r="JO18" s="11" t="str">
        <f ca="1">IF(History!JS$2="","",History!JS7*$C$18)</f>
        <v/>
      </c>
      <c r="JP18" s="11" t="str">
        <f ca="1">IF(History!JT$2="","",History!JT7*$C$18)</f>
        <v/>
      </c>
      <c r="JQ18" s="11" t="str">
        <f ca="1">IF(History!JU$2="","",History!JU7*$C$18)</f>
        <v/>
      </c>
      <c r="JR18" s="11" t="str">
        <f ca="1">IF(History!JV$2="","",History!JV7*$C$18)</f>
        <v/>
      </c>
      <c r="JS18" s="11" t="str">
        <f ca="1">IF(History!JW$2="","",History!JW7*$C$18)</f>
        <v/>
      </c>
      <c r="JT18" s="11" t="str">
        <f ca="1">IF(History!JX$2="","",History!JX7*$C$18)</f>
        <v/>
      </c>
      <c r="JU18" s="11" t="str">
        <f ca="1">IF(History!JY$2="","",History!JY7*$C$18)</f>
        <v/>
      </c>
      <c r="JV18" s="11" t="str">
        <f ca="1">IF(History!JZ$2="","",History!JZ7*$C$18)</f>
        <v/>
      </c>
      <c r="JW18" s="11" t="str">
        <f ca="1">IF(History!KA$2="","",History!KA7*$C$18)</f>
        <v/>
      </c>
      <c r="JX18" s="11" t="str">
        <f ca="1">IF(History!KB$2="","",History!KB7*$C$18)</f>
        <v/>
      </c>
      <c r="JY18" s="11" t="str">
        <f ca="1">IF(History!KC$2="","",History!KC7*$C$18)</f>
        <v/>
      </c>
      <c r="JZ18" s="11" t="str">
        <f ca="1">IF(History!KD$2="","",History!KD7*$C$18)</f>
        <v/>
      </c>
      <c r="KA18" s="11" t="str">
        <f ca="1">IF(History!KE$2="","",History!KE7*$C$18)</f>
        <v/>
      </c>
      <c r="KB18" s="11" t="str">
        <f ca="1">IF(History!KF$2="","",History!KF7*$C$18)</f>
        <v/>
      </c>
    </row>
    <row r="19" spans="1:288" ht="15.75" customHeight="1">
      <c r="A19" s="22" t="s">
        <v>30</v>
      </c>
      <c r="B19" s="6" t="s">
        <v>52</v>
      </c>
      <c r="C19" s="26">
        <v>83</v>
      </c>
      <c r="D19" s="11">
        <f ca="1">IF(History!H$2="","",History!H8*$C$19)</f>
        <v>19908.38</v>
      </c>
      <c r="E19" s="11">
        <f ca="1">IF(History!I$2="","",History!I8*$C$19)</f>
        <v>19923.32</v>
      </c>
      <c r="F19" s="11">
        <f ca="1">IF(History!J$2="","",History!J8*$C$19)</f>
        <v>19895.099999999999</v>
      </c>
      <c r="G19" s="11">
        <f ca="1">IF(History!K$2="","",History!K8*$C$19)</f>
        <v>18853.45</v>
      </c>
      <c r="H19" s="11">
        <f ca="1">IF(History!L$2="","",History!L8*$C$19)</f>
        <v>18579.55</v>
      </c>
      <c r="I19" s="11">
        <f ca="1">IF(History!M$2="","",History!M8*$C$19)</f>
        <v>18116.41</v>
      </c>
      <c r="J19" s="11">
        <f ca="1">IF(History!N$2="","",History!N8*$C$19)</f>
        <v>18270.79</v>
      </c>
      <c r="K19" s="11">
        <f ca="1">IF(History!O$2="","",History!O8*$C$19)</f>
        <v>18482.440000000002</v>
      </c>
      <c r="L19" s="11">
        <f ca="1">IF(History!P$2="","",History!P8*$C$19)</f>
        <v>18432.64</v>
      </c>
      <c r="M19" s="11">
        <f ca="1">IF(History!Q$2="","",History!Q8*$C$19)</f>
        <v>18870.88</v>
      </c>
      <c r="N19" s="11">
        <f ca="1">IF(History!R$2="","",History!R8*$C$19)</f>
        <v>18369.559999999998</v>
      </c>
      <c r="O19" s="11">
        <f ca="1">IF(History!S$2="","",History!S8*$C$19)</f>
        <v>18024.28</v>
      </c>
      <c r="P19" s="11">
        <f ca="1">IF(History!T$2="","",History!T8*$C$19)</f>
        <v>17810.14</v>
      </c>
      <c r="Q19" s="11">
        <f ca="1">IF(History!U$2="","",History!U8*$C$19)</f>
        <v>18653.420000000002</v>
      </c>
      <c r="R19" s="11">
        <f ca="1">IF(History!V$2="","",History!V8*$C$19)</f>
        <v>19632.82</v>
      </c>
      <c r="S19" s="11">
        <f ca="1">IF(History!W$2="","",History!W8*$C$19)</f>
        <v>19762.3</v>
      </c>
      <c r="T19" s="11">
        <f ca="1">IF(History!X$2="","",History!X8*$C$19)</f>
        <v>19565.59</v>
      </c>
      <c r="U19" s="11">
        <f ca="1">IF(History!Y$2="","",History!Y8*$C$19)</f>
        <v>19001.190000000002</v>
      </c>
      <c r="V19" s="11">
        <f ca="1">IF(History!Z$2="","",History!Z8*$C$19)</f>
        <v>19323.23</v>
      </c>
      <c r="W19" s="11">
        <f ca="1">IF(History!AA$2="","",History!AA8*$C$19)</f>
        <v>19266.79</v>
      </c>
      <c r="X19" s="11">
        <f ca="1">IF(History!AB$2="","",History!AB8*$C$19)</f>
        <v>19254.34</v>
      </c>
      <c r="Y19" s="11">
        <f ca="1">IF(History!AC$2="","",History!AC8*$C$19)</f>
        <v>19642.78</v>
      </c>
      <c r="Z19" s="11">
        <f ca="1">IF(History!AD$2="","",History!AD8*$C$19)</f>
        <v>19384.650000000001</v>
      </c>
      <c r="AA19" s="11">
        <f ca="1">IF(History!AE$2="","",History!AE8*$C$19)</f>
        <v>18956.37</v>
      </c>
      <c r="AB19" s="11">
        <f ca="1">IF(History!AF$2="","",History!AF8*$C$19)</f>
        <v>18918.190000000002</v>
      </c>
      <c r="AC19" s="11">
        <f ca="1">IF(History!AG$2="","",History!AG8*$C$19)</f>
        <v>19082.53</v>
      </c>
      <c r="AD19" s="11">
        <f ca="1">IF(History!AH$2="","",History!AH8*$C$19)</f>
        <v>19036.88</v>
      </c>
      <c r="AE19" s="11">
        <f ca="1">IF(History!AI$2="","",History!AI8*$C$19)</f>
        <v>18201.07</v>
      </c>
      <c r="AF19" s="11">
        <f ca="1">IF(History!AJ$2="","",History!AJ8*$C$19)</f>
        <v>18085.7</v>
      </c>
      <c r="AG19" s="11">
        <f ca="1">IF(History!AK$2="","",History!AK8*$C$19)</f>
        <v>18033.41</v>
      </c>
      <c r="AH19" s="11">
        <f ca="1">IF(History!AL$2="","",History!AL8*$C$19)</f>
        <v>17370.240000000002</v>
      </c>
      <c r="AI19" s="11">
        <f ca="1">IF(History!AM$2="","",History!AM8*$C$19)</f>
        <v>18604.45</v>
      </c>
      <c r="AJ19" s="11">
        <f ca="1">IF(History!AN$2="","",History!AN8*$C$19)</f>
        <v>18753.849999999999</v>
      </c>
      <c r="AK19" s="11">
        <f ca="1">IF(History!AO$2="","",History!AO8*$C$19)</f>
        <v>19011.150000000001</v>
      </c>
      <c r="AL19" s="11">
        <f ca="1">IF(History!AP$2="","",History!AP8*$C$19)</f>
        <v>19260.150000000001</v>
      </c>
      <c r="AM19" s="11">
        <f ca="1">IF(History!AQ$2="","",History!AQ8*$C$19)</f>
        <v>19141.46</v>
      </c>
      <c r="AN19" s="11">
        <f ca="1">IF(History!AR$2="","",History!AR8*$C$19)</f>
        <v>16032.279999999999</v>
      </c>
      <c r="AO19" s="11">
        <f ca="1">IF(History!AS$2="","",History!AS8*$C$19)</f>
        <v>15578.27</v>
      </c>
      <c r="AP19" s="11">
        <f ca="1">IF(History!AT$2="","",History!AT8*$C$19)</f>
        <v>15064.5</v>
      </c>
      <c r="AQ19" s="11">
        <f ca="1">IF(History!AU$2="","",History!AU8*$C$19)</f>
        <v>15091.890000000001</v>
      </c>
      <c r="AR19" s="11">
        <f ca="1">IF(History!AV$2="","",History!AV8*$C$19)</f>
        <v>15657.95</v>
      </c>
      <c r="AS19" s="11">
        <f ca="1">IF(History!AW$2="","",History!AW8*$C$19)</f>
        <v>15301.05</v>
      </c>
      <c r="AT19" s="11">
        <f ca="1">IF(History!AX$2="","",History!AX8*$C$19)</f>
        <v>14478.52</v>
      </c>
      <c r="AU19" s="11">
        <f ca="1">IF(History!AY$2="","",History!AY8*$C$19)</f>
        <v>14175.57</v>
      </c>
      <c r="AV19" s="11">
        <f ca="1">IF(History!AZ$2="","",History!AZ8*$C$19)</f>
        <v>14444.49</v>
      </c>
      <c r="AW19" s="11">
        <f ca="1">IF(History!BA$2="","",History!BA8*$C$19)</f>
        <v>15340.06</v>
      </c>
      <c r="AX19" s="11">
        <f ca="1">IF(History!BB$2="","",History!BB8*$C$19)</f>
        <v>15916.08</v>
      </c>
      <c r="AY19" s="11">
        <f ca="1">IF(History!BC$2="","",History!BC8*$C$19)</f>
        <v>16365.109999999999</v>
      </c>
      <c r="AZ19" s="11">
        <f ca="1">IF(History!BD$2="","",History!BD8*$C$19)</f>
        <v>16136.859999999999</v>
      </c>
      <c r="BA19" s="11">
        <f ca="1">IF(History!BE$2="","",History!BE8*$C$19)</f>
        <v>16606.64</v>
      </c>
      <c r="BB19" s="11">
        <f ca="1">IF(History!BF$2="","",History!BF8*$C$19)</f>
        <v>16372.58</v>
      </c>
      <c r="BC19" s="11">
        <f ca="1">IF(History!BG$2="","",History!BG8*$C$19)</f>
        <v>16413.25</v>
      </c>
      <c r="BD19" s="11">
        <f ca="1">IF(History!BH$2="","",History!BH8*$C$19)</f>
        <v>16258.039999999999</v>
      </c>
      <c r="BE19" s="11">
        <f ca="1">IF(History!BI$2="","",History!BI8*$C$19)</f>
        <v>16590.04</v>
      </c>
      <c r="BF19" s="11">
        <f ca="1">IF(History!BJ$2="","",History!BJ8*$C$19)</f>
        <v>17859.11</v>
      </c>
      <c r="BG19" s="11">
        <f ca="1">IF(History!BK$2="","",History!BK8*$C$19)</f>
        <v>17762.829999999998</v>
      </c>
      <c r="BH19" s="11">
        <f ca="1">IF(History!BL$2="","",History!BL8*$C$19)</f>
        <v>17634.18</v>
      </c>
      <c r="BI19" s="11">
        <f ca="1">IF(History!BM$2="","",History!BM8*$C$19)</f>
        <v>17991.079999999998</v>
      </c>
      <c r="BJ19" s="11">
        <f ca="1">IF(History!BN$2="","",History!BN8*$C$19)</f>
        <v>17929.66</v>
      </c>
      <c r="BK19" s="11">
        <f ca="1">IF(History!BO$2="","",History!BO8*$C$19)</f>
        <v>17628.37</v>
      </c>
      <c r="BL19" s="11">
        <f ca="1">IF(History!BP$2="","",History!BP8*$C$19)</f>
        <v>17220.84</v>
      </c>
      <c r="BM19" s="11">
        <f ca="1">IF(History!BQ$2="","",History!BQ8*$C$19)</f>
        <v>16943.62</v>
      </c>
      <c r="BN19" s="11">
        <f ca="1">IF(History!BR$2="","",History!BR8*$C$19)</f>
        <v>16297.880000000001</v>
      </c>
      <c r="BO19" s="11">
        <f ca="1">IF(History!BS$2="","",History!BS8*$C$19)</f>
        <v>16240.609999999999</v>
      </c>
      <c r="BP19" s="11">
        <f ca="1">IF(History!BT$2="","",History!BT8*$C$19)</f>
        <v>15912.76</v>
      </c>
      <c r="BQ19" s="11">
        <f ca="1">IF(History!BU$2="","",History!BU8*$C$19)</f>
        <v>16367.599999999999</v>
      </c>
      <c r="BR19" s="11">
        <f ca="1">IF(History!BV$2="","",History!BV8*$C$19)</f>
        <v>15891.18</v>
      </c>
      <c r="BS19" s="11">
        <f ca="1">IF(History!BW$2="","",History!BW8*$C$19)</f>
        <v>15615.619999999999</v>
      </c>
      <c r="BT19" s="11">
        <f ca="1">IF(History!BX$2="","",History!BX8*$C$19)</f>
        <v>16538.579999999998</v>
      </c>
      <c r="BU19" s="11">
        <f ca="1">IF(History!BY$2="","",History!BY8*$C$19)</f>
        <v>16033.109999999999</v>
      </c>
      <c r="BV19" s="11">
        <f ca="1">IF(History!BZ$2="","",History!BZ8*$C$19)</f>
        <v>15436.339999999998</v>
      </c>
      <c r="BW19" s="11">
        <f ca="1">IF(History!CA$2="","",History!CA8*$C$19)</f>
        <v>15269.51</v>
      </c>
      <c r="BX19" s="11">
        <f ca="1">IF(History!CB$2="","",History!CB8*$C$19)</f>
        <v>15280.3</v>
      </c>
      <c r="BY19" s="11">
        <f ca="1">IF(History!CC$2="","",History!CC8*$C$19)</f>
        <v>14958.26</v>
      </c>
      <c r="BZ19" s="11">
        <f ca="1">IF(History!CD$2="","",History!CD8*$C$19)</f>
        <v>14948.3</v>
      </c>
      <c r="CA19" s="11">
        <f ca="1">IF(History!CE$2="","",History!CE8*$C$19)</f>
        <v>15355</v>
      </c>
      <c r="CB19" s="11">
        <f ca="1">IF(History!CF$2="","",History!CF8*$C$19)</f>
        <v>15101.849999999999</v>
      </c>
      <c r="CC19" s="11">
        <f ca="1">IF(History!CG$2="","",History!CG8*$C$19)</f>
        <v>15569.970000000001</v>
      </c>
      <c r="CD19" s="11">
        <f ca="1">IF(History!CH$2="","",History!CH8*$C$19)</f>
        <v>15247.099999999999</v>
      </c>
      <c r="CE19" s="11">
        <f ca="1">IF(History!CI$2="","",History!CI8*$C$19)</f>
        <v>15619.77</v>
      </c>
      <c r="CF19" s="11" t="str">
        <f ca="1">IF(History!CJ$2="","",History!CJ8*$C$19)</f>
        <v/>
      </c>
      <c r="CG19" s="11" t="str">
        <f ca="1">IF(History!CK$2="","",History!CK8*$C$19)</f>
        <v/>
      </c>
      <c r="CH19" s="11" t="str">
        <f ca="1">IF(History!CL$2="","",History!CL8*$C$19)</f>
        <v/>
      </c>
      <c r="CI19" s="11" t="str">
        <f ca="1">IF(History!CM$2="","",History!CM8*$C$19)</f>
        <v/>
      </c>
      <c r="CJ19" s="11" t="str">
        <f ca="1">IF(History!CN$2="","",History!CN8*$C$19)</f>
        <v/>
      </c>
      <c r="CK19" s="11" t="str">
        <f ca="1">IF(History!CO$2="","",History!CO8*$C$19)</f>
        <v/>
      </c>
      <c r="CL19" s="11" t="str">
        <f ca="1">IF(History!CP$2="","",History!CP8*$C$19)</f>
        <v/>
      </c>
      <c r="CM19" s="11" t="str">
        <f ca="1">IF(History!CQ$2="","",History!CQ8*$C$19)</f>
        <v/>
      </c>
      <c r="CN19" s="11" t="str">
        <f ca="1">IF(History!CR$2="","",History!CR8*$C$19)</f>
        <v/>
      </c>
      <c r="CO19" s="11" t="str">
        <f ca="1">IF(History!CS$2="","",History!CS8*$C$19)</f>
        <v/>
      </c>
      <c r="CP19" s="11" t="str">
        <f ca="1">IF(History!CT$2="","",History!CT8*$C$19)</f>
        <v/>
      </c>
      <c r="CQ19" s="11" t="str">
        <f ca="1">IF(History!CU$2="","",History!CU8*$C$19)</f>
        <v/>
      </c>
      <c r="CR19" s="11" t="str">
        <f ca="1">IF(History!CV$2="","",History!CV8*$C$19)</f>
        <v/>
      </c>
      <c r="CS19" s="11" t="str">
        <f ca="1">IF(History!CW$2="","",History!CW8*$C$19)</f>
        <v/>
      </c>
      <c r="CT19" s="11" t="str">
        <f ca="1">IF(History!CX$2="","",History!CX8*$C$19)</f>
        <v/>
      </c>
      <c r="CU19" s="11" t="str">
        <f ca="1">IF(History!CY$2="","",History!CY8*$C$19)</f>
        <v/>
      </c>
      <c r="CV19" s="11" t="str">
        <f ca="1">IF(History!CZ$2="","",History!CZ8*$C$19)</f>
        <v/>
      </c>
      <c r="CW19" s="11" t="str">
        <f ca="1">IF(History!DA$2="","",History!DA8*$C$19)</f>
        <v/>
      </c>
      <c r="CX19" s="11" t="str">
        <f ca="1">IF(History!DB$2="","",History!DB8*$C$19)</f>
        <v/>
      </c>
      <c r="CY19" s="11" t="str">
        <f ca="1">IF(History!DC$2="","",History!DC8*$C$19)</f>
        <v/>
      </c>
      <c r="CZ19" s="11" t="str">
        <f ca="1">IF(History!DD$2="","",History!DD8*$C$19)</f>
        <v/>
      </c>
      <c r="DA19" s="11" t="str">
        <f ca="1">IF(History!DE$2="","",History!DE8*$C$19)</f>
        <v/>
      </c>
      <c r="DB19" s="11" t="str">
        <f ca="1">IF(History!DF$2="","",History!DF8*$C$19)</f>
        <v/>
      </c>
      <c r="DC19" s="11" t="str">
        <f ca="1">IF(History!DG$2="","",History!DG8*$C$19)</f>
        <v/>
      </c>
      <c r="DD19" s="11" t="str">
        <f ca="1">IF(History!DH$2="","",History!DH8*$C$19)</f>
        <v/>
      </c>
      <c r="DE19" s="11" t="str">
        <f ca="1">IF(History!DI$2="","",History!DI8*$C$19)</f>
        <v/>
      </c>
      <c r="DF19" s="11" t="str">
        <f ca="1">IF(History!DJ$2="","",History!DJ8*$C$19)</f>
        <v/>
      </c>
      <c r="DG19" s="11" t="str">
        <f ca="1">IF(History!DK$2="","",History!DK8*$C$19)</f>
        <v/>
      </c>
      <c r="DH19" s="11" t="str">
        <f ca="1">IF(History!DL$2="","",History!DL8*$C$19)</f>
        <v/>
      </c>
      <c r="DI19" s="11" t="str">
        <f ca="1">IF(History!DM$2="","",History!DM8*$C$19)</f>
        <v/>
      </c>
      <c r="DJ19" s="11" t="str">
        <f ca="1">IF(History!DN$2="","",History!DN8*$C$19)</f>
        <v/>
      </c>
      <c r="DK19" s="11" t="str">
        <f ca="1">IF(History!DO$2="","",History!DO8*$C$19)</f>
        <v/>
      </c>
      <c r="DL19" s="11" t="str">
        <f ca="1">IF(History!DP$2="","",History!DP8*$C$19)</f>
        <v/>
      </c>
      <c r="DM19" s="11" t="str">
        <f ca="1">IF(History!DQ$2="","",History!DQ8*$C$19)</f>
        <v/>
      </c>
      <c r="DN19" s="11" t="str">
        <f ca="1">IF(History!DR$2="","",History!DR8*$C$19)</f>
        <v/>
      </c>
      <c r="DO19" s="11" t="str">
        <f ca="1">IF(History!DS$2="","",History!DS8*$C$19)</f>
        <v/>
      </c>
      <c r="DP19" s="11" t="str">
        <f ca="1">IF(History!DT$2="","",History!DT8*$C$19)</f>
        <v/>
      </c>
      <c r="DQ19" s="11" t="str">
        <f ca="1">IF(History!DU$2="","",History!DU8*$C$19)</f>
        <v/>
      </c>
      <c r="DR19" s="11" t="str">
        <f ca="1">IF(History!DV$2="","",History!DV8*$C$19)</f>
        <v/>
      </c>
      <c r="DS19" s="11" t="str">
        <f ca="1">IF(History!DW$2="","",History!DW8*$C$19)</f>
        <v/>
      </c>
      <c r="DT19" s="11" t="str">
        <f ca="1">IF(History!DX$2="","",History!DX8*$C$19)</f>
        <v/>
      </c>
      <c r="DU19" s="11" t="str">
        <f ca="1">IF(History!DY$2="","",History!DY8*$C$19)</f>
        <v/>
      </c>
      <c r="DV19" s="11" t="str">
        <f ca="1">IF(History!DZ$2="","",History!DZ8*$C$19)</f>
        <v/>
      </c>
      <c r="DW19" s="11" t="str">
        <f ca="1">IF(History!EA$2="","",History!EA8*$C$19)</f>
        <v/>
      </c>
      <c r="DX19" s="11" t="str">
        <f ca="1">IF(History!EB$2="","",History!EB8*$C$19)</f>
        <v/>
      </c>
      <c r="DY19" s="11" t="str">
        <f ca="1">IF(History!EC$2="","",History!EC8*$C$19)</f>
        <v/>
      </c>
      <c r="DZ19" s="11" t="str">
        <f ca="1">IF(History!ED$2="","",History!ED8*$C$19)</f>
        <v/>
      </c>
      <c r="EA19" s="11" t="str">
        <f ca="1">IF(History!EE$2="","",History!EE8*$C$19)</f>
        <v/>
      </c>
      <c r="EB19" s="11" t="str">
        <f ca="1">IF(History!EF$2="","",History!EF8*$C$19)</f>
        <v/>
      </c>
      <c r="EC19" s="11" t="str">
        <f ca="1">IF(History!EG$2="","",History!EG8*$C$19)</f>
        <v/>
      </c>
      <c r="ED19" s="11" t="str">
        <f ca="1">IF(History!EH$2="","",History!EH8*$C$19)</f>
        <v/>
      </c>
      <c r="EE19" s="11" t="str">
        <f ca="1">IF(History!EI$2="","",History!EI8*$C$19)</f>
        <v/>
      </c>
      <c r="EF19" s="11" t="str">
        <f ca="1">IF(History!EJ$2="","",History!EJ8*$C$19)</f>
        <v/>
      </c>
      <c r="EG19" s="11" t="str">
        <f ca="1">IF(History!EK$2="","",History!EK8*$C$19)</f>
        <v/>
      </c>
      <c r="EH19" s="11" t="str">
        <f ca="1">IF(History!EL$2="","",History!EL8*$C$19)</f>
        <v/>
      </c>
      <c r="EI19" s="11" t="str">
        <f ca="1">IF(History!EM$2="","",History!EM8*$C$19)</f>
        <v/>
      </c>
      <c r="EJ19" s="11" t="str">
        <f ca="1">IF(History!EN$2="","",History!EN8*$C$19)</f>
        <v/>
      </c>
      <c r="EK19" s="11" t="str">
        <f ca="1">IF(History!EO$2="","",History!EO8*$C$19)</f>
        <v/>
      </c>
      <c r="EL19" s="11" t="str">
        <f ca="1">IF(History!EP$2="","",History!EP8*$C$19)</f>
        <v/>
      </c>
      <c r="EM19" s="11" t="str">
        <f ca="1">IF(History!EQ$2="","",History!EQ8*$C$19)</f>
        <v/>
      </c>
      <c r="EN19" s="11" t="str">
        <f ca="1">IF(History!ER$2="","",History!ER8*$C$19)</f>
        <v/>
      </c>
      <c r="EO19" s="11" t="str">
        <f ca="1">IF(History!ES$2="","",History!ES8*$C$19)</f>
        <v/>
      </c>
      <c r="EP19" s="11" t="str">
        <f ca="1">IF(History!ET$2="","",History!ET8*$C$19)</f>
        <v/>
      </c>
      <c r="EQ19" s="11" t="str">
        <f ca="1">IF(History!EU$2="","",History!EU8*$C$19)</f>
        <v/>
      </c>
      <c r="ER19" s="11" t="str">
        <f ca="1">IF(History!EV$2="","",History!EV8*$C$19)</f>
        <v/>
      </c>
      <c r="ES19" s="11" t="str">
        <f ca="1">IF(History!EW$2="","",History!EW8*$C$19)</f>
        <v/>
      </c>
      <c r="ET19" s="11" t="str">
        <f ca="1">IF(History!EX$2="","",History!EX8*$C$19)</f>
        <v/>
      </c>
      <c r="EU19" s="11" t="str">
        <f ca="1">IF(History!EY$2="","",History!EY8*$C$19)</f>
        <v/>
      </c>
      <c r="EV19" s="11" t="str">
        <f ca="1">IF(History!EZ$2="","",History!EZ8*$C$19)</f>
        <v/>
      </c>
      <c r="EW19" s="11" t="str">
        <f ca="1">IF(History!FA$2="","",History!FA8*$C$19)</f>
        <v/>
      </c>
      <c r="EX19" s="11" t="str">
        <f ca="1">IF(History!FB$2="","",History!FB8*$C$19)</f>
        <v/>
      </c>
      <c r="EY19" s="11" t="str">
        <f ca="1">IF(History!FC$2="","",History!FC8*$C$19)</f>
        <v/>
      </c>
      <c r="EZ19" s="11" t="str">
        <f ca="1">IF(History!FD$2="","",History!FD8*$C$19)</f>
        <v/>
      </c>
      <c r="FA19" s="11" t="str">
        <f ca="1">IF(History!FE$2="","",History!FE8*$C$19)</f>
        <v/>
      </c>
      <c r="FB19" s="11" t="str">
        <f ca="1">IF(History!FF$2="","",History!FF8*$C$19)</f>
        <v/>
      </c>
      <c r="FC19" s="11" t="str">
        <f ca="1">IF(History!FG$2="","",History!FG8*$C$19)</f>
        <v/>
      </c>
      <c r="FD19" s="11" t="str">
        <f ca="1">IF(History!FH$2="","",History!FH8*$C$19)</f>
        <v/>
      </c>
      <c r="FE19" s="11" t="str">
        <f ca="1">IF(History!FI$2="","",History!FI8*$C$19)</f>
        <v/>
      </c>
      <c r="FF19" s="11" t="str">
        <f ca="1">IF(History!FJ$2="","",History!FJ8*$C$19)</f>
        <v/>
      </c>
      <c r="FG19" s="11" t="str">
        <f ca="1">IF(History!FK$2="","",History!FK8*$C$19)</f>
        <v/>
      </c>
      <c r="FH19" s="11" t="str">
        <f ca="1">IF(History!FL$2="","",History!FL8*$C$19)</f>
        <v/>
      </c>
      <c r="FI19" s="11" t="str">
        <f ca="1">IF(History!FM$2="","",History!FM8*$C$19)</f>
        <v/>
      </c>
      <c r="FJ19" s="11" t="str">
        <f ca="1">IF(History!FN$2="","",History!FN8*$C$19)</f>
        <v/>
      </c>
      <c r="FK19" s="11" t="str">
        <f ca="1">IF(History!FO$2="","",History!FO8*$C$19)</f>
        <v/>
      </c>
      <c r="FL19" s="11" t="str">
        <f ca="1">IF(History!FP$2="","",History!FP8*$C$19)</f>
        <v/>
      </c>
      <c r="FM19" s="11" t="str">
        <f ca="1">IF(History!FQ$2="","",History!FQ8*$C$19)</f>
        <v/>
      </c>
      <c r="FN19" s="11" t="str">
        <f ca="1">IF(History!FR$2="","",History!FR8*$C$19)</f>
        <v/>
      </c>
      <c r="FO19" s="11" t="str">
        <f ca="1">IF(History!FS$2="","",History!FS8*$C$19)</f>
        <v/>
      </c>
      <c r="FP19" s="11" t="str">
        <f ca="1">IF(History!FT$2="","",History!FT8*$C$19)</f>
        <v/>
      </c>
      <c r="FQ19" s="11" t="str">
        <f ca="1">IF(History!FU$2="","",History!FU8*$C$19)</f>
        <v/>
      </c>
      <c r="FR19" s="11" t="str">
        <f ca="1">IF(History!FV$2="","",History!FV8*$C$19)</f>
        <v/>
      </c>
      <c r="FS19" s="11" t="str">
        <f ca="1">IF(History!FW$2="","",History!FW8*$C$19)</f>
        <v/>
      </c>
      <c r="FT19" s="11" t="str">
        <f ca="1">IF(History!FX$2="","",History!FX8*$C$19)</f>
        <v/>
      </c>
      <c r="FU19" s="11" t="str">
        <f ca="1">IF(History!FY$2="","",History!FY8*$C$19)</f>
        <v/>
      </c>
      <c r="FV19" s="11" t="str">
        <f ca="1">IF(History!FZ$2="","",History!FZ8*$C$19)</f>
        <v/>
      </c>
      <c r="FW19" s="11" t="str">
        <f ca="1">IF(History!GA$2="","",History!GA8*$C$19)</f>
        <v/>
      </c>
      <c r="FX19" s="11" t="str">
        <f ca="1">IF(History!GB$2="","",History!GB8*$C$19)</f>
        <v/>
      </c>
      <c r="FY19" s="11" t="str">
        <f ca="1">IF(History!GC$2="","",History!GC8*$C$19)</f>
        <v/>
      </c>
      <c r="FZ19" s="11" t="str">
        <f ca="1">IF(History!GD$2="","",History!GD8*$C$19)</f>
        <v/>
      </c>
      <c r="GA19" s="11" t="str">
        <f ca="1">IF(History!GE$2="","",History!GE8*$C$19)</f>
        <v/>
      </c>
      <c r="GB19" s="11" t="str">
        <f ca="1">IF(History!GF$2="","",History!GF8*$C$19)</f>
        <v/>
      </c>
      <c r="GC19" s="11" t="str">
        <f ca="1">IF(History!GG$2="","",History!GG8*$C$19)</f>
        <v/>
      </c>
      <c r="GD19" s="11" t="str">
        <f ca="1">IF(History!GH$2="","",History!GH8*$C$19)</f>
        <v/>
      </c>
      <c r="GE19" s="11" t="str">
        <f ca="1">IF(History!GI$2="","",History!GI8*$C$19)</f>
        <v/>
      </c>
      <c r="GF19" s="11" t="str">
        <f ca="1">IF(History!GJ$2="","",History!GJ8*$C$19)</f>
        <v/>
      </c>
      <c r="GG19" s="11" t="str">
        <f ca="1">IF(History!GK$2="","",History!GK8*$C$19)</f>
        <v/>
      </c>
      <c r="GH19" s="11" t="str">
        <f ca="1">IF(History!GL$2="","",History!GL8*$C$19)</f>
        <v/>
      </c>
      <c r="GI19" s="11" t="str">
        <f ca="1">IF(History!GM$2="","",History!GM8*$C$19)</f>
        <v/>
      </c>
      <c r="GJ19" s="11" t="str">
        <f ca="1">IF(History!GN$2="","",History!GN8*$C$19)</f>
        <v/>
      </c>
      <c r="GK19" s="11" t="str">
        <f ca="1">IF(History!GO$2="","",History!GO8*$C$19)</f>
        <v/>
      </c>
      <c r="GL19" s="11" t="str">
        <f ca="1">IF(History!GP$2="","",History!GP8*$C$19)</f>
        <v/>
      </c>
      <c r="GM19" s="11" t="str">
        <f ca="1">IF(History!GQ$2="","",History!GQ8*$C$19)</f>
        <v/>
      </c>
      <c r="GN19" s="11" t="str">
        <f ca="1">IF(History!GR$2="","",History!GR8*$C$19)</f>
        <v/>
      </c>
      <c r="GO19" s="11" t="str">
        <f ca="1">IF(History!GS$2="","",History!GS8*$C$19)</f>
        <v/>
      </c>
      <c r="GP19" s="11" t="str">
        <f ca="1">IF(History!GT$2="","",History!GT8*$C$19)</f>
        <v/>
      </c>
      <c r="GQ19" s="11" t="str">
        <f ca="1">IF(History!GU$2="","",History!GU8*$C$19)</f>
        <v/>
      </c>
      <c r="GR19" s="11" t="str">
        <f ca="1">IF(History!GV$2="","",History!GV8*$C$19)</f>
        <v/>
      </c>
      <c r="GS19" s="11" t="str">
        <f ca="1">IF(History!GW$2="","",History!GW8*$C$19)</f>
        <v/>
      </c>
      <c r="GT19" s="11" t="str">
        <f ca="1">IF(History!GX$2="","",History!GX8*$C$19)</f>
        <v/>
      </c>
      <c r="GU19" s="11" t="str">
        <f ca="1">IF(History!GY$2="","",History!GY8*$C$19)</f>
        <v/>
      </c>
      <c r="GV19" s="11" t="str">
        <f ca="1">IF(History!GZ$2="","",History!GZ8*$C$19)</f>
        <v/>
      </c>
      <c r="GW19" s="11" t="str">
        <f ca="1">IF(History!HA$2="","",History!HA8*$C$19)</f>
        <v/>
      </c>
      <c r="GX19" s="11" t="str">
        <f ca="1">IF(History!HB$2="","",History!HB8*$C$19)</f>
        <v/>
      </c>
      <c r="GY19" s="11" t="str">
        <f ca="1">IF(History!HC$2="","",History!HC8*$C$19)</f>
        <v/>
      </c>
      <c r="GZ19" s="11" t="str">
        <f ca="1">IF(History!HD$2="","",History!HD8*$C$19)</f>
        <v/>
      </c>
      <c r="HA19" s="11" t="str">
        <f ca="1">IF(History!HE$2="","",History!HE8*$C$19)</f>
        <v/>
      </c>
      <c r="HB19" s="11" t="str">
        <f ca="1">IF(History!HF$2="","",History!HF8*$C$19)</f>
        <v/>
      </c>
      <c r="HC19" s="11" t="str">
        <f ca="1">IF(History!HG$2="","",History!HG8*$C$19)</f>
        <v/>
      </c>
      <c r="HD19" s="11" t="str">
        <f ca="1">IF(History!HH$2="","",History!HH8*$C$19)</f>
        <v/>
      </c>
      <c r="HE19" s="11" t="str">
        <f ca="1">IF(History!HI$2="","",History!HI8*$C$19)</f>
        <v/>
      </c>
      <c r="HF19" s="11" t="str">
        <f ca="1">IF(History!HJ$2="","",History!HJ8*$C$19)</f>
        <v/>
      </c>
      <c r="HG19" s="11" t="str">
        <f ca="1">IF(History!HK$2="","",History!HK8*$C$19)</f>
        <v/>
      </c>
      <c r="HH19" s="11" t="str">
        <f ca="1">IF(History!HL$2="","",History!HL8*$C$19)</f>
        <v/>
      </c>
      <c r="HI19" s="11" t="str">
        <f ca="1">IF(History!HM$2="","",History!HM8*$C$19)</f>
        <v/>
      </c>
      <c r="HJ19" s="11" t="str">
        <f ca="1">IF(History!HN$2="","",History!HN8*$C$19)</f>
        <v/>
      </c>
      <c r="HK19" s="11" t="str">
        <f ca="1">IF(History!HO$2="","",History!HO8*$C$19)</f>
        <v/>
      </c>
      <c r="HL19" s="11" t="str">
        <f ca="1">IF(History!HP$2="","",History!HP8*$C$19)</f>
        <v/>
      </c>
      <c r="HM19" s="11" t="str">
        <f ca="1">IF(History!HQ$2="","",History!HQ8*$C$19)</f>
        <v/>
      </c>
      <c r="HN19" s="11" t="str">
        <f ca="1">IF(History!HR$2="","",History!HR8*$C$19)</f>
        <v/>
      </c>
      <c r="HO19" s="11" t="str">
        <f ca="1">IF(History!HS$2="","",History!HS8*$C$19)</f>
        <v/>
      </c>
      <c r="HP19" s="11" t="str">
        <f ca="1">IF(History!HT$2="","",History!HT8*$C$19)</f>
        <v/>
      </c>
      <c r="HQ19" s="11" t="str">
        <f ca="1">IF(History!HU$2="","",History!HU8*$C$19)</f>
        <v/>
      </c>
      <c r="HR19" s="11" t="str">
        <f ca="1">IF(History!HV$2="","",History!HV8*$C$19)</f>
        <v/>
      </c>
      <c r="HS19" s="11" t="str">
        <f ca="1">IF(History!HW$2="","",History!HW8*$C$19)</f>
        <v/>
      </c>
      <c r="HT19" s="11" t="str">
        <f ca="1">IF(History!HX$2="","",History!HX8*$C$19)</f>
        <v/>
      </c>
      <c r="HU19" s="11" t="str">
        <f ca="1">IF(History!HY$2="","",History!HY8*$C$19)</f>
        <v/>
      </c>
      <c r="HV19" s="11" t="str">
        <f ca="1">IF(History!HZ$2="","",History!HZ8*$C$19)</f>
        <v/>
      </c>
      <c r="HW19" s="11" t="str">
        <f ca="1">IF(History!IA$2="","",History!IA8*$C$19)</f>
        <v/>
      </c>
      <c r="HX19" s="11" t="str">
        <f ca="1">IF(History!IB$2="","",History!IB8*$C$19)</f>
        <v/>
      </c>
      <c r="HY19" s="11" t="str">
        <f ca="1">IF(History!IC$2="","",History!IC8*$C$19)</f>
        <v/>
      </c>
      <c r="HZ19" s="11" t="str">
        <f ca="1">IF(History!ID$2="","",History!ID8*$C$19)</f>
        <v/>
      </c>
      <c r="IA19" s="11" t="str">
        <f ca="1">IF(History!IE$2="","",History!IE8*$C$19)</f>
        <v/>
      </c>
      <c r="IB19" s="11" t="str">
        <f ca="1">IF(History!IF$2="","",History!IF8*$C$19)</f>
        <v/>
      </c>
      <c r="IC19" s="11" t="str">
        <f ca="1">IF(History!IG$2="","",History!IG8*$C$19)</f>
        <v/>
      </c>
      <c r="ID19" s="11" t="str">
        <f ca="1">IF(History!IH$2="","",History!IH8*$C$19)</f>
        <v/>
      </c>
      <c r="IE19" s="11" t="str">
        <f ca="1">IF(History!II$2="","",History!II8*$C$19)</f>
        <v/>
      </c>
      <c r="IF19" s="11" t="str">
        <f ca="1">IF(History!IJ$2="","",History!IJ8*$C$19)</f>
        <v/>
      </c>
      <c r="IG19" s="11" t="str">
        <f ca="1">IF(History!IK$2="","",History!IK8*$C$19)</f>
        <v/>
      </c>
      <c r="IH19" s="11" t="str">
        <f ca="1">IF(History!IL$2="","",History!IL8*$C$19)</f>
        <v/>
      </c>
      <c r="II19" s="11" t="str">
        <f ca="1">IF(History!IM$2="","",History!IM8*$C$19)</f>
        <v/>
      </c>
      <c r="IJ19" s="11" t="str">
        <f ca="1">IF(History!IN$2="","",History!IN8*$C$19)</f>
        <v/>
      </c>
      <c r="IK19" s="11" t="str">
        <f ca="1">IF(History!IO$2="","",History!IO8*$C$19)</f>
        <v/>
      </c>
      <c r="IL19" s="11" t="str">
        <f ca="1">IF(History!IP$2="","",History!IP8*$C$19)</f>
        <v/>
      </c>
      <c r="IM19" s="11" t="str">
        <f ca="1">IF(History!IQ$2="","",History!IQ8*$C$19)</f>
        <v/>
      </c>
      <c r="IN19" s="11" t="str">
        <f ca="1">IF(History!IR$2="","",History!IR8*$C$19)</f>
        <v/>
      </c>
      <c r="IO19" s="11" t="str">
        <f ca="1">IF(History!IS$2="","",History!IS8*$C$19)</f>
        <v/>
      </c>
      <c r="IP19" s="11" t="str">
        <f ca="1">IF(History!IT$2="","",History!IT8*$C$19)</f>
        <v/>
      </c>
      <c r="IQ19" s="11" t="str">
        <f ca="1">IF(History!IU$2="","",History!IU8*$C$19)</f>
        <v/>
      </c>
      <c r="IR19" s="11" t="str">
        <f ca="1">IF(History!IV$2="","",History!IV8*$C$19)</f>
        <v/>
      </c>
      <c r="IS19" s="11" t="str">
        <f ca="1">IF(History!IW$2="","",History!IW8*$C$19)</f>
        <v/>
      </c>
      <c r="IT19" s="11" t="str">
        <f ca="1">IF(History!IX$2="","",History!IX8*$C$19)</f>
        <v/>
      </c>
      <c r="IU19" s="11" t="str">
        <f ca="1">IF(History!IY$2="","",History!IY8*$C$19)</f>
        <v/>
      </c>
      <c r="IV19" s="11" t="str">
        <f ca="1">IF(History!IZ$2="","",History!IZ8*$C$19)</f>
        <v/>
      </c>
      <c r="IW19" s="11" t="str">
        <f ca="1">IF(History!JA$2="","",History!JA8*$C$19)</f>
        <v/>
      </c>
      <c r="IX19" s="11" t="str">
        <f ca="1">IF(History!JB$2="","",History!JB8*$C$19)</f>
        <v/>
      </c>
      <c r="IY19" s="11" t="str">
        <f ca="1">IF(History!JC$2="","",History!JC8*$C$19)</f>
        <v/>
      </c>
      <c r="IZ19" s="11" t="str">
        <f ca="1">IF(History!JD$2="","",History!JD8*$C$19)</f>
        <v/>
      </c>
      <c r="JA19" s="11" t="str">
        <f ca="1">IF(History!JE$2="","",History!JE8*$C$19)</f>
        <v/>
      </c>
      <c r="JB19" s="11" t="str">
        <f ca="1">IF(History!JF$2="","",History!JF8*$C$19)</f>
        <v/>
      </c>
      <c r="JC19" s="11" t="str">
        <f ca="1">IF(History!JG$2="","",History!JG8*$C$19)</f>
        <v/>
      </c>
      <c r="JD19" s="11" t="str">
        <f ca="1">IF(History!JH$2="","",History!JH8*$C$19)</f>
        <v/>
      </c>
      <c r="JE19" s="11" t="str">
        <f ca="1">IF(History!JI$2="","",History!JI8*$C$19)</f>
        <v/>
      </c>
      <c r="JF19" s="11" t="str">
        <f ca="1">IF(History!JJ$2="","",History!JJ8*$C$19)</f>
        <v/>
      </c>
      <c r="JG19" s="11" t="str">
        <f ca="1">IF(History!JK$2="","",History!JK8*$C$19)</f>
        <v/>
      </c>
      <c r="JH19" s="11" t="str">
        <f ca="1">IF(History!JL$2="","",History!JL8*$C$19)</f>
        <v/>
      </c>
      <c r="JI19" s="11" t="str">
        <f ca="1">IF(History!JM$2="","",History!JM8*$C$19)</f>
        <v/>
      </c>
      <c r="JJ19" s="11" t="str">
        <f ca="1">IF(History!JN$2="","",History!JN8*$C$19)</f>
        <v/>
      </c>
      <c r="JK19" s="11" t="str">
        <f ca="1">IF(History!JO$2="","",History!JO8*$C$19)</f>
        <v/>
      </c>
      <c r="JL19" s="11" t="str">
        <f ca="1">IF(History!JP$2="","",History!JP8*$C$19)</f>
        <v/>
      </c>
      <c r="JM19" s="11" t="str">
        <f ca="1">IF(History!JQ$2="","",History!JQ8*$C$19)</f>
        <v/>
      </c>
      <c r="JN19" s="11" t="str">
        <f ca="1">IF(History!JR$2="","",History!JR8*$C$19)</f>
        <v/>
      </c>
      <c r="JO19" s="11" t="str">
        <f ca="1">IF(History!JS$2="","",History!JS8*$C$19)</f>
        <v/>
      </c>
      <c r="JP19" s="11" t="str">
        <f ca="1">IF(History!JT$2="","",History!JT8*$C$19)</f>
        <v/>
      </c>
      <c r="JQ19" s="11" t="str">
        <f ca="1">IF(History!JU$2="","",History!JU8*$C$19)</f>
        <v/>
      </c>
      <c r="JR19" s="11" t="str">
        <f ca="1">IF(History!JV$2="","",History!JV8*$C$19)</f>
        <v/>
      </c>
      <c r="JS19" s="11" t="str">
        <f ca="1">IF(History!JW$2="","",History!JW8*$C$19)</f>
        <v/>
      </c>
      <c r="JT19" s="11" t="str">
        <f ca="1">IF(History!JX$2="","",History!JX8*$C$19)</f>
        <v/>
      </c>
      <c r="JU19" s="11" t="str">
        <f ca="1">IF(History!JY$2="","",History!JY8*$C$19)</f>
        <v/>
      </c>
      <c r="JV19" s="11" t="str">
        <f ca="1">IF(History!JZ$2="","",History!JZ8*$C$19)</f>
        <v/>
      </c>
      <c r="JW19" s="11" t="str">
        <f ca="1">IF(History!KA$2="","",History!KA8*$C$19)</f>
        <v/>
      </c>
      <c r="JX19" s="11" t="str">
        <f ca="1">IF(History!KB$2="","",History!KB8*$C$19)</f>
        <v/>
      </c>
      <c r="JY19" s="11" t="str">
        <f ca="1">IF(History!KC$2="","",History!KC8*$C$19)</f>
        <v/>
      </c>
      <c r="JZ19" s="11" t="str">
        <f ca="1">IF(History!KD$2="","",History!KD8*$C$19)</f>
        <v/>
      </c>
      <c r="KA19" s="11" t="str">
        <f ca="1">IF(History!KE$2="","",History!KE8*$C$19)</f>
        <v/>
      </c>
      <c r="KB19" s="11" t="str">
        <f ca="1">IF(History!KF$2="","",History!KF8*$C$19)</f>
        <v/>
      </c>
    </row>
    <row r="20" spans="1:288" ht="15.75" customHeight="1">
      <c r="A20" s="22" t="s">
        <v>30</v>
      </c>
      <c r="B20" s="6" t="s">
        <v>53</v>
      </c>
      <c r="C20" s="26">
        <v>334</v>
      </c>
      <c r="D20" s="11">
        <f ca="1">IF(History!H$2="","",History!H9*$C$20)</f>
        <v>19331.920000000002</v>
      </c>
      <c r="E20" s="11">
        <f ca="1">IF(History!I$2="","",History!I9*$C$20)</f>
        <v>19405.400000000001</v>
      </c>
      <c r="F20" s="11">
        <f ca="1">IF(History!J$2="","",History!J9*$C$20)</f>
        <v>19505.599999999999</v>
      </c>
      <c r="G20" s="11">
        <f ca="1">IF(History!K$2="","",History!K9*$C$20)</f>
        <v>19405.400000000001</v>
      </c>
      <c r="H20" s="11">
        <f ca="1">IF(History!L$2="","",History!L9*$C$20)</f>
        <v>19655.900000000001</v>
      </c>
      <c r="I20" s="11">
        <f ca="1">IF(History!M$2="","",History!M9*$C$20)</f>
        <v>19986.560000000001</v>
      </c>
      <c r="J20" s="11">
        <f ca="1">IF(History!N$2="","",History!N9*$C$20)</f>
        <v>19866.32</v>
      </c>
      <c r="K20" s="11">
        <f ca="1">IF(History!O$2="","",History!O9*$C$20)</f>
        <v>20096.78</v>
      </c>
      <c r="L20" s="11">
        <f ca="1">IF(History!P$2="","",History!P9*$C$20)</f>
        <v>19739.400000000001</v>
      </c>
      <c r="M20" s="11">
        <f ca="1">IF(History!Q$2="","",History!Q9*$C$20)</f>
        <v>19027.98</v>
      </c>
      <c r="N20" s="11">
        <f ca="1">IF(History!R$2="","",History!R9*$C$20)</f>
        <v>19321.900000000001</v>
      </c>
      <c r="O20" s="11">
        <f ca="1">IF(History!S$2="","",History!S9*$C$20)</f>
        <v>19078.079999999998</v>
      </c>
      <c r="P20" s="11">
        <f ca="1">IF(History!T$2="","",History!T9*$C$20)</f>
        <v>19879.68</v>
      </c>
      <c r="Q20" s="11">
        <f ca="1">IF(History!U$2="","",History!U9*$C$20)</f>
        <v>19806.2</v>
      </c>
      <c r="R20" s="11">
        <f ca="1">IF(History!V$2="","",History!V9*$C$20)</f>
        <v>19442.14</v>
      </c>
      <c r="S20" s="11">
        <f ca="1">IF(History!W$2="","",History!W9*$C$20)</f>
        <v>19265.12</v>
      </c>
      <c r="T20" s="11">
        <f ca="1">IF(History!X$2="","",History!X9*$C$20)</f>
        <v>19709.34</v>
      </c>
      <c r="U20" s="11">
        <f ca="1">IF(History!Y$2="","",History!Y9*$C$20)</f>
        <v>19148.22</v>
      </c>
      <c r="V20" s="11">
        <f ca="1">IF(History!Z$2="","",History!Z9*$C$20)</f>
        <v>18610.48</v>
      </c>
      <c r="W20" s="11">
        <f ca="1">IF(History!AA$2="","",History!AA9*$C$20)</f>
        <v>18931.12</v>
      </c>
      <c r="X20" s="11">
        <f ca="1">IF(History!AB$2="","",History!AB9*$C$20)</f>
        <v>18921.099999999999</v>
      </c>
      <c r="Y20" s="11">
        <f ca="1">IF(History!AC$2="","",History!AC9*$C$20)</f>
        <v>19104.8</v>
      </c>
      <c r="Z20" s="11">
        <f ca="1">IF(History!AD$2="","",History!AD9*$C$20)</f>
        <v>19572.400000000001</v>
      </c>
      <c r="AA20" s="11">
        <f ca="1">IF(History!AE$2="","",History!AE9*$C$20)</f>
        <v>19385.36</v>
      </c>
      <c r="AB20" s="11">
        <f ca="1">IF(History!AF$2="","",History!AF9*$C$20)</f>
        <v>19218.36</v>
      </c>
      <c r="AC20" s="11">
        <f ca="1">IF(History!AG$2="","",History!AG9*$C$20)</f>
        <v>20140.2</v>
      </c>
      <c r="AD20" s="11">
        <f ca="1">IF(History!AH$2="","",History!AH9*$C$20)</f>
        <v>20320.560000000001</v>
      </c>
      <c r="AE20" s="11">
        <f ca="1">IF(History!AI$2="","",History!AI9*$C$20)</f>
        <v>20370.66</v>
      </c>
      <c r="AF20" s="11">
        <f ca="1">IF(History!AJ$2="","",History!AJ9*$C$20)</f>
        <v>19993.240000000002</v>
      </c>
      <c r="AG20" s="11">
        <f ca="1">IF(History!AK$2="","",History!AK9*$C$20)</f>
        <v>20310.54</v>
      </c>
      <c r="AH20" s="11">
        <f ca="1">IF(History!AL$2="","",History!AL9*$C$20)</f>
        <v>20220.36</v>
      </c>
      <c r="AI20" s="11">
        <f ca="1">IF(History!AM$2="","",History!AM9*$C$20)</f>
        <v>19415.420000000002</v>
      </c>
      <c r="AJ20" s="11">
        <f ca="1">IF(History!AN$2="","",History!AN9*$C$20)</f>
        <v>20233.72</v>
      </c>
      <c r="AK20" s="11">
        <f ca="1">IF(History!AO$2="","",History!AO9*$C$20)</f>
        <v>20333.920000000002</v>
      </c>
      <c r="AL20" s="11">
        <f ca="1">IF(History!AP$2="","",History!AP9*$C$20)</f>
        <v>20487.560000000001</v>
      </c>
      <c r="AM20" s="11">
        <f ca="1">IF(History!AQ$2="","",History!AQ9*$C$20)</f>
        <v>20708</v>
      </c>
      <c r="AN20" s="11">
        <f ca="1">IF(History!AR$2="","",History!AR9*$C$20)</f>
        <v>20063.38</v>
      </c>
      <c r="AO20" s="11">
        <f ca="1">IF(History!AS$2="","",History!AS9*$C$20)</f>
        <v>19194.98</v>
      </c>
      <c r="AP20" s="11">
        <f ca="1">IF(History!AT$2="","",History!AT9*$C$20)</f>
        <v>18871</v>
      </c>
      <c r="AQ20" s="11">
        <f ca="1">IF(History!AU$2="","",History!AU9*$C$20)</f>
        <v>19268.46</v>
      </c>
      <c r="AR20" s="11">
        <f ca="1">IF(History!AV$2="","",History!AV9*$C$20)</f>
        <v>20183.62</v>
      </c>
      <c r="AS20" s="11">
        <f ca="1">IF(History!AW$2="","",History!AW9*$C$20)</f>
        <v>20340.599999999999</v>
      </c>
      <c r="AT20" s="11">
        <f ca="1">IF(History!AX$2="","",History!AX9*$C$20)</f>
        <v>20140.2</v>
      </c>
      <c r="AU20" s="11">
        <f ca="1">IF(History!AY$2="","",History!AY9*$C$20)</f>
        <v>20170.259999999998</v>
      </c>
      <c r="AV20" s="11">
        <f ca="1">IF(History!AZ$2="","",History!AZ9*$C$20)</f>
        <v>20497.579999999998</v>
      </c>
      <c r="AW20" s="11">
        <f ca="1">IF(History!BA$2="","",History!BA9*$C$20)</f>
        <v>20694.64</v>
      </c>
      <c r="AX20" s="11">
        <f ca="1">IF(History!BB$2="","",History!BB9*$C$20)</f>
        <v>21265.78</v>
      </c>
      <c r="AY20" s="11">
        <f ca="1">IF(History!BC$2="","",History!BC9*$C$20)</f>
        <v>21118.82</v>
      </c>
      <c r="AZ20" s="11">
        <f ca="1">IF(History!BD$2="","",History!BD9*$C$20)</f>
        <v>21202.32</v>
      </c>
      <c r="BA20" s="11">
        <f ca="1">IF(History!BE$2="","",History!BE9*$C$20)</f>
        <v>21262.44</v>
      </c>
      <c r="BB20" s="11">
        <f ca="1">IF(History!BF$2="","",History!BF9*$C$20)</f>
        <v>21482.879999999997</v>
      </c>
      <c r="BC20" s="11">
        <f ca="1">IF(History!BG$2="","",History!BG9*$C$20)</f>
        <v>22050.68</v>
      </c>
      <c r="BD20" s="11">
        <f ca="1">IF(History!BH$2="","",History!BH9*$C$20)</f>
        <v>21753.42</v>
      </c>
      <c r="BE20" s="11">
        <f ca="1">IF(History!BI$2="","",History!BI9*$C$20)</f>
        <v>21836.92</v>
      </c>
      <c r="BF20" s="11">
        <f ca="1">IF(History!BJ$2="","",History!BJ9*$C$20)</f>
        <v>22027.3</v>
      </c>
      <c r="BG20" s="11">
        <f ca="1">IF(History!BK$2="","",History!BK9*$C$20)</f>
        <v>22418.080000000002</v>
      </c>
      <c r="BH20" s="11">
        <f ca="1">IF(History!BL$2="","",History!BL9*$C$20)</f>
        <v>22157.56</v>
      </c>
      <c r="BI20" s="11">
        <f ca="1">IF(History!BM$2="","",History!BM9*$C$20)</f>
        <v>22314.54</v>
      </c>
      <c r="BJ20" s="11">
        <f ca="1">IF(History!BN$2="","",History!BN9*$C$20)</f>
        <v>22267.78</v>
      </c>
      <c r="BK20" s="11">
        <f ca="1">IF(History!BO$2="","",History!BO9*$C$20)</f>
        <v>22394.7</v>
      </c>
      <c r="BL20" s="11">
        <f ca="1">IF(History!BP$2="","",History!BP9*$C$20)</f>
        <v>23069.379999999997</v>
      </c>
      <c r="BM20" s="11">
        <f ca="1">IF(History!BQ$2="","",History!BQ9*$C$20)</f>
        <v>23717.34</v>
      </c>
      <c r="BN20" s="11">
        <f ca="1">IF(History!BR$2="","",History!BR9*$C$20)</f>
        <v>23760.76</v>
      </c>
      <c r="BO20" s="11">
        <f ca="1">IF(History!BS$2="","",History!BS9*$C$20)</f>
        <v>23590.42</v>
      </c>
      <c r="BP20" s="11">
        <f ca="1">IF(History!BT$2="","",History!BT9*$C$20)</f>
        <v>22915.74</v>
      </c>
      <c r="BQ20" s="11">
        <f ca="1">IF(History!BU$2="","",History!BU9*$C$20)</f>
        <v>23035.98</v>
      </c>
      <c r="BR20" s="11">
        <f ca="1">IF(History!BV$2="","",History!BV9*$C$20)</f>
        <v>23062.7</v>
      </c>
      <c r="BS20" s="11">
        <f ca="1">IF(History!BW$2="","",History!BW9*$C$20)</f>
        <v>22915.74</v>
      </c>
      <c r="BT20" s="11">
        <f ca="1">IF(History!BX$2="","",History!BX9*$C$20)</f>
        <v>22805.52</v>
      </c>
      <c r="BU20" s="11">
        <f ca="1">IF(History!BY$2="","",History!BY9*$C$20)</f>
        <v>22995.899999999998</v>
      </c>
      <c r="BV20" s="11">
        <f ca="1">IF(History!BZ$2="","",History!BZ9*$C$20)</f>
        <v>22508.26</v>
      </c>
      <c r="BW20" s="11">
        <f ca="1">IF(History!CA$2="","",History!CA9*$C$20)</f>
        <v>21997.24</v>
      </c>
      <c r="BX20" s="11">
        <f ca="1">IF(History!CB$2="","",History!CB9*$C$20)</f>
        <v>22030.639999999999</v>
      </c>
      <c r="BY20" s="11">
        <f ca="1">IF(History!CC$2="","",History!CC9*$C$20)</f>
        <v>21730.04</v>
      </c>
      <c r="BZ20" s="11">
        <f ca="1">IF(History!CD$2="","",History!CD9*$C$20)</f>
        <v>22107.46</v>
      </c>
      <c r="CA20" s="11">
        <f ca="1">IF(History!CE$2="","",History!CE9*$C$20)</f>
        <v>22451.48</v>
      </c>
      <c r="CB20" s="11">
        <f ca="1">IF(History!CF$2="","",History!CF9*$C$20)</f>
        <v>22177.600000000002</v>
      </c>
      <c r="CC20" s="11">
        <f ca="1">IF(History!CG$2="","",History!CG9*$C$20)</f>
        <v>22187.620000000003</v>
      </c>
      <c r="CD20" s="11">
        <f ca="1">IF(History!CH$2="","",History!CH9*$C$20)</f>
        <v>22434.78</v>
      </c>
      <c r="CE20" s="11">
        <f ca="1">IF(History!CI$2="","",History!CI9*$C$20)</f>
        <v>22294.5</v>
      </c>
      <c r="CF20" s="11" t="str">
        <f ca="1">IF(History!CJ$2="","",History!CJ9*$C$20)</f>
        <v/>
      </c>
      <c r="CG20" s="11" t="str">
        <f ca="1">IF(History!CK$2="","",History!CK9*$C$20)</f>
        <v/>
      </c>
      <c r="CH20" s="11" t="str">
        <f ca="1">IF(History!CL$2="","",History!CL9*$C$20)</f>
        <v/>
      </c>
      <c r="CI20" s="11" t="str">
        <f ca="1">IF(History!CM$2="","",History!CM9*$C$20)</f>
        <v/>
      </c>
      <c r="CJ20" s="11" t="str">
        <f ca="1">IF(History!CN$2="","",History!CN9*$C$20)</f>
        <v/>
      </c>
      <c r="CK20" s="11" t="str">
        <f ca="1">IF(History!CO$2="","",History!CO9*$C$20)</f>
        <v/>
      </c>
      <c r="CL20" s="11" t="str">
        <f ca="1">IF(History!CP$2="","",History!CP9*$C$20)</f>
        <v/>
      </c>
      <c r="CM20" s="11" t="str">
        <f ca="1">IF(History!CQ$2="","",History!CQ9*$C$20)</f>
        <v/>
      </c>
      <c r="CN20" s="11" t="str">
        <f ca="1">IF(History!CR$2="","",History!CR9*$C$20)</f>
        <v/>
      </c>
      <c r="CO20" s="11" t="str">
        <f ca="1">IF(History!CS$2="","",History!CS9*$C$20)</f>
        <v/>
      </c>
      <c r="CP20" s="11" t="str">
        <f ca="1">IF(History!CT$2="","",History!CT9*$C$20)</f>
        <v/>
      </c>
      <c r="CQ20" s="11" t="str">
        <f ca="1">IF(History!CU$2="","",History!CU9*$C$20)</f>
        <v/>
      </c>
      <c r="CR20" s="11" t="str">
        <f ca="1">IF(History!CV$2="","",History!CV9*$C$20)</f>
        <v/>
      </c>
      <c r="CS20" s="11" t="str">
        <f ca="1">IF(History!CW$2="","",History!CW9*$C$20)</f>
        <v/>
      </c>
      <c r="CT20" s="11" t="str">
        <f ca="1">IF(History!CX$2="","",History!CX9*$C$20)</f>
        <v/>
      </c>
      <c r="CU20" s="11" t="str">
        <f ca="1">IF(History!CY$2="","",History!CY9*$C$20)</f>
        <v/>
      </c>
      <c r="CV20" s="11" t="str">
        <f ca="1">IF(History!CZ$2="","",History!CZ9*$C$20)</f>
        <v/>
      </c>
      <c r="CW20" s="11" t="str">
        <f ca="1">IF(History!DA$2="","",History!DA9*$C$20)</f>
        <v/>
      </c>
      <c r="CX20" s="11" t="str">
        <f ca="1">IF(History!DB$2="","",History!DB9*$C$20)</f>
        <v/>
      </c>
      <c r="CY20" s="11" t="str">
        <f ca="1">IF(History!DC$2="","",History!DC9*$C$20)</f>
        <v/>
      </c>
      <c r="CZ20" s="11" t="str">
        <f ca="1">IF(History!DD$2="","",History!DD9*$C$20)</f>
        <v/>
      </c>
      <c r="DA20" s="11" t="str">
        <f ca="1">IF(History!DE$2="","",History!DE9*$C$20)</f>
        <v/>
      </c>
      <c r="DB20" s="11" t="str">
        <f ca="1">IF(History!DF$2="","",History!DF9*$C$20)</f>
        <v/>
      </c>
      <c r="DC20" s="11" t="str">
        <f ca="1">IF(History!DG$2="","",History!DG9*$C$20)</f>
        <v/>
      </c>
      <c r="DD20" s="11" t="str">
        <f ca="1">IF(History!DH$2="","",History!DH9*$C$20)</f>
        <v/>
      </c>
      <c r="DE20" s="11" t="str">
        <f ca="1">IF(History!DI$2="","",History!DI9*$C$20)</f>
        <v/>
      </c>
      <c r="DF20" s="11" t="str">
        <f ca="1">IF(History!DJ$2="","",History!DJ9*$C$20)</f>
        <v/>
      </c>
      <c r="DG20" s="11" t="str">
        <f ca="1">IF(History!DK$2="","",History!DK9*$C$20)</f>
        <v/>
      </c>
      <c r="DH20" s="11" t="str">
        <f ca="1">IF(History!DL$2="","",History!DL9*$C$20)</f>
        <v/>
      </c>
      <c r="DI20" s="11" t="str">
        <f ca="1">IF(History!DM$2="","",History!DM9*$C$20)</f>
        <v/>
      </c>
      <c r="DJ20" s="11" t="str">
        <f ca="1">IF(History!DN$2="","",History!DN9*$C$20)</f>
        <v/>
      </c>
      <c r="DK20" s="11" t="str">
        <f ca="1">IF(History!DO$2="","",History!DO9*$C$20)</f>
        <v/>
      </c>
      <c r="DL20" s="11" t="str">
        <f ca="1">IF(History!DP$2="","",History!DP9*$C$20)</f>
        <v/>
      </c>
      <c r="DM20" s="11" t="str">
        <f ca="1">IF(History!DQ$2="","",History!DQ9*$C$20)</f>
        <v/>
      </c>
      <c r="DN20" s="11" t="str">
        <f ca="1">IF(History!DR$2="","",History!DR9*$C$20)</f>
        <v/>
      </c>
      <c r="DO20" s="11" t="str">
        <f ca="1">IF(History!DS$2="","",History!DS9*$C$20)</f>
        <v/>
      </c>
      <c r="DP20" s="11" t="str">
        <f ca="1">IF(History!DT$2="","",History!DT9*$C$20)</f>
        <v/>
      </c>
      <c r="DQ20" s="11" t="str">
        <f ca="1">IF(History!DU$2="","",History!DU9*$C$20)</f>
        <v/>
      </c>
      <c r="DR20" s="11" t="str">
        <f ca="1">IF(History!DV$2="","",History!DV9*$C$20)</f>
        <v/>
      </c>
      <c r="DS20" s="11" t="str">
        <f ca="1">IF(History!DW$2="","",History!DW9*$C$20)</f>
        <v/>
      </c>
      <c r="DT20" s="11" t="str">
        <f ca="1">IF(History!DX$2="","",History!DX9*$C$20)</f>
        <v/>
      </c>
      <c r="DU20" s="11" t="str">
        <f ca="1">IF(History!DY$2="","",History!DY9*$C$20)</f>
        <v/>
      </c>
      <c r="DV20" s="11" t="str">
        <f ca="1">IF(History!DZ$2="","",History!DZ9*$C$20)</f>
        <v/>
      </c>
      <c r="DW20" s="11" t="str">
        <f ca="1">IF(History!EA$2="","",History!EA9*$C$20)</f>
        <v/>
      </c>
      <c r="DX20" s="11" t="str">
        <f ca="1">IF(History!EB$2="","",History!EB9*$C$20)</f>
        <v/>
      </c>
      <c r="DY20" s="11" t="str">
        <f ca="1">IF(History!EC$2="","",History!EC9*$C$20)</f>
        <v/>
      </c>
      <c r="DZ20" s="11" t="str">
        <f ca="1">IF(History!ED$2="","",History!ED9*$C$20)</f>
        <v/>
      </c>
      <c r="EA20" s="11" t="str">
        <f ca="1">IF(History!EE$2="","",History!EE9*$C$20)</f>
        <v/>
      </c>
      <c r="EB20" s="11" t="str">
        <f ca="1">IF(History!EF$2="","",History!EF9*$C$20)</f>
        <v/>
      </c>
      <c r="EC20" s="11" t="str">
        <f ca="1">IF(History!EG$2="","",History!EG9*$C$20)</f>
        <v/>
      </c>
      <c r="ED20" s="11" t="str">
        <f ca="1">IF(History!EH$2="","",History!EH9*$C$20)</f>
        <v/>
      </c>
      <c r="EE20" s="11" t="str">
        <f ca="1">IF(History!EI$2="","",History!EI9*$C$20)</f>
        <v/>
      </c>
      <c r="EF20" s="11" t="str">
        <f ca="1">IF(History!EJ$2="","",History!EJ9*$C$20)</f>
        <v/>
      </c>
      <c r="EG20" s="11" t="str">
        <f ca="1">IF(History!EK$2="","",History!EK9*$C$20)</f>
        <v/>
      </c>
      <c r="EH20" s="11" t="str">
        <f ca="1">IF(History!EL$2="","",History!EL9*$C$20)</f>
        <v/>
      </c>
      <c r="EI20" s="11" t="str">
        <f ca="1">IF(History!EM$2="","",History!EM9*$C$20)</f>
        <v/>
      </c>
      <c r="EJ20" s="11" t="str">
        <f ca="1">IF(History!EN$2="","",History!EN9*$C$20)</f>
        <v/>
      </c>
      <c r="EK20" s="11" t="str">
        <f ca="1">IF(History!EO$2="","",History!EO9*$C$20)</f>
        <v/>
      </c>
      <c r="EL20" s="11" t="str">
        <f ca="1">IF(History!EP$2="","",History!EP9*$C$20)</f>
        <v/>
      </c>
      <c r="EM20" s="11" t="str">
        <f ca="1">IF(History!EQ$2="","",History!EQ9*$C$20)</f>
        <v/>
      </c>
      <c r="EN20" s="11" t="str">
        <f ca="1">IF(History!ER$2="","",History!ER9*$C$20)</f>
        <v/>
      </c>
      <c r="EO20" s="11" t="str">
        <f ca="1">IF(History!ES$2="","",History!ES9*$C$20)</f>
        <v/>
      </c>
      <c r="EP20" s="11" t="str">
        <f ca="1">IF(History!ET$2="","",History!ET9*$C$20)</f>
        <v/>
      </c>
      <c r="EQ20" s="11" t="str">
        <f ca="1">IF(History!EU$2="","",History!EU9*$C$20)</f>
        <v/>
      </c>
      <c r="ER20" s="11" t="str">
        <f ca="1">IF(History!EV$2="","",History!EV9*$C$20)</f>
        <v/>
      </c>
      <c r="ES20" s="11" t="str">
        <f ca="1">IF(History!EW$2="","",History!EW9*$C$20)</f>
        <v/>
      </c>
      <c r="ET20" s="11" t="str">
        <f ca="1">IF(History!EX$2="","",History!EX9*$C$20)</f>
        <v/>
      </c>
      <c r="EU20" s="11" t="str">
        <f ca="1">IF(History!EY$2="","",History!EY9*$C$20)</f>
        <v/>
      </c>
      <c r="EV20" s="11" t="str">
        <f ca="1">IF(History!EZ$2="","",History!EZ9*$C$20)</f>
        <v/>
      </c>
      <c r="EW20" s="11" t="str">
        <f ca="1">IF(History!FA$2="","",History!FA9*$C$20)</f>
        <v/>
      </c>
      <c r="EX20" s="11" t="str">
        <f ca="1">IF(History!FB$2="","",History!FB9*$C$20)</f>
        <v/>
      </c>
      <c r="EY20" s="11" t="str">
        <f ca="1">IF(History!FC$2="","",History!FC9*$C$20)</f>
        <v/>
      </c>
      <c r="EZ20" s="11" t="str">
        <f ca="1">IF(History!FD$2="","",History!FD9*$C$20)</f>
        <v/>
      </c>
      <c r="FA20" s="11" t="str">
        <f ca="1">IF(History!FE$2="","",History!FE9*$C$20)</f>
        <v/>
      </c>
      <c r="FB20" s="11" t="str">
        <f ca="1">IF(History!FF$2="","",History!FF9*$C$20)</f>
        <v/>
      </c>
      <c r="FC20" s="11" t="str">
        <f ca="1">IF(History!FG$2="","",History!FG9*$C$20)</f>
        <v/>
      </c>
      <c r="FD20" s="11" t="str">
        <f ca="1">IF(History!FH$2="","",History!FH9*$C$20)</f>
        <v/>
      </c>
      <c r="FE20" s="11" t="str">
        <f ca="1">IF(History!FI$2="","",History!FI9*$C$20)</f>
        <v/>
      </c>
      <c r="FF20" s="11" t="str">
        <f ca="1">IF(History!FJ$2="","",History!FJ9*$C$20)</f>
        <v/>
      </c>
      <c r="FG20" s="11" t="str">
        <f ca="1">IF(History!FK$2="","",History!FK9*$C$20)</f>
        <v/>
      </c>
      <c r="FH20" s="11" t="str">
        <f ca="1">IF(History!FL$2="","",History!FL9*$C$20)</f>
        <v/>
      </c>
      <c r="FI20" s="11" t="str">
        <f ca="1">IF(History!FM$2="","",History!FM9*$C$20)</f>
        <v/>
      </c>
      <c r="FJ20" s="11" t="str">
        <f ca="1">IF(History!FN$2="","",History!FN9*$C$20)</f>
        <v/>
      </c>
      <c r="FK20" s="11" t="str">
        <f ca="1">IF(History!FO$2="","",History!FO9*$C$20)</f>
        <v/>
      </c>
      <c r="FL20" s="11" t="str">
        <f ca="1">IF(History!FP$2="","",History!FP9*$C$20)</f>
        <v/>
      </c>
      <c r="FM20" s="11" t="str">
        <f ca="1">IF(History!FQ$2="","",History!FQ9*$C$20)</f>
        <v/>
      </c>
      <c r="FN20" s="11" t="str">
        <f ca="1">IF(History!FR$2="","",History!FR9*$C$20)</f>
        <v/>
      </c>
      <c r="FO20" s="11" t="str">
        <f ca="1">IF(History!FS$2="","",History!FS9*$C$20)</f>
        <v/>
      </c>
      <c r="FP20" s="11" t="str">
        <f ca="1">IF(History!FT$2="","",History!FT9*$C$20)</f>
        <v/>
      </c>
      <c r="FQ20" s="11" t="str">
        <f ca="1">IF(History!FU$2="","",History!FU9*$C$20)</f>
        <v/>
      </c>
      <c r="FR20" s="11" t="str">
        <f ca="1">IF(History!FV$2="","",History!FV9*$C$20)</f>
        <v/>
      </c>
      <c r="FS20" s="11" t="str">
        <f ca="1">IF(History!FW$2="","",History!FW9*$C$20)</f>
        <v/>
      </c>
      <c r="FT20" s="11" t="str">
        <f ca="1">IF(History!FX$2="","",History!FX9*$C$20)</f>
        <v/>
      </c>
      <c r="FU20" s="11" t="str">
        <f ca="1">IF(History!FY$2="","",History!FY9*$C$20)</f>
        <v/>
      </c>
      <c r="FV20" s="11" t="str">
        <f ca="1">IF(History!FZ$2="","",History!FZ9*$C$20)</f>
        <v/>
      </c>
      <c r="FW20" s="11" t="str">
        <f ca="1">IF(History!GA$2="","",History!GA9*$C$20)</f>
        <v/>
      </c>
      <c r="FX20" s="11" t="str">
        <f ca="1">IF(History!GB$2="","",History!GB9*$C$20)</f>
        <v/>
      </c>
      <c r="FY20" s="11" t="str">
        <f ca="1">IF(History!GC$2="","",History!GC9*$C$20)</f>
        <v/>
      </c>
      <c r="FZ20" s="11" t="str">
        <f ca="1">IF(History!GD$2="","",History!GD9*$C$20)</f>
        <v/>
      </c>
      <c r="GA20" s="11" t="str">
        <f ca="1">IF(History!GE$2="","",History!GE9*$C$20)</f>
        <v/>
      </c>
      <c r="GB20" s="11" t="str">
        <f ca="1">IF(History!GF$2="","",History!GF9*$C$20)</f>
        <v/>
      </c>
      <c r="GC20" s="11" t="str">
        <f ca="1">IF(History!GG$2="","",History!GG9*$C$20)</f>
        <v/>
      </c>
      <c r="GD20" s="11" t="str">
        <f ca="1">IF(History!GH$2="","",History!GH9*$C$20)</f>
        <v/>
      </c>
      <c r="GE20" s="11" t="str">
        <f ca="1">IF(History!GI$2="","",History!GI9*$C$20)</f>
        <v/>
      </c>
      <c r="GF20" s="11" t="str">
        <f ca="1">IF(History!GJ$2="","",History!GJ9*$C$20)</f>
        <v/>
      </c>
      <c r="GG20" s="11" t="str">
        <f ca="1">IF(History!GK$2="","",History!GK9*$C$20)</f>
        <v/>
      </c>
      <c r="GH20" s="11" t="str">
        <f ca="1">IF(History!GL$2="","",History!GL9*$C$20)</f>
        <v/>
      </c>
      <c r="GI20" s="11" t="str">
        <f ca="1">IF(History!GM$2="","",History!GM9*$C$20)</f>
        <v/>
      </c>
      <c r="GJ20" s="11" t="str">
        <f ca="1">IF(History!GN$2="","",History!GN9*$C$20)</f>
        <v/>
      </c>
      <c r="GK20" s="11" t="str">
        <f ca="1">IF(History!GO$2="","",History!GO9*$C$20)</f>
        <v/>
      </c>
      <c r="GL20" s="11" t="str">
        <f ca="1">IF(History!GP$2="","",History!GP9*$C$20)</f>
        <v/>
      </c>
      <c r="GM20" s="11" t="str">
        <f ca="1">IF(History!GQ$2="","",History!GQ9*$C$20)</f>
        <v/>
      </c>
      <c r="GN20" s="11" t="str">
        <f ca="1">IF(History!GR$2="","",History!GR9*$C$20)</f>
        <v/>
      </c>
      <c r="GO20" s="11" t="str">
        <f ca="1">IF(History!GS$2="","",History!GS9*$C$20)</f>
        <v/>
      </c>
      <c r="GP20" s="11" t="str">
        <f ca="1">IF(History!GT$2="","",History!GT9*$C$20)</f>
        <v/>
      </c>
      <c r="GQ20" s="11" t="str">
        <f ca="1">IF(History!GU$2="","",History!GU9*$C$20)</f>
        <v/>
      </c>
      <c r="GR20" s="11" t="str">
        <f ca="1">IF(History!GV$2="","",History!GV9*$C$20)</f>
        <v/>
      </c>
      <c r="GS20" s="11" t="str">
        <f ca="1">IF(History!GW$2="","",History!GW9*$C$20)</f>
        <v/>
      </c>
      <c r="GT20" s="11" t="str">
        <f ca="1">IF(History!GX$2="","",History!GX9*$C$20)</f>
        <v/>
      </c>
      <c r="GU20" s="11" t="str">
        <f ca="1">IF(History!GY$2="","",History!GY9*$C$20)</f>
        <v/>
      </c>
      <c r="GV20" s="11" t="str">
        <f ca="1">IF(History!GZ$2="","",History!GZ9*$C$20)</f>
        <v/>
      </c>
      <c r="GW20" s="11" t="str">
        <f ca="1">IF(History!HA$2="","",History!HA9*$C$20)</f>
        <v/>
      </c>
      <c r="GX20" s="11" t="str">
        <f ca="1">IF(History!HB$2="","",History!HB9*$C$20)</f>
        <v/>
      </c>
      <c r="GY20" s="11" t="str">
        <f ca="1">IF(History!HC$2="","",History!HC9*$C$20)</f>
        <v/>
      </c>
      <c r="GZ20" s="11" t="str">
        <f ca="1">IF(History!HD$2="","",History!HD9*$C$20)</f>
        <v/>
      </c>
      <c r="HA20" s="11" t="str">
        <f ca="1">IF(History!HE$2="","",History!HE9*$C$20)</f>
        <v/>
      </c>
      <c r="HB20" s="11" t="str">
        <f ca="1">IF(History!HF$2="","",History!HF9*$C$20)</f>
        <v/>
      </c>
      <c r="HC20" s="11" t="str">
        <f ca="1">IF(History!HG$2="","",History!HG9*$C$20)</f>
        <v/>
      </c>
      <c r="HD20" s="11" t="str">
        <f ca="1">IF(History!HH$2="","",History!HH9*$C$20)</f>
        <v/>
      </c>
      <c r="HE20" s="11" t="str">
        <f ca="1">IF(History!HI$2="","",History!HI9*$C$20)</f>
        <v/>
      </c>
      <c r="HF20" s="11" t="str">
        <f ca="1">IF(History!HJ$2="","",History!HJ9*$C$20)</f>
        <v/>
      </c>
      <c r="HG20" s="11" t="str">
        <f ca="1">IF(History!HK$2="","",History!HK9*$C$20)</f>
        <v/>
      </c>
      <c r="HH20" s="11" t="str">
        <f ca="1">IF(History!HL$2="","",History!HL9*$C$20)</f>
        <v/>
      </c>
      <c r="HI20" s="11" t="str">
        <f ca="1">IF(History!HM$2="","",History!HM9*$C$20)</f>
        <v/>
      </c>
      <c r="HJ20" s="11" t="str">
        <f ca="1">IF(History!HN$2="","",History!HN9*$C$20)</f>
        <v/>
      </c>
      <c r="HK20" s="11" t="str">
        <f ca="1">IF(History!HO$2="","",History!HO9*$C$20)</f>
        <v/>
      </c>
      <c r="HL20" s="11" t="str">
        <f ca="1">IF(History!HP$2="","",History!HP9*$C$20)</f>
        <v/>
      </c>
      <c r="HM20" s="11" t="str">
        <f ca="1">IF(History!HQ$2="","",History!HQ9*$C$20)</f>
        <v/>
      </c>
      <c r="HN20" s="11" t="str">
        <f ca="1">IF(History!HR$2="","",History!HR9*$C$20)</f>
        <v/>
      </c>
      <c r="HO20" s="11" t="str">
        <f ca="1">IF(History!HS$2="","",History!HS9*$C$20)</f>
        <v/>
      </c>
      <c r="HP20" s="11" t="str">
        <f ca="1">IF(History!HT$2="","",History!HT9*$C$20)</f>
        <v/>
      </c>
      <c r="HQ20" s="11" t="str">
        <f ca="1">IF(History!HU$2="","",History!HU9*$C$20)</f>
        <v/>
      </c>
      <c r="HR20" s="11" t="str">
        <f ca="1">IF(History!HV$2="","",History!HV9*$C$20)</f>
        <v/>
      </c>
      <c r="HS20" s="11" t="str">
        <f ca="1">IF(History!HW$2="","",History!HW9*$C$20)</f>
        <v/>
      </c>
      <c r="HT20" s="11" t="str">
        <f ca="1">IF(History!HX$2="","",History!HX9*$C$20)</f>
        <v/>
      </c>
      <c r="HU20" s="11" t="str">
        <f ca="1">IF(History!HY$2="","",History!HY9*$C$20)</f>
        <v/>
      </c>
      <c r="HV20" s="11" t="str">
        <f ca="1">IF(History!HZ$2="","",History!HZ9*$C$20)</f>
        <v/>
      </c>
      <c r="HW20" s="11" t="str">
        <f ca="1">IF(History!IA$2="","",History!IA9*$C$20)</f>
        <v/>
      </c>
      <c r="HX20" s="11" t="str">
        <f ca="1">IF(History!IB$2="","",History!IB9*$C$20)</f>
        <v/>
      </c>
      <c r="HY20" s="11" t="str">
        <f ca="1">IF(History!IC$2="","",History!IC9*$C$20)</f>
        <v/>
      </c>
      <c r="HZ20" s="11" t="str">
        <f ca="1">IF(History!ID$2="","",History!ID9*$C$20)</f>
        <v/>
      </c>
      <c r="IA20" s="11" t="str">
        <f ca="1">IF(History!IE$2="","",History!IE9*$C$20)</f>
        <v/>
      </c>
      <c r="IB20" s="11" t="str">
        <f ca="1">IF(History!IF$2="","",History!IF9*$C$20)</f>
        <v/>
      </c>
      <c r="IC20" s="11" t="str">
        <f ca="1">IF(History!IG$2="","",History!IG9*$C$20)</f>
        <v/>
      </c>
      <c r="ID20" s="11" t="str">
        <f ca="1">IF(History!IH$2="","",History!IH9*$C$20)</f>
        <v/>
      </c>
      <c r="IE20" s="11" t="str">
        <f ca="1">IF(History!II$2="","",History!II9*$C$20)</f>
        <v/>
      </c>
      <c r="IF20" s="11" t="str">
        <f ca="1">IF(History!IJ$2="","",History!IJ9*$C$20)</f>
        <v/>
      </c>
      <c r="IG20" s="11" t="str">
        <f ca="1">IF(History!IK$2="","",History!IK9*$C$20)</f>
        <v/>
      </c>
      <c r="IH20" s="11" t="str">
        <f ca="1">IF(History!IL$2="","",History!IL9*$C$20)</f>
        <v/>
      </c>
      <c r="II20" s="11" t="str">
        <f ca="1">IF(History!IM$2="","",History!IM9*$C$20)</f>
        <v/>
      </c>
      <c r="IJ20" s="11" t="str">
        <f ca="1">IF(History!IN$2="","",History!IN9*$C$20)</f>
        <v/>
      </c>
      <c r="IK20" s="11" t="str">
        <f ca="1">IF(History!IO$2="","",History!IO9*$C$20)</f>
        <v/>
      </c>
      <c r="IL20" s="11" t="str">
        <f ca="1">IF(History!IP$2="","",History!IP9*$C$20)</f>
        <v/>
      </c>
      <c r="IM20" s="11" t="str">
        <f ca="1">IF(History!IQ$2="","",History!IQ9*$C$20)</f>
        <v/>
      </c>
      <c r="IN20" s="11" t="str">
        <f ca="1">IF(History!IR$2="","",History!IR9*$C$20)</f>
        <v/>
      </c>
      <c r="IO20" s="11" t="str">
        <f ca="1">IF(History!IS$2="","",History!IS9*$C$20)</f>
        <v/>
      </c>
      <c r="IP20" s="11" t="str">
        <f ca="1">IF(History!IT$2="","",History!IT9*$C$20)</f>
        <v/>
      </c>
      <c r="IQ20" s="11" t="str">
        <f ca="1">IF(History!IU$2="","",History!IU9*$C$20)</f>
        <v/>
      </c>
      <c r="IR20" s="11" t="str">
        <f ca="1">IF(History!IV$2="","",History!IV9*$C$20)</f>
        <v/>
      </c>
      <c r="IS20" s="11" t="str">
        <f ca="1">IF(History!IW$2="","",History!IW9*$C$20)</f>
        <v/>
      </c>
      <c r="IT20" s="11" t="str">
        <f ca="1">IF(History!IX$2="","",History!IX9*$C$20)</f>
        <v/>
      </c>
      <c r="IU20" s="11" t="str">
        <f ca="1">IF(History!IY$2="","",History!IY9*$C$20)</f>
        <v/>
      </c>
      <c r="IV20" s="11" t="str">
        <f ca="1">IF(History!IZ$2="","",History!IZ9*$C$20)</f>
        <v/>
      </c>
      <c r="IW20" s="11" t="str">
        <f ca="1">IF(History!JA$2="","",History!JA9*$C$20)</f>
        <v/>
      </c>
      <c r="IX20" s="11" t="str">
        <f ca="1">IF(History!JB$2="","",History!JB9*$C$20)</f>
        <v/>
      </c>
      <c r="IY20" s="11" t="str">
        <f ca="1">IF(History!JC$2="","",History!JC9*$C$20)</f>
        <v/>
      </c>
      <c r="IZ20" s="11" t="str">
        <f ca="1">IF(History!JD$2="","",History!JD9*$C$20)</f>
        <v/>
      </c>
      <c r="JA20" s="11" t="str">
        <f ca="1">IF(History!JE$2="","",History!JE9*$C$20)</f>
        <v/>
      </c>
      <c r="JB20" s="11" t="str">
        <f ca="1">IF(History!JF$2="","",History!JF9*$C$20)</f>
        <v/>
      </c>
      <c r="JC20" s="11" t="str">
        <f ca="1">IF(History!JG$2="","",History!JG9*$C$20)</f>
        <v/>
      </c>
      <c r="JD20" s="11" t="str">
        <f ca="1">IF(History!JH$2="","",History!JH9*$C$20)</f>
        <v/>
      </c>
      <c r="JE20" s="11" t="str">
        <f ca="1">IF(History!JI$2="","",History!JI9*$C$20)</f>
        <v/>
      </c>
      <c r="JF20" s="11" t="str">
        <f ca="1">IF(History!JJ$2="","",History!JJ9*$C$20)</f>
        <v/>
      </c>
      <c r="JG20" s="11" t="str">
        <f ca="1">IF(History!JK$2="","",History!JK9*$C$20)</f>
        <v/>
      </c>
      <c r="JH20" s="11" t="str">
        <f ca="1">IF(History!JL$2="","",History!JL9*$C$20)</f>
        <v/>
      </c>
      <c r="JI20" s="11" t="str">
        <f ca="1">IF(History!JM$2="","",History!JM9*$C$20)</f>
        <v/>
      </c>
      <c r="JJ20" s="11" t="str">
        <f ca="1">IF(History!JN$2="","",History!JN9*$C$20)</f>
        <v/>
      </c>
      <c r="JK20" s="11" t="str">
        <f ca="1">IF(History!JO$2="","",History!JO9*$C$20)</f>
        <v/>
      </c>
      <c r="JL20" s="11" t="str">
        <f ca="1">IF(History!JP$2="","",History!JP9*$C$20)</f>
        <v/>
      </c>
      <c r="JM20" s="11" t="str">
        <f ca="1">IF(History!JQ$2="","",History!JQ9*$C$20)</f>
        <v/>
      </c>
      <c r="JN20" s="11" t="str">
        <f ca="1">IF(History!JR$2="","",History!JR9*$C$20)</f>
        <v/>
      </c>
      <c r="JO20" s="11" t="str">
        <f ca="1">IF(History!JS$2="","",History!JS9*$C$20)</f>
        <v/>
      </c>
      <c r="JP20" s="11" t="str">
        <f ca="1">IF(History!JT$2="","",History!JT9*$C$20)</f>
        <v/>
      </c>
      <c r="JQ20" s="11" t="str">
        <f ca="1">IF(History!JU$2="","",History!JU9*$C$20)</f>
        <v/>
      </c>
      <c r="JR20" s="11" t="str">
        <f ca="1">IF(History!JV$2="","",History!JV9*$C$20)</f>
        <v/>
      </c>
      <c r="JS20" s="11" t="str">
        <f ca="1">IF(History!JW$2="","",History!JW9*$C$20)</f>
        <v/>
      </c>
      <c r="JT20" s="11" t="str">
        <f ca="1">IF(History!JX$2="","",History!JX9*$C$20)</f>
        <v/>
      </c>
      <c r="JU20" s="11" t="str">
        <f ca="1">IF(History!JY$2="","",History!JY9*$C$20)</f>
        <v/>
      </c>
      <c r="JV20" s="11" t="str">
        <f ca="1">IF(History!JZ$2="","",History!JZ9*$C$20)</f>
        <v/>
      </c>
      <c r="JW20" s="11" t="str">
        <f ca="1">IF(History!KA$2="","",History!KA9*$C$20)</f>
        <v/>
      </c>
      <c r="JX20" s="11" t="str">
        <f ca="1">IF(History!KB$2="","",History!KB9*$C$20)</f>
        <v/>
      </c>
      <c r="JY20" s="11" t="str">
        <f ca="1">IF(History!KC$2="","",History!KC9*$C$20)</f>
        <v/>
      </c>
      <c r="JZ20" s="11" t="str">
        <f ca="1">IF(History!KD$2="","",History!KD9*$C$20)</f>
        <v/>
      </c>
      <c r="KA20" s="11" t="str">
        <f ca="1">IF(History!KE$2="","",History!KE9*$C$20)</f>
        <v/>
      </c>
      <c r="KB20" s="11" t="str">
        <f ca="1">IF(History!KF$2="","",History!KF9*$C$20)</f>
        <v/>
      </c>
    </row>
    <row r="21" spans="1:288" ht="15.75" customHeight="1">
      <c r="A21" s="22" t="s">
        <v>30</v>
      </c>
      <c r="B21" s="6" t="s">
        <v>54</v>
      </c>
      <c r="C21" s="26">
        <v>91</v>
      </c>
      <c r="D21" s="11">
        <f ca="1">IF(History!H$2="","",History!H10*$C$21)</f>
        <v>9099.09</v>
      </c>
      <c r="E21" s="11">
        <f ca="1">IF(History!I$2="","",History!I10*$C$21)</f>
        <v>9140.9500000000007</v>
      </c>
      <c r="F21" s="11">
        <f ca="1">IF(History!J$2="","",History!J10*$C$21)</f>
        <v>9277.4500000000007</v>
      </c>
      <c r="G21" s="11">
        <f ca="1">IF(History!K$2="","",History!K10*$C$21)</f>
        <v>9022.65</v>
      </c>
      <c r="H21" s="11">
        <f ca="1">IF(History!L$2="","",History!L10*$C$21)</f>
        <v>9137.31</v>
      </c>
      <c r="I21" s="11">
        <f ca="1">IF(History!M$2="","",History!M10*$C$21)</f>
        <v>8816.08</v>
      </c>
      <c r="J21" s="11">
        <f ca="1">IF(History!N$2="","",History!N10*$C$21)</f>
        <v>8878.869999999999</v>
      </c>
      <c r="K21" s="11">
        <f ca="1">IF(History!O$2="","",History!O10*$C$21)</f>
        <v>8889.7899999999991</v>
      </c>
      <c r="L21" s="11">
        <f ca="1">IF(History!P$2="","",History!P10*$C$21)</f>
        <v>8621.34</v>
      </c>
      <c r="M21" s="11">
        <f ca="1">IF(History!Q$2="","",History!Q10*$C$21)</f>
        <v>8715.07</v>
      </c>
      <c r="N21" s="11">
        <f ca="1">IF(History!R$2="","",History!R10*$C$21)</f>
        <v>8528.52</v>
      </c>
      <c r="O21" s="11">
        <f ca="1">IF(History!S$2="","",History!S10*$C$21)</f>
        <v>8374.73</v>
      </c>
      <c r="P21" s="11">
        <f ca="1">IF(History!T$2="","",History!T10*$C$21)</f>
        <v>8237.32</v>
      </c>
      <c r="Q21" s="11">
        <f ca="1">IF(History!U$2="","",History!U10*$C$21)</f>
        <v>8600.41</v>
      </c>
      <c r="R21" s="11">
        <f ca="1">IF(History!V$2="","",History!V10*$C$21)</f>
        <v>8964.41</v>
      </c>
      <c r="S21" s="11">
        <f ca="1">IF(History!W$2="","",History!W10*$C$21)</f>
        <v>9120.93</v>
      </c>
      <c r="T21" s="11">
        <f ca="1">IF(History!X$2="","",History!X10*$C$21)</f>
        <v>9047.2199999999993</v>
      </c>
      <c r="U21" s="11">
        <f ca="1">IF(History!Y$2="","",History!Y10*$C$21)</f>
        <v>8605.869999999999</v>
      </c>
      <c r="V21" s="11">
        <f ca="1">IF(History!Z$2="","",History!Z10*$C$21)</f>
        <v>8888.880000000001</v>
      </c>
      <c r="W21" s="11">
        <f ca="1">IF(History!AA$2="","",History!AA10*$C$21)</f>
        <v>8957.130000000001</v>
      </c>
      <c r="X21" s="11">
        <f ca="1">IF(History!AB$2="","",History!AB10*$C$21)</f>
        <v>9026.2899999999991</v>
      </c>
      <c r="Y21" s="11">
        <f ca="1">IF(History!AC$2="","",History!AC10*$C$21)</f>
        <v>9383.01</v>
      </c>
      <c r="Z21" s="11">
        <f ca="1">IF(History!AD$2="","",History!AD10*$C$21)</f>
        <v>10390.380000000001</v>
      </c>
      <c r="AA21" s="11">
        <f ca="1">IF(History!AE$2="","",History!AE10*$C$21)</f>
        <v>10580.57</v>
      </c>
      <c r="AB21" s="11">
        <f ca="1">IF(History!AF$2="","",History!AF10*$C$21)</f>
        <v>10591.49</v>
      </c>
      <c r="AC21" s="11">
        <f ca="1">IF(History!AG$2="","",History!AG10*$C$21)</f>
        <v>10808.98</v>
      </c>
      <c r="AD21" s="11">
        <f ca="1">IF(History!AH$2="","",History!AH10*$C$21)</f>
        <v>10738</v>
      </c>
      <c r="AE21" s="11">
        <f ca="1">IF(History!AI$2="","",History!AI10*$C$21)</f>
        <v>10615.15</v>
      </c>
      <c r="AF21" s="11">
        <f ca="1">IF(History!AJ$2="","",History!AJ10*$C$21)</f>
        <v>10470.460000000001</v>
      </c>
      <c r="AG21" s="11">
        <f ca="1">IF(History!AK$2="","",History!AK10*$C$21)</f>
        <v>10136.49</v>
      </c>
      <c r="AH21" s="11">
        <f ca="1">IF(History!AL$2="","",History!AL10*$C$21)</f>
        <v>10197.460000000001</v>
      </c>
      <c r="AI21" s="11">
        <f ca="1">IF(History!AM$2="","",History!AM10*$C$21)</f>
        <v>10470.460000000001</v>
      </c>
      <c r="AJ21" s="11">
        <f ca="1">IF(History!AN$2="","",History!AN10*$C$21)</f>
        <v>10508.68</v>
      </c>
      <c r="AK21" s="11">
        <f ca="1">IF(History!AO$2="","",History!AO10*$C$21)</f>
        <v>10616.97</v>
      </c>
      <c r="AL21" s="11">
        <f ca="1">IF(History!AP$2="","",History!AP10*$C$21)</f>
        <v>10628.8</v>
      </c>
      <c r="AM21" s="11">
        <f ca="1">IF(History!AQ$2="","",History!AQ10*$C$21)</f>
        <v>11301.289999999999</v>
      </c>
      <c r="AN21" s="11">
        <f ca="1">IF(History!AR$2="","",History!AR10*$C$21)</f>
        <v>11102</v>
      </c>
      <c r="AO21" s="11">
        <f ca="1">IF(History!AS$2="","",History!AS10*$C$21)</f>
        <v>10902.710000000001</v>
      </c>
      <c r="AP21" s="11">
        <f ca="1">IF(History!AT$2="","",History!AT10*$C$21)</f>
        <v>10313.030000000001</v>
      </c>
      <c r="AQ21" s="11">
        <f ca="1">IF(History!AU$2="","",History!AU10*$C$21)</f>
        <v>10333.960000000001</v>
      </c>
      <c r="AR21" s="11">
        <f ca="1">IF(History!AV$2="","",History!AV10*$C$21)</f>
        <v>10588.76</v>
      </c>
      <c r="AS21" s="11">
        <f ca="1">IF(History!AW$2="","",History!AW10*$C$21)</f>
        <v>10822.630000000001</v>
      </c>
      <c r="AT21" s="11">
        <f ca="1">IF(History!AX$2="","",History!AX10*$C$21)</f>
        <v>10371.27</v>
      </c>
      <c r="AU21" s="11">
        <f ca="1">IF(History!AY$2="","",History!AY10*$C$21)</f>
        <v>10081.890000000001</v>
      </c>
      <c r="AV21" s="11">
        <f ca="1">IF(History!AZ$2="","",History!AZ10*$C$21)</f>
        <v>10119.200000000001</v>
      </c>
      <c r="AW21" s="11">
        <f ca="1">IF(History!BA$2="","",History!BA10*$C$21)</f>
        <v>10266.619999999999</v>
      </c>
      <c r="AX21" s="11">
        <f ca="1">IF(History!BB$2="","",History!BB10*$C$21)</f>
        <v>10508.68</v>
      </c>
      <c r="AY21" s="11">
        <f ca="1">IF(History!BC$2="","",History!BC10*$C$21)</f>
        <v>10609.69</v>
      </c>
      <c r="AZ21" s="11">
        <f ca="1">IF(History!BD$2="","",History!BD10*$C$21)</f>
        <v>10909.99</v>
      </c>
      <c r="BA21" s="11">
        <f ca="1">IF(History!BE$2="","",History!BE10*$C$21)</f>
        <v>10975.51</v>
      </c>
      <c r="BB21" s="11">
        <f ca="1">IF(History!BF$2="","",History!BF10*$C$21)</f>
        <v>10826.27</v>
      </c>
      <c r="BC21" s="11">
        <f ca="1">IF(History!BG$2="","",History!BG10*$C$21)</f>
        <v>10872.68</v>
      </c>
      <c r="BD21" s="11">
        <f ca="1">IF(History!BH$2="","",History!BH10*$C$21)</f>
        <v>10962.77</v>
      </c>
      <c r="BE21" s="11">
        <f ca="1">IF(History!BI$2="","",History!BI10*$C$21)</f>
        <v>10817.17</v>
      </c>
      <c r="BF21" s="11">
        <f ca="1">IF(History!BJ$2="","",History!BJ10*$C$21)</f>
        <v>11023.74</v>
      </c>
      <c r="BG21" s="11">
        <f ca="1">IF(History!BK$2="","",History!BK10*$C$21)</f>
        <v>10891.789999999999</v>
      </c>
      <c r="BH21" s="11">
        <f ca="1">IF(History!BL$2="","",History!BL10*$C$21)</f>
        <v>10946.390000000001</v>
      </c>
      <c r="BI21" s="11">
        <f ca="1">IF(History!BM$2="","",History!BM10*$C$21)</f>
        <v>11266.710000000001</v>
      </c>
      <c r="BJ21" s="11">
        <f ca="1">IF(History!BN$2="","",History!BN10*$C$21)</f>
        <v>11390.47</v>
      </c>
      <c r="BK21" s="11">
        <f ca="1">IF(History!BO$2="","",History!BO10*$C$21)</f>
        <v>11353.16</v>
      </c>
      <c r="BL21" s="11">
        <f ca="1">IF(History!BP$2="","",History!BP10*$C$21)</f>
        <v>11154.78</v>
      </c>
      <c r="BM21" s="11">
        <f ca="1">IF(History!BQ$2="","",History!BQ10*$C$21)</f>
        <v>11215.75</v>
      </c>
      <c r="BN21" s="11">
        <f ca="1">IF(History!BR$2="","",History!BR10*$C$21)</f>
        <v>11147.5</v>
      </c>
      <c r="BO21" s="11">
        <f ca="1">IF(History!BS$2="","",History!BS10*$C$21)</f>
        <v>11101.09</v>
      </c>
      <c r="BP21" s="11">
        <f ca="1">IF(History!BT$2="","",History!BT10*$C$21)</f>
        <v>11227.58</v>
      </c>
      <c r="BQ21" s="11">
        <f ca="1">IF(History!BU$2="","",History!BU10*$C$21)</f>
        <v>11514.23</v>
      </c>
      <c r="BR21" s="11">
        <f ca="1">IF(History!BV$2="","",History!BV10*$C$21)</f>
        <v>11390.47</v>
      </c>
      <c r="BS21" s="11">
        <f ca="1">IF(History!BW$2="","",History!BW10*$C$21)</f>
        <v>11073.789999999999</v>
      </c>
      <c r="BT21" s="11">
        <f ca="1">IF(History!BX$2="","",History!BX10*$C$21)</f>
        <v>11749.92</v>
      </c>
      <c r="BU21" s="11">
        <f ca="1">IF(History!BY$2="","",History!BY10*$C$21)</f>
        <v>11479.65</v>
      </c>
      <c r="BV21" s="11">
        <f ca="1">IF(History!BZ$2="","",History!BZ10*$C$21)</f>
        <v>11182.99</v>
      </c>
      <c r="BW21" s="11">
        <f ca="1">IF(History!CA$2="","",History!CA10*$C$21)</f>
        <v>10997.35</v>
      </c>
      <c r="BX21" s="11">
        <f ca="1">IF(History!CB$2="","",History!CB10*$C$21)</f>
        <v>11099.27</v>
      </c>
      <c r="BY21" s="11">
        <f ca="1">IF(History!CC$2="","",History!CC10*$C$21)</f>
        <v>11200.28</v>
      </c>
      <c r="BZ21" s="11">
        <f ca="1">IF(History!CD$2="","",History!CD10*$C$21)</f>
        <v>11201.19</v>
      </c>
      <c r="CA21" s="11">
        <f ca="1">IF(History!CE$2="","",History!CE10*$C$21)</f>
        <v>10990.07</v>
      </c>
      <c r="CB21" s="11">
        <f ca="1">IF(History!CF$2="","",History!CF10*$C$21)</f>
        <v>11105.640000000001</v>
      </c>
      <c r="CC21" s="11">
        <f ca="1">IF(History!CG$2="","",History!CG10*$C$21)</f>
        <v>11114.74</v>
      </c>
      <c r="CD21" s="11">
        <f ca="1">IF(History!CH$2="","",History!CH10*$C$21)</f>
        <v>11031.02</v>
      </c>
      <c r="CE21" s="11">
        <f ca="1">IF(History!CI$2="","",History!CI10*$C$21)</f>
        <v>11252.15</v>
      </c>
      <c r="CF21" s="11" t="str">
        <f ca="1">IF(History!CJ$2="","",History!CJ10*$C$21)</f>
        <v/>
      </c>
      <c r="CG21" s="11" t="str">
        <f ca="1">IF(History!CK$2="","",History!CK10*$C$21)</f>
        <v/>
      </c>
      <c r="CH21" s="11" t="str">
        <f ca="1">IF(History!CL$2="","",History!CL10*$C$21)</f>
        <v/>
      </c>
      <c r="CI21" s="11" t="str">
        <f ca="1">IF(History!CM$2="","",History!CM10*$C$21)</f>
        <v/>
      </c>
      <c r="CJ21" s="11" t="str">
        <f ca="1">IF(History!CN$2="","",History!CN10*$C$21)</f>
        <v/>
      </c>
      <c r="CK21" s="11" t="str">
        <f ca="1">IF(History!CO$2="","",History!CO10*$C$21)</f>
        <v/>
      </c>
      <c r="CL21" s="11" t="str">
        <f ca="1">IF(History!CP$2="","",History!CP10*$C$21)</f>
        <v/>
      </c>
      <c r="CM21" s="11" t="str">
        <f ca="1">IF(History!CQ$2="","",History!CQ10*$C$21)</f>
        <v/>
      </c>
      <c r="CN21" s="11" t="str">
        <f ca="1">IF(History!CR$2="","",History!CR10*$C$21)</f>
        <v/>
      </c>
      <c r="CO21" s="11" t="str">
        <f ca="1">IF(History!CS$2="","",History!CS10*$C$21)</f>
        <v/>
      </c>
      <c r="CP21" s="11" t="str">
        <f ca="1">IF(History!CT$2="","",History!CT10*$C$21)</f>
        <v/>
      </c>
      <c r="CQ21" s="11" t="str">
        <f ca="1">IF(History!CU$2="","",History!CU10*$C$21)</f>
        <v/>
      </c>
      <c r="CR21" s="11" t="str">
        <f ca="1">IF(History!CV$2="","",History!CV10*$C$21)</f>
        <v/>
      </c>
      <c r="CS21" s="11" t="str">
        <f ca="1">IF(History!CW$2="","",History!CW10*$C$21)</f>
        <v/>
      </c>
      <c r="CT21" s="11" t="str">
        <f ca="1">IF(History!CX$2="","",History!CX10*$C$21)</f>
        <v/>
      </c>
      <c r="CU21" s="11" t="str">
        <f ca="1">IF(History!CY$2="","",History!CY10*$C$21)</f>
        <v/>
      </c>
      <c r="CV21" s="11" t="str">
        <f ca="1">IF(History!CZ$2="","",History!CZ10*$C$21)</f>
        <v/>
      </c>
      <c r="CW21" s="11" t="str">
        <f ca="1">IF(History!DA$2="","",History!DA10*$C$21)</f>
        <v/>
      </c>
      <c r="CX21" s="11" t="str">
        <f ca="1">IF(History!DB$2="","",History!DB10*$C$21)</f>
        <v/>
      </c>
      <c r="CY21" s="11" t="str">
        <f ca="1">IF(History!DC$2="","",History!DC10*$C$21)</f>
        <v/>
      </c>
      <c r="CZ21" s="11" t="str">
        <f ca="1">IF(History!DD$2="","",History!DD10*$C$21)</f>
        <v/>
      </c>
      <c r="DA21" s="11" t="str">
        <f ca="1">IF(History!DE$2="","",History!DE10*$C$21)</f>
        <v/>
      </c>
      <c r="DB21" s="11" t="str">
        <f ca="1">IF(History!DF$2="","",History!DF10*$C$21)</f>
        <v/>
      </c>
      <c r="DC21" s="11" t="str">
        <f ca="1">IF(History!DG$2="","",History!DG10*$C$21)</f>
        <v/>
      </c>
      <c r="DD21" s="11" t="str">
        <f ca="1">IF(History!DH$2="","",History!DH10*$C$21)</f>
        <v/>
      </c>
      <c r="DE21" s="11" t="str">
        <f ca="1">IF(History!DI$2="","",History!DI10*$C$21)</f>
        <v/>
      </c>
      <c r="DF21" s="11" t="str">
        <f ca="1">IF(History!DJ$2="","",History!DJ10*$C$21)</f>
        <v/>
      </c>
      <c r="DG21" s="11" t="str">
        <f ca="1">IF(History!DK$2="","",History!DK10*$C$21)</f>
        <v/>
      </c>
      <c r="DH21" s="11" t="str">
        <f ca="1">IF(History!DL$2="","",History!DL10*$C$21)</f>
        <v/>
      </c>
      <c r="DI21" s="11" t="str">
        <f ca="1">IF(History!DM$2="","",History!DM10*$C$21)</f>
        <v/>
      </c>
      <c r="DJ21" s="11" t="str">
        <f ca="1">IF(History!DN$2="","",History!DN10*$C$21)</f>
        <v/>
      </c>
      <c r="DK21" s="11" t="str">
        <f ca="1">IF(History!DO$2="","",History!DO10*$C$21)</f>
        <v/>
      </c>
      <c r="DL21" s="11" t="str">
        <f ca="1">IF(History!DP$2="","",History!DP10*$C$21)</f>
        <v/>
      </c>
      <c r="DM21" s="11" t="str">
        <f ca="1">IF(History!DQ$2="","",History!DQ10*$C$21)</f>
        <v/>
      </c>
      <c r="DN21" s="11" t="str">
        <f ca="1">IF(History!DR$2="","",History!DR10*$C$21)</f>
        <v/>
      </c>
      <c r="DO21" s="11" t="str">
        <f ca="1">IF(History!DS$2="","",History!DS10*$C$21)</f>
        <v/>
      </c>
      <c r="DP21" s="11" t="str">
        <f ca="1">IF(History!DT$2="","",History!DT10*$C$21)</f>
        <v/>
      </c>
      <c r="DQ21" s="11" t="str">
        <f ca="1">IF(History!DU$2="","",History!DU10*$C$21)</f>
        <v/>
      </c>
      <c r="DR21" s="11" t="str">
        <f ca="1">IF(History!DV$2="","",History!DV10*$C$21)</f>
        <v/>
      </c>
      <c r="DS21" s="11" t="str">
        <f ca="1">IF(History!DW$2="","",History!DW10*$C$21)</f>
        <v/>
      </c>
      <c r="DT21" s="11" t="str">
        <f ca="1">IF(History!DX$2="","",History!DX10*$C$21)</f>
        <v/>
      </c>
      <c r="DU21" s="11" t="str">
        <f ca="1">IF(History!DY$2="","",History!DY10*$C$21)</f>
        <v/>
      </c>
      <c r="DV21" s="11" t="str">
        <f ca="1">IF(History!DZ$2="","",History!DZ10*$C$21)</f>
        <v/>
      </c>
      <c r="DW21" s="11" t="str">
        <f ca="1">IF(History!EA$2="","",History!EA10*$C$21)</f>
        <v/>
      </c>
      <c r="DX21" s="11" t="str">
        <f ca="1">IF(History!EB$2="","",History!EB10*$C$21)</f>
        <v/>
      </c>
      <c r="DY21" s="11" t="str">
        <f ca="1">IF(History!EC$2="","",History!EC10*$C$21)</f>
        <v/>
      </c>
      <c r="DZ21" s="11" t="str">
        <f ca="1">IF(History!ED$2="","",History!ED10*$C$21)</f>
        <v/>
      </c>
      <c r="EA21" s="11" t="str">
        <f ca="1">IF(History!EE$2="","",History!EE10*$C$21)</f>
        <v/>
      </c>
      <c r="EB21" s="11" t="str">
        <f ca="1">IF(History!EF$2="","",History!EF10*$C$21)</f>
        <v/>
      </c>
      <c r="EC21" s="11" t="str">
        <f ca="1">IF(History!EG$2="","",History!EG10*$C$21)</f>
        <v/>
      </c>
      <c r="ED21" s="11" t="str">
        <f ca="1">IF(History!EH$2="","",History!EH10*$C$21)</f>
        <v/>
      </c>
      <c r="EE21" s="11" t="str">
        <f ca="1">IF(History!EI$2="","",History!EI10*$C$21)</f>
        <v/>
      </c>
      <c r="EF21" s="11" t="str">
        <f ca="1">IF(History!EJ$2="","",History!EJ10*$C$21)</f>
        <v/>
      </c>
      <c r="EG21" s="11" t="str">
        <f ca="1">IF(History!EK$2="","",History!EK10*$C$21)</f>
        <v/>
      </c>
      <c r="EH21" s="11" t="str">
        <f ca="1">IF(History!EL$2="","",History!EL10*$C$21)</f>
        <v/>
      </c>
      <c r="EI21" s="11" t="str">
        <f ca="1">IF(History!EM$2="","",History!EM10*$C$21)</f>
        <v/>
      </c>
      <c r="EJ21" s="11" t="str">
        <f ca="1">IF(History!EN$2="","",History!EN10*$C$21)</f>
        <v/>
      </c>
      <c r="EK21" s="11" t="str">
        <f ca="1">IF(History!EO$2="","",History!EO10*$C$21)</f>
        <v/>
      </c>
      <c r="EL21" s="11" t="str">
        <f ca="1">IF(History!EP$2="","",History!EP10*$C$21)</f>
        <v/>
      </c>
      <c r="EM21" s="11" t="str">
        <f ca="1">IF(History!EQ$2="","",History!EQ10*$C$21)</f>
        <v/>
      </c>
      <c r="EN21" s="11" t="str">
        <f ca="1">IF(History!ER$2="","",History!ER10*$C$21)</f>
        <v/>
      </c>
      <c r="EO21" s="11" t="str">
        <f ca="1">IF(History!ES$2="","",History!ES10*$C$21)</f>
        <v/>
      </c>
      <c r="EP21" s="11" t="str">
        <f ca="1">IF(History!ET$2="","",History!ET10*$C$21)</f>
        <v/>
      </c>
      <c r="EQ21" s="11" t="str">
        <f ca="1">IF(History!EU$2="","",History!EU10*$C$21)</f>
        <v/>
      </c>
      <c r="ER21" s="11" t="str">
        <f ca="1">IF(History!EV$2="","",History!EV10*$C$21)</f>
        <v/>
      </c>
      <c r="ES21" s="11" t="str">
        <f ca="1">IF(History!EW$2="","",History!EW10*$C$21)</f>
        <v/>
      </c>
      <c r="ET21" s="11" t="str">
        <f ca="1">IF(History!EX$2="","",History!EX10*$C$21)</f>
        <v/>
      </c>
      <c r="EU21" s="11" t="str">
        <f ca="1">IF(History!EY$2="","",History!EY10*$C$21)</f>
        <v/>
      </c>
      <c r="EV21" s="11" t="str">
        <f ca="1">IF(History!EZ$2="","",History!EZ10*$C$21)</f>
        <v/>
      </c>
      <c r="EW21" s="11" t="str">
        <f ca="1">IF(History!FA$2="","",History!FA10*$C$21)</f>
        <v/>
      </c>
      <c r="EX21" s="11" t="str">
        <f ca="1">IF(History!FB$2="","",History!FB10*$C$21)</f>
        <v/>
      </c>
      <c r="EY21" s="11" t="str">
        <f ca="1">IF(History!FC$2="","",History!FC10*$C$21)</f>
        <v/>
      </c>
      <c r="EZ21" s="11" t="str">
        <f ca="1">IF(History!FD$2="","",History!FD10*$C$21)</f>
        <v/>
      </c>
      <c r="FA21" s="11" t="str">
        <f ca="1">IF(History!FE$2="","",History!FE10*$C$21)</f>
        <v/>
      </c>
      <c r="FB21" s="11" t="str">
        <f ca="1">IF(History!FF$2="","",History!FF10*$C$21)</f>
        <v/>
      </c>
      <c r="FC21" s="11" t="str">
        <f ca="1">IF(History!FG$2="","",History!FG10*$C$21)</f>
        <v/>
      </c>
      <c r="FD21" s="11" t="str">
        <f ca="1">IF(History!FH$2="","",History!FH10*$C$21)</f>
        <v/>
      </c>
      <c r="FE21" s="11" t="str">
        <f ca="1">IF(History!FI$2="","",History!FI10*$C$21)</f>
        <v/>
      </c>
      <c r="FF21" s="11" t="str">
        <f ca="1">IF(History!FJ$2="","",History!FJ10*$C$21)</f>
        <v/>
      </c>
      <c r="FG21" s="11" t="str">
        <f ca="1">IF(History!FK$2="","",History!FK10*$C$21)</f>
        <v/>
      </c>
      <c r="FH21" s="11" t="str">
        <f ca="1">IF(History!FL$2="","",History!FL10*$C$21)</f>
        <v/>
      </c>
      <c r="FI21" s="11" t="str">
        <f ca="1">IF(History!FM$2="","",History!FM10*$C$21)</f>
        <v/>
      </c>
      <c r="FJ21" s="11" t="str">
        <f ca="1">IF(History!FN$2="","",History!FN10*$C$21)</f>
        <v/>
      </c>
      <c r="FK21" s="11" t="str">
        <f ca="1">IF(History!FO$2="","",History!FO10*$C$21)</f>
        <v/>
      </c>
      <c r="FL21" s="11" t="str">
        <f ca="1">IF(History!FP$2="","",History!FP10*$C$21)</f>
        <v/>
      </c>
      <c r="FM21" s="11" t="str">
        <f ca="1">IF(History!FQ$2="","",History!FQ10*$C$21)</f>
        <v/>
      </c>
      <c r="FN21" s="11" t="str">
        <f ca="1">IF(History!FR$2="","",History!FR10*$C$21)</f>
        <v/>
      </c>
      <c r="FO21" s="11" t="str">
        <f ca="1">IF(History!FS$2="","",History!FS10*$C$21)</f>
        <v/>
      </c>
      <c r="FP21" s="11" t="str">
        <f ca="1">IF(History!FT$2="","",History!FT10*$C$21)</f>
        <v/>
      </c>
      <c r="FQ21" s="11" t="str">
        <f ca="1">IF(History!FU$2="","",History!FU10*$C$21)</f>
        <v/>
      </c>
      <c r="FR21" s="11" t="str">
        <f ca="1">IF(History!FV$2="","",History!FV10*$C$21)</f>
        <v/>
      </c>
      <c r="FS21" s="11" t="str">
        <f ca="1">IF(History!FW$2="","",History!FW10*$C$21)</f>
        <v/>
      </c>
      <c r="FT21" s="11" t="str">
        <f ca="1">IF(History!FX$2="","",History!FX10*$C$21)</f>
        <v/>
      </c>
      <c r="FU21" s="11" t="str">
        <f ca="1">IF(History!FY$2="","",History!FY10*$C$21)</f>
        <v/>
      </c>
      <c r="FV21" s="11" t="str">
        <f ca="1">IF(History!FZ$2="","",History!FZ10*$C$21)</f>
        <v/>
      </c>
      <c r="FW21" s="11" t="str">
        <f ca="1">IF(History!GA$2="","",History!GA10*$C$21)</f>
        <v/>
      </c>
      <c r="FX21" s="11" t="str">
        <f ca="1">IF(History!GB$2="","",History!GB10*$C$21)</f>
        <v/>
      </c>
      <c r="FY21" s="11" t="str">
        <f ca="1">IF(History!GC$2="","",History!GC10*$C$21)</f>
        <v/>
      </c>
      <c r="FZ21" s="11" t="str">
        <f ca="1">IF(History!GD$2="","",History!GD10*$C$21)</f>
        <v/>
      </c>
      <c r="GA21" s="11" t="str">
        <f ca="1">IF(History!GE$2="","",History!GE10*$C$21)</f>
        <v/>
      </c>
      <c r="GB21" s="11" t="str">
        <f ca="1">IF(History!GF$2="","",History!GF10*$C$21)</f>
        <v/>
      </c>
      <c r="GC21" s="11" t="str">
        <f ca="1">IF(History!GG$2="","",History!GG10*$C$21)</f>
        <v/>
      </c>
      <c r="GD21" s="11" t="str">
        <f ca="1">IF(History!GH$2="","",History!GH10*$C$21)</f>
        <v/>
      </c>
      <c r="GE21" s="11" t="str">
        <f ca="1">IF(History!GI$2="","",History!GI10*$C$21)</f>
        <v/>
      </c>
      <c r="GF21" s="11" t="str">
        <f ca="1">IF(History!GJ$2="","",History!GJ10*$C$21)</f>
        <v/>
      </c>
      <c r="GG21" s="11" t="str">
        <f ca="1">IF(History!GK$2="","",History!GK10*$C$21)</f>
        <v/>
      </c>
      <c r="GH21" s="11" t="str">
        <f ca="1">IF(History!GL$2="","",History!GL10*$C$21)</f>
        <v/>
      </c>
      <c r="GI21" s="11" t="str">
        <f ca="1">IF(History!GM$2="","",History!GM10*$C$21)</f>
        <v/>
      </c>
      <c r="GJ21" s="11" t="str">
        <f ca="1">IF(History!GN$2="","",History!GN10*$C$21)</f>
        <v/>
      </c>
      <c r="GK21" s="11" t="str">
        <f ca="1">IF(History!GO$2="","",History!GO10*$C$21)</f>
        <v/>
      </c>
      <c r="GL21" s="11" t="str">
        <f ca="1">IF(History!GP$2="","",History!GP10*$C$21)</f>
        <v/>
      </c>
      <c r="GM21" s="11" t="str">
        <f ca="1">IF(History!GQ$2="","",History!GQ10*$C$21)</f>
        <v/>
      </c>
      <c r="GN21" s="11" t="str">
        <f ca="1">IF(History!GR$2="","",History!GR10*$C$21)</f>
        <v/>
      </c>
      <c r="GO21" s="11" t="str">
        <f ca="1">IF(History!GS$2="","",History!GS10*$C$21)</f>
        <v/>
      </c>
      <c r="GP21" s="11" t="str">
        <f ca="1">IF(History!GT$2="","",History!GT10*$C$21)</f>
        <v/>
      </c>
      <c r="GQ21" s="11" t="str">
        <f ca="1">IF(History!GU$2="","",History!GU10*$C$21)</f>
        <v/>
      </c>
      <c r="GR21" s="11" t="str">
        <f ca="1">IF(History!GV$2="","",History!GV10*$C$21)</f>
        <v/>
      </c>
      <c r="GS21" s="11" t="str">
        <f ca="1">IF(History!GW$2="","",History!GW10*$C$21)</f>
        <v/>
      </c>
      <c r="GT21" s="11" t="str">
        <f ca="1">IF(History!GX$2="","",History!GX10*$C$21)</f>
        <v/>
      </c>
      <c r="GU21" s="11" t="str">
        <f ca="1">IF(History!GY$2="","",History!GY10*$C$21)</f>
        <v/>
      </c>
      <c r="GV21" s="11" t="str">
        <f ca="1">IF(History!GZ$2="","",History!GZ10*$C$21)</f>
        <v/>
      </c>
      <c r="GW21" s="11" t="str">
        <f ca="1">IF(History!HA$2="","",History!HA10*$C$21)</f>
        <v/>
      </c>
      <c r="GX21" s="11" t="str">
        <f ca="1">IF(History!HB$2="","",History!HB10*$C$21)</f>
        <v/>
      </c>
      <c r="GY21" s="11" t="str">
        <f ca="1">IF(History!HC$2="","",History!HC10*$C$21)</f>
        <v/>
      </c>
      <c r="GZ21" s="11" t="str">
        <f ca="1">IF(History!HD$2="","",History!HD10*$C$21)</f>
        <v/>
      </c>
      <c r="HA21" s="11" t="str">
        <f ca="1">IF(History!HE$2="","",History!HE10*$C$21)</f>
        <v/>
      </c>
      <c r="HB21" s="11" t="str">
        <f ca="1">IF(History!HF$2="","",History!HF10*$C$21)</f>
        <v/>
      </c>
      <c r="HC21" s="11" t="str">
        <f ca="1">IF(History!HG$2="","",History!HG10*$C$21)</f>
        <v/>
      </c>
      <c r="HD21" s="11" t="str">
        <f ca="1">IF(History!HH$2="","",History!HH10*$C$21)</f>
        <v/>
      </c>
      <c r="HE21" s="11" t="str">
        <f ca="1">IF(History!HI$2="","",History!HI10*$C$21)</f>
        <v/>
      </c>
      <c r="HF21" s="11" t="str">
        <f ca="1">IF(History!HJ$2="","",History!HJ10*$C$21)</f>
        <v/>
      </c>
      <c r="HG21" s="11" t="str">
        <f ca="1">IF(History!HK$2="","",History!HK10*$C$21)</f>
        <v/>
      </c>
      <c r="HH21" s="11" t="str">
        <f ca="1">IF(History!HL$2="","",History!HL10*$C$21)</f>
        <v/>
      </c>
      <c r="HI21" s="11" t="str">
        <f ca="1">IF(History!HM$2="","",History!HM10*$C$21)</f>
        <v/>
      </c>
      <c r="HJ21" s="11" t="str">
        <f ca="1">IF(History!HN$2="","",History!HN10*$C$21)</f>
        <v/>
      </c>
      <c r="HK21" s="11" t="str">
        <f ca="1">IF(History!HO$2="","",History!HO10*$C$21)</f>
        <v/>
      </c>
      <c r="HL21" s="11" t="str">
        <f ca="1">IF(History!HP$2="","",History!HP10*$C$21)</f>
        <v/>
      </c>
      <c r="HM21" s="11" t="str">
        <f ca="1">IF(History!HQ$2="","",History!HQ10*$C$21)</f>
        <v/>
      </c>
      <c r="HN21" s="11" t="str">
        <f ca="1">IF(History!HR$2="","",History!HR10*$C$21)</f>
        <v/>
      </c>
      <c r="HO21" s="11" t="str">
        <f ca="1">IF(History!HS$2="","",History!HS10*$C$21)</f>
        <v/>
      </c>
      <c r="HP21" s="11" t="str">
        <f ca="1">IF(History!HT$2="","",History!HT10*$C$21)</f>
        <v/>
      </c>
      <c r="HQ21" s="11" t="str">
        <f ca="1">IF(History!HU$2="","",History!HU10*$C$21)</f>
        <v/>
      </c>
      <c r="HR21" s="11" t="str">
        <f ca="1">IF(History!HV$2="","",History!HV10*$C$21)</f>
        <v/>
      </c>
      <c r="HS21" s="11" t="str">
        <f ca="1">IF(History!HW$2="","",History!HW10*$C$21)</f>
        <v/>
      </c>
      <c r="HT21" s="11" t="str">
        <f ca="1">IF(History!HX$2="","",History!HX10*$C$21)</f>
        <v/>
      </c>
      <c r="HU21" s="11" t="str">
        <f ca="1">IF(History!HY$2="","",History!HY10*$C$21)</f>
        <v/>
      </c>
      <c r="HV21" s="11" t="str">
        <f ca="1">IF(History!HZ$2="","",History!HZ10*$C$21)</f>
        <v/>
      </c>
      <c r="HW21" s="11" t="str">
        <f ca="1">IF(History!IA$2="","",History!IA10*$C$21)</f>
        <v/>
      </c>
      <c r="HX21" s="11" t="str">
        <f ca="1">IF(History!IB$2="","",History!IB10*$C$21)</f>
        <v/>
      </c>
      <c r="HY21" s="11" t="str">
        <f ca="1">IF(History!IC$2="","",History!IC10*$C$21)</f>
        <v/>
      </c>
      <c r="HZ21" s="11" t="str">
        <f ca="1">IF(History!ID$2="","",History!ID10*$C$21)</f>
        <v/>
      </c>
      <c r="IA21" s="11" t="str">
        <f ca="1">IF(History!IE$2="","",History!IE10*$C$21)</f>
        <v/>
      </c>
      <c r="IB21" s="11" t="str">
        <f ca="1">IF(History!IF$2="","",History!IF10*$C$21)</f>
        <v/>
      </c>
      <c r="IC21" s="11" t="str">
        <f ca="1">IF(History!IG$2="","",History!IG10*$C$21)</f>
        <v/>
      </c>
      <c r="ID21" s="11" t="str">
        <f ca="1">IF(History!IH$2="","",History!IH10*$C$21)</f>
        <v/>
      </c>
      <c r="IE21" s="11" t="str">
        <f ca="1">IF(History!II$2="","",History!II10*$C$21)</f>
        <v/>
      </c>
      <c r="IF21" s="11" t="str">
        <f ca="1">IF(History!IJ$2="","",History!IJ10*$C$21)</f>
        <v/>
      </c>
      <c r="IG21" s="11" t="str">
        <f ca="1">IF(History!IK$2="","",History!IK10*$C$21)</f>
        <v/>
      </c>
      <c r="IH21" s="11" t="str">
        <f ca="1">IF(History!IL$2="","",History!IL10*$C$21)</f>
        <v/>
      </c>
      <c r="II21" s="11" t="str">
        <f ca="1">IF(History!IM$2="","",History!IM10*$C$21)</f>
        <v/>
      </c>
      <c r="IJ21" s="11" t="str">
        <f ca="1">IF(History!IN$2="","",History!IN10*$C$21)</f>
        <v/>
      </c>
      <c r="IK21" s="11" t="str">
        <f ca="1">IF(History!IO$2="","",History!IO10*$C$21)</f>
        <v/>
      </c>
      <c r="IL21" s="11" t="str">
        <f ca="1">IF(History!IP$2="","",History!IP10*$C$21)</f>
        <v/>
      </c>
      <c r="IM21" s="11" t="str">
        <f ca="1">IF(History!IQ$2="","",History!IQ10*$C$21)</f>
        <v/>
      </c>
      <c r="IN21" s="11" t="str">
        <f ca="1">IF(History!IR$2="","",History!IR10*$C$21)</f>
        <v/>
      </c>
      <c r="IO21" s="11" t="str">
        <f ca="1">IF(History!IS$2="","",History!IS10*$C$21)</f>
        <v/>
      </c>
      <c r="IP21" s="11" t="str">
        <f ca="1">IF(History!IT$2="","",History!IT10*$C$21)</f>
        <v/>
      </c>
      <c r="IQ21" s="11" t="str">
        <f ca="1">IF(History!IU$2="","",History!IU10*$C$21)</f>
        <v/>
      </c>
      <c r="IR21" s="11" t="str">
        <f ca="1">IF(History!IV$2="","",History!IV10*$C$21)</f>
        <v/>
      </c>
      <c r="IS21" s="11" t="str">
        <f ca="1">IF(History!IW$2="","",History!IW10*$C$21)</f>
        <v/>
      </c>
      <c r="IT21" s="11" t="str">
        <f ca="1">IF(History!IX$2="","",History!IX10*$C$21)</f>
        <v/>
      </c>
      <c r="IU21" s="11" t="str">
        <f ca="1">IF(History!IY$2="","",History!IY10*$C$21)</f>
        <v/>
      </c>
      <c r="IV21" s="11" t="str">
        <f ca="1">IF(History!IZ$2="","",History!IZ10*$C$21)</f>
        <v/>
      </c>
      <c r="IW21" s="11" t="str">
        <f ca="1">IF(History!JA$2="","",History!JA10*$C$21)</f>
        <v/>
      </c>
      <c r="IX21" s="11" t="str">
        <f ca="1">IF(History!JB$2="","",History!JB10*$C$21)</f>
        <v/>
      </c>
      <c r="IY21" s="11" t="str">
        <f ca="1">IF(History!JC$2="","",History!JC10*$C$21)</f>
        <v/>
      </c>
      <c r="IZ21" s="11" t="str">
        <f ca="1">IF(History!JD$2="","",History!JD10*$C$21)</f>
        <v/>
      </c>
      <c r="JA21" s="11" t="str">
        <f ca="1">IF(History!JE$2="","",History!JE10*$C$21)</f>
        <v/>
      </c>
      <c r="JB21" s="11" t="str">
        <f ca="1">IF(History!JF$2="","",History!JF10*$C$21)</f>
        <v/>
      </c>
      <c r="JC21" s="11" t="str">
        <f ca="1">IF(History!JG$2="","",History!JG10*$C$21)</f>
        <v/>
      </c>
      <c r="JD21" s="11" t="str">
        <f ca="1">IF(History!JH$2="","",History!JH10*$C$21)</f>
        <v/>
      </c>
      <c r="JE21" s="11" t="str">
        <f ca="1">IF(History!JI$2="","",History!JI10*$C$21)</f>
        <v/>
      </c>
      <c r="JF21" s="11" t="str">
        <f ca="1">IF(History!JJ$2="","",History!JJ10*$C$21)</f>
        <v/>
      </c>
      <c r="JG21" s="11" t="str">
        <f ca="1">IF(History!JK$2="","",History!JK10*$C$21)</f>
        <v/>
      </c>
      <c r="JH21" s="11" t="str">
        <f ca="1">IF(History!JL$2="","",History!JL10*$C$21)</f>
        <v/>
      </c>
      <c r="JI21" s="11" t="str">
        <f ca="1">IF(History!JM$2="","",History!JM10*$C$21)</f>
        <v/>
      </c>
      <c r="JJ21" s="11" t="str">
        <f ca="1">IF(History!JN$2="","",History!JN10*$C$21)</f>
        <v/>
      </c>
      <c r="JK21" s="11" t="str">
        <f ca="1">IF(History!JO$2="","",History!JO10*$C$21)</f>
        <v/>
      </c>
      <c r="JL21" s="11" t="str">
        <f ca="1">IF(History!JP$2="","",History!JP10*$C$21)</f>
        <v/>
      </c>
      <c r="JM21" s="11" t="str">
        <f ca="1">IF(History!JQ$2="","",History!JQ10*$C$21)</f>
        <v/>
      </c>
      <c r="JN21" s="11" t="str">
        <f ca="1">IF(History!JR$2="","",History!JR10*$C$21)</f>
        <v/>
      </c>
      <c r="JO21" s="11" t="str">
        <f ca="1">IF(History!JS$2="","",History!JS10*$C$21)</f>
        <v/>
      </c>
      <c r="JP21" s="11" t="str">
        <f ca="1">IF(History!JT$2="","",History!JT10*$C$21)</f>
        <v/>
      </c>
      <c r="JQ21" s="11" t="str">
        <f ca="1">IF(History!JU$2="","",History!JU10*$C$21)</f>
        <v/>
      </c>
      <c r="JR21" s="11" t="str">
        <f ca="1">IF(History!JV$2="","",History!JV10*$C$21)</f>
        <v/>
      </c>
      <c r="JS21" s="11" t="str">
        <f ca="1">IF(History!JW$2="","",History!JW10*$C$21)</f>
        <v/>
      </c>
      <c r="JT21" s="11" t="str">
        <f ca="1">IF(History!JX$2="","",History!JX10*$C$21)</f>
        <v/>
      </c>
      <c r="JU21" s="11" t="str">
        <f ca="1">IF(History!JY$2="","",History!JY10*$C$21)</f>
        <v/>
      </c>
      <c r="JV21" s="11" t="str">
        <f ca="1">IF(History!JZ$2="","",History!JZ10*$C$21)</f>
        <v/>
      </c>
      <c r="JW21" s="11" t="str">
        <f ca="1">IF(History!KA$2="","",History!KA10*$C$21)</f>
        <v/>
      </c>
      <c r="JX21" s="11" t="str">
        <f ca="1">IF(History!KB$2="","",History!KB10*$C$21)</f>
        <v/>
      </c>
      <c r="JY21" s="11" t="str">
        <f ca="1">IF(History!KC$2="","",History!KC10*$C$21)</f>
        <v/>
      </c>
      <c r="JZ21" s="11" t="str">
        <f ca="1">IF(History!KD$2="","",History!KD10*$C$21)</f>
        <v/>
      </c>
      <c r="KA21" s="11" t="str">
        <f ca="1">IF(History!KE$2="","",History!KE10*$C$21)</f>
        <v/>
      </c>
      <c r="KB21" s="11" t="str">
        <f ca="1">IF(History!KF$2="","",History!KF10*$C$21)</f>
        <v/>
      </c>
    </row>
    <row r="22" spans="1:288" ht="15.75" customHeight="1">
      <c r="A22" s="22" t="s">
        <v>30</v>
      </c>
      <c r="B22" s="6" t="s">
        <v>55</v>
      </c>
      <c r="C22" s="26">
        <v>78</v>
      </c>
      <c r="D22" s="11">
        <f ca="1">IF(History!H$2="","",History!H11*$C$22)</f>
        <v>9558.1200000000008</v>
      </c>
      <c r="E22" s="11">
        <f ca="1">IF(History!I$2="","",History!I11*$C$22)</f>
        <v>9692.2800000000007</v>
      </c>
      <c r="F22" s="11">
        <f ca="1">IF(History!J$2="","",History!J11*$C$22)</f>
        <v>9586.2000000000007</v>
      </c>
      <c r="G22" s="11">
        <f ca="1">IF(History!K$2="","",History!K11*$C$22)</f>
        <v>9625.2000000000007</v>
      </c>
      <c r="H22" s="11">
        <f ca="1">IF(History!L$2="","",History!L11*$C$22)</f>
        <v>9764.0400000000009</v>
      </c>
      <c r="I22" s="11">
        <f ca="1">IF(History!M$2="","",History!M11*$C$22)</f>
        <v>9727.3799999999992</v>
      </c>
      <c r="J22" s="11">
        <f ca="1">IF(History!N$2="","",History!N11*$C$22)</f>
        <v>9688.3799999999992</v>
      </c>
      <c r="K22" s="11">
        <f ca="1">IF(History!O$2="","",History!O11*$C$22)</f>
        <v>9746.8799999999992</v>
      </c>
      <c r="L22" s="11">
        <f ca="1">IF(History!P$2="","",History!P11*$C$22)</f>
        <v>9651.7199999999993</v>
      </c>
      <c r="M22" s="11">
        <f ca="1">IF(History!Q$2="","",History!Q11*$C$22)</f>
        <v>9764.82</v>
      </c>
      <c r="N22" s="11">
        <f ca="1">IF(History!R$2="","",History!R11*$C$22)</f>
        <v>9566.7000000000007</v>
      </c>
      <c r="O22" s="11">
        <f ca="1">IF(History!S$2="","",History!S11*$C$22)</f>
        <v>9544.08</v>
      </c>
      <c r="P22" s="11">
        <f ca="1">IF(History!T$2="","",History!T11*$C$22)</f>
        <v>9731.2800000000007</v>
      </c>
      <c r="Q22" s="11">
        <f ca="1">IF(History!U$2="","",History!U11*$C$22)</f>
        <v>10072.919999999998</v>
      </c>
      <c r="R22" s="11">
        <f ca="1">IF(History!V$2="","",History!V11*$C$22)</f>
        <v>10021.439999999999</v>
      </c>
      <c r="S22" s="11">
        <f ca="1">IF(History!W$2="","",History!W11*$C$22)</f>
        <v>10020.66</v>
      </c>
      <c r="T22" s="11">
        <f ca="1">IF(History!X$2="","",History!X11*$C$22)</f>
        <v>10202.400000000001</v>
      </c>
      <c r="U22" s="11">
        <f ca="1">IF(History!Y$2="","",History!Y11*$C$22)</f>
        <v>10137.66</v>
      </c>
      <c r="V22" s="11">
        <f ca="1">IF(History!Z$2="","",History!Z11*$C$22)</f>
        <v>10223.459999999999</v>
      </c>
      <c r="W22" s="11">
        <f ca="1">IF(History!AA$2="","",History!AA11*$C$22)</f>
        <v>10274.16</v>
      </c>
      <c r="X22" s="11">
        <f ca="1">IF(History!AB$2="","",History!AB11*$C$22)</f>
        <v>10335</v>
      </c>
      <c r="Y22" s="11">
        <f ca="1">IF(History!AC$2="","",History!AC11*$C$22)</f>
        <v>10597.86</v>
      </c>
      <c r="Z22" s="11">
        <f ca="1">IF(History!AD$2="","",History!AD11*$C$22)</f>
        <v>10434.060000000001</v>
      </c>
      <c r="AA22" s="11">
        <f ca="1">IF(History!AE$2="","",History!AE11*$C$22)</f>
        <v>9757.02</v>
      </c>
      <c r="AB22" s="11">
        <f ca="1">IF(History!AF$2="","",History!AF11*$C$22)</f>
        <v>9639.24</v>
      </c>
      <c r="AC22" s="11">
        <f ca="1">IF(History!AG$2="","",History!AG11*$C$22)</f>
        <v>9889.6200000000008</v>
      </c>
      <c r="AD22" s="11">
        <f ca="1">IF(History!AH$2="","",History!AH11*$C$22)</f>
        <v>9820.2000000000007</v>
      </c>
      <c r="AE22" s="11">
        <f ca="1">IF(History!AI$2="","",History!AI11*$C$22)</f>
        <v>9703.2000000000007</v>
      </c>
      <c r="AF22" s="11">
        <f ca="1">IF(History!AJ$2="","",History!AJ11*$C$22)</f>
        <v>9568.26</v>
      </c>
      <c r="AG22" s="11">
        <f ca="1">IF(History!AK$2="","",History!AK11*$C$22)</f>
        <v>9389.64</v>
      </c>
      <c r="AH22" s="11">
        <f ca="1">IF(History!AL$2="","",History!AL11*$C$22)</f>
        <v>9210.24</v>
      </c>
      <c r="AI22" s="11">
        <f ca="1">IF(History!AM$2="","",History!AM11*$C$22)</f>
        <v>9213.36</v>
      </c>
      <c r="AJ22" s="11">
        <f ca="1">IF(History!AN$2="","",History!AN11*$C$22)</f>
        <v>9214.92</v>
      </c>
      <c r="AK22" s="11">
        <f ca="1">IF(History!AO$2="","",History!AO11*$C$22)</f>
        <v>9150.9599999999991</v>
      </c>
      <c r="AL22" s="11">
        <f ca="1">IF(History!AP$2="","",History!AP11*$C$22)</f>
        <v>9040.98</v>
      </c>
      <c r="AM22" s="11">
        <f ca="1">IF(History!AQ$2="","",History!AQ11*$C$22)</f>
        <v>9328.7999999999993</v>
      </c>
      <c r="AN22" s="11">
        <f ca="1">IF(History!AR$2="","",History!AR11*$C$22)</f>
        <v>9367.7999999999993</v>
      </c>
      <c r="AO22" s="11">
        <f ca="1">IF(History!AS$2="","",History!AS11*$C$22)</f>
        <v>9302.2800000000007</v>
      </c>
      <c r="AP22" s="11">
        <f ca="1">IF(History!AT$2="","",History!AT11*$C$22)</f>
        <v>8765.64</v>
      </c>
      <c r="AQ22" s="11">
        <f ca="1">IF(History!AU$2="","",History!AU11*$C$22)</f>
        <v>8571.42</v>
      </c>
      <c r="AR22" s="11">
        <f ca="1">IF(History!AV$2="","",History!AV11*$C$22)</f>
        <v>8956.74</v>
      </c>
      <c r="AS22" s="11">
        <f ca="1">IF(History!AW$2="","",History!AW11*$C$22)</f>
        <v>8892.7800000000007</v>
      </c>
      <c r="AT22" s="11">
        <f ca="1">IF(History!AX$2="","",History!AX11*$C$22)</f>
        <v>8626.7999999999993</v>
      </c>
      <c r="AU22" s="11">
        <f ca="1">IF(History!AY$2="","",History!AY11*$C$22)</f>
        <v>8477.82</v>
      </c>
      <c r="AV22" s="11">
        <f ca="1">IF(History!AZ$2="","",History!AZ11*$C$22)</f>
        <v>8670.48</v>
      </c>
      <c r="AW22" s="11">
        <f ca="1">IF(History!BA$2="","",History!BA11*$C$22)</f>
        <v>8814</v>
      </c>
      <c r="AX22" s="11">
        <f ca="1">IF(History!BB$2="","",History!BB11*$C$22)</f>
        <v>8874.84</v>
      </c>
      <c r="AY22" s="11">
        <f ca="1">IF(History!BC$2="","",History!BC11*$C$22)</f>
        <v>8994.18</v>
      </c>
      <c r="AZ22" s="11">
        <f ca="1">IF(History!BD$2="","",History!BD11*$C$22)</f>
        <v>8986.3799999999992</v>
      </c>
      <c r="BA22" s="11">
        <f ca="1">IF(History!BE$2="","",History!BE11*$C$22)</f>
        <v>9110.4</v>
      </c>
      <c r="BB22" s="11">
        <f ca="1">IF(History!BF$2="","",History!BF11*$C$22)</f>
        <v>9072.9599999999991</v>
      </c>
      <c r="BC22" s="11">
        <f ca="1">IF(History!BG$2="","",History!BG11*$C$22)</f>
        <v>9154.86</v>
      </c>
      <c r="BD22" s="11">
        <f ca="1">IF(History!BH$2="","",History!BH11*$C$22)</f>
        <v>9232.86</v>
      </c>
      <c r="BE22" s="11">
        <f ca="1">IF(History!BI$2="","",History!BI11*$C$22)</f>
        <v>9263.2800000000007</v>
      </c>
      <c r="BF22" s="11">
        <f ca="1">IF(History!BJ$2="","",History!BJ11*$C$22)</f>
        <v>9299.94</v>
      </c>
      <c r="BG22" s="11">
        <f ca="1">IF(History!BK$2="","",History!BK11*$C$22)</f>
        <v>9062.82</v>
      </c>
      <c r="BH22" s="11">
        <f ca="1">IF(History!BL$2="","",History!BL11*$C$22)</f>
        <v>8881.86</v>
      </c>
      <c r="BI22" s="11">
        <f ca="1">IF(History!BM$2="","",History!BM11*$C$22)</f>
        <v>8908.3799999999992</v>
      </c>
      <c r="BJ22" s="11">
        <f ca="1">IF(History!BN$2="","",History!BN11*$C$22)</f>
        <v>9035.52</v>
      </c>
      <c r="BK22" s="11">
        <f ca="1">IF(History!BO$2="","",History!BO11*$C$22)</f>
        <v>9011.34</v>
      </c>
      <c r="BL22" s="11">
        <f ca="1">IF(History!BP$2="","",History!BP11*$C$22)</f>
        <v>8658.7800000000007</v>
      </c>
      <c r="BM22" s="11">
        <f ca="1">IF(History!BQ$2="","",History!BQ11*$C$22)</f>
        <v>8677.5</v>
      </c>
      <c r="BN22" s="11">
        <f ca="1">IF(History!BR$2="","",History!BR11*$C$22)</f>
        <v>8661.9</v>
      </c>
      <c r="BO22" s="11">
        <f ca="1">IF(History!BS$2="","",History!BS11*$C$22)</f>
        <v>8666.58</v>
      </c>
      <c r="BP22" s="11">
        <f ca="1">IF(History!BT$2="","",History!BT11*$C$22)</f>
        <v>8719.6200000000008</v>
      </c>
      <c r="BQ22" s="11">
        <f ca="1">IF(History!BU$2="","",History!BU11*$C$22)</f>
        <v>8911.5</v>
      </c>
      <c r="BR22" s="11">
        <f ca="1">IF(History!BV$2="","",History!BV11*$C$22)</f>
        <v>8870.94</v>
      </c>
      <c r="BS22" s="11">
        <f ca="1">IF(History!BW$2="","",History!BW11*$C$22)</f>
        <v>8538.66</v>
      </c>
      <c r="BT22" s="11">
        <f ca="1">IF(History!BX$2="","",History!BX11*$C$22)</f>
        <v>8710.26</v>
      </c>
      <c r="BU22" s="11">
        <f ca="1">IF(History!BY$2="","",History!BY11*$C$22)</f>
        <v>8673.6</v>
      </c>
      <c r="BV22" s="11">
        <f ca="1">IF(History!BZ$2="","",History!BZ11*$C$22)</f>
        <v>8604.9599999999991</v>
      </c>
      <c r="BW22" s="11">
        <f ca="1">IF(History!CA$2="","",History!CA11*$C$22)</f>
        <v>8438.0400000000009</v>
      </c>
      <c r="BX22" s="11">
        <f ca="1">IF(History!CB$2="","",History!CB11*$C$22)</f>
        <v>8593.26</v>
      </c>
      <c r="BY22" s="11">
        <f ca="1">IF(History!CC$2="","",History!CC11*$C$22)</f>
        <v>8348.34</v>
      </c>
      <c r="BZ22" s="11">
        <f ca="1">IF(History!CD$2="","",History!CD11*$C$22)</f>
        <v>8419.32</v>
      </c>
      <c r="CA22" s="11">
        <f ca="1">IF(History!CE$2="","",History!CE11*$C$22)</f>
        <v>8648.64</v>
      </c>
      <c r="CB22" s="11">
        <f ca="1">IF(History!CF$2="","",History!CF11*$C$22)</f>
        <v>8427.1200000000008</v>
      </c>
      <c r="CC22" s="11">
        <f ca="1">IF(History!CG$2="","",History!CG11*$C$22)</f>
        <v>8559.7199999999993</v>
      </c>
      <c r="CD22" s="11">
        <f ca="1">IF(History!CH$2="","",History!CH11*$C$22)</f>
        <v>8502</v>
      </c>
      <c r="CE22" s="11">
        <f ca="1">IF(History!CI$2="","",History!CI11*$C$22)</f>
        <v>8568.2999999999993</v>
      </c>
      <c r="CF22" s="11" t="str">
        <f ca="1">IF(History!CJ$2="","",History!CJ11*$C$22)</f>
        <v/>
      </c>
      <c r="CG22" s="11" t="str">
        <f ca="1">IF(History!CK$2="","",History!CK11*$C$22)</f>
        <v/>
      </c>
      <c r="CH22" s="11" t="str">
        <f ca="1">IF(History!CL$2="","",History!CL11*$C$22)</f>
        <v/>
      </c>
      <c r="CI22" s="11" t="str">
        <f ca="1">IF(History!CM$2="","",History!CM11*$C$22)</f>
        <v/>
      </c>
      <c r="CJ22" s="11" t="str">
        <f ca="1">IF(History!CN$2="","",History!CN11*$C$22)</f>
        <v/>
      </c>
      <c r="CK22" s="11" t="str">
        <f ca="1">IF(History!CO$2="","",History!CO11*$C$22)</f>
        <v/>
      </c>
      <c r="CL22" s="11" t="str">
        <f ca="1">IF(History!CP$2="","",History!CP11*$C$22)</f>
        <v/>
      </c>
      <c r="CM22" s="11" t="str">
        <f ca="1">IF(History!CQ$2="","",History!CQ11*$C$22)</f>
        <v/>
      </c>
      <c r="CN22" s="11" t="str">
        <f ca="1">IF(History!CR$2="","",History!CR11*$C$22)</f>
        <v/>
      </c>
      <c r="CO22" s="11" t="str">
        <f ca="1">IF(History!CS$2="","",History!CS11*$C$22)</f>
        <v/>
      </c>
      <c r="CP22" s="11" t="str">
        <f ca="1">IF(History!CT$2="","",History!CT11*$C$22)</f>
        <v/>
      </c>
      <c r="CQ22" s="11" t="str">
        <f ca="1">IF(History!CU$2="","",History!CU11*$C$22)</f>
        <v/>
      </c>
      <c r="CR22" s="11" t="str">
        <f ca="1">IF(History!CV$2="","",History!CV11*$C$22)</f>
        <v/>
      </c>
      <c r="CS22" s="11" t="str">
        <f ca="1">IF(History!CW$2="","",History!CW11*$C$22)</f>
        <v/>
      </c>
      <c r="CT22" s="11" t="str">
        <f ca="1">IF(History!CX$2="","",History!CX11*$C$22)</f>
        <v/>
      </c>
      <c r="CU22" s="11" t="str">
        <f ca="1">IF(History!CY$2="","",History!CY11*$C$22)</f>
        <v/>
      </c>
      <c r="CV22" s="11" t="str">
        <f ca="1">IF(History!CZ$2="","",History!CZ11*$C$22)</f>
        <v/>
      </c>
      <c r="CW22" s="11" t="str">
        <f ca="1">IF(History!DA$2="","",History!DA11*$C$22)</f>
        <v/>
      </c>
      <c r="CX22" s="11" t="str">
        <f ca="1">IF(History!DB$2="","",History!DB11*$C$22)</f>
        <v/>
      </c>
      <c r="CY22" s="11" t="str">
        <f ca="1">IF(History!DC$2="","",History!DC11*$C$22)</f>
        <v/>
      </c>
      <c r="CZ22" s="11" t="str">
        <f ca="1">IF(History!DD$2="","",History!DD11*$C$22)</f>
        <v/>
      </c>
      <c r="DA22" s="11" t="str">
        <f ca="1">IF(History!DE$2="","",History!DE11*$C$22)</f>
        <v/>
      </c>
      <c r="DB22" s="11" t="str">
        <f ca="1">IF(History!DF$2="","",History!DF11*$C$22)</f>
        <v/>
      </c>
      <c r="DC22" s="11" t="str">
        <f ca="1">IF(History!DG$2="","",History!DG11*$C$22)</f>
        <v/>
      </c>
      <c r="DD22" s="11" t="str">
        <f ca="1">IF(History!DH$2="","",History!DH11*$C$22)</f>
        <v/>
      </c>
      <c r="DE22" s="11" t="str">
        <f ca="1">IF(History!DI$2="","",History!DI11*$C$22)</f>
        <v/>
      </c>
      <c r="DF22" s="11" t="str">
        <f ca="1">IF(History!DJ$2="","",History!DJ11*$C$22)</f>
        <v/>
      </c>
      <c r="DG22" s="11" t="str">
        <f ca="1">IF(History!DK$2="","",History!DK11*$C$22)</f>
        <v/>
      </c>
      <c r="DH22" s="11" t="str">
        <f ca="1">IF(History!DL$2="","",History!DL11*$C$22)</f>
        <v/>
      </c>
      <c r="DI22" s="11" t="str">
        <f ca="1">IF(History!DM$2="","",History!DM11*$C$22)</f>
        <v/>
      </c>
      <c r="DJ22" s="11" t="str">
        <f ca="1">IF(History!DN$2="","",History!DN11*$C$22)</f>
        <v/>
      </c>
      <c r="DK22" s="11" t="str">
        <f ca="1">IF(History!DO$2="","",History!DO11*$C$22)</f>
        <v/>
      </c>
      <c r="DL22" s="11" t="str">
        <f ca="1">IF(History!DP$2="","",History!DP11*$C$22)</f>
        <v/>
      </c>
      <c r="DM22" s="11" t="str">
        <f ca="1">IF(History!DQ$2="","",History!DQ11*$C$22)</f>
        <v/>
      </c>
      <c r="DN22" s="11" t="str">
        <f ca="1">IF(History!DR$2="","",History!DR11*$C$22)</f>
        <v/>
      </c>
      <c r="DO22" s="11" t="str">
        <f ca="1">IF(History!DS$2="","",History!DS11*$C$22)</f>
        <v/>
      </c>
      <c r="DP22" s="11" t="str">
        <f ca="1">IF(History!DT$2="","",History!DT11*$C$22)</f>
        <v/>
      </c>
      <c r="DQ22" s="11" t="str">
        <f ca="1">IF(History!DU$2="","",History!DU11*$C$22)</f>
        <v/>
      </c>
      <c r="DR22" s="11" t="str">
        <f ca="1">IF(History!DV$2="","",History!DV11*$C$22)</f>
        <v/>
      </c>
      <c r="DS22" s="11" t="str">
        <f ca="1">IF(History!DW$2="","",History!DW11*$C$22)</f>
        <v/>
      </c>
      <c r="DT22" s="11" t="str">
        <f ca="1">IF(History!DX$2="","",History!DX11*$C$22)</f>
        <v/>
      </c>
      <c r="DU22" s="11" t="str">
        <f ca="1">IF(History!DY$2="","",History!DY11*$C$22)</f>
        <v/>
      </c>
      <c r="DV22" s="11" t="str">
        <f ca="1">IF(History!DZ$2="","",History!DZ11*$C$22)</f>
        <v/>
      </c>
      <c r="DW22" s="11" t="str">
        <f ca="1">IF(History!EA$2="","",History!EA11*$C$22)</f>
        <v/>
      </c>
      <c r="DX22" s="11" t="str">
        <f ca="1">IF(History!EB$2="","",History!EB11*$C$22)</f>
        <v/>
      </c>
      <c r="DY22" s="11" t="str">
        <f ca="1">IF(History!EC$2="","",History!EC11*$C$22)</f>
        <v/>
      </c>
      <c r="DZ22" s="11" t="str">
        <f ca="1">IF(History!ED$2="","",History!ED11*$C$22)</f>
        <v/>
      </c>
      <c r="EA22" s="11" t="str">
        <f ca="1">IF(History!EE$2="","",History!EE11*$C$22)</f>
        <v/>
      </c>
      <c r="EB22" s="11" t="str">
        <f ca="1">IF(History!EF$2="","",History!EF11*$C$22)</f>
        <v/>
      </c>
      <c r="EC22" s="11" t="str">
        <f ca="1">IF(History!EG$2="","",History!EG11*$C$22)</f>
        <v/>
      </c>
      <c r="ED22" s="11" t="str">
        <f ca="1">IF(History!EH$2="","",History!EH11*$C$22)</f>
        <v/>
      </c>
      <c r="EE22" s="11" t="str">
        <f ca="1">IF(History!EI$2="","",History!EI11*$C$22)</f>
        <v/>
      </c>
      <c r="EF22" s="11" t="str">
        <f ca="1">IF(History!EJ$2="","",History!EJ11*$C$22)</f>
        <v/>
      </c>
      <c r="EG22" s="11" t="str">
        <f ca="1">IF(History!EK$2="","",History!EK11*$C$22)</f>
        <v/>
      </c>
      <c r="EH22" s="11" t="str">
        <f ca="1">IF(History!EL$2="","",History!EL11*$C$22)</f>
        <v/>
      </c>
      <c r="EI22" s="11" t="str">
        <f ca="1">IF(History!EM$2="","",History!EM11*$C$22)</f>
        <v/>
      </c>
      <c r="EJ22" s="11" t="str">
        <f ca="1">IF(History!EN$2="","",History!EN11*$C$22)</f>
        <v/>
      </c>
      <c r="EK22" s="11" t="str">
        <f ca="1">IF(History!EO$2="","",History!EO11*$C$22)</f>
        <v/>
      </c>
      <c r="EL22" s="11" t="str">
        <f ca="1">IF(History!EP$2="","",History!EP11*$C$22)</f>
        <v/>
      </c>
      <c r="EM22" s="11" t="str">
        <f ca="1">IF(History!EQ$2="","",History!EQ11*$C$22)</f>
        <v/>
      </c>
      <c r="EN22" s="11" t="str">
        <f ca="1">IF(History!ER$2="","",History!ER11*$C$22)</f>
        <v/>
      </c>
      <c r="EO22" s="11" t="str">
        <f ca="1">IF(History!ES$2="","",History!ES11*$C$22)</f>
        <v/>
      </c>
      <c r="EP22" s="11" t="str">
        <f ca="1">IF(History!ET$2="","",History!ET11*$C$22)</f>
        <v/>
      </c>
      <c r="EQ22" s="11" t="str">
        <f ca="1">IF(History!EU$2="","",History!EU11*$C$22)</f>
        <v/>
      </c>
      <c r="ER22" s="11" t="str">
        <f ca="1">IF(History!EV$2="","",History!EV11*$C$22)</f>
        <v/>
      </c>
      <c r="ES22" s="11" t="str">
        <f ca="1">IF(History!EW$2="","",History!EW11*$C$22)</f>
        <v/>
      </c>
      <c r="ET22" s="11" t="str">
        <f ca="1">IF(History!EX$2="","",History!EX11*$C$22)</f>
        <v/>
      </c>
      <c r="EU22" s="11" t="str">
        <f ca="1">IF(History!EY$2="","",History!EY11*$C$22)</f>
        <v/>
      </c>
      <c r="EV22" s="11" t="str">
        <f ca="1">IF(History!EZ$2="","",History!EZ11*$C$22)</f>
        <v/>
      </c>
      <c r="EW22" s="11" t="str">
        <f ca="1">IF(History!FA$2="","",History!FA11*$C$22)</f>
        <v/>
      </c>
      <c r="EX22" s="11" t="str">
        <f ca="1">IF(History!FB$2="","",History!FB11*$C$22)</f>
        <v/>
      </c>
      <c r="EY22" s="11" t="str">
        <f ca="1">IF(History!FC$2="","",History!FC11*$C$22)</f>
        <v/>
      </c>
      <c r="EZ22" s="11" t="str">
        <f ca="1">IF(History!FD$2="","",History!FD11*$C$22)</f>
        <v/>
      </c>
      <c r="FA22" s="11" t="str">
        <f ca="1">IF(History!FE$2="","",History!FE11*$C$22)</f>
        <v/>
      </c>
      <c r="FB22" s="11" t="str">
        <f ca="1">IF(History!FF$2="","",History!FF11*$C$22)</f>
        <v/>
      </c>
      <c r="FC22" s="11" t="str">
        <f ca="1">IF(History!FG$2="","",History!FG11*$C$22)</f>
        <v/>
      </c>
      <c r="FD22" s="11" t="str">
        <f ca="1">IF(History!FH$2="","",History!FH11*$C$22)</f>
        <v/>
      </c>
      <c r="FE22" s="11" t="str">
        <f ca="1">IF(History!FI$2="","",History!FI11*$C$22)</f>
        <v/>
      </c>
      <c r="FF22" s="11" t="str">
        <f ca="1">IF(History!FJ$2="","",History!FJ11*$C$22)</f>
        <v/>
      </c>
      <c r="FG22" s="11" t="str">
        <f ca="1">IF(History!FK$2="","",History!FK11*$C$22)</f>
        <v/>
      </c>
      <c r="FH22" s="11" t="str">
        <f ca="1">IF(History!FL$2="","",History!FL11*$C$22)</f>
        <v/>
      </c>
      <c r="FI22" s="11" t="str">
        <f ca="1">IF(History!FM$2="","",History!FM11*$C$22)</f>
        <v/>
      </c>
      <c r="FJ22" s="11" t="str">
        <f ca="1">IF(History!FN$2="","",History!FN11*$C$22)</f>
        <v/>
      </c>
      <c r="FK22" s="11" t="str">
        <f ca="1">IF(History!FO$2="","",History!FO11*$C$22)</f>
        <v/>
      </c>
      <c r="FL22" s="11" t="str">
        <f ca="1">IF(History!FP$2="","",History!FP11*$C$22)</f>
        <v/>
      </c>
      <c r="FM22" s="11" t="str">
        <f ca="1">IF(History!FQ$2="","",History!FQ11*$C$22)</f>
        <v/>
      </c>
      <c r="FN22" s="11" t="str">
        <f ca="1">IF(History!FR$2="","",History!FR11*$C$22)</f>
        <v/>
      </c>
      <c r="FO22" s="11" t="str">
        <f ca="1">IF(History!FS$2="","",History!FS11*$C$22)</f>
        <v/>
      </c>
      <c r="FP22" s="11" t="str">
        <f ca="1">IF(History!FT$2="","",History!FT11*$C$22)</f>
        <v/>
      </c>
      <c r="FQ22" s="11" t="str">
        <f ca="1">IF(History!FU$2="","",History!FU11*$C$22)</f>
        <v/>
      </c>
      <c r="FR22" s="11" t="str">
        <f ca="1">IF(History!FV$2="","",History!FV11*$C$22)</f>
        <v/>
      </c>
      <c r="FS22" s="11" t="str">
        <f ca="1">IF(History!FW$2="","",History!FW11*$C$22)</f>
        <v/>
      </c>
      <c r="FT22" s="11" t="str">
        <f ca="1">IF(History!FX$2="","",History!FX11*$C$22)</f>
        <v/>
      </c>
      <c r="FU22" s="11" t="str">
        <f ca="1">IF(History!FY$2="","",History!FY11*$C$22)</f>
        <v/>
      </c>
      <c r="FV22" s="11" t="str">
        <f ca="1">IF(History!FZ$2="","",History!FZ11*$C$22)</f>
        <v/>
      </c>
      <c r="FW22" s="11" t="str">
        <f ca="1">IF(History!GA$2="","",History!GA11*$C$22)</f>
        <v/>
      </c>
      <c r="FX22" s="11" t="str">
        <f ca="1">IF(History!GB$2="","",History!GB11*$C$22)</f>
        <v/>
      </c>
      <c r="FY22" s="11" t="str">
        <f ca="1">IF(History!GC$2="","",History!GC11*$C$22)</f>
        <v/>
      </c>
      <c r="FZ22" s="11" t="str">
        <f ca="1">IF(History!GD$2="","",History!GD11*$C$22)</f>
        <v/>
      </c>
      <c r="GA22" s="11" t="str">
        <f ca="1">IF(History!GE$2="","",History!GE11*$C$22)</f>
        <v/>
      </c>
      <c r="GB22" s="11" t="str">
        <f ca="1">IF(History!GF$2="","",History!GF11*$C$22)</f>
        <v/>
      </c>
      <c r="GC22" s="11" t="str">
        <f ca="1">IF(History!GG$2="","",History!GG11*$C$22)</f>
        <v/>
      </c>
      <c r="GD22" s="11" t="str">
        <f ca="1">IF(History!GH$2="","",History!GH11*$C$22)</f>
        <v/>
      </c>
      <c r="GE22" s="11" t="str">
        <f ca="1">IF(History!GI$2="","",History!GI11*$C$22)</f>
        <v/>
      </c>
      <c r="GF22" s="11" t="str">
        <f ca="1">IF(History!GJ$2="","",History!GJ11*$C$22)</f>
        <v/>
      </c>
      <c r="GG22" s="11" t="str">
        <f ca="1">IF(History!GK$2="","",History!GK11*$C$22)</f>
        <v/>
      </c>
      <c r="GH22" s="11" t="str">
        <f ca="1">IF(History!GL$2="","",History!GL11*$C$22)</f>
        <v/>
      </c>
      <c r="GI22" s="11" t="str">
        <f ca="1">IF(History!GM$2="","",History!GM11*$C$22)</f>
        <v/>
      </c>
      <c r="GJ22" s="11" t="str">
        <f ca="1">IF(History!GN$2="","",History!GN11*$C$22)</f>
        <v/>
      </c>
      <c r="GK22" s="11" t="str">
        <f ca="1">IF(History!GO$2="","",History!GO11*$C$22)</f>
        <v/>
      </c>
      <c r="GL22" s="11" t="str">
        <f ca="1">IF(History!GP$2="","",History!GP11*$C$22)</f>
        <v/>
      </c>
      <c r="GM22" s="11" t="str">
        <f ca="1">IF(History!GQ$2="","",History!GQ11*$C$22)</f>
        <v/>
      </c>
      <c r="GN22" s="11" t="str">
        <f ca="1">IF(History!GR$2="","",History!GR11*$C$22)</f>
        <v/>
      </c>
      <c r="GO22" s="11" t="str">
        <f ca="1">IF(History!GS$2="","",History!GS11*$C$22)</f>
        <v/>
      </c>
      <c r="GP22" s="11" t="str">
        <f ca="1">IF(History!GT$2="","",History!GT11*$C$22)</f>
        <v/>
      </c>
      <c r="GQ22" s="11" t="str">
        <f ca="1">IF(History!GU$2="","",History!GU11*$C$22)</f>
        <v/>
      </c>
      <c r="GR22" s="11" t="str">
        <f ca="1">IF(History!GV$2="","",History!GV11*$C$22)</f>
        <v/>
      </c>
      <c r="GS22" s="11" t="str">
        <f ca="1">IF(History!GW$2="","",History!GW11*$C$22)</f>
        <v/>
      </c>
      <c r="GT22" s="11" t="str">
        <f ca="1">IF(History!GX$2="","",History!GX11*$C$22)</f>
        <v/>
      </c>
      <c r="GU22" s="11" t="str">
        <f ca="1">IF(History!GY$2="","",History!GY11*$C$22)</f>
        <v/>
      </c>
      <c r="GV22" s="11" t="str">
        <f ca="1">IF(History!GZ$2="","",History!GZ11*$C$22)</f>
        <v/>
      </c>
      <c r="GW22" s="11" t="str">
        <f ca="1">IF(History!HA$2="","",History!HA11*$C$22)</f>
        <v/>
      </c>
      <c r="GX22" s="11" t="str">
        <f ca="1">IF(History!HB$2="","",History!HB11*$C$22)</f>
        <v/>
      </c>
      <c r="GY22" s="11" t="str">
        <f ca="1">IF(History!HC$2="","",History!HC11*$C$22)</f>
        <v/>
      </c>
      <c r="GZ22" s="11" t="str">
        <f ca="1">IF(History!HD$2="","",History!HD11*$C$22)</f>
        <v/>
      </c>
      <c r="HA22" s="11" t="str">
        <f ca="1">IF(History!HE$2="","",History!HE11*$C$22)</f>
        <v/>
      </c>
      <c r="HB22" s="11" t="str">
        <f ca="1">IF(History!HF$2="","",History!HF11*$C$22)</f>
        <v/>
      </c>
      <c r="HC22" s="11" t="str">
        <f ca="1">IF(History!HG$2="","",History!HG11*$C$22)</f>
        <v/>
      </c>
      <c r="HD22" s="11" t="str">
        <f ca="1">IF(History!HH$2="","",History!HH11*$C$22)</f>
        <v/>
      </c>
      <c r="HE22" s="11" t="str">
        <f ca="1">IF(History!HI$2="","",History!HI11*$C$22)</f>
        <v/>
      </c>
      <c r="HF22" s="11" t="str">
        <f ca="1">IF(History!HJ$2="","",History!HJ11*$C$22)</f>
        <v/>
      </c>
      <c r="HG22" s="11" t="str">
        <f ca="1">IF(History!HK$2="","",History!HK11*$C$22)</f>
        <v/>
      </c>
      <c r="HH22" s="11" t="str">
        <f ca="1">IF(History!HL$2="","",History!HL11*$C$22)</f>
        <v/>
      </c>
      <c r="HI22" s="11" t="str">
        <f ca="1">IF(History!HM$2="","",History!HM11*$C$22)</f>
        <v/>
      </c>
      <c r="HJ22" s="11" t="str">
        <f ca="1">IF(History!HN$2="","",History!HN11*$C$22)</f>
        <v/>
      </c>
      <c r="HK22" s="11" t="str">
        <f ca="1">IF(History!HO$2="","",History!HO11*$C$22)</f>
        <v/>
      </c>
      <c r="HL22" s="11" t="str">
        <f ca="1">IF(History!HP$2="","",History!HP11*$C$22)</f>
        <v/>
      </c>
      <c r="HM22" s="11" t="str">
        <f ca="1">IF(History!HQ$2="","",History!HQ11*$C$22)</f>
        <v/>
      </c>
      <c r="HN22" s="11" t="str">
        <f ca="1">IF(History!HR$2="","",History!HR11*$C$22)</f>
        <v/>
      </c>
      <c r="HO22" s="11" t="str">
        <f ca="1">IF(History!HS$2="","",History!HS11*$C$22)</f>
        <v/>
      </c>
      <c r="HP22" s="11" t="str">
        <f ca="1">IF(History!HT$2="","",History!HT11*$C$22)</f>
        <v/>
      </c>
      <c r="HQ22" s="11" t="str">
        <f ca="1">IF(History!HU$2="","",History!HU11*$C$22)</f>
        <v/>
      </c>
      <c r="HR22" s="11" t="str">
        <f ca="1">IF(History!HV$2="","",History!HV11*$C$22)</f>
        <v/>
      </c>
      <c r="HS22" s="11" t="str">
        <f ca="1">IF(History!HW$2="","",History!HW11*$C$22)</f>
        <v/>
      </c>
      <c r="HT22" s="11" t="str">
        <f ca="1">IF(History!HX$2="","",History!HX11*$C$22)</f>
        <v/>
      </c>
      <c r="HU22" s="11" t="str">
        <f ca="1">IF(History!HY$2="","",History!HY11*$C$22)</f>
        <v/>
      </c>
      <c r="HV22" s="11" t="str">
        <f ca="1">IF(History!HZ$2="","",History!HZ11*$C$22)</f>
        <v/>
      </c>
      <c r="HW22" s="11" t="str">
        <f ca="1">IF(History!IA$2="","",History!IA11*$C$22)</f>
        <v/>
      </c>
      <c r="HX22" s="11" t="str">
        <f ca="1">IF(History!IB$2="","",History!IB11*$C$22)</f>
        <v/>
      </c>
      <c r="HY22" s="11" t="str">
        <f ca="1">IF(History!IC$2="","",History!IC11*$C$22)</f>
        <v/>
      </c>
      <c r="HZ22" s="11" t="str">
        <f ca="1">IF(History!ID$2="","",History!ID11*$C$22)</f>
        <v/>
      </c>
      <c r="IA22" s="11" t="str">
        <f ca="1">IF(History!IE$2="","",History!IE11*$C$22)</f>
        <v/>
      </c>
      <c r="IB22" s="11" t="str">
        <f ca="1">IF(History!IF$2="","",History!IF11*$C$22)</f>
        <v/>
      </c>
      <c r="IC22" s="11" t="str">
        <f ca="1">IF(History!IG$2="","",History!IG11*$C$22)</f>
        <v/>
      </c>
      <c r="ID22" s="11" t="str">
        <f ca="1">IF(History!IH$2="","",History!IH11*$C$22)</f>
        <v/>
      </c>
      <c r="IE22" s="11" t="str">
        <f ca="1">IF(History!II$2="","",History!II11*$C$22)</f>
        <v/>
      </c>
      <c r="IF22" s="11" t="str">
        <f ca="1">IF(History!IJ$2="","",History!IJ11*$C$22)</f>
        <v/>
      </c>
      <c r="IG22" s="11" t="str">
        <f ca="1">IF(History!IK$2="","",History!IK11*$C$22)</f>
        <v/>
      </c>
      <c r="IH22" s="11" t="str">
        <f ca="1">IF(History!IL$2="","",History!IL11*$C$22)</f>
        <v/>
      </c>
      <c r="II22" s="11" t="str">
        <f ca="1">IF(History!IM$2="","",History!IM11*$C$22)</f>
        <v/>
      </c>
      <c r="IJ22" s="11" t="str">
        <f ca="1">IF(History!IN$2="","",History!IN11*$C$22)</f>
        <v/>
      </c>
      <c r="IK22" s="11" t="str">
        <f ca="1">IF(History!IO$2="","",History!IO11*$C$22)</f>
        <v/>
      </c>
      <c r="IL22" s="11" t="str">
        <f ca="1">IF(History!IP$2="","",History!IP11*$C$22)</f>
        <v/>
      </c>
      <c r="IM22" s="11" t="str">
        <f ca="1">IF(History!IQ$2="","",History!IQ11*$C$22)</f>
        <v/>
      </c>
      <c r="IN22" s="11" t="str">
        <f ca="1">IF(History!IR$2="","",History!IR11*$C$22)</f>
        <v/>
      </c>
      <c r="IO22" s="11" t="str">
        <f ca="1">IF(History!IS$2="","",History!IS11*$C$22)</f>
        <v/>
      </c>
      <c r="IP22" s="11" t="str">
        <f ca="1">IF(History!IT$2="","",History!IT11*$C$22)</f>
        <v/>
      </c>
      <c r="IQ22" s="11" t="str">
        <f ca="1">IF(History!IU$2="","",History!IU11*$C$22)</f>
        <v/>
      </c>
      <c r="IR22" s="11" t="str">
        <f ca="1">IF(History!IV$2="","",History!IV11*$C$22)</f>
        <v/>
      </c>
      <c r="IS22" s="11" t="str">
        <f ca="1">IF(History!IW$2="","",History!IW11*$C$22)</f>
        <v/>
      </c>
      <c r="IT22" s="11" t="str">
        <f ca="1">IF(History!IX$2="","",History!IX11*$C$22)</f>
        <v/>
      </c>
      <c r="IU22" s="11" t="str">
        <f ca="1">IF(History!IY$2="","",History!IY11*$C$22)</f>
        <v/>
      </c>
      <c r="IV22" s="11" t="str">
        <f ca="1">IF(History!IZ$2="","",History!IZ11*$C$22)</f>
        <v/>
      </c>
      <c r="IW22" s="11" t="str">
        <f ca="1">IF(History!JA$2="","",History!JA11*$C$22)</f>
        <v/>
      </c>
      <c r="IX22" s="11" t="str">
        <f ca="1">IF(History!JB$2="","",History!JB11*$C$22)</f>
        <v/>
      </c>
      <c r="IY22" s="11" t="str">
        <f ca="1">IF(History!JC$2="","",History!JC11*$C$22)</f>
        <v/>
      </c>
      <c r="IZ22" s="11" t="str">
        <f ca="1">IF(History!JD$2="","",History!JD11*$C$22)</f>
        <v/>
      </c>
      <c r="JA22" s="11" t="str">
        <f ca="1">IF(History!JE$2="","",History!JE11*$C$22)</f>
        <v/>
      </c>
      <c r="JB22" s="11" t="str">
        <f ca="1">IF(History!JF$2="","",History!JF11*$C$22)</f>
        <v/>
      </c>
      <c r="JC22" s="11" t="str">
        <f ca="1">IF(History!JG$2="","",History!JG11*$C$22)</f>
        <v/>
      </c>
      <c r="JD22" s="11" t="str">
        <f ca="1">IF(History!JH$2="","",History!JH11*$C$22)</f>
        <v/>
      </c>
      <c r="JE22" s="11" t="str">
        <f ca="1">IF(History!JI$2="","",History!JI11*$C$22)</f>
        <v/>
      </c>
      <c r="JF22" s="11" t="str">
        <f ca="1">IF(History!JJ$2="","",History!JJ11*$C$22)</f>
        <v/>
      </c>
      <c r="JG22" s="11" t="str">
        <f ca="1">IF(History!JK$2="","",History!JK11*$C$22)</f>
        <v/>
      </c>
      <c r="JH22" s="11" t="str">
        <f ca="1">IF(History!JL$2="","",History!JL11*$C$22)</f>
        <v/>
      </c>
      <c r="JI22" s="11" t="str">
        <f ca="1">IF(History!JM$2="","",History!JM11*$C$22)</f>
        <v/>
      </c>
      <c r="JJ22" s="11" t="str">
        <f ca="1">IF(History!JN$2="","",History!JN11*$C$22)</f>
        <v/>
      </c>
      <c r="JK22" s="11" t="str">
        <f ca="1">IF(History!JO$2="","",History!JO11*$C$22)</f>
        <v/>
      </c>
      <c r="JL22" s="11" t="str">
        <f ca="1">IF(History!JP$2="","",History!JP11*$C$22)</f>
        <v/>
      </c>
      <c r="JM22" s="11" t="str">
        <f ca="1">IF(History!JQ$2="","",History!JQ11*$C$22)</f>
        <v/>
      </c>
      <c r="JN22" s="11" t="str">
        <f ca="1">IF(History!JR$2="","",History!JR11*$C$22)</f>
        <v/>
      </c>
      <c r="JO22" s="11" t="str">
        <f ca="1">IF(History!JS$2="","",History!JS11*$C$22)</f>
        <v/>
      </c>
      <c r="JP22" s="11" t="str">
        <f ca="1">IF(History!JT$2="","",History!JT11*$C$22)</f>
        <v/>
      </c>
      <c r="JQ22" s="11" t="str">
        <f ca="1">IF(History!JU$2="","",History!JU11*$C$22)</f>
        <v/>
      </c>
      <c r="JR22" s="11" t="str">
        <f ca="1">IF(History!JV$2="","",History!JV11*$C$22)</f>
        <v/>
      </c>
      <c r="JS22" s="11" t="str">
        <f ca="1">IF(History!JW$2="","",History!JW11*$C$22)</f>
        <v/>
      </c>
      <c r="JT22" s="11" t="str">
        <f ca="1">IF(History!JX$2="","",History!JX11*$C$22)</f>
        <v/>
      </c>
      <c r="JU22" s="11" t="str">
        <f ca="1">IF(History!JY$2="","",History!JY11*$C$22)</f>
        <v/>
      </c>
      <c r="JV22" s="11" t="str">
        <f ca="1">IF(History!JZ$2="","",History!JZ11*$C$22)</f>
        <v/>
      </c>
      <c r="JW22" s="11" t="str">
        <f ca="1">IF(History!KA$2="","",History!KA11*$C$22)</f>
        <v/>
      </c>
      <c r="JX22" s="11" t="str">
        <f ca="1">IF(History!KB$2="","",History!KB11*$C$22)</f>
        <v/>
      </c>
      <c r="JY22" s="11" t="str">
        <f ca="1">IF(History!KC$2="","",History!KC11*$C$22)</f>
        <v/>
      </c>
      <c r="JZ22" s="11" t="str">
        <f ca="1">IF(History!KD$2="","",History!KD11*$C$22)</f>
        <v/>
      </c>
      <c r="KA22" s="11" t="str">
        <f ca="1">IF(History!KE$2="","",History!KE11*$C$22)</f>
        <v/>
      </c>
      <c r="KB22" s="11" t="str">
        <f ca="1">IF(History!KF$2="","",History!KF11*$C$22)</f>
        <v/>
      </c>
    </row>
    <row r="23" spans="1:288" ht="15.75" customHeight="1">
      <c r="A23" s="22" t="s">
        <v>30</v>
      </c>
      <c r="B23" s="6" t="s">
        <v>56</v>
      </c>
      <c r="C23" s="26">
        <v>48</v>
      </c>
      <c r="D23" s="11">
        <f ca="1">IF(History!H$2="","",History!H12*$C$23)</f>
        <v>6588.48</v>
      </c>
      <c r="E23" s="11">
        <f ca="1">IF(History!I$2="","",History!I12*$C$23)</f>
        <v>6641.76</v>
      </c>
      <c r="F23" s="11">
        <f ca="1">IF(History!J$2="","",History!J12*$C$23)</f>
        <v>6389.76</v>
      </c>
      <c r="G23" s="11">
        <f ca="1">IF(History!K$2="","",History!K12*$C$23)</f>
        <v>6017.28</v>
      </c>
      <c r="H23" s="11">
        <f ca="1">IF(History!L$2="","",History!L12*$C$23)</f>
        <v>6161.2800000000007</v>
      </c>
      <c r="I23" s="11">
        <f ca="1">IF(History!M$2="","",History!M12*$C$23)</f>
        <v>6004.7999999999993</v>
      </c>
      <c r="J23" s="11">
        <f ca="1">IF(History!N$2="","",History!N12*$C$23)</f>
        <v>6140.16</v>
      </c>
      <c r="K23" s="11">
        <f ca="1">IF(History!O$2="","",History!O12*$C$23)</f>
        <v>5996.64</v>
      </c>
      <c r="L23" s="11">
        <f ca="1">IF(History!P$2="","",History!P12*$C$23)</f>
        <v>5850.24</v>
      </c>
      <c r="M23" s="11">
        <f ca="1">IF(History!Q$2="","",History!Q12*$C$23)</f>
        <v>6150.7199999999993</v>
      </c>
      <c r="N23" s="11">
        <f ca="1">IF(History!R$2="","",History!R12*$C$23)</f>
        <v>5734.08</v>
      </c>
      <c r="O23" s="11">
        <f ca="1">IF(History!S$2="","",History!S12*$C$23)</f>
        <v>5660.64</v>
      </c>
      <c r="P23" s="11">
        <f ca="1">IF(History!T$2="","",History!T12*$C$23)</f>
        <v>5687.04</v>
      </c>
      <c r="Q23" s="11">
        <f ca="1">IF(History!U$2="","",History!U12*$C$23)</f>
        <v>5788.7999999999993</v>
      </c>
      <c r="R23" s="11">
        <f ca="1">IF(History!V$2="","",History!V12*$C$23)</f>
        <v>6033.6</v>
      </c>
      <c r="S23" s="11">
        <f ca="1">IF(History!W$2="","",History!W12*$C$23)</f>
        <v>6094.5599999999995</v>
      </c>
      <c r="T23" s="11">
        <f ca="1">IF(History!X$2="","",History!X12*$C$23)</f>
        <v>5986.5599999999995</v>
      </c>
      <c r="U23" s="11">
        <f ca="1">IF(History!Y$2="","",History!Y12*$C$23)</f>
        <v>5903.04</v>
      </c>
      <c r="V23" s="11">
        <f ca="1">IF(History!Z$2="","",History!Z12*$C$23)</f>
        <v>5999.04</v>
      </c>
      <c r="W23" s="11">
        <f ca="1">IF(History!AA$2="","",History!AA12*$C$23)</f>
        <v>6001.4400000000005</v>
      </c>
      <c r="X23" s="11">
        <f ca="1">IF(History!AB$2="","",History!AB12*$C$23)</f>
        <v>6274.5599999999995</v>
      </c>
      <c r="Y23" s="11">
        <f ca="1">IF(History!AC$2="","",History!AC12*$C$23)</f>
        <v>6375.84</v>
      </c>
      <c r="Z23" s="11">
        <f ca="1">IF(History!AD$2="","",History!AD12*$C$23)</f>
        <v>6426.24</v>
      </c>
      <c r="AA23" s="11">
        <f ca="1">IF(History!AE$2="","",History!AE12*$C$23)</f>
        <v>6275.0399999999991</v>
      </c>
      <c r="AB23" s="11">
        <f ca="1">IF(History!AF$2="","",History!AF12*$C$23)</f>
        <v>6525.5999999999995</v>
      </c>
      <c r="AC23" s="11">
        <f ca="1">IF(History!AG$2="","",History!AG12*$C$23)</f>
        <v>6562.5599999999995</v>
      </c>
      <c r="AD23" s="11">
        <f ca="1">IF(History!AH$2="","",History!AH12*$C$23)</f>
        <v>6251.0399999999991</v>
      </c>
      <c r="AE23" s="11">
        <f ca="1">IF(History!AI$2="","",History!AI12*$C$23)</f>
        <v>5889.6</v>
      </c>
      <c r="AF23" s="11">
        <f ca="1">IF(History!AJ$2="","",History!AJ12*$C$23)</f>
        <v>5524.32</v>
      </c>
      <c r="AG23" s="11">
        <f ca="1">IF(History!AK$2="","",History!AK12*$C$23)</f>
        <v>5488.7999999999993</v>
      </c>
      <c r="AH23" s="11">
        <f ca="1">IF(History!AL$2="","",History!AL12*$C$23)</f>
        <v>4998.72</v>
      </c>
      <c r="AI23" s="11">
        <f ca="1">IF(History!AM$2="","",History!AM12*$C$23)</f>
        <v>5140.32</v>
      </c>
      <c r="AJ23" s="11">
        <f ca="1">IF(History!AN$2="","",History!AN12*$C$23)</f>
        <v>5132.6400000000003</v>
      </c>
      <c r="AK23" s="11">
        <f ca="1">IF(History!AO$2="","",History!AO12*$C$23)</f>
        <v>5280</v>
      </c>
      <c r="AL23" s="11">
        <f ca="1">IF(History!AP$2="","",History!AP12*$C$23)</f>
        <v>5161.92</v>
      </c>
      <c r="AM23" s="11">
        <f ca="1">IF(History!AQ$2="","",History!AQ12*$C$23)</f>
        <v>5235.3599999999997</v>
      </c>
      <c r="AN23" s="11">
        <f ca="1">IF(History!AR$2="","",History!AR12*$C$23)</f>
        <v>4933.92</v>
      </c>
      <c r="AO23" s="11">
        <f ca="1">IF(History!AS$2="","",History!AS12*$C$23)</f>
        <v>4676.16</v>
      </c>
      <c r="AP23" s="11">
        <f ca="1">IF(History!AT$2="","",History!AT12*$C$23)</f>
        <v>4387.2000000000007</v>
      </c>
      <c r="AQ23" s="11">
        <f ca="1">IF(History!AU$2="","",History!AU12*$C$23)</f>
        <v>4407.3599999999997</v>
      </c>
      <c r="AR23" s="11">
        <f ca="1">IF(History!AV$2="","",History!AV12*$C$23)</f>
        <v>4532.6400000000003</v>
      </c>
      <c r="AS23" s="11">
        <f ca="1">IF(History!AW$2="","",History!AW12*$C$23)</f>
        <v>4387.68</v>
      </c>
      <c r="AT23" s="11">
        <f ca="1">IF(History!AX$2="","",History!AX12*$C$23)</f>
        <v>4194.24</v>
      </c>
      <c r="AU23" s="11">
        <f ca="1">IF(History!AY$2="","",History!AY12*$C$23)</f>
        <v>3989.76</v>
      </c>
      <c r="AV23" s="11">
        <f ca="1">IF(History!AZ$2="","",History!AZ12*$C$23)</f>
        <v>4081.44</v>
      </c>
      <c r="AW23" s="11">
        <f ca="1">IF(History!BA$2="","",History!BA12*$C$23)</f>
        <v>4476.4800000000005</v>
      </c>
      <c r="AX23" s="11">
        <f ca="1">IF(History!BB$2="","",History!BB12*$C$23)</f>
        <v>4638.72</v>
      </c>
      <c r="AY23" s="11">
        <f ca="1">IF(History!BC$2="","",History!BC12*$C$23)</f>
        <v>4991.04</v>
      </c>
      <c r="AZ23" s="11">
        <f ca="1">IF(History!BD$2="","",History!BD12*$C$23)</f>
        <v>4970.88</v>
      </c>
      <c r="BA23" s="11">
        <f ca="1">IF(History!BE$2="","",History!BE12*$C$23)</f>
        <v>5182.08</v>
      </c>
      <c r="BB23" s="11">
        <f ca="1">IF(History!BF$2="","",History!BF12*$C$23)</f>
        <v>5159.04</v>
      </c>
      <c r="BC23" s="11">
        <f ca="1">IF(History!BG$2="","",History!BG12*$C$23)</f>
        <v>5267.5199999999995</v>
      </c>
      <c r="BD23" s="11">
        <f ca="1">IF(History!BH$2="","",History!BH12*$C$23)</f>
        <v>5103.3599999999997</v>
      </c>
      <c r="BE23" s="11">
        <f ca="1">IF(History!BI$2="","",History!BI12*$C$23)</f>
        <v>5134.08</v>
      </c>
      <c r="BF23" s="11">
        <f ca="1">IF(History!BJ$2="","",History!BJ12*$C$23)</f>
        <v>5381.28</v>
      </c>
      <c r="BG23" s="11">
        <f ca="1">IF(History!BK$2="","",History!BK12*$C$23)</f>
        <v>5310.72</v>
      </c>
      <c r="BH23" s="11">
        <f ca="1">IF(History!BL$2="","",History!BL12*$C$23)</f>
        <v>5299.2000000000007</v>
      </c>
      <c r="BI23" s="11">
        <f ca="1">IF(History!BM$2="","",History!BM12*$C$23)</f>
        <v>5592</v>
      </c>
      <c r="BJ23" s="11">
        <f ca="1">IF(History!BN$2="","",History!BN12*$C$23)</f>
        <v>5679.84</v>
      </c>
      <c r="BK23" s="11">
        <f ca="1">IF(History!BO$2="","",History!BO12*$C$23)</f>
        <v>5716.32</v>
      </c>
      <c r="BL23" s="11">
        <f ca="1">IF(History!BP$2="","",History!BP12*$C$23)</f>
        <v>5529.12</v>
      </c>
      <c r="BM23" s="11">
        <f ca="1">IF(History!BQ$2="","",History!BQ12*$C$23)</f>
        <v>5367.84</v>
      </c>
      <c r="BN23" s="11">
        <f ca="1">IF(History!BR$2="","",History!BR12*$C$23)</f>
        <v>5280</v>
      </c>
      <c r="BO23" s="11">
        <f ca="1">IF(History!BS$2="","",History!BS12*$C$23)</f>
        <v>5557.92</v>
      </c>
      <c r="BP23" s="11">
        <f ca="1">IF(History!BT$2="","",History!BT12*$C$23)</f>
        <v>5326.5599999999995</v>
      </c>
      <c r="BQ23" s="11">
        <f ca="1">IF(History!BU$2="","",History!BU12*$C$23)</f>
        <v>5601.6</v>
      </c>
      <c r="BR23" s="11">
        <f ca="1">IF(History!BV$2="","",History!BV12*$C$23)</f>
        <v>5447.5199999999995</v>
      </c>
      <c r="BS23" s="11">
        <f ca="1">IF(History!BW$2="","",History!BW12*$C$23)</f>
        <v>5226.72</v>
      </c>
      <c r="BT23" s="11">
        <f ca="1">IF(History!BX$2="","",History!BX12*$C$23)</f>
        <v>5341.92</v>
      </c>
      <c r="BU23" s="11">
        <f ca="1">IF(History!BY$2="","",History!BY12*$C$23)</f>
        <v>5233.92</v>
      </c>
      <c r="BV23" s="11">
        <f ca="1">IF(History!BZ$2="","",History!BZ12*$C$23)</f>
        <v>5037.6000000000004</v>
      </c>
      <c r="BW23" s="11">
        <f ca="1">IF(History!CA$2="","",History!CA12*$C$23)</f>
        <v>4936.7999999999993</v>
      </c>
      <c r="BX23" s="11">
        <f ca="1">IF(History!CB$2="","",History!CB12*$C$23)</f>
        <v>5100</v>
      </c>
      <c r="BY23" s="11">
        <f ca="1">IF(History!CC$2="","",History!CC12*$C$23)</f>
        <v>4843.2000000000007</v>
      </c>
      <c r="BZ23" s="11">
        <f ca="1">IF(History!CD$2="","",History!CD12*$C$23)</f>
        <v>4843.68</v>
      </c>
      <c r="CA23" s="11">
        <f ca="1">IF(History!CE$2="","",History!CE12*$C$23)</f>
        <v>4945.92</v>
      </c>
      <c r="CB23" s="11">
        <f ca="1">IF(History!CF$2="","",History!CF12*$C$23)</f>
        <v>5284.7999999999993</v>
      </c>
      <c r="CC23" s="11">
        <f ca="1">IF(History!CG$2="","",History!CG12*$C$23)</f>
        <v>5571.36</v>
      </c>
      <c r="CD23" s="11">
        <f ca="1">IF(History!CH$2="","",History!CH12*$C$23)</f>
        <v>5491.2000000000007</v>
      </c>
      <c r="CE23" s="11">
        <f ca="1">IF(History!CI$2="","",History!CI12*$C$23)</f>
        <v>5527.2000000000007</v>
      </c>
      <c r="CF23" s="11" t="str">
        <f ca="1">IF(History!CJ$2="","",History!CJ12*$C$23)</f>
        <v/>
      </c>
      <c r="CG23" s="11" t="str">
        <f ca="1">IF(History!CK$2="","",History!CK12*$C$23)</f>
        <v/>
      </c>
      <c r="CH23" s="11" t="str">
        <f ca="1">IF(History!CL$2="","",History!CL12*$C$23)</f>
        <v/>
      </c>
      <c r="CI23" s="11" t="str">
        <f ca="1">IF(History!CM$2="","",History!CM12*$C$23)</f>
        <v/>
      </c>
      <c r="CJ23" s="11" t="str">
        <f ca="1">IF(History!CN$2="","",History!CN12*$C$23)</f>
        <v/>
      </c>
      <c r="CK23" s="11" t="str">
        <f ca="1">IF(History!CO$2="","",History!CO12*$C$23)</f>
        <v/>
      </c>
      <c r="CL23" s="11" t="str">
        <f ca="1">IF(History!CP$2="","",History!CP12*$C$23)</f>
        <v/>
      </c>
      <c r="CM23" s="11" t="str">
        <f ca="1">IF(History!CQ$2="","",History!CQ12*$C$23)</f>
        <v/>
      </c>
      <c r="CN23" s="11" t="str">
        <f ca="1">IF(History!CR$2="","",History!CR12*$C$23)</f>
        <v/>
      </c>
      <c r="CO23" s="11" t="str">
        <f ca="1">IF(History!CS$2="","",History!CS12*$C$23)</f>
        <v/>
      </c>
      <c r="CP23" s="11" t="str">
        <f ca="1">IF(History!CT$2="","",History!CT12*$C$23)</f>
        <v/>
      </c>
      <c r="CQ23" s="11" t="str">
        <f ca="1">IF(History!CU$2="","",History!CU12*$C$23)</f>
        <v/>
      </c>
      <c r="CR23" s="11" t="str">
        <f ca="1">IF(History!CV$2="","",History!CV12*$C$23)</f>
        <v/>
      </c>
      <c r="CS23" s="11" t="str">
        <f ca="1">IF(History!CW$2="","",History!CW12*$C$23)</f>
        <v/>
      </c>
      <c r="CT23" s="11" t="str">
        <f ca="1">IF(History!CX$2="","",History!CX12*$C$23)</f>
        <v/>
      </c>
      <c r="CU23" s="11" t="str">
        <f ca="1">IF(History!CY$2="","",History!CY12*$C$23)</f>
        <v/>
      </c>
      <c r="CV23" s="11" t="str">
        <f ca="1">IF(History!CZ$2="","",History!CZ12*$C$23)</f>
        <v/>
      </c>
      <c r="CW23" s="11" t="str">
        <f ca="1">IF(History!DA$2="","",History!DA12*$C$23)</f>
        <v/>
      </c>
      <c r="CX23" s="11" t="str">
        <f ca="1">IF(History!DB$2="","",History!DB12*$C$23)</f>
        <v/>
      </c>
      <c r="CY23" s="11" t="str">
        <f ca="1">IF(History!DC$2="","",History!DC12*$C$23)</f>
        <v/>
      </c>
      <c r="CZ23" s="11" t="str">
        <f ca="1">IF(History!DD$2="","",History!DD12*$C$23)</f>
        <v/>
      </c>
      <c r="DA23" s="11" t="str">
        <f ca="1">IF(History!DE$2="","",History!DE12*$C$23)</f>
        <v/>
      </c>
      <c r="DB23" s="11" t="str">
        <f ca="1">IF(History!DF$2="","",History!DF12*$C$23)</f>
        <v/>
      </c>
      <c r="DC23" s="11" t="str">
        <f ca="1">IF(History!DG$2="","",History!DG12*$C$23)</f>
        <v/>
      </c>
      <c r="DD23" s="11" t="str">
        <f ca="1">IF(History!DH$2="","",History!DH12*$C$23)</f>
        <v/>
      </c>
      <c r="DE23" s="11" t="str">
        <f ca="1">IF(History!DI$2="","",History!DI12*$C$23)</f>
        <v/>
      </c>
      <c r="DF23" s="11" t="str">
        <f ca="1">IF(History!DJ$2="","",History!DJ12*$C$23)</f>
        <v/>
      </c>
      <c r="DG23" s="11" t="str">
        <f ca="1">IF(History!DK$2="","",History!DK12*$C$23)</f>
        <v/>
      </c>
      <c r="DH23" s="11" t="str">
        <f ca="1">IF(History!DL$2="","",History!DL12*$C$23)</f>
        <v/>
      </c>
      <c r="DI23" s="11" t="str">
        <f ca="1">IF(History!DM$2="","",History!DM12*$C$23)</f>
        <v/>
      </c>
      <c r="DJ23" s="11" t="str">
        <f ca="1">IF(History!DN$2="","",History!DN12*$C$23)</f>
        <v/>
      </c>
      <c r="DK23" s="11" t="str">
        <f ca="1">IF(History!DO$2="","",History!DO12*$C$23)</f>
        <v/>
      </c>
      <c r="DL23" s="11" t="str">
        <f ca="1">IF(History!DP$2="","",History!DP12*$C$23)</f>
        <v/>
      </c>
      <c r="DM23" s="11" t="str">
        <f ca="1">IF(History!DQ$2="","",History!DQ12*$C$23)</f>
        <v/>
      </c>
      <c r="DN23" s="11" t="str">
        <f ca="1">IF(History!DR$2="","",History!DR12*$C$23)</f>
        <v/>
      </c>
      <c r="DO23" s="11" t="str">
        <f ca="1">IF(History!DS$2="","",History!DS12*$C$23)</f>
        <v/>
      </c>
      <c r="DP23" s="11" t="str">
        <f ca="1">IF(History!DT$2="","",History!DT12*$C$23)</f>
        <v/>
      </c>
      <c r="DQ23" s="11" t="str">
        <f ca="1">IF(History!DU$2="","",History!DU12*$C$23)</f>
        <v/>
      </c>
      <c r="DR23" s="11" t="str">
        <f ca="1">IF(History!DV$2="","",History!DV12*$C$23)</f>
        <v/>
      </c>
      <c r="DS23" s="11" t="str">
        <f ca="1">IF(History!DW$2="","",History!DW12*$C$23)</f>
        <v/>
      </c>
      <c r="DT23" s="11" t="str">
        <f ca="1">IF(History!DX$2="","",History!DX12*$C$23)</f>
        <v/>
      </c>
      <c r="DU23" s="11" t="str">
        <f ca="1">IF(History!DY$2="","",History!DY12*$C$23)</f>
        <v/>
      </c>
      <c r="DV23" s="11" t="str">
        <f ca="1">IF(History!DZ$2="","",History!DZ12*$C$23)</f>
        <v/>
      </c>
      <c r="DW23" s="11" t="str">
        <f ca="1">IF(History!EA$2="","",History!EA12*$C$23)</f>
        <v/>
      </c>
      <c r="DX23" s="11" t="str">
        <f ca="1">IF(History!EB$2="","",History!EB12*$C$23)</f>
        <v/>
      </c>
      <c r="DY23" s="11" t="str">
        <f ca="1">IF(History!EC$2="","",History!EC12*$C$23)</f>
        <v/>
      </c>
      <c r="DZ23" s="11" t="str">
        <f ca="1">IF(History!ED$2="","",History!ED12*$C$23)</f>
        <v/>
      </c>
      <c r="EA23" s="11" t="str">
        <f ca="1">IF(History!EE$2="","",History!EE12*$C$23)</f>
        <v/>
      </c>
      <c r="EB23" s="11" t="str">
        <f ca="1">IF(History!EF$2="","",History!EF12*$C$23)</f>
        <v/>
      </c>
      <c r="EC23" s="11" t="str">
        <f ca="1">IF(History!EG$2="","",History!EG12*$C$23)</f>
        <v/>
      </c>
      <c r="ED23" s="11" t="str">
        <f ca="1">IF(History!EH$2="","",History!EH12*$C$23)</f>
        <v/>
      </c>
      <c r="EE23" s="11" t="str">
        <f ca="1">IF(History!EI$2="","",History!EI12*$C$23)</f>
        <v/>
      </c>
      <c r="EF23" s="11" t="str">
        <f ca="1">IF(History!EJ$2="","",History!EJ12*$C$23)</f>
        <v/>
      </c>
      <c r="EG23" s="11" t="str">
        <f ca="1">IF(History!EK$2="","",History!EK12*$C$23)</f>
        <v/>
      </c>
      <c r="EH23" s="11" t="str">
        <f ca="1">IF(History!EL$2="","",History!EL12*$C$23)</f>
        <v/>
      </c>
      <c r="EI23" s="11" t="str">
        <f ca="1">IF(History!EM$2="","",History!EM12*$C$23)</f>
        <v/>
      </c>
      <c r="EJ23" s="11" t="str">
        <f ca="1">IF(History!EN$2="","",History!EN12*$C$23)</f>
        <v/>
      </c>
      <c r="EK23" s="11" t="str">
        <f ca="1">IF(History!EO$2="","",History!EO12*$C$23)</f>
        <v/>
      </c>
      <c r="EL23" s="11" t="str">
        <f ca="1">IF(History!EP$2="","",History!EP12*$C$23)</f>
        <v/>
      </c>
      <c r="EM23" s="11" t="str">
        <f ca="1">IF(History!EQ$2="","",History!EQ12*$C$23)</f>
        <v/>
      </c>
      <c r="EN23" s="11" t="str">
        <f ca="1">IF(History!ER$2="","",History!ER12*$C$23)</f>
        <v/>
      </c>
      <c r="EO23" s="11" t="str">
        <f ca="1">IF(History!ES$2="","",History!ES12*$C$23)</f>
        <v/>
      </c>
      <c r="EP23" s="11" t="str">
        <f ca="1">IF(History!ET$2="","",History!ET12*$C$23)</f>
        <v/>
      </c>
      <c r="EQ23" s="11" t="str">
        <f ca="1">IF(History!EU$2="","",History!EU12*$C$23)</f>
        <v/>
      </c>
      <c r="ER23" s="11" t="str">
        <f ca="1">IF(History!EV$2="","",History!EV12*$C$23)</f>
        <v/>
      </c>
      <c r="ES23" s="11" t="str">
        <f ca="1">IF(History!EW$2="","",History!EW12*$C$23)</f>
        <v/>
      </c>
      <c r="ET23" s="11" t="str">
        <f ca="1">IF(History!EX$2="","",History!EX12*$C$23)</f>
        <v/>
      </c>
      <c r="EU23" s="11" t="str">
        <f ca="1">IF(History!EY$2="","",History!EY12*$C$23)</f>
        <v/>
      </c>
      <c r="EV23" s="11" t="str">
        <f ca="1">IF(History!EZ$2="","",History!EZ12*$C$23)</f>
        <v/>
      </c>
      <c r="EW23" s="11" t="str">
        <f ca="1">IF(History!FA$2="","",History!FA12*$C$23)</f>
        <v/>
      </c>
      <c r="EX23" s="11" t="str">
        <f ca="1">IF(History!FB$2="","",History!FB12*$C$23)</f>
        <v/>
      </c>
      <c r="EY23" s="11" t="str">
        <f ca="1">IF(History!FC$2="","",History!FC12*$C$23)</f>
        <v/>
      </c>
      <c r="EZ23" s="11" t="str">
        <f ca="1">IF(History!FD$2="","",History!FD12*$C$23)</f>
        <v/>
      </c>
      <c r="FA23" s="11" t="str">
        <f ca="1">IF(History!FE$2="","",History!FE12*$C$23)</f>
        <v/>
      </c>
      <c r="FB23" s="11" t="str">
        <f ca="1">IF(History!FF$2="","",History!FF12*$C$23)</f>
        <v/>
      </c>
      <c r="FC23" s="11" t="str">
        <f ca="1">IF(History!FG$2="","",History!FG12*$C$23)</f>
        <v/>
      </c>
      <c r="FD23" s="11" t="str">
        <f ca="1">IF(History!FH$2="","",History!FH12*$C$23)</f>
        <v/>
      </c>
      <c r="FE23" s="11" t="str">
        <f ca="1">IF(History!FI$2="","",History!FI12*$C$23)</f>
        <v/>
      </c>
      <c r="FF23" s="11" t="str">
        <f ca="1">IF(History!FJ$2="","",History!FJ12*$C$23)</f>
        <v/>
      </c>
      <c r="FG23" s="11" t="str">
        <f ca="1">IF(History!FK$2="","",History!FK12*$C$23)</f>
        <v/>
      </c>
      <c r="FH23" s="11" t="str">
        <f ca="1">IF(History!FL$2="","",History!FL12*$C$23)</f>
        <v/>
      </c>
      <c r="FI23" s="11" t="str">
        <f ca="1">IF(History!FM$2="","",History!FM12*$C$23)</f>
        <v/>
      </c>
      <c r="FJ23" s="11" t="str">
        <f ca="1">IF(History!FN$2="","",History!FN12*$C$23)</f>
        <v/>
      </c>
      <c r="FK23" s="11" t="str">
        <f ca="1">IF(History!FO$2="","",History!FO12*$C$23)</f>
        <v/>
      </c>
      <c r="FL23" s="11" t="str">
        <f ca="1">IF(History!FP$2="","",History!FP12*$C$23)</f>
        <v/>
      </c>
      <c r="FM23" s="11" t="str">
        <f ca="1">IF(History!FQ$2="","",History!FQ12*$C$23)</f>
        <v/>
      </c>
      <c r="FN23" s="11" t="str">
        <f ca="1">IF(History!FR$2="","",History!FR12*$C$23)</f>
        <v/>
      </c>
      <c r="FO23" s="11" t="str">
        <f ca="1">IF(History!FS$2="","",History!FS12*$C$23)</f>
        <v/>
      </c>
      <c r="FP23" s="11" t="str">
        <f ca="1">IF(History!FT$2="","",History!FT12*$C$23)</f>
        <v/>
      </c>
      <c r="FQ23" s="11" t="str">
        <f ca="1">IF(History!FU$2="","",History!FU12*$C$23)</f>
        <v/>
      </c>
      <c r="FR23" s="11" t="str">
        <f ca="1">IF(History!FV$2="","",History!FV12*$C$23)</f>
        <v/>
      </c>
      <c r="FS23" s="11" t="str">
        <f ca="1">IF(History!FW$2="","",History!FW12*$C$23)</f>
        <v/>
      </c>
      <c r="FT23" s="11" t="str">
        <f ca="1">IF(History!FX$2="","",History!FX12*$C$23)</f>
        <v/>
      </c>
      <c r="FU23" s="11" t="str">
        <f ca="1">IF(History!FY$2="","",History!FY12*$C$23)</f>
        <v/>
      </c>
      <c r="FV23" s="11" t="str">
        <f ca="1">IF(History!FZ$2="","",History!FZ12*$C$23)</f>
        <v/>
      </c>
      <c r="FW23" s="11" t="str">
        <f ca="1">IF(History!GA$2="","",History!GA12*$C$23)</f>
        <v/>
      </c>
      <c r="FX23" s="11" t="str">
        <f ca="1">IF(History!GB$2="","",History!GB12*$C$23)</f>
        <v/>
      </c>
      <c r="FY23" s="11" t="str">
        <f ca="1">IF(History!GC$2="","",History!GC12*$C$23)</f>
        <v/>
      </c>
      <c r="FZ23" s="11" t="str">
        <f ca="1">IF(History!GD$2="","",History!GD12*$C$23)</f>
        <v/>
      </c>
      <c r="GA23" s="11" t="str">
        <f ca="1">IF(History!GE$2="","",History!GE12*$C$23)</f>
        <v/>
      </c>
      <c r="GB23" s="11" t="str">
        <f ca="1">IF(History!GF$2="","",History!GF12*$C$23)</f>
        <v/>
      </c>
      <c r="GC23" s="11" t="str">
        <f ca="1">IF(History!GG$2="","",History!GG12*$C$23)</f>
        <v/>
      </c>
      <c r="GD23" s="11" t="str">
        <f ca="1">IF(History!GH$2="","",History!GH12*$C$23)</f>
        <v/>
      </c>
      <c r="GE23" s="11" t="str">
        <f ca="1">IF(History!GI$2="","",History!GI12*$C$23)</f>
        <v/>
      </c>
      <c r="GF23" s="11" t="str">
        <f ca="1">IF(History!GJ$2="","",History!GJ12*$C$23)</f>
        <v/>
      </c>
      <c r="GG23" s="11" t="str">
        <f ca="1">IF(History!GK$2="","",History!GK12*$C$23)</f>
        <v/>
      </c>
      <c r="GH23" s="11" t="str">
        <f ca="1">IF(History!GL$2="","",History!GL12*$C$23)</f>
        <v/>
      </c>
      <c r="GI23" s="11" t="str">
        <f ca="1">IF(History!GM$2="","",History!GM12*$C$23)</f>
        <v/>
      </c>
      <c r="GJ23" s="11" t="str">
        <f ca="1">IF(History!GN$2="","",History!GN12*$C$23)</f>
        <v/>
      </c>
      <c r="GK23" s="11" t="str">
        <f ca="1">IF(History!GO$2="","",History!GO12*$C$23)</f>
        <v/>
      </c>
      <c r="GL23" s="11" t="str">
        <f ca="1">IF(History!GP$2="","",History!GP12*$C$23)</f>
        <v/>
      </c>
      <c r="GM23" s="11" t="str">
        <f ca="1">IF(History!GQ$2="","",History!GQ12*$C$23)</f>
        <v/>
      </c>
      <c r="GN23" s="11" t="str">
        <f ca="1">IF(History!GR$2="","",History!GR12*$C$23)</f>
        <v/>
      </c>
      <c r="GO23" s="11" t="str">
        <f ca="1">IF(History!GS$2="","",History!GS12*$C$23)</f>
        <v/>
      </c>
      <c r="GP23" s="11" t="str">
        <f ca="1">IF(History!GT$2="","",History!GT12*$C$23)</f>
        <v/>
      </c>
      <c r="GQ23" s="11" t="str">
        <f ca="1">IF(History!GU$2="","",History!GU12*$C$23)</f>
        <v/>
      </c>
      <c r="GR23" s="11" t="str">
        <f ca="1">IF(History!GV$2="","",History!GV12*$C$23)</f>
        <v/>
      </c>
      <c r="GS23" s="11" t="str">
        <f ca="1">IF(History!GW$2="","",History!GW12*$C$23)</f>
        <v/>
      </c>
      <c r="GT23" s="11" t="str">
        <f ca="1">IF(History!GX$2="","",History!GX12*$C$23)</f>
        <v/>
      </c>
      <c r="GU23" s="11" t="str">
        <f ca="1">IF(History!GY$2="","",History!GY12*$C$23)</f>
        <v/>
      </c>
      <c r="GV23" s="11" t="str">
        <f ca="1">IF(History!GZ$2="","",History!GZ12*$C$23)</f>
        <v/>
      </c>
      <c r="GW23" s="11" t="str">
        <f ca="1">IF(History!HA$2="","",History!HA12*$C$23)</f>
        <v/>
      </c>
      <c r="GX23" s="11" t="str">
        <f ca="1">IF(History!HB$2="","",History!HB12*$C$23)</f>
        <v/>
      </c>
      <c r="GY23" s="11" t="str">
        <f ca="1">IF(History!HC$2="","",History!HC12*$C$23)</f>
        <v/>
      </c>
      <c r="GZ23" s="11" t="str">
        <f ca="1">IF(History!HD$2="","",History!HD12*$C$23)</f>
        <v/>
      </c>
      <c r="HA23" s="11" t="str">
        <f ca="1">IF(History!HE$2="","",History!HE12*$C$23)</f>
        <v/>
      </c>
      <c r="HB23" s="11" t="str">
        <f ca="1">IF(History!HF$2="","",History!HF12*$C$23)</f>
        <v/>
      </c>
      <c r="HC23" s="11" t="str">
        <f ca="1">IF(History!HG$2="","",History!HG12*$C$23)</f>
        <v/>
      </c>
      <c r="HD23" s="11" t="str">
        <f ca="1">IF(History!HH$2="","",History!HH12*$C$23)</f>
        <v/>
      </c>
      <c r="HE23" s="11" t="str">
        <f ca="1">IF(History!HI$2="","",History!HI12*$C$23)</f>
        <v/>
      </c>
      <c r="HF23" s="11" t="str">
        <f ca="1">IF(History!HJ$2="","",History!HJ12*$C$23)</f>
        <v/>
      </c>
      <c r="HG23" s="11" t="str">
        <f ca="1">IF(History!HK$2="","",History!HK12*$C$23)</f>
        <v/>
      </c>
      <c r="HH23" s="11" t="str">
        <f ca="1">IF(History!HL$2="","",History!HL12*$C$23)</f>
        <v/>
      </c>
      <c r="HI23" s="11" t="str">
        <f ca="1">IF(History!HM$2="","",History!HM12*$C$23)</f>
        <v/>
      </c>
      <c r="HJ23" s="11" t="str">
        <f ca="1">IF(History!HN$2="","",History!HN12*$C$23)</f>
        <v/>
      </c>
      <c r="HK23" s="11" t="str">
        <f ca="1">IF(History!HO$2="","",History!HO12*$C$23)</f>
        <v/>
      </c>
      <c r="HL23" s="11" t="str">
        <f ca="1">IF(History!HP$2="","",History!HP12*$C$23)</f>
        <v/>
      </c>
      <c r="HM23" s="11" t="str">
        <f ca="1">IF(History!HQ$2="","",History!HQ12*$C$23)</f>
        <v/>
      </c>
      <c r="HN23" s="11" t="str">
        <f ca="1">IF(History!HR$2="","",History!HR12*$C$23)</f>
        <v/>
      </c>
      <c r="HO23" s="11" t="str">
        <f ca="1">IF(History!HS$2="","",History!HS12*$C$23)</f>
        <v/>
      </c>
      <c r="HP23" s="11" t="str">
        <f ca="1">IF(History!HT$2="","",History!HT12*$C$23)</f>
        <v/>
      </c>
      <c r="HQ23" s="11" t="str">
        <f ca="1">IF(History!HU$2="","",History!HU12*$C$23)</f>
        <v/>
      </c>
      <c r="HR23" s="11" t="str">
        <f ca="1">IF(History!HV$2="","",History!HV12*$C$23)</f>
        <v/>
      </c>
      <c r="HS23" s="11" t="str">
        <f ca="1">IF(History!HW$2="","",History!HW12*$C$23)</f>
        <v/>
      </c>
      <c r="HT23" s="11" t="str">
        <f ca="1">IF(History!HX$2="","",History!HX12*$C$23)</f>
        <v/>
      </c>
      <c r="HU23" s="11" t="str">
        <f ca="1">IF(History!HY$2="","",History!HY12*$C$23)</f>
        <v/>
      </c>
      <c r="HV23" s="11" t="str">
        <f ca="1">IF(History!HZ$2="","",History!HZ12*$C$23)</f>
        <v/>
      </c>
      <c r="HW23" s="11" t="str">
        <f ca="1">IF(History!IA$2="","",History!IA12*$C$23)</f>
        <v/>
      </c>
      <c r="HX23" s="11" t="str">
        <f ca="1">IF(History!IB$2="","",History!IB12*$C$23)</f>
        <v/>
      </c>
      <c r="HY23" s="11" t="str">
        <f ca="1">IF(History!IC$2="","",History!IC12*$C$23)</f>
        <v/>
      </c>
      <c r="HZ23" s="11" t="str">
        <f ca="1">IF(History!ID$2="","",History!ID12*$C$23)</f>
        <v/>
      </c>
      <c r="IA23" s="11" t="str">
        <f ca="1">IF(History!IE$2="","",History!IE12*$C$23)</f>
        <v/>
      </c>
      <c r="IB23" s="11" t="str">
        <f ca="1">IF(History!IF$2="","",History!IF12*$C$23)</f>
        <v/>
      </c>
      <c r="IC23" s="11" t="str">
        <f ca="1">IF(History!IG$2="","",History!IG12*$C$23)</f>
        <v/>
      </c>
      <c r="ID23" s="11" t="str">
        <f ca="1">IF(History!IH$2="","",History!IH12*$C$23)</f>
        <v/>
      </c>
      <c r="IE23" s="11" t="str">
        <f ca="1">IF(History!II$2="","",History!II12*$C$23)</f>
        <v/>
      </c>
      <c r="IF23" s="11" t="str">
        <f ca="1">IF(History!IJ$2="","",History!IJ12*$C$23)</f>
        <v/>
      </c>
      <c r="IG23" s="11" t="str">
        <f ca="1">IF(History!IK$2="","",History!IK12*$C$23)</f>
        <v/>
      </c>
      <c r="IH23" s="11" t="str">
        <f ca="1">IF(History!IL$2="","",History!IL12*$C$23)</f>
        <v/>
      </c>
      <c r="II23" s="11" t="str">
        <f ca="1">IF(History!IM$2="","",History!IM12*$C$23)</f>
        <v/>
      </c>
      <c r="IJ23" s="11" t="str">
        <f ca="1">IF(History!IN$2="","",History!IN12*$C$23)</f>
        <v/>
      </c>
      <c r="IK23" s="11" t="str">
        <f ca="1">IF(History!IO$2="","",History!IO12*$C$23)</f>
        <v/>
      </c>
      <c r="IL23" s="11" t="str">
        <f ca="1">IF(History!IP$2="","",History!IP12*$C$23)</f>
        <v/>
      </c>
      <c r="IM23" s="11" t="str">
        <f ca="1">IF(History!IQ$2="","",History!IQ12*$C$23)</f>
        <v/>
      </c>
      <c r="IN23" s="11" t="str">
        <f ca="1">IF(History!IR$2="","",History!IR12*$C$23)</f>
        <v/>
      </c>
      <c r="IO23" s="11" t="str">
        <f ca="1">IF(History!IS$2="","",History!IS12*$C$23)</f>
        <v/>
      </c>
      <c r="IP23" s="11" t="str">
        <f ca="1">IF(History!IT$2="","",History!IT12*$C$23)</f>
        <v/>
      </c>
      <c r="IQ23" s="11" t="str">
        <f ca="1">IF(History!IU$2="","",History!IU12*$C$23)</f>
        <v/>
      </c>
      <c r="IR23" s="11" t="str">
        <f ca="1">IF(History!IV$2="","",History!IV12*$C$23)</f>
        <v/>
      </c>
      <c r="IS23" s="11" t="str">
        <f ca="1">IF(History!IW$2="","",History!IW12*$C$23)</f>
        <v/>
      </c>
      <c r="IT23" s="11" t="str">
        <f ca="1">IF(History!IX$2="","",History!IX12*$C$23)</f>
        <v/>
      </c>
      <c r="IU23" s="11" t="str">
        <f ca="1">IF(History!IY$2="","",History!IY12*$C$23)</f>
        <v/>
      </c>
      <c r="IV23" s="11" t="str">
        <f ca="1">IF(History!IZ$2="","",History!IZ12*$C$23)</f>
        <v/>
      </c>
      <c r="IW23" s="11" t="str">
        <f ca="1">IF(History!JA$2="","",History!JA12*$C$23)</f>
        <v/>
      </c>
      <c r="IX23" s="11" t="str">
        <f ca="1">IF(History!JB$2="","",History!JB12*$C$23)</f>
        <v/>
      </c>
      <c r="IY23" s="11" t="str">
        <f ca="1">IF(History!JC$2="","",History!JC12*$C$23)</f>
        <v/>
      </c>
      <c r="IZ23" s="11" t="str">
        <f ca="1">IF(History!JD$2="","",History!JD12*$C$23)</f>
        <v/>
      </c>
      <c r="JA23" s="11" t="str">
        <f ca="1">IF(History!JE$2="","",History!JE12*$C$23)</f>
        <v/>
      </c>
      <c r="JB23" s="11" t="str">
        <f ca="1">IF(History!JF$2="","",History!JF12*$C$23)</f>
        <v/>
      </c>
      <c r="JC23" s="11" t="str">
        <f ca="1">IF(History!JG$2="","",History!JG12*$C$23)</f>
        <v/>
      </c>
      <c r="JD23" s="11" t="str">
        <f ca="1">IF(History!JH$2="","",History!JH12*$C$23)</f>
        <v/>
      </c>
      <c r="JE23" s="11" t="str">
        <f ca="1">IF(History!JI$2="","",History!JI12*$C$23)</f>
        <v/>
      </c>
      <c r="JF23" s="11" t="str">
        <f ca="1">IF(History!JJ$2="","",History!JJ12*$C$23)</f>
        <v/>
      </c>
      <c r="JG23" s="11" t="str">
        <f ca="1">IF(History!JK$2="","",History!JK12*$C$23)</f>
        <v/>
      </c>
      <c r="JH23" s="11" t="str">
        <f ca="1">IF(History!JL$2="","",History!JL12*$C$23)</f>
        <v/>
      </c>
      <c r="JI23" s="11" t="str">
        <f ca="1">IF(History!JM$2="","",History!JM12*$C$23)</f>
        <v/>
      </c>
      <c r="JJ23" s="11" t="str">
        <f ca="1">IF(History!JN$2="","",History!JN12*$C$23)</f>
        <v/>
      </c>
      <c r="JK23" s="11" t="str">
        <f ca="1">IF(History!JO$2="","",History!JO12*$C$23)</f>
        <v/>
      </c>
      <c r="JL23" s="11" t="str">
        <f ca="1">IF(History!JP$2="","",History!JP12*$C$23)</f>
        <v/>
      </c>
      <c r="JM23" s="11" t="str">
        <f ca="1">IF(History!JQ$2="","",History!JQ12*$C$23)</f>
        <v/>
      </c>
      <c r="JN23" s="11" t="str">
        <f ca="1">IF(History!JR$2="","",History!JR12*$C$23)</f>
        <v/>
      </c>
      <c r="JO23" s="11" t="str">
        <f ca="1">IF(History!JS$2="","",History!JS12*$C$23)</f>
        <v/>
      </c>
      <c r="JP23" s="11" t="str">
        <f ca="1">IF(History!JT$2="","",History!JT12*$C$23)</f>
        <v/>
      </c>
      <c r="JQ23" s="11" t="str">
        <f ca="1">IF(History!JU$2="","",History!JU12*$C$23)</f>
        <v/>
      </c>
      <c r="JR23" s="11" t="str">
        <f ca="1">IF(History!JV$2="","",History!JV12*$C$23)</f>
        <v/>
      </c>
      <c r="JS23" s="11" t="str">
        <f ca="1">IF(History!JW$2="","",History!JW12*$C$23)</f>
        <v/>
      </c>
      <c r="JT23" s="11" t="str">
        <f ca="1">IF(History!JX$2="","",History!JX12*$C$23)</f>
        <v/>
      </c>
      <c r="JU23" s="11" t="str">
        <f ca="1">IF(History!JY$2="","",History!JY12*$C$23)</f>
        <v/>
      </c>
      <c r="JV23" s="11" t="str">
        <f ca="1">IF(History!JZ$2="","",History!JZ12*$C$23)</f>
        <v/>
      </c>
      <c r="JW23" s="11" t="str">
        <f ca="1">IF(History!KA$2="","",History!KA12*$C$23)</f>
        <v/>
      </c>
      <c r="JX23" s="11" t="str">
        <f ca="1">IF(History!KB$2="","",History!KB12*$C$23)</f>
        <v/>
      </c>
      <c r="JY23" s="11" t="str">
        <f ca="1">IF(History!KC$2="","",History!KC12*$C$23)</f>
        <v/>
      </c>
      <c r="JZ23" s="11" t="str">
        <f ca="1">IF(History!KD$2="","",History!KD12*$C$23)</f>
        <v/>
      </c>
      <c r="KA23" s="11" t="str">
        <f ca="1">IF(History!KE$2="","",History!KE12*$C$23)</f>
        <v/>
      </c>
      <c r="KB23" s="11" t="str">
        <f ca="1">IF(History!KF$2="","",History!KF12*$C$23)</f>
        <v/>
      </c>
    </row>
    <row r="24" spans="1:288" ht="15.75" customHeight="1">
      <c r="A24" s="22" t="s">
        <v>30</v>
      </c>
      <c r="B24" s="6" t="s">
        <v>57</v>
      </c>
      <c r="C24" s="26">
        <v>197</v>
      </c>
      <c r="D24" s="11">
        <f ca="1">IF(History!H$2="","",History!H13*$C$24)</f>
        <v>6928.4900000000007</v>
      </c>
      <c r="E24" s="11">
        <f ca="1">IF(History!I$2="","",History!I13*$C$24)</f>
        <v>7046.6900000000005</v>
      </c>
      <c r="F24" s="11">
        <f ca="1">IF(History!J$2="","",History!J13*$C$24)</f>
        <v>7013.2000000000007</v>
      </c>
      <c r="G24" s="11">
        <f ca="1">IF(History!K$2="","",History!K13*$C$24)</f>
        <v>7032.9000000000005</v>
      </c>
      <c r="H24" s="11">
        <f ca="1">IF(History!L$2="","",History!L13*$C$24)</f>
        <v>7088.0599999999995</v>
      </c>
      <c r="I24" s="11">
        <f ca="1">IF(History!M$2="","",History!M13*$C$24)</f>
        <v>6906.8200000000006</v>
      </c>
      <c r="J24" s="11">
        <f ca="1">IF(History!N$2="","",History!N13*$C$24)</f>
        <v>6774.83</v>
      </c>
      <c r="K24" s="11">
        <f ca="1">IF(History!O$2="","",History!O13*$C$24)</f>
        <v>6757.0999999999995</v>
      </c>
      <c r="L24" s="11">
        <f ca="1">IF(History!P$2="","",History!P13*$C$24)</f>
        <v>6564.04</v>
      </c>
      <c r="M24" s="11">
        <f ca="1">IF(History!Q$2="","",History!Q13*$C$24)</f>
        <v>6487.21</v>
      </c>
      <c r="N24" s="11">
        <f ca="1">IF(History!R$2="","",History!R13*$C$24)</f>
        <v>6489.1799999999994</v>
      </c>
      <c r="O24" s="11">
        <f ca="1">IF(History!S$2="","",History!S13*$C$24)</f>
        <v>6518.7300000000005</v>
      </c>
      <c r="P24" s="11">
        <f ca="1">IF(History!T$2="","",History!T13*$C$24)</f>
        <v>6359.16</v>
      </c>
      <c r="Q24" s="11">
        <f ca="1">IF(History!U$2="","",History!U13*$C$24)</f>
        <v>6302.03</v>
      </c>
      <c r="R24" s="11">
        <f ca="1">IF(History!V$2="","",History!V13*$C$24)</f>
        <v>6627.08</v>
      </c>
      <c r="S24" s="11">
        <f ca="1">IF(History!W$2="","",History!W13*$C$24)</f>
        <v>6824.08</v>
      </c>
      <c r="T24" s="11">
        <f ca="1">IF(History!X$2="","",History!X13*$C$24)</f>
        <v>6855.5999999999995</v>
      </c>
      <c r="U24" s="11">
        <f ca="1">IF(History!Y$2="","",History!Y13*$C$24)</f>
        <v>6579.7999999999993</v>
      </c>
      <c r="V24" s="11">
        <f ca="1">IF(History!Z$2="","",History!Z13*$C$24)</f>
        <v>6814.2300000000005</v>
      </c>
      <c r="W24" s="11">
        <f ca="1">IF(History!AA$2="","",History!AA13*$C$24)</f>
        <v>6906.8200000000006</v>
      </c>
      <c r="X24" s="11">
        <f ca="1">IF(History!AB$2="","",History!AB13*$C$24)</f>
        <v>7054.5700000000006</v>
      </c>
      <c r="Y24" s="11">
        <f ca="1">IF(History!AC$2="","",History!AC13*$C$24)</f>
        <v>7135.34</v>
      </c>
      <c r="Z24" s="11">
        <f ca="1">IF(History!AD$2="","",History!AD13*$C$24)</f>
        <v>7151.0999999999995</v>
      </c>
      <c r="AA24" s="11">
        <f ca="1">IF(History!AE$2="","",History!AE13*$C$24)</f>
        <v>6816.2000000000007</v>
      </c>
      <c r="AB24" s="11">
        <f ca="1">IF(History!AF$2="","",History!AF13*$C$24)</f>
        <v>6686.1799999999994</v>
      </c>
      <c r="AC24" s="11">
        <f ca="1">IF(History!AG$2="","",History!AG13*$C$24)</f>
        <v>6816.2000000000007</v>
      </c>
      <c r="AD24" s="11">
        <f ca="1">IF(History!AH$2="","",History!AH13*$C$24)</f>
        <v>6814.2300000000005</v>
      </c>
      <c r="AE24" s="11">
        <f ca="1">IF(History!AI$2="","",History!AI13*$C$24)</f>
        <v>6544.34</v>
      </c>
      <c r="AF24" s="11">
        <f ca="1">IF(History!AJ$2="","",History!AJ13*$C$24)</f>
        <v>6534.4900000000007</v>
      </c>
      <c r="AG24" s="11">
        <f ca="1">IF(History!AK$2="","",History!AK13*$C$24)</f>
        <v>6398.5599999999995</v>
      </c>
      <c r="AH24" s="11">
        <f ca="1">IF(History!AL$2="","",History!AL13*$C$24)</f>
        <v>6302.03</v>
      </c>
      <c r="AI24" s="11">
        <f ca="1">IF(History!AM$2="","",History!AM13*$C$24)</f>
        <v>6286.27</v>
      </c>
      <c r="AJ24" s="11">
        <f ca="1">IF(History!AN$2="","",History!AN13*$C$24)</f>
        <v>6518.7300000000005</v>
      </c>
      <c r="AK24" s="11">
        <f ca="1">IF(History!AO$2="","",History!AO13*$C$24)</f>
        <v>6434.0199999999995</v>
      </c>
      <c r="AL24" s="11">
        <f ca="1">IF(History!AP$2="","",History!AP13*$C$24)</f>
        <v>6067.6</v>
      </c>
      <c r="AM24" s="11">
        <f ca="1">IF(History!AQ$2="","",History!AQ13*$C$24)</f>
        <v>6256.72</v>
      </c>
      <c r="AN24" s="11">
        <f ca="1">IF(History!AR$2="","",History!AR13*$C$24)</f>
        <v>6193.68</v>
      </c>
      <c r="AO24" s="11">
        <f ca="1">IF(History!AS$2="","",History!AS13*$C$24)</f>
        <v>6038.0499999999993</v>
      </c>
      <c r="AP24" s="11">
        <f ca="1">IF(History!AT$2="","",History!AT13*$C$24)</f>
        <v>5618.44</v>
      </c>
      <c r="AQ24" s="11">
        <f ca="1">IF(History!AU$2="","",History!AU13*$C$24)</f>
        <v>5642.08</v>
      </c>
      <c r="AR24" s="11">
        <f ca="1">IF(History!AV$2="","",History!AV13*$C$24)</f>
        <v>5957.28</v>
      </c>
      <c r="AS24" s="11">
        <f ca="1">IF(History!AW$2="","",History!AW13*$C$24)</f>
        <v>5870.6</v>
      </c>
      <c r="AT24" s="11">
        <f ca="1">IF(History!AX$2="","",History!AX13*$C$24)</f>
        <v>5894.2400000000007</v>
      </c>
      <c r="AU24" s="11">
        <f ca="1">IF(History!AY$2="","",History!AY13*$C$24)</f>
        <v>5959.25</v>
      </c>
      <c r="AV24" s="11">
        <f ca="1">IF(History!AZ$2="","",History!AZ13*$C$24)</f>
        <v>6006.53</v>
      </c>
      <c r="AW24" s="11">
        <f ca="1">IF(History!BA$2="","",History!BA13*$C$24)</f>
        <v>6213.38</v>
      </c>
      <c r="AX24" s="11">
        <f ca="1">IF(History!BB$2="","",History!BB13*$C$24)</f>
        <v>6207.47</v>
      </c>
      <c r="AY24" s="11">
        <f ca="1">IF(History!BC$2="","",History!BC13*$C$24)</f>
        <v>6258.69</v>
      </c>
      <c r="AZ24" s="11">
        <f ca="1">IF(History!BD$2="","",History!BD13*$C$24)</f>
        <v>6136.5499999999993</v>
      </c>
      <c r="BA24" s="11">
        <f ca="1">IF(History!BE$2="","",History!BE13*$C$24)</f>
        <v>6329.6100000000006</v>
      </c>
      <c r="BB24" s="11">
        <f ca="1">IF(History!BF$2="","",History!BF13*$C$24)</f>
        <v>6160.19</v>
      </c>
      <c r="BC24" s="11">
        <f ca="1">IF(History!BG$2="","",History!BG13*$C$24)</f>
        <v>6258.69</v>
      </c>
      <c r="BD24" s="11">
        <f ca="1">IF(History!BH$2="","",History!BH13*$C$24)</f>
        <v>6319.7599999999993</v>
      </c>
      <c r="BE24" s="11">
        <f ca="1">IF(History!BI$2="","",History!BI13*$C$24)</f>
        <v>6229.14</v>
      </c>
      <c r="BF24" s="11">
        <f ca="1">IF(History!BJ$2="","",History!BJ13*$C$24)</f>
        <v>6298.09</v>
      </c>
      <c r="BG24" s="11">
        <f ca="1">IF(History!BK$2="","",History!BK13*$C$24)</f>
        <v>6244.9</v>
      </c>
      <c r="BH24" s="11">
        <f ca="1">IF(History!BL$2="","",History!BL13*$C$24)</f>
        <v>6089.27</v>
      </c>
      <c r="BI24" s="11">
        <f ca="1">IF(History!BM$2="","",History!BM13*$C$24)</f>
        <v>6077.4500000000007</v>
      </c>
      <c r="BJ24" s="11">
        <f ca="1">IF(History!BN$2="","",History!BN13*$C$24)</f>
        <v>6081.39</v>
      </c>
      <c r="BK24" s="11">
        <f ca="1">IF(History!BO$2="","",History!BO13*$C$24)</f>
        <v>6221.2599999999993</v>
      </c>
      <c r="BL24" s="11">
        <f ca="1">IF(History!BP$2="","",History!BP13*$C$24)</f>
        <v>6213.38</v>
      </c>
      <c r="BM24" s="11">
        <f ca="1">IF(History!BQ$2="","",History!BQ13*$C$24)</f>
        <v>6079.42</v>
      </c>
      <c r="BN24" s="11">
        <f ca="1">IF(History!BR$2="","",History!BR13*$C$24)</f>
        <v>6197.62</v>
      </c>
      <c r="BO24" s="11">
        <f ca="1">IF(History!BS$2="","",History!BS13*$C$24)</f>
        <v>6087.2999999999993</v>
      </c>
      <c r="BP24" s="11">
        <f ca="1">IF(History!BT$2="","",History!BT13*$C$24)</f>
        <v>5988.7999999999993</v>
      </c>
      <c r="BQ24" s="11">
        <f ca="1">IF(History!BU$2="","",History!BU13*$C$24)</f>
        <v>6108.97</v>
      </c>
      <c r="BR24" s="11">
        <f ca="1">IF(History!BV$2="","",History!BV13*$C$24)</f>
        <v>6043.96</v>
      </c>
      <c r="BS24" s="11">
        <f ca="1">IF(History!BW$2="","",History!BW13*$C$24)</f>
        <v>6101.09</v>
      </c>
      <c r="BT24" s="11">
        <f ca="1">IF(History!BX$2="","",History!BX13*$C$24)</f>
        <v>6272.48</v>
      </c>
      <c r="BU24" s="11">
        <f ca="1">IF(History!BY$2="","",History!BY13*$C$24)</f>
        <v>6363.0999999999995</v>
      </c>
      <c r="BV24" s="11">
        <f ca="1">IF(History!BZ$2="","",History!BZ13*$C$24)</f>
        <v>6276.42</v>
      </c>
      <c r="BW24" s="11">
        <f ca="1">IF(History!CA$2="","",History!CA13*$C$24)</f>
        <v>6030.17</v>
      </c>
      <c r="BX24" s="11">
        <f ca="1">IF(History!CB$2="","",History!CB13*$C$24)</f>
        <v>5947.43</v>
      </c>
      <c r="BY24" s="11">
        <f ca="1">IF(History!CC$2="","",History!CC13*$C$24)</f>
        <v>5732.7000000000007</v>
      </c>
      <c r="BZ24" s="11">
        <f ca="1">IF(History!CD$2="","",History!CD13*$C$24)</f>
        <v>5772.1</v>
      </c>
      <c r="CA24" s="11">
        <f ca="1">IF(History!CE$2="","",History!CE13*$C$24)</f>
        <v>5856.81</v>
      </c>
      <c r="CB24" s="11">
        <f ca="1">IF(History!CF$2="","",History!CF13*$C$24)</f>
        <v>5679.5099999999993</v>
      </c>
      <c r="CC24" s="11">
        <f ca="1">IF(History!CG$2="","",History!CG13*$C$24)</f>
        <v>5713</v>
      </c>
      <c r="CD24" s="11">
        <f ca="1">IF(History!CH$2="","",History!CH13*$C$24)</f>
        <v>5894.2400000000007</v>
      </c>
      <c r="CE24" s="11">
        <f ca="1">IF(History!CI$2="","",History!CI13*$C$24)</f>
        <v>6107</v>
      </c>
      <c r="CF24" s="11" t="str">
        <f ca="1">IF(History!CJ$2="","",History!CJ13*$C$24)</f>
        <v/>
      </c>
      <c r="CG24" s="11" t="str">
        <f ca="1">IF(History!CK$2="","",History!CK13*$C$24)</f>
        <v/>
      </c>
      <c r="CH24" s="11" t="str">
        <f ca="1">IF(History!CL$2="","",History!CL13*$C$24)</f>
        <v/>
      </c>
      <c r="CI24" s="11" t="str">
        <f ca="1">IF(History!CM$2="","",History!CM13*$C$24)</f>
        <v/>
      </c>
      <c r="CJ24" s="11" t="str">
        <f ca="1">IF(History!CN$2="","",History!CN13*$C$24)</f>
        <v/>
      </c>
      <c r="CK24" s="11" t="str">
        <f ca="1">IF(History!CO$2="","",History!CO13*$C$24)</f>
        <v/>
      </c>
      <c r="CL24" s="11" t="str">
        <f ca="1">IF(History!CP$2="","",History!CP13*$C$24)</f>
        <v/>
      </c>
      <c r="CM24" s="11" t="str">
        <f ca="1">IF(History!CQ$2="","",History!CQ13*$C$24)</f>
        <v/>
      </c>
      <c r="CN24" s="11" t="str">
        <f ca="1">IF(History!CR$2="","",History!CR13*$C$24)</f>
        <v/>
      </c>
      <c r="CO24" s="11" t="str">
        <f ca="1">IF(History!CS$2="","",History!CS13*$C$24)</f>
        <v/>
      </c>
      <c r="CP24" s="11" t="str">
        <f ca="1">IF(History!CT$2="","",History!CT13*$C$24)</f>
        <v/>
      </c>
      <c r="CQ24" s="11" t="str">
        <f ca="1">IF(History!CU$2="","",History!CU13*$C$24)</f>
        <v/>
      </c>
      <c r="CR24" s="11" t="str">
        <f ca="1">IF(History!CV$2="","",History!CV13*$C$24)</f>
        <v/>
      </c>
      <c r="CS24" s="11" t="str">
        <f ca="1">IF(History!CW$2="","",History!CW13*$C$24)</f>
        <v/>
      </c>
      <c r="CT24" s="11" t="str">
        <f ca="1">IF(History!CX$2="","",History!CX13*$C$24)</f>
        <v/>
      </c>
      <c r="CU24" s="11" t="str">
        <f ca="1">IF(History!CY$2="","",History!CY13*$C$24)</f>
        <v/>
      </c>
      <c r="CV24" s="11" t="str">
        <f ca="1">IF(History!CZ$2="","",History!CZ13*$C$24)</f>
        <v/>
      </c>
      <c r="CW24" s="11" t="str">
        <f ca="1">IF(History!DA$2="","",History!DA13*$C$24)</f>
        <v/>
      </c>
      <c r="CX24" s="11" t="str">
        <f ca="1">IF(History!DB$2="","",History!DB13*$C$24)</f>
        <v/>
      </c>
      <c r="CY24" s="11" t="str">
        <f ca="1">IF(History!DC$2="","",History!DC13*$C$24)</f>
        <v/>
      </c>
      <c r="CZ24" s="11" t="str">
        <f ca="1">IF(History!DD$2="","",History!DD13*$C$24)</f>
        <v/>
      </c>
      <c r="DA24" s="11" t="str">
        <f ca="1">IF(History!DE$2="","",History!DE13*$C$24)</f>
        <v/>
      </c>
      <c r="DB24" s="11" t="str">
        <f ca="1">IF(History!DF$2="","",History!DF13*$C$24)</f>
        <v/>
      </c>
      <c r="DC24" s="11" t="str">
        <f ca="1">IF(History!DG$2="","",History!DG13*$C$24)</f>
        <v/>
      </c>
      <c r="DD24" s="11" t="str">
        <f ca="1">IF(History!DH$2="","",History!DH13*$C$24)</f>
        <v/>
      </c>
      <c r="DE24" s="11" t="str">
        <f ca="1">IF(History!DI$2="","",History!DI13*$C$24)</f>
        <v/>
      </c>
      <c r="DF24" s="11" t="str">
        <f ca="1">IF(History!DJ$2="","",History!DJ13*$C$24)</f>
        <v/>
      </c>
      <c r="DG24" s="11" t="str">
        <f ca="1">IF(History!DK$2="","",History!DK13*$C$24)</f>
        <v/>
      </c>
      <c r="DH24" s="11" t="str">
        <f ca="1">IF(History!DL$2="","",History!DL13*$C$24)</f>
        <v/>
      </c>
      <c r="DI24" s="11" t="str">
        <f ca="1">IF(History!DM$2="","",History!DM13*$C$24)</f>
        <v/>
      </c>
      <c r="DJ24" s="11" t="str">
        <f ca="1">IF(History!DN$2="","",History!DN13*$C$24)</f>
        <v/>
      </c>
      <c r="DK24" s="11" t="str">
        <f ca="1">IF(History!DO$2="","",History!DO13*$C$24)</f>
        <v/>
      </c>
      <c r="DL24" s="11" t="str">
        <f ca="1">IF(History!DP$2="","",History!DP13*$C$24)</f>
        <v/>
      </c>
      <c r="DM24" s="11" t="str">
        <f ca="1">IF(History!DQ$2="","",History!DQ13*$C$24)</f>
        <v/>
      </c>
      <c r="DN24" s="11" t="str">
        <f ca="1">IF(History!DR$2="","",History!DR13*$C$24)</f>
        <v/>
      </c>
      <c r="DO24" s="11" t="str">
        <f ca="1">IF(History!DS$2="","",History!DS13*$C$24)</f>
        <v/>
      </c>
      <c r="DP24" s="11" t="str">
        <f ca="1">IF(History!DT$2="","",History!DT13*$C$24)</f>
        <v/>
      </c>
      <c r="DQ24" s="11" t="str">
        <f ca="1">IF(History!DU$2="","",History!DU13*$C$24)</f>
        <v/>
      </c>
      <c r="DR24" s="11" t="str">
        <f ca="1">IF(History!DV$2="","",History!DV13*$C$24)</f>
        <v/>
      </c>
      <c r="DS24" s="11" t="str">
        <f ca="1">IF(History!DW$2="","",History!DW13*$C$24)</f>
        <v/>
      </c>
      <c r="DT24" s="11" t="str">
        <f ca="1">IF(History!DX$2="","",History!DX13*$C$24)</f>
        <v/>
      </c>
      <c r="DU24" s="11" t="str">
        <f ca="1">IF(History!DY$2="","",History!DY13*$C$24)</f>
        <v/>
      </c>
      <c r="DV24" s="11" t="str">
        <f ca="1">IF(History!DZ$2="","",History!DZ13*$C$24)</f>
        <v/>
      </c>
      <c r="DW24" s="11" t="str">
        <f ca="1">IF(History!EA$2="","",History!EA13*$C$24)</f>
        <v/>
      </c>
      <c r="DX24" s="11" t="str">
        <f ca="1">IF(History!EB$2="","",History!EB13*$C$24)</f>
        <v/>
      </c>
      <c r="DY24" s="11" t="str">
        <f ca="1">IF(History!EC$2="","",History!EC13*$C$24)</f>
        <v/>
      </c>
      <c r="DZ24" s="11" t="str">
        <f ca="1">IF(History!ED$2="","",History!ED13*$C$24)</f>
        <v/>
      </c>
      <c r="EA24" s="11" t="str">
        <f ca="1">IF(History!EE$2="","",History!EE13*$C$24)</f>
        <v/>
      </c>
      <c r="EB24" s="11" t="str">
        <f ca="1">IF(History!EF$2="","",History!EF13*$C$24)</f>
        <v/>
      </c>
      <c r="EC24" s="11" t="str">
        <f ca="1">IF(History!EG$2="","",History!EG13*$C$24)</f>
        <v/>
      </c>
      <c r="ED24" s="11" t="str">
        <f ca="1">IF(History!EH$2="","",History!EH13*$C$24)</f>
        <v/>
      </c>
      <c r="EE24" s="11" t="str">
        <f ca="1">IF(History!EI$2="","",History!EI13*$C$24)</f>
        <v/>
      </c>
      <c r="EF24" s="11" t="str">
        <f ca="1">IF(History!EJ$2="","",History!EJ13*$C$24)</f>
        <v/>
      </c>
      <c r="EG24" s="11" t="str">
        <f ca="1">IF(History!EK$2="","",History!EK13*$C$24)</f>
        <v/>
      </c>
      <c r="EH24" s="11" t="str">
        <f ca="1">IF(History!EL$2="","",History!EL13*$C$24)</f>
        <v/>
      </c>
      <c r="EI24" s="11" t="str">
        <f ca="1">IF(History!EM$2="","",History!EM13*$C$24)</f>
        <v/>
      </c>
      <c r="EJ24" s="11" t="str">
        <f ca="1">IF(History!EN$2="","",History!EN13*$C$24)</f>
        <v/>
      </c>
      <c r="EK24" s="11" t="str">
        <f ca="1">IF(History!EO$2="","",History!EO13*$C$24)</f>
        <v/>
      </c>
      <c r="EL24" s="11" t="str">
        <f ca="1">IF(History!EP$2="","",History!EP13*$C$24)</f>
        <v/>
      </c>
      <c r="EM24" s="11" t="str">
        <f ca="1">IF(History!EQ$2="","",History!EQ13*$C$24)</f>
        <v/>
      </c>
      <c r="EN24" s="11" t="str">
        <f ca="1">IF(History!ER$2="","",History!ER13*$C$24)</f>
        <v/>
      </c>
      <c r="EO24" s="11" t="str">
        <f ca="1">IF(History!ES$2="","",History!ES13*$C$24)</f>
        <v/>
      </c>
      <c r="EP24" s="11" t="str">
        <f ca="1">IF(History!ET$2="","",History!ET13*$C$24)</f>
        <v/>
      </c>
      <c r="EQ24" s="11" t="str">
        <f ca="1">IF(History!EU$2="","",History!EU13*$C$24)</f>
        <v/>
      </c>
      <c r="ER24" s="11" t="str">
        <f ca="1">IF(History!EV$2="","",History!EV13*$C$24)</f>
        <v/>
      </c>
      <c r="ES24" s="11" t="str">
        <f ca="1">IF(History!EW$2="","",History!EW13*$C$24)</f>
        <v/>
      </c>
      <c r="ET24" s="11" t="str">
        <f ca="1">IF(History!EX$2="","",History!EX13*$C$24)</f>
        <v/>
      </c>
      <c r="EU24" s="11" t="str">
        <f ca="1">IF(History!EY$2="","",History!EY13*$C$24)</f>
        <v/>
      </c>
      <c r="EV24" s="11" t="str">
        <f ca="1">IF(History!EZ$2="","",History!EZ13*$C$24)</f>
        <v/>
      </c>
      <c r="EW24" s="11" t="str">
        <f ca="1">IF(History!FA$2="","",History!FA13*$C$24)</f>
        <v/>
      </c>
      <c r="EX24" s="11" t="str">
        <f ca="1">IF(History!FB$2="","",History!FB13*$C$24)</f>
        <v/>
      </c>
      <c r="EY24" s="11" t="str">
        <f ca="1">IF(History!FC$2="","",History!FC13*$C$24)</f>
        <v/>
      </c>
      <c r="EZ24" s="11" t="str">
        <f ca="1">IF(History!FD$2="","",History!FD13*$C$24)</f>
        <v/>
      </c>
      <c r="FA24" s="11" t="str">
        <f ca="1">IF(History!FE$2="","",History!FE13*$C$24)</f>
        <v/>
      </c>
      <c r="FB24" s="11" t="str">
        <f ca="1">IF(History!FF$2="","",History!FF13*$C$24)</f>
        <v/>
      </c>
      <c r="FC24" s="11" t="str">
        <f ca="1">IF(History!FG$2="","",History!FG13*$C$24)</f>
        <v/>
      </c>
      <c r="FD24" s="11" t="str">
        <f ca="1">IF(History!FH$2="","",History!FH13*$C$24)</f>
        <v/>
      </c>
      <c r="FE24" s="11" t="str">
        <f ca="1">IF(History!FI$2="","",History!FI13*$C$24)</f>
        <v/>
      </c>
      <c r="FF24" s="11" t="str">
        <f ca="1">IF(History!FJ$2="","",History!FJ13*$C$24)</f>
        <v/>
      </c>
      <c r="FG24" s="11" t="str">
        <f ca="1">IF(History!FK$2="","",History!FK13*$C$24)</f>
        <v/>
      </c>
      <c r="FH24" s="11" t="str">
        <f ca="1">IF(History!FL$2="","",History!FL13*$C$24)</f>
        <v/>
      </c>
      <c r="FI24" s="11" t="str">
        <f ca="1">IF(History!FM$2="","",History!FM13*$C$24)</f>
        <v/>
      </c>
      <c r="FJ24" s="11" t="str">
        <f ca="1">IF(History!FN$2="","",History!FN13*$C$24)</f>
        <v/>
      </c>
      <c r="FK24" s="11" t="str">
        <f ca="1">IF(History!FO$2="","",History!FO13*$C$24)</f>
        <v/>
      </c>
      <c r="FL24" s="11" t="str">
        <f ca="1">IF(History!FP$2="","",History!FP13*$C$24)</f>
        <v/>
      </c>
      <c r="FM24" s="11" t="str">
        <f ca="1">IF(History!FQ$2="","",History!FQ13*$C$24)</f>
        <v/>
      </c>
      <c r="FN24" s="11" t="str">
        <f ca="1">IF(History!FR$2="","",History!FR13*$C$24)</f>
        <v/>
      </c>
      <c r="FO24" s="11" t="str">
        <f ca="1">IF(History!FS$2="","",History!FS13*$C$24)</f>
        <v/>
      </c>
      <c r="FP24" s="11" t="str">
        <f ca="1">IF(History!FT$2="","",History!FT13*$C$24)</f>
        <v/>
      </c>
      <c r="FQ24" s="11" t="str">
        <f ca="1">IF(History!FU$2="","",History!FU13*$C$24)</f>
        <v/>
      </c>
      <c r="FR24" s="11" t="str">
        <f ca="1">IF(History!FV$2="","",History!FV13*$C$24)</f>
        <v/>
      </c>
      <c r="FS24" s="11" t="str">
        <f ca="1">IF(History!FW$2="","",History!FW13*$C$24)</f>
        <v/>
      </c>
      <c r="FT24" s="11" t="str">
        <f ca="1">IF(History!FX$2="","",History!FX13*$C$24)</f>
        <v/>
      </c>
      <c r="FU24" s="11" t="str">
        <f ca="1">IF(History!FY$2="","",History!FY13*$C$24)</f>
        <v/>
      </c>
      <c r="FV24" s="11" t="str">
        <f ca="1">IF(History!FZ$2="","",History!FZ13*$C$24)</f>
        <v/>
      </c>
      <c r="FW24" s="11" t="str">
        <f ca="1">IF(History!GA$2="","",History!GA13*$C$24)</f>
        <v/>
      </c>
      <c r="FX24" s="11" t="str">
        <f ca="1">IF(History!GB$2="","",History!GB13*$C$24)</f>
        <v/>
      </c>
      <c r="FY24" s="11" t="str">
        <f ca="1">IF(History!GC$2="","",History!GC13*$C$24)</f>
        <v/>
      </c>
      <c r="FZ24" s="11" t="str">
        <f ca="1">IF(History!GD$2="","",History!GD13*$C$24)</f>
        <v/>
      </c>
      <c r="GA24" s="11" t="str">
        <f ca="1">IF(History!GE$2="","",History!GE13*$C$24)</f>
        <v/>
      </c>
      <c r="GB24" s="11" t="str">
        <f ca="1">IF(History!GF$2="","",History!GF13*$C$24)</f>
        <v/>
      </c>
      <c r="GC24" s="11" t="str">
        <f ca="1">IF(History!GG$2="","",History!GG13*$C$24)</f>
        <v/>
      </c>
      <c r="GD24" s="11" t="str">
        <f ca="1">IF(History!GH$2="","",History!GH13*$C$24)</f>
        <v/>
      </c>
      <c r="GE24" s="11" t="str">
        <f ca="1">IF(History!GI$2="","",History!GI13*$C$24)</f>
        <v/>
      </c>
      <c r="GF24" s="11" t="str">
        <f ca="1">IF(History!GJ$2="","",History!GJ13*$C$24)</f>
        <v/>
      </c>
      <c r="GG24" s="11" t="str">
        <f ca="1">IF(History!GK$2="","",History!GK13*$C$24)</f>
        <v/>
      </c>
      <c r="GH24" s="11" t="str">
        <f ca="1">IF(History!GL$2="","",History!GL13*$C$24)</f>
        <v/>
      </c>
      <c r="GI24" s="11" t="str">
        <f ca="1">IF(History!GM$2="","",History!GM13*$C$24)</f>
        <v/>
      </c>
      <c r="GJ24" s="11" t="str">
        <f ca="1">IF(History!GN$2="","",History!GN13*$C$24)</f>
        <v/>
      </c>
      <c r="GK24" s="11" t="str">
        <f ca="1">IF(History!GO$2="","",History!GO13*$C$24)</f>
        <v/>
      </c>
      <c r="GL24" s="11" t="str">
        <f ca="1">IF(History!GP$2="","",History!GP13*$C$24)</f>
        <v/>
      </c>
      <c r="GM24" s="11" t="str">
        <f ca="1">IF(History!GQ$2="","",History!GQ13*$C$24)</f>
        <v/>
      </c>
      <c r="GN24" s="11" t="str">
        <f ca="1">IF(History!GR$2="","",History!GR13*$C$24)</f>
        <v/>
      </c>
      <c r="GO24" s="11" t="str">
        <f ca="1">IF(History!GS$2="","",History!GS13*$C$24)</f>
        <v/>
      </c>
      <c r="GP24" s="11" t="str">
        <f ca="1">IF(History!GT$2="","",History!GT13*$C$24)</f>
        <v/>
      </c>
      <c r="GQ24" s="11" t="str">
        <f ca="1">IF(History!GU$2="","",History!GU13*$C$24)</f>
        <v/>
      </c>
      <c r="GR24" s="11" t="str">
        <f ca="1">IF(History!GV$2="","",History!GV13*$C$24)</f>
        <v/>
      </c>
      <c r="GS24" s="11" t="str">
        <f ca="1">IF(History!GW$2="","",History!GW13*$C$24)</f>
        <v/>
      </c>
      <c r="GT24" s="11" t="str">
        <f ca="1">IF(History!GX$2="","",History!GX13*$C$24)</f>
        <v/>
      </c>
      <c r="GU24" s="11" t="str">
        <f ca="1">IF(History!GY$2="","",History!GY13*$C$24)</f>
        <v/>
      </c>
      <c r="GV24" s="11" t="str">
        <f ca="1">IF(History!GZ$2="","",History!GZ13*$C$24)</f>
        <v/>
      </c>
      <c r="GW24" s="11" t="str">
        <f ca="1">IF(History!HA$2="","",History!HA13*$C$24)</f>
        <v/>
      </c>
      <c r="GX24" s="11" t="str">
        <f ca="1">IF(History!HB$2="","",History!HB13*$C$24)</f>
        <v/>
      </c>
      <c r="GY24" s="11" t="str">
        <f ca="1">IF(History!HC$2="","",History!HC13*$C$24)</f>
        <v/>
      </c>
      <c r="GZ24" s="11" t="str">
        <f ca="1">IF(History!HD$2="","",History!HD13*$C$24)</f>
        <v/>
      </c>
      <c r="HA24" s="11" t="str">
        <f ca="1">IF(History!HE$2="","",History!HE13*$C$24)</f>
        <v/>
      </c>
      <c r="HB24" s="11" t="str">
        <f ca="1">IF(History!HF$2="","",History!HF13*$C$24)</f>
        <v/>
      </c>
      <c r="HC24" s="11" t="str">
        <f ca="1">IF(History!HG$2="","",History!HG13*$C$24)</f>
        <v/>
      </c>
      <c r="HD24" s="11" t="str">
        <f ca="1">IF(History!HH$2="","",History!HH13*$C$24)</f>
        <v/>
      </c>
      <c r="HE24" s="11" t="str">
        <f ca="1">IF(History!HI$2="","",History!HI13*$C$24)</f>
        <v/>
      </c>
      <c r="HF24" s="11" t="str">
        <f ca="1">IF(History!HJ$2="","",History!HJ13*$C$24)</f>
        <v/>
      </c>
      <c r="HG24" s="11" t="str">
        <f ca="1">IF(History!HK$2="","",History!HK13*$C$24)</f>
        <v/>
      </c>
      <c r="HH24" s="11" t="str">
        <f ca="1">IF(History!HL$2="","",History!HL13*$C$24)</f>
        <v/>
      </c>
      <c r="HI24" s="11" t="str">
        <f ca="1">IF(History!HM$2="","",History!HM13*$C$24)</f>
        <v/>
      </c>
      <c r="HJ24" s="11" t="str">
        <f ca="1">IF(History!HN$2="","",History!HN13*$C$24)</f>
        <v/>
      </c>
      <c r="HK24" s="11" t="str">
        <f ca="1">IF(History!HO$2="","",History!HO13*$C$24)</f>
        <v/>
      </c>
      <c r="HL24" s="11" t="str">
        <f ca="1">IF(History!HP$2="","",History!HP13*$C$24)</f>
        <v/>
      </c>
      <c r="HM24" s="11" t="str">
        <f ca="1">IF(History!HQ$2="","",History!HQ13*$C$24)</f>
        <v/>
      </c>
      <c r="HN24" s="11" t="str">
        <f ca="1">IF(History!HR$2="","",History!HR13*$C$24)</f>
        <v/>
      </c>
      <c r="HO24" s="11" t="str">
        <f ca="1">IF(History!HS$2="","",History!HS13*$C$24)</f>
        <v/>
      </c>
      <c r="HP24" s="11" t="str">
        <f ca="1">IF(History!HT$2="","",History!HT13*$C$24)</f>
        <v/>
      </c>
      <c r="HQ24" s="11" t="str">
        <f ca="1">IF(History!HU$2="","",History!HU13*$C$24)</f>
        <v/>
      </c>
      <c r="HR24" s="11" t="str">
        <f ca="1">IF(History!HV$2="","",History!HV13*$C$24)</f>
        <v/>
      </c>
      <c r="HS24" s="11" t="str">
        <f ca="1">IF(History!HW$2="","",History!HW13*$C$24)</f>
        <v/>
      </c>
      <c r="HT24" s="11" t="str">
        <f ca="1">IF(History!HX$2="","",History!HX13*$C$24)</f>
        <v/>
      </c>
      <c r="HU24" s="11" t="str">
        <f ca="1">IF(History!HY$2="","",History!HY13*$C$24)</f>
        <v/>
      </c>
      <c r="HV24" s="11" t="str">
        <f ca="1">IF(History!HZ$2="","",History!HZ13*$C$24)</f>
        <v/>
      </c>
      <c r="HW24" s="11" t="str">
        <f ca="1">IF(History!IA$2="","",History!IA13*$C$24)</f>
        <v/>
      </c>
      <c r="HX24" s="11" t="str">
        <f ca="1">IF(History!IB$2="","",History!IB13*$C$24)</f>
        <v/>
      </c>
      <c r="HY24" s="11" t="str">
        <f ca="1">IF(History!IC$2="","",History!IC13*$C$24)</f>
        <v/>
      </c>
      <c r="HZ24" s="11" t="str">
        <f ca="1">IF(History!ID$2="","",History!ID13*$C$24)</f>
        <v/>
      </c>
      <c r="IA24" s="11" t="str">
        <f ca="1">IF(History!IE$2="","",History!IE13*$C$24)</f>
        <v/>
      </c>
      <c r="IB24" s="11" t="str">
        <f ca="1">IF(History!IF$2="","",History!IF13*$C$24)</f>
        <v/>
      </c>
      <c r="IC24" s="11" t="str">
        <f ca="1">IF(History!IG$2="","",History!IG13*$C$24)</f>
        <v/>
      </c>
      <c r="ID24" s="11" t="str">
        <f ca="1">IF(History!IH$2="","",History!IH13*$C$24)</f>
        <v/>
      </c>
      <c r="IE24" s="11" t="str">
        <f ca="1">IF(History!II$2="","",History!II13*$C$24)</f>
        <v/>
      </c>
      <c r="IF24" s="11" t="str">
        <f ca="1">IF(History!IJ$2="","",History!IJ13*$C$24)</f>
        <v/>
      </c>
      <c r="IG24" s="11" t="str">
        <f ca="1">IF(History!IK$2="","",History!IK13*$C$24)</f>
        <v/>
      </c>
      <c r="IH24" s="11" t="str">
        <f ca="1">IF(History!IL$2="","",History!IL13*$C$24)</f>
        <v/>
      </c>
      <c r="II24" s="11" t="str">
        <f ca="1">IF(History!IM$2="","",History!IM13*$C$24)</f>
        <v/>
      </c>
      <c r="IJ24" s="11" t="str">
        <f ca="1">IF(History!IN$2="","",History!IN13*$C$24)</f>
        <v/>
      </c>
      <c r="IK24" s="11" t="str">
        <f ca="1">IF(History!IO$2="","",History!IO13*$C$24)</f>
        <v/>
      </c>
      <c r="IL24" s="11" t="str">
        <f ca="1">IF(History!IP$2="","",History!IP13*$C$24)</f>
        <v/>
      </c>
      <c r="IM24" s="11" t="str">
        <f ca="1">IF(History!IQ$2="","",History!IQ13*$C$24)</f>
        <v/>
      </c>
      <c r="IN24" s="11" t="str">
        <f ca="1">IF(History!IR$2="","",History!IR13*$C$24)</f>
        <v/>
      </c>
      <c r="IO24" s="11" t="str">
        <f ca="1">IF(History!IS$2="","",History!IS13*$C$24)</f>
        <v/>
      </c>
      <c r="IP24" s="11" t="str">
        <f ca="1">IF(History!IT$2="","",History!IT13*$C$24)</f>
        <v/>
      </c>
      <c r="IQ24" s="11" t="str">
        <f ca="1">IF(History!IU$2="","",History!IU13*$C$24)</f>
        <v/>
      </c>
      <c r="IR24" s="11" t="str">
        <f ca="1">IF(History!IV$2="","",History!IV13*$C$24)</f>
        <v/>
      </c>
      <c r="IS24" s="11" t="str">
        <f ca="1">IF(History!IW$2="","",History!IW13*$C$24)</f>
        <v/>
      </c>
      <c r="IT24" s="11" t="str">
        <f ca="1">IF(History!IX$2="","",History!IX13*$C$24)</f>
        <v/>
      </c>
      <c r="IU24" s="11" t="str">
        <f ca="1">IF(History!IY$2="","",History!IY13*$C$24)</f>
        <v/>
      </c>
      <c r="IV24" s="11" t="str">
        <f ca="1">IF(History!IZ$2="","",History!IZ13*$C$24)</f>
        <v/>
      </c>
      <c r="IW24" s="11" t="str">
        <f ca="1">IF(History!JA$2="","",History!JA13*$C$24)</f>
        <v/>
      </c>
      <c r="IX24" s="11" t="str">
        <f ca="1">IF(History!JB$2="","",History!JB13*$C$24)</f>
        <v/>
      </c>
      <c r="IY24" s="11" t="str">
        <f ca="1">IF(History!JC$2="","",History!JC13*$C$24)</f>
        <v/>
      </c>
      <c r="IZ24" s="11" t="str">
        <f ca="1">IF(History!JD$2="","",History!JD13*$C$24)</f>
        <v/>
      </c>
      <c r="JA24" s="11" t="str">
        <f ca="1">IF(History!JE$2="","",History!JE13*$C$24)</f>
        <v/>
      </c>
      <c r="JB24" s="11" t="str">
        <f ca="1">IF(History!JF$2="","",History!JF13*$C$24)</f>
        <v/>
      </c>
      <c r="JC24" s="11" t="str">
        <f ca="1">IF(History!JG$2="","",History!JG13*$C$24)</f>
        <v/>
      </c>
      <c r="JD24" s="11" t="str">
        <f ca="1">IF(History!JH$2="","",History!JH13*$C$24)</f>
        <v/>
      </c>
      <c r="JE24" s="11" t="str">
        <f ca="1">IF(History!JI$2="","",History!JI13*$C$24)</f>
        <v/>
      </c>
      <c r="JF24" s="11" t="str">
        <f ca="1">IF(History!JJ$2="","",History!JJ13*$C$24)</f>
        <v/>
      </c>
      <c r="JG24" s="11" t="str">
        <f ca="1">IF(History!JK$2="","",History!JK13*$C$24)</f>
        <v/>
      </c>
      <c r="JH24" s="11" t="str">
        <f ca="1">IF(History!JL$2="","",History!JL13*$C$24)</f>
        <v/>
      </c>
      <c r="JI24" s="11" t="str">
        <f ca="1">IF(History!JM$2="","",History!JM13*$C$24)</f>
        <v/>
      </c>
      <c r="JJ24" s="11" t="str">
        <f ca="1">IF(History!JN$2="","",History!JN13*$C$24)</f>
        <v/>
      </c>
      <c r="JK24" s="11" t="str">
        <f ca="1">IF(History!JO$2="","",History!JO13*$C$24)</f>
        <v/>
      </c>
      <c r="JL24" s="11" t="str">
        <f ca="1">IF(History!JP$2="","",History!JP13*$C$24)</f>
        <v/>
      </c>
      <c r="JM24" s="11" t="str">
        <f ca="1">IF(History!JQ$2="","",History!JQ13*$C$24)</f>
        <v/>
      </c>
      <c r="JN24" s="11" t="str">
        <f ca="1">IF(History!JR$2="","",History!JR13*$C$24)</f>
        <v/>
      </c>
      <c r="JO24" s="11" t="str">
        <f ca="1">IF(History!JS$2="","",History!JS13*$C$24)</f>
        <v/>
      </c>
      <c r="JP24" s="11" t="str">
        <f ca="1">IF(History!JT$2="","",History!JT13*$C$24)</f>
        <v/>
      </c>
      <c r="JQ24" s="11" t="str">
        <f ca="1">IF(History!JU$2="","",History!JU13*$C$24)</f>
        <v/>
      </c>
      <c r="JR24" s="11" t="str">
        <f ca="1">IF(History!JV$2="","",History!JV13*$C$24)</f>
        <v/>
      </c>
      <c r="JS24" s="11" t="str">
        <f ca="1">IF(History!JW$2="","",History!JW13*$C$24)</f>
        <v/>
      </c>
      <c r="JT24" s="11" t="str">
        <f ca="1">IF(History!JX$2="","",History!JX13*$C$24)</f>
        <v/>
      </c>
      <c r="JU24" s="11" t="str">
        <f ca="1">IF(History!JY$2="","",History!JY13*$C$24)</f>
        <v/>
      </c>
      <c r="JV24" s="11" t="str">
        <f ca="1">IF(History!JZ$2="","",History!JZ13*$C$24)</f>
        <v/>
      </c>
      <c r="JW24" s="11" t="str">
        <f ca="1">IF(History!KA$2="","",History!KA13*$C$24)</f>
        <v/>
      </c>
      <c r="JX24" s="11" t="str">
        <f ca="1">IF(History!KB$2="","",History!KB13*$C$24)</f>
        <v/>
      </c>
      <c r="JY24" s="11" t="str">
        <f ca="1">IF(History!KC$2="","",History!KC13*$C$24)</f>
        <v/>
      </c>
      <c r="JZ24" s="11" t="str">
        <f ca="1">IF(History!KD$2="","",History!KD13*$C$24)</f>
        <v/>
      </c>
      <c r="KA24" s="11" t="str">
        <f ca="1">IF(History!KE$2="","",History!KE13*$C$24)</f>
        <v/>
      </c>
      <c r="KB24" s="11" t="str">
        <f ca="1">IF(History!KF$2="","",History!KF13*$C$24)</f>
        <v/>
      </c>
    </row>
    <row r="25" spans="1:288" ht="15.75" customHeight="1">
      <c r="A25" s="22" t="s">
        <v>30</v>
      </c>
      <c r="B25" s="6" t="s">
        <v>58</v>
      </c>
      <c r="C25" s="26">
        <v>84</v>
      </c>
      <c r="D25" s="11">
        <f ca="1">IF(History!H$2="","",History!H14*$C$25)</f>
        <v>4907.28</v>
      </c>
      <c r="E25" s="11">
        <f ca="1">IF(History!I$2="","",History!I14*$C$25)</f>
        <v>4941.72</v>
      </c>
      <c r="F25" s="11">
        <f ca="1">IF(History!J$2="","",History!J14*$C$25)</f>
        <v>4928.28</v>
      </c>
      <c r="G25" s="11">
        <f ca="1">IF(History!K$2="","",History!K14*$C$25)</f>
        <v>4818.24</v>
      </c>
      <c r="H25" s="11">
        <f ca="1">IF(History!L$2="","",History!L14*$C$25)</f>
        <v>4689.72</v>
      </c>
      <c r="I25" s="11">
        <f ca="1">IF(History!M$2="","",History!M14*$C$25)</f>
        <v>4664.5200000000004</v>
      </c>
      <c r="J25" s="11">
        <f ca="1">IF(History!N$2="","",History!N14*$C$25)</f>
        <v>4667.88</v>
      </c>
      <c r="K25" s="11">
        <f ca="1">IF(History!O$2="","",History!O14*$C$25)</f>
        <v>4461.24</v>
      </c>
      <c r="L25" s="11">
        <f ca="1">IF(History!P$2="","",History!P14*$C$25)</f>
        <v>4456.2</v>
      </c>
      <c r="M25" s="11">
        <f ca="1">IF(History!Q$2="","",History!Q14*$C$25)</f>
        <v>4719.12</v>
      </c>
      <c r="N25" s="11">
        <f ca="1">IF(History!R$2="","",History!R14*$C$25)</f>
        <v>4603.2</v>
      </c>
      <c r="O25" s="11">
        <f ca="1">IF(History!S$2="","",History!S14*$C$25)</f>
        <v>4446.96</v>
      </c>
      <c r="P25" s="11">
        <f ca="1">IF(History!T$2="","",History!T14*$C$25)</f>
        <v>4443.5999999999995</v>
      </c>
      <c r="Q25" s="11">
        <f ca="1">IF(History!U$2="","",History!U14*$C$25)</f>
        <v>4590.5999999999995</v>
      </c>
      <c r="R25" s="11">
        <f ca="1">IF(History!V$2="","",History!V14*$C$25)</f>
        <v>4709.88</v>
      </c>
      <c r="S25" s="11">
        <f ca="1">IF(History!W$2="","",History!W14*$C$25)</f>
        <v>4728.3599999999997</v>
      </c>
      <c r="T25" s="11">
        <f ca="1">IF(History!X$2="","",History!X14*$C$25)</f>
        <v>4932.4799999999996</v>
      </c>
      <c r="U25" s="11">
        <f ca="1">IF(History!Y$2="","",History!Y14*$C$25)</f>
        <v>4675.4399999999996</v>
      </c>
      <c r="V25" s="11">
        <f ca="1">IF(History!Z$2="","",History!Z14*$C$25)</f>
        <v>4714.92</v>
      </c>
      <c r="W25" s="11">
        <f ca="1">IF(History!AA$2="","",History!AA14*$C$25)</f>
        <v>4698.12</v>
      </c>
      <c r="X25" s="11">
        <f ca="1">IF(History!AB$2="","",History!AB14*$C$25)</f>
        <v>4901.4000000000005</v>
      </c>
      <c r="Y25" s="11">
        <f ca="1">IF(History!AC$2="","",History!AC14*$C$25)</f>
        <v>5124</v>
      </c>
      <c r="Z25" s="11">
        <f ca="1">IF(History!AD$2="","",History!AD14*$C$25)</f>
        <v>5103</v>
      </c>
      <c r="AA25" s="11">
        <f ca="1">IF(History!AE$2="","",History!AE14*$C$25)</f>
        <v>4817.4000000000005</v>
      </c>
      <c r="AB25" s="11">
        <f ca="1">IF(History!AF$2="","",History!AF14*$C$25)</f>
        <v>4622.5200000000004</v>
      </c>
      <c r="AC25" s="11">
        <f ca="1">IF(History!AG$2="","",History!AG14*$C$25)</f>
        <v>4651.08</v>
      </c>
      <c r="AD25" s="11">
        <f ca="1">IF(History!AH$2="","",History!AH14*$C$25)</f>
        <v>4657.8</v>
      </c>
      <c r="AE25" s="11">
        <f ca="1">IF(History!AI$2="","",History!AI14*$C$25)</f>
        <v>4381.4399999999996</v>
      </c>
      <c r="AF25" s="11">
        <f ca="1">IF(History!AJ$2="","",History!AJ14*$C$25)</f>
        <v>4391.5200000000004</v>
      </c>
      <c r="AG25" s="11">
        <f ca="1">IF(History!AK$2="","",History!AK14*$C$25)</f>
        <v>4320.12</v>
      </c>
      <c r="AH25" s="11">
        <f ca="1">IF(History!AL$2="","",History!AL14*$C$25)</f>
        <v>4226.88</v>
      </c>
      <c r="AI25" s="11">
        <f ca="1">IF(History!AM$2="","",History!AM14*$C$25)</f>
        <v>4463.76</v>
      </c>
      <c r="AJ25" s="11">
        <f ca="1">IF(History!AN$2="","",History!AN14*$C$25)</f>
        <v>4573.8</v>
      </c>
      <c r="AK25" s="11">
        <f ca="1">IF(History!AO$2="","",History!AO14*$C$25)</f>
        <v>4483.08</v>
      </c>
      <c r="AL25" s="11">
        <f ca="1">IF(History!AP$2="","",History!AP14*$C$25)</f>
        <v>4278.96</v>
      </c>
      <c r="AM25" s="11">
        <f ca="1">IF(History!AQ$2="","",History!AQ14*$C$25)</f>
        <v>4481.4000000000005</v>
      </c>
      <c r="AN25" s="11">
        <f ca="1">IF(History!AR$2="","",History!AR14*$C$25)</f>
        <v>4379.76</v>
      </c>
      <c r="AO25" s="11">
        <f ca="1">IF(History!AS$2="","",History!AS14*$C$25)</f>
        <v>4184.88</v>
      </c>
      <c r="AP25" s="11">
        <f ca="1">IF(History!AT$2="","",History!AT14*$C$25)</f>
        <v>3822</v>
      </c>
      <c r="AQ25" s="11">
        <f ca="1">IF(History!AU$2="","",History!AU14*$C$25)</f>
        <v>3829.5600000000004</v>
      </c>
      <c r="AR25" s="11">
        <f ca="1">IF(History!AV$2="","",History!AV14*$C$25)</f>
        <v>4005.96</v>
      </c>
      <c r="AS25" s="11">
        <f ca="1">IF(History!AW$2="","",History!AW14*$C$25)</f>
        <v>4038.72</v>
      </c>
      <c r="AT25" s="11">
        <f ca="1">IF(History!AX$2="","",History!AX14*$C$25)</f>
        <v>3932.04</v>
      </c>
      <c r="AU25" s="11">
        <f ca="1">IF(History!AY$2="","",History!AY14*$C$25)</f>
        <v>3899.28</v>
      </c>
      <c r="AV25" s="11">
        <f ca="1">IF(History!AZ$2="","",History!AZ14*$C$25)</f>
        <v>3958.08</v>
      </c>
      <c r="AW25" s="11">
        <f ca="1">IF(History!BA$2="","",History!BA14*$C$25)</f>
        <v>4095</v>
      </c>
      <c r="AX25" s="11">
        <f ca="1">IF(History!BB$2="","",History!BB14*$C$25)</f>
        <v>4093.3199999999997</v>
      </c>
      <c r="AY25" s="11">
        <f ca="1">IF(History!BC$2="","",History!BC14*$C$25)</f>
        <v>4232.76</v>
      </c>
      <c r="AZ25" s="11">
        <f ca="1">IF(History!BD$2="","",History!BD14*$C$25)</f>
        <v>4142.04</v>
      </c>
      <c r="BA25" s="11">
        <f ca="1">IF(History!BE$2="","",History!BE14*$C$25)</f>
        <v>4194.96</v>
      </c>
      <c r="BB25" s="11">
        <f ca="1">IF(History!BF$2="","",History!BF14*$C$25)</f>
        <v>4101.72</v>
      </c>
      <c r="BC25" s="11">
        <f ca="1">IF(History!BG$2="","",History!BG14*$C$25)</f>
        <v>4181.5200000000004</v>
      </c>
      <c r="BD25" s="11">
        <f ca="1">IF(History!BH$2="","",History!BH14*$C$25)</f>
        <v>4277.28</v>
      </c>
      <c r="BE25" s="11">
        <f ca="1">IF(History!BI$2="","",History!BI14*$C$25)</f>
        <v>4189.08</v>
      </c>
      <c r="BF25" s="11">
        <f ca="1">IF(History!BJ$2="","",History!BJ14*$C$25)</f>
        <v>4348.68</v>
      </c>
      <c r="BG25" s="11">
        <f ca="1">IF(History!BK$2="","",History!BK14*$C$25)</f>
        <v>4191.5999999999995</v>
      </c>
      <c r="BH25" s="11">
        <f ca="1">IF(History!BL$2="","",History!BL14*$C$25)</f>
        <v>4015.2</v>
      </c>
      <c r="BI25" s="11">
        <f ca="1">IF(History!BM$2="","",History!BM14*$C$25)</f>
        <v>3986.64</v>
      </c>
      <c r="BJ25" s="11">
        <f ca="1">IF(History!BN$2="","",History!BN14*$C$25)</f>
        <v>4016.88</v>
      </c>
      <c r="BK25" s="11">
        <f ca="1">IF(History!BO$2="","",History!BO14*$C$25)</f>
        <v>3940.4399999999996</v>
      </c>
      <c r="BL25" s="11">
        <f ca="1">IF(History!BP$2="","",History!BP14*$C$25)</f>
        <v>3823.6800000000003</v>
      </c>
      <c r="BM25" s="11">
        <f ca="1">IF(History!BQ$2="","",History!BQ14*$C$25)</f>
        <v>3815.28</v>
      </c>
      <c r="BN25" s="11">
        <f ca="1">IF(History!BR$2="","",History!BR14*$C$25)</f>
        <v>3874.92</v>
      </c>
      <c r="BO25" s="11">
        <f ca="1">IF(History!BS$2="","",History!BS14*$C$25)</f>
        <v>4005.96</v>
      </c>
      <c r="BP25" s="11">
        <f ca="1">IF(History!BT$2="","",History!BT14*$C$25)</f>
        <v>4106.76</v>
      </c>
      <c r="BQ25" s="11">
        <f ca="1">IF(History!BU$2="","",History!BU14*$C$25)</f>
        <v>4294.92</v>
      </c>
      <c r="BR25" s="11">
        <f ca="1">IF(History!BV$2="","",History!BV14*$C$25)</f>
        <v>4383.96</v>
      </c>
      <c r="BS25" s="11">
        <f ca="1">IF(History!BW$2="","",History!BW14*$C$25)</f>
        <v>4444.4399999999996</v>
      </c>
      <c r="BT25" s="11">
        <f ca="1">IF(History!BX$2="","",History!BX14*$C$25)</f>
        <v>4667.88</v>
      </c>
      <c r="BU25" s="11">
        <f ca="1">IF(History!BY$2="","",History!BY14*$C$25)</f>
        <v>4773.72</v>
      </c>
      <c r="BV25" s="11">
        <f ca="1">IF(History!BZ$2="","",History!BZ14*$C$25)</f>
        <v>4656.12</v>
      </c>
      <c r="BW25" s="11">
        <f ca="1">IF(History!CA$2="","",History!CA14*$C$25)</f>
        <v>4486.4399999999996</v>
      </c>
      <c r="BX25" s="11">
        <f ca="1">IF(History!CB$2="","",History!CB14*$C$25)</f>
        <v>4544.4000000000005</v>
      </c>
      <c r="BY25" s="11">
        <f ca="1">IF(History!CC$2="","",History!CC14*$C$25)</f>
        <v>4444.4399999999996</v>
      </c>
      <c r="BZ25" s="11">
        <f ca="1">IF(History!CD$2="","",History!CD14*$C$25)</f>
        <v>4434.3599999999997</v>
      </c>
      <c r="CA25" s="11">
        <f ca="1">IF(History!CE$2="","",History!CE14*$C$25)</f>
        <v>4566.24</v>
      </c>
      <c r="CB25" s="11">
        <f ca="1">IF(History!CF$2="","",History!CF14*$C$25)</f>
        <v>4442.76</v>
      </c>
      <c r="CC25" s="11">
        <f ca="1">IF(History!CG$2="","",History!CG14*$C$25)</f>
        <v>4561.2</v>
      </c>
      <c r="CD25" s="11">
        <f ca="1">IF(History!CH$2="","",History!CH14*$C$25)</f>
        <v>4473</v>
      </c>
      <c r="CE25" s="11">
        <f ca="1">IF(History!CI$2="","",History!CI14*$C$25)</f>
        <v>4568.76</v>
      </c>
      <c r="CF25" s="11" t="str">
        <f ca="1">IF(History!CJ$2="","",History!CJ14*$C$25)</f>
        <v/>
      </c>
      <c r="CG25" s="11" t="str">
        <f ca="1">IF(History!CK$2="","",History!CK14*$C$25)</f>
        <v/>
      </c>
      <c r="CH25" s="11" t="str">
        <f ca="1">IF(History!CL$2="","",History!CL14*$C$25)</f>
        <v/>
      </c>
      <c r="CI25" s="11" t="str">
        <f ca="1">IF(History!CM$2="","",History!CM14*$C$25)</f>
        <v/>
      </c>
      <c r="CJ25" s="11" t="str">
        <f ca="1">IF(History!CN$2="","",History!CN14*$C$25)</f>
        <v/>
      </c>
      <c r="CK25" s="11" t="str">
        <f ca="1">IF(History!CO$2="","",History!CO14*$C$25)</f>
        <v/>
      </c>
      <c r="CL25" s="11" t="str">
        <f ca="1">IF(History!CP$2="","",History!CP14*$C$25)</f>
        <v/>
      </c>
      <c r="CM25" s="11" t="str">
        <f ca="1">IF(History!CQ$2="","",History!CQ14*$C$25)</f>
        <v/>
      </c>
      <c r="CN25" s="11" t="str">
        <f ca="1">IF(History!CR$2="","",History!CR14*$C$25)</f>
        <v/>
      </c>
      <c r="CO25" s="11" t="str">
        <f ca="1">IF(History!CS$2="","",History!CS14*$C$25)</f>
        <v/>
      </c>
      <c r="CP25" s="11" t="str">
        <f ca="1">IF(History!CT$2="","",History!CT14*$C$25)</f>
        <v/>
      </c>
      <c r="CQ25" s="11" t="str">
        <f ca="1">IF(History!CU$2="","",History!CU14*$C$25)</f>
        <v/>
      </c>
      <c r="CR25" s="11" t="str">
        <f ca="1">IF(History!CV$2="","",History!CV14*$C$25)</f>
        <v/>
      </c>
      <c r="CS25" s="11" t="str">
        <f ca="1">IF(History!CW$2="","",History!CW14*$C$25)</f>
        <v/>
      </c>
      <c r="CT25" s="11" t="str">
        <f ca="1">IF(History!CX$2="","",History!CX14*$C$25)</f>
        <v/>
      </c>
      <c r="CU25" s="11" t="str">
        <f ca="1">IF(History!CY$2="","",History!CY14*$C$25)</f>
        <v/>
      </c>
      <c r="CV25" s="11" t="str">
        <f ca="1">IF(History!CZ$2="","",History!CZ14*$C$25)</f>
        <v/>
      </c>
      <c r="CW25" s="11" t="str">
        <f ca="1">IF(History!DA$2="","",History!DA14*$C$25)</f>
        <v/>
      </c>
      <c r="CX25" s="11" t="str">
        <f ca="1">IF(History!DB$2="","",History!DB14*$C$25)</f>
        <v/>
      </c>
      <c r="CY25" s="11" t="str">
        <f ca="1">IF(History!DC$2="","",History!DC14*$C$25)</f>
        <v/>
      </c>
      <c r="CZ25" s="11" t="str">
        <f ca="1">IF(History!DD$2="","",History!DD14*$C$25)</f>
        <v/>
      </c>
      <c r="DA25" s="11" t="str">
        <f ca="1">IF(History!DE$2="","",History!DE14*$C$25)</f>
        <v/>
      </c>
      <c r="DB25" s="11" t="str">
        <f ca="1">IF(History!DF$2="","",History!DF14*$C$25)</f>
        <v/>
      </c>
      <c r="DC25" s="11" t="str">
        <f ca="1">IF(History!DG$2="","",History!DG14*$C$25)</f>
        <v/>
      </c>
      <c r="DD25" s="11" t="str">
        <f ca="1">IF(History!DH$2="","",History!DH14*$C$25)</f>
        <v/>
      </c>
      <c r="DE25" s="11" t="str">
        <f ca="1">IF(History!DI$2="","",History!DI14*$C$25)</f>
        <v/>
      </c>
      <c r="DF25" s="11" t="str">
        <f ca="1">IF(History!DJ$2="","",History!DJ14*$C$25)</f>
        <v/>
      </c>
      <c r="DG25" s="11" t="str">
        <f ca="1">IF(History!DK$2="","",History!DK14*$C$25)</f>
        <v/>
      </c>
      <c r="DH25" s="11" t="str">
        <f ca="1">IF(History!DL$2="","",History!DL14*$C$25)</f>
        <v/>
      </c>
      <c r="DI25" s="11" t="str">
        <f ca="1">IF(History!DM$2="","",History!DM14*$C$25)</f>
        <v/>
      </c>
      <c r="DJ25" s="11" t="str">
        <f ca="1">IF(History!DN$2="","",History!DN14*$C$25)</f>
        <v/>
      </c>
      <c r="DK25" s="11" t="str">
        <f ca="1">IF(History!DO$2="","",History!DO14*$C$25)</f>
        <v/>
      </c>
      <c r="DL25" s="11" t="str">
        <f ca="1">IF(History!DP$2="","",History!DP14*$C$25)</f>
        <v/>
      </c>
      <c r="DM25" s="11" t="str">
        <f ca="1">IF(History!DQ$2="","",History!DQ14*$C$25)</f>
        <v/>
      </c>
      <c r="DN25" s="11" t="str">
        <f ca="1">IF(History!DR$2="","",History!DR14*$C$25)</f>
        <v/>
      </c>
      <c r="DO25" s="11" t="str">
        <f ca="1">IF(History!DS$2="","",History!DS14*$C$25)</f>
        <v/>
      </c>
      <c r="DP25" s="11" t="str">
        <f ca="1">IF(History!DT$2="","",History!DT14*$C$25)</f>
        <v/>
      </c>
      <c r="DQ25" s="11" t="str">
        <f ca="1">IF(History!DU$2="","",History!DU14*$C$25)</f>
        <v/>
      </c>
      <c r="DR25" s="11" t="str">
        <f ca="1">IF(History!DV$2="","",History!DV14*$C$25)</f>
        <v/>
      </c>
      <c r="DS25" s="11" t="str">
        <f ca="1">IF(History!DW$2="","",History!DW14*$C$25)</f>
        <v/>
      </c>
      <c r="DT25" s="11" t="str">
        <f ca="1">IF(History!DX$2="","",History!DX14*$C$25)</f>
        <v/>
      </c>
      <c r="DU25" s="11" t="str">
        <f ca="1">IF(History!DY$2="","",History!DY14*$C$25)</f>
        <v/>
      </c>
      <c r="DV25" s="11" t="str">
        <f ca="1">IF(History!DZ$2="","",History!DZ14*$C$25)</f>
        <v/>
      </c>
      <c r="DW25" s="11" t="str">
        <f ca="1">IF(History!EA$2="","",History!EA14*$C$25)</f>
        <v/>
      </c>
      <c r="DX25" s="11" t="str">
        <f ca="1">IF(History!EB$2="","",History!EB14*$C$25)</f>
        <v/>
      </c>
      <c r="DY25" s="11" t="str">
        <f ca="1">IF(History!EC$2="","",History!EC14*$C$25)</f>
        <v/>
      </c>
      <c r="DZ25" s="11" t="str">
        <f ca="1">IF(History!ED$2="","",History!ED14*$C$25)</f>
        <v/>
      </c>
      <c r="EA25" s="11" t="str">
        <f ca="1">IF(History!EE$2="","",History!EE14*$C$25)</f>
        <v/>
      </c>
      <c r="EB25" s="11" t="str">
        <f ca="1">IF(History!EF$2="","",History!EF14*$C$25)</f>
        <v/>
      </c>
      <c r="EC25" s="11" t="str">
        <f ca="1">IF(History!EG$2="","",History!EG14*$C$25)</f>
        <v/>
      </c>
      <c r="ED25" s="11" t="str">
        <f ca="1">IF(History!EH$2="","",History!EH14*$C$25)</f>
        <v/>
      </c>
      <c r="EE25" s="11" t="str">
        <f ca="1">IF(History!EI$2="","",History!EI14*$C$25)</f>
        <v/>
      </c>
      <c r="EF25" s="11" t="str">
        <f ca="1">IF(History!EJ$2="","",History!EJ14*$C$25)</f>
        <v/>
      </c>
      <c r="EG25" s="11" t="str">
        <f ca="1">IF(History!EK$2="","",History!EK14*$C$25)</f>
        <v/>
      </c>
      <c r="EH25" s="11" t="str">
        <f ca="1">IF(History!EL$2="","",History!EL14*$C$25)</f>
        <v/>
      </c>
      <c r="EI25" s="11" t="str">
        <f ca="1">IF(History!EM$2="","",History!EM14*$C$25)</f>
        <v/>
      </c>
      <c r="EJ25" s="11" t="str">
        <f ca="1">IF(History!EN$2="","",History!EN14*$C$25)</f>
        <v/>
      </c>
      <c r="EK25" s="11" t="str">
        <f ca="1">IF(History!EO$2="","",History!EO14*$C$25)</f>
        <v/>
      </c>
      <c r="EL25" s="11" t="str">
        <f ca="1">IF(History!EP$2="","",History!EP14*$C$25)</f>
        <v/>
      </c>
      <c r="EM25" s="11" t="str">
        <f ca="1">IF(History!EQ$2="","",History!EQ14*$C$25)</f>
        <v/>
      </c>
      <c r="EN25" s="11" t="str">
        <f ca="1">IF(History!ER$2="","",History!ER14*$C$25)</f>
        <v/>
      </c>
      <c r="EO25" s="11" t="str">
        <f ca="1">IF(History!ES$2="","",History!ES14*$C$25)</f>
        <v/>
      </c>
      <c r="EP25" s="11" t="str">
        <f ca="1">IF(History!ET$2="","",History!ET14*$C$25)</f>
        <v/>
      </c>
      <c r="EQ25" s="11" t="str">
        <f ca="1">IF(History!EU$2="","",History!EU14*$C$25)</f>
        <v/>
      </c>
      <c r="ER25" s="11" t="str">
        <f ca="1">IF(History!EV$2="","",History!EV14*$C$25)</f>
        <v/>
      </c>
      <c r="ES25" s="11" t="str">
        <f ca="1">IF(History!EW$2="","",History!EW14*$C$25)</f>
        <v/>
      </c>
      <c r="ET25" s="11" t="str">
        <f ca="1">IF(History!EX$2="","",History!EX14*$C$25)</f>
        <v/>
      </c>
      <c r="EU25" s="11" t="str">
        <f ca="1">IF(History!EY$2="","",History!EY14*$C$25)</f>
        <v/>
      </c>
      <c r="EV25" s="11" t="str">
        <f ca="1">IF(History!EZ$2="","",History!EZ14*$C$25)</f>
        <v/>
      </c>
      <c r="EW25" s="11" t="str">
        <f ca="1">IF(History!FA$2="","",History!FA14*$C$25)</f>
        <v/>
      </c>
      <c r="EX25" s="11" t="str">
        <f ca="1">IF(History!FB$2="","",History!FB14*$C$25)</f>
        <v/>
      </c>
      <c r="EY25" s="11" t="str">
        <f ca="1">IF(History!FC$2="","",History!FC14*$C$25)</f>
        <v/>
      </c>
      <c r="EZ25" s="11" t="str">
        <f ca="1">IF(History!FD$2="","",History!FD14*$C$25)</f>
        <v/>
      </c>
      <c r="FA25" s="11" t="str">
        <f ca="1">IF(History!FE$2="","",History!FE14*$C$25)</f>
        <v/>
      </c>
      <c r="FB25" s="11" t="str">
        <f ca="1">IF(History!FF$2="","",History!FF14*$C$25)</f>
        <v/>
      </c>
      <c r="FC25" s="11" t="str">
        <f ca="1">IF(History!FG$2="","",History!FG14*$C$25)</f>
        <v/>
      </c>
      <c r="FD25" s="11" t="str">
        <f ca="1">IF(History!FH$2="","",History!FH14*$C$25)</f>
        <v/>
      </c>
      <c r="FE25" s="11" t="str">
        <f ca="1">IF(History!FI$2="","",History!FI14*$C$25)</f>
        <v/>
      </c>
      <c r="FF25" s="11" t="str">
        <f ca="1">IF(History!FJ$2="","",History!FJ14*$C$25)</f>
        <v/>
      </c>
      <c r="FG25" s="11" t="str">
        <f ca="1">IF(History!FK$2="","",History!FK14*$C$25)</f>
        <v/>
      </c>
      <c r="FH25" s="11" t="str">
        <f ca="1">IF(History!FL$2="","",History!FL14*$C$25)</f>
        <v/>
      </c>
      <c r="FI25" s="11" t="str">
        <f ca="1">IF(History!FM$2="","",History!FM14*$C$25)</f>
        <v/>
      </c>
      <c r="FJ25" s="11" t="str">
        <f ca="1">IF(History!FN$2="","",History!FN14*$C$25)</f>
        <v/>
      </c>
      <c r="FK25" s="11" t="str">
        <f ca="1">IF(History!FO$2="","",History!FO14*$C$25)</f>
        <v/>
      </c>
      <c r="FL25" s="11" t="str">
        <f ca="1">IF(History!FP$2="","",History!FP14*$C$25)</f>
        <v/>
      </c>
      <c r="FM25" s="11" t="str">
        <f ca="1">IF(History!FQ$2="","",History!FQ14*$C$25)</f>
        <v/>
      </c>
      <c r="FN25" s="11" t="str">
        <f ca="1">IF(History!FR$2="","",History!FR14*$C$25)</f>
        <v/>
      </c>
      <c r="FO25" s="11" t="str">
        <f ca="1">IF(History!FS$2="","",History!FS14*$C$25)</f>
        <v/>
      </c>
      <c r="FP25" s="11" t="str">
        <f ca="1">IF(History!FT$2="","",History!FT14*$C$25)</f>
        <v/>
      </c>
      <c r="FQ25" s="11" t="str">
        <f ca="1">IF(History!FU$2="","",History!FU14*$C$25)</f>
        <v/>
      </c>
      <c r="FR25" s="11" t="str">
        <f ca="1">IF(History!FV$2="","",History!FV14*$C$25)</f>
        <v/>
      </c>
      <c r="FS25" s="11" t="str">
        <f ca="1">IF(History!FW$2="","",History!FW14*$C$25)</f>
        <v/>
      </c>
      <c r="FT25" s="11" t="str">
        <f ca="1">IF(History!FX$2="","",History!FX14*$C$25)</f>
        <v/>
      </c>
      <c r="FU25" s="11" t="str">
        <f ca="1">IF(History!FY$2="","",History!FY14*$C$25)</f>
        <v/>
      </c>
      <c r="FV25" s="11" t="str">
        <f ca="1">IF(History!FZ$2="","",History!FZ14*$C$25)</f>
        <v/>
      </c>
      <c r="FW25" s="11" t="str">
        <f ca="1">IF(History!GA$2="","",History!GA14*$C$25)</f>
        <v/>
      </c>
      <c r="FX25" s="11" t="str">
        <f ca="1">IF(History!GB$2="","",History!GB14*$C$25)</f>
        <v/>
      </c>
      <c r="FY25" s="11" t="str">
        <f ca="1">IF(History!GC$2="","",History!GC14*$C$25)</f>
        <v/>
      </c>
      <c r="FZ25" s="11" t="str">
        <f ca="1">IF(History!GD$2="","",History!GD14*$C$25)</f>
        <v/>
      </c>
      <c r="GA25" s="11" t="str">
        <f ca="1">IF(History!GE$2="","",History!GE14*$C$25)</f>
        <v/>
      </c>
      <c r="GB25" s="11" t="str">
        <f ca="1">IF(History!GF$2="","",History!GF14*$C$25)</f>
        <v/>
      </c>
      <c r="GC25" s="11" t="str">
        <f ca="1">IF(History!GG$2="","",History!GG14*$C$25)</f>
        <v/>
      </c>
      <c r="GD25" s="11" t="str">
        <f ca="1">IF(History!GH$2="","",History!GH14*$C$25)</f>
        <v/>
      </c>
      <c r="GE25" s="11" t="str">
        <f ca="1">IF(History!GI$2="","",History!GI14*$C$25)</f>
        <v/>
      </c>
      <c r="GF25" s="11" t="str">
        <f ca="1">IF(History!GJ$2="","",History!GJ14*$C$25)</f>
        <v/>
      </c>
      <c r="GG25" s="11" t="str">
        <f ca="1">IF(History!GK$2="","",History!GK14*$C$25)</f>
        <v/>
      </c>
      <c r="GH25" s="11" t="str">
        <f ca="1">IF(History!GL$2="","",History!GL14*$C$25)</f>
        <v/>
      </c>
      <c r="GI25" s="11" t="str">
        <f ca="1">IF(History!GM$2="","",History!GM14*$C$25)</f>
        <v/>
      </c>
      <c r="GJ25" s="11" t="str">
        <f ca="1">IF(History!GN$2="","",History!GN14*$C$25)</f>
        <v/>
      </c>
      <c r="GK25" s="11" t="str">
        <f ca="1">IF(History!GO$2="","",History!GO14*$C$25)</f>
        <v/>
      </c>
      <c r="GL25" s="11" t="str">
        <f ca="1">IF(History!GP$2="","",History!GP14*$C$25)</f>
        <v/>
      </c>
      <c r="GM25" s="11" t="str">
        <f ca="1">IF(History!GQ$2="","",History!GQ14*$C$25)</f>
        <v/>
      </c>
      <c r="GN25" s="11" t="str">
        <f ca="1">IF(History!GR$2="","",History!GR14*$C$25)</f>
        <v/>
      </c>
      <c r="GO25" s="11" t="str">
        <f ca="1">IF(History!GS$2="","",History!GS14*$C$25)</f>
        <v/>
      </c>
      <c r="GP25" s="11" t="str">
        <f ca="1">IF(History!GT$2="","",History!GT14*$C$25)</f>
        <v/>
      </c>
      <c r="GQ25" s="11" t="str">
        <f ca="1">IF(History!GU$2="","",History!GU14*$C$25)</f>
        <v/>
      </c>
      <c r="GR25" s="11" t="str">
        <f ca="1">IF(History!GV$2="","",History!GV14*$C$25)</f>
        <v/>
      </c>
      <c r="GS25" s="11" t="str">
        <f ca="1">IF(History!GW$2="","",History!GW14*$C$25)</f>
        <v/>
      </c>
      <c r="GT25" s="11" t="str">
        <f ca="1">IF(History!GX$2="","",History!GX14*$C$25)</f>
        <v/>
      </c>
      <c r="GU25" s="11" t="str">
        <f ca="1">IF(History!GY$2="","",History!GY14*$C$25)</f>
        <v/>
      </c>
      <c r="GV25" s="11" t="str">
        <f ca="1">IF(History!GZ$2="","",History!GZ14*$C$25)</f>
        <v/>
      </c>
      <c r="GW25" s="11" t="str">
        <f ca="1">IF(History!HA$2="","",History!HA14*$C$25)</f>
        <v/>
      </c>
      <c r="GX25" s="11" t="str">
        <f ca="1">IF(History!HB$2="","",History!HB14*$C$25)</f>
        <v/>
      </c>
      <c r="GY25" s="11" t="str">
        <f ca="1">IF(History!HC$2="","",History!HC14*$C$25)</f>
        <v/>
      </c>
      <c r="GZ25" s="11" t="str">
        <f ca="1">IF(History!HD$2="","",History!HD14*$C$25)</f>
        <v/>
      </c>
      <c r="HA25" s="11" t="str">
        <f ca="1">IF(History!HE$2="","",History!HE14*$C$25)</f>
        <v/>
      </c>
      <c r="HB25" s="11" t="str">
        <f ca="1">IF(History!HF$2="","",History!HF14*$C$25)</f>
        <v/>
      </c>
      <c r="HC25" s="11" t="str">
        <f ca="1">IF(History!HG$2="","",History!HG14*$C$25)</f>
        <v/>
      </c>
      <c r="HD25" s="11" t="str">
        <f ca="1">IF(History!HH$2="","",History!HH14*$C$25)</f>
        <v/>
      </c>
      <c r="HE25" s="11" t="str">
        <f ca="1">IF(History!HI$2="","",History!HI14*$C$25)</f>
        <v/>
      </c>
      <c r="HF25" s="11" t="str">
        <f ca="1">IF(History!HJ$2="","",History!HJ14*$C$25)</f>
        <v/>
      </c>
      <c r="HG25" s="11" t="str">
        <f ca="1">IF(History!HK$2="","",History!HK14*$C$25)</f>
        <v/>
      </c>
      <c r="HH25" s="11" t="str">
        <f ca="1">IF(History!HL$2="","",History!HL14*$C$25)</f>
        <v/>
      </c>
      <c r="HI25" s="11" t="str">
        <f ca="1">IF(History!HM$2="","",History!HM14*$C$25)</f>
        <v/>
      </c>
      <c r="HJ25" s="11" t="str">
        <f ca="1">IF(History!HN$2="","",History!HN14*$C$25)</f>
        <v/>
      </c>
      <c r="HK25" s="11" t="str">
        <f ca="1">IF(History!HO$2="","",History!HO14*$C$25)</f>
        <v/>
      </c>
      <c r="HL25" s="11" t="str">
        <f ca="1">IF(History!HP$2="","",History!HP14*$C$25)</f>
        <v/>
      </c>
      <c r="HM25" s="11" t="str">
        <f ca="1">IF(History!HQ$2="","",History!HQ14*$C$25)</f>
        <v/>
      </c>
      <c r="HN25" s="11" t="str">
        <f ca="1">IF(History!HR$2="","",History!HR14*$C$25)</f>
        <v/>
      </c>
      <c r="HO25" s="11" t="str">
        <f ca="1">IF(History!HS$2="","",History!HS14*$C$25)</f>
        <v/>
      </c>
      <c r="HP25" s="11" t="str">
        <f ca="1">IF(History!HT$2="","",History!HT14*$C$25)</f>
        <v/>
      </c>
      <c r="HQ25" s="11" t="str">
        <f ca="1">IF(History!HU$2="","",History!HU14*$C$25)</f>
        <v/>
      </c>
      <c r="HR25" s="11" t="str">
        <f ca="1">IF(History!HV$2="","",History!HV14*$C$25)</f>
        <v/>
      </c>
      <c r="HS25" s="11" t="str">
        <f ca="1">IF(History!HW$2="","",History!HW14*$C$25)</f>
        <v/>
      </c>
      <c r="HT25" s="11" t="str">
        <f ca="1">IF(History!HX$2="","",History!HX14*$C$25)</f>
        <v/>
      </c>
      <c r="HU25" s="11" t="str">
        <f ca="1">IF(History!HY$2="","",History!HY14*$C$25)</f>
        <v/>
      </c>
      <c r="HV25" s="11" t="str">
        <f ca="1">IF(History!HZ$2="","",History!HZ14*$C$25)</f>
        <v/>
      </c>
      <c r="HW25" s="11" t="str">
        <f ca="1">IF(History!IA$2="","",History!IA14*$C$25)</f>
        <v/>
      </c>
      <c r="HX25" s="11" t="str">
        <f ca="1">IF(History!IB$2="","",History!IB14*$C$25)</f>
        <v/>
      </c>
      <c r="HY25" s="11" t="str">
        <f ca="1">IF(History!IC$2="","",History!IC14*$C$25)</f>
        <v/>
      </c>
      <c r="HZ25" s="11" t="str">
        <f ca="1">IF(History!ID$2="","",History!ID14*$C$25)</f>
        <v/>
      </c>
      <c r="IA25" s="11" t="str">
        <f ca="1">IF(History!IE$2="","",History!IE14*$C$25)</f>
        <v/>
      </c>
      <c r="IB25" s="11" t="str">
        <f ca="1">IF(History!IF$2="","",History!IF14*$C$25)</f>
        <v/>
      </c>
      <c r="IC25" s="11" t="str">
        <f ca="1">IF(History!IG$2="","",History!IG14*$C$25)</f>
        <v/>
      </c>
      <c r="ID25" s="11" t="str">
        <f ca="1">IF(History!IH$2="","",History!IH14*$C$25)</f>
        <v/>
      </c>
      <c r="IE25" s="11" t="str">
        <f ca="1">IF(History!II$2="","",History!II14*$C$25)</f>
        <v/>
      </c>
      <c r="IF25" s="11" t="str">
        <f ca="1">IF(History!IJ$2="","",History!IJ14*$C$25)</f>
        <v/>
      </c>
      <c r="IG25" s="11" t="str">
        <f ca="1">IF(History!IK$2="","",History!IK14*$C$25)</f>
        <v/>
      </c>
      <c r="IH25" s="11" t="str">
        <f ca="1">IF(History!IL$2="","",History!IL14*$C$25)</f>
        <v/>
      </c>
      <c r="II25" s="11" t="str">
        <f ca="1">IF(History!IM$2="","",History!IM14*$C$25)</f>
        <v/>
      </c>
      <c r="IJ25" s="11" t="str">
        <f ca="1">IF(History!IN$2="","",History!IN14*$C$25)</f>
        <v/>
      </c>
      <c r="IK25" s="11" t="str">
        <f ca="1">IF(History!IO$2="","",History!IO14*$C$25)</f>
        <v/>
      </c>
      <c r="IL25" s="11" t="str">
        <f ca="1">IF(History!IP$2="","",History!IP14*$C$25)</f>
        <v/>
      </c>
      <c r="IM25" s="11" t="str">
        <f ca="1">IF(History!IQ$2="","",History!IQ14*$C$25)</f>
        <v/>
      </c>
      <c r="IN25" s="11" t="str">
        <f ca="1">IF(History!IR$2="","",History!IR14*$C$25)</f>
        <v/>
      </c>
      <c r="IO25" s="11" t="str">
        <f ca="1">IF(History!IS$2="","",History!IS14*$C$25)</f>
        <v/>
      </c>
      <c r="IP25" s="11" t="str">
        <f ca="1">IF(History!IT$2="","",History!IT14*$C$25)</f>
        <v/>
      </c>
      <c r="IQ25" s="11" t="str">
        <f ca="1">IF(History!IU$2="","",History!IU14*$C$25)</f>
        <v/>
      </c>
      <c r="IR25" s="11" t="str">
        <f ca="1">IF(History!IV$2="","",History!IV14*$C$25)</f>
        <v/>
      </c>
      <c r="IS25" s="11" t="str">
        <f ca="1">IF(History!IW$2="","",History!IW14*$C$25)</f>
        <v/>
      </c>
      <c r="IT25" s="11" t="str">
        <f ca="1">IF(History!IX$2="","",History!IX14*$C$25)</f>
        <v/>
      </c>
      <c r="IU25" s="11" t="str">
        <f ca="1">IF(History!IY$2="","",History!IY14*$C$25)</f>
        <v/>
      </c>
      <c r="IV25" s="11" t="str">
        <f ca="1">IF(History!IZ$2="","",History!IZ14*$C$25)</f>
        <v/>
      </c>
      <c r="IW25" s="11" t="str">
        <f ca="1">IF(History!JA$2="","",History!JA14*$C$25)</f>
        <v/>
      </c>
      <c r="IX25" s="11" t="str">
        <f ca="1">IF(History!JB$2="","",History!JB14*$C$25)</f>
        <v/>
      </c>
      <c r="IY25" s="11" t="str">
        <f ca="1">IF(History!JC$2="","",History!JC14*$C$25)</f>
        <v/>
      </c>
      <c r="IZ25" s="11" t="str">
        <f ca="1">IF(History!JD$2="","",History!JD14*$C$25)</f>
        <v/>
      </c>
      <c r="JA25" s="11" t="str">
        <f ca="1">IF(History!JE$2="","",History!JE14*$C$25)</f>
        <v/>
      </c>
      <c r="JB25" s="11" t="str">
        <f ca="1">IF(History!JF$2="","",History!JF14*$C$25)</f>
        <v/>
      </c>
      <c r="JC25" s="11" t="str">
        <f ca="1">IF(History!JG$2="","",History!JG14*$C$25)</f>
        <v/>
      </c>
      <c r="JD25" s="11" t="str">
        <f ca="1">IF(History!JH$2="","",History!JH14*$C$25)</f>
        <v/>
      </c>
      <c r="JE25" s="11" t="str">
        <f ca="1">IF(History!JI$2="","",History!JI14*$C$25)</f>
        <v/>
      </c>
      <c r="JF25" s="11" t="str">
        <f ca="1">IF(History!JJ$2="","",History!JJ14*$C$25)</f>
        <v/>
      </c>
      <c r="JG25" s="11" t="str">
        <f ca="1">IF(History!JK$2="","",History!JK14*$C$25)</f>
        <v/>
      </c>
      <c r="JH25" s="11" t="str">
        <f ca="1">IF(History!JL$2="","",History!JL14*$C$25)</f>
        <v/>
      </c>
      <c r="JI25" s="11" t="str">
        <f ca="1">IF(History!JM$2="","",History!JM14*$C$25)</f>
        <v/>
      </c>
      <c r="JJ25" s="11" t="str">
        <f ca="1">IF(History!JN$2="","",History!JN14*$C$25)</f>
        <v/>
      </c>
      <c r="JK25" s="11" t="str">
        <f ca="1">IF(History!JO$2="","",History!JO14*$C$25)</f>
        <v/>
      </c>
      <c r="JL25" s="11" t="str">
        <f ca="1">IF(History!JP$2="","",History!JP14*$C$25)</f>
        <v/>
      </c>
      <c r="JM25" s="11" t="str">
        <f ca="1">IF(History!JQ$2="","",History!JQ14*$C$25)</f>
        <v/>
      </c>
      <c r="JN25" s="11" t="str">
        <f ca="1">IF(History!JR$2="","",History!JR14*$C$25)</f>
        <v/>
      </c>
      <c r="JO25" s="11" t="str">
        <f ca="1">IF(History!JS$2="","",History!JS14*$C$25)</f>
        <v/>
      </c>
      <c r="JP25" s="11" t="str">
        <f ca="1">IF(History!JT$2="","",History!JT14*$C$25)</f>
        <v/>
      </c>
      <c r="JQ25" s="11" t="str">
        <f ca="1">IF(History!JU$2="","",History!JU14*$C$25)</f>
        <v/>
      </c>
      <c r="JR25" s="11" t="str">
        <f ca="1">IF(History!JV$2="","",History!JV14*$C$25)</f>
        <v/>
      </c>
      <c r="JS25" s="11" t="str">
        <f ca="1">IF(History!JW$2="","",History!JW14*$C$25)</f>
        <v/>
      </c>
      <c r="JT25" s="11" t="str">
        <f ca="1">IF(History!JX$2="","",History!JX14*$C$25)</f>
        <v/>
      </c>
      <c r="JU25" s="11" t="str">
        <f ca="1">IF(History!JY$2="","",History!JY14*$C$25)</f>
        <v/>
      </c>
      <c r="JV25" s="11" t="str">
        <f ca="1">IF(History!JZ$2="","",History!JZ14*$C$25)</f>
        <v/>
      </c>
      <c r="JW25" s="11" t="str">
        <f ca="1">IF(History!KA$2="","",History!KA14*$C$25)</f>
        <v/>
      </c>
      <c r="JX25" s="11" t="str">
        <f ca="1">IF(History!KB$2="","",History!KB14*$C$25)</f>
        <v/>
      </c>
      <c r="JY25" s="11" t="str">
        <f ca="1">IF(History!KC$2="","",History!KC14*$C$25)</f>
        <v/>
      </c>
      <c r="JZ25" s="11" t="str">
        <f ca="1">IF(History!KD$2="","",History!KD14*$C$25)</f>
        <v/>
      </c>
      <c r="KA25" s="11" t="str">
        <f ca="1">IF(History!KE$2="","",History!KE14*$C$25)</f>
        <v/>
      </c>
      <c r="KB25" s="11" t="str">
        <f ca="1">IF(History!KF$2="","",History!KF14*$C$25)</f>
        <v/>
      </c>
    </row>
    <row r="26" spans="1:288" ht="15.75" customHeight="1">
      <c r="A26" s="22" t="s">
        <v>30</v>
      </c>
      <c r="B26" s="6" t="s">
        <v>59</v>
      </c>
      <c r="C26" s="26">
        <v>119</v>
      </c>
      <c r="D26" s="11">
        <f ca="1">IF(History!H$2="","",History!H15*$C$26)</f>
        <v>5717.95</v>
      </c>
      <c r="E26" s="11">
        <f ca="1">IF(History!I$2="","",History!I15*$C$26)</f>
        <v>5781.0199999999995</v>
      </c>
      <c r="F26" s="11">
        <f ca="1">IF(History!J$2="","",History!J15*$C$26)</f>
        <v>5692.96</v>
      </c>
      <c r="G26" s="11">
        <f ca="1">IF(History!K$2="","",History!K15*$C$26)</f>
        <v>5935.72</v>
      </c>
      <c r="H26" s="11">
        <f ca="1">IF(History!L$2="","",History!L15*$C$26)</f>
        <v>5921.44</v>
      </c>
      <c r="I26" s="11">
        <f ca="1">IF(History!M$2="","",History!M15*$C$26)</f>
        <v>5826.24</v>
      </c>
      <c r="J26" s="11">
        <f ca="1">IF(History!N$2="","",History!N15*$C$26)</f>
        <v>5531.12</v>
      </c>
      <c r="K26" s="11">
        <f ca="1">IF(History!O$2="","",History!O15*$C$26)</f>
        <v>5293.12</v>
      </c>
      <c r="L26" s="11">
        <f ca="1">IF(History!P$2="","",History!P15*$C$26)</f>
        <v>5226.4800000000005</v>
      </c>
      <c r="M26" s="11">
        <f ca="1">IF(History!Q$2="","",History!Q15*$C$26)</f>
        <v>5256.2300000000005</v>
      </c>
      <c r="N26" s="11">
        <f ca="1">IF(History!R$2="","",History!R15*$C$26)</f>
        <v>5255.04</v>
      </c>
      <c r="O26" s="11">
        <f ca="1">IF(History!S$2="","",History!S15*$C$26)</f>
        <v>5262.18</v>
      </c>
      <c r="P26" s="11">
        <f ca="1">IF(History!T$2="","",History!T15*$C$26)</f>
        <v>5175.3100000000004</v>
      </c>
      <c r="Q26" s="11">
        <f ca="1">IF(History!U$2="","",History!U15*$C$26)</f>
        <v>5076.54</v>
      </c>
      <c r="R26" s="11">
        <f ca="1">IF(History!V$2="","",History!V15*$C$26)</f>
        <v>5218.1500000000005</v>
      </c>
      <c r="S26" s="11">
        <f ca="1">IF(History!W$2="","",History!W15*$C$26)</f>
        <v>5320.49</v>
      </c>
      <c r="T26" s="11">
        <f ca="1">IF(History!X$2="","",History!X15*$C$26)</f>
        <v>5368.09</v>
      </c>
      <c r="U26" s="11">
        <f ca="1">IF(History!Y$2="","",History!Y15*$C$26)</f>
        <v>5262.18</v>
      </c>
      <c r="V26" s="11">
        <f ca="1">IF(History!Z$2="","",History!Z15*$C$26)</f>
        <v>5153.8900000000003</v>
      </c>
      <c r="W26" s="11">
        <f ca="1">IF(History!AA$2="","",History!AA15*$C$26)</f>
        <v>5162.22</v>
      </c>
      <c r="X26" s="11">
        <f ca="1">IF(History!AB$2="","",History!AB15*$C$26)</f>
        <v>5295.5</v>
      </c>
      <c r="Y26" s="11">
        <f ca="1">IF(History!AC$2="","",History!AC15*$C$26)</f>
        <v>5321.68</v>
      </c>
      <c r="Z26" s="11">
        <f ca="1">IF(History!AD$2="","",History!AD15*$C$26)</f>
        <v>5243.14</v>
      </c>
      <c r="AA26" s="11">
        <f ca="1">IF(History!AE$2="","",History!AE15*$C$26)</f>
        <v>5163.41</v>
      </c>
      <c r="AB26" s="11">
        <f ca="1">IF(History!AF$2="","",History!AF15*$C$26)</f>
        <v>5088.4399999999996</v>
      </c>
      <c r="AC26" s="11">
        <f ca="1">IF(History!AG$2="","",History!AG15*$C$26)</f>
        <v>5388.32</v>
      </c>
      <c r="AD26" s="11">
        <f ca="1">IF(History!AH$2="","",History!AH15*$C$26)</f>
        <v>5381.18</v>
      </c>
      <c r="AE26" s="11">
        <f ca="1">IF(History!AI$2="","",History!AI15*$C$26)</f>
        <v>5309.78</v>
      </c>
      <c r="AF26" s="11">
        <f ca="1">IF(History!AJ$2="","",History!AJ15*$C$26)</f>
        <v>5183.6400000000003</v>
      </c>
      <c r="AG26" s="11">
        <f ca="1">IF(History!AK$2="","",History!AK15*$C$26)</f>
        <v>5043.22</v>
      </c>
      <c r="AH26" s="11">
        <f ca="1">IF(History!AL$2="","",History!AL15*$C$26)</f>
        <v>5034.8900000000003</v>
      </c>
      <c r="AI26" s="11">
        <f ca="1">IF(History!AM$2="","",History!AM15*$C$26)</f>
        <v>4890.9000000000005</v>
      </c>
      <c r="AJ26" s="11">
        <f ca="1">IF(History!AN$2="","",History!AN15*$C$26)</f>
        <v>5015.8499999999995</v>
      </c>
      <c r="AK26" s="11">
        <f ca="1">IF(History!AO$2="","",History!AO15*$C$26)</f>
        <v>4880.1899999999996</v>
      </c>
      <c r="AL26" s="11">
        <f ca="1">IF(History!AP$2="","",History!AP15*$C$26)</f>
        <v>4620.7699999999995</v>
      </c>
      <c r="AM26" s="11">
        <f ca="1">IF(History!AQ$2="","",History!AQ15*$C$26)</f>
        <v>4833.78</v>
      </c>
      <c r="AN26" s="11">
        <f ca="1">IF(History!AR$2="","",History!AR15*$C$26)</f>
        <v>4749.29</v>
      </c>
      <c r="AO26" s="11">
        <f ca="1">IF(History!AS$2="","",History!AS15*$C$26)</f>
        <v>4394.67</v>
      </c>
      <c r="AP26" s="11">
        <f ca="1">IF(History!AT$2="","",History!AT15*$C$26)</f>
        <v>4167.38</v>
      </c>
      <c r="AQ26" s="11">
        <f ca="1">IF(History!AU$2="","",History!AU15*$C$26)</f>
        <v>4298.28</v>
      </c>
      <c r="AR26" s="11">
        <f ca="1">IF(History!AV$2="","",History!AV15*$C$26)</f>
        <v>4457.74</v>
      </c>
      <c r="AS26" s="11">
        <f ca="1">IF(History!AW$2="","",History!AW15*$C$26)</f>
        <v>4369.68</v>
      </c>
      <c r="AT26" s="11">
        <f ca="1">IF(History!AX$2="","",History!AX15*$C$26)</f>
        <v>4322.08</v>
      </c>
      <c r="AU26" s="11">
        <f ca="1">IF(History!AY$2="","",History!AY15*$C$26)</f>
        <v>4320.8900000000003</v>
      </c>
      <c r="AV26" s="11">
        <f ca="1">IF(History!AZ$2="","",History!AZ15*$C$26)</f>
        <v>4345.88</v>
      </c>
      <c r="AW26" s="11">
        <f ca="1">IF(History!BA$2="","",History!BA15*$C$26)</f>
        <v>4541.04</v>
      </c>
      <c r="AX26" s="11">
        <f ca="1">IF(History!BB$2="","",History!BB15*$C$26)</f>
        <v>4563.6500000000005</v>
      </c>
      <c r="AY26" s="11">
        <f ca="1">IF(History!BC$2="","",History!BC15*$C$26)</f>
        <v>4595.78</v>
      </c>
      <c r="AZ26" s="11">
        <f ca="1">IF(History!BD$2="","",History!BD15*$C$26)</f>
        <v>4567.22</v>
      </c>
      <c r="BA26" s="11">
        <f ca="1">IF(History!BE$2="","",History!BE15*$C$26)</f>
        <v>4575.55</v>
      </c>
      <c r="BB26" s="11">
        <f ca="1">IF(History!BF$2="","",History!BF15*$C$26)</f>
        <v>4451.79</v>
      </c>
      <c r="BC26" s="11">
        <f ca="1">IF(History!BG$2="","",History!BG15*$C$26)</f>
        <v>4583.88</v>
      </c>
      <c r="BD26" s="11">
        <f ca="1">IF(History!BH$2="","",History!BH15*$C$26)</f>
        <v>4592.21</v>
      </c>
      <c r="BE26" s="11">
        <f ca="1">IF(History!BI$2="","",History!BI15*$C$26)</f>
        <v>4589.83</v>
      </c>
      <c r="BF26" s="11">
        <f ca="1">IF(History!BJ$2="","",History!BJ15*$C$26)</f>
        <v>4769.5199999999995</v>
      </c>
      <c r="BG26" s="11">
        <f ca="1">IF(History!BK$2="","",History!BK15*$C$26)</f>
        <v>4714.78</v>
      </c>
      <c r="BH26" s="11">
        <f ca="1">IF(History!BL$2="","",History!BL15*$C$26)</f>
        <v>4629.0999999999995</v>
      </c>
      <c r="BI26" s="11">
        <f ca="1">IF(History!BM$2="","",History!BM15*$C$26)</f>
        <v>4683.84</v>
      </c>
      <c r="BJ26" s="11">
        <f ca="1">IF(History!BN$2="","",History!BN15*$C$26)</f>
        <v>4616.01</v>
      </c>
      <c r="BK26" s="11">
        <f ca="1">IF(History!BO$2="","",History!BO15*$C$26)</f>
        <v>4412.5199999999995</v>
      </c>
      <c r="BL26" s="11">
        <f ca="1">IF(History!BP$2="","",History!BP15*$C$26)</f>
        <v>4429.18</v>
      </c>
      <c r="BM26" s="11">
        <f ca="1">IF(History!BQ$2="","",History!BQ15*$C$26)</f>
        <v>4324.46</v>
      </c>
      <c r="BN26" s="11">
        <f ca="1">IF(History!BR$2="","",History!BR15*$C$26)</f>
        <v>4332.79</v>
      </c>
      <c r="BO26" s="11">
        <f ca="1">IF(History!BS$2="","",History!BS15*$C$26)</f>
        <v>4385.1500000000005</v>
      </c>
      <c r="BP26" s="11">
        <f ca="1">IF(History!BT$2="","",History!BT15*$C$26)</f>
        <v>4410.1400000000003</v>
      </c>
      <c r="BQ26" s="11">
        <f ca="1">IF(History!BU$2="","",History!BU15*$C$26)</f>
        <v>4385.1500000000005</v>
      </c>
      <c r="BR26" s="11">
        <f ca="1">IF(History!BV$2="","",History!BV15*$C$26)</f>
        <v>4404.1899999999996</v>
      </c>
      <c r="BS26" s="11">
        <f ca="1">IF(History!BW$2="","",History!BW15*$C$26)</f>
        <v>4437.51</v>
      </c>
      <c r="BT26" s="11">
        <f ca="1">IF(History!BX$2="","",History!BX15*$C$26)</f>
        <v>4573.17</v>
      </c>
      <c r="BU26" s="11">
        <f ca="1">IF(History!BY$2="","",History!BY15*$C$26)</f>
        <v>4612.4399999999996</v>
      </c>
      <c r="BV26" s="11">
        <f ca="1">IF(History!BZ$2="","",History!BZ15*$C$26)</f>
        <v>4610.0600000000004</v>
      </c>
      <c r="BW26" s="11">
        <f ca="1">IF(History!CA$2="","",History!CA15*$C$26)</f>
        <v>4505.34</v>
      </c>
      <c r="BX26" s="11">
        <f ca="1">IF(History!CB$2="","",History!CB15*$C$26)</f>
        <v>4488.68</v>
      </c>
      <c r="BY26" s="11">
        <f ca="1">IF(History!CC$2="","",History!CC15*$C$26)</f>
        <v>4275.67</v>
      </c>
      <c r="BZ26" s="11">
        <f ca="1">IF(History!CD$2="","",History!CD15*$C$26)</f>
        <v>4369.68</v>
      </c>
      <c r="CA26" s="11">
        <f ca="1">IF(History!CE$2="","",History!CE15*$C$26)</f>
        <v>4473.21</v>
      </c>
      <c r="CB26" s="11">
        <f ca="1">IF(History!CF$2="","",History!CF15*$C$26)</f>
        <v>4382.7699999999995</v>
      </c>
      <c r="CC26" s="11">
        <f ca="1">IF(History!CG$2="","",History!CG15*$C$26)</f>
        <v>4442.2699999999995</v>
      </c>
      <c r="CD26" s="11">
        <f ca="1">IF(History!CH$2="","",History!CH15*$C$26)</f>
        <v>4538.66</v>
      </c>
      <c r="CE26" s="11">
        <f ca="1">IF(History!CI$2="","",History!CI15*$C$26)</f>
        <v>4638.62</v>
      </c>
      <c r="CF26" s="11" t="str">
        <f ca="1">IF(History!CJ$2="","",History!CJ15*$C$26)</f>
        <v/>
      </c>
      <c r="CG26" s="11" t="str">
        <f ca="1">IF(History!CK$2="","",History!CK15*$C$26)</f>
        <v/>
      </c>
      <c r="CH26" s="11" t="str">
        <f ca="1">IF(History!CL$2="","",History!CL15*$C$26)</f>
        <v/>
      </c>
      <c r="CI26" s="11" t="str">
        <f ca="1">IF(History!CM$2="","",History!CM15*$C$26)</f>
        <v/>
      </c>
      <c r="CJ26" s="11" t="str">
        <f ca="1">IF(History!CN$2="","",History!CN15*$C$26)</f>
        <v/>
      </c>
      <c r="CK26" s="11" t="str">
        <f ca="1">IF(History!CO$2="","",History!CO15*$C$26)</f>
        <v/>
      </c>
      <c r="CL26" s="11" t="str">
        <f ca="1">IF(History!CP$2="","",History!CP15*$C$26)</f>
        <v/>
      </c>
      <c r="CM26" s="11" t="str">
        <f ca="1">IF(History!CQ$2="","",History!CQ15*$C$26)</f>
        <v/>
      </c>
      <c r="CN26" s="11" t="str">
        <f ca="1">IF(History!CR$2="","",History!CR15*$C$26)</f>
        <v/>
      </c>
      <c r="CO26" s="11" t="str">
        <f ca="1">IF(History!CS$2="","",History!CS15*$C$26)</f>
        <v/>
      </c>
      <c r="CP26" s="11" t="str">
        <f ca="1">IF(History!CT$2="","",History!CT15*$C$26)</f>
        <v/>
      </c>
      <c r="CQ26" s="11" t="str">
        <f ca="1">IF(History!CU$2="","",History!CU15*$C$26)</f>
        <v/>
      </c>
      <c r="CR26" s="11" t="str">
        <f ca="1">IF(History!CV$2="","",History!CV15*$C$26)</f>
        <v/>
      </c>
      <c r="CS26" s="11" t="str">
        <f ca="1">IF(History!CW$2="","",History!CW15*$C$26)</f>
        <v/>
      </c>
      <c r="CT26" s="11" t="str">
        <f ca="1">IF(History!CX$2="","",History!CX15*$C$26)</f>
        <v/>
      </c>
      <c r="CU26" s="11" t="str">
        <f ca="1">IF(History!CY$2="","",History!CY15*$C$26)</f>
        <v/>
      </c>
      <c r="CV26" s="11" t="str">
        <f ca="1">IF(History!CZ$2="","",History!CZ15*$C$26)</f>
        <v/>
      </c>
      <c r="CW26" s="11" t="str">
        <f ca="1">IF(History!DA$2="","",History!DA15*$C$26)</f>
        <v/>
      </c>
      <c r="CX26" s="11" t="str">
        <f ca="1">IF(History!DB$2="","",History!DB15*$C$26)</f>
        <v/>
      </c>
      <c r="CY26" s="11" t="str">
        <f ca="1">IF(History!DC$2="","",History!DC15*$C$26)</f>
        <v/>
      </c>
      <c r="CZ26" s="11" t="str">
        <f ca="1">IF(History!DD$2="","",History!DD15*$C$26)</f>
        <v/>
      </c>
      <c r="DA26" s="11" t="str">
        <f ca="1">IF(History!DE$2="","",History!DE15*$C$26)</f>
        <v/>
      </c>
      <c r="DB26" s="11" t="str">
        <f ca="1">IF(History!DF$2="","",History!DF15*$C$26)</f>
        <v/>
      </c>
      <c r="DC26" s="11" t="str">
        <f ca="1">IF(History!DG$2="","",History!DG15*$C$26)</f>
        <v/>
      </c>
      <c r="DD26" s="11" t="str">
        <f ca="1">IF(History!DH$2="","",History!DH15*$C$26)</f>
        <v/>
      </c>
      <c r="DE26" s="11" t="str">
        <f ca="1">IF(History!DI$2="","",History!DI15*$C$26)</f>
        <v/>
      </c>
      <c r="DF26" s="11" t="str">
        <f ca="1">IF(History!DJ$2="","",History!DJ15*$C$26)</f>
        <v/>
      </c>
      <c r="DG26" s="11" t="str">
        <f ca="1">IF(History!DK$2="","",History!DK15*$C$26)</f>
        <v/>
      </c>
      <c r="DH26" s="11" t="str">
        <f ca="1">IF(History!DL$2="","",History!DL15*$C$26)</f>
        <v/>
      </c>
      <c r="DI26" s="11" t="str">
        <f ca="1">IF(History!DM$2="","",History!DM15*$C$26)</f>
        <v/>
      </c>
      <c r="DJ26" s="11" t="str">
        <f ca="1">IF(History!DN$2="","",History!DN15*$C$26)</f>
        <v/>
      </c>
      <c r="DK26" s="11" t="str">
        <f ca="1">IF(History!DO$2="","",History!DO15*$C$26)</f>
        <v/>
      </c>
      <c r="DL26" s="11" t="str">
        <f ca="1">IF(History!DP$2="","",History!DP15*$C$26)</f>
        <v/>
      </c>
      <c r="DM26" s="11" t="str">
        <f ca="1">IF(History!DQ$2="","",History!DQ15*$C$26)</f>
        <v/>
      </c>
      <c r="DN26" s="11" t="str">
        <f ca="1">IF(History!DR$2="","",History!DR15*$C$26)</f>
        <v/>
      </c>
      <c r="DO26" s="11" t="str">
        <f ca="1">IF(History!DS$2="","",History!DS15*$C$26)</f>
        <v/>
      </c>
      <c r="DP26" s="11" t="str">
        <f ca="1">IF(History!DT$2="","",History!DT15*$C$26)</f>
        <v/>
      </c>
      <c r="DQ26" s="11" t="str">
        <f ca="1">IF(History!DU$2="","",History!DU15*$C$26)</f>
        <v/>
      </c>
      <c r="DR26" s="11" t="str">
        <f ca="1">IF(History!DV$2="","",History!DV15*$C$26)</f>
        <v/>
      </c>
      <c r="DS26" s="11" t="str">
        <f ca="1">IF(History!DW$2="","",History!DW15*$C$26)</f>
        <v/>
      </c>
      <c r="DT26" s="11" t="str">
        <f ca="1">IF(History!DX$2="","",History!DX15*$C$26)</f>
        <v/>
      </c>
      <c r="DU26" s="11" t="str">
        <f ca="1">IF(History!DY$2="","",History!DY15*$C$26)</f>
        <v/>
      </c>
      <c r="DV26" s="11" t="str">
        <f ca="1">IF(History!DZ$2="","",History!DZ15*$C$26)</f>
        <v/>
      </c>
      <c r="DW26" s="11" t="str">
        <f ca="1">IF(History!EA$2="","",History!EA15*$C$26)</f>
        <v/>
      </c>
      <c r="DX26" s="11" t="str">
        <f ca="1">IF(History!EB$2="","",History!EB15*$C$26)</f>
        <v/>
      </c>
      <c r="DY26" s="11" t="str">
        <f ca="1">IF(History!EC$2="","",History!EC15*$C$26)</f>
        <v/>
      </c>
      <c r="DZ26" s="11" t="str">
        <f ca="1">IF(History!ED$2="","",History!ED15*$C$26)</f>
        <v/>
      </c>
      <c r="EA26" s="11" t="str">
        <f ca="1">IF(History!EE$2="","",History!EE15*$C$26)</f>
        <v/>
      </c>
      <c r="EB26" s="11" t="str">
        <f ca="1">IF(History!EF$2="","",History!EF15*$C$26)</f>
        <v/>
      </c>
      <c r="EC26" s="11" t="str">
        <f ca="1">IF(History!EG$2="","",History!EG15*$C$26)</f>
        <v/>
      </c>
      <c r="ED26" s="11" t="str">
        <f ca="1">IF(History!EH$2="","",History!EH15*$C$26)</f>
        <v/>
      </c>
      <c r="EE26" s="11" t="str">
        <f ca="1">IF(History!EI$2="","",History!EI15*$C$26)</f>
        <v/>
      </c>
      <c r="EF26" s="11" t="str">
        <f ca="1">IF(History!EJ$2="","",History!EJ15*$C$26)</f>
        <v/>
      </c>
      <c r="EG26" s="11" t="str">
        <f ca="1">IF(History!EK$2="","",History!EK15*$C$26)</f>
        <v/>
      </c>
      <c r="EH26" s="11" t="str">
        <f ca="1">IF(History!EL$2="","",History!EL15*$C$26)</f>
        <v/>
      </c>
      <c r="EI26" s="11" t="str">
        <f ca="1">IF(History!EM$2="","",History!EM15*$C$26)</f>
        <v/>
      </c>
      <c r="EJ26" s="11" t="str">
        <f ca="1">IF(History!EN$2="","",History!EN15*$C$26)</f>
        <v/>
      </c>
      <c r="EK26" s="11" t="str">
        <f ca="1">IF(History!EO$2="","",History!EO15*$C$26)</f>
        <v/>
      </c>
      <c r="EL26" s="11" t="str">
        <f ca="1">IF(History!EP$2="","",History!EP15*$C$26)</f>
        <v/>
      </c>
      <c r="EM26" s="11" t="str">
        <f ca="1">IF(History!EQ$2="","",History!EQ15*$C$26)</f>
        <v/>
      </c>
      <c r="EN26" s="11" t="str">
        <f ca="1">IF(History!ER$2="","",History!ER15*$C$26)</f>
        <v/>
      </c>
      <c r="EO26" s="11" t="str">
        <f ca="1">IF(History!ES$2="","",History!ES15*$C$26)</f>
        <v/>
      </c>
      <c r="EP26" s="11" t="str">
        <f ca="1">IF(History!ET$2="","",History!ET15*$C$26)</f>
        <v/>
      </c>
      <c r="EQ26" s="11" t="str">
        <f ca="1">IF(History!EU$2="","",History!EU15*$C$26)</f>
        <v/>
      </c>
      <c r="ER26" s="11" t="str">
        <f ca="1">IF(History!EV$2="","",History!EV15*$C$26)</f>
        <v/>
      </c>
      <c r="ES26" s="11" t="str">
        <f ca="1">IF(History!EW$2="","",History!EW15*$C$26)</f>
        <v/>
      </c>
      <c r="ET26" s="11" t="str">
        <f ca="1">IF(History!EX$2="","",History!EX15*$C$26)</f>
        <v/>
      </c>
      <c r="EU26" s="11" t="str">
        <f ca="1">IF(History!EY$2="","",History!EY15*$C$26)</f>
        <v/>
      </c>
      <c r="EV26" s="11" t="str">
        <f ca="1">IF(History!EZ$2="","",History!EZ15*$C$26)</f>
        <v/>
      </c>
      <c r="EW26" s="11" t="str">
        <f ca="1">IF(History!FA$2="","",History!FA15*$C$26)</f>
        <v/>
      </c>
      <c r="EX26" s="11" t="str">
        <f ca="1">IF(History!FB$2="","",History!FB15*$C$26)</f>
        <v/>
      </c>
      <c r="EY26" s="11" t="str">
        <f ca="1">IF(History!FC$2="","",History!FC15*$C$26)</f>
        <v/>
      </c>
      <c r="EZ26" s="11" t="str">
        <f ca="1">IF(History!FD$2="","",History!FD15*$C$26)</f>
        <v/>
      </c>
      <c r="FA26" s="11" t="str">
        <f ca="1">IF(History!FE$2="","",History!FE15*$C$26)</f>
        <v/>
      </c>
      <c r="FB26" s="11" t="str">
        <f ca="1">IF(History!FF$2="","",History!FF15*$C$26)</f>
        <v/>
      </c>
      <c r="FC26" s="11" t="str">
        <f ca="1">IF(History!FG$2="","",History!FG15*$C$26)</f>
        <v/>
      </c>
      <c r="FD26" s="11" t="str">
        <f ca="1">IF(History!FH$2="","",History!FH15*$C$26)</f>
        <v/>
      </c>
      <c r="FE26" s="11" t="str">
        <f ca="1">IF(History!FI$2="","",History!FI15*$C$26)</f>
        <v/>
      </c>
      <c r="FF26" s="11" t="str">
        <f ca="1">IF(History!FJ$2="","",History!FJ15*$C$26)</f>
        <v/>
      </c>
      <c r="FG26" s="11" t="str">
        <f ca="1">IF(History!FK$2="","",History!FK15*$C$26)</f>
        <v/>
      </c>
      <c r="FH26" s="11" t="str">
        <f ca="1">IF(History!FL$2="","",History!FL15*$C$26)</f>
        <v/>
      </c>
      <c r="FI26" s="11" t="str">
        <f ca="1">IF(History!FM$2="","",History!FM15*$C$26)</f>
        <v/>
      </c>
      <c r="FJ26" s="11" t="str">
        <f ca="1">IF(History!FN$2="","",History!FN15*$C$26)</f>
        <v/>
      </c>
      <c r="FK26" s="11" t="str">
        <f ca="1">IF(History!FO$2="","",History!FO15*$C$26)</f>
        <v/>
      </c>
      <c r="FL26" s="11" t="str">
        <f ca="1">IF(History!FP$2="","",History!FP15*$C$26)</f>
        <v/>
      </c>
      <c r="FM26" s="11" t="str">
        <f ca="1">IF(History!FQ$2="","",History!FQ15*$C$26)</f>
        <v/>
      </c>
      <c r="FN26" s="11" t="str">
        <f ca="1">IF(History!FR$2="","",History!FR15*$C$26)</f>
        <v/>
      </c>
      <c r="FO26" s="11" t="str">
        <f ca="1">IF(History!FS$2="","",History!FS15*$C$26)</f>
        <v/>
      </c>
      <c r="FP26" s="11" t="str">
        <f ca="1">IF(History!FT$2="","",History!FT15*$C$26)</f>
        <v/>
      </c>
      <c r="FQ26" s="11" t="str">
        <f ca="1">IF(History!FU$2="","",History!FU15*$C$26)</f>
        <v/>
      </c>
      <c r="FR26" s="11" t="str">
        <f ca="1">IF(History!FV$2="","",History!FV15*$C$26)</f>
        <v/>
      </c>
      <c r="FS26" s="11" t="str">
        <f ca="1">IF(History!FW$2="","",History!FW15*$C$26)</f>
        <v/>
      </c>
      <c r="FT26" s="11" t="str">
        <f ca="1">IF(History!FX$2="","",History!FX15*$C$26)</f>
        <v/>
      </c>
      <c r="FU26" s="11" t="str">
        <f ca="1">IF(History!FY$2="","",History!FY15*$C$26)</f>
        <v/>
      </c>
      <c r="FV26" s="11" t="str">
        <f ca="1">IF(History!FZ$2="","",History!FZ15*$C$26)</f>
        <v/>
      </c>
      <c r="FW26" s="11" t="str">
        <f ca="1">IF(History!GA$2="","",History!GA15*$C$26)</f>
        <v/>
      </c>
      <c r="FX26" s="11" t="str">
        <f ca="1">IF(History!GB$2="","",History!GB15*$C$26)</f>
        <v/>
      </c>
      <c r="FY26" s="11" t="str">
        <f ca="1">IF(History!GC$2="","",History!GC15*$C$26)</f>
        <v/>
      </c>
      <c r="FZ26" s="11" t="str">
        <f ca="1">IF(History!GD$2="","",History!GD15*$C$26)</f>
        <v/>
      </c>
      <c r="GA26" s="11" t="str">
        <f ca="1">IF(History!GE$2="","",History!GE15*$C$26)</f>
        <v/>
      </c>
      <c r="GB26" s="11" t="str">
        <f ca="1">IF(History!GF$2="","",History!GF15*$C$26)</f>
        <v/>
      </c>
      <c r="GC26" s="11" t="str">
        <f ca="1">IF(History!GG$2="","",History!GG15*$C$26)</f>
        <v/>
      </c>
      <c r="GD26" s="11" t="str">
        <f ca="1">IF(History!GH$2="","",History!GH15*$C$26)</f>
        <v/>
      </c>
      <c r="GE26" s="11" t="str">
        <f ca="1">IF(History!GI$2="","",History!GI15*$C$26)</f>
        <v/>
      </c>
      <c r="GF26" s="11" t="str">
        <f ca="1">IF(History!GJ$2="","",History!GJ15*$C$26)</f>
        <v/>
      </c>
      <c r="GG26" s="11" t="str">
        <f ca="1">IF(History!GK$2="","",History!GK15*$C$26)</f>
        <v/>
      </c>
      <c r="GH26" s="11" t="str">
        <f ca="1">IF(History!GL$2="","",History!GL15*$C$26)</f>
        <v/>
      </c>
      <c r="GI26" s="11" t="str">
        <f ca="1">IF(History!GM$2="","",History!GM15*$C$26)</f>
        <v/>
      </c>
      <c r="GJ26" s="11" t="str">
        <f ca="1">IF(History!GN$2="","",History!GN15*$C$26)</f>
        <v/>
      </c>
      <c r="GK26" s="11" t="str">
        <f ca="1">IF(History!GO$2="","",History!GO15*$C$26)</f>
        <v/>
      </c>
      <c r="GL26" s="11" t="str">
        <f ca="1">IF(History!GP$2="","",History!GP15*$C$26)</f>
        <v/>
      </c>
      <c r="GM26" s="11" t="str">
        <f ca="1">IF(History!GQ$2="","",History!GQ15*$C$26)</f>
        <v/>
      </c>
      <c r="GN26" s="11" t="str">
        <f ca="1">IF(History!GR$2="","",History!GR15*$C$26)</f>
        <v/>
      </c>
      <c r="GO26" s="11" t="str">
        <f ca="1">IF(History!GS$2="","",History!GS15*$C$26)</f>
        <v/>
      </c>
      <c r="GP26" s="11" t="str">
        <f ca="1">IF(History!GT$2="","",History!GT15*$C$26)</f>
        <v/>
      </c>
      <c r="GQ26" s="11" t="str">
        <f ca="1">IF(History!GU$2="","",History!GU15*$C$26)</f>
        <v/>
      </c>
      <c r="GR26" s="11" t="str">
        <f ca="1">IF(History!GV$2="","",History!GV15*$C$26)</f>
        <v/>
      </c>
      <c r="GS26" s="11" t="str">
        <f ca="1">IF(History!GW$2="","",History!GW15*$C$26)</f>
        <v/>
      </c>
      <c r="GT26" s="11" t="str">
        <f ca="1">IF(History!GX$2="","",History!GX15*$C$26)</f>
        <v/>
      </c>
      <c r="GU26" s="11" t="str">
        <f ca="1">IF(History!GY$2="","",History!GY15*$C$26)</f>
        <v/>
      </c>
      <c r="GV26" s="11" t="str">
        <f ca="1">IF(History!GZ$2="","",History!GZ15*$C$26)</f>
        <v/>
      </c>
      <c r="GW26" s="11" t="str">
        <f ca="1">IF(History!HA$2="","",History!HA15*$C$26)</f>
        <v/>
      </c>
      <c r="GX26" s="11" t="str">
        <f ca="1">IF(History!HB$2="","",History!HB15*$C$26)</f>
        <v/>
      </c>
      <c r="GY26" s="11" t="str">
        <f ca="1">IF(History!HC$2="","",History!HC15*$C$26)</f>
        <v/>
      </c>
      <c r="GZ26" s="11" t="str">
        <f ca="1">IF(History!HD$2="","",History!HD15*$C$26)</f>
        <v/>
      </c>
      <c r="HA26" s="11" t="str">
        <f ca="1">IF(History!HE$2="","",History!HE15*$C$26)</f>
        <v/>
      </c>
      <c r="HB26" s="11" t="str">
        <f ca="1">IF(History!HF$2="","",History!HF15*$C$26)</f>
        <v/>
      </c>
      <c r="HC26" s="11" t="str">
        <f ca="1">IF(History!HG$2="","",History!HG15*$C$26)</f>
        <v/>
      </c>
      <c r="HD26" s="11" t="str">
        <f ca="1">IF(History!HH$2="","",History!HH15*$C$26)</f>
        <v/>
      </c>
      <c r="HE26" s="11" t="str">
        <f ca="1">IF(History!HI$2="","",History!HI15*$C$26)</f>
        <v/>
      </c>
      <c r="HF26" s="11" t="str">
        <f ca="1">IF(History!HJ$2="","",History!HJ15*$C$26)</f>
        <v/>
      </c>
      <c r="HG26" s="11" t="str">
        <f ca="1">IF(History!HK$2="","",History!HK15*$C$26)</f>
        <v/>
      </c>
      <c r="HH26" s="11" t="str">
        <f ca="1">IF(History!HL$2="","",History!HL15*$C$26)</f>
        <v/>
      </c>
      <c r="HI26" s="11" t="str">
        <f ca="1">IF(History!HM$2="","",History!HM15*$C$26)</f>
        <v/>
      </c>
      <c r="HJ26" s="11" t="str">
        <f ca="1">IF(History!HN$2="","",History!HN15*$C$26)</f>
        <v/>
      </c>
      <c r="HK26" s="11" t="str">
        <f ca="1">IF(History!HO$2="","",History!HO15*$C$26)</f>
        <v/>
      </c>
      <c r="HL26" s="11" t="str">
        <f ca="1">IF(History!HP$2="","",History!HP15*$C$26)</f>
        <v/>
      </c>
      <c r="HM26" s="11" t="str">
        <f ca="1">IF(History!HQ$2="","",History!HQ15*$C$26)</f>
        <v/>
      </c>
      <c r="HN26" s="11" t="str">
        <f ca="1">IF(History!HR$2="","",History!HR15*$C$26)</f>
        <v/>
      </c>
      <c r="HO26" s="11" t="str">
        <f ca="1">IF(History!HS$2="","",History!HS15*$C$26)</f>
        <v/>
      </c>
      <c r="HP26" s="11" t="str">
        <f ca="1">IF(History!HT$2="","",History!HT15*$C$26)</f>
        <v/>
      </c>
      <c r="HQ26" s="11" t="str">
        <f ca="1">IF(History!HU$2="","",History!HU15*$C$26)</f>
        <v/>
      </c>
      <c r="HR26" s="11" t="str">
        <f ca="1">IF(History!HV$2="","",History!HV15*$C$26)</f>
        <v/>
      </c>
      <c r="HS26" s="11" t="str">
        <f ca="1">IF(History!HW$2="","",History!HW15*$C$26)</f>
        <v/>
      </c>
      <c r="HT26" s="11" t="str">
        <f ca="1">IF(History!HX$2="","",History!HX15*$C$26)</f>
        <v/>
      </c>
      <c r="HU26" s="11" t="str">
        <f ca="1">IF(History!HY$2="","",History!HY15*$C$26)</f>
        <v/>
      </c>
      <c r="HV26" s="11" t="str">
        <f ca="1">IF(History!HZ$2="","",History!HZ15*$C$26)</f>
        <v/>
      </c>
      <c r="HW26" s="11" t="str">
        <f ca="1">IF(History!IA$2="","",History!IA15*$C$26)</f>
        <v/>
      </c>
      <c r="HX26" s="11" t="str">
        <f ca="1">IF(History!IB$2="","",History!IB15*$C$26)</f>
        <v/>
      </c>
      <c r="HY26" s="11" t="str">
        <f ca="1">IF(History!IC$2="","",History!IC15*$C$26)</f>
        <v/>
      </c>
      <c r="HZ26" s="11" t="str">
        <f ca="1">IF(History!ID$2="","",History!ID15*$C$26)</f>
        <v/>
      </c>
      <c r="IA26" s="11" t="str">
        <f ca="1">IF(History!IE$2="","",History!IE15*$C$26)</f>
        <v/>
      </c>
      <c r="IB26" s="11" t="str">
        <f ca="1">IF(History!IF$2="","",History!IF15*$C$26)</f>
        <v/>
      </c>
      <c r="IC26" s="11" t="str">
        <f ca="1">IF(History!IG$2="","",History!IG15*$C$26)</f>
        <v/>
      </c>
      <c r="ID26" s="11" t="str">
        <f ca="1">IF(History!IH$2="","",History!IH15*$C$26)</f>
        <v/>
      </c>
      <c r="IE26" s="11" t="str">
        <f ca="1">IF(History!II$2="","",History!II15*$C$26)</f>
        <v/>
      </c>
      <c r="IF26" s="11" t="str">
        <f ca="1">IF(History!IJ$2="","",History!IJ15*$C$26)</f>
        <v/>
      </c>
      <c r="IG26" s="11" t="str">
        <f ca="1">IF(History!IK$2="","",History!IK15*$C$26)</f>
        <v/>
      </c>
      <c r="IH26" s="11" t="str">
        <f ca="1">IF(History!IL$2="","",History!IL15*$C$26)</f>
        <v/>
      </c>
      <c r="II26" s="11" t="str">
        <f ca="1">IF(History!IM$2="","",History!IM15*$C$26)</f>
        <v/>
      </c>
      <c r="IJ26" s="11" t="str">
        <f ca="1">IF(History!IN$2="","",History!IN15*$C$26)</f>
        <v/>
      </c>
      <c r="IK26" s="11" t="str">
        <f ca="1">IF(History!IO$2="","",History!IO15*$C$26)</f>
        <v/>
      </c>
      <c r="IL26" s="11" t="str">
        <f ca="1">IF(History!IP$2="","",History!IP15*$C$26)</f>
        <v/>
      </c>
      <c r="IM26" s="11" t="str">
        <f ca="1">IF(History!IQ$2="","",History!IQ15*$C$26)</f>
        <v/>
      </c>
      <c r="IN26" s="11" t="str">
        <f ca="1">IF(History!IR$2="","",History!IR15*$C$26)</f>
        <v/>
      </c>
      <c r="IO26" s="11" t="str">
        <f ca="1">IF(History!IS$2="","",History!IS15*$C$26)</f>
        <v/>
      </c>
      <c r="IP26" s="11" t="str">
        <f ca="1">IF(History!IT$2="","",History!IT15*$C$26)</f>
        <v/>
      </c>
      <c r="IQ26" s="11" t="str">
        <f ca="1">IF(History!IU$2="","",History!IU15*$C$26)</f>
        <v/>
      </c>
      <c r="IR26" s="11" t="str">
        <f ca="1">IF(History!IV$2="","",History!IV15*$C$26)</f>
        <v/>
      </c>
      <c r="IS26" s="11" t="str">
        <f ca="1">IF(History!IW$2="","",History!IW15*$C$26)</f>
        <v/>
      </c>
      <c r="IT26" s="11" t="str">
        <f ca="1">IF(History!IX$2="","",History!IX15*$C$26)</f>
        <v/>
      </c>
      <c r="IU26" s="11" t="str">
        <f ca="1">IF(History!IY$2="","",History!IY15*$C$26)</f>
        <v/>
      </c>
      <c r="IV26" s="11" t="str">
        <f ca="1">IF(History!IZ$2="","",History!IZ15*$C$26)</f>
        <v/>
      </c>
      <c r="IW26" s="11" t="str">
        <f ca="1">IF(History!JA$2="","",History!JA15*$C$26)</f>
        <v/>
      </c>
      <c r="IX26" s="11" t="str">
        <f ca="1">IF(History!JB$2="","",History!JB15*$C$26)</f>
        <v/>
      </c>
      <c r="IY26" s="11" t="str">
        <f ca="1">IF(History!JC$2="","",History!JC15*$C$26)</f>
        <v/>
      </c>
      <c r="IZ26" s="11" t="str">
        <f ca="1">IF(History!JD$2="","",History!JD15*$C$26)</f>
        <v/>
      </c>
      <c r="JA26" s="11" t="str">
        <f ca="1">IF(History!JE$2="","",History!JE15*$C$26)</f>
        <v/>
      </c>
      <c r="JB26" s="11" t="str">
        <f ca="1">IF(History!JF$2="","",History!JF15*$C$26)</f>
        <v/>
      </c>
      <c r="JC26" s="11" t="str">
        <f ca="1">IF(History!JG$2="","",History!JG15*$C$26)</f>
        <v/>
      </c>
      <c r="JD26" s="11" t="str">
        <f ca="1">IF(History!JH$2="","",History!JH15*$C$26)</f>
        <v/>
      </c>
      <c r="JE26" s="11" t="str">
        <f ca="1">IF(History!JI$2="","",History!JI15*$C$26)</f>
        <v/>
      </c>
      <c r="JF26" s="11" t="str">
        <f ca="1">IF(History!JJ$2="","",History!JJ15*$C$26)</f>
        <v/>
      </c>
      <c r="JG26" s="11" t="str">
        <f ca="1">IF(History!JK$2="","",History!JK15*$C$26)</f>
        <v/>
      </c>
      <c r="JH26" s="11" t="str">
        <f ca="1">IF(History!JL$2="","",History!JL15*$C$26)</f>
        <v/>
      </c>
      <c r="JI26" s="11" t="str">
        <f ca="1">IF(History!JM$2="","",History!JM15*$C$26)</f>
        <v/>
      </c>
      <c r="JJ26" s="11" t="str">
        <f ca="1">IF(History!JN$2="","",History!JN15*$C$26)</f>
        <v/>
      </c>
      <c r="JK26" s="11" t="str">
        <f ca="1">IF(History!JO$2="","",History!JO15*$C$26)</f>
        <v/>
      </c>
      <c r="JL26" s="11" t="str">
        <f ca="1">IF(History!JP$2="","",History!JP15*$C$26)</f>
        <v/>
      </c>
      <c r="JM26" s="11" t="str">
        <f ca="1">IF(History!JQ$2="","",History!JQ15*$C$26)</f>
        <v/>
      </c>
      <c r="JN26" s="11" t="str">
        <f ca="1">IF(History!JR$2="","",History!JR15*$C$26)</f>
        <v/>
      </c>
      <c r="JO26" s="11" t="str">
        <f ca="1">IF(History!JS$2="","",History!JS15*$C$26)</f>
        <v/>
      </c>
      <c r="JP26" s="11" t="str">
        <f ca="1">IF(History!JT$2="","",History!JT15*$C$26)</f>
        <v/>
      </c>
      <c r="JQ26" s="11" t="str">
        <f ca="1">IF(History!JU$2="","",History!JU15*$C$26)</f>
        <v/>
      </c>
      <c r="JR26" s="11" t="str">
        <f ca="1">IF(History!JV$2="","",History!JV15*$C$26)</f>
        <v/>
      </c>
      <c r="JS26" s="11" t="str">
        <f ca="1">IF(History!JW$2="","",History!JW15*$C$26)</f>
        <v/>
      </c>
      <c r="JT26" s="11" t="str">
        <f ca="1">IF(History!JX$2="","",History!JX15*$C$26)</f>
        <v/>
      </c>
      <c r="JU26" s="11" t="str">
        <f ca="1">IF(History!JY$2="","",History!JY15*$C$26)</f>
        <v/>
      </c>
      <c r="JV26" s="11" t="str">
        <f ca="1">IF(History!JZ$2="","",History!JZ15*$C$26)</f>
        <v/>
      </c>
      <c r="JW26" s="11" t="str">
        <f ca="1">IF(History!KA$2="","",History!KA15*$C$26)</f>
        <v/>
      </c>
      <c r="JX26" s="11" t="str">
        <f ca="1">IF(History!KB$2="","",History!KB15*$C$26)</f>
        <v/>
      </c>
      <c r="JY26" s="11" t="str">
        <f ca="1">IF(History!KC$2="","",History!KC15*$C$26)</f>
        <v/>
      </c>
      <c r="JZ26" s="11" t="str">
        <f ca="1">IF(History!KD$2="","",History!KD15*$C$26)</f>
        <v/>
      </c>
      <c r="KA26" s="11" t="str">
        <f ca="1">IF(History!KE$2="","",History!KE15*$C$26)</f>
        <v/>
      </c>
      <c r="KB26" s="11" t="str">
        <f ca="1">IF(History!KF$2="","",History!KF15*$C$26)</f>
        <v/>
      </c>
    </row>
    <row r="27" spans="1:288" ht="15.75" customHeight="1">
      <c r="A27" s="22" t="s">
        <v>30</v>
      </c>
      <c r="B27" s="6" t="s">
        <v>60</v>
      </c>
      <c r="C27" s="26">
        <v>262</v>
      </c>
      <c r="D27" s="11">
        <f ca="1">IF(History!H$2="","",History!H16*$C$27)</f>
        <v>4288.9400000000005</v>
      </c>
      <c r="E27" s="11">
        <f ca="1">IF(History!I$2="","",History!I16*$C$27)</f>
        <v>4328.24</v>
      </c>
      <c r="F27" s="11">
        <f ca="1">IF(History!J$2="","",History!J16*$C$27)</f>
        <v>4354.4400000000005</v>
      </c>
      <c r="G27" s="11">
        <f ca="1">IF(History!K$2="","",History!K16*$C$27)</f>
        <v>4296.7999999999993</v>
      </c>
      <c r="H27" s="11">
        <f ca="1">IF(History!L$2="","",History!L16*$C$27)</f>
        <v>4286.32</v>
      </c>
      <c r="I27" s="11">
        <f ca="1">IF(History!M$2="","",History!M16*$C$27)</f>
        <v>4226.0599999999995</v>
      </c>
      <c r="J27" s="11">
        <f ca="1">IF(History!N$2="","",History!N16*$C$27)</f>
        <v>4205.1000000000004</v>
      </c>
      <c r="K27" s="11">
        <f ca="1">IF(History!O$2="","",History!O16*$C$27)</f>
        <v>4155.32</v>
      </c>
      <c r="L27" s="11">
        <f ca="1">IF(History!P$2="","",History!P16*$C$27)</f>
        <v>4042.66</v>
      </c>
      <c r="M27" s="11">
        <f ca="1">IF(History!Q$2="","",History!Q16*$C$27)</f>
        <v>3916.8999999999996</v>
      </c>
      <c r="N27" s="11">
        <f ca="1">IF(History!R$2="","",History!R16*$C$27)</f>
        <v>3869.74</v>
      </c>
      <c r="O27" s="11">
        <f ca="1">IF(History!S$2="","",History!S16*$C$27)</f>
        <v>3903.8</v>
      </c>
      <c r="P27" s="11">
        <f ca="1">IF(History!T$2="","",History!T16*$C$27)</f>
        <v>3890.7</v>
      </c>
      <c r="Q27" s="11">
        <f ca="1">IF(History!U$2="","",History!U16*$C$27)</f>
        <v>3982.3999999999996</v>
      </c>
      <c r="R27" s="11">
        <f ca="1">IF(History!V$2="","",History!V16*$C$27)</f>
        <v>4071.4799999999996</v>
      </c>
      <c r="S27" s="11">
        <f ca="1">IF(History!W$2="","",History!W16*$C$27)</f>
        <v>4108.16</v>
      </c>
      <c r="T27" s="11">
        <f ca="1">IF(History!X$2="","",History!X16*$C$27)</f>
        <v>4171.04</v>
      </c>
      <c r="U27" s="11">
        <f ca="1">IF(History!Y$2="","",History!Y16*$C$27)</f>
        <v>4076.7200000000003</v>
      </c>
      <c r="V27" s="11">
        <f ca="1">IF(History!Z$2="","",History!Z16*$C$27)</f>
        <v>4074.1000000000004</v>
      </c>
      <c r="W27" s="11">
        <f ca="1">IF(History!AA$2="","",History!AA16*$C$27)</f>
        <v>4081.96</v>
      </c>
      <c r="X27" s="11">
        <f ca="1">IF(History!AB$2="","",History!AB16*$C$27)</f>
        <v>4110.78</v>
      </c>
      <c r="Y27" s="11">
        <f ca="1">IF(History!AC$2="","",History!AC16*$C$27)</f>
        <v>4228.68</v>
      </c>
      <c r="Z27" s="11">
        <f ca="1">IF(History!AD$2="","",History!AD16*$C$27)</f>
        <v>4165.8</v>
      </c>
      <c r="AA27" s="11">
        <f ca="1">IF(History!AE$2="","",History!AE16*$C$27)</f>
        <v>4058.38</v>
      </c>
      <c r="AB27" s="11">
        <f ca="1">IF(History!AF$2="","",History!AF16*$C$27)</f>
        <v>4016.46</v>
      </c>
      <c r="AC27" s="11">
        <f ca="1">IF(History!AG$2="","",History!AG16*$C$27)</f>
        <v>4087.2</v>
      </c>
      <c r="AD27" s="11">
        <f ca="1">IF(History!AH$2="","",History!AH16*$C$27)</f>
        <v>4168.42</v>
      </c>
      <c r="AE27" s="11">
        <f ca="1">IF(History!AI$2="","",History!AI16*$C$27)</f>
        <v>4016.46</v>
      </c>
      <c r="AF27" s="11">
        <f ca="1">IF(History!AJ$2="","",History!AJ16*$C$27)</f>
        <v>3985.0200000000004</v>
      </c>
      <c r="AG27" s="11">
        <f ca="1">IF(History!AK$2="","",History!AK16*$C$27)</f>
        <v>3919.5200000000004</v>
      </c>
      <c r="AH27" s="11">
        <f ca="1">IF(History!AL$2="","",History!AL16*$C$27)</f>
        <v>3874.9799999999996</v>
      </c>
      <c r="AI27" s="11">
        <f ca="1">IF(History!AM$2="","",History!AM16*$C$27)</f>
        <v>3958.8199999999997</v>
      </c>
      <c r="AJ27" s="11">
        <f ca="1">IF(History!AN$2="","",History!AN16*$C$27)</f>
        <v>4024.3199999999997</v>
      </c>
      <c r="AK27" s="11">
        <f ca="1">IF(History!AO$2="","",History!AO16*$C$27)</f>
        <v>4040.04</v>
      </c>
      <c r="AL27" s="11">
        <f ca="1">IF(History!AP$2="","",History!AP16*$C$27)</f>
        <v>4040.04</v>
      </c>
      <c r="AM27" s="11">
        <f ca="1">IF(History!AQ$2="","",History!AQ16*$C$27)</f>
        <v>4110.78</v>
      </c>
      <c r="AN27" s="11">
        <f ca="1">IF(History!AR$2="","",History!AR16*$C$27)</f>
        <v>4068.8599999999997</v>
      </c>
      <c r="AO27" s="11">
        <f ca="1">IF(History!AS$2="","",History!AS16*$C$27)</f>
        <v>4045.2799999999997</v>
      </c>
      <c r="AP27" s="11">
        <f ca="1">IF(History!AT$2="","",History!AT16*$C$27)</f>
        <v>3930</v>
      </c>
      <c r="AQ27" s="11">
        <f ca="1">IF(History!AU$2="","",History!AU16*$C$27)</f>
        <v>3922.1400000000003</v>
      </c>
      <c r="AR27" s="11">
        <f ca="1">IF(History!AV$2="","",History!AV16*$C$27)</f>
        <v>4005.9799999999996</v>
      </c>
      <c r="AS27" s="11">
        <f ca="1">IF(History!AW$2="","",History!AW16*$C$27)</f>
        <v>3998.12</v>
      </c>
      <c r="AT27" s="11">
        <f ca="1">IF(History!AX$2="","",History!AX16*$C$27)</f>
        <v>3966.6800000000003</v>
      </c>
      <c r="AU27" s="11">
        <f ca="1">IF(History!AY$2="","",History!AY16*$C$27)</f>
        <v>3914.2799999999997</v>
      </c>
      <c r="AV27" s="11">
        <f ca="1">IF(History!AZ$2="","",History!AZ16*$C$27)</f>
        <v>3971.92</v>
      </c>
      <c r="AW27" s="11">
        <f ca="1">IF(History!BA$2="","",History!BA16*$C$27)</f>
        <v>4034.8</v>
      </c>
      <c r="AX27" s="11">
        <f ca="1">IF(History!BB$2="","",History!BB16*$C$27)</f>
        <v>4139.6000000000004</v>
      </c>
      <c r="AY27" s="11">
        <f ca="1">IF(History!BC$2="","",History!BC16*$C$27)</f>
        <v>4165.8</v>
      </c>
      <c r="AZ27" s="11">
        <f ca="1">IF(History!BD$2="","",History!BD16*$C$27)</f>
        <v>4157.9399999999996</v>
      </c>
      <c r="BA27" s="11">
        <f ca="1">IF(History!BE$2="","",History!BE16*$C$27)</f>
        <v>4186.76</v>
      </c>
      <c r="BB27" s="11">
        <f ca="1">IF(History!BF$2="","",History!BF16*$C$27)</f>
        <v>4126.5</v>
      </c>
      <c r="BC27" s="11">
        <f ca="1">IF(History!BG$2="","",History!BG16*$C$27)</f>
        <v>4134.3599999999997</v>
      </c>
      <c r="BD27" s="11">
        <f ca="1">IF(History!BH$2="","",History!BH16*$C$27)</f>
        <v>4118.6400000000003</v>
      </c>
      <c r="BE27" s="11">
        <f ca="1">IF(History!BI$2="","",History!BI16*$C$27)</f>
        <v>4134.3599999999997</v>
      </c>
      <c r="BF27" s="11">
        <f ca="1">IF(History!BJ$2="","",History!BJ16*$C$27)</f>
        <v>4155.32</v>
      </c>
      <c r="BG27" s="11">
        <f ca="1">IF(History!BK$2="","",History!BK16*$C$27)</f>
        <v>4134.3599999999997</v>
      </c>
      <c r="BH27" s="11">
        <f ca="1">IF(History!BL$2="","",History!BL16*$C$27)</f>
        <v>4092.4399999999996</v>
      </c>
      <c r="BI27" s="11">
        <f ca="1">IF(History!BM$2="","",History!BM16*$C$27)</f>
        <v>4126.5</v>
      </c>
      <c r="BJ27" s="11">
        <f ca="1">IF(History!BN$2="","",History!BN16*$C$27)</f>
        <v>4131.74</v>
      </c>
      <c r="BK27" s="11">
        <f ca="1">IF(History!BO$2="","",History!BO16*$C$27)</f>
        <v>4063.62</v>
      </c>
      <c r="BL27" s="11">
        <f ca="1">IF(History!BP$2="","",History!BP16*$C$27)</f>
        <v>4005.9799999999996</v>
      </c>
      <c r="BM27" s="11">
        <f ca="1">IF(History!BQ$2="","",History!BQ16*$C$27)</f>
        <v>4032.1800000000003</v>
      </c>
      <c r="BN27" s="11">
        <f ca="1">IF(History!BR$2="","",History!BR16*$C$27)</f>
        <v>4021.7</v>
      </c>
      <c r="BO27" s="11">
        <f ca="1">IF(History!BS$2="","",History!BS16*$C$27)</f>
        <v>3956.2</v>
      </c>
      <c r="BP27" s="11">
        <f ca="1">IF(History!BT$2="","",History!BT16*$C$27)</f>
        <v>3956.2</v>
      </c>
      <c r="BQ27" s="11">
        <f ca="1">IF(History!BU$2="","",History!BU16*$C$27)</f>
        <v>3990.26</v>
      </c>
      <c r="BR27" s="11">
        <f ca="1">IF(History!BV$2="","",History!BV16*$C$27)</f>
        <v>3953.58</v>
      </c>
      <c r="BS27" s="11">
        <f ca="1">IF(History!BW$2="","",History!BW16*$C$27)</f>
        <v>3958.8199999999997</v>
      </c>
      <c r="BT27" s="11">
        <f ca="1">IF(History!BX$2="","",History!BX16*$C$27)</f>
        <v>4016.46</v>
      </c>
      <c r="BU27" s="11">
        <f ca="1">IF(History!BY$2="","",History!BY16*$C$27)</f>
        <v>3998.12</v>
      </c>
      <c r="BV27" s="11">
        <f ca="1">IF(History!BZ$2="","",History!BZ16*$C$27)</f>
        <v>3935.24</v>
      </c>
      <c r="BW27" s="11">
        <f ca="1">IF(History!CA$2="","",History!CA16*$C$27)</f>
        <v>3882.84</v>
      </c>
      <c r="BX27" s="11">
        <f ca="1">IF(History!CB$2="","",History!CB16*$C$27)</f>
        <v>3890.7</v>
      </c>
      <c r="BY27" s="11">
        <f ca="1">IF(History!CC$2="","",History!CC16*$C$27)</f>
        <v>3783.2799999999997</v>
      </c>
      <c r="BZ27" s="11">
        <f ca="1">IF(History!CD$2="","",History!CD16*$C$27)</f>
        <v>3801.62</v>
      </c>
      <c r="CA27" s="11">
        <f ca="1">IF(History!CE$2="","",History!CE16*$C$27)</f>
        <v>3890.7</v>
      </c>
      <c r="CB27" s="11">
        <f ca="1">IF(History!CF$2="","",History!CF16*$C$27)</f>
        <v>3809.4799999999996</v>
      </c>
      <c r="CC27" s="11">
        <f ca="1">IF(History!CG$2="","",History!CG16*$C$27)</f>
        <v>3804.24</v>
      </c>
      <c r="CD27" s="11">
        <f ca="1">IF(History!CH$2="","",History!CH16*$C$27)</f>
        <v>3843.54</v>
      </c>
      <c r="CE27" s="11">
        <f ca="1">IF(History!CI$2="","",History!CI16*$C$27)</f>
        <v>3953.58</v>
      </c>
      <c r="CF27" s="11" t="str">
        <f ca="1">IF(History!CJ$2="","",History!CJ16*$C$27)</f>
        <v/>
      </c>
      <c r="CG27" s="11" t="str">
        <f ca="1">IF(History!CK$2="","",History!CK16*$C$27)</f>
        <v/>
      </c>
      <c r="CH27" s="11" t="str">
        <f ca="1">IF(History!CL$2="","",History!CL16*$C$27)</f>
        <v/>
      </c>
      <c r="CI27" s="11" t="str">
        <f ca="1">IF(History!CM$2="","",History!CM16*$C$27)</f>
        <v/>
      </c>
      <c r="CJ27" s="11" t="str">
        <f ca="1">IF(History!CN$2="","",History!CN16*$C$27)</f>
        <v/>
      </c>
      <c r="CK27" s="11" t="str">
        <f ca="1">IF(History!CO$2="","",History!CO16*$C$27)</f>
        <v/>
      </c>
      <c r="CL27" s="11" t="str">
        <f ca="1">IF(History!CP$2="","",History!CP16*$C$27)</f>
        <v/>
      </c>
      <c r="CM27" s="11" t="str">
        <f ca="1">IF(History!CQ$2="","",History!CQ16*$C$27)</f>
        <v/>
      </c>
      <c r="CN27" s="11" t="str">
        <f ca="1">IF(History!CR$2="","",History!CR16*$C$27)</f>
        <v/>
      </c>
      <c r="CO27" s="11" t="str">
        <f ca="1">IF(History!CS$2="","",History!CS16*$C$27)</f>
        <v/>
      </c>
      <c r="CP27" s="11" t="str">
        <f ca="1">IF(History!CT$2="","",History!CT16*$C$27)</f>
        <v/>
      </c>
      <c r="CQ27" s="11" t="str">
        <f ca="1">IF(History!CU$2="","",History!CU16*$C$27)</f>
        <v/>
      </c>
      <c r="CR27" s="11" t="str">
        <f ca="1">IF(History!CV$2="","",History!CV16*$C$27)</f>
        <v/>
      </c>
      <c r="CS27" s="11" t="str">
        <f ca="1">IF(History!CW$2="","",History!CW16*$C$27)</f>
        <v/>
      </c>
      <c r="CT27" s="11" t="str">
        <f ca="1">IF(History!CX$2="","",History!CX16*$C$27)</f>
        <v/>
      </c>
      <c r="CU27" s="11" t="str">
        <f ca="1">IF(History!CY$2="","",History!CY16*$C$27)</f>
        <v/>
      </c>
      <c r="CV27" s="11" t="str">
        <f ca="1">IF(History!CZ$2="","",History!CZ16*$C$27)</f>
        <v/>
      </c>
      <c r="CW27" s="11" t="str">
        <f ca="1">IF(History!DA$2="","",History!DA16*$C$27)</f>
        <v/>
      </c>
      <c r="CX27" s="11" t="str">
        <f ca="1">IF(History!DB$2="","",History!DB16*$C$27)</f>
        <v/>
      </c>
      <c r="CY27" s="11" t="str">
        <f ca="1">IF(History!DC$2="","",History!DC16*$C$27)</f>
        <v/>
      </c>
      <c r="CZ27" s="11" t="str">
        <f ca="1">IF(History!DD$2="","",History!DD16*$C$27)</f>
        <v/>
      </c>
      <c r="DA27" s="11" t="str">
        <f ca="1">IF(History!DE$2="","",History!DE16*$C$27)</f>
        <v/>
      </c>
      <c r="DB27" s="11" t="str">
        <f ca="1">IF(History!DF$2="","",History!DF16*$C$27)</f>
        <v/>
      </c>
      <c r="DC27" s="11" t="str">
        <f ca="1">IF(History!DG$2="","",History!DG16*$C$27)</f>
        <v/>
      </c>
      <c r="DD27" s="11" t="str">
        <f ca="1">IF(History!DH$2="","",History!DH16*$C$27)</f>
        <v/>
      </c>
      <c r="DE27" s="11" t="str">
        <f ca="1">IF(History!DI$2="","",History!DI16*$C$27)</f>
        <v/>
      </c>
      <c r="DF27" s="11" t="str">
        <f ca="1">IF(History!DJ$2="","",History!DJ16*$C$27)</f>
        <v/>
      </c>
      <c r="DG27" s="11" t="str">
        <f ca="1">IF(History!DK$2="","",History!DK16*$C$27)</f>
        <v/>
      </c>
      <c r="DH27" s="11" t="str">
        <f ca="1">IF(History!DL$2="","",History!DL16*$C$27)</f>
        <v/>
      </c>
      <c r="DI27" s="11" t="str">
        <f ca="1">IF(History!DM$2="","",History!DM16*$C$27)</f>
        <v/>
      </c>
      <c r="DJ27" s="11" t="str">
        <f ca="1">IF(History!DN$2="","",History!DN16*$C$27)</f>
        <v/>
      </c>
      <c r="DK27" s="11" t="str">
        <f ca="1">IF(History!DO$2="","",History!DO16*$C$27)</f>
        <v/>
      </c>
      <c r="DL27" s="11" t="str">
        <f ca="1">IF(History!DP$2="","",History!DP16*$C$27)</f>
        <v/>
      </c>
      <c r="DM27" s="11" t="str">
        <f ca="1">IF(History!DQ$2="","",History!DQ16*$C$27)</f>
        <v/>
      </c>
      <c r="DN27" s="11" t="str">
        <f ca="1">IF(History!DR$2="","",History!DR16*$C$27)</f>
        <v/>
      </c>
      <c r="DO27" s="11" t="str">
        <f ca="1">IF(History!DS$2="","",History!DS16*$C$27)</f>
        <v/>
      </c>
      <c r="DP27" s="11" t="str">
        <f ca="1">IF(History!DT$2="","",History!DT16*$C$27)</f>
        <v/>
      </c>
      <c r="DQ27" s="11" t="str">
        <f ca="1">IF(History!DU$2="","",History!DU16*$C$27)</f>
        <v/>
      </c>
      <c r="DR27" s="11" t="str">
        <f ca="1">IF(History!DV$2="","",History!DV16*$C$27)</f>
        <v/>
      </c>
      <c r="DS27" s="11" t="str">
        <f ca="1">IF(History!DW$2="","",History!DW16*$C$27)</f>
        <v/>
      </c>
      <c r="DT27" s="11" t="str">
        <f ca="1">IF(History!DX$2="","",History!DX16*$C$27)</f>
        <v/>
      </c>
      <c r="DU27" s="11" t="str">
        <f ca="1">IF(History!DY$2="","",History!DY16*$C$27)</f>
        <v/>
      </c>
      <c r="DV27" s="11" t="str">
        <f ca="1">IF(History!DZ$2="","",History!DZ16*$C$27)</f>
        <v/>
      </c>
      <c r="DW27" s="11" t="str">
        <f ca="1">IF(History!EA$2="","",History!EA16*$C$27)</f>
        <v/>
      </c>
      <c r="DX27" s="11" t="str">
        <f ca="1">IF(History!EB$2="","",History!EB16*$C$27)</f>
        <v/>
      </c>
      <c r="DY27" s="11" t="str">
        <f ca="1">IF(History!EC$2="","",History!EC16*$C$27)</f>
        <v/>
      </c>
      <c r="DZ27" s="11" t="str">
        <f ca="1">IF(History!ED$2="","",History!ED16*$C$27)</f>
        <v/>
      </c>
      <c r="EA27" s="11" t="str">
        <f ca="1">IF(History!EE$2="","",History!EE16*$C$27)</f>
        <v/>
      </c>
      <c r="EB27" s="11" t="str">
        <f ca="1">IF(History!EF$2="","",History!EF16*$C$27)</f>
        <v/>
      </c>
      <c r="EC27" s="11" t="str">
        <f ca="1">IF(History!EG$2="","",History!EG16*$C$27)</f>
        <v/>
      </c>
      <c r="ED27" s="11" t="str">
        <f ca="1">IF(History!EH$2="","",History!EH16*$C$27)</f>
        <v/>
      </c>
      <c r="EE27" s="11" t="str">
        <f ca="1">IF(History!EI$2="","",History!EI16*$C$27)</f>
        <v/>
      </c>
      <c r="EF27" s="11" t="str">
        <f ca="1">IF(History!EJ$2="","",History!EJ16*$C$27)</f>
        <v/>
      </c>
      <c r="EG27" s="11" t="str">
        <f ca="1">IF(History!EK$2="","",History!EK16*$C$27)</f>
        <v/>
      </c>
      <c r="EH27" s="11" t="str">
        <f ca="1">IF(History!EL$2="","",History!EL16*$C$27)</f>
        <v/>
      </c>
      <c r="EI27" s="11" t="str">
        <f ca="1">IF(History!EM$2="","",History!EM16*$C$27)</f>
        <v/>
      </c>
      <c r="EJ27" s="11" t="str">
        <f ca="1">IF(History!EN$2="","",History!EN16*$C$27)</f>
        <v/>
      </c>
      <c r="EK27" s="11" t="str">
        <f ca="1">IF(History!EO$2="","",History!EO16*$C$27)</f>
        <v/>
      </c>
      <c r="EL27" s="11" t="str">
        <f ca="1">IF(History!EP$2="","",History!EP16*$C$27)</f>
        <v/>
      </c>
      <c r="EM27" s="11" t="str">
        <f ca="1">IF(History!EQ$2="","",History!EQ16*$C$27)</f>
        <v/>
      </c>
      <c r="EN27" s="11" t="str">
        <f ca="1">IF(History!ER$2="","",History!ER16*$C$27)</f>
        <v/>
      </c>
      <c r="EO27" s="11" t="str">
        <f ca="1">IF(History!ES$2="","",History!ES16*$C$27)</f>
        <v/>
      </c>
      <c r="EP27" s="11" t="str">
        <f ca="1">IF(History!ET$2="","",History!ET16*$C$27)</f>
        <v/>
      </c>
      <c r="EQ27" s="11" t="str">
        <f ca="1">IF(History!EU$2="","",History!EU16*$C$27)</f>
        <v/>
      </c>
      <c r="ER27" s="11" t="str">
        <f ca="1">IF(History!EV$2="","",History!EV16*$C$27)</f>
        <v/>
      </c>
      <c r="ES27" s="11" t="str">
        <f ca="1">IF(History!EW$2="","",History!EW16*$C$27)</f>
        <v/>
      </c>
      <c r="ET27" s="11" t="str">
        <f ca="1">IF(History!EX$2="","",History!EX16*$C$27)</f>
        <v/>
      </c>
      <c r="EU27" s="11" t="str">
        <f ca="1">IF(History!EY$2="","",History!EY16*$C$27)</f>
        <v/>
      </c>
      <c r="EV27" s="11" t="str">
        <f ca="1">IF(History!EZ$2="","",History!EZ16*$C$27)</f>
        <v/>
      </c>
      <c r="EW27" s="11" t="str">
        <f ca="1">IF(History!FA$2="","",History!FA16*$C$27)</f>
        <v/>
      </c>
      <c r="EX27" s="11" t="str">
        <f ca="1">IF(History!FB$2="","",History!FB16*$C$27)</f>
        <v/>
      </c>
      <c r="EY27" s="11" t="str">
        <f ca="1">IF(History!FC$2="","",History!FC16*$C$27)</f>
        <v/>
      </c>
      <c r="EZ27" s="11" t="str">
        <f ca="1">IF(History!FD$2="","",History!FD16*$C$27)</f>
        <v/>
      </c>
      <c r="FA27" s="11" t="str">
        <f ca="1">IF(History!FE$2="","",History!FE16*$C$27)</f>
        <v/>
      </c>
      <c r="FB27" s="11" t="str">
        <f ca="1">IF(History!FF$2="","",History!FF16*$C$27)</f>
        <v/>
      </c>
      <c r="FC27" s="11" t="str">
        <f ca="1">IF(History!FG$2="","",History!FG16*$C$27)</f>
        <v/>
      </c>
      <c r="FD27" s="11" t="str">
        <f ca="1">IF(History!FH$2="","",History!FH16*$C$27)</f>
        <v/>
      </c>
      <c r="FE27" s="11" t="str">
        <f ca="1">IF(History!FI$2="","",History!FI16*$C$27)</f>
        <v/>
      </c>
      <c r="FF27" s="11" t="str">
        <f ca="1">IF(History!FJ$2="","",History!FJ16*$C$27)</f>
        <v/>
      </c>
      <c r="FG27" s="11" t="str">
        <f ca="1">IF(History!FK$2="","",History!FK16*$C$27)</f>
        <v/>
      </c>
      <c r="FH27" s="11" t="str">
        <f ca="1">IF(History!FL$2="","",History!FL16*$C$27)</f>
        <v/>
      </c>
      <c r="FI27" s="11" t="str">
        <f ca="1">IF(History!FM$2="","",History!FM16*$C$27)</f>
        <v/>
      </c>
      <c r="FJ27" s="11" t="str">
        <f ca="1">IF(History!FN$2="","",History!FN16*$C$27)</f>
        <v/>
      </c>
      <c r="FK27" s="11" t="str">
        <f ca="1">IF(History!FO$2="","",History!FO16*$C$27)</f>
        <v/>
      </c>
      <c r="FL27" s="11" t="str">
        <f ca="1">IF(History!FP$2="","",History!FP16*$C$27)</f>
        <v/>
      </c>
      <c r="FM27" s="11" t="str">
        <f ca="1">IF(History!FQ$2="","",History!FQ16*$C$27)</f>
        <v/>
      </c>
      <c r="FN27" s="11" t="str">
        <f ca="1">IF(History!FR$2="","",History!FR16*$C$27)</f>
        <v/>
      </c>
      <c r="FO27" s="11" t="str">
        <f ca="1">IF(History!FS$2="","",History!FS16*$C$27)</f>
        <v/>
      </c>
      <c r="FP27" s="11" t="str">
        <f ca="1">IF(History!FT$2="","",History!FT16*$C$27)</f>
        <v/>
      </c>
      <c r="FQ27" s="11" t="str">
        <f ca="1">IF(History!FU$2="","",History!FU16*$C$27)</f>
        <v/>
      </c>
      <c r="FR27" s="11" t="str">
        <f ca="1">IF(History!FV$2="","",History!FV16*$C$27)</f>
        <v/>
      </c>
      <c r="FS27" s="11" t="str">
        <f ca="1">IF(History!FW$2="","",History!FW16*$C$27)</f>
        <v/>
      </c>
      <c r="FT27" s="11" t="str">
        <f ca="1">IF(History!FX$2="","",History!FX16*$C$27)</f>
        <v/>
      </c>
      <c r="FU27" s="11" t="str">
        <f ca="1">IF(History!FY$2="","",History!FY16*$C$27)</f>
        <v/>
      </c>
      <c r="FV27" s="11" t="str">
        <f ca="1">IF(History!FZ$2="","",History!FZ16*$C$27)</f>
        <v/>
      </c>
      <c r="FW27" s="11" t="str">
        <f ca="1">IF(History!GA$2="","",History!GA16*$C$27)</f>
        <v/>
      </c>
      <c r="FX27" s="11" t="str">
        <f ca="1">IF(History!GB$2="","",History!GB16*$C$27)</f>
        <v/>
      </c>
      <c r="FY27" s="11" t="str">
        <f ca="1">IF(History!GC$2="","",History!GC16*$C$27)</f>
        <v/>
      </c>
      <c r="FZ27" s="11" t="str">
        <f ca="1">IF(History!GD$2="","",History!GD16*$C$27)</f>
        <v/>
      </c>
      <c r="GA27" s="11" t="str">
        <f ca="1">IF(History!GE$2="","",History!GE16*$C$27)</f>
        <v/>
      </c>
      <c r="GB27" s="11" t="str">
        <f ca="1">IF(History!GF$2="","",History!GF16*$C$27)</f>
        <v/>
      </c>
      <c r="GC27" s="11" t="str">
        <f ca="1">IF(History!GG$2="","",History!GG16*$C$27)</f>
        <v/>
      </c>
      <c r="GD27" s="11" t="str">
        <f ca="1">IF(History!GH$2="","",History!GH16*$C$27)</f>
        <v/>
      </c>
      <c r="GE27" s="11" t="str">
        <f ca="1">IF(History!GI$2="","",History!GI16*$C$27)</f>
        <v/>
      </c>
      <c r="GF27" s="11" t="str">
        <f ca="1">IF(History!GJ$2="","",History!GJ16*$C$27)</f>
        <v/>
      </c>
      <c r="GG27" s="11" t="str">
        <f ca="1">IF(History!GK$2="","",History!GK16*$C$27)</f>
        <v/>
      </c>
      <c r="GH27" s="11" t="str">
        <f ca="1">IF(History!GL$2="","",History!GL16*$C$27)</f>
        <v/>
      </c>
      <c r="GI27" s="11" t="str">
        <f ca="1">IF(History!GM$2="","",History!GM16*$C$27)</f>
        <v/>
      </c>
      <c r="GJ27" s="11" t="str">
        <f ca="1">IF(History!GN$2="","",History!GN16*$C$27)</f>
        <v/>
      </c>
      <c r="GK27" s="11" t="str">
        <f ca="1">IF(History!GO$2="","",History!GO16*$C$27)</f>
        <v/>
      </c>
      <c r="GL27" s="11" t="str">
        <f ca="1">IF(History!GP$2="","",History!GP16*$C$27)</f>
        <v/>
      </c>
      <c r="GM27" s="11" t="str">
        <f ca="1">IF(History!GQ$2="","",History!GQ16*$C$27)</f>
        <v/>
      </c>
      <c r="GN27" s="11" t="str">
        <f ca="1">IF(History!GR$2="","",History!GR16*$C$27)</f>
        <v/>
      </c>
      <c r="GO27" s="11" t="str">
        <f ca="1">IF(History!GS$2="","",History!GS16*$C$27)</f>
        <v/>
      </c>
      <c r="GP27" s="11" t="str">
        <f ca="1">IF(History!GT$2="","",History!GT16*$C$27)</f>
        <v/>
      </c>
      <c r="GQ27" s="11" t="str">
        <f ca="1">IF(History!GU$2="","",History!GU16*$C$27)</f>
        <v/>
      </c>
      <c r="GR27" s="11" t="str">
        <f ca="1">IF(History!GV$2="","",History!GV16*$C$27)</f>
        <v/>
      </c>
      <c r="GS27" s="11" t="str">
        <f ca="1">IF(History!GW$2="","",History!GW16*$C$27)</f>
        <v/>
      </c>
      <c r="GT27" s="11" t="str">
        <f ca="1">IF(History!GX$2="","",History!GX16*$C$27)</f>
        <v/>
      </c>
      <c r="GU27" s="11" t="str">
        <f ca="1">IF(History!GY$2="","",History!GY16*$C$27)</f>
        <v/>
      </c>
      <c r="GV27" s="11" t="str">
        <f ca="1">IF(History!GZ$2="","",History!GZ16*$C$27)</f>
        <v/>
      </c>
      <c r="GW27" s="11" t="str">
        <f ca="1">IF(History!HA$2="","",History!HA16*$C$27)</f>
        <v/>
      </c>
      <c r="GX27" s="11" t="str">
        <f ca="1">IF(History!HB$2="","",History!HB16*$C$27)</f>
        <v/>
      </c>
      <c r="GY27" s="11" t="str">
        <f ca="1">IF(History!HC$2="","",History!HC16*$C$27)</f>
        <v/>
      </c>
      <c r="GZ27" s="11" t="str">
        <f ca="1">IF(History!HD$2="","",History!HD16*$C$27)</f>
        <v/>
      </c>
      <c r="HA27" s="11" t="str">
        <f ca="1">IF(History!HE$2="","",History!HE16*$C$27)</f>
        <v/>
      </c>
      <c r="HB27" s="11" t="str">
        <f ca="1">IF(History!HF$2="","",History!HF16*$C$27)</f>
        <v/>
      </c>
      <c r="HC27" s="11" t="str">
        <f ca="1">IF(History!HG$2="","",History!HG16*$C$27)</f>
        <v/>
      </c>
      <c r="HD27" s="11" t="str">
        <f ca="1">IF(History!HH$2="","",History!HH16*$C$27)</f>
        <v/>
      </c>
      <c r="HE27" s="11" t="str">
        <f ca="1">IF(History!HI$2="","",History!HI16*$C$27)</f>
        <v/>
      </c>
      <c r="HF27" s="11" t="str">
        <f ca="1">IF(History!HJ$2="","",History!HJ16*$C$27)</f>
        <v/>
      </c>
      <c r="HG27" s="11" t="str">
        <f ca="1">IF(History!HK$2="","",History!HK16*$C$27)</f>
        <v/>
      </c>
      <c r="HH27" s="11" t="str">
        <f ca="1">IF(History!HL$2="","",History!HL16*$C$27)</f>
        <v/>
      </c>
      <c r="HI27" s="11" t="str">
        <f ca="1">IF(History!HM$2="","",History!HM16*$C$27)</f>
        <v/>
      </c>
      <c r="HJ27" s="11" t="str">
        <f ca="1">IF(History!HN$2="","",History!HN16*$C$27)</f>
        <v/>
      </c>
      <c r="HK27" s="11" t="str">
        <f ca="1">IF(History!HO$2="","",History!HO16*$C$27)</f>
        <v/>
      </c>
      <c r="HL27" s="11" t="str">
        <f ca="1">IF(History!HP$2="","",History!HP16*$C$27)</f>
        <v/>
      </c>
      <c r="HM27" s="11" t="str">
        <f ca="1">IF(History!HQ$2="","",History!HQ16*$C$27)</f>
        <v/>
      </c>
      <c r="HN27" s="11" t="str">
        <f ca="1">IF(History!HR$2="","",History!HR16*$C$27)</f>
        <v/>
      </c>
      <c r="HO27" s="11" t="str">
        <f ca="1">IF(History!HS$2="","",History!HS16*$C$27)</f>
        <v/>
      </c>
      <c r="HP27" s="11" t="str">
        <f ca="1">IF(History!HT$2="","",History!HT16*$C$27)</f>
        <v/>
      </c>
      <c r="HQ27" s="11" t="str">
        <f ca="1">IF(History!HU$2="","",History!HU16*$C$27)</f>
        <v/>
      </c>
      <c r="HR27" s="11" t="str">
        <f ca="1">IF(History!HV$2="","",History!HV16*$C$27)</f>
        <v/>
      </c>
      <c r="HS27" s="11" t="str">
        <f ca="1">IF(History!HW$2="","",History!HW16*$C$27)</f>
        <v/>
      </c>
      <c r="HT27" s="11" t="str">
        <f ca="1">IF(History!HX$2="","",History!HX16*$C$27)</f>
        <v/>
      </c>
      <c r="HU27" s="11" t="str">
        <f ca="1">IF(History!HY$2="","",History!HY16*$C$27)</f>
        <v/>
      </c>
      <c r="HV27" s="11" t="str">
        <f ca="1">IF(History!HZ$2="","",History!HZ16*$C$27)</f>
        <v/>
      </c>
      <c r="HW27" s="11" t="str">
        <f ca="1">IF(History!IA$2="","",History!IA16*$C$27)</f>
        <v/>
      </c>
      <c r="HX27" s="11" t="str">
        <f ca="1">IF(History!IB$2="","",History!IB16*$C$27)</f>
        <v/>
      </c>
      <c r="HY27" s="11" t="str">
        <f ca="1">IF(History!IC$2="","",History!IC16*$C$27)</f>
        <v/>
      </c>
      <c r="HZ27" s="11" t="str">
        <f ca="1">IF(History!ID$2="","",History!ID16*$C$27)</f>
        <v/>
      </c>
      <c r="IA27" s="11" t="str">
        <f ca="1">IF(History!IE$2="","",History!IE16*$C$27)</f>
        <v/>
      </c>
      <c r="IB27" s="11" t="str">
        <f ca="1">IF(History!IF$2="","",History!IF16*$C$27)</f>
        <v/>
      </c>
      <c r="IC27" s="11" t="str">
        <f ca="1">IF(History!IG$2="","",History!IG16*$C$27)</f>
        <v/>
      </c>
      <c r="ID27" s="11" t="str">
        <f ca="1">IF(History!IH$2="","",History!IH16*$C$27)</f>
        <v/>
      </c>
      <c r="IE27" s="11" t="str">
        <f ca="1">IF(History!II$2="","",History!II16*$C$27)</f>
        <v/>
      </c>
      <c r="IF27" s="11" t="str">
        <f ca="1">IF(History!IJ$2="","",History!IJ16*$C$27)</f>
        <v/>
      </c>
      <c r="IG27" s="11" t="str">
        <f ca="1">IF(History!IK$2="","",History!IK16*$C$27)</f>
        <v/>
      </c>
      <c r="IH27" s="11" t="str">
        <f ca="1">IF(History!IL$2="","",History!IL16*$C$27)</f>
        <v/>
      </c>
      <c r="II27" s="11" t="str">
        <f ca="1">IF(History!IM$2="","",History!IM16*$C$27)</f>
        <v/>
      </c>
      <c r="IJ27" s="11" t="str">
        <f ca="1">IF(History!IN$2="","",History!IN16*$C$27)</f>
        <v/>
      </c>
      <c r="IK27" s="11" t="str">
        <f ca="1">IF(History!IO$2="","",History!IO16*$C$27)</f>
        <v/>
      </c>
      <c r="IL27" s="11" t="str">
        <f ca="1">IF(History!IP$2="","",History!IP16*$C$27)</f>
        <v/>
      </c>
      <c r="IM27" s="11" t="str">
        <f ca="1">IF(History!IQ$2="","",History!IQ16*$C$27)</f>
        <v/>
      </c>
      <c r="IN27" s="11" t="str">
        <f ca="1">IF(History!IR$2="","",History!IR16*$C$27)</f>
        <v/>
      </c>
      <c r="IO27" s="11" t="str">
        <f ca="1">IF(History!IS$2="","",History!IS16*$C$27)</f>
        <v/>
      </c>
      <c r="IP27" s="11" t="str">
        <f ca="1">IF(History!IT$2="","",History!IT16*$C$27)</f>
        <v/>
      </c>
      <c r="IQ27" s="11" t="str">
        <f ca="1">IF(History!IU$2="","",History!IU16*$C$27)</f>
        <v/>
      </c>
      <c r="IR27" s="11" t="str">
        <f ca="1">IF(History!IV$2="","",History!IV16*$C$27)</f>
        <v/>
      </c>
      <c r="IS27" s="11" t="str">
        <f ca="1">IF(History!IW$2="","",History!IW16*$C$27)</f>
        <v/>
      </c>
      <c r="IT27" s="11" t="str">
        <f ca="1">IF(History!IX$2="","",History!IX16*$C$27)</f>
        <v/>
      </c>
      <c r="IU27" s="11" t="str">
        <f ca="1">IF(History!IY$2="","",History!IY16*$C$27)</f>
        <v/>
      </c>
      <c r="IV27" s="11" t="str">
        <f ca="1">IF(History!IZ$2="","",History!IZ16*$C$27)</f>
        <v/>
      </c>
      <c r="IW27" s="11" t="str">
        <f ca="1">IF(History!JA$2="","",History!JA16*$C$27)</f>
        <v/>
      </c>
      <c r="IX27" s="11" t="str">
        <f ca="1">IF(History!JB$2="","",History!JB16*$C$27)</f>
        <v/>
      </c>
      <c r="IY27" s="11" t="str">
        <f ca="1">IF(History!JC$2="","",History!JC16*$C$27)</f>
        <v/>
      </c>
      <c r="IZ27" s="11" t="str">
        <f ca="1">IF(History!JD$2="","",History!JD16*$C$27)</f>
        <v/>
      </c>
      <c r="JA27" s="11" t="str">
        <f ca="1">IF(History!JE$2="","",History!JE16*$C$27)</f>
        <v/>
      </c>
      <c r="JB27" s="11" t="str">
        <f ca="1">IF(History!JF$2="","",History!JF16*$C$27)</f>
        <v/>
      </c>
      <c r="JC27" s="11" t="str">
        <f ca="1">IF(History!JG$2="","",History!JG16*$C$27)</f>
        <v/>
      </c>
      <c r="JD27" s="11" t="str">
        <f ca="1">IF(History!JH$2="","",History!JH16*$C$27)</f>
        <v/>
      </c>
      <c r="JE27" s="11" t="str">
        <f ca="1">IF(History!JI$2="","",History!JI16*$C$27)</f>
        <v/>
      </c>
      <c r="JF27" s="11" t="str">
        <f ca="1">IF(History!JJ$2="","",History!JJ16*$C$27)</f>
        <v/>
      </c>
      <c r="JG27" s="11" t="str">
        <f ca="1">IF(History!JK$2="","",History!JK16*$C$27)</f>
        <v/>
      </c>
      <c r="JH27" s="11" t="str">
        <f ca="1">IF(History!JL$2="","",History!JL16*$C$27)</f>
        <v/>
      </c>
      <c r="JI27" s="11" t="str">
        <f ca="1">IF(History!JM$2="","",History!JM16*$C$27)</f>
        <v/>
      </c>
      <c r="JJ27" s="11" t="str">
        <f ca="1">IF(History!JN$2="","",History!JN16*$C$27)</f>
        <v/>
      </c>
      <c r="JK27" s="11" t="str">
        <f ca="1">IF(History!JO$2="","",History!JO16*$C$27)</f>
        <v/>
      </c>
      <c r="JL27" s="11" t="str">
        <f ca="1">IF(History!JP$2="","",History!JP16*$C$27)</f>
        <v/>
      </c>
      <c r="JM27" s="11" t="str">
        <f ca="1">IF(History!JQ$2="","",History!JQ16*$C$27)</f>
        <v/>
      </c>
      <c r="JN27" s="11" t="str">
        <f ca="1">IF(History!JR$2="","",History!JR16*$C$27)</f>
        <v/>
      </c>
      <c r="JO27" s="11" t="str">
        <f ca="1">IF(History!JS$2="","",History!JS16*$C$27)</f>
        <v/>
      </c>
      <c r="JP27" s="11" t="str">
        <f ca="1">IF(History!JT$2="","",History!JT16*$C$27)</f>
        <v/>
      </c>
      <c r="JQ27" s="11" t="str">
        <f ca="1">IF(History!JU$2="","",History!JU16*$C$27)</f>
        <v/>
      </c>
      <c r="JR27" s="11" t="str">
        <f ca="1">IF(History!JV$2="","",History!JV16*$C$27)</f>
        <v/>
      </c>
      <c r="JS27" s="11" t="str">
        <f ca="1">IF(History!JW$2="","",History!JW16*$C$27)</f>
        <v/>
      </c>
      <c r="JT27" s="11" t="str">
        <f ca="1">IF(History!JX$2="","",History!JX16*$C$27)</f>
        <v/>
      </c>
      <c r="JU27" s="11" t="str">
        <f ca="1">IF(History!JY$2="","",History!JY16*$C$27)</f>
        <v/>
      </c>
      <c r="JV27" s="11" t="str">
        <f ca="1">IF(History!JZ$2="","",History!JZ16*$C$27)</f>
        <v/>
      </c>
      <c r="JW27" s="11" t="str">
        <f ca="1">IF(History!KA$2="","",History!KA16*$C$27)</f>
        <v/>
      </c>
      <c r="JX27" s="11" t="str">
        <f ca="1">IF(History!KB$2="","",History!KB16*$C$27)</f>
        <v/>
      </c>
      <c r="JY27" s="11" t="str">
        <f ca="1">IF(History!KC$2="","",History!KC16*$C$27)</f>
        <v/>
      </c>
      <c r="JZ27" s="11" t="str">
        <f ca="1">IF(History!KD$2="","",History!KD16*$C$27)</f>
        <v/>
      </c>
      <c r="KA27" s="11" t="str">
        <f ca="1">IF(History!KE$2="","",History!KE16*$C$27)</f>
        <v/>
      </c>
      <c r="KB27" s="11" t="str">
        <f ca="1">IF(History!KF$2="","",History!KF16*$C$27)</f>
        <v/>
      </c>
    </row>
    <row r="28" spans="1:288" ht="15.75" customHeight="1">
      <c r="A28" s="22" t="s">
        <v>30</v>
      </c>
      <c r="B28" s="6" t="s">
        <v>61</v>
      </c>
      <c r="C28" s="26">
        <v>52</v>
      </c>
      <c r="D28" s="11">
        <f ca="1">IF(History!H$2="","",History!H17*$C$28)</f>
        <v>4539.08</v>
      </c>
      <c r="E28" s="11">
        <f ca="1">IF(History!I$2="","",History!I17*$C$28)</f>
        <v>4590.04</v>
      </c>
      <c r="F28" s="11">
        <f ca="1">IF(History!J$2="","",History!J17*$C$28)</f>
        <v>4649.84</v>
      </c>
      <c r="G28" s="11">
        <f ca="1">IF(History!K$2="","",History!K17*$C$28)</f>
        <v>4665.4399999999996</v>
      </c>
      <c r="H28" s="11">
        <f ca="1">IF(History!L$2="","",History!L17*$C$28)</f>
        <v>4705.4799999999996</v>
      </c>
      <c r="I28" s="11">
        <f ca="1">IF(History!M$2="","",History!M17*$C$28)</f>
        <v>4697.68</v>
      </c>
      <c r="J28" s="11">
        <f ca="1">IF(History!N$2="","",History!N17*$C$28)</f>
        <v>4537</v>
      </c>
      <c r="K28" s="11">
        <f ca="1">IF(History!O$2="","",History!O17*$C$28)</f>
        <v>4434.04</v>
      </c>
      <c r="L28" s="11">
        <f ca="1">IF(History!P$2="","",History!P17*$C$28)</f>
        <v>4301.4399999999996</v>
      </c>
      <c r="M28" s="11">
        <f ca="1">IF(History!Q$2="","",History!Q17*$C$28)</f>
        <v>4341.4799999999996</v>
      </c>
      <c r="N28" s="11">
        <f ca="1">IF(History!R$2="","",History!R17*$C$28)</f>
        <v>4342.5200000000004</v>
      </c>
      <c r="O28" s="11">
        <f ca="1">IF(History!S$2="","",History!S17*$C$28)</f>
        <v>4349.28</v>
      </c>
      <c r="P28" s="11">
        <f ca="1">IF(History!T$2="","",History!T17*$C$28)</f>
        <v>4295.72</v>
      </c>
      <c r="Q28" s="11">
        <f ca="1">IF(History!U$2="","",History!U17*$C$28)</f>
        <v>4372.16</v>
      </c>
      <c r="R28" s="11">
        <f ca="1">IF(History!V$2="","",History!V17*$C$28)</f>
        <v>4489.68</v>
      </c>
      <c r="S28" s="11">
        <f ca="1">IF(History!W$2="","",History!W17*$C$28)</f>
        <v>4520.88</v>
      </c>
      <c r="T28" s="11">
        <f ca="1">IF(History!X$2="","",History!X17*$C$28)</f>
        <v>4481.88</v>
      </c>
      <c r="U28" s="11">
        <f ca="1">IF(History!Y$2="","",History!Y17*$C$28)</f>
        <v>4466.28</v>
      </c>
      <c r="V28" s="11">
        <f ca="1">IF(History!Z$2="","",History!Z17*$C$28)</f>
        <v>4577.04</v>
      </c>
      <c r="W28" s="11">
        <f ca="1">IF(History!AA$2="","",History!AA17*$C$28)</f>
        <v>4597.84</v>
      </c>
      <c r="X28" s="11">
        <f ca="1">IF(History!AB$2="","",History!AB17*$C$28)</f>
        <v>4749.68</v>
      </c>
      <c r="Y28" s="11">
        <f ca="1">IF(History!AC$2="","",History!AC17*$C$28)</f>
        <v>4678.4399999999996</v>
      </c>
      <c r="Z28" s="11">
        <f ca="1">IF(History!AD$2="","",History!AD17*$C$28)</f>
        <v>4739.8</v>
      </c>
      <c r="AA28" s="11">
        <f ca="1">IF(History!AE$2="","",History!AE17*$C$28)</f>
        <v>4674.28</v>
      </c>
      <c r="AB28" s="11">
        <f ca="1">IF(History!AF$2="","",History!AF17*$C$28)</f>
        <v>4646.2</v>
      </c>
      <c r="AC28" s="11">
        <f ca="1">IF(History!AG$2="","",History!AG17*$C$28)</f>
        <v>4784</v>
      </c>
      <c r="AD28" s="11">
        <f ca="1">IF(History!AH$2="","",History!AH17*$C$28)</f>
        <v>4838.5999999999995</v>
      </c>
      <c r="AE28" s="11">
        <f ca="1">IF(History!AI$2="","",History!AI17*$C$28)</f>
        <v>4663.88</v>
      </c>
      <c r="AF28" s="11">
        <f ca="1">IF(History!AJ$2="","",History!AJ17*$C$28)</f>
        <v>4624.3600000000006</v>
      </c>
      <c r="AG28" s="11">
        <f ca="1">IF(History!AK$2="","",History!AK17*$C$28)</f>
        <v>4569.24</v>
      </c>
      <c r="AH28" s="11">
        <f ca="1">IF(History!AL$2="","",History!AL17*$C$28)</f>
        <v>4526.08</v>
      </c>
      <c r="AI28" s="11">
        <f ca="1">IF(History!AM$2="","",History!AM17*$C$28)</f>
        <v>4342.5200000000004</v>
      </c>
      <c r="AJ28" s="11">
        <f ca="1">IF(History!AN$2="","",History!AN17*$C$28)</f>
        <v>4605.6399999999994</v>
      </c>
      <c r="AK28" s="11">
        <f ca="1">IF(History!AO$2="","",History!AO17*$C$28)</f>
        <v>4553.12</v>
      </c>
      <c r="AL28" s="11">
        <f ca="1">IF(History!AP$2="","",History!AP17*$C$28)</f>
        <v>4261.92</v>
      </c>
      <c r="AM28" s="11">
        <f ca="1">IF(History!AQ$2="","",History!AQ17*$C$28)</f>
        <v>4423.6399999999994</v>
      </c>
      <c r="AN28" s="11">
        <f ca="1">IF(History!AR$2="","",History!AR17*$C$28)</f>
        <v>4319.12</v>
      </c>
      <c r="AO28" s="11">
        <f ca="1">IF(History!AS$2="","",History!AS17*$C$28)</f>
        <v>4018.56</v>
      </c>
      <c r="AP28" s="11">
        <f ca="1">IF(History!AT$2="","",History!AT17*$C$28)</f>
        <v>3710.2</v>
      </c>
      <c r="AQ28" s="11">
        <f ca="1">IF(History!AU$2="","",History!AU17*$C$28)</f>
        <v>3771.04</v>
      </c>
      <c r="AR28" s="11">
        <f ca="1">IF(History!AV$2="","",History!AV17*$C$28)</f>
        <v>4020.6399999999994</v>
      </c>
      <c r="AS28" s="11">
        <f ca="1">IF(History!AW$2="","",History!AW17*$C$28)</f>
        <v>4041.44</v>
      </c>
      <c r="AT28" s="11">
        <f ca="1">IF(History!AX$2="","",History!AX17*$C$28)</f>
        <v>3985.28</v>
      </c>
      <c r="AU28" s="11">
        <f ca="1">IF(History!AY$2="","",History!AY17*$C$28)</f>
        <v>3934.84</v>
      </c>
      <c r="AV28" s="11">
        <f ca="1">IF(History!AZ$2="","",History!AZ17*$C$28)</f>
        <v>3979.56</v>
      </c>
      <c r="AW28" s="11">
        <f ca="1">IF(History!BA$2="","",History!BA17*$C$28)</f>
        <v>4213.5600000000004</v>
      </c>
      <c r="AX28" s="11">
        <f ca="1">IF(History!BB$2="","",History!BB17*$C$28)</f>
        <v>4191.72</v>
      </c>
      <c r="AY28" s="11">
        <f ca="1">IF(History!BC$2="","",History!BC17*$C$28)</f>
        <v>4245.28</v>
      </c>
      <c r="AZ28" s="11">
        <f ca="1">IF(History!BD$2="","",History!BD17*$C$28)</f>
        <v>4233.84</v>
      </c>
      <c r="BA28" s="11">
        <f ca="1">IF(History!BE$2="","",History!BE17*$C$28)</f>
        <v>4351.3600000000006</v>
      </c>
      <c r="BB28" s="11">
        <f ca="1">IF(History!BF$2="","",History!BF17*$C$28)</f>
        <v>4189.12</v>
      </c>
      <c r="BC28" s="11">
        <f ca="1">IF(History!BG$2="","",History!BG17*$C$28)</f>
        <v>4217.72</v>
      </c>
      <c r="BD28" s="11">
        <f ca="1">IF(History!BH$2="","",History!BH17*$C$28)</f>
        <v>4307.16</v>
      </c>
      <c r="BE28" s="11">
        <f ca="1">IF(History!BI$2="","",History!BI17*$C$28)</f>
        <v>4284.8</v>
      </c>
      <c r="BF28" s="11">
        <f ca="1">IF(History!BJ$2="","",History!BJ17*$C$28)</f>
        <v>4376.32</v>
      </c>
      <c r="BG28" s="11">
        <f ca="1">IF(History!BK$2="","",History!BK17*$C$28)</f>
        <v>4241.12</v>
      </c>
      <c r="BH28" s="11">
        <f ca="1">IF(History!BL$2="","",History!BL17*$C$28)</f>
        <v>4109.04</v>
      </c>
      <c r="BI28" s="11">
        <f ca="1">IF(History!BM$2="","",History!BM17*$C$28)</f>
        <v>4073.6800000000003</v>
      </c>
      <c r="BJ28" s="11">
        <f ca="1">IF(History!BN$2="","",History!BN17*$C$28)</f>
        <v>4077.3199999999997</v>
      </c>
      <c r="BK28" s="11">
        <f ca="1">IF(History!BO$2="","",History!BO17*$C$28)</f>
        <v>4049.2400000000002</v>
      </c>
      <c r="BL28" s="11">
        <f ca="1">IF(History!BP$2="","",History!BP17*$C$28)</f>
        <v>3981.12</v>
      </c>
      <c r="BM28" s="11">
        <f ca="1">IF(History!BQ$2="","",History!BQ17*$C$28)</f>
        <v>3947.3199999999997</v>
      </c>
      <c r="BN28" s="11">
        <f ca="1">IF(History!BR$2="","",History!BR17*$C$28)</f>
        <v>3960.84</v>
      </c>
      <c r="BO28" s="11">
        <f ca="1">IF(History!BS$2="","",History!BS17*$C$28)</f>
        <v>3959.28</v>
      </c>
      <c r="BP28" s="11">
        <f ca="1">IF(History!BT$2="","",History!BT17*$C$28)</f>
        <v>3889.6</v>
      </c>
      <c r="BQ28" s="11">
        <f ca="1">IF(History!BU$2="","",History!BU17*$C$28)</f>
        <v>3965</v>
      </c>
      <c r="BR28" s="11">
        <f ca="1">IF(History!BV$2="","",History!BV17*$C$28)</f>
        <v>3897.9199999999996</v>
      </c>
      <c r="BS28" s="11">
        <f ca="1">IF(History!BW$2="","",History!BW17*$C$28)</f>
        <v>3902.0800000000004</v>
      </c>
      <c r="BT28" s="11">
        <f ca="1">IF(History!BX$2="","",History!BX17*$C$28)</f>
        <v>4111.6399999999994</v>
      </c>
      <c r="BU28" s="11">
        <f ca="1">IF(History!BY$2="","",History!BY17*$C$28)</f>
        <v>4189.12</v>
      </c>
      <c r="BV28" s="11">
        <f ca="1">IF(History!BZ$2="","",History!BZ17*$C$28)</f>
        <v>4146.4799999999996</v>
      </c>
      <c r="BW28" s="11">
        <f ca="1">IF(History!CA$2="","",History!CA17*$C$28)</f>
        <v>4037.28</v>
      </c>
      <c r="BX28" s="11">
        <f ca="1">IF(History!CB$2="","",History!CB17*$C$28)</f>
        <v>3936.9199999999996</v>
      </c>
      <c r="BY28" s="11">
        <f ca="1">IF(History!CC$2="","",History!CC17*$C$28)</f>
        <v>3701.88</v>
      </c>
      <c r="BZ28" s="11">
        <f ca="1">IF(History!CD$2="","",History!CD17*$C$28)</f>
        <v>3738.8</v>
      </c>
      <c r="CA28" s="11">
        <f ca="1">IF(History!CE$2="","",History!CE17*$C$28)</f>
        <v>3865.6800000000003</v>
      </c>
      <c r="CB28" s="11">
        <f ca="1">IF(History!CF$2="","",History!CF17*$C$28)</f>
        <v>3707.6</v>
      </c>
      <c r="CC28" s="11">
        <f ca="1">IF(History!CG$2="","",History!CG17*$C$28)</f>
        <v>3813.16</v>
      </c>
      <c r="CD28" s="11">
        <f ca="1">IF(History!CH$2="","",History!CH17*$C$28)</f>
        <v>3869.84</v>
      </c>
      <c r="CE28" s="11">
        <f ca="1">IF(History!CI$2="","",History!CI17*$C$28)</f>
        <v>4004</v>
      </c>
      <c r="CF28" s="11" t="str">
        <f ca="1">IF(History!CJ$2="","",History!CJ17*$C$28)</f>
        <v/>
      </c>
      <c r="CG28" s="11" t="str">
        <f ca="1">IF(History!CK$2="","",History!CK17*$C$28)</f>
        <v/>
      </c>
      <c r="CH28" s="11" t="str">
        <f ca="1">IF(History!CL$2="","",History!CL17*$C$28)</f>
        <v/>
      </c>
      <c r="CI28" s="11" t="str">
        <f ca="1">IF(History!CM$2="","",History!CM17*$C$28)</f>
        <v/>
      </c>
      <c r="CJ28" s="11" t="str">
        <f ca="1">IF(History!CN$2="","",History!CN17*$C$28)</f>
        <v/>
      </c>
      <c r="CK28" s="11" t="str">
        <f ca="1">IF(History!CO$2="","",History!CO17*$C$28)</f>
        <v/>
      </c>
      <c r="CL28" s="11" t="str">
        <f ca="1">IF(History!CP$2="","",History!CP17*$C$28)</f>
        <v/>
      </c>
      <c r="CM28" s="11" t="str">
        <f ca="1">IF(History!CQ$2="","",History!CQ17*$C$28)</f>
        <v/>
      </c>
      <c r="CN28" s="11" t="str">
        <f ca="1">IF(History!CR$2="","",History!CR17*$C$28)</f>
        <v/>
      </c>
      <c r="CO28" s="11" t="str">
        <f ca="1">IF(History!CS$2="","",History!CS17*$C$28)</f>
        <v/>
      </c>
      <c r="CP28" s="11" t="str">
        <f ca="1">IF(History!CT$2="","",History!CT17*$C$28)</f>
        <v/>
      </c>
      <c r="CQ28" s="11" t="str">
        <f ca="1">IF(History!CU$2="","",History!CU17*$C$28)</f>
        <v/>
      </c>
      <c r="CR28" s="11" t="str">
        <f ca="1">IF(History!CV$2="","",History!CV17*$C$28)</f>
        <v/>
      </c>
      <c r="CS28" s="11" t="str">
        <f ca="1">IF(History!CW$2="","",History!CW17*$C$28)</f>
        <v/>
      </c>
      <c r="CT28" s="11" t="str">
        <f ca="1">IF(History!CX$2="","",History!CX17*$C$28)</f>
        <v/>
      </c>
      <c r="CU28" s="11" t="str">
        <f ca="1">IF(History!CY$2="","",History!CY17*$C$28)</f>
        <v/>
      </c>
      <c r="CV28" s="11" t="str">
        <f ca="1">IF(History!CZ$2="","",History!CZ17*$C$28)</f>
        <v/>
      </c>
      <c r="CW28" s="11" t="str">
        <f ca="1">IF(History!DA$2="","",History!DA17*$C$28)</f>
        <v/>
      </c>
      <c r="CX28" s="11" t="str">
        <f ca="1">IF(History!DB$2="","",History!DB17*$C$28)</f>
        <v/>
      </c>
      <c r="CY28" s="11" t="str">
        <f ca="1">IF(History!DC$2="","",History!DC17*$C$28)</f>
        <v/>
      </c>
      <c r="CZ28" s="11" t="str">
        <f ca="1">IF(History!DD$2="","",History!DD17*$C$28)</f>
        <v/>
      </c>
      <c r="DA28" s="11" t="str">
        <f ca="1">IF(History!DE$2="","",History!DE17*$C$28)</f>
        <v/>
      </c>
      <c r="DB28" s="11" t="str">
        <f ca="1">IF(History!DF$2="","",History!DF17*$C$28)</f>
        <v/>
      </c>
      <c r="DC28" s="11" t="str">
        <f ca="1">IF(History!DG$2="","",History!DG17*$C$28)</f>
        <v/>
      </c>
      <c r="DD28" s="11" t="str">
        <f ca="1">IF(History!DH$2="","",History!DH17*$C$28)</f>
        <v/>
      </c>
      <c r="DE28" s="11" t="str">
        <f ca="1">IF(History!DI$2="","",History!DI17*$C$28)</f>
        <v/>
      </c>
      <c r="DF28" s="11" t="str">
        <f ca="1">IF(History!DJ$2="","",History!DJ17*$C$28)</f>
        <v/>
      </c>
      <c r="DG28" s="11" t="str">
        <f ca="1">IF(History!DK$2="","",History!DK17*$C$28)</f>
        <v/>
      </c>
      <c r="DH28" s="11" t="str">
        <f ca="1">IF(History!DL$2="","",History!DL17*$C$28)</f>
        <v/>
      </c>
      <c r="DI28" s="11" t="str">
        <f ca="1">IF(History!DM$2="","",History!DM17*$C$28)</f>
        <v/>
      </c>
      <c r="DJ28" s="11" t="str">
        <f ca="1">IF(History!DN$2="","",History!DN17*$C$28)</f>
        <v/>
      </c>
      <c r="DK28" s="11" t="str">
        <f ca="1">IF(History!DO$2="","",History!DO17*$C$28)</f>
        <v/>
      </c>
      <c r="DL28" s="11" t="str">
        <f ca="1">IF(History!DP$2="","",History!DP17*$C$28)</f>
        <v/>
      </c>
      <c r="DM28" s="11" t="str">
        <f ca="1">IF(History!DQ$2="","",History!DQ17*$C$28)</f>
        <v/>
      </c>
      <c r="DN28" s="11" t="str">
        <f ca="1">IF(History!DR$2="","",History!DR17*$C$28)</f>
        <v/>
      </c>
      <c r="DO28" s="11" t="str">
        <f ca="1">IF(History!DS$2="","",History!DS17*$C$28)</f>
        <v/>
      </c>
      <c r="DP28" s="11" t="str">
        <f ca="1">IF(History!DT$2="","",History!DT17*$C$28)</f>
        <v/>
      </c>
      <c r="DQ28" s="11" t="str">
        <f ca="1">IF(History!DU$2="","",History!DU17*$C$28)</f>
        <v/>
      </c>
      <c r="DR28" s="11" t="str">
        <f ca="1">IF(History!DV$2="","",History!DV17*$C$28)</f>
        <v/>
      </c>
      <c r="DS28" s="11" t="str">
        <f ca="1">IF(History!DW$2="","",History!DW17*$C$28)</f>
        <v/>
      </c>
      <c r="DT28" s="11" t="str">
        <f ca="1">IF(History!DX$2="","",History!DX17*$C$28)</f>
        <v/>
      </c>
      <c r="DU28" s="11" t="str">
        <f ca="1">IF(History!DY$2="","",History!DY17*$C$28)</f>
        <v/>
      </c>
      <c r="DV28" s="11" t="str">
        <f ca="1">IF(History!DZ$2="","",History!DZ17*$C$28)</f>
        <v/>
      </c>
      <c r="DW28" s="11" t="str">
        <f ca="1">IF(History!EA$2="","",History!EA17*$C$28)</f>
        <v/>
      </c>
      <c r="DX28" s="11" t="str">
        <f ca="1">IF(History!EB$2="","",History!EB17*$C$28)</f>
        <v/>
      </c>
      <c r="DY28" s="11" t="str">
        <f ca="1">IF(History!EC$2="","",History!EC17*$C$28)</f>
        <v/>
      </c>
      <c r="DZ28" s="11" t="str">
        <f ca="1">IF(History!ED$2="","",History!ED17*$C$28)</f>
        <v/>
      </c>
      <c r="EA28" s="11" t="str">
        <f ca="1">IF(History!EE$2="","",History!EE17*$C$28)</f>
        <v/>
      </c>
      <c r="EB28" s="11" t="str">
        <f ca="1">IF(History!EF$2="","",History!EF17*$C$28)</f>
        <v/>
      </c>
      <c r="EC28" s="11" t="str">
        <f ca="1">IF(History!EG$2="","",History!EG17*$C$28)</f>
        <v/>
      </c>
      <c r="ED28" s="11" t="str">
        <f ca="1">IF(History!EH$2="","",History!EH17*$C$28)</f>
        <v/>
      </c>
      <c r="EE28" s="11" t="str">
        <f ca="1">IF(History!EI$2="","",History!EI17*$C$28)</f>
        <v/>
      </c>
      <c r="EF28" s="11" t="str">
        <f ca="1">IF(History!EJ$2="","",History!EJ17*$C$28)</f>
        <v/>
      </c>
      <c r="EG28" s="11" t="str">
        <f ca="1">IF(History!EK$2="","",History!EK17*$C$28)</f>
        <v/>
      </c>
      <c r="EH28" s="11" t="str">
        <f ca="1">IF(History!EL$2="","",History!EL17*$C$28)</f>
        <v/>
      </c>
      <c r="EI28" s="11" t="str">
        <f ca="1">IF(History!EM$2="","",History!EM17*$C$28)</f>
        <v/>
      </c>
      <c r="EJ28" s="11" t="str">
        <f ca="1">IF(History!EN$2="","",History!EN17*$C$28)</f>
        <v/>
      </c>
      <c r="EK28" s="11" t="str">
        <f ca="1">IF(History!EO$2="","",History!EO17*$C$28)</f>
        <v/>
      </c>
      <c r="EL28" s="11" t="str">
        <f ca="1">IF(History!EP$2="","",History!EP17*$C$28)</f>
        <v/>
      </c>
      <c r="EM28" s="11" t="str">
        <f ca="1">IF(History!EQ$2="","",History!EQ17*$C$28)</f>
        <v/>
      </c>
      <c r="EN28" s="11" t="str">
        <f ca="1">IF(History!ER$2="","",History!ER17*$C$28)</f>
        <v/>
      </c>
      <c r="EO28" s="11" t="str">
        <f ca="1">IF(History!ES$2="","",History!ES17*$C$28)</f>
        <v/>
      </c>
      <c r="EP28" s="11" t="str">
        <f ca="1">IF(History!ET$2="","",History!ET17*$C$28)</f>
        <v/>
      </c>
      <c r="EQ28" s="11" t="str">
        <f ca="1">IF(History!EU$2="","",History!EU17*$C$28)</f>
        <v/>
      </c>
      <c r="ER28" s="11" t="str">
        <f ca="1">IF(History!EV$2="","",History!EV17*$C$28)</f>
        <v/>
      </c>
      <c r="ES28" s="11" t="str">
        <f ca="1">IF(History!EW$2="","",History!EW17*$C$28)</f>
        <v/>
      </c>
      <c r="ET28" s="11" t="str">
        <f ca="1">IF(History!EX$2="","",History!EX17*$C$28)</f>
        <v/>
      </c>
      <c r="EU28" s="11" t="str">
        <f ca="1">IF(History!EY$2="","",History!EY17*$C$28)</f>
        <v/>
      </c>
      <c r="EV28" s="11" t="str">
        <f ca="1">IF(History!EZ$2="","",History!EZ17*$C$28)</f>
        <v/>
      </c>
      <c r="EW28" s="11" t="str">
        <f ca="1">IF(History!FA$2="","",History!FA17*$C$28)</f>
        <v/>
      </c>
      <c r="EX28" s="11" t="str">
        <f ca="1">IF(History!FB$2="","",History!FB17*$C$28)</f>
        <v/>
      </c>
      <c r="EY28" s="11" t="str">
        <f ca="1">IF(History!FC$2="","",History!FC17*$C$28)</f>
        <v/>
      </c>
      <c r="EZ28" s="11" t="str">
        <f ca="1">IF(History!FD$2="","",History!FD17*$C$28)</f>
        <v/>
      </c>
      <c r="FA28" s="11" t="str">
        <f ca="1">IF(History!FE$2="","",History!FE17*$C$28)</f>
        <v/>
      </c>
      <c r="FB28" s="11" t="str">
        <f ca="1">IF(History!FF$2="","",History!FF17*$C$28)</f>
        <v/>
      </c>
      <c r="FC28" s="11" t="str">
        <f ca="1">IF(History!FG$2="","",History!FG17*$C$28)</f>
        <v/>
      </c>
      <c r="FD28" s="11" t="str">
        <f ca="1">IF(History!FH$2="","",History!FH17*$C$28)</f>
        <v/>
      </c>
      <c r="FE28" s="11" t="str">
        <f ca="1">IF(History!FI$2="","",History!FI17*$C$28)</f>
        <v/>
      </c>
      <c r="FF28" s="11" t="str">
        <f ca="1">IF(History!FJ$2="","",History!FJ17*$C$28)</f>
        <v/>
      </c>
      <c r="FG28" s="11" t="str">
        <f ca="1">IF(History!FK$2="","",History!FK17*$C$28)</f>
        <v/>
      </c>
      <c r="FH28" s="11" t="str">
        <f ca="1">IF(History!FL$2="","",History!FL17*$C$28)</f>
        <v/>
      </c>
      <c r="FI28" s="11" t="str">
        <f ca="1">IF(History!FM$2="","",History!FM17*$C$28)</f>
        <v/>
      </c>
      <c r="FJ28" s="11" t="str">
        <f ca="1">IF(History!FN$2="","",History!FN17*$C$28)</f>
        <v/>
      </c>
      <c r="FK28" s="11" t="str">
        <f ca="1">IF(History!FO$2="","",History!FO17*$C$28)</f>
        <v/>
      </c>
      <c r="FL28" s="11" t="str">
        <f ca="1">IF(History!FP$2="","",History!FP17*$C$28)</f>
        <v/>
      </c>
      <c r="FM28" s="11" t="str">
        <f ca="1">IF(History!FQ$2="","",History!FQ17*$C$28)</f>
        <v/>
      </c>
      <c r="FN28" s="11" t="str">
        <f ca="1">IF(History!FR$2="","",History!FR17*$C$28)</f>
        <v/>
      </c>
      <c r="FO28" s="11" t="str">
        <f ca="1">IF(History!FS$2="","",History!FS17*$C$28)</f>
        <v/>
      </c>
      <c r="FP28" s="11" t="str">
        <f ca="1">IF(History!FT$2="","",History!FT17*$C$28)</f>
        <v/>
      </c>
      <c r="FQ28" s="11" t="str">
        <f ca="1">IF(History!FU$2="","",History!FU17*$C$28)</f>
        <v/>
      </c>
      <c r="FR28" s="11" t="str">
        <f ca="1">IF(History!FV$2="","",History!FV17*$C$28)</f>
        <v/>
      </c>
      <c r="FS28" s="11" t="str">
        <f ca="1">IF(History!FW$2="","",History!FW17*$C$28)</f>
        <v/>
      </c>
      <c r="FT28" s="11" t="str">
        <f ca="1">IF(History!FX$2="","",History!FX17*$C$28)</f>
        <v/>
      </c>
      <c r="FU28" s="11" t="str">
        <f ca="1">IF(History!FY$2="","",History!FY17*$C$28)</f>
        <v/>
      </c>
      <c r="FV28" s="11" t="str">
        <f ca="1">IF(History!FZ$2="","",History!FZ17*$C$28)</f>
        <v/>
      </c>
      <c r="FW28" s="11" t="str">
        <f ca="1">IF(History!GA$2="","",History!GA17*$C$28)</f>
        <v/>
      </c>
      <c r="FX28" s="11" t="str">
        <f ca="1">IF(History!GB$2="","",History!GB17*$C$28)</f>
        <v/>
      </c>
      <c r="FY28" s="11" t="str">
        <f ca="1">IF(History!GC$2="","",History!GC17*$C$28)</f>
        <v/>
      </c>
      <c r="FZ28" s="11" t="str">
        <f ca="1">IF(History!GD$2="","",History!GD17*$C$28)</f>
        <v/>
      </c>
      <c r="GA28" s="11" t="str">
        <f ca="1">IF(History!GE$2="","",History!GE17*$C$28)</f>
        <v/>
      </c>
      <c r="GB28" s="11" t="str">
        <f ca="1">IF(History!GF$2="","",History!GF17*$C$28)</f>
        <v/>
      </c>
      <c r="GC28" s="11" t="str">
        <f ca="1">IF(History!GG$2="","",History!GG17*$C$28)</f>
        <v/>
      </c>
      <c r="GD28" s="11" t="str">
        <f ca="1">IF(History!GH$2="","",History!GH17*$C$28)</f>
        <v/>
      </c>
      <c r="GE28" s="11" t="str">
        <f ca="1">IF(History!GI$2="","",History!GI17*$C$28)</f>
        <v/>
      </c>
      <c r="GF28" s="11" t="str">
        <f ca="1">IF(History!GJ$2="","",History!GJ17*$C$28)</f>
        <v/>
      </c>
      <c r="GG28" s="11" t="str">
        <f ca="1">IF(History!GK$2="","",History!GK17*$C$28)</f>
        <v/>
      </c>
      <c r="GH28" s="11" t="str">
        <f ca="1">IF(History!GL$2="","",History!GL17*$C$28)</f>
        <v/>
      </c>
      <c r="GI28" s="11" t="str">
        <f ca="1">IF(History!GM$2="","",History!GM17*$C$28)</f>
        <v/>
      </c>
      <c r="GJ28" s="11" t="str">
        <f ca="1">IF(History!GN$2="","",History!GN17*$C$28)</f>
        <v/>
      </c>
      <c r="GK28" s="11" t="str">
        <f ca="1">IF(History!GO$2="","",History!GO17*$C$28)</f>
        <v/>
      </c>
      <c r="GL28" s="11" t="str">
        <f ca="1">IF(History!GP$2="","",History!GP17*$C$28)</f>
        <v/>
      </c>
      <c r="GM28" s="11" t="str">
        <f ca="1">IF(History!GQ$2="","",History!GQ17*$C$28)</f>
        <v/>
      </c>
      <c r="GN28" s="11" t="str">
        <f ca="1">IF(History!GR$2="","",History!GR17*$C$28)</f>
        <v/>
      </c>
      <c r="GO28" s="11" t="str">
        <f ca="1">IF(History!GS$2="","",History!GS17*$C$28)</f>
        <v/>
      </c>
      <c r="GP28" s="11" t="str">
        <f ca="1">IF(History!GT$2="","",History!GT17*$C$28)</f>
        <v/>
      </c>
      <c r="GQ28" s="11" t="str">
        <f ca="1">IF(History!GU$2="","",History!GU17*$C$28)</f>
        <v/>
      </c>
      <c r="GR28" s="11" t="str">
        <f ca="1">IF(History!GV$2="","",History!GV17*$C$28)</f>
        <v/>
      </c>
      <c r="GS28" s="11" t="str">
        <f ca="1">IF(History!GW$2="","",History!GW17*$C$28)</f>
        <v/>
      </c>
      <c r="GT28" s="11" t="str">
        <f ca="1">IF(History!GX$2="","",History!GX17*$C$28)</f>
        <v/>
      </c>
      <c r="GU28" s="11" t="str">
        <f ca="1">IF(History!GY$2="","",History!GY17*$C$28)</f>
        <v/>
      </c>
      <c r="GV28" s="11" t="str">
        <f ca="1">IF(History!GZ$2="","",History!GZ17*$C$28)</f>
        <v/>
      </c>
      <c r="GW28" s="11" t="str">
        <f ca="1">IF(History!HA$2="","",History!HA17*$C$28)</f>
        <v/>
      </c>
      <c r="GX28" s="11" t="str">
        <f ca="1">IF(History!HB$2="","",History!HB17*$C$28)</f>
        <v/>
      </c>
      <c r="GY28" s="11" t="str">
        <f ca="1">IF(History!HC$2="","",History!HC17*$C$28)</f>
        <v/>
      </c>
      <c r="GZ28" s="11" t="str">
        <f ca="1">IF(History!HD$2="","",History!HD17*$C$28)</f>
        <v/>
      </c>
      <c r="HA28" s="11" t="str">
        <f ca="1">IF(History!HE$2="","",History!HE17*$C$28)</f>
        <v/>
      </c>
      <c r="HB28" s="11" t="str">
        <f ca="1">IF(History!HF$2="","",History!HF17*$C$28)</f>
        <v/>
      </c>
      <c r="HC28" s="11" t="str">
        <f ca="1">IF(History!HG$2="","",History!HG17*$C$28)</f>
        <v/>
      </c>
      <c r="HD28" s="11" t="str">
        <f ca="1">IF(History!HH$2="","",History!HH17*$C$28)</f>
        <v/>
      </c>
      <c r="HE28" s="11" t="str">
        <f ca="1">IF(History!HI$2="","",History!HI17*$C$28)</f>
        <v/>
      </c>
      <c r="HF28" s="11" t="str">
        <f ca="1">IF(History!HJ$2="","",History!HJ17*$C$28)</f>
        <v/>
      </c>
      <c r="HG28" s="11" t="str">
        <f ca="1">IF(History!HK$2="","",History!HK17*$C$28)</f>
        <v/>
      </c>
      <c r="HH28" s="11" t="str">
        <f ca="1">IF(History!HL$2="","",History!HL17*$C$28)</f>
        <v/>
      </c>
      <c r="HI28" s="11" t="str">
        <f ca="1">IF(History!HM$2="","",History!HM17*$C$28)</f>
        <v/>
      </c>
      <c r="HJ28" s="11" t="str">
        <f ca="1">IF(History!HN$2="","",History!HN17*$C$28)</f>
        <v/>
      </c>
      <c r="HK28" s="11" t="str">
        <f ca="1">IF(History!HO$2="","",History!HO17*$C$28)</f>
        <v/>
      </c>
      <c r="HL28" s="11" t="str">
        <f ca="1">IF(History!HP$2="","",History!HP17*$C$28)</f>
        <v/>
      </c>
      <c r="HM28" s="11" t="str">
        <f ca="1">IF(History!HQ$2="","",History!HQ17*$C$28)</f>
        <v/>
      </c>
      <c r="HN28" s="11" t="str">
        <f ca="1">IF(History!HR$2="","",History!HR17*$C$28)</f>
        <v/>
      </c>
      <c r="HO28" s="11" t="str">
        <f ca="1">IF(History!HS$2="","",History!HS17*$C$28)</f>
        <v/>
      </c>
      <c r="HP28" s="11" t="str">
        <f ca="1">IF(History!HT$2="","",History!HT17*$C$28)</f>
        <v/>
      </c>
      <c r="HQ28" s="11" t="str">
        <f ca="1">IF(History!HU$2="","",History!HU17*$C$28)</f>
        <v/>
      </c>
      <c r="HR28" s="11" t="str">
        <f ca="1">IF(History!HV$2="","",History!HV17*$C$28)</f>
        <v/>
      </c>
      <c r="HS28" s="11" t="str">
        <f ca="1">IF(History!HW$2="","",History!HW17*$C$28)</f>
        <v/>
      </c>
      <c r="HT28" s="11" t="str">
        <f ca="1">IF(History!HX$2="","",History!HX17*$C$28)</f>
        <v/>
      </c>
      <c r="HU28" s="11" t="str">
        <f ca="1">IF(History!HY$2="","",History!HY17*$C$28)</f>
        <v/>
      </c>
      <c r="HV28" s="11" t="str">
        <f ca="1">IF(History!HZ$2="","",History!HZ17*$C$28)</f>
        <v/>
      </c>
      <c r="HW28" s="11" t="str">
        <f ca="1">IF(History!IA$2="","",History!IA17*$C$28)</f>
        <v/>
      </c>
      <c r="HX28" s="11" t="str">
        <f ca="1">IF(History!IB$2="","",History!IB17*$C$28)</f>
        <v/>
      </c>
      <c r="HY28" s="11" t="str">
        <f ca="1">IF(History!IC$2="","",History!IC17*$C$28)</f>
        <v/>
      </c>
      <c r="HZ28" s="11" t="str">
        <f ca="1">IF(History!ID$2="","",History!ID17*$C$28)</f>
        <v/>
      </c>
      <c r="IA28" s="11" t="str">
        <f ca="1">IF(History!IE$2="","",History!IE17*$C$28)</f>
        <v/>
      </c>
      <c r="IB28" s="11" t="str">
        <f ca="1">IF(History!IF$2="","",History!IF17*$C$28)</f>
        <v/>
      </c>
      <c r="IC28" s="11" t="str">
        <f ca="1">IF(History!IG$2="","",History!IG17*$C$28)</f>
        <v/>
      </c>
      <c r="ID28" s="11" t="str">
        <f ca="1">IF(History!IH$2="","",History!IH17*$C$28)</f>
        <v/>
      </c>
      <c r="IE28" s="11" t="str">
        <f ca="1">IF(History!II$2="","",History!II17*$C$28)</f>
        <v/>
      </c>
      <c r="IF28" s="11" t="str">
        <f ca="1">IF(History!IJ$2="","",History!IJ17*$C$28)</f>
        <v/>
      </c>
      <c r="IG28" s="11" t="str">
        <f ca="1">IF(History!IK$2="","",History!IK17*$C$28)</f>
        <v/>
      </c>
      <c r="IH28" s="11" t="str">
        <f ca="1">IF(History!IL$2="","",History!IL17*$C$28)</f>
        <v/>
      </c>
      <c r="II28" s="11" t="str">
        <f ca="1">IF(History!IM$2="","",History!IM17*$C$28)</f>
        <v/>
      </c>
      <c r="IJ28" s="11" t="str">
        <f ca="1">IF(History!IN$2="","",History!IN17*$C$28)</f>
        <v/>
      </c>
      <c r="IK28" s="11" t="str">
        <f ca="1">IF(History!IO$2="","",History!IO17*$C$28)</f>
        <v/>
      </c>
      <c r="IL28" s="11" t="str">
        <f ca="1">IF(History!IP$2="","",History!IP17*$C$28)</f>
        <v/>
      </c>
      <c r="IM28" s="11" t="str">
        <f ca="1">IF(History!IQ$2="","",History!IQ17*$C$28)</f>
        <v/>
      </c>
      <c r="IN28" s="11" t="str">
        <f ca="1">IF(History!IR$2="","",History!IR17*$C$28)</f>
        <v/>
      </c>
      <c r="IO28" s="11" t="str">
        <f ca="1">IF(History!IS$2="","",History!IS17*$C$28)</f>
        <v/>
      </c>
      <c r="IP28" s="11" t="str">
        <f ca="1">IF(History!IT$2="","",History!IT17*$C$28)</f>
        <v/>
      </c>
      <c r="IQ28" s="11" t="str">
        <f ca="1">IF(History!IU$2="","",History!IU17*$C$28)</f>
        <v/>
      </c>
      <c r="IR28" s="11" t="str">
        <f ca="1">IF(History!IV$2="","",History!IV17*$C$28)</f>
        <v/>
      </c>
      <c r="IS28" s="11" t="str">
        <f ca="1">IF(History!IW$2="","",History!IW17*$C$28)</f>
        <v/>
      </c>
      <c r="IT28" s="11" t="str">
        <f ca="1">IF(History!IX$2="","",History!IX17*$C$28)</f>
        <v/>
      </c>
      <c r="IU28" s="11" t="str">
        <f ca="1">IF(History!IY$2="","",History!IY17*$C$28)</f>
        <v/>
      </c>
      <c r="IV28" s="11" t="str">
        <f ca="1">IF(History!IZ$2="","",History!IZ17*$C$28)</f>
        <v/>
      </c>
      <c r="IW28" s="11" t="str">
        <f ca="1">IF(History!JA$2="","",History!JA17*$C$28)</f>
        <v/>
      </c>
      <c r="IX28" s="11" t="str">
        <f ca="1">IF(History!JB$2="","",History!JB17*$C$28)</f>
        <v/>
      </c>
      <c r="IY28" s="11" t="str">
        <f ca="1">IF(History!JC$2="","",History!JC17*$C$28)</f>
        <v/>
      </c>
      <c r="IZ28" s="11" t="str">
        <f ca="1">IF(History!JD$2="","",History!JD17*$C$28)</f>
        <v/>
      </c>
      <c r="JA28" s="11" t="str">
        <f ca="1">IF(History!JE$2="","",History!JE17*$C$28)</f>
        <v/>
      </c>
      <c r="JB28" s="11" t="str">
        <f ca="1">IF(History!JF$2="","",History!JF17*$C$28)</f>
        <v/>
      </c>
      <c r="JC28" s="11" t="str">
        <f ca="1">IF(History!JG$2="","",History!JG17*$C$28)</f>
        <v/>
      </c>
      <c r="JD28" s="11" t="str">
        <f ca="1">IF(History!JH$2="","",History!JH17*$C$28)</f>
        <v/>
      </c>
      <c r="JE28" s="11" t="str">
        <f ca="1">IF(History!JI$2="","",History!JI17*$C$28)</f>
        <v/>
      </c>
      <c r="JF28" s="11" t="str">
        <f ca="1">IF(History!JJ$2="","",History!JJ17*$C$28)</f>
        <v/>
      </c>
      <c r="JG28" s="11" t="str">
        <f ca="1">IF(History!JK$2="","",History!JK17*$C$28)</f>
        <v/>
      </c>
      <c r="JH28" s="11" t="str">
        <f ca="1">IF(History!JL$2="","",History!JL17*$C$28)</f>
        <v/>
      </c>
      <c r="JI28" s="11" t="str">
        <f ca="1">IF(History!JM$2="","",History!JM17*$C$28)</f>
        <v/>
      </c>
      <c r="JJ28" s="11" t="str">
        <f ca="1">IF(History!JN$2="","",History!JN17*$C$28)</f>
        <v/>
      </c>
      <c r="JK28" s="11" t="str">
        <f ca="1">IF(History!JO$2="","",History!JO17*$C$28)</f>
        <v/>
      </c>
      <c r="JL28" s="11" t="str">
        <f ca="1">IF(History!JP$2="","",History!JP17*$C$28)</f>
        <v/>
      </c>
      <c r="JM28" s="11" t="str">
        <f ca="1">IF(History!JQ$2="","",History!JQ17*$C$28)</f>
        <v/>
      </c>
      <c r="JN28" s="11" t="str">
        <f ca="1">IF(History!JR$2="","",History!JR17*$C$28)</f>
        <v/>
      </c>
      <c r="JO28" s="11" t="str">
        <f ca="1">IF(History!JS$2="","",History!JS17*$C$28)</f>
        <v/>
      </c>
      <c r="JP28" s="11" t="str">
        <f ca="1">IF(History!JT$2="","",History!JT17*$C$28)</f>
        <v/>
      </c>
      <c r="JQ28" s="11" t="str">
        <f ca="1">IF(History!JU$2="","",History!JU17*$C$28)</f>
        <v/>
      </c>
      <c r="JR28" s="11" t="str">
        <f ca="1">IF(History!JV$2="","",History!JV17*$C$28)</f>
        <v/>
      </c>
      <c r="JS28" s="11" t="str">
        <f ca="1">IF(History!JW$2="","",History!JW17*$C$28)</f>
        <v/>
      </c>
      <c r="JT28" s="11" t="str">
        <f ca="1">IF(History!JX$2="","",History!JX17*$C$28)</f>
        <v/>
      </c>
      <c r="JU28" s="11" t="str">
        <f ca="1">IF(History!JY$2="","",History!JY17*$C$28)</f>
        <v/>
      </c>
      <c r="JV28" s="11" t="str">
        <f ca="1">IF(History!JZ$2="","",History!JZ17*$C$28)</f>
        <v/>
      </c>
      <c r="JW28" s="11" t="str">
        <f ca="1">IF(History!KA$2="","",History!KA17*$C$28)</f>
        <v/>
      </c>
      <c r="JX28" s="11" t="str">
        <f ca="1">IF(History!KB$2="","",History!KB17*$C$28)</f>
        <v/>
      </c>
      <c r="JY28" s="11" t="str">
        <f ca="1">IF(History!KC$2="","",History!KC17*$C$28)</f>
        <v/>
      </c>
      <c r="JZ28" s="11" t="str">
        <f ca="1">IF(History!KD$2="","",History!KD17*$C$28)</f>
        <v/>
      </c>
      <c r="KA28" s="11" t="str">
        <f ca="1">IF(History!KE$2="","",History!KE17*$C$28)</f>
        <v/>
      </c>
      <c r="KB28" s="11" t="str">
        <f ca="1">IF(History!KF$2="","",History!KF17*$C$28)</f>
        <v/>
      </c>
    </row>
    <row r="29" spans="1:288" ht="15.75" customHeight="1">
      <c r="A29" s="22" t="s">
        <v>30</v>
      </c>
      <c r="B29" s="6" t="s">
        <v>62</v>
      </c>
      <c r="C29" s="26">
        <v>39</v>
      </c>
      <c r="D29" s="11">
        <f ca="1">IF(History!H$2="","",History!H18*$C$29)</f>
        <v>3653.91</v>
      </c>
      <c r="E29" s="11">
        <f ca="1">IF(History!I$2="","",History!I18*$C$29)</f>
        <v>3666</v>
      </c>
      <c r="F29" s="11">
        <f ca="1">IF(History!J$2="","",History!J18*$C$29)</f>
        <v>3641.4300000000003</v>
      </c>
      <c r="G29" s="11">
        <f ca="1">IF(History!K$2="","",History!K18*$C$29)</f>
        <v>3598.1400000000003</v>
      </c>
      <c r="H29" s="11">
        <f ca="1">IF(History!L$2="","",History!L18*$C$29)</f>
        <v>3509.6099999999997</v>
      </c>
      <c r="I29" s="11">
        <f ca="1">IF(History!M$2="","",History!M18*$C$29)</f>
        <v>3357.51</v>
      </c>
      <c r="J29" s="11">
        <f ca="1">IF(History!N$2="","",History!N18*$C$29)</f>
        <v>3371.9399999999996</v>
      </c>
      <c r="K29" s="11">
        <f ca="1">IF(History!O$2="","",History!O18*$C$29)</f>
        <v>3407.04</v>
      </c>
      <c r="L29" s="11">
        <f ca="1">IF(History!P$2="","",History!P18*$C$29)</f>
        <v>3363.3599999999997</v>
      </c>
      <c r="M29" s="11">
        <f ca="1">IF(History!Q$2="","",History!Q18*$C$29)</f>
        <v>3426.9300000000003</v>
      </c>
      <c r="N29" s="11">
        <f ca="1">IF(History!R$2="","",History!R18*$C$29)</f>
        <v>3364.92</v>
      </c>
      <c r="O29" s="11">
        <f ca="1">IF(History!S$2="","",History!S18*$C$29)</f>
        <v>3339.96</v>
      </c>
      <c r="P29" s="11">
        <f ca="1">IF(History!T$2="","",History!T18*$C$29)</f>
        <v>3330.6000000000004</v>
      </c>
      <c r="Q29" s="11">
        <f ca="1">IF(History!U$2="","",History!U18*$C$29)</f>
        <v>3457.74</v>
      </c>
      <c r="R29" s="11">
        <f ca="1">IF(History!V$2="","",History!V18*$C$29)</f>
        <v>3531.84</v>
      </c>
      <c r="S29" s="11">
        <f ca="1">IF(History!W$2="","",History!W18*$C$29)</f>
        <v>3524.04</v>
      </c>
      <c r="T29" s="11">
        <f ca="1">IF(History!X$2="","",History!X18*$C$29)</f>
        <v>3582.54</v>
      </c>
      <c r="U29" s="11">
        <f ca="1">IF(History!Y$2="","",History!Y18*$C$29)</f>
        <v>3510.3900000000003</v>
      </c>
      <c r="V29" s="11">
        <f ca="1">IF(History!Z$2="","",History!Z18*$C$29)</f>
        <v>3503.76</v>
      </c>
      <c r="W29" s="11">
        <f ca="1">IF(History!AA$2="","",History!AA18*$C$29)</f>
        <v>3480.3599999999997</v>
      </c>
      <c r="X29" s="11">
        <f ca="1">IF(History!AB$2="","",History!AB18*$C$29)</f>
        <v>3516.63</v>
      </c>
      <c r="Y29" s="11">
        <f ca="1">IF(History!AC$2="","",History!AC18*$C$29)</f>
        <v>3572.79</v>
      </c>
      <c r="Z29" s="11">
        <f ca="1">IF(History!AD$2="","",History!AD18*$C$29)</f>
        <v>3572.01</v>
      </c>
      <c r="AA29" s="11">
        <f ca="1">IF(History!AE$2="","",History!AE18*$C$29)</f>
        <v>3519.75</v>
      </c>
      <c r="AB29" s="11">
        <f ca="1">IF(History!AF$2="","",History!AF18*$C$29)</f>
        <v>3469.83</v>
      </c>
      <c r="AC29" s="11">
        <f ca="1">IF(History!AG$2="","",History!AG18*$C$29)</f>
        <v>3204.63</v>
      </c>
      <c r="AD29" s="11">
        <f ca="1">IF(History!AH$2="","",History!AH18*$C$29)</f>
        <v>3251.4300000000003</v>
      </c>
      <c r="AE29" s="11">
        <f ca="1">IF(History!AI$2="","",History!AI18*$C$29)</f>
        <v>3095.04</v>
      </c>
      <c r="AF29" s="11">
        <f ca="1">IF(History!AJ$2="","",History!AJ18*$C$29)</f>
        <v>3080.6099999999997</v>
      </c>
      <c r="AG29" s="11">
        <f ca="1">IF(History!AK$2="","",History!AK18*$C$29)</f>
        <v>3065.3999999999996</v>
      </c>
      <c r="AH29" s="11">
        <f ca="1">IF(History!AL$2="","",History!AL18*$C$29)</f>
        <v>3000.66</v>
      </c>
      <c r="AI29" s="11">
        <f ca="1">IF(History!AM$2="","",History!AM18*$C$29)</f>
        <v>3036.1499999999996</v>
      </c>
      <c r="AJ29" s="11">
        <f ca="1">IF(History!AN$2="","",History!AN18*$C$29)</f>
        <v>3130.1400000000003</v>
      </c>
      <c r="AK29" s="11">
        <f ca="1">IF(History!AO$2="","",History!AO18*$C$29)</f>
        <v>3088.8</v>
      </c>
      <c r="AL29" s="11">
        <f ca="1">IF(History!AP$2="","",History!AP18*$C$29)</f>
        <v>3070.08</v>
      </c>
      <c r="AM29" s="11">
        <f ca="1">IF(History!AQ$2="","",History!AQ18*$C$29)</f>
        <v>3149.25</v>
      </c>
      <c r="AN29" s="11">
        <f ca="1">IF(History!AR$2="","",History!AR18*$C$29)</f>
        <v>3109.4700000000003</v>
      </c>
      <c r="AO29" s="11">
        <f ca="1">IF(History!AS$2="","",History!AS18*$C$29)</f>
        <v>3094.6499999999996</v>
      </c>
      <c r="AP29" s="11">
        <f ca="1">IF(History!AT$2="","",History!AT18*$C$29)</f>
        <v>2918.76</v>
      </c>
      <c r="AQ29" s="11">
        <f ca="1">IF(History!AU$2="","",History!AU18*$C$29)</f>
        <v>2891.8500000000004</v>
      </c>
      <c r="AR29" s="11">
        <f ca="1">IF(History!AV$2="","",History!AV18*$C$29)</f>
        <v>3047.0699999999997</v>
      </c>
      <c r="AS29" s="11">
        <f ca="1">IF(History!AW$2="","",History!AW18*$C$29)</f>
        <v>2994.42</v>
      </c>
      <c r="AT29" s="11">
        <f ca="1">IF(History!AX$2="","",History!AX18*$C$29)</f>
        <v>2934.3599999999997</v>
      </c>
      <c r="AU29" s="11">
        <f ca="1">IF(History!AY$2="","",History!AY18*$C$29)</f>
        <v>2945.67</v>
      </c>
      <c r="AV29" s="11">
        <f ca="1">IF(History!AZ$2="","",History!AZ18*$C$29)</f>
        <v>3001.83</v>
      </c>
      <c r="AW29" s="11">
        <f ca="1">IF(History!BA$2="","",History!BA18*$C$29)</f>
        <v>3107.5200000000004</v>
      </c>
      <c r="AX29" s="11">
        <f ca="1">IF(History!BB$2="","",History!BB18*$C$29)</f>
        <v>3098.55</v>
      </c>
      <c r="AY29" s="11">
        <f ca="1">IF(History!BC$2="","",History!BC18*$C$29)</f>
        <v>3118.83</v>
      </c>
      <c r="AZ29" s="11">
        <f ca="1">IF(History!BD$2="","",History!BD18*$C$29)</f>
        <v>3199.17</v>
      </c>
      <c r="BA29" s="11">
        <f ca="1">IF(History!BE$2="","",History!BE18*$C$29)</f>
        <v>3242.0699999999997</v>
      </c>
      <c r="BB29" s="11">
        <f ca="1">IF(History!BF$2="","",History!BF18*$C$29)</f>
        <v>3050.9700000000003</v>
      </c>
      <c r="BC29" s="11">
        <f ca="1">IF(History!BG$2="","",History!BG18*$C$29)</f>
        <v>3080.2200000000003</v>
      </c>
      <c r="BD29" s="11">
        <f ca="1">IF(History!BH$2="","",History!BH18*$C$29)</f>
        <v>3088.0200000000004</v>
      </c>
      <c r="BE29" s="11">
        <f ca="1">IF(History!BI$2="","",History!BI18*$C$29)</f>
        <v>3106.3500000000004</v>
      </c>
      <c r="BF29" s="11">
        <f ca="1">IF(History!BJ$2="","",History!BJ18*$C$29)</f>
        <v>3221.79</v>
      </c>
      <c r="BG29" s="11">
        <f ca="1">IF(History!BK$2="","",History!BK18*$C$29)</f>
        <v>3182.01</v>
      </c>
      <c r="BH29" s="11">
        <f ca="1">IF(History!BL$2="","",History!BL18*$C$29)</f>
        <v>3157.05</v>
      </c>
      <c r="BI29" s="11">
        <f ca="1">IF(History!BM$2="","",History!BM18*$C$29)</f>
        <v>3228.0299999999997</v>
      </c>
      <c r="BJ29" s="11">
        <f ca="1">IF(History!BN$2="","",History!BN18*$C$29)</f>
        <v>3206.9700000000003</v>
      </c>
      <c r="BK29" s="11">
        <f ca="1">IF(History!BO$2="","",History!BO18*$C$29)</f>
        <v>3178.8900000000003</v>
      </c>
      <c r="BL29" s="11">
        <f ca="1">IF(History!BP$2="","",History!BP18*$C$29)</f>
        <v>3190.9799999999996</v>
      </c>
      <c r="BM29" s="11">
        <f ca="1">IF(History!BQ$2="","",History!BQ18*$C$29)</f>
        <v>3305.25</v>
      </c>
      <c r="BN29" s="11">
        <f ca="1">IF(History!BR$2="","",History!BR18*$C$29)</f>
        <v>3279.12</v>
      </c>
      <c r="BO29" s="11">
        <f ca="1">IF(History!BS$2="","",History!BS18*$C$29)</f>
        <v>3189.0299999999997</v>
      </c>
      <c r="BP29" s="11">
        <f ca="1">IF(History!BT$2="","",History!BT18*$C$29)</f>
        <v>3164.8500000000004</v>
      </c>
      <c r="BQ29" s="11">
        <f ca="1">IF(History!BU$2="","",History!BU18*$C$29)</f>
        <v>3168.3599999999997</v>
      </c>
      <c r="BR29" s="11">
        <f ca="1">IF(History!BV$2="","",History!BV18*$C$29)</f>
        <v>3136.7700000000004</v>
      </c>
      <c r="BS29" s="11">
        <f ca="1">IF(History!BW$2="","",History!BW18*$C$29)</f>
        <v>3061.5</v>
      </c>
      <c r="BT29" s="11">
        <f ca="1">IF(History!BX$2="","",History!BX18*$C$29)</f>
        <v>3082.95</v>
      </c>
      <c r="BU29" s="11">
        <f ca="1">IF(History!BY$2="","",History!BY18*$C$29)</f>
        <v>3170.3100000000004</v>
      </c>
      <c r="BV29" s="11">
        <f ca="1">IF(History!BZ$2="","",History!BZ18*$C$29)</f>
        <v>3111.8100000000004</v>
      </c>
      <c r="BW29" s="11">
        <f ca="1">IF(History!CA$2="","",History!CA18*$C$29)</f>
        <v>3009.24</v>
      </c>
      <c r="BX29" s="11">
        <f ca="1">IF(History!CB$2="","",History!CB18*$C$29)</f>
        <v>2830.2299999999996</v>
      </c>
      <c r="BY29" s="11">
        <f ca="1">IF(History!CC$2="","",History!CC18*$C$29)</f>
        <v>2625.87</v>
      </c>
      <c r="BZ29" s="11">
        <f ca="1">IF(History!CD$2="","",History!CD18*$C$29)</f>
        <v>2726.88</v>
      </c>
      <c r="CA29" s="11">
        <f ca="1">IF(History!CE$2="","",History!CE18*$C$29)</f>
        <v>2747.9399999999996</v>
      </c>
      <c r="CB29" s="11">
        <f ca="1">IF(History!CF$2="","",History!CF18*$C$29)</f>
        <v>2850.51</v>
      </c>
      <c r="CC29" s="11">
        <f ca="1">IF(History!CG$2="","",History!CG18*$C$29)</f>
        <v>2819.7</v>
      </c>
      <c r="CD29" s="11">
        <f ca="1">IF(History!CH$2="","",History!CH18*$C$29)</f>
        <v>2809.17</v>
      </c>
      <c r="CE29" s="11">
        <f ca="1">IF(History!CI$2="","",History!CI18*$C$29)</f>
        <v>2952.6899999999996</v>
      </c>
      <c r="CF29" s="11" t="str">
        <f ca="1">IF(History!CJ$2="","",History!CJ18*$C$29)</f>
        <v/>
      </c>
      <c r="CG29" s="11" t="str">
        <f ca="1">IF(History!CK$2="","",History!CK18*$C$29)</f>
        <v/>
      </c>
      <c r="CH29" s="11" t="str">
        <f ca="1">IF(History!CL$2="","",History!CL18*$C$29)</f>
        <v/>
      </c>
      <c r="CI29" s="11" t="str">
        <f ca="1">IF(History!CM$2="","",History!CM18*$C$29)</f>
        <v/>
      </c>
      <c r="CJ29" s="11" t="str">
        <f ca="1">IF(History!CN$2="","",History!CN18*$C$29)</f>
        <v/>
      </c>
      <c r="CK29" s="11" t="str">
        <f ca="1">IF(History!CO$2="","",History!CO18*$C$29)</f>
        <v/>
      </c>
      <c r="CL29" s="11" t="str">
        <f ca="1">IF(History!CP$2="","",History!CP18*$C$29)</f>
        <v/>
      </c>
      <c r="CM29" s="11" t="str">
        <f ca="1">IF(History!CQ$2="","",History!CQ18*$C$29)</f>
        <v/>
      </c>
      <c r="CN29" s="11" t="str">
        <f ca="1">IF(History!CR$2="","",History!CR18*$C$29)</f>
        <v/>
      </c>
      <c r="CO29" s="11" t="str">
        <f ca="1">IF(History!CS$2="","",History!CS18*$C$29)</f>
        <v/>
      </c>
      <c r="CP29" s="11" t="str">
        <f ca="1">IF(History!CT$2="","",History!CT18*$C$29)</f>
        <v/>
      </c>
      <c r="CQ29" s="11" t="str">
        <f ca="1">IF(History!CU$2="","",History!CU18*$C$29)</f>
        <v/>
      </c>
      <c r="CR29" s="11" t="str">
        <f ca="1">IF(History!CV$2="","",History!CV18*$C$29)</f>
        <v/>
      </c>
      <c r="CS29" s="11" t="str">
        <f ca="1">IF(History!CW$2="","",History!CW18*$C$29)</f>
        <v/>
      </c>
      <c r="CT29" s="11" t="str">
        <f ca="1">IF(History!CX$2="","",History!CX18*$C$29)</f>
        <v/>
      </c>
      <c r="CU29" s="11" t="str">
        <f ca="1">IF(History!CY$2="","",History!CY18*$C$29)</f>
        <v/>
      </c>
      <c r="CV29" s="11" t="str">
        <f ca="1">IF(History!CZ$2="","",History!CZ18*$C$29)</f>
        <v/>
      </c>
      <c r="CW29" s="11" t="str">
        <f ca="1">IF(History!DA$2="","",History!DA18*$C$29)</f>
        <v/>
      </c>
      <c r="CX29" s="11" t="str">
        <f ca="1">IF(History!DB$2="","",History!DB18*$C$29)</f>
        <v/>
      </c>
      <c r="CY29" s="11" t="str">
        <f ca="1">IF(History!DC$2="","",History!DC18*$C$29)</f>
        <v/>
      </c>
      <c r="CZ29" s="11" t="str">
        <f ca="1">IF(History!DD$2="","",History!DD18*$C$29)</f>
        <v/>
      </c>
      <c r="DA29" s="11" t="str">
        <f ca="1">IF(History!DE$2="","",History!DE18*$C$29)</f>
        <v/>
      </c>
      <c r="DB29" s="11" t="str">
        <f ca="1">IF(History!DF$2="","",History!DF18*$C$29)</f>
        <v/>
      </c>
      <c r="DC29" s="11" t="str">
        <f ca="1">IF(History!DG$2="","",History!DG18*$C$29)</f>
        <v/>
      </c>
      <c r="DD29" s="11" t="str">
        <f ca="1">IF(History!DH$2="","",History!DH18*$C$29)</f>
        <v/>
      </c>
      <c r="DE29" s="11" t="str">
        <f ca="1">IF(History!DI$2="","",History!DI18*$C$29)</f>
        <v/>
      </c>
      <c r="DF29" s="11" t="str">
        <f ca="1">IF(History!DJ$2="","",History!DJ18*$C$29)</f>
        <v/>
      </c>
      <c r="DG29" s="11" t="str">
        <f ca="1">IF(History!DK$2="","",History!DK18*$C$29)</f>
        <v/>
      </c>
      <c r="DH29" s="11" t="str">
        <f ca="1">IF(History!DL$2="","",History!DL18*$C$29)</f>
        <v/>
      </c>
      <c r="DI29" s="11" t="str">
        <f ca="1">IF(History!DM$2="","",History!DM18*$C$29)</f>
        <v/>
      </c>
      <c r="DJ29" s="11" t="str">
        <f ca="1">IF(History!DN$2="","",History!DN18*$C$29)</f>
        <v/>
      </c>
      <c r="DK29" s="11" t="str">
        <f ca="1">IF(History!DO$2="","",History!DO18*$C$29)</f>
        <v/>
      </c>
      <c r="DL29" s="11" t="str">
        <f ca="1">IF(History!DP$2="","",History!DP18*$C$29)</f>
        <v/>
      </c>
      <c r="DM29" s="11" t="str">
        <f ca="1">IF(History!DQ$2="","",History!DQ18*$C$29)</f>
        <v/>
      </c>
      <c r="DN29" s="11" t="str">
        <f ca="1">IF(History!DR$2="","",History!DR18*$C$29)</f>
        <v/>
      </c>
      <c r="DO29" s="11" t="str">
        <f ca="1">IF(History!DS$2="","",History!DS18*$C$29)</f>
        <v/>
      </c>
      <c r="DP29" s="11" t="str">
        <f ca="1">IF(History!DT$2="","",History!DT18*$C$29)</f>
        <v/>
      </c>
      <c r="DQ29" s="11" t="str">
        <f ca="1">IF(History!DU$2="","",History!DU18*$C$29)</f>
        <v/>
      </c>
      <c r="DR29" s="11" t="str">
        <f ca="1">IF(History!DV$2="","",History!DV18*$C$29)</f>
        <v/>
      </c>
      <c r="DS29" s="11" t="str">
        <f ca="1">IF(History!DW$2="","",History!DW18*$C$29)</f>
        <v/>
      </c>
      <c r="DT29" s="11" t="str">
        <f ca="1">IF(History!DX$2="","",History!DX18*$C$29)</f>
        <v/>
      </c>
      <c r="DU29" s="11" t="str">
        <f ca="1">IF(History!DY$2="","",History!DY18*$C$29)</f>
        <v/>
      </c>
      <c r="DV29" s="11" t="str">
        <f ca="1">IF(History!DZ$2="","",History!DZ18*$C$29)</f>
        <v/>
      </c>
      <c r="DW29" s="11" t="str">
        <f ca="1">IF(History!EA$2="","",History!EA18*$C$29)</f>
        <v/>
      </c>
      <c r="DX29" s="11" t="str">
        <f ca="1">IF(History!EB$2="","",History!EB18*$C$29)</f>
        <v/>
      </c>
      <c r="DY29" s="11" t="str">
        <f ca="1">IF(History!EC$2="","",History!EC18*$C$29)</f>
        <v/>
      </c>
      <c r="DZ29" s="11" t="str">
        <f ca="1">IF(History!ED$2="","",History!ED18*$C$29)</f>
        <v/>
      </c>
      <c r="EA29" s="11" t="str">
        <f ca="1">IF(History!EE$2="","",History!EE18*$C$29)</f>
        <v/>
      </c>
      <c r="EB29" s="11" t="str">
        <f ca="1">IF(History!EF$2="","",History!EF18*$C$29)</f>
        <v/>
      </c>
      <c r="EC29" s="11" t="str">
        <f ca="1">IF(History!EG$2="","",History!EG18*$C$29)</f>
        <v/>
      </c>
      <c r="ED29" s="11" t="str">
        <f ca="1">IF(History!EH$2="","",History!EH18*$C$29)</f>
        <v/>
      </c>
      <c r="EE29" s="11" t="str">
        <f ca="1">IF(History!EI$2="","",History!EI18*$C$29)</f>
        <v/>
      </c>
      <c r="EF29" s="11" t="str">
        <f ca="1">IF(History!EJ$2="","",History!EJ18*$C$29)</f>
        <v/>
      </c>
      <c r="EG29" s="11" t="str">
        <f ca="1">IF(History!EK$2="","",History!EK18*$C$29)</f>
        <v/>
      </c>
      <c r="EH29" s="11" t="str">
        <f ca="1">IF(History!EL$2="","",History!EL18*$C$29)</f>
        <v/>
      </c>
      <c r="EI29" s="11" t="str">
        <f ca="1">IF(History!EM$2="","",History!EM18*$C$29)</f>
        <v/>
      </c>
      <c r="EJ29" s="11" t="str">
        <f ca="1">IF(History!EN$2="","",History!EN18*$C$29)</f>
        <v/>
      </c>
      <c r="EK29" s="11" t="str">
        <f ca="1">IF(History!EO$2="","",History!EO18*$C$29)</f>
        <v/>
      </c>
      <c r="EL29" s="11" t="str">
        <f ca="1">IF(History!EP$2="","",History!EP18*$C$29)</f>
        <v/>
      </c>
      <c r="EM29" s="11" t="str">
        <f ca="1">IF(History!EQ$2="","",History!EQ18*$C$29)</f>
        <v/>
      </c>
      <c r="EN29" s="11" t="str">
        <f ca="1">IF(History!ER$2="","",History!ER18*$C$29)</f>
        <v/>
      </c>
      <c r="EO29" s="11" t="str">
        <f ca="1">IF(History!ES$2="","",History!ES18*$C$29)</f>
        <v/>
      </c>
      <c r="EP29" s="11" t="str">
        <f ca="1">IF(History!ET$2="","",History!ET18*$C$29)</f>
        <v/>
      </c>
      <c r="EQ29" s="11" t="str">
        <f ca="1">IF(History!EU$2="","",History!EU18*$C$29)</f>
        <v/>
      </c>
      <c r="ER29" s="11" t="str">
        <f ca="1">IF(History!EV$2="","",History!EV18*$C$29)</f>
        <v/>
      </c>
      <c r="ES29" s="11" t="str">
        <f ca="1">IF(History!EW$2="","",History!EW18*$C$29)</f>
        <v/>
      </c>
      <c r="ET29" s="11" t="str">
        <f ca="1">IF(History!EX$2="","",History!EX18*$C$29)</f>
        <v/>
      </c>
      <c r="EU29" s="11" t="str">
        <f ca="1">IF(History!EY$2="","",History!EY18*$C$29)</f>
        <v/>
      </c>
      <c r="EV29" s="11" t="str">
        <f ca="1">IF(History!EZ$2="","",History!EZ18*$C$29)</f>
        <v/>
      </c>
      <c r="EW29" s="11" t="str">
        <f ca="1">IF(History!FA$2="","",History!FA18*$C$29)</f>
        <v/>
      </c>
      <c r="EX29" s="11" t="str">
        <f ca="1">IF(History!FB$2="","",History!FB18*$C$29)</f>
        <v/>
      </c>
      <c r="EY29" s="11" t="str">
        <f ca="1">IF(History!FC$2="","",History!FC18*$C$29)</f>
        <v/>
      </c>
      <c r="EZ29" s="11" t="str">
        <f ca="1">IF(History!FD$2="","",History!FD18*$C$29)</f>
        <v/>
      </c>
      <c r="FA29" s="11" t="str">
        <f ca="1">IF(History!FE$2="","",History!FE18*$C$29)</f>
        <v/>
      </c>
      <c r="FB29" s="11" t="str">
        <f ca="1">IF(History!FF$2="","",History!FF18*$C$29)</f>
        <v/>
      </c>
      <c r="FC29" s="11" t="str">
        <f ca="1">IF(History!FG$2="","",History!FG18*$C$29)</f>
        <v/>
      </c>
      <c r="FD29" s="11" t="str">
        <f ca="1">IF(History!FH$2="","",History!FH18*$C$29)</f>
        <v/>
      </c>
      <c r="FE29" s="11" t="str">
        <f ca="1">IF(History!FI$2="","",History!FI18*$C$29)</f>
        <v/>
      </c>
      <c r="FF29" s="11" t="str">
        <f ca="1">IF(History!FJ$2="","",History!FJ18*$C$29)</f>
        <v/>
      </c>
      <c r="FG29" s="11" t="str">
        <f ca="1">IF(History!FK$2="","",History!FK18*$C$29)</f>
        <v/>
      </c>
      <c r="FH29" s="11" t="str">
        <f ca="1">IF(History!FL$2="","",History!FL18*$C$29)</f>
        <v/>
      </c>
      <c r="FI29" s="11" t="str">
        <f ca="1">IF(History!FM$2="","",History!FM18*$C$29)</f>
        <v/>
      </c>
      <c r="FJ29" s="11" t="str">
        <f ca="1">IF(History!FN$2="","",History!FN18*$C$29)</f>
        <v/>
      </c>
      <c r="FK29" s="11" t="str">
        <f ca="1">IF(History!FO$2="","",History!FO18*$C$29)</f>
        <v/>
      </c>
      <c r="FL29" s="11" t="str">
        <f ca="1">IF(History!FP$2="","",History!FP18*$C$29)</f>
        <v/>
      </c>
      <c r="FM29" s="11" t="str">
        <f ca="1">IF(History!FQ$2="","",History!FQ18*$C$29)</f>
        <v/>
      </c>
      <c r="FN29" s="11" t="str">
        <f ca="1">IF(History!FR$2="","",History!FR18*$C$29)</f>
        <v/>
      </c>
      <c r="FO29" s="11" t="str">
        <f ca="1">IF(History!FS$2="","",History!FS18*$C$29)</f>
        <v/>
      </c>
      <c r="FP29" s="11" t="str">
        <f ca="1">IF(History!FT$2="","",History!FT18*$C$29)</f>
        <v/>
      </c>
      <c r="FQ29" s="11" t="str">
        <f ca="1">IF(History!FU$2="","",History!FU18*$C$29)</f>
        <v/>
      </c>
      <c r="FR29" s="11" t="str">
        <f ca="1">IF(History!FV$2="","",History!FV18*$C$29)</f>
        <v/>
      </c>
      <c r="FS29" s="11" t="str">
        <f ca="1">IF(History!FW$2="","",History!FW18*$C$29)</f>
        <v/>
      </c>
      <c r="FT29" s="11" t="str">
        <f ca="1">IF(History!FX$2="","",History!FX18*$C$29)</f>
        <v/>
      </c>
      <c r="FU29" s="11" t="str">
        <f ca="1">IF(History!FY$2="","",History!FY18*$C$29)</f>
        <v/>
      </c>
      <c r="FV29" s="11" t="str">
        <f ca="1">IF(History!FZ$2="","",History!FZ18*$C$29)</f>
        <v/>
      </c>
      <c r="FW29" s="11" t="str">
        <f ca="1">IF(History!GA$2="","",History!GA18*$C$29)</f>
        <v/>
      </c>
      <c r="FX29" s="11" t="str">
        <f ca="1">IF(History!GB$2="","",History!GB18*$C$29)</f>
        <v/>
      </c>
      <c r="FY29" s="11" t="str">
        <f ca="1">IF(History!GC$2="","",History!GC18*$C$29)</f>
        <v/>
      </c>
      <c r="FZ29" s="11" t="str">
        <f ca="1">IF(History!GD$2="","",History!GD18*$C$29)</f>
        <v/>
      </c>
      <c r="GA29" s="11" t="str">
        <f ca="1">IF(History!GE$2="","",History!GE18*$C$29)</f>
        <v/>
      </c>
      <c r="GB29" s="11" t="str">
        <f ca="1">IF(History!GF$2="","",History!GF18*$C$29)</f>
        <v/>
      </c>
      <c r="GC29" s="11" t="str">
        <f ca="1">IF(History!GG$2="","",History!GG18*$C$29)</f>
        <v/>
      </c>
      <c r="GD29" s="11" t="str">
        <f ca="1">IF(History!GH$2="","",History!GH18*$C$29)</f>
        <v/>
      </c>
      <c r="GE29" s="11" t="str">
        <f ca="1">IF(History!GI$2="","",History!GI18*$C$29)</f>
        <v/>
      </c>
      <c r="GF29" s="11" t="str">
        <f ca="1">IF(History!GJ$2="","",History!GJ18*$C$29)</f>
        <v/>
      </c>
      <c r="GG29" s="11" t="str">
        <f ca="1">IF(History!GK$2="","",History!GK18*$C$29)</f>
        <v/>
      </c>
      <c r="GH29" s="11" t="str">
        <f ca="1">IF(History!GL$2="","",History!GL18*$C$29)</f>
        <v/>
      </c>
      <c r="GI29" s="11" t="str">
        <f ca="1">IF(History!GM$2="","",History!GM18*$C$29)</f>
        <v/>
      </c>
      <c r="GJ29" s="11" t="str">
        <f ca="1">IF(History!GN$2="","",History!GN18*$C$29)</f>
        <v/>
      </c>
      <c r="GK29" s="11" t="str">
        <f ca="1">IF(History!GO$2="","",History!GO18*$C$29)</f>
        <v/>
      </c>
      <c r="GL29" s="11" t="str">
        <f ca="1">IF(History!GP$2="","",History!GP18*$C$29)</f>
        <v/>
      </c>
      <c r="GM29" s="11" t="str">
        <f ca="1">IF(History!GQ$2="","",History!GQ18*$C$29)</f>
        <v/>
      </c>
      <c r="GN29" s="11" t="str">
        <f ca="1">IF(History!GR$2="","",History!GR18*$C$29)</f>
        <v/>
      </c>
      <c r="GO29" s="11" t="str">
        <f ca="1">IF(History!GS$2="","",History!GS18*$C$29)</f>
        <v/>
      </c>
      <c r="GP29" s="11" t="str">
        <f ca="1">IF(History!GT$2="","",History!GT18*$C$29)</f>
        <v/>
      </c>
      <c r="GQ29" s="11" t="str">
        <f ca="1">IF(History!GU$2="","",History!GU18*$C$29)</f>
        <v/>
      </c>
      <c r="GR29" s="11" t="str">
        <f ca="1">IF(History!GV$2="","",History!GV18*$C$29)</f>
        <v/>
      </c>
      <c r="GS29" s="11" t="str">
        <f ca="1">IF(History!GW$2="","",History!GW18*$C$29)</f>
        <v/>
      </c>
      <c r="GT29" s="11" t="str">
        <f ca="1">IF(History!GX$2="","",History!GX18*$C$29)</f>
        <v/>
      </c>
      <c r="GU29" s="11" t="str">
        <f ca="1">IF(History!GY$2="","",History!GY18*$C$29)</f>
        <v/>
      </c>
      <c r="GV29" s="11" t="str">
        <f ca="1">IF(History!GZ$2="","",History!GZ18*$C$29)</f>
        <v/>
      </c>
      <c r="GW29" s="11" t="str">
        <f ca="1">IF(History!HA$2="","",History!HA18*$C$29)</f>
        <v/>
      </c>
      <c r="GX29" s="11" t="str">
        <f ca="1">IF(History!HB$2="","",History!HB18*$C$29)</f>
        <v/>
      </c>
      <c r="GY29" s="11" t="str">
        <f ca="1">IF(History!HC$2="","",History!HC18*$C$29)</f>
        <v/>
      </c>
      <c r="GZ29" s="11" t="str">
        <f ca="1">IF(History!HD$2="","",History!HD18*$C$29)</f>
        <v/>
      </c>
      <c r="HA29" s="11" t="str">
        <f ca="1">IF(History!HE$2="","",History!HE18*$C$29)</f>
        <v/>
      </c>
      <c r="HB29" s="11" t="str">
        <f ca="1">IF(History!HF$2="","",History!HF18*$C$29)</f>
        <v/>
      </c>
      <c r="HC29" s="11" t="str">
        <f ca="1">IF(History!HG$2="","",History!HG18*$C$29)</f>
        <v/>
      </c>
      <c r="HD29" s="11" t="str">
        <f ca="1">IF(History!HH$2="","",History!HH18*$C$29)</f>
        <v/>
      </c>
      <c r="HE29" s="11" t="str">
        <f ca="1">IF(History!HI$2="","",History!HI18*$C$29)</f>
        <v/>
      </c>
      <c r="HF29" s="11" t="str">
        <f ca="1">IF(History!HJ$2="","",History!HJ18*$C$29)</f>
        <v/>
      </c>
      <c r="HG29" s="11" t="str">
        <f ca="1">IF(History!HK$2="","",History!HK18*$C$29)</f>
        <v/>
      </c>
      <c r="HH29" s="11" t="str">
        <f ca="1">IF(History!HL$2="","",History!HL18*$C$29)</f>
        <v/>
      </c>
      <c r="HI29" s="11" t="str">
        <f ca="1">IF(History!HM$2="","",History!HM18*$C$29)</f>
        <v/>
      </c>
      <c r="HJ29" s="11" t="str">
        <f ca="1">IF(History!HN$2="","",History!HN18*$C$29)</f>
        <v/>
      </c>
      <c r="HK29" s="11" t="str">
        <f ca="1">IF(History!HO$2="","",History!HO18*$C$29)</f>
        <v/>
      </c>
      <c r="HL29" s="11" t="str">
        <f ca="1">IF(History!HP$2="","",History!HP18*$C$29)</f>
        <v/>
      </c>
      <c r="HM29" s="11" t="str">
        <f ca="1">IF(History!HQ$2="","",History!HQ18*$C$29)</f>
        <v/>
      </c>
      <c r="HN29" s="11" t="str">
        <f ca="1">IF(History!HR$2="","",History!HR18*$C$29)</f>
        <v/>
      </c>
      <c r="HO29" s="11" t="str">
        <f ca="1">IF(History!HS$2="","",History!HS18*$C$29)</f>
        <v/>
      </c>
      <c r="HP29" s="11" t="str">
        <f ca="1">IF(History!HT$2="","",History!HT18*$C$29)</f>
        <v/>
      </c>
      <c r="HQ29" s="11" t="str">
        <f ca="1">IF(History!HU$2="","",History!HU18*$C$29)</f>
        <v/>
      </c>
      <c r="HR29" s="11" t="str">
        <f ca="1">IF(History!HV$2="","",History!HV18*$C$29)</f>
        <v/>
      </c>
      <c r="HS29" s="11" t="str">
        <f ca="1">IF(History!HW$2="","",History!HW18*$C$29)</f>
        <v/>
      </c>
      <c r="HT29" s="11" t="str">
        <f ca="1">IF(History!HX$2="","",History!HX18*$C$29)</f>
        <v/>
      </c>
      <c r="HU29" s="11" t="str">
        <f ca="1">IF(History!HY$2="","",History!HY18*$C$29)</f>
        <v/>
      </c>
      <c r="HV29" s="11" t="str">
        <f ca="1">IF(History!HZ$2="","",History!HZ18*$C$29)</f>
        <v/>
      </c>
      <c r="HW29" s="11" t="str">
        <f ca="1">IF(History!IA$2="","",History!IA18*$C$29)</f>
        <v/>
      </c>
      <c r="HX29" s="11" t="str">
        <f ca="1">IF(History!IB$2="","",History!IB18*$C$29)</f>
        <v/>
      </c>
      <c r="HY29" s="11" t="str">
        <f ca="1">IF(History!IC$2="","",History!IC18*$C$29)</f>
        <v/>
      </c>
      <c r="HZ29" s="11" t="str">
        <f ca="1">IF(History!ID$2="","",History!ID18*$C$29)</f>
        <v/>
      </c>
      <c r="IA29" s="11" t="str">
        <f ca="1">IF(History!IE$2="","",History!IE18*$C$29)</f>
        <v/>
      </c>
      <c r="IB29" s="11" t="str">
        <f ca="1">IF(History!IF$2="","",History!IF18*$C$29)</f>
        <v/>
      </c>
      <c r="IC29" s="11" t="str">
        <f ca="1">IF(History!IG$2="","",History!IG18*$C$29)</f>
        <v/>
      </c>
      <c r="ID29" s="11" t="str">
        <f ca="1">IF(History!IH$2="","",History!IH18*$C$29)</f>
        <v/>
      </c>
      <c r="IE29" s="11" t="str">
        <f ca="1">IF(History!II$2="","",History!II18*$C$29)</f>
        <v/>
      </c>
      <c r="IF29" s="11" t="str">
        <f ca="1">IF(History!IJ$2="","",History!IJ18*$C$29)</f>
        <v/>
      </c>
      <c r="IG29" s="11" t="str">
        <f ca="1">IF(History!IK$2="","",History!IK18*$C$29)</f>
        <v/>
      </c>
      <c r="IH29" s="11" t="str">
        <f ca="1">IF(History!IL$2="","",History!IL18*$C$29)</f>
        <v/>
      </c>
      <c r="II29" s="11" t="str">
        <f ca="1">IF(History!IM$2="","",History!IM18*$C$29)</f>
        <v/>
      </c>
      <c r="IJ29" s="11" t="str">
        <f ca="1">IF(History!IN$2="","",History!IN18*$C$29)</f>
        <v/>
      </c>
      <c r="IK29" s="11" t="str">
        <f ca="1">IF(History!IO$2="","",History!IO18*$C$29)</f>
        <v/>
      </c>
      <c r="IL29" s="11" t="str">
        <f ca="1">IF(History!IP$2="","",History!IP18*$C$29)</f>
        <v/>
      </c>
      <c r="IM29" s="11" t="str">
        <f ca="1">IF(History!IQ$2="","",History!IQ18*$C$29)</f>
        <v/>
      </c>
      <c r="IN29" s="11" t="str">
        <f ca="1">IF(History!IR$2="","",History!IR18*$C$29)</f>
        <v/>
      </c>
      <c r="IO29" s="11" t="str">
        <f ca="1">IF(History!IS$2="","",History!IS18*$C$29)</f>
        <v/>
      </c>
      <c r="IP29" s="11" t="str">
        <f ca="1">IF(History!IT$2="","",History!IT18*$C$29)</f>
        <v/>
      </c>
      <c r="IQ29" s="11" t="str">
        <f ca="1">IF(History!IU$2="","",History!IU18*$C$29)</f>
        <v/>
      </c>
      <c r="IR29" s="11" t="str">
        <f ca="1">IF(History!IV$2="","",History!IV18*$C$29)</f>
        <v/>
      </c>
      <c r="IS29" s="11" t="str">
        <f ca="1">IF(History!IW$2="","",History!IW18*$C$29)</f>
        <v/>
      </c>
      <c r="IT29" s="11" t="str">
        <f ca="1">IF(History!IX$2="","",History!IX18*$C$29)</f>
        <v/>
      </c>
      <c r="IU29" s="11" t="str">
        <f ca="1">IF(History!IY$2="","",History!IY18*$C$29)</f>
        <v/>
      </c>
      <c r="IV29" s="11" t="str">
        <f ca="1">IF(History!IZ$2="","",History!IZ18*$C$29)</f>
        <v/>
      </c>
      <c r="IW29" s="11" t="str">
        <f ca="1">IF(History!JA$2="","",History!JA18*$C$29)</f>
        <v/>
      </c>
      <c r="IX29" s="11" t="str">
        <f ca="1">IF(History!JB$2="","",History!JB18*$C$29)</f>
        <v/>
      </c>
      <c r="IY29" s="11" t="str">
        <f ca="1">IF(History!JC$2="","",History!JC18*$C$29)</f>
        <v/>
      </c>
      <c r="IZ29" s="11" t="str">
        <f ca="1">IF(History!JD$2="","",History!JD18*$C$29)</f>
        <v/>
      </c>
      <c r="JA29" s="11" t="str">
        <f ca="1">IF(History!JE$2="","",History!JE18*$C$29)</f>
        <v/>
      </c>
      <c r="JB29" s="11" t="str">
        <f ca="1">IF(History!JF$2="","",History!JF18*$C$29)</f>
        <v/>
      </c>
      <c r="JC29" s="11" t="str">
        <f ca="1">IF(History!JG$2="","",History!JG18*$C$29)</f>
        <v/>
      </c>
      <c r="JD29" s="11" t="str">
        <f ca="1">IF(History!JH$2="","",History!JH18*$C$29)</f>
        <v/>
      </c>
      <c r="JE29" s="11" t="str">
        <f ca="1">IF(History!JI$2="","",History!JI18*$C$29)</f>
        <v/>
      </c>
      <c r="JF29" s="11" t="str">
        <f ca="1">IF(History!JJ$2="","",History!JJ18*$C$29)</f>
        <v/>
      </c>
      <c r="JG29" s="11" t="str">
        <f ca="1">IF(History!JK$2="","",History!JK18*$C$29)</f>
        <v/>
      </c>
      <c r="JH29" s="11" t="str">
        <f ca="1">IF(History!JL$2="","",History!JL18*$C$29)</f>
        <v/>
      </c>
      <c r="JI29" s="11" t="str">
        <f ca="1">IF(History!JM$2="","",History!JM18*$C$29)</f>
        <v/>
      </c>
      <c r="JJ29" s="11" t="str">
        <f ca="1">IF(History!JN$2="","",History!JN18*$C$29)</f>
        <v/>
      </c>
      <c r="JK29" s="11" t="str">
        <f ca="1">IF(History!JO$2="","",History!JO18*$C$29)</f>
        <v/>
      </c>
      <c r="JL29" s="11" t="str">
        <f ca="1">IF(History!JP$2="","",History!JP18*$C$29)</f>
        <v/>
      </c>
      <c r="JM29" s="11" t="str">
        <f ca="1">IF(History!JQ$2="","",History!JQ18*$C$29)</f>
        <v/>
      </c>
      <c r="JN29" s="11" t="str">
        <f ca="1">IF(History!JR$2="","",History!JR18*$C$29)</f>
        <v/>
      </c>
      <c r="JO29" s="11" t="str">
        <f ca="1">IF(History!JS$2="","",History!JS18*$C$29)</f>
        <v/>
      </c>
      <c r="JP29" s="11" t="str">
        <f ca="1">IF(History!JT$2="","",History!JT18*$C$29)</f>
        <v/>
      </c>
      <c r="JQ29" s="11" t="str">
        <f ca="1">IF(History!JU$2="","",History!JU18*$C$29)</f>
        <v/>
      </c>
      <c r="JR29" s="11" t="str">
        <f ca="1">IF(History!JV$2="","",History!JV18*$C$29)</f>
        <v/>
      </c>
      <c r="JS29" s="11" t="str">
        <f ca="1">IF(History!JW$2="","",History!JW18*$C$29)</f>
        <v/>
      </c>
      <c r="JT29" s="11" t="str">
        <f ca="1">IF(History!JX$2="","",History!JX18*$C$29)</f>
        <v/>
      </c>
      <c r="JU29" s="11" t="str">
        <f ca="1">IF(History!JY$2="","",History!JY18*$C$29)</f>
        <v/>
      </c>
      <c r="JV29" s="11" t="str">
        <f ca="1">IF(History!JZ$2="","",History!JZ18*$C$29)</f>
        <v/>
      </c>
      <c r="JW29" s="11" t="str">
        <f ca="1">IF(History!KA$2="","",History!KA18*$C$29)</f>
        <v/>
      </c>
      <c r="JX29" s="11" t="str">
        <f ca="1">IF(History!KB$2="","",History!KB18*$C$29)</f>
        <v/>
      </c>
      <c r="JY29" s="11" t="str">
        <f ca="1">IF(History!KC$2="","",History!KC18*$C$29)</f>
        <v/>
      </c>
      <c r="JZ29" s="11" t="str">
        <f ca="1">IF(History!KD$2="","",History!KD18*$C$29)</f>
        <v/>
      </c>
      <c r="KA29" s="11" t="str">
        <f ca="1">IF(History!KE$2="","",History!KE18*$C$29)</f>
        <v/>
      </c>
      <c r="KB29" s="11" t="str">
        <f ca="1">IF(History!KF$2="","",History!KF18*$C$29)</f>
        <v/>
      </c>
    </row>
    <row r="30" spans="1:288" ht="15.75" customHeight="1">
      <c r="A30" s="22" t="s">
        <v>30</v>
      </c>
      <c r="B30" s="6" t="s">
        <v>63</v>
      </c>
      <c r="C30" s="26">
        <v>37</v>
      </c>
      <c r="D30" s="11">
        <f ca="1">IF(History!H$2="","",History!H19*$C$30)</f>
        <v>3660.7799999999997</v>
      </c>
      <c r="E30" s="11">
        <f ca="1">IF(History!I$2="","",History!I19*$C$30)</f>
        <v>3682.98</v>
      </c>
      <c r="F30" s="11">
        <f ca="1">IF(History!J$2="","",History!J19*$C$30)</f>
        <v>3717.39</v>
      </c>
      <c r="G30" s="11">
        <f ca="1">IF(History!K$2="","",History!K19*$C$30)</f>
        <v>3721.83</v>
      </c>
      <c r="H30" s="11">
        <f ca="1">IF(History!L$2="","",History!L19*$C$30)</f>
        <v>3683.35</v>
      </c>
      <c r="I30" s="11">
        <f ca="1">IF(History!M$2="","",History!M19*$C$30)</f>
        <v>3625.26</v>
      </c>
      <c r="J30" s="11">
        <f ca="1">IF(History!N$2="","",History!N19*$C$30)</f>
        <v>3587.52</v>
      </c>
      <c r="K30" s="11">
        <f ca="1">IF(History!O$2="","",History!O19*$C$30)</f>
        <v>3538.31</v>
      </c>
      <c r="L30" s="11">
        <f ca="1">IF(History!P$2="","",History!P19*$C$30)</f>
        <v>3471.3399999999997</v>
      </c>
      <c r="M30" s="11">
        <f ca="1">IF(History!Q$2="","",History!Q19*$C$30)</f>
        <v>3515</v>
      </c>
      <c r="N30" s="11">
        <f ca="1">IF(History!R$2="","",History!R19*$C$30)</f>
        <v>3435.45</v>
      </c>
      <c r="O30" s="11">
        <f ca="1">IF(History!S$2="","",History!S19*$C$30)</f>
        <v>3421.02</v>
      </c>
      <c r="P30" s="11">
        <f ca="1">IF(History!T$2="","",History!T19*$C$30)</f>
        <v>3335.18</v>
      </c>
      <c r="Q30" s="11">
        <f ca="1">IF(History!U$2="","",History!U19*$C$30)</f>
        <v>3352.2</v>
      </c>
      <c r="R30" s="11">
        <f ca="1">IF(History!V$2="","",History!V19*$C$30)</f>
        <v>3401.04</v>
      </c>
      <c r="S30" s="11">
        <f ca="1">IF(History!W$2="","",History!W19*$C$30)</f>
        <v>3433.23</v>
      </c>
      <c r="T30" s="11">
        <f ca="1">IF(History!X$2="","",History!X19*$C$30)</f>
        <v>3454.69</v>
      </c>
      <c r="U30" s="11">
        <f ca="1">IF(History!Y$2="","",History!Y19*$C$30)</f>
        <v>3423.24</v>
      </c>
      <c r="V30" s="11">
        <f ca="1">IF(History!Z$2="","",History!Z19*$C$30)</f>
        <v>3404</v>
      </c>
      <c r="W30" s="11">
        <f ca="1">IF(History!AA$2="","",History!AA19*$C$30)</f>
        <v>3433.23</v>
      </c>
      <c r="X30" s="11">
        <f ca="1">IF(History!AB$2="","",History!AB19*$C$30)</f>
        <v>3481.33</v>
      </c>
      <c r="Y30" s="11">
        <f ca="1">IF(History!AC$2="","",History!AC19*$C$30)</f>
        <v>3516.85</v>
      </c>
      <c r="Z30" s="11">
        <f ca="1">IF(History!AD$2="","",History!AD19*$C$30)</f>
        <v>3375.14</v>
      </c>
      <c r="AA30" s="11">
        <f ca="1">IF(History!AE$2="","",History!AE19*$C$30)</f>
        <v>3220.48</v>
      </c>
      <c r="AB30" s="11">
        <f ca="1">IF(History!AF$2="","",History!AF19*$C$30)</f>
        <v>3219</v>
      </c>
      <c r="AC30" s="11">
        <f ca="1">IF(History!AG$2="","",History!AG19*$C$30)</f>
        <v>3271.17</v>
      </c>
      <c r="AD30" s="11">
        <f ca="1">IF(History!AH$2="","",History!AH19*$C$30)</f>
        <v>3297.07</v>
      </c>
      <c r="AE30" s="11">
        <f ca="1">IF(History!AI$2="","",History!AI19*$C$30)</f>
        <v>3264.14</v>
      </c>
      <c r="AF30" s="11">
        <f ca="1">IF(History!AJ$2="","",History!AJ19*$C$30)</f>
        <v>3232.69</v>
      </c>
      <c r="AG30" s="11">
        <f ca="1">IF(History!AK$2="","",History!AK19*$C$30)</f>
        <v>3206.42</v>
      </c>
      <c r="AH30" s="11">
        <f ca="1">IF(History!AL$2="","",History!AL19*$C$30)</f>
        <v>3144.26</v>
      </c>
      <c r="AI30" s="11">
        <f ca="1">IF(History!AM$2="","",History!AM19*$C$30)</f>
        <v>3178.3</v>
      </c>
      <c r="AJ30" s="11">
        <f ca="1">IF(History!AN$2="","",History!AN19*$C$30)</f>
        <v>3275.24</v>
      </c>
      <c r="AK30" s="11">
        <f ca="1">IF(History!AO$2="","",History!AO19*$C$30)</f>
        <v>3251.19</v>
      </c>
      <c r="AL30" s="11">
        <f ca="1">IF(History!AP$2="","",History!AP19*$C$30)</f>
        <v>3107.26</v>
      </c>
      <c r="AM30" s="11">
        <f ca="1">IF(History!AQ$2="","",History!AQ19*$C$30)</f>
        <v>3169.05</v>
      </c>
      <c r="AN30" s="11">
        <f ca="1">IF(History!AR$2="","",History!AR19*$C$30)</f>
        <v>3149.07</v>
      </c>
      <c r="AO30" s="11">
        <f ca="1">IF(History!AS$2="","",History!AS19*$C$30)</f>
        <v>2955.93</v>
      </c>
      <c r="AP30" s="11">
        <f ca="1">IF(History!AT$2="","",History!AT19*$C$30)</f>
        <v>2809.04</v>
      </c>
      <c r="AQ30" s="11">
        <f ca="1">IF(History!AU$2="","",History!AU19*$C$30)</f>
        <v>2840.86</v>
      </c>
      <c r="AR30" s="11">
        <f ca="1">IF(History!AV$2="","",History!AV19*$C$30)</f>
        <v>2923.3700000000003</v>
      </c>
      <c r="AS30" s="11">
        <f ca="1">IF(History!AW$2="","",History!AW19*$C$30)</f>
        <v>2895.6200000000003</v>
      </c>
      <c r="AT30" s="11">
        <f ca="1">IF(History!AX$2="","",History!AX19*$C$30)</f>
        <v>2823.1</v>
      </c>
      <c r="AU30" s="11">
        <f ca="1">IF(History!AY$2="","",History!AY19*$C$30)</f>
        <v>2806.08</v>
      </c>
      <c r="AV30" s="11">
        <f ca="1">IF(History!AZ$2="","",History!AZ19*$C$30)</f>
        <v>2837.9</v>
      </c>
      <c r="AW30" s="11">
        <f ca="1">IF(History!BA$2="","",History!BA19*$C$30)</f>
        <v>2947.05</v>
      </c>
      <c r="AX30" s="11">
        <f ca="1">IF(History!BB$2="","",History!BB19*$C$30)</f>
        <v>2966.6600000000003</v>
      </c>
      <c r="AY30" s="11">
        <f ca="1">IF(History!BC$2="","",History!BC19*$C$30)</f>
        <v>3010.69</v>
      </c>
      <c r="AZ30" s="11">
        <f ca="1">IF(History!BD$2="","",History!BD19*$C$30)</f>
        <v>2984.79</v>
      </c>
      <c r="BA30" s="11">
        <f ca="1">IF(History!BE$2="","",History!BE19*$C$30)</f>
        <v>2977.39</v>
      </c>
      <c r="BB30" s="11">
        <f ca="1">IF(History!BF$2="","",History!BF19*$C$30)</f>
        <v>2904.5</v>
      </c>
      <c r="BC30" s="11">
        <f ca="1">IF(History!BG$2="","",History!BG19*$C$30)</f>
        <v>2893.4</v>
      </c>
      <c r="BD30" s="11">
        <f ca="1">IF(History!BH$2="","",History!BH19*$C$30)</f>
        <v>2877.49</v>
      </c>
      <c r="BE30" s="11">
        <f ca="1">IF(History!BI$2="","",History!BI19*$C$30)</f>
        <v>2837.5299999999997</v>
      </c>
      <c r="BF30" s="11">
        <f ca="1">IF(History!BJ$2="","",History!BJ19*$C$30)</f>
        <v>2949.64</v>
      </c>
      <c r="BG30" s="11">
        <f ca="1">IF(History!BK$2="","",History!BK19*$C$30)</f>
        <v>2863.8</v>
      </c>
      <c r="BH30" s="11">
        <f ca="1">IF(History!BL$2="","",History!BL19*$C$30)</f>
        <v>2782.77</v>
      </c>
      <c r="BI30" s="11">
        <f ca="1">IF(History!BM$2="","",History!BM19*$C$30)</f>
        <v>2813.85</v>
      </c>
      <c r="BJ30" s="11">
        <f ca="1">IF(History!BN$2="","",History!BN19*$C$30)</f>
        <v>2821.25</v>
      </c>
      <c r="BK30" s="11">
        <f ca="1">IF(History!BO$2="","",History!BO19*$C$30)</f>
        <v>2750.95</v>
      </c>
      <c r="BL30" s="11">
        <f ca="1">IF(History!BP$2="","",History!BP19*$C$30)</f>
        <v>2679.9100000000003</v>
      </c>
      <c r="BM30" s="11">
        <f ca="1">IF(History!BQ$2="","",History!BQ19*$C$30)</f>
        <v>2646.24</v>
      </c>
      <c r="BN30" s="11">
        <f ca="1">IF(History!BR$2="","",History!BR19*$C$30)</f>
        <v>2654.3799999999997</v>
      </c>
      <c r="BO30" s="11">
        <f ca="1">IF(History!BS$2="","",History!BS19*$C$30)</f>
        <v>2626.6299999999997</v>
      </c>
      <c r="BP30" s="11">
        <f ca="1">IF(History!BT$2="","",History!BT19*$C$30)</f>
        <v>2613.31</v>
      </c>
      <c r="BQ30" s="11">
        <f ca="1">IF(History!BU$2="","",History!BU19*$C$30)</f>
        <v>2672.51</v>
      </c>
      <c r="BR30" s="11">
        <f ca="1">IF(History!BV$2="","",History!BV19*$C$30)</f>
        <v>2672.51</v>
      </c>
      <c r="BS30" s="11">
        <f ca="1">IF(History!BW$2="","",History!BW19*$C$30)</f>
        <v>2644.39</v>
      </c>
      <c r="BT30" s="11">
        <f ca="1">IF(History!BX$2="","",History!BX19*$C$30)</f>
        <v>2728.01</v>
      </c>
      <c r="BU30" s="11">
        <f ca="1">IF(History!BY$2="","",History!BY19*$C$30)</f>
        <v>2772.7799999999997</v>
      </c>
      <c r="BV30" s="11">
        <f ca="1">IF(History!BZ$2="","",History!BZ19*$C$30)</f>
        <v>2749.4700000000003</v>
      </c>
      <c r="BW30" s="11">
        <f ca="1">IF(History!CA$2="","",History!CA19*$C$30)</f>
        <v>2686.57</v>
      </c>
      <c r="BX30" s="11">
        <f ca="1">IF(History!CB$2="","",History!CB19*$C$30)</f>
        <v>2704.7</v>
      </c>
      <c r="BY30" s="11">
        <f ca="1">IF(History!CC$2="","",History!CC19*$C$30)</f>
        <v>2595.1799999999998</v>
      </c>
      <c r="BZ30" s="11">
        <f ca="1">IF(History!CD$2="","",History!CD19*$C$30)</f>
        <v>2564.1</v>
      </c>
      <c r="CA30" s="11">
        <f ca="1">IF(History!CE$2="","",History!CE19*$C$30)</f>
        <v>2652.9</v>
      </c>
      <c r="CB30" s="11">
        <f ca="1">IF(History!CF$2="","",History!CF19*$C$30)</f>
        <v>2598.14</v>
      </c>
      <c r="CC30" s="11">
        <f ca="1">IF(History!CG$2="","",History!CG19*$C$30)</f>
        <v>2643.65</v>
      </c>
      <c r="CD30" s="11">
        <f ca="1">IF(History!CH$2="","",History!CH19*$C$30)</f>
        <v>2698.04</v>
      </c>
      <c r="CE30" s="11">
        <f ca="1">IF(History!CI$2="","",History!CI19*$C$30)</f>
        <v>2819.77</v>
      </c>
      <c r="CF30" s="11" t="str">
        <f ca="1">IF(History!CJ$2="","",History!CJ19*$C$30)</f>
        <v/>
      </c>
      <c r="CG30" s="11" t="str">
        <f ca="1">IF(History!CK$2="","",History!CK19*$C$30)</f>
        <v/>
      </c>
      <c r="CH30" s="11" t="str">
        <f ca="1">IF(History!CL$2="","",History!CL19*$C$30)</f>
        <v/>
      </c>
      <c r="CI30" s="11" t="str">
        <f ca="1">IF(History!CM$2="","",History!CM19*$C$30)</f>
        <v/>
      </c>
      <c r="CJ30" s="11" t="str">
        <f ca="1">IF(History!CN$2="","",History!CN19*$C$30)</f>
        <v/>
      </c>
      <c r="CK30" s="11" t="str">
        <f ca="1">IF(History!CO$2="","",History!CO19*$C$30)</f>
        <v/>
      </c>
      <c r="CL30" s="11" t="str">
        <f ca="1">IF(History!CP$2="","",History!CP19*$C$30)</f>
        <v/>
      </c>
      <c r="CM30" s="11" t="str">
        <f ca="1">IF(History!CQ$2="","",History!CQ19*$C$30)</f>
        <v/>
      </c>
      <c r="CN30" s="11" t="str">
        <f ca="1">IF(History!CR$2="","",History!CR19*$C$30)</f>
        <v/>
      </c>
      <c r="CO30" s="11" t="str">
        <f ca="1">IF(History!CS$2="","",History!CS19*$C$30)</f>
        <v/>
      </c>
      <c r="CP30" s="11" t="str">
        <f ca="1">IF(History!CT$2="","",History!CT19*$C$30)</f>
        <v/>
      </c>
      <c r="CQ30" s="11" t="str">
        <f ca="1">IF(History!CU$2="","",History!CU19*$C$30)</f>
        <v/>
      </c>
      <c r="CR30" s="11" t="str">
        <f ca="1">IF(History!CV$2="","",History!CV19*$C$30)</f>
        <v/>
      </c>
      <c r="CS30" s="11" t="str">
        <f ca="1">IF(History!CW$2="","",History!CW19*$C$30)</f>
        <v/>
      </c>
      <c r="CT30" s="11" t="str">
        <f ca="1">IF(History!CX$2="","",History!CX19*$C$30)</f>
        <v/>
      </c>
      <c r="CU30" s="11" t="str">
        <f ca="1">IF(History!CY$2="","",History!CY19*$C$30)</f>
        <v/>
      </c>
      <c r="CV30" s="11" t="str">
        <f ca="1">IF(History!CZ$2="","",History!CZ19*$C$30)</f>
        <v/>
      </c>
      <c r="CW30" s="11" t="str">
        <f ca="1">IF(History!DA$2="","",History!DA19*$C$30)</f>
        <v/>
      </c>
      <c r="CX30" s="11" t="str">
        <f ca="1">IF(History!DB$2="","",History!DB19*$C$30)</f>
        <v/>
      </c>
      <c r="CY30" s="11" t="str">
        <f ca="1">IF(History!DC$2="","",History!DC19*$C$30)</f>
        <v/>
      </c>
      <c r="CZ30" s="11" t="str">
        <f ca="1">IF(History!DD$2="","",History!DD19*$C$30)</f>
        <v/>
      </c>
      <c r="DA30" s="11" t="str">
        <f ca="1">IF(History!DE$2="","",History!DE19*$C$30)</f>
        <v/>
      </c>
      <c r="DB30" s="11" t="str">
        <f ca="1">IF(History!DF$2="","",History!DF19*$C$30)</f>
        <v/>
      </c>
      <c r="DC30" s="11" t="str">
        <f ca="1">IF(History!DG$2="","",History!DG19*$C$30)</f>
        <v/>
      </c>
      <c r="DD30" s="11" t="str">
        <f ca="1">IF(History!DH$2="","",History!DH19*$C$30)</f>
        <v/>
      </c>
      <c r="DE30" s="11" t="str">
        <f ca="1">IF(History!DI$2="","",History!DI19*$C$30)</f>
        <v/>
      </c>
      <c r="DF30" s="11" t="str">
        <f ca="1">IF(History!DJ$2="","",History!DJ19*$C$30)</f>
        <v/>
      </c>
      <c r="DG30" s="11" t="str">
        <f ca="1">IF(History!DK$2="","",History!DK19*$C$30)</f>
        <v/>
      </c>
      <c r="DH30" s="11" t="str">
        <f ca="1">IF(History!DL$2="","",History!DL19*$C$30)</f>
        <v/>
      </c>
      <c r="DI30" s="11" t="str">
        <f ca="1">IF(History!DM$2="","",History!DM19*$C$30)</f>
        <v/>
      </c>
      <c r="DJ30" s="11" t="str">
        <f ca="1">IF(History!DN$2="","",History!DN19*$C$30)</f>
        <v/>
      </c>
      <c r="DK30" s="11" t="str">
        <f ca="1">IF(History!DO$2="","",History!DO19*$C$30)</f>
        <v/>
      </c>
      <c r="DL30" s="11" t="str">
        <f ca="1">IF(History!DP$2="","",History!DP19*$C$30)</f>
        <v/>
      </c>
      <c r="DM30" s="11" t="str">
        <f ca="1">IF(History!DQ$2="","",History!DQ19*$C$30)</f>
        <v/>
      </c>
      <c r="DN30" s="11" t="str">
        <f ca="1">IF(History!DR$2="","",History!DR19*$C$30)</f>
        <v/>
      </c>
      <c r="DO30" s="11" t="str">
        <f ca="1">IF(History!DS$2="","",History!DS19*$C$30)</f>
        <v/>
      </c>
      <c r="DP30" s="11" t="str">
        <f ca="1">IF(History!DT$2="","",History!DT19*$C$30)</f>
        <v/>
      </c>
      <c r="DQ30" s="11" t="str">
        <f ca="1">IF(History!DU$2="","",History!DU19*$C$30)</f>
        <v/>
      </c>
      <c r="DR30" s="11" t="str">
        <f ca="1">IF(History!DV$2="","",History!DV19*$C$30)</f>
        <v/>
      </c>
      <c r="DS30" s="11" t="str">
        <f ca="1">IF(History!DW$2="","",History!DW19*$C$30)</f>
        <v/>
      </c>
      <c r="DT30" s="11" t="str">
        <f ca="1">IF(History!DX$2="","",History!DX19*$C$30)</f>
        <v/>
      </c>
      <c r="DU30" s="11" t="str">
        <f ca="1">IF(History!DY$2="","",History!DY19*$C$30)</f>
        <v/>
      </c>
      <c r="DV30" s="11" t="str">
        <f ca="1">IF(History!DZ$2="","",History!DZ19*$C$30)</f>
        <v/>
      </c>
      <c r="DW30" s="11" t="str">
        <f ca="1">IF(History!EA$2="","",History!EA19*$C$30)</f>
        <v/>
      </c>
      <c r="DX30" s="11" t="str">
        <f ca="1">IF(History!EB$2="","",History!EB19*$C$30)</f>
        <v/>
      </c>
      <c r="DY30" s="11" t="str">
        <f ca="1">IF(History!EC$2="","",History!EC19*$C$30)</f>
        <v/>
      </c>
      <c r="DZ30" s="11" t="str">
        <f ca="1">IF(History!ED$2="","",History!ED19*$C$30)</f>
        <v/>
      </c>
      <c r="EA30" s="11" t="str">
        <f ca="1">IF(History!EE$2="","",History!EE19*$C$30)</f>
        <v/>
      </c>
      <c r="EB30" s="11" t="str">
        <f ca="1">IF(History!EF$2="","",History!EF19*$C$30)</f>
        <v/>
      </c>
      <c r="EC30" s="11" t="str">
        <f ca="1">IF(History!EG$2="","",History!EG19*$C$30)</f>
        <v/>
      </c>
      <c r="ED30" s="11" t="str">
        <f ca="1">IF(History!EH$2="","",History!EH19*$C$30)</f>
        <v/>
      </c>
      <c r="EE30" s="11" t="str">
        <f ca="1">IF(History!EI$2="","",History!EI19*$C$30)</f>
        <v/>
      </c>
      <c r="EF30" s="11" t="str">
        <f ca="1">IF(History!EJ$2="","",History!EJ19*$C$30)</f>
        <v/>
      </c>
      <c r="EG30" s="11" t="str">
        <f ca="1">IF(History!EK$2="","",History!EK19*$C$30)</f>
        <v/>
      </c>
      <c r="EH30" s="11" t="str">
        <f ca="1">IF(History!EL$2="","",History!EL19*$C$30)</f>
        <v/>
      </c>
      <c r="EI30" s="11" t="str">
        <f ca="1">IF(History!EM$2="","",History!EM19*$C$30)</f>
        <v/>
      </c>
      <c r="EJ30" s="11" t="str">
        <f ca="1">IF(History!EN$2="","",History!EN19*$C$30)</f>
        <v/>
      </c>
      <c r="EK30" s="11" t="str">
        <f ca="1">IF(History!EO$2="","",History!EO19*$C$30)</f>
        <v/>
      </c>
      <c r="EL30" s="11" t="str">
        <f ca="1">IF(History!EP$2="","",History!EP19*$C$30)</f>
        <v/>
      </c>
      <c r="EM30" s="11" t="str">
        <f ca="1">IF(History!EQ$2="","",History!EQ19*$C$30)</f>
        <v/>
      </c>
      <c r="EN30" s="11" t="str">
        <f ca="1">IF(History!ER$2="","",History!ER19*$C$30)</f>
        <v/>
      </c>
      <c r="EO30" s="11" t="str">
        <f ca="1">IF(History!ES$2="","",History!ES19*$C$30)</f>
        <v/>
      </c>
      <c r="EP30" s="11" t="str">
        <f ca="1">IF(History!ET$2="","",History!ET19*$C$30)</f>
        <v/>
      </c>
      <c r="EQ30" s="11" t="str">
        <f ca="1">IF(History!EU$2="","",History!EU19*$C$30)</f>
        <v/>
      </c>
      <c r="ER30" s="11" t="str">
        <f ca="1">IF(History!EV$2="","",History!EV19*$C$30)</f>
        <v/>
      </c>
      <c r="ES30" s="11" t="str">
        <f ca="1">IF(History!EW$2="","",History!EW19*$C$30)</f>
        <v/>
      </c>
      <c r="ET30" s="11" t="str">
        <f ca="1">IF(History!EX$2="","",History!EX19*$C$30)</f>
        <v/>
      </c>
      <c r="EU30" s="11" t="str">
        <f ca="1">IF(History!EY$2="","",History!EY19*$C$30)</f>
        <v/>
      </c>
      <c r="EV30" s="11" t="str">
        <f ca="1">IF(History!EZ$2="","",History!EZ19*$C$30)</f>
        <v/>
      </c>
      <c r="EW30" s="11" t="str">
        <f ca="1">IF(History!FA$2="","",History!FA19*$C$30)</f>
        <v/>
      </c>
      <c r="EX30" s="11" t="str">
        <f ca="1">IF(History!FB$2="","",History!FB19*$C$30)</f>
        <v/>
      </c>
      <c r="EY30" s="11" t="str">
        <f ca="1">IF(History!FC$2="","",History!FC19*$C$30)</f>
        <v/>
      </c>
      <c r="EZ30" s="11" t="str">
        <f ca="1">IF(History!FD$2="","",History!FD19*$C$30)</f>
        <v/>
      </c>
      <c r="FA30" s="11" t="str">
        <f ca="1">IF(History!FE$2="","",History!FE19*$C$30)</f>
        <v/>
      </c>
      <c r="FB30" s="11" t="str">
        <f ca="1">IF(History!FF$2="","",History!FF19*$C$30)</f>
        <v/>
      </c>
      <c r="FC30" s="11" t="str">
        <f ca="1">IF(History!FG$2="","",History!FG19*$C$30)</f>
        <v/>
      </c>
      <c r="FD30" s="11" t="str">
        <f ca="1">IF(History!FH$2="","",History!FH19*$C$30)</f>
        <v/>
      </c>
      <c r="FE30" s="11" t="str">
        <f ca="1">IF(History!FI$2="","",History!FI19*$C$30)</f>
        <v/>
      </c>
      <c r="FF30" s="11" t="str">
        <f ca="1">IF(History!FJ$2="","",History!FJ19*$C$30)</f>
        <v/>
      </c>
      <c r="FG30" s="11" t="str">
        <f ca="1">IF(History!FK$2="","",History!FK19*$C$30)</f>
        <v/>
      </c>
      <c r="FH30" s="11" t="str">
        <f ca="1">IF(History!FL$2="","",History!FL19*$C$30)</f>
        <v/>
      </c>
      <c r="FI30" s="11" t="str">
        <f ca="1">IF(History!FM$2="","",History!FM19*$C$30)</f>
        <v/>
      </c>
      <c r="FJ30" s="11" t="str">
        <f ca="1">IF(History!FN$2="","",History!FN19*$C$30)</f>
        <v/>
      </c>
      <c r="FK30" s="11" t="str">
        <f ca="1">IF(History!FO$2="","",History!FO19*$C$30)</f>
        <v/>
      </c>
      <c r="FL30" s="11" t="str">
        <f ca="1">IF(History!FP$2="","",History!FP19*$C$30)</f>
        <v/>
      </c>
      <c r="FM30" s="11" t="str">
        <f ca="1">IF(History!FQ$2="","",History!FQ19*$C$30)</f>
        <v/>
      </c>
      <c r="FN30" s="11" t="str">
        <f ca="1">IF(History!FR$2="","",History!FR19*$C$30)</f>
        <v/>
      </c>
      <c r="FO30" s="11" t="str">
        <f ca="1">IF(History!FS$2="","",History!FS19*$C$30)</f>
        <v/>
      </c>
      <c r="FP30" s="11" t="str">
        <f ca="1">IF(History!FT$2="","",History!FT19*$C$30)</f>
        <v/>
      </c>
      <c r="FQ30" s="11" t="str">
        <f ca="1">IF(History!FU$2="","",History!FU19*$C$30)</f>
        <v/>
      </c>
      <c r="FR30" s="11" t="str">
        <f ca="1">IF(History!FV$2="","",History!FV19*$C$30)</f>
        <v/>
      </c>
      <c r="FS30" s="11" t="str">
        <f ca="1">IF(History!FW$2="","",History!FW19*$C$30)</f>
        <v/>
      </c>
      <c r="FT30" s="11" t="str">
        <f ca="1">IF(History!FX$2="","",History!FX19*$C$30)</f>
        <v/>
      </c>
      <c r="FU30" s="11" t="str">
        <f ca="1">IF(History!FY$2="","",History!FY19*$C$30)</f>
        <v/>
      </c>
      <c r="FV30" s="11" t="str">
        <f ca="1">IF(History!FZ$2="","",History!FZ19*$C$30)</f>
        <v/>
      </c>
      <c r="FW30" s="11" t="str">
        <f ca="1">IF(History!GA$2="","",History!GA19*$C$30)</f>
        <v/>
      </c>
      <c r="FX30" s="11" t="str">
        <f ca="1">IF(History!GB$2="","",History!GB19*$C$30)</f>
        <v/>
      </c>
      <c r="FY30" s="11" t="str">
        <f ca="1">IF(History!GC$2="","",History!GC19*$C$30)</f>
        <v/>
      </c>
      <c r="FZ30" s="11" t="str">
        <f ca="1">IF(History!GD$2="","",History!GD19*$C$30)</f>
        <v/>
      </c>
      <c r="GA30" s="11" t="str">
        <f ca="1">IF(History!GE$2="","",History!GE19*$C$30)</f>
        <v/>
      </c>
      <c r="GB30" s="11" t="str">
        <f ca="1">IF(History!GF$2="","",History!GF19*$C$30)</f>
        <v/>
      </c>
      <c r="GC30" s="11" t="str">
        <f ca="1">IF(History!GG$2="","",History!GG19*$C$30)</f>
        <v/>
      </c>
      <c r="GD30" s="11" t="str">
        <f ca="1">IF(History!GH$2="","",History!GH19*$C$30)</f>
        <v/>
      </c>
      <c r="GE30" s="11" t="str">
        <f ca="1">IF(History!GI$2="","",History!GI19*$C$30)</f>
        <v/>
      </c>
      <c r="GF30" s="11" t="str">
        <f ca="1">IF(History!GJ$2="","",History!GJ19*$C$30)</f>
        <v/>
      </c>
      <c r="GG30" s="11" t="str">
        <f ca="1">IF(History!GK$2="","",History!GK19*$C$30)</f>
        <v/>
      </c>
      <c r="GH30" s="11" t="str">
        <f ca="1">IF(History!GL$2="","",History!GL19*$C$30)</f>
        <v/>
      </c>
      <c r="GI30" s="11" t="str">
        <f ca="1">IF(History!GM$2="","",History!GM19*$C$30)</f>
        <v/>
      </c>
      <c r="GJ30" s="11" t="str">
        <f ca="1">IF(History!GN$2="","",History!GN19*$C$30)</f>
        <v/>
      </c>
      <c r="GK30" s="11" t="str">
        <f ca="1">IF(History!GO$2="","",History!GO19*$C$30)</f>
        <v/>
      </c>
      <c r="GL30" s="11" t="str">
        <f ca="1">IF(History!GP$2="","",History!GP19*$C$30)</f>
        <v/>
      </c>
      <c r="GM30" s="11" t="str">
        <f ca="1">IF(History!GQ$2="","",History!GQ19*$C$30)</f>
        <v/>
      </c>
      <c r="GN30" s="11" t="str">
        <f ca="1">IF(History!GR$2="","",History!GR19*$C$30)</f>
        <v/>
      </c>
      <c r="GO30" s="11" t="str">
        <f ca="1">IF(History!GS$2="","",History!GS19*$C$30)</f>
        <v/>
      </c>
      <c r="GP30" s="11" t="str">
        <f ca="1">IF(History!GT$2="","",History!GT19*$C$30)</f>
        <v/>
      </c>
      <c r="GQ30" s="11" t="str">
        <f ca="1">IF(History!GU$2="","",History!GU19*$C$30)</f>
        <v/>
      </c>
      <c r="GR30" s="11" t="str">
        <f ca="1">IF(History!GV$2="","",History!GV19*$C$30)</f>
        <v/>
      </c>
      <c r="GS30" s="11" t="str">
        <f ca="1">IF(History!GW$2="","",History!GW19*$C$30)</f>
        <v/>
      </c>
      <c r="GT30" s="11" t="str">
        <f ca="1">IF(History!GX$2="","",History!GX19*$C$30)</f>
        <v/>
      </c>
      <c r="GU30" s="11" t="str">
        <f ca="1">IF(History!GY$2="","",History!GY19*$C$30)</f>
        <v/>
      </c>
      <c r="GV30" s="11" t="str">
        <f ca="1">IF(History!GZ$2="","",History!GZ19*$C$30)</f>
        <v/>
      </c>
      <c r="GW30" s="11" t="str">
        <f ca="1">IF(History!HA$2="","",History!HA19*$C$30)</f>
        <v/>
      </c>
      <c r="GX30" s="11" t="str">
        <f ca="1">IF(History!HB$2="","",History!HB19*$C$30)</f>
        <v/>
      </c>
      <c r="GY30" s="11" t="str">
        <f ca="1">IF(History!HC$2="","",History!HC19*$C$30)</f>
        <v/>
      </c>
      <c r="GZ30" s="11" t="str">
        <f ca="1">IF(History!HD$2="","",History!HD19*$C$30)</f>
        <v/>
      </c>
      <c r="HA30" s="11" t="str">
        <f ca="1">IF(History!HE$2="","",History!HE19*$C$30)</f>
        <v/>
      </c>
      <c r="HB30" s="11" t="str">
        <f ca="1">IF(History!HF$2="","",History!HF19*$C$30)</f>
        <v/>
      </c>
      <c r="HC30" s="11" t="str">
        <f ca="1">IF(History!HG$2="","",History!HG19*$C$30)</f>
        <v/>
      </c>
      <c r="HD30" s="11" t="str">
        <f ca="1">IF(History!HH$2="","",History!HH19*$C$30)</f>
        <v/>
      </c>
      <c r="HE30" s="11" t="str">
        <f ca="1">IF(History!HI$2="","",History!HI19*$C$30)</f>
        <v/>
      </c>
      <c r="HF30" s="11" t="str">
        <f ca="1">IF(History!HJ$2="","",History!HJ19*$C$30)</f>
        <v/>
      </c>
      <c r="HG30" s="11" t="str">
        <f ca="1">IF(History!HK$2="","",History!HK19*$C$30)</f>
        <v/>
      </c>
      <c r="HH30" s="11" t="str">
        <f ca="1">IF(History!HL$2="","",History!HL19*$C$30)</f>
        <v/>
      </c>
      <c r="HI30" s="11" t="str">
        <f ca="1">IF(History!HM$2="","",History!HM19*$C$30)</f>
        <v/>
      </c>
      <c r="HJ30" s="11" t="str">
        <f ca="1">IF(History!HN$2="","",History!HN19*$C$30)</f>
        <v/>
      </c>
      <c r="HK30" s="11" t="str">
        <f ca="1">IF(History!HO$2="","",History!HO19*$C$30)</f>
        <v/>
      </c>
      <c r="HL30" s="11" t="str">
        <f ca="1">IF(History!HP$2="","",History!HP19*$C$30)</f>
        <v/>
      </c>
      <c r="HM30" s="11" t="str">
        <f ca="1">IF(History!HQ$2="","",History!HQ19*$C$30)</f>
        <v/>
      </c>
      <c r="HN30" s="11" t="str">
        <f ca="1">IF(History!HR$2="","",History!HR19*$C$30)</f>
        <v/>
      </c>
      <c r="HO30" s="11" t="str">
        <f ca="1">IF(History!HS$2="","",History!HS19*$C$30)</f>
        <v/>
      </c>
      <c r="HP30" s="11" t="str">
        <f ca="1">IF(History!HT$2="","",History!HT19*$C$30)</f>
        <v/>
      </c>
      <c r="HQ30" s="11" t="str">
        <f ca="1">IF(History!HU$2="","",History!HU19*$C$30)</f>
        <v/>
      </c>
      <c r="HR30" s="11" t="str">
        <f ca="1">IF(History!HV$2="","",History!HV19*$C$30)</f>
        <v/>
      </c>
      <c r="HS30" s="11" t="str">
        <f ca="1">IF(History!HW$2="","",History!HW19*$C$30)</f>
        <v/>
      </c>
      <c r="HT30" s="11" t="str">
        <f ca="1">IF(History!HX$2="","",History!HX19*$C$30)</f>
        <v/>
      </c>
      <c r="HU30" s="11" t="str">
        <f ca="1">IF(History!HY$2="","",History!HY19*$C$30)</f>
        <v/>
      </c>
      <c r="HV30" s="11" t="str">
        <f ca="1">IF(History!HZ$2="","",History!HZ19*$C$30)</f>
        <v/>
      </c>
      <c r="HW30" s="11" t="str">
        <f ca="1">IF(History!IA$2="","",History!IA19*$C$30)</f>
        <v/>
      </c>
      <c r="HX30" s="11" t="str">
        <f ca="1">IF(History!IB$2="","",History!IB19*$C$30)</f>
        <v/>
      </c>
      <c r="HY30" s="11" t="str">
        <f ca="1">IF(History!IC$2="","",History!IC19*$C$30)</f>
        <v/>
      </c>
      <c r="HZ30" s="11" t="str">
        <f ca="1">IF(History!ID$2="","",History!ID19*$C$30)</f>
        <v/>
      </c>
      <c r="IA30" s="11" t="str">
        <f ca="1">IF(History!IE$2="","",History!IE19*$C$30)</f>
        <v/>
      </c>
      <c r="IB30" s="11" t="str">
        <f ca="1">IF(History!IF$2="","",History!IF19*$C$30)</f>
        <v/>
      </c>
      <c r="IC30" s="11" t="str">
        <f ca="1">IF(History!IG$2="","",History!IG19*$C$30)</f>
        <v/>
      </c>
      <c r="ID30" s="11" t="str">
        <f ca="1">IF(History!IH$2="","",History!IH19*$C$30)</f>
        <v/>
      </c>
      <c r="IE30" s="11" t="str">
        <f ca="1">IF(History!II$2="","",History!II19*$C$30)</f>
        <v/>
      </c>
      <c r="IF30" s="11" t="str">
        <f ca="1">IF(History!IJ$2="","",History!IJ19*$C$30)</f>
        <v/>
      </c>
      <c r="IG30" s="11" t="str">
        <f ca="1">IF(History!IK$2="","",History!IK19*$C$30)</f>
        <v/>
      </c>
      <c r="IH30" s="11" t="str">
        <f ca="1">IF(History!IL$2="","",History!IL19*$C$30)</f>
        <v/>
      </c>
      <c r="II30" s="11" t="str">
        <f ca="1">IF(History!IM$2="","",History!IM19*$C$30)</f>
        <v/>
      </c>
      <c r="IJ30" s="11" t="str">
        <f ca="1">IF(History!IN$2="","",History!IN19*$C$30)</f>
        <v/>
      </c>
      <c r="IK30" s="11" t="str">
        <f ca="1">IF(History!IO$2="","",History!IO19*$C$30)</f>
        <v/>
      </c>
      <c r="IL30" s="11" t="str">
        <f ca="1">IF(History!IP$2="","",History!IP19*$C$30)</f>
        <v/>
      </c>
      <c r="IM30" s="11" t="str">
        <f ca="1">IF(History!IQ$2="","",History!IQ19*$C$30)</f>
        <v/>
      </c>
      <c r="IN30" s="11" t="str">
        <f ca="1">IF(History!IR$2="","",History!IR19*$C$30)</f>
        <v/>
      </c>
      <c r="IO30" s="11" t="str">
        <f ca="1">IF(History!IS$2="","",History!IS19*$C$30)</f>
        <v/>
      </c>
      <c r="IP30" s="11" t="str">
        <f ca="1">IF(History!IT$2="","",History!IT19*$C$30)</f>
        <v/>
      </c>
      <c r="IQ30" s="11" t="str">
        <f ca="1">IF(History!IU$2="","",History!IU19*$C$30)</f>
        <v/>
      </c>
      <c r="IR30" s="11" t="str">
        <f ca="1">IF(History!IV$2="","",History!IV19*$C$30)</f>
        <v/>
      </c>
      <c r="IS30" s="11" t="str">
        <f ca="1">IF(History!IW$2="","",History!IW19*$C$30)</f>
        <v/>
      </c>
      <c r="IT30" s="11" t="str">
        <f ca="1">IF(History!IX$2="","",History!IX19*$C$30)</f>
        <v/>
      </c>
      <c r="IU30" s="11" t="str">
        <f ca="1">IF(History!IY$2="","",History!IY19*$C$30)</f>
        <v/>
      </c>
      <c r="IV30" s="11" t="str">
        <f ca="1">IF(History!IZ$2="","",History!IZ19*$C$30)</f>
        <v/>
      </c>
      <c r="IW30" s="11" t="str">
        <f ca="1">IF(History!JA$2="","",History!JA19*$C$30)</f>
        <v/>
      </c>
      <c r="IX30" s="11" t="str">
        <f ca="1">IF(History!JB$2="","",History!JB19*$C$30)</f>
        <v/>
      </c>
      <c r="IY30" s="11" t="str">
        <f ca="1">IF(History!JC$2="","",History!JC19*$C$30)</f>
        <v/>
      </c>
      <c r="IZ30" s="11" t="str">
        <f ca="1">IF(History!JD$2="","",History!JD19*$C$30)</f>
        <v/>
      </c>
      <c r="JA30" s="11" t="str">
        <f ca="1">IF(History!JE$2="","",History!JE19*$C$30)</f>
        <v/>
      </c>
      <c r="JB30" s="11" t="str">
        <f ca="1">IF(History!JF$2="","",History!JF19*$C$30)</f>
        <v/>
      </c>
      <c r="JC30" s="11" t="str">
        <f ca="1">IF(History!JG$2="","",History!JG19*$C$30)</f>
        <v/>
      </c>
      <c r="JD30" s="11" t="str">
        <f ca="1">IF(History!JH$2="","",History!JH19*$C$30)</f>
        <v/>
      </c>
      <c r="JE30" s="11" t="str">
        <f ca="1">IF(History!JI$2="","",History!JI19*$C$30)</f>
        <v/>
      </c>
      <c r="JF30" s="11" t="str">
        <f ca="1">IF(History!JJ$2="","",History!JJ19*$C$30)</f>
        <v/>
      </c>
      <c r="JG30" s="11" t="str">
        <f ca="1">IF(History!JK$2="","",History!JK19*$C$30)</f>
        <v/>
      </c>
      <c r="JH30" s="11" t="str">
        <f ca="1">IF(History!JL$2="","",History!JL19*$C$30)</f>
        <v/>
      </c>
      <c r="JI30" s="11" t="str">
        <f ca="1">IF(History!JM$2="","",History!JM19*$C$30)</f>
        <v/>
      </c>
      <c r="JJ30" s="11" t="str">
        <f ca="1">IF(History!JN$2="","",History!JN19*$C$30)</f>
        <v/>
      </c>
      <c r="JK30" s="11" t="str">
        <f ca="1">IF(History!JO$2="","",History!JO19*$C$30)</f>
        <v/>
      </c>
      <c r="JL30" s="11" t="str">
        <f ca="1">IF(History!JP$2="","",History!JP19*$C$30)</f>
        <v/>
      </c>
      <c r="JM30" s="11" t="str">
        <f ca="1">IF(History!JQ$2="","",History!JQ19*$C$30)</f>
        <v/>
      </c>
      <c r="JN30" s="11" t="str">
        <f ca="1">IF(History!JR$2="","",History!JR19*$C$30)</f>
        <v/>
      </c>
      <c r="JO30" s="11" t="str">
        <f ca="1">IF(History!JS$2="","",History!JS19*$C$30)</f>
        <v/>
      </c>
      <c r="JP30" s="11" t="str">
        <f ca="1">IF(History!JT$2="","",History!JT19*$C$30)</f>
        <v/>
      </c>
      <c r="JQ30" s="11" t="str">
        <f ca="1">IF(History!JU$2="","",History!JU19*$C$30)</f>
        <v/>
      </c>
      <c r="JR30" s="11" t="str">
        <f ca="1">IF(History!JV$2="","",History!JV19*$C$30)</f>
        <v/>
      </c>
      <c r="JS30" s="11" t="str">
        <f ca="1">IF(History!JW$2="","",History!JW19*$C$30)</f>
        <v/>
      </c>
      <c r="JT30" s="11" t="str">
        <f ca="1">IF(History!JX$2="","",History!JX19*$C$30)</f>
        <v/>
      </c>
      <c r="JU30" s="11" t="str">
        <f ca="1">IF(History!JY$2="","",History!JY19*$C$30)</f>
        <v/>
      </c>
      <c r="JV30" s="11" t="str">
        <f ca="1">IF(History!JZ$2="","",History!JZ19*$C$30)</f>
        <v/>
      </c>
      <c r="JW30" s="11" t="str">
        <f ca="1">IF(History!KA$2="","",History!KA19*$C$30)</f>
        <v/>
      </c>
      <c r="JX30" s="11" t="str">
        <f ca="1">IF(History!KB$2="","",History!KB19*$C$30)</f>
        <v/>
      </c>
      <c r="JY30" s="11" t="str">
        <f ca="1">IF(History!KC$2="","",History!KC19*$C$30)</f>
        <v/>
      </c>
      <c r="JZ30" s="11" t="str">
        <f ca="1">IF(History!KD$2="","",History!KD19*$C$30)</f>
        <v/>
      </c>
      <c r="KA30" s="11" t="str">
        <f ca="1">IF(History!KE$2="","",History!KE19*$C$30)</f>
        <v/>
      </c>
      <c r="KB30" s="11" t="str">
        <f ca="1">IF(History!KF$2="","",History!KF19*$C$30)</f>
        <v/>
      </c>
    </row>
    <row r="31" spans="1:288" ht="15.75" customHeight="1">
      <c r="A31" s="22" t="s">
        <v>30</v>
      </c>
      <c r="B31" s="6" t="s">
        <v>64</v>
      </c>
      <c r="C31" s="26">
        <v>30</v>
      </c>
      <c r="D31" s="11">
        <f ca="1">IF(History!H$2="","",History!H20*$C$31)</f>
        <v>3588.3</v>
      </c>
      <c r="E31" s="11">
        <f ca="1">IF(History!I$2="","",History!I20*$C$31)</f>
        <v>3599.4</v>
      </c>
      <c r="F31" s="11">
        <f ca="1">IF(History!J$2="","",History!J20*$C$31)</f>
        <v>3568.5</v>
      </c>
      <c r="G31" s="11">
        <f ca="1">IF(History!K$2="","",History!K20*$C$31)</f>
        <v>3686.3999999999996</v>
      </c>
      <c r="H31" s="11">
        <f ca="1">IF(History!L$2="","",History!L20*$C$31)</f>
        <v>3723.8999999999996</v>
      </c>
      <c r="I31" s="11">
        <f ca="1">IF(History!M$2="","",History!M20*$C$31)</f>
        <v>3735</v>
      </c>
      <c r="J31" s="11">
        <f ca="1">IF(History!N$2="","",History!N20*$C$31)</f>
        <v>3606</v>
      </c>
      <c r="K31" s="11">
        <f ca="1">IF(History!O$2="","",History!O20*$C$31)</f>
        <v>3529.5</v>
      </c>
      <c r="L31" s="11">
        <f ca="1">IF(History!P$2="","",History!P20*$C$31)</f>
        <v>3468.3</v>
      </c>
      <c r="M31" s="11">
        <f ca="1">IF(History!Q$2="","",History!Q20*$C$31)</f>
        <v>3502.8</v>
      </c>
      <c r="N31" s="11">
        <f ca="1">IF(History!R$2="","",History!R20*$C$31)</f>
        <v>3503.1</v>
      </c>
      <c r="O31" s="11">
        <f ca="1">IF(History!S$2="","",History!S20*$C$31)</f>
        <v>3480.3</v>
      </c>
      <c r="P31" s="11">
        <f ca="1">IF(History!T$2="","",History!T20*$C$31)</f>
        <v>3374.7</v>
      </c>
      <c r="Q31" s="11">
        <f ca="1">IF(History!U$2="","",History!U20*$C$31)</f>
        <v>3356.1000000000004</v>
      </c>
      <c r="R31" s="11">
        <f ca="1">IF(History!V$2="","",History!V20*$C$31)</f>
        <v>3414.3</v>
      </c>
      <c r="S31" s="11">
        <f ca="1">IF(History!W$2="","",History!W20*$C$31)</f>
        <v>3477.6</v>
      </c>
      <c r="T31" s="11">
        <f ca="1">IF(History!X$2="","",History!X20*$C$31)</f>
        <v>3411</v>
      </c>
      <c r="U31" s="11">
        <f ca="1">IF(History!Y$2="","",History!Y20*$C$31)</f>
        <v>3375.9</v>
      </c>
      <c r="V31" s="11">
        <f ca="1">IF(History!Z$2="","",History!Z20*$C$31)</f>
        <v>3424.5</v>
      </c>
      <c r="W31" s="11">
        <f ca="1">IF(History!AA$2="","",History!AA20*$C$31)</f>
        <v>3366.2999999999997</v>
      </c>
      <c r="X31" s="11">
        <f ca="1">IF(History!AB$2="","",History!AB20*$C$31)</f>
        <v>3421.5</v>
      </c>
      <c r="Y31" s="11">
        <f ca="1">IF(History!AC$2="","",History!AC20*$C$31)</f>
        <v>3466.5</v>
      </c>
      <c r="Z31" s="11">
        <f ca="1">IF(History!AD$2="","",History!AD20*$C$31)</f>
        <v>3474.9</v>
      </c>
      <c r="AA31" s="11">
        <f ca="1">IF(History!AE$2="","",History!AE20*$C$31)</f>
        <v>3458.7000000000003</v>
      </c>
      <c r="AB31" s="11">
        <f ca="1">IF(History!AF$2="","",History!AF20*$C$31)</f>
        <v>3411.6</v>
      </c>
      <c r="AC31" s="11">
        <f ca="1">IF(History!AG$2="","",History!AG20*$C$31)</f>
        <v>3462.6</v>
      </c>
      <c r="AD31" s="11">
        <f ca="1">IF(History!AH$2="","",History!AH20*$C$31)</f>
        <v>3489</v>
      </c>
      <c r="AE31" s="11">
        <f ca="1">IF(History!AI$2="","",History!AI20*$C$31)</f>
        <v>3394.7999999999997</v>
      </c>
      <c r="AF31" s="11">
        <f ca="1">IF(History!AJ$2="","",History!AJ20*$C$31)</f>
        <v>3334.7999999999997</v>
      </c>
      <c r="AG31" s="11">
        <f ca="1">IF(History!AK$2="","",History!AK20*$C$31)</f>
        <v>3247.2</v>
      </c>
      <c r="AH31" s="11">
        <f ca="1">IF(History!AL$2="","",History!AL20*$C$31)</f>
        <v>3159.6</v>
      </c>
      <c r="AI31" s="11">
        <f ca="1">IF(History!AM$2="","",History!AM20*$C$31)</f>
        <v>3156.9</v>
      </c>
      <c r="AJ31" s="11">
        <f ca="1">IF(History!AN$2="","",History!AN20*$C$31)</f>
        <v>3249.6</v>
      </c>
      <c r="AK31" s="11">
        <f ca="1">IF(History!AO$2="","",History!AO20*$C$31)</f>
        <v>3331.2000000000003</v>
      </c>
      <c r="AL31" s="11">
        <f ca="1">IF(History!AP$2="","",History!AP20*$C$31)</f>
        <v>3204.6</v>
      </c>
      <c r="AM31" s="11">
        <f ca="1">IF(History!AQ$2="","",History!AQ20*$C$31)</f>
        <v>3297.6</v>
      </c>
      <c r="AN31" s="11">
        <f ca="1">IF(History!AR$2="","",History!AR20*$C$31)</f>
        <v>3290.7</v>
      </c>
      <c r="AO31" s="11">
        <f ca="1">IF(History!AS$2="","",History!AS20*$C$31)</f>
        <v>3189</v>
      </c>
      <c r="AP31" s="11">
        <f ca="1">IF(History!AT$2="","",History!AT20*$C$31)</f>
        <v>3075.9</v>
      </c>
      <c r="AQ31" s="11">
        <f ca="1">IF(History!AU$2="","",History!AU20*$C$31)</f>
        <v>3154.5</v>
      </c>
      <c r="AR31" s="11">
        <f ca="1">IF(History!AV$2="","",History!AV20*$C$31)</f>
        <v>3217.5</v>
      </c>
      <c r="AS31" s="11">
        <f ca="1">IF(History!AW$2="","",History!AW20*$C$31)</f>
        <v>3228</v>
      </c>
      <c r="AT31" s="11">
        <f ca="1">IF(History!AX$2="","",History!AX20*$C$31)</f>
        <v>3205.5</v>
      </c>
      <c r="AU31" s="11">
        <f ca="1">IF(History!AY$2="","",History!AY20*$C$31)</f>
        <v>3186.9</v>
      </c>
      <c r="AV31" s="11">
        <f ca="1">IF(History!AZ$2="","",History!AZ20*$C$31)</f>
        <v>3255.6</v>
      </c>
      <c r="AW31" s="11">
        <f ca="1">IF(History!BA$2="","",History!BA20*$C$31)</f>
        <v>3280.5</v>
      </c>
      <c r="AX31" s="11">
        <f ca="1">IF(History!BB$2="","",History!BB20*$C$31)</f>
        <v>3274.5</v>
      </c>
      <c r="AY31" s="11">
        <f ca="1">IF(History!BC$2="","",History!BC20*$C$31)</f>
        <v>3283.7999999999997</v>
      </c>
      <c r="AZ31" s="11">
        <f ca="1">IF(History!BD$2="","",History!BD20*$C$31)</f>
        <v>3274.7999999999997</v>
      </c>
      <c r="BA31" s="11">
        <f ca="1">IF(History!BE$2="","",History!BE20*$C$31)</f>
        <v>3235.2000000000003</v>
      </c>
      <c r="BB31" s="11">
        <f ca="1">IF(History!BF$2="","",History!BF20*$C$31)</f>
        <v>3185.7</v>
      </c>
      <c r="BC31" s="11">
        <f ca="1">IF(History!BG$2="","",History!BG20*$C$31)</f>
        <v>3216.9</v>
      </c>
      <c r="BD31" s="11">
        <f ca="1">IF(History!BH$2="","",History!BH20*$C$31)</f>
        <v>3226.2000000000003</v>
      </c>
      <c r="BE31" s="11">
        <f ca="1">IF(History!BI$2="","",History!BI20*$C$31)</f>
        <v>3181.5</v>
      </c>
      <c r="BF31" s="11">
        <f ca="1">IF(History!BJ$2="","",History!BJ20*$C$31)</f>
        <v>3264.3</v>
      </c>
      <c r="BG31" s="11">
        <f ca="1">IF(History!BK$2="","",History!BK20*$C$31)</f>
        <v>3195.6</v>
      </c>
      <c r="BH31" s="11">
        <f ca="1">IF(History!BL$2="","",History!BL20*$C$31)</f>
        <v>3019.5</v>
      </c>
      <c r="BI31" s="11">
        <f ca="1">IF(History!BM$2="","",History!BM20*$C$31)</f>
        <v>2982.9</v>
      </c>
      <c r="BJ31" s="11">
        <f ca="1">IF(History!BN$2="","",History!BN20*$C$31)</f>
        <v>3044.1</v>
      </c>
      <c r="BK31" s="11">
        <f ca="1">IF(History!BO$2="","",History!BO20*$C$31)</f>
        <v>2963.7000000000003</v>
      </c>
      <c r="BL31" s="11">
        <f ca="1">IF(History!BP$2="","",History!BP20*$C$31)</f>
        <v>2902.2</v>
      </c>
      <c r="BM31" s="11">
        <f ca="1">IF(History!BQ$2="","",History!BQ20*$C$31)</f>
        <v>2865</v>
      </c>
      <c r="BN31" s="11">
        <f ca="1">IF(History!BR$2="","",History!BR20*$C$31)</f>
        <v>2816.3999999999996</v>
      </c>
      <c r="BO31" s="11">
        <f ca="1">IF(History!BS$2="","",History!BS20*$C$31)</f>
        <v>2834.7</v>
      </c>
      <c r="BP31" s="11">
        <f ca="1">IF(History!BT$2="","",History!BT20*$C$31)</f>
        <v>2829.9</v>
      </c>
      <c r="BQ31" s="11">
        <f ca="1">IF(History!BU$2="","",History!BU20*$C$31)</f>
        <v>2905.8</v>
      </c>
      <c r="BR31" s="11">
        <f ca="1">IF(History!BV$2="","",History!BV20*$C$31)</f>
        <v>2924.1</v>
      </c>
      <c r="BS31" s="11">
        <f ca="1">IF(History!BW$2="","",History!BW20*$C$31)</f>
        <v>2904.9</v>
      </c>
      <c r="BT31" s="11">
        <f ca="1">IF(History!BX$2="","",History!BX20*$C$31)</f>
        <v>2985</v>
      </c>
      <c r="BU31" s="11">
        <f ca="1">IF(History!BY$2="","",History!BY20*$C$31)</f>
        <v>2989.7999999999997</v>
      </c>
      <c r="BV31" s="11">
        <f ca="1">IF(History!BZ$2="","",History!BZ20*$C$31)</f>
        <v>2976.2999999999997</v>
      </c>
      <c r="BW31" s="11">
        <f ca="1">IF(History!CA$2="","",History!CA20*$C$31)</f>
        <v>2921.3999999999996</v>
      </c>
      <c r="BX31" s="11">
        <f ca="1">IF(History!CB$2="","",History!CB20*$C$31)</f>
        <v>2952</v>
      </c>
      <c r="BY31" s="11">
        <f ca="1">IF(History!CC$2="","",History!CC20*$C$31)</f>
        <v>2830.8</v>
      </c>
      <c r="BZ31" s="11">
        <f ca="1">IF(History!CD$2="","",History!CD20*$C$31)</f>
        <v>2828.4</v>
      </c>
      <c r="CA31" s="11">
        <f ca="1">IF(History!CE$2="","",History!CE20*$C$31)</f>
        <v>2822.7000000000003</v>
      </c>
      <c r="CB31" s="11">
        <f ca="1">IF(History!CF$2="","",History!CF20*$C$31)</f>
        <v>2773.2</v>
      </c>
      <c r="CC31" s="11">
        <f ca="1">IF(History!CG$2="","",History!CG20*$C$31)</f>
        <v>2819.7</v>
      </c>
      <c r="CD31" s="11">
        <f ca="1">IF(History!CH$2="","",History!CH20*$C$31)</f>
        <v>2836.8</v>
      </c>
      <c r="CE31" s="11">
        <f ca="1">IF(History!CI$2="","",History!CI20*$C$31)</f>
        <v>2936.7</v>
      </c>
      <c r="CF31" s="11" t="str">
        <f ca="1">IF(History!CJ$2="","",History!CJ20*$C$31)</f>
        <v/>
      </c>
      <c r="CG31" s="11" t="str">
        <f ca="1">IF(History!CK$2="","",History!CK20*$C$31)</f>
        <v/>
      </c>
      <c r="CH31" s="11" t="str">
        <f ca="1">IF(History!CL$2="","",History!CL20*$C$31)</f>
        <v/>
      </c>
      <c r="CI31" s="11" t="str">
        <f ca="1">IF(History!CM$2="","",History!CM20*$C$31)</f>
        <v/>
      </c>
      <c r="CJ31" s="11" t="str">
        <f ca="1">IF(History!CN$2="","",History!CN20*$C$31)</f>
        <v/>
      </c>
      <c r="CK31" s="11" t="str">
        <f ca="1">IF(History!CO$2="","",History!CO20*$C$31)</f>
        <v/>
      </c>
      <c r="CL31" s="11" t="str">
        <f ca="1">IF(History!CP$2="","",History!CP20*$C$31)</f>
        <v/>
      </c>
      <c r="CM31" s="11" t="str">
        <f ca="1">IF(History!CQ$2="","",History!CQ20*$C$31)</f>
        <v/>
      </c>
      <c r="CN31" s="11" t="str">
        <f ca="1">IF(History!CR$2="","",History!CR20*$C$31)</f>
        <v/>
      </c>
      <c r="CO31" s="11" t="str">
        <f ca="1">IF(History!CS$2="","",History!CS20*$C$31)</f>
        <v/>
      </c>
      <c r="CP31" s="11" t="str">
        <f ca="1">IF(History!CT$2="","",History!CT20*$C$31)</f>
        <v/>
      </c>
      <c r="CQ31" s="11" t="str">
        <f ca="1">IF(History!CU$2="","",History!CU20*$C$31)</f>
        <v/>
      </c>
      <c r="CR31" s="11" t="str">
        <f ca="1">IF(History!CV$2="","",History!CV20*$C$31)</f>
        <v/>
      </c>
      <c r="CS31" s="11" t="str">
        <f ca="1">IF(History!CW$2="","",History!CW20*$C$31)</f>
        <v/>
      </c>
      <c r="CT31" s="11" t="str">
        <f ca="1">IF(History!CX$2="","",History!CX20*$C$31)</f>
        <v/>
      </c>
      <c r="CU31" s="11" t="str">
        <f ca="1">IF(History!CY$2="","",History!CY20*$C$31)</f>
        <v/>
      </c>
      <c r="CV31" s="11" t="str">
        <f ca="1">IF(History!CZ$2="","",History!CZ20*$C$31)</f>
        <v/>
      </c>
      <c r="CW31" s="11" t="str">
        <f ca="1">IF(History!DA$2="","",History!DA20*$C$31)</f>
        <v/>
      </c>
      <c r="CX31" s="11" t="str">
        <f ca="1">IF(History!DB$2="","",History!DB20*$C$31)</f>
        <v/>
      </c>
      <c r="CY31" s="11" t="str">
        <f ca="1">IF(History!DC$2="","",History!DC20*$C$31)</f>
        <v/>
      </c>
      <c r="CZ31" s="11" t="str">
        <f ca="1">IF(History!DD$2="","",History!DD20*$C$31)</f>
        <v/>
      </c>
      <c r="DA31" s="11" t="str">
        <f ca="1">IF(History!DE$2="","",History!DE20*$C$31)</f>
        <v/>
      </c>
      <c r="DB31" s="11" t="str">
        <f ca="1">IF(History!DF$2="","",History!DF20*$C$31)</f>
        <v/>
      </c>
      <c r="DC31" s="11" t="str">
        <f ca="1">IF(History!DG$2="","",History!DG20*$C$31)</f>
        <v/>
      </c>
      <c r="DD31" s="11" t="str">
        <f ca="1">IF(History!DH$2="","",History!DH20*$C$31)</f>
        <v/>
      </c>
      <c r="DE31" s="11" t="str">
        <f ca="1">IF(History!DI$2="","",History!DI20*$C$31)</f>
        <v/>
      </c>
      <c r="DF31" s="11" t="str">
        <f ca="1">IF(History!DJ$2="","",History!DJ20*$C$31)</f>
        <v/>
      </c>
      <c r="DG31" s="11" t="str">
        <f ca="1">IF(History!DK$2="","",History!DK20*$C$31)</f>
        <v/>
      </c>
      <c r="DH31" s="11" t="str">
        <f ca="1">IF(History!DL$2="","",History!DL20*$C$31)</f>
        <v/>
      </c>
      <c r="DI31" s="11" t="str">
        <f ca="1">IF(History!DM$2="","",History!DM20*$C$31)</f>
        <v/>
      </c>
      <c r="DJ31" s="11" t="str">
        <f ca="1">IF(History!DN$2="","",History!DN20*$C$31)</f>
        <v/>
      </c>
      <c r="DK31" s="11" t="str">
        <f ca="1">IF(History!DO$2="","",History!DO20*$C$31)</f>
        <v/>
      </c>
      <c r="DL31" s="11" t="str">
        <f ca="1">IF(History!DP$2="","",History!DP20*$C$31)</f>
        <v/>
      </c>
      <c r="DM31" s="11" t="str">
        <f ca="1">IF(History!DQ$2="","",History!DQ20*$C$31)</f>
        <v/>
      </c>
      <c r="DN31" s="11" t="str">
        <f ca="1">IF(History!DR$2="","",History!DR20*$C$31)</f>
        <v/>
      </c>
      <c r="DO31" s="11" t="str">
        <f ca="1">IF(History!DS$2="","",History!DS20*$C$31)</f>
        <v/>
      </c>
      <c r="DP31" s="11" t="str">
        <f ca="1">IF(History!DT$2="","",History!DT20*$C$31)</f>
        <v/>
      </c>
      <c r="DQ31" s="11" t="str">
        <f ca="1">IF(History!DU$2="","",History!DU20*$C$31)</f>
        <v/>
      </c>
      <c r="DR31" s="11" t="str">
        <f ca="1">IF(History!DV$2="","",History!DV20*$C$31)</f>
        <v/>
      </c>
      <c r="DS31" s="11" t="str">
        <f ca="1">IF(History!DW$2="","",History!DW20*$C$31)</f>
        <v/>
      </c>
      <c r="DT31" s="11" t="str">
        <f ca="1">IF(History!DX$2="","",History!DX20*$C$31)</f>
        <v/>
      </c>
      <c r="DU31" s="11" t="str">
        <f ca="1">IF(History!DY$2="","",History!DY20*$C$31)</f>
        <v/>
      </c>
      <c r="DV31" s="11" t="str">
        <f ca="1">IF(History!DZ$2="","",History!DZ20*$C$31)</f>
        <v/>
      </c>
      <c r="DW31" s="11" t="str">
        <f ca="1">IF(History!EA$2="","",History!EA20*$C$31)</f>
        <v/>
      </c>
      <c r="DX31" s="11" t="str">
        <f ca="1">IF(History!EB$2="","",History!EB20*$C$31)</f>
        <v/>
      </c>
      <c r="DY31" s="11" t="str">
        <f ca="1">IF(History!EC$2="","",History!EC20*$C$31)</f>
        <v/>
      </c>
      <c r="DZ31" s="11" t="str">
        <f ca="1">IF(History!ED$2="","",History!ED20*$C$31)</f>
        <v/>
      </c>
      <c r="EA31" s="11" t="str">
        <f ca="1">IF(History!EE$2="","",History!EE20*$C$31)</f>
        <v/>
      </c>
      <c r="EB31" s="11" t="str">
        <f ca="1">IF(History!EF$2="","",History!EF20*$C$31)</f>
        <v/>
      </c>
      <c r="EC31" s="11" t="str">
        <f ca="1">IF(History!EG$2="","",History!EG20*$C$31)</f>
        <v/>
      </c>
      <c r="ED31" s="11" t="str">
        <f ca="1">IF(History!EH$2="","",History!EH20*$C$31)</f>
        <v/>
      </c>
      <c r="EE31" s="11" t="str">
        <f ca="1">IF(History!EI$2="","",History!EI20*$C$31)</f>
        <v/>
      </c>
      <c r="EF31" s="11" t="str">
        <f ca="1">IF(History!EJ$2="","",History!EJ20*$C$31)</f>
        <v/>
      </c>
      <c r="EG31" s="11" t="str">
        <f ca="1">IF(History!EK$2="","",History!EK20*$C$31)</f>
        <v/>
      </c>
      <c r="EH31" s="11" t="str">
        <f ca="1">IF(History!EL$2="","",History!EL20*$C$31)</f>
        <v/>
      </c>
      <c r="EI31" s="11" t="str">
        <f ca="1">IF(History!EM$2="","",History!EM20*$C$31)</f>
        <v/>
      </c>
      <c r="EJ31" s="11" t="str">
        <f ca="1">IF(History!EN$2="","",History!EN20*$C$31)</f>
        <v/>
      </c>
      <c r="EK31" s="11" t="str">
        <f ca="1">IF(History!EO$2="","",History!EO20*$C$31)</f>
        <v/>
      </c>
      <c r="EL31" s="11" t="str">
        <f ca="1">IF(History!EP$2="","",History!EP20*$C$31)</f>
        <v/>
      </c>
      <c r="EM31" s="11" t="str">
        <f ca="1">IF(History!EQ$2="","",History!EQ20*$C$31)</f>
        <v/>
      </c>
      <c r="EN31" s="11" t="str">
        <f ca="1">IF(History!ER$2="","",History!ER20*$C$31)</f>
        <v/>
      </c>
      <c r="EO31" s="11" t="str">
        <f ca="1">IF(History!ES$2="","",History!ES20*$C$31)</f>
        <v/>
      </c>
      <c r="EP31" s="11" t="str">
        <f ca="1">IF(History!ET$2="","",History!ET20*$C$31)</f>
        <v/>
      </c>
      <c r="EQ31" s="11" t="str">
        <f ca="1">IF(History!EU$2="","",History!EU20*$C$31)</f>
        <v/>
      </c>
      <c r="ER31" s="11" t="str">
        <f ca="1">IF(History!EV$2="","",History!EV20*$C$31)</f>
        <v/>
      </c>
      <c r="ES31" s="11" t="str">
        <f ca="1">IF(History!EW$2="","",History!EW20*$C$31)</f>
        <v/>
      </c>
      <c r="ET31" s="11" t="str">
        <f ca="1">IF(History!EX$2="","",History!EX20*$C$31)</f>
        <v/>
      </c>
      <c r="EU31" s="11" t="str">
        <f ca="1">IF(History!EY$2="","",History!EY20*$C$31)</f>
        <v/>
      </c>
      <c r="EV31" s="11" t="str">
        <f ca="1">IF(History!EZ$2="","",History!EZ20*$C$31)</f>
        <v/>
      </c>
      <c r="EW31" s="11" t="str">
        <f ca="1">IF(History!FA$2="","",History!FA20*$C$31)</f>
        <v/>
      </c>
      <c r="EX31" s="11" t="str">
        <f ca="1">IF(History!FB$2="","",History!FB20*$C$31)</f>
        <v/>
      </c>
      <c r="EY31" s="11" t="str">
        <f ca="1">IF(History!FC$2="","",History!FC20*$C$31)</f>
        <v/>
      </c>
      <c r="EZ31" s="11" t="str">
        <f ca="1">IF(History!FD$2="","",History!FD20*$C$31)</f>
        <v/>
      </c>
      <c r="FA31" s="11" t="str">
        <f ca="1">IF(History!FE$2="","",History!FE20*$C$31)</f>
        <v/>
      </c>
      <c r="FB31" s="11" t="str">
        <f ca="1">IF(History!FF$2="","",History!FF20*$C$31)</f>
        <v/>
      </c>
      <c r="FC31" s="11" t="str">
        <f ca="1">IF(History!FG$2="","",History!FG20*$C$31)</f>
        <v/>
      </c>
      <c r="FD31" s="11" t="str">
        <f ca="1">IF(History!FH$2="","",History!FH20*$C$31)</f>
        <v/>
      </c>
      <c r="FE31" s="11" t="str">
        <f ca="1">IF(History!FI$2="","",History!FI20*$C$31)</f>
        <v/>
      </c>
      <c r="FF31" s="11" t="str">
        <f ca="1">IF(History!FJ$2="","",History!FJ20*$C$31)</f>
        <v/>
      </c>
      <c r="FG31" s="11" t="str">
        <f ca="1">IF(History!FK$2="","",History!FK20*$C$31)</f>
        <v/>
      </c>
      <c r="FH31" s="11" t="str">
        <f ca="1">IF(History!FL$2="","",History!FL20*$C$31)</f>
        <v/>
      </c>
      <c r="FI31" s="11" t="str">
        <f ca="1">IF(History!FM$2="","",History!FM20*$C$31)</f>
        <v/>
      </c>
      <c r="FJ31" s="11" t="str">
        <f ca="1">IF(History!FN$2="","",History!FN20*$C$31)</f>
        <v/>
      </c>
      <c r="FK31" s="11" t="str">
        <f ca="1">IF(History!FO$2="","",History!FO20*$C$31)</f>
        <v/>
      </c>
      <c r="FL31" s="11" t="str">
        <f ca="1">IF(History!FP$2="","",History!FP20*$C$31)</f>
        <v/>
      </c>
      <c r="FM31" s="11" t="str">
        <f ca="1">IF(History!FQ$2="","",History!FQ20*$C$31)</f>
        <v/>
      </c>
      <c r="FN31" s="11" t="str">
        <f ca="1">IF(History!FR$2="","",History!FR20*$C$31)</f>
        <v/>
      </c>
      <c r="FO31" s="11" t="str">
        <f ca="1">IF(History!FS$2="","",History!FS20*$C$31)</f>
        <v/>
      </c>
      <c r="FP31" s="11" t="str">
        <f ca="1">IF(History!FT$2="","",History!FT20*$C$31)</f>
        <v/>
      </c>
      <c r="FQ31" s="11" t="str">
        <f ca="1">IF(History!FU$2="","",History!FU20*$C$31)</f>
        <v/>
      </c>
      <c r="FR31" s="11" t="str">
        <f ca="1">IF(History!FV$2="","",History!FV20*$C$31)</f>
        <v/>
      </c>
      <c r="FS31" s="11" t="str">
        <f ca="1">IF(History!FW$2="","",History!FW20*$C$31)</f>
        <v/>
      </c>
      <c r="FT31" s="11" t="str">
        <f ca="1">IF(History!FX$2="","",History!FX20*$C$31)</f>
        <v/>
      </c>
      <c r="FU31" s="11" t="str">
        <f ca="1">IF(History!FY$2="","",History!FY20*$C$31)</f>
        <v/>
      </c>
      <c r="FV31" s="11" t="str">
        <f ca="1">IF(History!FZ$2="","",History!FZ20*$C$31)</f>
        <v/>
      </c>
      <c r="FW31" s="11" t="str">
        <f ca="1">IF(History!GA$2="","",History!GA20*$C$31)</f>
        <v/>
      </c>
      <c r="FX31" s="11" t="str">
        <f ca="1">IF(History!GB$2="","",History!GB20*$C$31)</f>
        <v/>
      </c>
      <c r="FY31" s="11" t="str">
        <f ca="1">IF(History!GC$2="","",History!GC20*$C$31)</f>
        <v/>
      </c>
      <c r="FZ31" s="11" t="str">
        <f ca="1">IF(History!GD$2="","",History!GD20*$C$31)</f>
        <v/>
      </c>
      <c r="GA31" s="11" t="str">
        <f ca="1">IF(History!GE$2="","",History!GE20*$C$31)</f>
        <v/>
      </c>
      <c r="GB31" s="11" t="str">
        <f ca="1">IF(History!GF$2="","",History!GF20*$C$31)</f>
        <v/>
      </c>
      <c r="GC31" s="11" t="str">
        <f ca="1">IF(History!GG$2="","",History!GG20*$C$31)</f>
        <v/>
      </c>
      <c r="GD31" s="11" t="str">
        <f ca="1">IF(History!GH$2="","",History!GH20*$C$31)</f>
        <v/>
      </c>
      <c r="GE31" s="11" t="str">
        <f ca="1">IF(History!GI$2="","",History!GI20*$C$31)</f>
        <v/>
      </c>
      <c r="GF31" s="11" t="str">
        <f ca="1">IF(History!GJ$2="","",History!GJ20*$C$31)</f>
        <v/>
      </c>
      <c r="GG31" s="11" t="str">
        <f ca="1">IF(History!GK$2="","",History!GK20*$C$31)</f>
        <v/>
      </c>
      <c r="GH31" s="11" t="str">
        <f ca="1">IF(History!GL$2="","",History!GL20*$C$31)</f>
        <v/>
      </c>
      <c r="GI31" s="11" t="str">
        <f ca="1">IF(History!GM$2="","",History!GM20*$C$31)</f>
        <v/>
      </c>
      <c r="GJ31" s="11" t="str">
        <f ca="1">IF(History!GN$2="","",History!GN20*$C$31)</f>
        <v/>
      </c>
      <c r="GK31" s="11" t="str">
        <f ca="1">IF(History!GO$2="","",History!GO20*$C$31)</f>
        <v/>
      </c>
      <c r="GL31" s="11" t="str">
        <f ca="1">IF(History!GP$2="","",History!GP20*$C$31)</f>
        <v/>
      </c>
      <c r="GM31" s="11" t="str">
        <f ca="1">IF(History!GQ$2="","",History!GQ20*$C$31)</f>
        <v/>
      </c>
      <c r="GN31" s="11" t="str">
        <f ca="1">IF(History!GR$2="","",History!GR20*$C$31)</f>
        <v/>
      </c>
      <c r="GO31" s="11" t="str">
        <f ca="1">IF(History!GS$2="","",History!GS20*$C$31)</f>
        <v/>
      </c>
      <c r="GP31" s="11" t="str">
        <f ca="1">IF(History!GT$2="","",History!GT20*$C$31)</f>
        <v/>
      </c>
      <c r="GQ31" s="11" t="str">
        <f ca="1">IF(History!GU$2="","",History!GU20*$C$31)</f>
        <v/>
      </c>
      <c r="GR31" s="11" t="str">
        <f ca="1">IF(History!GV$2="","",History!GV20*$C$31)</f>
        <v/>
      </c>
      <c r="GS31" s="11" t="str">
        <f ca="1">IF(History!GW$2="","",History!GW20*$C$31)</f>
        <v/>
      </c>
      <c r="GT31" s="11" t="str">
        <f ca="1">IF(History!GX$2="","",History!GX20*$C$31)</f>
        <v/>
      </c>
      <c r="GU31" s="11" t="str">
        <f ca="1">IF(History!GY$2="","",History!GY20*$C$31)</f>
        <v/>
      </c>
      <c r="GV31" s="11" t="str">
        <f ca="1">IF(History!GZ$2="","",History!GZ20*$C$31)</f>
        <v/>
      </c>
      <c r="GW31" s="11" t="str">
        <f ca="1">IF(History!HA$2="","",History!HA20*$C$31)</f>
        <v/>
      </c>
      <c r="GX31" s="11" t="str">
        <f ca="1">IF(History!HB$2="","",History!HB20*$C$31)</f>
        <v/>
      </c>
      <c r="GY31" s="11" t="str">
        <f ca="1">IF(History!HC$2="","",History!HC20*$C$31)</f>
        <v/>
      </c>
      <c r="GZ31" s="11" t="str">
        <f ca="1">IF(History!HD$2="","",History!HD20*$C$31)</f>
        <v/>
      </c>
      <c r="HA31" s="11" t="str">
        <f ca="1">IF(History!HE$2="","",History!HE20*$C$31)</f>
        <v/>
      </c>
      <c r="HB31" s="11" t="str">
        <f ca="1">IF(History!HF$2="","",History!HF20*$C$31)</f>
        <v/>
      </c>
      <c r="HC31" s="11" t="str">
        <f ca="1">IF(History!HG$2="","",History!HG20*$C$31)</f>
        <v/>
      </c>
      <c r="HD31" s="11" t="str">
        <f ca="1">IF(History!HH$2="","",History!HH20*$C$31)</f>
        <v/>
      </c>
      <c r="HE31" s="11" t="str">
        <f ca="1">IF(History!HI$2="","",History!HI20*$C$31)</f>
        <v/>
      </c>
      <c r="HF31" s="11" t="str">
        <f ca="1">IF(History!HJ$2="","",History!HJ20*$C$31)</f>
        <v/>
      </c>
      <c r="HG31" s="11" t="str">
        <f ca="1">IF(History!HK$2="","",History!HK20*$C$31)</f>
        <v/>
      </c>
      <c r="HH31" s="11" t="str">
        <f ca="1">IF(History!HL$2="","",History!HL20*$C$31)</f>
        <v/>
      </c>
      <c r="HI31" s="11" t="str">
        <f ca="1">IF(History!HM$2="","",History!HM20*$C$31)</f>
        <v/>
      </c>
      <c r="HJ31" s="11" t="str">
        <f ca="1">IF(History!HN$2="","",History!HN20*$C$31)</f>
        <v/>
      </c>
      <c r="HK31" s="11" t="str">
        <f ca="1">IF(History!HO$2="","",History!HO20*$C$31)</f>
        <v/>
      </c>
      <c r="HL31" s="11" t="str">
        <f ca="1">IF(History!HP$2="","",History!HP20*$C$31)</f>
        <v/>
      </c>
      <c r="HM31" s="11" t="str">
        <f ca="1">IF(History!HQ$2="","",History!HQ20*$C$31)</f>
        <v/>
      </c>
      <c r="HN31" s="11" t="str">
        <f ca="1">IF(History!HR$2="","",History!HR20*$C$31)</f>
        <v/>
      </c>
      <c r="HO31" s="11" t="str">
        <f ca="1">IF(History!HS$2="","",History!HS20*$C$31)</f>
        <v/>
      </c>
      <c r="HP31" s="11" t="str">
        <f ca="1">IF(History!HT$2="","",History!HT20*$C$31)</f>
        <v/>
      </c>
      <c r="HQ31" s="11" t="str">
        <f ca="1">IF(History!HU$2="","",History!HU20*$C$31)</f>
        <v/>
      </c>
      <c r="HR31" s="11" t="str">
        <f ca="1">IF(History!HV$2="","",History!HV20*$C$31)</f>
        <v/>
      </c>
      <c r="HS31" s="11" t="str">
        <f ca="1">IF(History!HW$2="","",History!HW20*$C$31)</f>
        <v/>
      </c>
      <c r="HT31" s="11" t="str">
        <f ca="1">IF(History!HX$2="","",History!HX20*$C$31)</f>
        <v/>
      </c>
      <c r="HU31" s="11" t="str">
        <f ca="1">IF(History!HY$2="","",History!HY20*$C$31)</f>
        <v/>
      </c>
      <c r="HV31" s="11" t="str">
        <f ca="1">IF(History!HZ$2="","",History!HZ20*$C$31)</f>
        <v/>
      </c>
      <c r="HW31" s="11" t="str">
        <f ca="1">IF(History!IA$2="","",History!IA20*$C$31)</f>
        <v/>
      </c>
      <c r="HX31" s="11" t="str">
        <f ca="1">IF(History!IB$2="","",History!IB20*$C$31)</f>
        <v/>
      </c>
      <c r="HY31" s="11" t="str">
        <f ca="1">IF(History!IC$2="","",History!IC20*$C$31)</f>
        <v/>
      </c>
      <c r="HZ31" s="11" t="str">
        <f ca="1">IF(History!ID$2="","",History!ID20*$C$31)</f>
        <v/>
      </c>
      <c r="IA31" s="11" t="str">
        <f ca="1">IF(History!IE$2="","",History!IE20*$C$31)</f>
        <v/>
      </c>
      <c r="IB31" s="11" t="str">
        <f ca="1">IF(History!IF$2="","",History!IF20*$C$31)</f>
        <v/>
      </c>
      <c r="IC31" s="11" t="str">
        <f ca="1">IF(History!IG$2="","",History!IG20*$C$31)</f>
        <v/>
      </c>
      <c r="ID31" s="11" t="str">
        <f ca="1">IF(History!IH$2="","",History!IH20*$C$31)</f>
        <v/>
      </c>
      <c r="IE31" s="11" t="str">
        <f ca="1">IF(History!II$2="","",History!II20*$C$31)</f>
        <v/>
      </c>
      <c r="IF31" s="11" t="str">
        <f ca="1">IF(History!IJ$2="","",History!IJ20*$C$31)</f>
        <v/>
      </c>
      <c r="IG31" s="11" t="str">
        <f ca="1">IF(History!IK$2="","",History!IK20*$C$31)</f>
        <v/>
      </c>
      <c r="IH31" s="11" t="str">
        <f ca="1">IF(History!IL$2="","",History!IL20*$C$31)</f>
        <v/>
      </c>
      <c r="II31" s="11" t="str">
        <f ca="1">IF(History!IM$2="","",History!IM20*$C$31)</f>
        <v/>
      </c>
      <c r="IJ31" s="11" t="str">
        <f ca="1">IF(History!IN$2="","",History!IN20*$C$31)</f>
        <v/>
      </c>
      <c r="IK31" s="11" t="str">
        <f ca="1">IF(History!IO$2="","",History!IO20*$C$31)</f>
        <v/>
      </c>
      <c r="IL31" s="11" t="str">
        <f ca="1">IF(History!IP$2="","",History!IP20*$C$31)</f>
        <v/>
      </c>
      <c r="IM31" s="11" t="str">
        <f ca="1">IF(History!IQ$2="","",History!IQ20*$C$31)</f>
        <v/>
      </c>
      <c r="IN31" s="11" t="str">
        <f ca="1">IF(History!IR$2="","",History!IR20*$C$31)</f>
        <v/>
      </c>
      <c r="IO31" s="11" t="str">
        <f ca="1">IF(History!IS$2="","",History!IS20*$C$31)</f>
        <v/>
      </c>
      <c r="IP31" s="11" t="str">
        <f ca="1">IF(History!IT$2="","",History!IT20*$C$31)</f>
        <v/>
      </c>
      <c r="IQ31" s="11" t="str">
        <f ca="1">IF(History!IU$2="","",History!IU20*$C$31)</f>
        <v/>
      </c>
      <c r="IR31" s="11" t="str">
        <f ca="1">IF(History!IV$2="","",History!IV20*$C$31)</f>
        <v/>
      </c>
      <c r="IS31" s="11" t="str">
        <f ca="1">IF(History!IW$2="","",History!IW20*$C$31)</f>
        <v/>
      </c>
      <c r="IT31" s="11" t="str">
        <f ca="1">IF(History!IX$2="","",History!IX20*$C$31)</f>
        <v/>
      </c>
      <c r="IU31" s="11" t="str">
        <f ca="1">IF(History!IY$2="","",History!IY20*$C$31)</f>
        <v/>
      </c>
      <c r="IV31" s="11" t="str">
        <f ca="1">IF(History!IZ$2="","",History!IZ20*$C$31)</f>
        <v/>
      </c>
      <c r="IW31" s="11" t="str">
        <f ca="1">IF(History!JA$2="","",History!JA20*$C$31)</f>
        <v/>
      </c>
      <c r="IX31" s="11" t="str">
        <f ca="1">IF(History!JB$2="","",History!JB20*$C$31)</f>
        <v/>
      </c>
      <c r="IY31" s="11" t="str">
        <f ca="1">IF(History!JC$2="","",History!JC20*$C$31)</f>
        <v/>
      </c>
      <c r="IZ31" s="11" t="str">
        <f ca="1">IF(History!JD$2="","",History!JD20*$C$31)</f>
        <v/>
      </c>
      <c r="JA31" s="11" t="str">
        <f ca="1">IF(History!JE$2="","",History!JE20*$C$31)</f>
        <v/>
      </c>
      <c r="JB31" s="11" t="str">
        <f ca="1">IF(History!JF$2="","",History!JF20*$C$31)</f>
        <v/>
      </c>
      <c r="JC31" s="11" t="str">
        <f ca="1">IF(History!JG$2="","",History!JG20*$C$31)</f>
        <v/>
      </c>
      <c r="JD31" s="11" t="str">
        <f ca="1">IF(History!JH$2="","",History!JH20*$C$31)</f>
        <v/>
      </c>
      <c r="JE31" s="11" t="str">
        <f ca="1">IF(History!JI$2="","",History!JI20*$C$31)</f>
        <v/>
      </c>
      <c r="JF31" s="11" t="str">
        <f ca="1">IF(History!JJ$2="","",History!JJ20*$C$31)</f>
        <v/>
      </c>
      <c r="JG31" s="11" t="str">
        <f ca="1">IF(History!JK$2="","",History!JK20*$C$31)</f>
        <v/>
      </c>
      <c r="JH31" s="11" t="str">
        <f ca="1">IF(History!JL$2="","",History!JL20*$C$31)</f>
        <v/>
      </c>
      <c r="JI31" s="11" t="str">
        <f ca="1">IF(History!JM$2="","",History!JM20*$C$31)</f>
        <v/>
      </c>
      <c r="JJ31" s="11" t="str">
        <f ca="1">IF(History!JN$2="","",History!JN20*$C$31)</f>
        <v/>
      </c>
      <c r="JK31" s="11" t="str">
        <f ca="1">IF(History!JO$2="","",History!JO20*$C$31)</f>
        <v/>
      </c>
      <c r="JL31" s="11" t="str">
        <f ca="1">IF(History!JP$2="","",History!JP20*$C$31)</f>
        <v/>
      </c>
      <c r="JM31" s="11" t="str">
        <f ca="1">IF(History!JQ$2="","",History!JQ20*$C$31)</f>
        <v/>
      </c>
      <c r="JN31" s="11" t="str">
        <f ca="1">IF(History!JR$2="","",History!JR20*$C$31)</f>
        <v/>
      </c>
      <c r="JO31" s="11" t="str">
        <f ca="1">IF(History!JS$2="","",History!JS20*$C$31)</f>
        <v/>
      </c>
      <c r="JP31" s="11" t="str">
        <f ca="1">IF(History!JT$2="","",History!JT20*$C$31)</f>
        <v/>
      </c>
      <c r="JQ31" s="11" t="str">
        <f ca="1">IF(History!JU$2="","",History!JU20*$C$31)</f>
        <v/>
      </c>
      <c r="JR31" s="11" t="str">
        <f ca="1">IF(History!JV$2="","",History!JV20*$C$31)</f>
        <v/>
      </c>
      <c r="JS31" s="11" t="str">
        <f ca="1">IF(History!JW$2="","",History!JW20*$C$31)</f>
        <v/>
      </c>
      <c r="JT31" s="11" t="str">
        <f ca="1">IF(History!JX$2="","",History!JX20*$C$31)</f>
        <v/>
      </c>
      <c r="JU31" s="11" t="str">
        <f ca="1">IF(History!JY$2="","",History!JY20*$C$31)</f>
        <v/>
      </c>
      <c r="JV31" s="11" t="str">
        <f ca="1">IF(History!JZ$2="","",History!JZ20*$C$31)</f>
        <v/>
      </c>
      <c r="JW31" s="11" t="str">
        <f ca="1">IF(History!KA$2="","",History!KA20*$C$31)</f>
        <v/>
      </c>
      <c r="JX31" s="11" t="str">
        <f ca="1">IF(History!KB$2="","",History!KB20*$C$31)</f>
        <v/>
      </c>
      <c r="JY31" s="11" t="str">
        <f ca="1">IF(History!KC$2="","",History!KC20*$C$31)</f>
        <v/>
      </c>
      <c r="JZ31" s="11" t="str">
        <f ca="1">IF(History!KD$2="","",History!KD20*$C$31)</f>
        <v/>
      </c>
      <c r="KA31" s="11" t="str">
        <f ca="1">IF(History!KE$2="","",History!KE20*$C$31)</f>
        <v/>
      </c>
      <c r="KB31" s="11" t="str">
        <f ca="1">IF(History!KF$2="","",History!KF20*$C$31)</f>
        <v/>
      </c>
    </row>
    <row r="32" spans="1:288" ht="15.75" customHeight="1">
      <c r="A32" s="22" t="s">
        <v>30</v>
      </c>
      <c r="B32" s="6" t="s">
        <v>65</v>
      </c>
      <c r="C32" s="26">
        <v>51</v>
      </c>
      <c r="D32" s="11">
        <f ca="1">IF(History!H$2="","",History!H21*$C$32)</f>
        <v>2363.85</v>
      </c>
      <c r="E32" s="11">
        <f ca="1">IF(History!I$2="","",History!I21*$C$32)</f>
        <v>2334.27</v>
      </c>
      <c r="F32" s="11">
        <f ca="1">IF(History!J$2="","",History!J21*$C$32)</f>
        <v>2322.54</v>
      </c>
      <c r="G32" s="11">
        <f ca="1">IF(History!K$2="","",History!K21*$C$32)</f>
        <v>2282.7599999999998</v>
      </c>
      <c r="H32" s="11">
        <f ca="1">IF(History!L$2="","",History!L21*$C$32)</f>
        <v>2269.5</v>
      </c>
      <c r="I32" s="11">
        <f ca="1">IF(History!M$2="","",History!M21*$C$32)</f>
        <v>2233.7999999999997</v>
      </c>
      <c r="J32" s="11">
        <f ca="1">IF(History!N$2="","",History!N21*$C$32)</f>
        <v>2182.7999999999997</v>
      </c>
      <c r="K32" s="11">
        <f ca="1">IF(History!O$2="","",History!O21*$C$32)</f>
        <v>2139.4500000000003</v>
      </c>
      <c r="L32" s="11">
        <f ca="1">IF(History!P$2="","",History!P21*$C$32)</f>
        <v>2074.6799999999998</v>
      </c>
      <c r="M32" s="11">
        <f ca="1">IF(History!Q$2="","",History!Q21*$C$32)</f>
        <v>2081.31</v>
      </c>
      <c r="N32" s="11">
        <f ca="1">IF(History!R$2="","",History!R21*$C$32)</f>
        <v>2029.29</v>
      </c>
      <c r="O32" s="11">
        <f ca="1">IF(History!S$2="","",History!S21*$C$32)</f>
        <v>2001.24</v>
      </c>
      <c r="P32" s="11">
        <f ca="1">IF(History!T$2="","",History!T21*$C$32)</f>
        <v>1963.5</v>
      </c>
      <c r="Q32" s="11">
        <f ca="1">IF(History!U$2="","",History!U21*$C$32)</f>
        <v>1990.0200000000002</v>
      </c>
      <c r="R32" s="11">
        <f ca="1">IF(History!V$2="","",History!V21*$C$32)</f>
        <v>2030.3100000000002</v>
      </c>
      <c r="S32" s="11">
        <f ca="1">IF(History!W$2="","",History!W21*$C$32)</f>
        <v>2059.38</v>
      </c>
      <c r="T32" s="11">
        <f ca="1">IF(History!X$2="","",History!X21*$C$32)</f>
        <v>2047.14</v>
      </c>
      <c r="U32" s="11">
        <f ca="1">IF(History!Y$2="","",History!Y21*$C$32)</f>
        <v>1994.1000000000001</v>
      </c>
      <c r="V32" s="11">
        <f ca="1">IF(History!Z$2="","",History!Z21*$C$32)</f>
        <v>1999.71</v>
      </c>
      <c r="W32" s="11">
        <f ca="1">IF(History!AA$2="","",History!AA21*$C$32)</f>
        <v>2025.72</v>
      </c>
      <c r="X32" s="11">
        <f ca="1">IF(History!AB$2="","",History!AB21*$C$32)</f>
        <v>2112.42</v>
      </c>
      <c r="Y32" s="11">
        <f ca="1">IF(History!AC$2="","",History!AC21*$C$32)</f>
        <v>2167.5</v>
      </c>
      <c r="Z32" s="11">
        <f ca="1">IF(History!AD$2="","",History!AD21*$C$32)</f>
        <v>2153.73</v>
      </c>
      <c r="AA32" s="11">
        <f ca="1">IF(History!AE$2="","",History!AE21*$C$32)</f>
        <v>2102.73</v>
      </c>
      <c r="AB32" s="11">
        <f ca="1">IF(History!AF$2="","",History!AF21*$C$32)</f>
        <v>2111.4</v>
      </c>
      <c r="AC32" s="11">
        <f ca="1">IF(History!AG$2="","",History!AG21*$C$32)</f>
        <v>2213.4</v>
      </c>
      <c r="AD32" s="11">
        <f ca="1">IF(History!AH$2="","",History!AH21*$C$32)</f>
        <v>2238.39</v>
      </c>
      <c r="AE32" s="11">
        <f ca="1">IF(History!AI$2="","",History!AI21*$C$32)</f>
        <v>2179.7400000000002</v>
      </c>
      <c r="AF32" s="11">
        <f ca="1">IF(History!AJ$2="","",History!AJ21*$C$32)</f>
        <v>2295</v>
      </c>
      <c r="AG32" s="11">
        <f ca="1">IF(History!AK$2="","",History!AK21*$C$32)</f>
        <v>2284.29</v>
      </c>
      <c r="AH32" s="11">
        <f ca="1">IF(History!AL$2="","",History!AL21*$C$32)</f>
        <v>2259.81</v>
      </c>
      <c r="AI32" s="11">
        <f ca="1">IF(History!AM$2="","",History!AM21*$C$32)</f>
        <v>2236.35</v>
      </c>
      <c r="AJ32" s="11">
        <f ca="1">IF(History!AN$2="","",History!AN21*$C$32)</f>
        <v>2295.5099999999998</v>
      </c>
      <c r="AK32" s="11">
        <f ca="1">IF(History!AO$2="","",History!AO21*$C$32)</f>
        <v>2129.7599999999998</v>
      </c>
      <c r="AL32" s="11">
        <f ca="1">IF(History!AP$2="","",History!AP21*$C$32)</f>
        <v>1997.1599999999999</v>
      </c>
      <c r="AM32" s="11">
        <f ca="1">IF(History!AQ$2="","",History!AQ21*$C$32)</f>
        <v>2082.84</v>
      </c>
      <c r="AN32" s="11">
        <f ca="1">IF(History!AR$2="","",History!AR21*$C$32)</f>
        <v>1994.61</v>
      </c>
      <c r="AO32" s="11">
        <f ca="1">IF(History!AS$2="","",History!AS21*$C$32)</f>
        <v>1864.05</v>
      </c>
      <c r="AP32" s="11">
        <f ca="1">IF(History!AT$2="","",History!AT21*$C$32)</f>
        <v>1713.6000000000001</v>
      </c>
      <c r="AQ32" s="11">
        <f ca="1">IF(History!AU$2="","",History!AU21*$C$32)</f>
        <v>1817.13</v>
      </c>
      <c r="AR32" s="11">
        <f ca="1">IF(History!AV$2="","",History!AV21*$C$32)</f>
        <v>1831.92</v>
      </c>
      <c r="AS32" s="11">
        <f ca="1">IF(History!AW$2="","",History!AW21*$C$32)</f>
        <v>1831.4099999999999</v>
      </c>
      <c r="AT32" s="11">
        <f ca="1">IF(History!AX$2="","",History!AX21*$C$32)</f>
        <v>1908.93</v>
      </c>
      <c r="AU32" s="11">
        <f ca="1">IF(History!AY$2="","",History!AY21*$C$32)</f>
        <v>1959.42</v>
      </c>
      <c r="AV32" s="11">
        <f ca="1">IF(History!AZ$2="","",History!AZ21*$C$32)</f>
        <v>2034.39</v>
      </c>
      <c r="AW32" s="11">
        <f ca="1">IF(History!BA$2="","",History!BA21*$C$32)</f>
        <v>2110.38</v>
      </c>
      <c r="AX32" s="11">
        <f ca="1">IF(History!BB$2="","",History!BB21*$C$32)</f>
        <v>2118.0300000000002</v>
      </c>
      <c r="AY32" s="11">
        <f ca="1">IF(History!BC$2="","",History!BC21*$C$32)</f>
        <v>2148.63</v>
      </c>
      <c r="AZ32" s="11">
        <f ca="1">IF(History!BD$2="","",History!BD21*$C$32)</f>
        <v>2147.61</v>
      </c>
      <c r="BA32" s="11">
        <f ca="1">IF(History!BE$2="","",History!BE21*$C$32)</f>
        <v>2206.77</v>
      </c>
      <c r="BB32" s="11">
        <f ca="1">IF(History!BF$2="","",History!BF21*$C$32)</f>
        <v>2191.98</v>
      </c>
      <c r="BC32" s="11">
        <f ca="1">IF(History!BG$2="","",History!BG21*$C$32)</f>
        <v>2234.8200000000002</v>
      </c>
      <c r="BD32" s="11">
        <f ca="1">IF(History!BH$2="","",History!BH21*$C$32)</f>
        <v>2279.7000000000003</v>
      </c>
      <c r="BE32" s="11">
        <f ca="1">IF(History!BI$2="","",History!BI21*$C$32)</f>
        <v>2298.06</v>
      </c>
      <c r="BF32" s="11">
        <f ca="1">IF(History!BJ$2="","",History!BJ21*$C$32)</f>
        <v>2305.71</v>
      </c>
      <c r="BG32" s="11">
        <f ca="1">IF(History!BK$2="","",History!BK21*$C$32)</f>
        <v>2270.0099999999998</v>
      </c>
      <c r="BH32" s="11">
        <f ca="1">IF(History!BL$2="","",History!BL21*$C$32)</f>
        <v>2277.15</v>
      </c>
      <c r="BI32" s="11">
        <f ca="1">IF(History!BM$2="","",History!BM21*$C$32)</f>
        <v>2262.87</v>
      </c>
      <c r="BJ32" s="11">
        <f ca="1">IF(History!BN$2="","",History!BN21*$C$32)</f>
        <v>2244</v>
      </c>
      <c r="BK32" s="11">
        <f ca="1">IF(History!BO$2="","",History!BO21*$C$32)</f>
        <v>2196.06</v>
      </c>
      <c r="BL32" s="11">
        <f ca="1">IF(History!BP$2="","",History!BP21*$C$32)</f>
        <v>2169.54</v>
      </c>
      <c r="BM32" s="11">
        <f ca="1">IF(History!BQ$2="","",History!BQ21*$C$32)</f>
        <v>2154.2400000000002</v>
      </c>
      <c r="BN32" s="11">
        <f ca="1">IF(History!BR$2="","",History!BR21*$C$32)</f>
        <v>2130.27</v>
      </c>
      <c r="BO32" s="11">
        <f ca="1">IF(History!BS$2="","",History!BS21*$C$32)</f>
        <v>2141.4900000000002</v>
      </c>
      <c r="BP32" s="11">
        <f ca="1">IF(History!BT$2="","",History!BT21*$C$32)</f>
        <v>2122.11</v>
      </c>
      <c r="BQ32" s="11">
        <f ca="1">IF(History!BU$2="","",History!BU21*$C$32)</f>
        <v>2183.8200000000002</v>
      </c>
      <c r="BR32" s="11">
        <f ca="1">IF(History!BV$2="","",History!BV21*$C$32)</f>
        <v>2209.3200000000002</v>
      </c>
      <c r="BS32" s="11">
        <f ca="1">IF(History!BW$2="","",History!BW21*$C$32)</f>
        <v>2218.5</v>
      </c>
      <c r="BT32" s="11">
        <f ca="1">IF(History!BX$2="","",History!BX21*$C$32)</f>
        <v>2311.3200000000002</v>
      </c>
      <c r="BU32" s="11">
        <f ca="1">IF(History!BY$2="","",History!BY21*$C$32)</f>
        <v>2322.0300000000002</v>
      </c>
      <c r="BV32" s="11">
        <f ca="1">IF(History!BZ$2="","",History!BZ21*$C$32)</f>
        <v>2309.2800000000002</v>
      </c>
      <c r="BW32" s="11">
        <f ca="1">IF(History!CA$2="","",History!CA21*$C$32)</f>
        <v>2261.34</v>
      </c>
      <c r="BX32" s="11">
        <f ca="1">IF(History!CB$2="","",History!CB21*$C$32)</f>
        <v>2231.7599999999998</v>
      </c>
      <c r="BY32" s="11">
        <f ca="1">IF(History!CC$2="","",History!CC21*$C$32)</f>
        <v>2119.0499999999997</v>
      </c>
      <c r="BZ32" s="11">
        <f ca="1">IF(History!CD$2="","",History!CD21*$C$32)</f>
        <v>2084.37</v>
      </c>
      <c r="CA32" s="11">
        <f ca="1">IF(History!CE$2="","",History!CE21*$C$32)</f>
        <v>2126.7000000000003</v>
      </c>
      <c r="CB32" s="11">
        <f ca="1">IF(History!CF$2="","",History!CF21*$C$32)</f>
        <v>2054.2800000000002</v>
      </c>
      <c r="CC32" s="11">
        <f ca="1">IF(History!CG$2="","",History!CG21*$C$32)</f>
        <v>2041.0200000000002</v>
      </c>
      <c r="CD32" s="11">
        <f ca="1">IF(History!CH$2="","",History!CH21*$C$32)</f>
        <v>2070.09</v>
      </c>
      <c r="CE32" s="11">
        <f ca="1">IF(History!CI$2="","",History!CI21*$C$32)</f>
        <v>2098.65</v>
      </c>
      <c r="CF32" s="11" t="str">
        <f ca="1">IF(History!CJ$2="","",History!CJ21*$C$32)</f>
        <v/>
      </c>
      <c r="CG32" s="11" t="str">
        <f ca="1">IF(History!CK$2="","",History!CK21*$C$32)</f>
        <v/>
      </c>
      <c r="CH32" s="11" t="str">
        <f ca="1">IF(History!CL$2="","",History!CL21*$C$32)</f>
        <v/>
      </c>
      <c r="CI32" s="11" t="str">
        <f ca="1">IF(History!CM$2="","",History!CM21*$C$32)</f>
        <v/>
      </c>
      <c r="CJ32" s="11" t="str">
        <f ca="1">IF(History!CN$2="","",History!CN21*$C$32)</f>
        <v/>
      </c>
      <c r="CK32" s="11" t="str">
        <f ca="1">IF(History!CO$2="","",History!CO21*$C$32)</f>
        <v/>
      </c>
      <c r="CL32" s="11" t="str">
        <f ca="1">IF(History!CP$2="","",History!CP21*$C$32)</f>
        <v/>
      </c>
      <c r="CM32" s="11" t="str">
        <f ca="1">IF(History!CQ$2="","",History!CQ21*$C$32)</f>
        <v/>
      </c>
      <c r="CN32" s="11" t="str">
        <f ca="1">IF(History!CR$2="","",History!CR21*$C$32)</f>
        <v/>
      </c>
      <c r="CO32" s="11" t="str">
        <f ca="1">IF(History!CS$2="","",History!CS21*$C$32)</f>
        <v/>
      </c>
      <c r="CP32" s="11" t="str">
        <f ca="1">IF(History!CT$2="","",History!CT21*$C$32)</f>
        <v/>
      </c>
      <c r="CQ32" s="11" t="str">
        <f ca="1">IF(History!CU$2="","",History!CU21*$C$32)</f>
        <v/>
      </c>
      <c r="CR32" s="11" t="str">
        <f ca="1">IF(History!CV$2="","",History!CV21*$C$32)</f>
        <v/>
      </c>
      <c r="CS32" s="11" t="str">
        <f ca="1">IF(History!CW$2="","",History!CW21*$C$32)</f>
        <v/>
      </c>
      <c r="CT32" s="11" t="str">
        <f ca="1">IF(History!CX$2="","",History!CX21*$C$32)</f>
        <v/>
      </c>
      <c r="CU32" s="11" t="str">
        <f ca="1">IF(History!CY$2="","",History!CY21*$C$32)</f>
        <v/>
      </c>
      <c r="CV32" s="11" t="str">
        <f ca="1">IF(History!CZ$2="","",History!CZ21*$C$32)</f>
        <v/>
      </c>
      <c r="CW32" s="11" t="str">
        <f ca="1">IF(History!DA$2="","",History!DA21*$C$32)</f>
        <v/>
      </c>
      <c r="CX32" s="11" t="str">
        <f ca="1">IF(History!DB$2="","",History!DB21*$C$32)</f>
        <v/>
      </c>
      <c r="CY32" s="11" t="str">
        <f ca="1">IF(History!DC$2="","",History!DC21*$C$32)</f>
        <v/>
      </c>
      <c r="CZ32" s="11" t="str">
        <f ca="1">IF(History!DD$2="","",History!DD21*$C$32)</f>
        <v/>
      </c>
      <c r="DA32" s="11" t="str">
        <f ca="1">IF(History!DE$2="","",History!DE21*$C$32)</f>
        <v/>
      </c>
      <c r="DB32" s="11" t="str">
        <f ca="1">IF(History!DF$2="","",History!DF21*$C$32)</f>
        <v/>
      </c>
      <c r="DC32" s="11" t="str">
        <f ca="1">IF(History!DG$2="","",History!DG21*$C$32)</f>
        <v/>
      </c>
      <c r="DD32" s="11" t="str">
        <f ca="1">IF(History!DH$2="","",History!DH21*$C$32)</f>
        <v/>
      </c>
      <c r="DE32" s="11" t="str">
        <f ca="1">IF(History!DI$2="","",History!DI21*$C$32)</f>
        <v/>
      </c>
      <c r="DF32" s="11" t="str">
        <f ca="1">IF(History!DJ$2="","",History!DJ21*$C$32)</f>
        <v/>
      </c>
      <c r="DG32" s="11" t="str">
        <f ca="1">IF(History!DK$2="","",History!DK21*$C$32)</f>
        <v/>
      </c>
      <c r="DH32" s="11" t="str">
        <f ca="1">IF(History!DL$2="","",History!DL21*$C$32)</f>
        <v/>
      </c>
      <c r="DI32" s="11" t="str">
        <f ca="1">IF(History!DM$2="","",History!DM21*$C$32)</f>
        <v/>
      </c>
      <c r="DJ32" s="11" t="str">
        <f ca="1">IF(History!DN$2="","",History!DN21*$C$32)</f>
        <v/>
      </c>
      <c r="DK32" s="11" t="str">
        <f ca="1">IF(History!DO$2="","",History!DO21*$C$32)</f>
        <v/>
      </c>
      <c r="DL32" s="11" t="str">
        <f ca="1">IF(History!DP$2="","",History!DP21*$C$32)</f>
        <v/>
      </c>
      <c r="DM32" s="11" t="str">
        <f ca="1">IF(History!DQ$2="","",History!DQ21*$C$32)</f>
        <v/>
      </c>
      <c r="DN32" s="11" t="str">
        <f ca="1">IF(History!DR$2="","",History!DR21*$C$32)</f>
        <v/>
      </c>
      <c r="DO32" s="11" t="str">
        <f ca="1">IF(History!DS$2="","",History!DS21*$C$32)</f>
        <v/>
      </c>
      <c r="DP32" s="11" t="str">
        <f ca="1">IF(History!DT$2="","",History!DT21*$C$32)</f>
        <v/>
      </c>
      <c r="DQ32" s="11" t="str">
        <f ca="1">IF(History!DU$2="","",History!DU21*$C$32)</f>
        <v/>
      </c>
      <c r="DR32" s="11" t="str">
        <f ca="1">IF(History!DV$2="","",History!DV21*$C$32)</f>
        <v/>
      </c>
      <c r="DS32" s="11" t="str">
        <f ca="1">IF(History!DW$2="","",History!DW21*$C$32)</f>
        <v/>
      </c>
      <c r="DT32" s="11" t="str">
        <f ca="1">IF(History!DX$2="","",History!DX21*$C$32)</f>
        <v/>
      </c>
      <c r="DU32" s="11" t="str">
        <f ca="1">IF(History!DY$2="","",History!DY21*$C$32)</f>
        <v/>
      </c>
      <c r="DV32" s="11" t="str">
        <f ca="1">IF(History!DZ$2="","",History!DZ21*$C$32)</f>
        <v/>
      </c>
      <c r="DW32" s="11" t="str">
        <f ca="1">IF(History!EA$2="","",History!EA21*$C$32)</f>
        <v/>
      </c>
      <c r="DX32" s="11" t="str">
        <f ca="1">IF(History!EB$2="","",History!EB21*$C$32)</f>
        <v/>
      </c>
      <c r="DY32" s="11" t="str">
        <f ca="1">IF(History!EC$2="","",History!EC21*$C$32)</f>
        <v/>
      </c>
      <c r="DZ32" s="11" t="str">
        <f ca="1">IF(History!ED$2="","",History!ED21*$C$32)</f>
        <v/>
      </c>
      <c r="EA32" s="11" t="str">
        <f ca="1">IF(History!EE$2="","",History!EE21*$C$32)</f>
        <v/>
      </c>
      <c r="EB32" s="11" t="str">
        <f ca="1">IF(History!EF$2="","",History!EF21*$C$32)</f>
        <v/>
      </c>
      <c r="EC32" s="11" t="str">
        <f ca="1">IF(History!EG$2="","",History!EG21*$C$32)</f>
        <v/>
      </c>
      <c r="ED32" s="11" t="str">
        <f ca="1">IF(History!EH$2="","",History!EH21*$C$32)</f>
        <v/>
      </c>
      <c r="EE32" s="11" t="str">
        <f ca="1">IF(History!EI$2="","",History!EI21*$C$32)</f>
        <v/>
      </c>
      <c r="EF32" s="11" t="str">
        <f ca="1">IF(History!EJ$2="","",History!EJ21*$C$32)</f>
        <v/>
      </c>
      <c r="EG32" s="11" t="str">
        <f ca="1">IF(History!EK$2="","",History!EK21*$C$32)</f>
        <v/>
      </c>
      <c r="EH32" s="11" t="str">
        <f ca="1">IF(History!EL$2="","",History!EL21*$C$32)</f>
        <v/>
      </c>
      <c r="EI32" s="11" t="str">
        <f ca="1">IF(History!EM$2="","",History!EM21*$C$32)</f>
        <v/>
      </c>
      <c r="EJ32" s="11" t="str">
        <f ca="1">IF(History!EN$2="","",History!EN21*$C$32)</f>
        <v/>
      </c>
      <c r="EK32" s="11" t="str">
        <f ca="1">IF(History!EO$2="","",History!EO21*$C$32)</f>
        <v/>
      </c>
      <c r="EL32" s="11" t="str">
        <f ca="1">IF(History!EP$2="","",History!EP21*$C$32)</f>
        <v/>
      </c>
      <c r="EM32" s="11" t="str">
        <f ca="1">IF(History!EQ$2="","",History!EQ21*$C$32)</f>
        <v/>
      </c>
      <c r="EN32" s="11" t="str">
        <f ca="1">IF(History!ER$2="","",History!ER21*$C$32)</f>
        <v/>
      </c>
      <c r="EO32" s="11" t="str">
        <f ca="1">IF(History!ES$2="","",History!ES21*$C$32)</f>
        <v/>
      </c>
      <c r="EP32" s="11" t="str">
        <f ca="1">IF(History!ET$2="","",History!ET21*$C$32)</f>
        <v/>
      </c>
      <c r="EQ32" s="11" t="str">
        <f ca="1">IF(History!EU$2="","",History!EU21*$C$32)</f>
        <v/>
      </c>
      <c r="ER32" s="11" t="str">
        <f ca="1">IF(History!EV$2="","",History!EV21*$C$32)</f>
        <v/>
      </c>
      <c r="ES32" s="11" t="str">
        <f ca="1">IF(History!EW$2="","",History!EW21*$C$32)</f>
        <v/>
      </c>
      <c r="ET32" s="11" t="str">
        <f ca="1">IF(History!EX$2="","",History!EX21*$C$32)</f>
        <v/>
      </c>
      <c r="EU32" s="11" t="str">
        <f ca="1">IF(History!EY$2="","",History!EY21*$C$32)</f>
        <v/>
      </c>
      <c r="EV32" s="11" t="str">
        <f ca="1">IF(History!EZ$2="","",History!EZ21*$C$32)</f>
        <v/>
      </c>
      <c r="EW32" s="11" t="str">
        <f ca="1">IF(History!FA$2="","",History!FA21*$C$32)</f>
        <v/>
      </c>
      <c r="EX32" s="11" t="str">
        <f ca="1">IF(History!FB$2="","",History!FB21*$C$32)</f>
        <v/>
      </c>
      <c r="EY32" s="11" t="str">
        <f ca="1">IF(History!FC$2="","",History!FC21*$C$32)</f>
        <v/>
      </c>
      <c r="EZ32" s="11" t="str">
        <f ca="1">IF(History!FD$2="","",History!FD21*$C$32)</f>
        <v/>
      </c>
      <c r="FA32" s="11" t="str">
        <f ca="1">IF(History!FE$2="","",History!FE21*$C$32)</f>
        <v/>
      </c>
      <c r="FB32" s="11" t="str">
        <f ca="1">IF(History!FF$2="","",History!FF21*$C$32)</f>
        <v/>
      </c>
      <c r="FC32" s="11" t="str">
        <f ca="1">IF(History!FG$2="","",History!FG21*$C$32)</f>
        <v/>
      </c>
      <c r="FD32" s="11" t="str">
        <f ca="1">IF(History!FH$2="","",History!FH21*$C$32)</f>
        <v/>
      </c>
      <c r="FE32" s="11" t="str">
        <f ca="1">IF(History!FI$2="","",History!FI21*$C$32)</f>
        <v/>
      </c>
      <c r="FF32" s="11" t="str">
        <f ca="1">IF(History!FJ$2="","",History!FJ21*$C$32)</f>
        <v/>
      </c>
      <c r="FG32" s="11" t="str">
        <f ca="1">IF(History!FK$2="","",History!FK21*$C$32)</f>
        <v/>
      </c>
      <c r="FH32" s="11" t="str">
        <f ca="1">IF(History!FL$2="","",History!FL21*$C$32)</f>
        <v/>
      </c>
      <c r="FI32" s="11" t="str">
        <f ca="1">IF(History!FM$2="","",History!FM21*$C$32)</f>
        <v/>
      </c>
      <c r="FJ32" s="11" t="str">
        <f ca="1">IF(History!FN$2="","",History!FN21*$C$32)</f>
        <v/>
      </c>
      <c r="FK32" s="11" t="str">
        <f ca="1">IF(History!FO$2="","",History!FO21*$C$32)</f>
        <v/>
      </c>
      <c r="FL32" s="11" t="str">
        <f ca="1">IF(History!FP$2="","",History!FP21*$C$32)</f>
        <v/>
      </c>
      <c r="FM32" s="11" t="str">
        <f ca="1">IF(History!FQ$2="","",History!FQ21*$C$32)</f>
        <v/>
      </c>
      <c r="FN32" s="11" t="str">
        <f ca="1">IF(History!FR$2="","",History!FR21*$C$32)</f>
        <v/>
      </c>
      <c r="FO32" s="11" t="str">
        <f ca="1">IF(History!FS$2="","",History!FS21*$C$32)</f>
        <v/>
      </c>
      <c r="FP32" s="11" t="str">
        <f ca="1">IF(History!FT$2="","",History!FT21*$C$32)</f>
        <v/>
      </c>
      <c r="FQ32" s="11" t="str">
        <f ca="1">IF(History!FU$2="","",History!FU21*$C$32)</f>
        <v/>
      </c>
      <c r="FR32" s="11" t="str">
        <f ca="1">IF(History!FV$2="","",History!FV21*$C$32)</f>
        <v/>
      </c>
      <c r="FS32" s="11" t="str">
        <f ca="1">IF(History!FW$2="","",History!FW21*$C$32)</f>
        <v/>
      </c>
      <c r="FT32" s="11" t="str">
        <f ca="1">IF(History!FX$2="","",History!FX21*$C$32)</f>
        <v/>
      </c>
      <c r="FU32" s="11" t="str">
        <f ca="1">IF(History!FY$2="","",History!FY21*$C$32)</f>
        <v/>
      </c>
      <c r="FV32" s="11" t="str">
        <f ca="1">IF(History!FZ$2="","",History!FZ21*$C$32)</f>
        <v/>
      </c>
      <c r="FW32" s="11" t="str">
        <f ca="1">IF(History!GA$2="","",History!GA21*$C$32)</f>
        <v/>
      </c>
      <c r="FX32" s="11" t="str">
        <f ca="1">IF(History!GB$2="","",History!GB21*$C$32)</f>
        <v/>
      </c>
      <c r="FY32" s="11" t="str">
        <f ca="1">IF(History!GC$2="","",History!GC21*$C$32)</f>
        <v/>
      </c>
      <c r="FZ32" s="11" t="str">
        <f ca="1">IF(History!GD$2="","",History!GD21*$C$32)</f>
        <v/>
      </c>
      <c r="GA32" s="11" t="str">
        <f ca="1">IF(History!GE$2="","",History!GE21*$C$32)</f>
        <v/>
      </c>
      <c r="GB32" s="11" t="str">
        <f ca="1">IF(History!GF$2="","",History!GF21*$C$32)</f>
        <v/>
      </c>
      <c r="GC32" s="11" t="str">
        <f ca="1">IF(History!GG$2="","",History!GG21*$C$32)</f>
        <v/>
      </c>
      <c r="GD32" s="11" t="str">
        <f ca="1">IF(History!GH$2="","",History!GH21*$C$32)</f>
        <v/>
      </c>
      <c r="GE32" s="11" t="str">
        <f ca="1">IF(History!GI$2="","",History!GI21*$C$32)</f>
        <v/>
      </c>
      <c r="GF32" s="11" t="str">
        <f ca="1">IF(History!GJ$2="","",History!GJ21*$C$32)</f>
        <v/>
      </c>
      <c r="GG32" s="11" t="str">
        <f ca="1">IF(History!GK$2="","",History!GK21*$C$32)</f>
        <v/>
      </c>
      <c r="GH32" s="11" t="str">
        <f ca="1">IF(History!GL$2="","",History!GL21*$C$32)</f>
        <v/>
      </c>
      <c r="GI32" s="11" t="str">
        <f ca="1">IF(History!GM$2="","",History!GM21*$C$32)</f>
        <v/>
      </c>
      <c r="GJ32" s="11" t="str">
        <f ca="1">IF(History!GN$2="","",History!GN21*$C$32)</f>
        <v/>
      </c>
      <c r="GK32" s="11" t="str">
        <f ca="1">IF(History!GO$2="","",History!GO21*$C$32)</f>
        <v/>
      </c>
      <c r="GL32" s="11" t="str">
        <f ca="1">IF(History!GP$2="","",History!GP21*$C$32)</f>
        <v/>
      </c>
      <c r="GM32" s="11" t="str">
        <f ca="1">IF(History!GQ$2="","",History!GQ21*$C$32)</f>
        <v/>
      </c>
      <c r="GN32" s="11" t="str">
        <f ca="1">IF(History!GR$2="","",History!GR21*$C$32)</f>
        <v/>
      </c>
      <c r="GO32" s="11" t="str">
        <f ca="1">IF(History!GS$2="","",History!GS21*$C$32)</f>
        <v/>
      </c>
      <c r="GP32" s="11" t="str">
        <f ca="1">IF(History!GT$2="","",History!GT21*$C$32)</f>
        <v/>
      </c>
      <c r="GQ32" s="11" t="str">
        <f ca="1">IF(History!GU$2="","",History!GU21*$C$32)</f>
        <v/>
      </c>
      <c r="GR32" s="11" t="str">
        <f ca="1">IF(History!GV$2="","",History!GV21*$C$32)</f>
        <v/>
      </c>
      <c r="GS32" s="11" t="str">
        <f ca="1">IF(History!GW$2="","",History!GW21*$C$32)</f>
        <v/>
      </c>
      <c r="GT32" s="11" t="str">
        <f ca="1">IF(History!GX$2="","",History!GX21*$C$32)</f>
        <v/>
      </c>
      <c r="GU32" s="11" t="str">
        <f ca="1">IF(History!GY$2="","",History!GY21*$C$32)</f>
        <v/>
      </c>
      <c r="GV32" s="11" t="str">
        <f ca="1">IF(History!GZ$2="","",History!GZ21*$C$32)</f>
        <v/>
      </c>
      <c r="GW32" s="11" t="str">
        <f ca="1">IF(History!HA$2="","",History!HA21*$C$32)</f>
        <v/>
      </c>
      <c r="GX32" s="11" t="str">
        <f ca="1">IF(History!HB$2="","",History!HB21*$C$32)</f>
        <v/>
      </c>
      <c r="GY32" s="11" t="str">
        <f ca="1">IF(History!HC$2="","",History!HC21*$C$32)</f>
        <v/>
      </c>
      <c r="GZ32" s="11" t="str">
        <f ca="1">IF(History!HD$2="","",History!HD21*$C$32)</f>
        <v/>
      </c>
      <c r="HA32" s="11" t="str">
        <f ca="1">IF(History!HE$2="","",History!HE21*$C$32)</f>
        <v/>
      </c>
      <c r="HB32" s="11" t="str">
        <f ca="1">IF(History!HF$2="","",History!HF21*$C$32)</f>
        <v/>
      </c>
      <c r="HC32" s="11" t="str">
        <f ca="1">IF(History!HG$2="","",History!HG21*$C$32)</f>
        <v/>
      </c>
      <c r="HD32" s="11" t="str">
        <f ca="1">IF(History!HH$2="","",History!HH21*$C$32)</f>
        <v/>
      </c>
      <c r="HE32" s="11" t="str">
        <f ca="1">IF(History!HI$2="","",History!HI21*$C$32)</f>
        <v/>
      </c>
      <c r="HF32" s="11" t="str">
        <f ca="1">IF(History!HJ$2="","",History!HJ21*$C$32)</f>
        <v/>
      </c>
      <c r="HG32" s="11" t="str">
        <f ca="1">IF(History!HK$2="","",History!HK21*$C$32)</f>
        <v/>
      </c>
      <c r="HH32" s="11" t="str">
        <f ca="1">IF(History!HL$2="","",History!HL21*$C$32)</f>
        <v/>
      </c>
      <c r="HI32" s="11" t="str">
        <f ca="1">IF(History!HM$2="","",History!HM21*$C$32)</f>
        <v/>
      </c>
      <c r="HJ32" s="11" t="str">
        <f ca="1">IF(History!HN$2="","",History!HN21*$C$32)</f>
        <v/>
      </c>
      <c r="HK32" s="11" t="str">
        <f ca="1">IF(History!HO$2="","",History!HO21*$C$32)</f>
        <v/>
      </c>
      <c r="HL32" s="11" t="str">
        <f ca="1">IF(History!HP$2="","",History!HP21*$C$32)</f>
        <v/>
      </c>
      <c r="HM32" s="11" t="str">
        <f ca="1">IF(History!HQ$2="","",History!HQ21*$C$32)</f>
        <v/>
      </c>
      <c r="HN32" s="11" t="str">
        <f ca="1">IF(History!HR$2="","",History!HR21*$C$32)</f>
        <v/>
      </c>
      <c r="HO32" s="11" t="str">
        <f ca="1">IF(History!HS$2="","",History!HS21*$C$32)</f>
        <v/>
      </c>
      <c r="HP32" s="11" t="str">
        <f ca="1">IF(History!HT$2="","",History!HT21*$C$32)</f>
        <v/>
      </c>
      <c r="HQ32" s="11" t="str">
        <f ca="1">IF(History!HU$2="","",History!HU21*$C$32)</f>
        <v/>
      </c>
      <c r="HR32" s="11" t="str">
        <f ca="1">IF(History!HV$2="","",History!HV21*$C$32)</f>
        <v/>
      </c>
      <c r="HS32" s="11" t="str">
        <f ca="1">IF(History!HW$2="","",History!HW21*$C$32)</f>
        <v/>
      </c>
      <c r="HT32" s="11" t="str">
        <f ca="1">IF(History!HX$2="","",History!HX21*$C$32)</f>
        <v/>
      </c>
      <c r="HU32" s="11" t="str">
        <f ca="1">IF(History!HY$2="","",History!HY21*$C$32)</f>
        <v/>
      </c>
      <c r="HV32" s="11" t="str">
        <f ca="1">IF(History!HZ$2="","",History!HZ21*$C$32)</f>
        <v/>
      </c>
      <c r="HW32" s="11" t="str">
        <f ca="1">IF(History!IA$2="","",History!IA21*$C$32)</f>
        <v/>
      </c>
      <c r="HX32" s="11" t="str">
        <f ca="1">IF(History!IB$2="","",History!IB21*$C$32)</f>
        <v/>
      </c>
      <c r="HY32" s="11" t="str">
        <f ca="1">IF(History!IC$2="","",History!IC21*$C$32)</f>
        <v/>
      </c>
      <c r="HZ32" s="11" t="str">
        <f ca="1">IF(History!ID$2="","",History!ID21*$C$32)</f>
        <v/>
      </c>
      <c r="IA32" s="11" t="str">
        <f ca="1">IF(History!IE$2="","",History!IE21*$C$32)</f>
        <v/>
      </c>
      <c r="IB32" s="11" t="str">
        <f ca="1">IF(History!IF$2="","",History!IF21*$C$32)</f>
        <v/>
      </c>
      <c r="IC32" s="11" t="str">
        <f ca="1">IF(History!IG$2="","",History!IG21*$C$32)</f>
        <v/>
      </c>
      <c r="ID32" s="11" t="str">
        <f ca="1">IF(History!IH$2="","",History!IH21*$C$32)</f>
        <v/>
      </c>
      <c r="IE32" s="11" t="str">
        <f ca="1">IF(History!II$2="","",History!II21*$C$32)</f>
        <v/>
      </c>
      <c r="IF32" s="11" t="str">
        <f ca="1">IF(History!IJ$2="","",History!IJ21*$C$32)</f>
        <v/>
      </c>
      <c r="IG32" s="11" t="str">
        <f ca="1">IF(History!IK$2="","",History!IK21*$C$32)</f>
        <v/>
      </c>
      <c r="IH32" s="11" t="str">
        <f ca="1">IF(History!IL$2="","",History!IL21*$C$32)</f>
        <v/>
      </c>
      <c r="II32" s="11" t="str">
        <f ca="1">IF(History!IM$2="","",History!IM21*$C$32)</f>
        <v/>
      </c>
      <c r="IJ32" s="11" t="str">
        <f ca="1">IF(History!IN$2="","",History!IN21*$C$32)</f>
        <v/>
      </c>
      <c r="IK32" s="11" t="str">
        <f ca="1">IF(History!IO$2="","",History!IO21*$C$32)</f>
        <v/>
      </c>
      <c r="IL32" s="11" t="str">
        <f ca="1">IF(History!IP$2="","",History!IP21*$C$32)</f>
        <v/>
      </c>
      <c r="IM32" s="11" t="str">
        <f ca="1">IF(History!IQ$2="","",History!IQ21*$C$32)</f>
        <v/>
      </c>
      <c r="IN32" s="11" t="str">
        <f ca="1">IF(History!IR$2="","",History!IR21*$C$32)</f>
        <v/>
      </c>
      <c r="IO32" s="11" t="str">
        <f ca="1">IF(History!IS$2="","",History!IS21*$C$32)</f>
        <v/>
      </c>
      <c r="IP32" s="11" t="str">
        <f ca="1">IF(History!IT$2="","",History!IT21*$C$32)</f>
        <v/>
      </c>
      <c r="IQ32" s="11" t="str">
        <f ca="1">IF(History!IU$2="","",History!IU21*$C$32)</f>
        <v/>
      </c>
      <c r="IR32" s="11" t="str">
        <f ca="1">IF(History!IV$2="","",History!IV21*$C$32)</f>
        <v/>
      </c>
      <c r="IS32" s="11" t="str">
        <f ca="1">IF(History!IW$2="","",History!IW21*$C$32)</f>
        <v/>
      </c>
      <c r="IT32" s="11" t="str">
        <f ca="1">IF(History!IX$2="","",History!IX21*$C$32)</f>
        <v/>
      </c>
      <c r="IU32" s="11" t="str">
        <f ca="1">IF(History!IY$2="","",History!IY21*$C$32)</f>
        <v/>
      </c>
      <c r="IV32" s="11" t="str">
        <f ca="1">IF(History!IZ$2="","",History!IZ21*$C$32)</f>
        <v/>
      </c>
      <c r="IW32" s="11" t="str">
        <f ca="1">IF(History!JA$2="","",History!JA21*$C$32)</f>
        <v/>
      </c>
      <c r="IX32" s="11" t="str">
        <f ca="1">IF(History!JB$2="","",History!JB21*$C$32)</f>
        <v/>
      </c>
      <c r="IY32" s="11" t="str">
        <f ca="1">IF(History!JC$2="","",History!JC21*$C$32)</f>
        <v/>
      </c>
      <c r="IZ32" s="11" t="str">
        <f ca="1">IF(History!JD$2="","",History!JD21*$C$32)</f>
        <v/>
      </c>
      <c r="JA32" s="11" t="str">
        <f ca="1">IF(History!JE$2="","",History!JE21*$C$32)</f>
        <v/>
      </c>
      <c r="JB32" s="11" t="str">
        <f ca="1">IF(History!JF$2="","",History!JF21*$C$32)</f>
        <v/>
      </c>
      <c r="JC32" s="11" t="str">
        <f ca="1">IF(History!JG$2="","",History!JG21*$C$32)</f>
        <v/>
      </c>
      <c r="JD32" s="11" t="str">
        <f ca="1">IF(History!JH$2="","",History!JH21*$C$32)</f>
        <v/>
      </c>
      <c r="JE32" s="11" t="str">
        <f ca="1">IF(History!JI$2="","",History!JI21*$C$32)</f>
        <v/>
      </c>
      <c r="JF32" s="11" t="str">
        <f ca="1">IF(History!JJ$2="","",History!JJ21*$C$32)</f>
        <v/>
      </c>
      <c r="JG32" s="11" t="str">
        <f ca="1">IF(History!JK$2="","",History!JK21*$C$32)</f>
        <v/>
      </c>
      <c r="JH32" s="11" t="str">
        <f ca="1">IF(History!JL$2="","",History!JL21*$C$32)</f>
        <v/>
      </c>
      <c r="JI32" s="11" t="str">
        <f ca="1">IF(History!JM$2="","",History!JM21*$C$32)</f>
        <v/>
      </c>
      <c r="JJ32" s="11" t="str">
        <f ca="1">IF(History!JN$2="","",History!JN21*$C$32)</f>
        <v/>
      </c>
      <c r="JK32" s="11" t="str">
        <f ca="1">IF(History!JO$2="","",History!JO21*$C$32)</f>
        <v/>
      </c>
      <c r="JL32" s="11" t="str">
        <f ca="1">IF(History!JP$2="","",History!JP21*$C$32)</f>
        <v/>
      </c>
      <c r="JM32" s="11" t="str">
        <f ca="1">IF(History!JQ$2="","",History!JQ21*$C$32)</f>
        <v/>
      </c>
      <c r="JN32" s="11" t="str">
        <f ca="1">IF(History!JR$2="","",History!JR21*$C$32)</f>
        <v/>
      </c>
      <c r="JO32" s="11" t="str">
        <f ca="1">IF(History!JS$2="","",History!JS21*$C$32)</f>
        <v/>
      </c>
      <c r="JP32" s="11" t="str">
        <f ca="1">IF(History!JT$2="","",History!JT21*$C$32)</f>
        <v/>
      </c>
      <c r="JQ32" s="11" t="str">
        <f ca="1">IF(History!JU$2="","",History!JU21*$C$32)</f>
        <v/>
      </c>
      <c r="JR32" s="11" t="str">
        <f ca="1">IF(History!JV$2="","",History!JV21*$C$32)</f>
        <v/>
      </c>
      <c r="JS32" s="11" t="str">
        <f ca="1">IF(History!JW$2="","",History!JW21*$C$32)</f>
        <v/>
      </c>
      <c r="JT32" s="11" t="str">
        <f ca="1">IF(History!JX$2="","",History!JX21*$C$32)</f>
        <v/>
      </c>
      <c r="JU32" s="11" t="str">
        <f ca="1">IF(History!JY$2="","",History!JY21*$C$32)</f>
        <v/>
      </c>
      <c r="JV32" s="11" t="str">
        <f ca="1">IF(History!JZ$2="","",History!JZ21*$C$32)</f>
        <v/>
      </c>
      <c r="JW32" s="11" t="str">
        <f ca="1">IF(History!KA$2="","",History!KA21*$C$32)</f>
        <v/>
      </c>
      <c r="JX32" s="11" t="str">
        <f ca="1">IF(History!KB$2="","",History!KB21*$C$32)</f>
        <v/>
      </c>
      <c r="JY32" s="11" t="str">
        <f ca="1">IF(History!KC$2="","",History!KC21*$C$32)</f>
        <v/>
      </c>
      <c r="JZ32" s="11" t="str">
        <f ca="1">IF(History!KD$2="","",History!KD21*$C$32)</f>
        <v/>
      </c>
      <c r="KA32" s="11" t="str">
        <f ca="1">IF(History!KE$2="","",History!KE21*$C$32)</f>
        <v/>
      </c>
      <c r="KB32" s="11" t="str">
        <f ca="1">IF(History!KF$2="","",History!KF21*$C$32)</f>
        <v/>
      </c>
    </row>
    <row r="33" spans="1:288" ht="15.75" customHeight="1">
      <c r="A33" s="22" t="s">
        <v>30</v>
      </c>
      <c r="B33" s="6" t="s">
        <v>66</v>
      </c>
      <c r="C33" s="26">
        <v>74</v>
      </c>
      <c r="D33" s="11">
        <f ca="1">IF(History!H$2="","",History!H22*$C$33)</f>
        <v>2555.2200000000003</v>
      </c>
      <c r="E33" s="11">
        <f ca="1">IF(History!I$2="","",History!I22*$C$33)</f>
        <v>2608.5</v>
      </c>
      <c r="F33" s="11">
        <f ca="1">IF(History!J$2="","",History!J22*$C$33)</f>
        <v>2580.3799999999997</v>
      </c>
      <c r="G33" s="11">
        <f ca="1">IF(History!K$2="","",History!K22*$C$33)</f>
        <v>2570.7600000000002</v>
      </c>
      <c r="H33" s="11">
        <f ca="1">IF(History!L$2="","",History!L22*$C$33)</f>
        <v>2556.6999999999998</v>
      </c>
      <c r="I33" s="11">
        <f ca="1">IF(History!M$2="","",History!M22*$C$33)</f>
        <v>2475.3000000000002</v>
      </c>
      <c r="J33" s="11">
        <f ca="1">IF(History!N$2="","",History!N22*$C$33)</f>
        <v>2474.56</v>
      </c>
      <c r="K33" s="11">
        <f ca="1">IF(History!O$2="","",History!O22*$C$33)</f>
        <v>2454.58</v>
      </c>
      <c r="L33" s="11">
        <f ca="1">IF(History!P$2="","",History!P22*$C$33)</f>
        <v>2462.7200000000003</v>
      </c>
      <c r="M33" s="11">
        <f ca="1">IF(History!Q$2="","",History!Q22*$C$33)</f>
        <v>2506.3799999999997</v>
      </c>
      <c r="N33" s="11">
        <f ca="1">IF(History!R$2="","",History!R22*$C$33)</f>
        <v>2413.14</v>
      </c>
      <c r="O33" s="11">
        <f ca="1">IF(History!S$2="","",History!S22*$C$33)</f>
        <v>2385.02</v>
      </c>
      <c r="P33" s="11">
        <f ca="1">IF(History!T$2="","",History!T22*$C$33)</f>
        <v>2390.1999999999998</v>
      </c>
      <c r="Q33" s="11">
        <f ca="1">IF(History!U$2="","",History!U22*$C$33)</f>
        <v>2542.64</v>
      </c>
      <c r="R33" s="11">
        <f ca="1">IF(History!V$2="","",History!V22*$C$33)</f>
        <v>2543.3799999999997</v>
      </c>
      <c r="S33" s="11">
        <f ca="1">IF(History!W$2="","",History!W22*$C$33)</f>
        <v>2549.3000000000002</v>
      </c>
      <c r="T33" s="11">
        <f ca="1">IF(History!X$2="","",History!X22*$C$33)</f>
        <v>2519.6999999999998</v>
      </c>
      <c r="U33" s="11">
        <f ca="1">IF(History!Y$2="","",History!Y22*$C$33)</f>
        <v>2448.6600000000003</v>
      </c>
      <c r="V33" s="11">
        <f ca="1">IF(History!Z$2="","",History!Z22*$C$33)</f>
        <v>2450.8799999999997</v>
      </c>
      <c r="W33" s="11">
        <f ca="1">IF(History!AA$2="","",History!AA22*$C$33)</f>
        <v>2487.14</v>
      </c>
      <c r="X33" s="11">
        <f ca="1">IF(History!AB$2="","",History!AB22*$C$33)</f>
        <v>2496.7600000000002</v>
      </c>
      <c r="Y33" s="11">
        <f ca="1">IF(History!AC$2="","",History!AC22*$C$33)</f>
        <v>2553</v>
      </c>
      <c r="Z33" s="11">
        <f ca="1">IF(History!AD$2="","",History!AD22*$C$33)</f>
        <v>2518.2200000000003</v>
      </c>
      <c r="AA33" s="11">
        <f ca="1">IF(History!AE$2="","",History!AE22*$C$33)</f>
        <v>2496.02</v>
      </c>
      <c r="AB33" s="11">
        <f ca="1">IF(History!AF$2="","",History!AF22*$C$33)</f>
        <v>2498.2399999999998</v>
      </c>
      <c r="AC33" s="11">
        <f ca="1">IF(History!AG$2="","",History!AG22*$C$33)</f>
        <v>2578.1600000000003</v>
      </c>
      <c r="AD33" s="11">
        <f ca="1">IF(History!AH$2="","",History!AH22*$C$33)</f>
        <v>2598.8799999999997</v>
      </c>
      <c r="AE33" s="11">
        <f ca="1">IF(History!AI$2="","",History!AI22*$C$33)</f>
        <v>2504.9</v>
      </c>
      <c r="AF33" s="11">
        <f ca="1">IF(History!AJ$2="","",History!AJ22*$C$33)</f>
        <v>2446.44</v>
      </c>
      <c r="AG33" s="11">
        <f ca="1">IF(History!AK$2="","",History!AK22*$C$33)</f>
        <v>2456.8000000000002</v>
      </c>
      <c r="AH33" s="11">
        <f ca="1">IF(History!AL$2="","",History!AL22*$C$33)</f>
        <v>2416.8399999999997</v>
      </c>
      <c r="AI33" s="11">
        <f ca="1">IF(History!AM$2="","",History!AM22*$C$33)</f>
        <v>2484.92</v>
      </c>
      <c r="AJ33" s="11">
        <f ca="1">IF(History!AN$2="","",History!AN22*$C$33)</f>
        <v>2537.46</v>
      </c>
      <c r="AK33" s="11">
        <f ca="1">IF(History!AO$2="","",History!AO22*$C$33)</f>
        <v>2480.48</v>
      </c>
      <c r="AL33" s="11">
        <f ca="1">IF(History!AP$2="","",History!AP22*$C$33)</f>
        <v>2345.06</v>
      </c>
      <c r="AM33" s="11">
        <f ca="1">IF(History!AQ$2="","",History!AQ22*$C$33)</f>
        <v>2408.6999999999998</v>
      </c>
      <c r="AN33" s="11">
        <f ca="1">IF(History!AR$2="","",History!AR22*$C$33)</f>
        <v>2425.7200000000003</v>
      </c>
      <c r="AO33" s="11">
        <f ca="1">IF(History!AS$2="","",History!AS22*$C$33)</f>
        <v>2374.6600000000003</v>
      </c>
      <c r="AP33" s="11">
        <f ca="1">IF(History!AT$2="","",History!AT22*$C$33)</f>
        <v>2332.48</v>
      </c>
      <c r="AQ33" s="11">
        <f ca="1">IF(History!AU$2="","",History!AU22*$C$33)</f>
        <v>2336.92</v>
      </c>
      <c r="AR33" s="11">
        <f ca="1">IF(History!AV$2="","",History!AV22*$C$33)</f>
        <v>2416.8399999999997</v>
      </c>
      <c r="AS33" s="11">
        <f ca="1">IF(History!AW$2="","",History!AW22*$C$33)</f>
        <v>2378.36</v>
      </c>
      <c r="AT33" s="11">
        <f ca="1">IF(History!AX$2="","",History!AX22*$C$33)</f>
        <v>2339.14</v>
      </c>
      <c r="AU33" s="11">
        <f ca="1">IF(History!AY$2="","",History!AY22*$C$33)</f>
        <v>2331</v>
      </c>
      <c r="AV33" s="11">
        <f ca="1">IF(History!AZ$2="","",History!AZ22*$C$33)</f>
        <v>2367.2599999999998</v>
      </c>
      <c r="AW33" s="11">
        <f ca="1">IF(History!BA$2="","",History!BA22*$C$33)</f>
        <v>2429.42</v>
      </c>
      <c r="AX33" s="11">
        <f ca="1">IF(History!BB$2="","",History!BB22*$C$33)</f>
        <v>2438.3000000000002</v>
      </c>
      <c r="AY33" s="11">
        <f ca="1">IF(History!BC$2="","",History!BC22*$C$33)</f>
        <v>2461.2399999999998</v>
      </c>
      <c r="AZ33" s="11">
        <f ca="1">IF(History!BD$2="","",History!BD22*$C$33)</f>
        <v>2487.14</v>
      </c>
      <c r="BA33" s="11">
        <f ca="1">IF(History!BE$2="","",History!BE22*$C$33)</f>
        <v>2476.7799999999997</v>
      </c>
      <c r="BB33" s="11">
        <f ca="1">IF(History!BF$2="","",History!BF22*$C$33)</f>
        <v>2411.6600000000003</v>
      </c>
      <c r="BC33" s="11">
        <f ca="1">IF(History!BG$2="","",History!BG22*$C$33)</f>
        <v>2414.6200000000003</v>
      </c>
      <c r="BD33" s="11">
        <f ca="1">IF(History!BH$2="","",History!BH22*$C$33)</f>
        <v>2409.44</v>
      </c>
      <c r="BE33" s="11">
        <f ca="1">IF(History!BI$2="","",History!BI22*$C$33)</f>
        <v>2405.7399999999998</v>
      </c>
      <c r="BF33" s="11">
        <f ca="1">IF(History!BJ$2="","",History!BJ22*$C$33)</f>
        <v>2461.2399999999998</v>
      </c>
      <c r="BG33" s="11">
        <f ca="1">IF(History!BK$2="","",History!BK22*$C$33)</f>
        <v>2389.46</v>
      </c>
      <c r="BH33" s="11">
        <f ca="1">IF(History!BL$2="","",History!BL22*$C$33)</f>
        <v>2330.2599999999998</v>
      </c>
      <c r="BI33" s="11">
        <f ca="1">IF(History!BM$2="","",History!BM22*$C$33)</f>
        <v>2223.7000000000003</v>
      </c>
      <c r="BJ33" s="11">
        <f ca="1">IF(History!BN$2="","",History!BN22*$C$33)</f>
        <v>2191.88</v>
      </c>
      <c r="BK33" s="11">
        <f ca="1">IF(History!BO$2="","",History!BO22*$C$33)</f>
        <v>2126.7599999999998</v>
      </c>
      <c r="BL33" s="11">
        <f ca="1">IF(History!BP$2="","",History!BP22*$C$33)</f>
        <v>2025.38</v>
      </c>
      <c r="BM33" s="11">
        <f ca="1">IF(History!BQ$2="","",History!BQ22*$C$33)</f>
        <v>1973.5800000000002</v>
      </c>
      <c r="BN33" s="11">
        <f ca="1">IF(History!BR$2="","",History!BR22*$C$33)</f>
        <v>1978.76</v>
      </c>
      <c r="BO33" s="11">
        <f ca="1">IF(History!BS$2="","",History!BS22*$C$33)</f>
        <v>2042.4</v>
      </c>
      <c r="BP33" s="11">
        <f ca="1">IF(History!BT$2="","",History!BT22*$C$33)</f>
        <v>2008.3600000000001</v>
      </c>
      <c r="BQ33" s="11">
        <f ca="1">IF(History!BU$2="","",History!BU22*$C$33)</f>
        <v>2020.9399999999998</v>
      </c>
      <c r="BR33" s="11">
        <f ca="1">IF(History!BV$2="","",History!BV22*$C$33)</f>
        <v>2034.26</v>
      </c>
      <c r="BS33" s="11">
        <f ca="1">IF(History!BW$2="","",History!BW22*$C$33)</f>
        <v>2058.6799999999998</v>
      </c>
      <c r="BT33" s="11">
        <f ca="1">IF(History!BX$2="","",History!BX22*$C$33)</f>
        <v>2113.44</v>
      </c>
      <c r="BU33" s="11">
        <f ca="1">IF(History!BY$2="","",History!BY22*$C$33)</f>
        <v>2148.2200000000003</v>
      </c>
      <c r="BV33" s="11">
        <f ca="1">IF(History!BZ$2="","",History!BZ22*$C$33)</f>
        <v>2111.96</v>
      </c>
      <c r="BW33" s="11">
        <f ca="1">IF(History!CA$2="","",History!CA22*$C$33)</f>
        <v>2097.9</v>
      </c>
      <c r="BX33" s="11">
        <f ca="1">IF(History!CB$2="","",History!CB22*$C$33)</f>
        <v>2101.6</v>
      </c>
      <c r="BY33" s="11">
        <f ca="1">IF(History!CC$2="","",History!CC22*$C$33)</f>
        <v>2006.1399999999999</v>
      </c>
      <c r="BZ33" s="11">
        <f ca="1">IF(History!CD$2="","",History!CD22*$C$33)</f>
        <v>1990.6</v>
      </c>
      <c r="CA33" s="11">
        <f ca="1">IF(History!CE$2="","",History!CE22*$C$33)</f>
        <v>2063.86</v>
      </c>
      <c r="CB33" s="11">
        <f ca="1">IF(History!CF$2="","",History!CF22*$C$33)</f>
        <v>2043.88</v>
      </c>
      <c r="CC33" s="11">
        <f ca="1">IF(History!CG$2="","",History!CG22*$C$33)</f>
        <v>2044.62</v>
      </c>
      <c r="CD33" s="11">
        <f ca="1">IF(History!CH$2="","",History!CH22*$C$33)</f>
        <v>2053.5</v>
      </c>
      <c r="CE33" s="11">
        <f ca="1">IF(History!CI$2="","",History!CI22*$C$33)</f>
        <v>2107.52</v>
      </c>
      <c r="CF33" s="11" t="str">
        <f ca="1">IF(History!CJ$2="","",History!CJ22*$C$33)</f>
        <v/>
      </c>
      <c r="CG33" s="11" t="str">
        <f ca="1">IF(History!CK$2="","",History!CK22*$C$33)</f>
        <v/>
      </c>
      <c r="CH33" s="11" t="str">
        <f ca="1">IF(History!CL$2="","",History!CL22*$C$33)</f>
        <v/>
      </c>
      <c r="CI33" s="11" t="str">
        <f ca="1">IF(History!CM$2="","",History!CM22*$C$33)</f>
        <v/>
      </c>
      <c r="CJ33" s="11" t="str">
        <f ca="1">IF(History!CN$2="","",History!CN22*$C$33)</f>
        <v/>
      </c>
      <c r="CK33" s="11" t="str">
        <f ca="1">IF(History!CO$2="","",History!CO22*$C$33)</f>
        <v/>
      </c>
      <c r="CL33" s="11" t="str">
        <f ca="1">IF(History!CP$2="","",History!CP22*$C$33)</f>
        <v/>
      </c>
      <c r="CM33" s="11" t="str">
        <f ca="1">IF(History!CQ$2="","",History!CQ22*$C$33)</f>
        <v/>
      </c>
      <c r="CN33" s="11" t="str">
        <f ca="1">IF(History!CR$2="","",History!CR22*$C$33)</f>
        <v/>
      </c>
      <c r="CO33" s="11" t="str">
        <f ca="1">IF(History!CS$2="","",History!CS22*$C$33)</f>
        <v/>
      </c>
      <c r="CP33" s="11" t="str">
        <f ca="1">IF(History!CT$2="","",History!CT22*$C$33)</f>
        <v/>
      </c>
      <c r="CQ33" s="11" t="str">
        <f ca="1">IF(History!CU$2="","",History!CU22*$C$33)</f>
        <v/>
      </c>
      <c r="CR33" s="11" t="str">
        <f ca="1">IF(History!CV$2="","",History!CV22*$C$33)</f>
        <v/>
      </c>
      <c r="CS33" s="11" t="str">
        <f ca="1">IF(History!CW$2="","",History!CW22*$C$33)</f>
        <v/>
      </c>
      <c r="CT33" s="11" t="str">
        <f ca="1">IF(History!CX$2="","",History!CX22*$C$33)</f>
        <v/>
      </c>
      <c r="CU33" s="11" t="str">
        <f ca="1">IF(History!CY$2="","",History!CY22*$C$33)</f>
        <v/>
      </c>
      <c r="CV33" s="11" t="str">
        <f ca="1">IF(History!CZ$2="","",History!CZ22*$C$33)</f>
        <v/>
      </c>
      <c r="CW33" s="11" t="str">
        <f ca="1">IF(History!DA$2="","",History!DA22*$C$33)</f>
        <v/>
      </c>
      <c r="CX33" s="11" t="str">
        <f ca="1">IF(History!DB$2="","",History!DB22*$C$33)</f>
        <v/>
      </c>
      <c r="CY33" s="11" t="str">
        <f ca="1">IF(History!DC$2="","",History!DC22*$C$33)</f>
        <v/>
      </c>
      <c r="CZ33" s="11" t="str">
        <f ca="1">IF(History!DD$2="","",History!DD22*$C$33)</f>
        <v/>
      </c>
      <c r="DA33" s="11" t="str">
        <f ca="1">IF(History!DE$2="","",History!DE22*$C$33)</f>
        <v/>
      </c>
      <c r="DB33" s="11" t="str">
        <f ca="1">IF(History!DF$2="","",History!DF22*$C$33)</f>
        <v/>
      </c>
      <c r="DC33" s="11" t="str">
        <f ca="1">IF(History!DG$2="","",History!DG22*$C$33)</f>
        <v/>
      </c>
      <c r="DD33" s="11" t="str">
        <f ca="1">IF(History!DH$2="","",History!DH22*$C$33)</f>
        <v/>
      </c>
      <c r="DE33" s="11" t="str">
        <f ca="1">IF(History!DI$2="","",History!DI22*$C$33)</f>
        <v/>
      </c>
      <c r="DF33" s="11" t="str">
        <f ca="1">IF(History!DJ$2="","",History!DJ22*$C$33)</f>
        <v/>
      </c>
      <c r="DG33" s="11" t="str">
        <f ca="1">IF(History!DK$2="","",History!DK22*$C$33)</f>
        <v/>
      </c>
      <c r="DH33" s="11" t="str">
        <f ca="1">IF(History!DL$2="","",History!DL22*$C$33)</f>
        <v/>
      </c>
      <c r="DI33" s="11" t="str">
        <f ca="1">IF(History!DM$2="","",History!DM22*$C$33)</f>
        <v/>
      </c>
      <c r="DJ33" s="11" t="str">
        <f ca="1">IF(History!DN$2="","",History!DN22*$C$33)</f>
        <v/>
      </c>
      <c r="DK33" s="11" t="str">
        <f ca="1">IF(History!DO$2="","",History!DO22*$C$33)</f>
        <v/>
      </c>
      <c r="DL33" s="11" t="str">
        <f ca="1">IF(History!DP$2="","",History!DP22*$C$33)</f>
        <v/>
      </c>
      <c r="DM33" s="11" t="str">
        <f ca="1">IF(History!DQ$2="","",History!DQ22*$C$33)</f>
        <v/>
      </c>
      <c r="DN33" s="11" t="str">
        <f ca="1">IF(History!DR$2="","",History!DR22*$C$33)</f>
        <v/>
      </c>
      <c r="DO33" s="11" t="str">
        <f ca="1">IF(History!DS$2="","",History!DS22*$C$33)</f>
        <v/>
      </c>
      <c r="DP33" s="11" t="str">
        <f ca="1">IF(History!DT$2="","",History!DT22*$C$33)</f>
        <v/>
      </c>
      <c r="DQ33" s="11" t="str">
        <f ca="1">IF(History!DU$2="","",History!DU22*$C$33)</f>
        <v/>
      </c>
      <c r="DR33" s="11" t="str">
        <f ca="1">IF(History!DV$2="","",History!DV22*$C$33)</f>
        <v/>
      </c>
      <c r="DS33" s="11" t="str">
        <f ca="1">IF(History!DW$2="","",History!DW22*$C$33)</f>
        <v/>
      </c>
      <c r="DT33" s="11" t="str">
        <f ca="1">IF(History!DX$2="","",History!DX22*$C$33)</f>
        <v/>
      </c>
      <c r="DU33" s="11" t="str">
        <f ca="1">IF(History!DY$2="","",History!DY22*$C$33)</f>
        <v/>
      </c>
      <c r="DV33" s="11" t="str">
        <f ca="1">IF(History!DZ$2="","",History!DZ22*$C$33)</f>
        <v/>
      </c>
      <c r="DW33" s="11" t="str">
        <f ca="1">IF(History!EA$2="","",History!EA22*$C$33)</f>
        <v/>
      </c>
      <c r="DX33" s="11" t="str">
        <f ca="1">IF(History!EB$2="","",History!EB22*$C$33)</f>
        <v/>
      </c>
      <c r="DY33" s="11" t="str">
        <f ca="1">IF(History!EC$2="","",History!EC22*$C$33)</f>
        <v/>
      </c>
      <c r="DZ33" s="11" t="str">
        <f ca="1">IF(History!ED$2="","",History!ED22*$C$33)</f>
        <v/>
      </c>
      <c r="EA33" s="11" t="str">
        <f ca="1">IF(History!EE$2="","",History!EE22*$C$33)</f>
        <v/>
      </c>
      <c r="EB33" s="11" t="str">
        <f ca="1">IF(History!EF$2="","",History!EF22*$C$33)</f>
        <v/>
      </c>
      <c r="EC33" s="11" t="str">
        <f ca="1">IF(History!EG$2="","",History!EG22*$C$33)</f>
        <v/>
      </c>
      <c r="ED33" s="11" t="str">
        <f ca="1">IF(History!EH$2="","",History!EH22*$C$33)</f>
        <v/>
      </c>
      <c r="EE33" s="11" t="str">
        <f ca="1">IF(History!EI$2="","",History!EI22*$C$33)</f>
        <v/>
      </c>
      <c r="EF33" s="11" t="str">
        <f ca="1">IF(History!EJ$2="","",History!EJ22*$C$33)</f>
        <v/>
      </c>
      <c r="EG33" s="11" t="str">
        <f ca="1">IF(History!EK$2="","",History!EK22*$C$33)</f>
        <v/>
      </c>
      <c r="EH33" s="11" t="str">
        <f ca="1">IF(History!EL$2="","",History!EL22*$C$33)</f>
        <v/>
      </c>
      <c r="EI33" s="11" t="str">
        <f ca="1">IF(History!EM$2="","",History!EM22*$C$33)</f>
        <v/>
      </c>
      <c r="EJ33" s="11" t="str">
        <f ca="1">IF(History!EN$2="","",History!EN22*$C$33)</f>
        <v/>
      </c>
      <c r="EK33" s="11" t="str">
        <f ca="1">IF(History!EO$2="","",History!EO22*$C$33)</f>
        <v/>
      </c>
      <c r="EL33" s="11" t="str">
        <f ca="1">IF(History!EP$2="","",History!EP22*$C$33)</f>
        <v/>
      </c>
      <c r="EM33" s="11" t="str">
        <f ca="1">IF(History!EQ$2="","",History!EQ22*$C$33)</f>
        <v/>
      </c>
      <c r="EN33" s="11" t="str">
        <f ca="1">IF(History!ER$2="","",History!ER22*$C$33)</f>
        <v/>
      </c>
      <c r="EO33" s="11" t="str">
        <f ca="1">IF(History!ES$2="","",History!ES22*$C$33)</f>
        <v/>
      </c>
      <c r="EP33" s="11" t="str">
        <f ca="1">IF(History!ET$2="","",History!ET22*$C$33)</f>
        <v/>
      </c>
      <c r="EQ33" s="11" t="str">
        <f ca="1">IF(History!EU$2="","",History!EU22*$C$33)</f>
        <v/>
      </c>
      <c r="ER33" s="11" t="str">
        <f ca="1">IF(History!EV$2="","",History!EV22*$C$33)</f>
        <v/>
      </c>
      <c r="ES33" s="11" t="str">
        <f ca="1">IF(History!EW$2="","",History!EW22*$C$33)</f>
        <v/>
      </c>
      <c r="ET33" s="11" t="str">
        <f ca="1">IF(History!EX$2="","",History!EX22*$C$33)</f>
        <v/>
      </c>
      <c r="EU33" s="11" t="str">
        <f ca="1">IF(History!EY$2="","",History!EY22*$C$33)</f>
        <v/>
      </c>
      <c r="EV33" s="11" t="str">
        <f ca="1">IF(History!EZ$2="","",History!EZ22*$C$33)</f>
        <v/>
      </c>
      <c r="EW33" s="11" t="str">
        <f ca="1">IF(History!FA$2="","",History!FA22*$C$33)</f>
        <v/>
      </c>
      <c r="EX33" s="11" t="str">
        <f ca="1">IF(History!FB$2="","",History!FB22*$C$33)</f>
        <v/>
      </c>
      <c r="EY33" s="11" t="str">
        <f ca="1">IF(History!FC$2="","",History!FC22*$C$33)</f>
        <v/>
      </c>
      <c r="EZ33" s="11" t="str">
        <f ca="1">IF(History!FD$2="","",History!FD22*$C$33)</f>
        <v/>
      </c>
      <c r="FA33" s="11" t="str">
        <f ca="1">IF(History!FE$2="","",History!FE22*$C$33)</f>
        <v/>
      </c>
      <c r="FB33" s="11" t="str">
        <f ca="1">IF(History!FF$2="","",History!FF22*$C$33)</f>
        <v/>
      </c>
      <c r="FC33" s="11" t="str">
        <f ca="1">IF(History!FG$2="","",History!FG22*$C$33)</f>
        <v/>
      </c>
      <c r="FD33" s="11" t="str">
        <f ca="1">IF(History!FH$2="","",History!FH22*$C$33)</f>
        <v/>
      </c>
      <c r="FE33" s="11" t="str">
        <f ca="1">IF(History!FI$2="","",History!FI22*$C$33)</f>
        <v/>
      </c>
      <c r="FF33" s="11" t="str">
        <f ca="1">IF(History!FJ$2="","",History!FJ22*$C$33)</f>
        <v/>
      </c>
      <c r="FG33" s="11" t="str">
        <f ca="1">IF(History!FK$2="","",History!FK22*$C$33)</f>
        <v/>
      </c>
      <c r="FH33" s="11" t="str">
        <f ca="1">IF(History!FL$2="","",History!FL22*$C$33)</f>
        <v/>
      </c>
      <c r="FI33" s="11" t="str">
        <f ca="1">IF(History!FM$2="","",History!FM22*$C$33)</f>
        <v/>
      </c>
      <c r="FJ33" s="11" t="str">
        <f ca="1">IF(History!FN$2="","",History!FN22*$C$33)</f>
        <v/>
      </c>
      <c r="FK33" s="11" t="str">
        <f ca="1">IF(History!FO$2="","",History!FO22*$C$33)</f>
        <v/>
      </c>
      <c r="FL33" s="11" t="str">
        <f ca="1">IF(History!FP$2="","",History!FP22*$C$33)</f>
        <v/>
      </c>
      <c r="FM33" s="11" t="str">
        <f ca="1">IF(History!FQ$2="","",History!FQ22*$C$33)</f>
        <v/>
      </c>
      <c r="FN33" s="11" t="str">
        <f ca="1">IF(History!FR$2="","",History!FR22*$C$33)</f>
        <v/>
      </c>
      <c r="FO33" s="11" t="str">
        <f ca="1">IF(History!FS$2="","",History!FS22*$C$33)</f>
        <v/>
      </c>
      <c r="FP33" s="11" t="str">
        <f ca="1">IF(History!FT$2="","",History!FT22*$C$33)</f>
        <v/>
      </c>
      <c r="FQ33" s="11" t="str">
        <f ca="1">IF(History!FU$2="","",History!FU22*$C$33)</f>
        <v/>
      </c>
      <c r="FR33" s="11" t="str">
        <f ca="1">IF(History!FV$2="","",History!FV22*$C$33)</f>
        <v/>
      </c>
      <c r="FS33" s="11" t="str">
        <f ca="1">IF(History!FW$2="","",History!FW22*$C$33)</f>
        <v/>
      </c>
      <c r="FT33" s="11" t="str">
        <f ca="1">IF(History!FX$2="","",History!FX22*$C$33)</f>
        <v/>
      </c>
      <c r="FU33" s="11" t="str">
        <f ca="1">IF(History!FY$2="","",History!FY22*$C$33)</f>
        <v/>
      </c>
      <c r="FV33" s="11" t="str">
        <f ca="1">IF(History!FZ$2="","",History!FZ22*$C$33)</f>
        <v/>
      </c>
      <c r="FW33" s="11" t="str">
        <f ca="1">IF(History!GA$2="","",History!GA22*$C$33)</f>
        <v/>
      </c>
      <c r="FX33" s="11" t="str">
        <f ca="1">IF(History!GB$2="","",History!GB22*$C$33)</f>
        <v/>
      </c>
      <c r="FY33" s="11" t="str">
        <f ca="1">IF(History!GC$2="","",History!GC22*$C$33)</f>
        <v/>
      </c>
      <c r="FZ33" s="11" t="str">
        <f ca="1">IF(History!GD$2="","",History!GD22*$C$33)</f>
        <v/>
      </c>
      <c r="GA33" s="11" t="str">
        <f ca="1">IF(History!GE$2="","",History!GE22*$C$33)</f>
        <v/>
      </c>
      <c r="GB33" s="11" t="str">
        <f ca="1">IF(History!GF$2="","",History!GF22*$C$33)</f>
        <v/>
      </c>
      <c r="GC33" s="11" t="str">
        <f ca="1">IF(History!GG$2="","",History!GG22*$C$33)</f>
        <v/>
      </c>
      <c r="GD33" s="11" t="str">
        <f ca="1">IF(History!GH$2="","",History!GH22*$C$33)</f>
        <v/>
      </c>
      <c r="GE33" s="11" t="str">
        <f ca="1">IF(History!GI$2="","",History!GI22*$C$33)</f>
        <v/>
      </c>
      <c r="GF33" s="11" t="str">
        <f ca="1">IF(History!GJ$2="","",History!GJ22*$C$33)</f>
        <v/>
      </c>
      <c r="GG33" s="11" t="str">
        <f ca="1">IF(History!GK$2="","",History!GK22*$C$33)</f>
        <v/>
      </c>
      <c r="GH33" s="11" t="str">
        <f ca="1">IF(History!GL$2="","",History!GL22*$C$33)</f>
        <v/>
      </c>
      <c r="GI33" s="11" t="str">
        <f ca="1">IF(History!GM$2="","",History!GM22*$C$33)</f>
        <v/>
      </c>
      <c r="GJ33" s="11" t="str">
        <f ca="1">IF(History!GN$2="","",History!GN22*$C$33)</f>
        <v/>
      </c>
      <c r="GK33" s="11" t="str">
        <f ca="1">IF(History!GO$2="","",History!GO22*$C$33)</f>
        <v/>
      </c>
      <c r="GL33" s="11" t="str">
        <f ca="1">IF(History!GP$2="","",History!GP22*$C$33)</f>
        <v/>
      </c>
      <c r="GM33" s="11" t="str">
        <f ca="1">IF(History!GQ$2="","",History!GQ22*$C$33)</f>
        <v/>
      </c>
      <c r="GN33" s="11" t="str">
        <f ca="1">IF(History!GR$2="","",History!GR22*$C$33)</f>
        <v/>
      </c>
      <c r="GO33" s="11" t="str">
        <f ca="1">IF(History!GS$2="","",History!GS22*$C$33)</f>
        <v/>
      </c>
      <c r="GP33" s="11" t="str">
        <f ca="1">IF(History!GT$2="","",History!GT22*$C$33)</f>
        <v/>
      </c>
      <c r="GQ33" s="11" t="str">
        <f ca="1">IF(History!GU$2="","",History!GU22*$C$33)</f>
        <v/>
      </c>
      <c r="GR33" s="11" t="str">
        <f ca="1">IF(History!GV$2="","",History!GV22*$C$33)</f>
        <v/>
      </c>
      <c r="GS33" s="11" t="str">
        <f ca="1">IF(History!GW$2="","",History!GW22*$C$33)</f>
        <v/>
      </c>
      <c r="GT33" s="11" t="str">
        <f ca="1">IF(History!GX$2="","",History!GX22*$C$33)</f>
        <v/>
      </c>
      <c r="GU33" s="11" t="str">
        <f ca="1">IF(History!GY$2="","",History!GY22*$C$33)</f>
        <v/>
      </c>
      <c r="GV33" s="11" t="str">
        <f ca="1">IF(History!GZ$2="","",History!GZ22*$C$33)</f>
        <v/>
      </c>
      <c r="GW33" s="11" t="str">
        <f ca="1">IF(History!HA$2="","",History!HA22*$C$33)</f>
        <v/>
      </c>
      <c r="GX33" s="11" t="str">
        <f ca="1">IF(History!HB$2="","",History!HB22*$C$33)</f>
        <v/>
      </c>
      <c r="GY33" s="11" t="str">
        <f ca="1">IF(History!HC$2="","",History!HC22*$C$33)</f>
        <v/>
      </c>
      <c r="GZ33" s="11" t="str">
        <f ca="1">IF(History!HD$2="","",History!HD22*$C$33)</f>
        <v/>
      </c>
      <c r="HA33" s="11" t="str">
        <f ca="1">IF(History!HE$2="","",History!HE22*$C$33)</f>
        <v/>
      </c>
      <c r="HB33" s="11" t="str">
        <f ca="1">IF(History!HF$2="","",History!HF22*$C$33)</f>
        <v/>
      </c>
      <c r="HC33" s="11" t="str">
        <f ca="1">IF(History!HG$2="","",History!HG22*$C$33)</f>
        <v/>
      </c>
      <c r="HD33" s="11" t="str">
        <f ca="1">IF(History!HH$2="","",History!HH22*$C$33)</f>
        <v/>
      </c>
      <c r="HE33" s="11" t="str">
        <f ca="1">IF(History!HI$2="","",History!HI22*$C$33)</f>
        <v/>
      </c>
      <c r="HF33" s="11" t="str">
        <f ca="1">IF(History!HJ$2="","",History!HJ22*$C$33)</f>
        <v/>
      </c>
      <c r="HG33" s="11" t="str">
        <f ca="1">IF(History!HK$2="","",History!HK22*$C$33)</f>
        <v/>
      </c>
      <c r="HH33" s="11" t="str">
        <f ca="1">IF(History!HL$2="","",History!HL22*$C$33)</f>
        <v/>
      </c>
      <c r="HI33" s="11" t="str">
        <f ca="1">IF(History!HM$2="","",History!HM22*$C$33)</f>
        <v/>
      </c>
      <c r="HJ33" s="11" t="str">
        <f ca="1">IF(History!HN$2="","",History!HN22*$C$33)</f>
        <v/>
      </c>
      <c r="HK33" s="11" t="str">
        <f ca="1">IF(History!HO$2="","",History!HO22*$C$33)</f>
        <v/>
      </c>
      <c r="HL33" s="11" t="str">
        <f ca="1">IF(History!HP$2="","",History!HP22*$C$33)</f>
        <v/>
      </c>
      <c r="HM33" s="11" t="str">
        <f ca="1">IF(History!HQ$2="","",History!HQ22*$C$33)</f>
        <v/>
      </c>
      <c r="HN33" s="11" t="str">
        <f ca="1">IF(History!HR$2="","",History!HR22*$C$33)</f>
        <v/>
      </c>
      <c r="HO33" s="11" t="str">
        <f ca="1">IF(History!HS$2="","",History!HS22*$C$33)</f>
        <v/>
      </c>
      <c r="HP33" s="11" t="str">
        <f ca="1">IF(History!HT$2="","",History!HT22*$C$33)</f>
        <v/>
      </c>
      <c r="HQ33" s="11" t="str">
        <f ca="1">IF(History!HU$2="","",History!HU22*$C$33)</f>
        <v/>
      </c>
      <c r="HR33" s="11" t="str">
        <f ca="1">IF(History!HV$2="","",History!HV22*$C$33)</f>
        <v/>
      </c>
      <c r="HS33" s="11" t="str">
        <f ca="1">IF(History!HW$2="","",History!HW22*$C$33)</f>
        <v/>
      </c>
      <c r="HT33" s="11" t="str">
        <f ca="1">IF(History!HX$2="","",History!HX22*$C$33)</f>
        <v/>
      </c>
      <c r="HU33" s="11" t="str">
        <f ca="1">IF(History!HY$2="","",History!HY22*$C$33)</f>
        <v/>
      </c>
      <c r="HV33" s="11" t="str">
        <f ca="1">IF(History!HZ$2="","",History!HZ22*$C$33)</f>
        <v/>
      </c>
      <c r="HW33" s="11" t="str">
        <f ca="1">IF(History!IA$2="","",History!IA22*$C$33)</f>
        <v/>
      </c>
      <c r="HX33" s="11" t="str">
        <f ca="1">IF(History!IB$2="","",History!IB22*$C$33)</f>
        <v/>
      </c>
      <c r="HY33" s="11" t="str">
        <f ca="1">IF(History!IC$2="","",History!IC22*$C$33)</f>
        <v/>
      </c>
      <c r="HZ33" s="11" t="str">
        <f ca="1">IF(History!ID$2="","",History!ID22*$C$33)</f>
        <v/>
      </c>
      <c r="IA33" s="11" t="str">
        <f ca="1">IF(History!IE$2="","",History!IE22*$C$33)</f>
        <v/>
      </c>
      <c r="IB33" s="11" t="str">
        <f ca="1">IF(History!IF$2="","",History!IF22*$C$33)</f>
        <v/>
      </c>
      <c r="IC33" s="11" t="str">
        <f ca="1">IF(History!IG$2="","",History!IG22*$C$33)</f>
        <v/>
      </c>
      <c r="ID33" s="11" t="str">
        <f ca="1">IF(History!IH$2="","",History!IH22*$C$33)</f>
        <v/>
      </c>
      <c r="IE33" s="11" t="str">
        <f ca="1">IF(History!II$2="","",History!II22*$C$33)</f>
        <v/>
      </c>
      <c r="IF33" s="11" t="str">
        <f ca="1">IF(History!IJ$2="","",History!IJ22*$C$33)</f>
        <v/>
      </c>
      <c r="IG33" s="11" t="str">
        <f ca="1">IF(History!IK$2="","",History!IK22*$C$33)</f>
        <v/>
      </c>
      <c r="IH33" s="11" t="str">
        <f ca="1">IF(History!IL$2="","",History!IL22*$C$33)</f>
        <v/>
      </c>
      <c r="II33" s="11" t="str">
        <f ca="1">IF(History!IM$2="","",History!IM22*$C$33)</f>
        <v/>
      </c>
      <c r="IJ33" s="11" t="str">
        <f ca="1">IF(History!IN$2="","",History!IN22*$C$33)</f>
        <v/>
      </c>
      <c r="IK33" s="11" t="str">
        <f ca="1">IF(History!IO$2="","",History!IO22*$C$33)</f>
        <v/>
      </c>
      <c r="IL33" s="11" t="str">
        <f ca="1">IF(History!IP$2="","",History!IP22*$C$33)</f>
        <v/>
      </c>
      <c r="IM33" s="11" t="str">
        <f ca="1">IF(History!IQ$2="","",History!IQ22*$C$33)</f>
        <v/>
      </c>
      <c r="IN33" s="11" t="str">
        <f ca="1">IF(History!IR$2="","",History!IR22*$C$33)</f>
        <v/>
      </c>
      <c r="IO33" s="11" t="str">
        <f ca="1">IF(History!IS$2="","",History!IS22*$C$33)</f>
        <v/>
      </c>
      <c r="IP33" s="11" t="str">
        <f ca="1">IF(History!IT$2="","",History!IT22*$C$33)</f>
        <v/>
      </c>
      <c r="IQ33" s="11" t="str">
        <f ca="1">IF(History!IU$2="","",History!IU22*$C$33)</f>
        <v/>
      </c>
      <c r="IR33" s="11" t="str">
        <f ca="1">IF(History!IV$2="","",History!IV22*$C$33)</f>
        <v/>
      </c>
      <c r="IS33" s="11" t="str">
        <f ca="1">IF(History!IW$2="","",History!IW22*$C$33)</f>
        <v/>
      </c>
      <c r="IT33" s="11" t="str">
        <f ca="1">IF(History!IX$2="","",History!IX22*$C$33)</f>
        <v/>
      </c>
      <c r="IU33" s="11" t="str">
        <f ca="1">IF(History!IY$2="","",History!IY22*$C$33)</f>
        <v/>
      </c>
      <c r="IV33" s="11" t="str">
        <f ca="1">IF(History!IZ$2="","",History!IZ22*$C$33)</f>
        <v/>
      </c>
      <c r="IW33" s="11" t="str">
        <f ca="1">IF(History!JA$2="","",History!JA22*$C$33)</f>
        <v/>
      </c>
      <c r="IX33" s="11" t="str">
        <f ca="1">IF(History!JB$2="","",History!JB22*$C$33)</f>
        <v/>
      </c>
      <c r="IY33" s="11" t="str">
        <f ca="1">IF(History!JC$2="","",History!JC22*$C$33)</f>
        <v/>
      </c>
      <c r="IZ33" s="11" t="str">
        <f ca="1">IF(History!JD$2="","",History!JD22*$C$33)</f>
        <v/>
      </c>
      <c r="JA33" s="11" t="str">
        <f ca="1">IF(History!JE$2="","",History!JE22*$C$33)</f>
        <v/>
      </c>
      <c r="JB33" s="11" t="str">
        <f ca="1">IF(History!JF$2="","",History!JF22*$C$33)</f>
        <v/>
      </c>
      <c r="JC33" s="11" t="str">
        <f ca="1">IF(History!JG$2="","",History!JG22*$C$33)</f>
        <v/>
      </c>
      <c r="JD33" s="11" t="str">
        <f ca="1">IF(History!JH$2="","",History!JH22*$C$33)</f>
        <v/>
      </c>
      <c r="JE33" s="11" t="str">
        <f ca="1">IF(History!JI$2="","",History!JI22*$C$33)</f>
        <v/>
      </c>
      <c r="JF33" s="11" t="str">
        <f ca="1">IF(History!JJ$2="","",History!JJ22*$C$33)</f>
        <v/>
      </c>
      <c r="JG33" s="11" t="str">
        <f ca="1">IF(History!JK$2="","",History!JK22*$C$33)</f>
        <v/>
      </c>
      <c r="JH33" s="11" t="str">
        <f ca="1">IF(History!JL$2="","",History!JL22*$C$33)</f>
        <v/>
      </c>
      <c r="JI33" s="11" t="str">
        <f ca="1">IF(History!JM$2="","",History!JM22*$C$33)</f>
        <v/>
      </c>
      <c r="JJ33" s="11" t="str">
        <f ca="1">IF(History!JN$2="","",History!JN22*$C$33)</f>
        <v/>
      </c>
      <c r="JK33" s="11" t="str">
        <f ca="1">IF(History!JO$2="","",History!JO22*$C$33)</f>
        <v/>
      </c>
      <c r="JL33" s="11" t="str">
        <f ca="1">IF(History!JP$2="","",History!JP22*$C$33)</f>
        <v/>
      </c>
      <c r="JM33" s="11" t="str">
        <f ca="1">IF(History!JQ$2="","",History!JQ22*$C$33)</f>
        <v/>
      </c>
      <c r="JN33" s="11" t="str">
        <f ca="1">IF(History!JR$2="","",History!JR22*$C$33)</f>
        <v/>
      </c>
      <c r="JO33" s="11" t="str">
        <f ca="1">IF(History!JS$2="","",History!JS22*$C$33)</f>
        <v/>
      </c>
      <c r="JP33" s="11" t="str">
        <f ca="1">IF(History!JT$2="","",History!JT22*$C$33)</f>
        <v/>
      </c>
      <c r="JQ33" s="11" t="str">
        <f ca="1">IF(History!JU$2="","",History!JU22*$C$33)</f>
        <v/>
      </c>
      <c r="JR33" s="11" t="str">
        <f ca="1">IF(History!JV$2="","",History!JV22*$C$33)</f>
        <v/>
      </c>
      <c r="JS33" s="11" t="str">
        <f ca="1">IF(History!JW$2="","",History!JW22*$C$33)</f>
        <v/>
      </c>
      <c r="JT33" s="11" t="str">
        <f ca="1">IF(History!JX$2="","",History!JX22*$C$33)</f>
        <v/>
      </c>
      <c r="JU33" s="11" t="str">
        <f ca="1">IF(History!JY$2="","",History!JY22*$C$33)</f>
        <v/>
      </c>
      <c r="JV33" s="11" t="str">
        <f ca="1">IF(History!JZ$2="","",History!JZ22*$C$33)</f>
        <v/>
      </c>
      <c r="JW33" s="11" t="str">
        <f ca="1">IF(History!KA$2="","",History!KA22*$C$33)</f>
        <v/>
      </c>
      <c r="JX33" s="11" t="str">
        <f ca="1">IF(History!KB$2="","",History!KB22*$C$33)</f>
        <v/>
      </c>
      <c r="JY33" s="11" t="str">
        <f ca="1">IF(History!KC$2="","",History!KC22*$C$33)</f>
        <v/>
      </c>
      <c r="JZ33" s="11" t="str">
        <f ca="1">IF(History!KD$2="","",History!KD22*$C$33)</f>
        <v/>
      </c>
      <c r="KA33" s="11" t="str">
        <f ca="1">IF(History!KE$2="","",History!KE22*$C$33)</f>
        <v/>
      </c>
      <c r="KB33" s="11" t="str">
        <f ca="1">IF(History!KF$2="","",History!KF22*$C$33)</f>
        <v/>
      </c>
    </row>
    <row r="34" spans="1:288" ht="15.75" customHeight="1">
      <c r="A34" s="22" t="s">
        <v>30</v>
      </c>
      <c r="B34" s="6" t="s">
        <v>31</v>
      </c>
      <c r="C34" s="26">
        <v>67</v>
      </c>
      <c r="D34" s="11">
        <f ca="1">IF(History!H$2="","",History!H23*$C$34)</f>
        <v>2222.3900000000003</v>
      </c>
      <c r="E34" s="11">
        <f ca="1">IF(History!I$2="","",History!I23*$C$34)</f>
        <v>2257.23</v>
      </c>
      <c r="F34" s="11">
        <f ca="1">IF(History!J$2="","",History!J23*$C$34)</f>
        <v>2235.79</v>
      </c>
      <c r="G34" s="11">
        <f ca="1">IF(History!K$2="","",History!K23*$C$34)</f>
        <v>2211.67</v>
      </c>
      <c r="H34" s="11">
        <f ca="1">IF(History!L$2="","",History!L23*$C$34)</f>
        <v>2239.81</v>
      </c>
      <c r="I34" s="11">
        <f ca="1">IF(History!M$2="","",History!M23*$C$34)</f>
        <v>2133.9500000000003</v>
      </c>
      <c r="J34" s="11">
        <f ca="1">IF(History!N$2="","",History!N23*$C$34)</f>
        <v>2089.73</v>
      </c>
      <c r="K34" s="11">
        <f ca="1">IF(History!O$2="","",History!O23*$C$34)</f>
        <v>2070.2999999999997</v>
      </c>
      <c r="L34" s="11">
        <f ca="1">IF(History!P$2="","",History!P23*$C$34)</f>
        <v>1983.87</v>
      </c>
      <c r="M34" s="11">
        <f ca="1">IF(History!Q$2="","",History!Q23*$C$34)</f>
        <v>2044.84</v>
      </c>
      <c r="N34" s="11">
        <f ca="1">IF(History!R$2="","",History!R23*$C$34)</f>
        <v>1905.48</v>
      </c>
      <c r="O34" s="11">
        <f ca="1">IF(History!S$2="","",History!S23*$C$34)</f>
        <v>1851.21</v>
      </c>
      <c r="P34" s="11">
        <f ca="1">IF(History!T$2="","",History!T23*$C$34)</f>
        <v>1734.63</v>
      </c>
      <c r="Q34" s="11">
        <f ca="1">IF(History!U$2="","",History!U23*$C$34)</f>
        <v>1785.55</v>
      </c>
      <c r="R34" s="11">
        <f ca="1">IF(History!V$2="","",History!V23*$C$34)</f>
        <v>2001.29</v>
      </c>
      <c r="S34" s="11">
        <f ca="1">IF(History!W$2="","",History!W23*$C$34)</f>
        <v>1904.81</v>
      </c>
      <c r="T34" s="11">
        <f ca="1">IF(History!X$2="","",History!X23*$C$34)</f>
        <v>1826.42</v>
      </c>
      <c r="U34" s="11">
        <f ca="1">IF(History!Y$2="","",History!Y23*$C$34)</f>
        <v>1681.03</v>
      </c>
      <c r="V34" s="11">
        <f ca="1">IF(History!Z$2="","",History!Z23*$C$34)</f>
        <v>1803.64</v>
      </c>
      <c r="W34" s="11">
        <f ca="1">IF(History!AA$2="","",History!AA23*$C$34)</f>
        <v>1796.27</v>
      </c>
      <c r="X34" s="11">
        <f ca="1">IF(History!AB$2="","",History!AB23*$C$34)</f>
        <v>1853.89</v>
      </c>
      <c r="Y34" s="11">
        <f ca="1">IF(History!AC$2="","",History!AC23*$C$34)</f>
        <v>1924.91</v>
      </c>
      <c r="Z34" s="11">
        <f ca="1">IF(History!AD$2="","",History!AD23*$C$34)</f>
        <v>1922.23</v>
      </c>
      <c r="AA34" s="11">
        <f ca="1">IF(History!AE$2="","",History!AE23*$C$34)</f>
        <v>1888.73</v>
      </c>
      <c r="AB34" s="11">
        <f ca="1">IF(History!AF$2="","",History!AF23*$C$34)</f>
        <v>1953.05</v>
      </c>
      <c r="AC34" s="11">
        <f ca="1">IF(History!AG$2="","",History!AG23*$C$34)</f>
        <v>1964.44</v>
      </c>
      <c r="AD34" s="11">
        <f ca="1">IF(History!AH$2="","",History!AH23*$C$34)</f>
        <v>1919.55</v>
      </c>
      <c r="AE34" s="11">
        <f ca="1">IF(History!AI$2="","",History!AI23*$C$34)</f>
        <v>1802.3</v>
      </c>
      <c r="AF34" s="11">
        <f ca="1">IF(History!AJ$2="","",History!AJ23*$C$34)</f>
        <v>1647.53</v>
      </c>
      <c r="AG34" s="11">
        <f ca="1">IF(History!AK$2="","",History!AK23*$C$34)</f>
        <v>1640.16</v>
      </c>
      <c r="AH34" s="11">
        <f ca="1">IF(History!AL$2="","",History!AL23*$C$34)</f>
        <v>1529.61</v>
      </c>
      <c r="AI34" s="11">
        <f ca="1">IF(History!AM$2="","",History!AM23*$C$34)</f>
        <v>1630.78</v>
      </c>
      <c r="AJ34" s="11">
        <f ca="1">IF(History!AN$2="","",History!AN23*$C$34)</f>
        <v>1212.7</v>
      </c>
      <c r="AK34" s="11">
        <f ca="1">IF(History!AO$2="","",History!AO23*$C$34)</f>
        <v>1358.76</v>
      </c>
      <c r="AL34" s="11">
        <f ca="1">IF(History!AP$2="","",History!AP23*$C$34)</f>
        <v>1575.84</v>
      </c>
      <c r="AM34" s="11">
        <f ca="1">IF(History!AQ$2="","",History!AQ23*$C$34)</f>
        <v>1573.16</v>
      </c>
      <c r="AN34" s="11">
        <f ca="1">IF(History!AR$2="","",History!AR23*$C$34)</f>
        <v>1541.67</v>
      </c>
      <c r="AO34" s="11">
        <f ca="1">IF(History!AS$2="","",History!AS23*$C$34)</f>
        <v>1474</v>
      </c>
      <c r="AP34" s="11">
        <f ca="1">IF(History!AT$2="","",History!AT23*$C$34)</f>
        <v>1447.87</v>
      </c>
      <c r="AQ34" s="11">
        <f ca="1">IF(History!AU$2="","",History!AU23*$C$34)</f>
        <v>1549.71</v>
      </c>
      <c r="AR34" s="11">
        <f ca="1">IF(History!AV$2="","",History!AV23*$C$34)</f>
        <v>1666.96</v>
      </c>
      <c r="AS34" s="11">
        <f ca="1">IF(History!AW$2="","",History!AW23*$C$34)</f>
        <v>1618.72</v>
      </c>
      <c r="AT34" s="11">
        <f ca="1">IF(History!AX$2="","",History!AX23*$C$34)</f>
        <v>1528.94</v>
      </c>
      <c r="AU34" s="11">
        <f ca="1">IF(History!AY$2="","",History!AY23*$C$34)</f>
        <v>1423.08</v>
      </c>
      <c r="AV34" s="11">
        <f ca="1">IF(History!AZ$2="","",History!AZ23*$C$34)</f>
        <v>1387.5700000000002</v>
      </c>
      <c r="AW34" s="11">
        <f ca="1">IF(History!BA$2="","",History!BA23*$C$34)</f>
        <v>1606.66</v>
      </c>
      <c r="AX34" s="11">
        <f ca="1">IF(History!BB$2="","",History!BB23*$C$34)</f>
        <v>1646.19</v>
      </c>
      <c r="AY34" s="11">
        <f ca="1">IF(History!BC$2="","",History!BC23*$C$34)</f>
        <v>1683.04</v>
      </c>
      <c r="AZ34" s="11">
        <f ca="1">IF(History!BD$2="","",History!BD23*$C$34)</f>
        <v>1639.49</v>
      </c>
      <c r="BA34" s="11">
        <f ca="1">IF(History!BE$2="","",History!BE23*$C$34)</f>
        <v>1696.44</v>
      </c>
      <c r="BB34" s="11">
        <f ca="1">IF(History!BF$2="","",History!BF23*$C$34)</f>
        <v>1665.62</v>
      </c>
      <c r="BC34" s="11">
        <f ca="1">IF(History!BG$2="","",History!BG23*$C$34)</f>
        <v>1674.33</v>
      </c>
      <c r="BD34" s="11">
        <f ca="1">IF(History!BH$2="","",History!BH23*$C$34)</f>
        <v>1601.3</v>
      </c>
      <c r="BE34" s="11">
        <f ca="1">IF(History!BI$2="","",History!BI23*$C$34)</f>
        <v>1620.73</v>
      </c>
      <c r="BF34" s="11">
        <f ca="1">IF(History!BJ$2="","",History!BJ23*$C$34)</f>
        <v>1734.63</v>
      </c>
      <c r="BG34" s="11">
        <f ca="1">IF(History!BK$2="","",History!BK23*$C$34)</f>
        <v>1660.9299999999998</v>
      </c>
      <c r="BH34" s="11">
        <f ca="1">IF(History!BL$2="","",History!BL23*$C$34)</f>
        <v>1636.14</v>
      </c>
      <c r="BI34" s="11">
        <f ca="1">IF(History!BM$2="","",History!BM23*$C$34)</f>
        <v>1666.29</v>
      </c>
      <c r="BJ34" s="11">
        <f ca="1">IF(History!BN$2="","",History!BN23*$C$34)</f>
        <v>1750.04</v>
      </c>
      <c r="BK34" s="11">
        <f ca="1">IF(History!BO$2="","",History!BO23*$C$34)</f>
        <v>1728.6000000000001</v>
      </c>
      <c r="BL34" s="11">
        <f ca="1">IF(History!BP$2="","",History!BP23*$C$34)</f>
        <v>1659.59</v>
      </c>
      <c r="BM34" s="11">
        <f ca="1">IF(History!BQ$2="","",History!BQ23*$C$34)</f>
        <v>1675</v>
      </c>
      <c r="BN34" s="11">
        <f ca="1">IF(History!BR$2="","",History!BR23*$C$34)</f>
        <v>1709.84</v>
      </c>
      <c r="BO34" s="11">
        <f ca="1">IF(History!BS$2="","",History!BS23*$C$34)</f>
        <v>1701.8</v>
      </c>
      <c r="BP34" s="11">
        <f ca="1">IF(History!BT$2="","",History!BT23*$C$34)</f>
        <v>1749.37</v>
      </c>
      <c r="BQ34" s="11">
        <f ca="1">IF(History!BU$2="","",History!BU23*$C$34)</f>
        <v>1754.06</v>
      </c>
      <c r="BR34" s="11">
        <f ca="1">IF(History!BV$2="","",History!BV23*$C$34)</f>
        <v>1689.74</v>
      </c>
      <c r="BS34" s="11">
        <f ca="1">IF(History!BW$2="","",History!BW23*$C$34)</f>
        <v>1630.78</v>
      </c>
      <c r="BT34" s="11">
        <f ca="1">IF(History!BX$2="","",History!BX23*$C$34)</f>
        <v>1694.4299999999998</v>
      </c>
      <c r="BU34" s="11">
        <f ca="1">IF(History!BY$2="","",History!BY23*$C$34)</f>
        <v>1631.45</v>
      </c>
      <c r="BV34" s="11">
        <f ca="1">IF(History!BZ$2="","",History!BZ23*$C$34)</f>
        <v>1595.27</v>
      </c>
      <c r="BW34" s="11">
        <f ca="1">IF(History!CA$2="","",History!CA23*$C$34)</f>
        <v>1575.17</v>
      </c>
      <c r="BX34" s="11">
        <f ca="1">IF(History!CB$2="","",History!CB23*$C$34)</f>
        <v>1597.28</v>
      </c>
      <c r="BY34" s="11">
        <f ca="1">IF(History!CC$2="","",History!CC23*$C$34)</f>
        <v>1460.6000000000001</v>
      </c>
      <c r="BZ34" s="11">
        <f ca="1">IF(History!CD$2="","",History!CD23*$C$34)</f>
        <v>1415.04</v>
      </c>
      <c r="CA34" s="11">
        <f ca="1">IF(History!CE$2="","",History!CE23*$C$34)</f>
        <v>1500.8</v>
      </c>
      <c r="CB34" s="11">
        <f ca="1">IF(History!CF$2="","",History!CF23*$C$34)</f>
        <v>1515.54</v>
      </c>
      <c r="CC34" s="11">
        <f ca="1">IF(History!CG$2="","",History!CG23*$C$34)</f>
        <v>1563.11</v>
      </c>
      <c r="CD34" s="11">
        <f ca="1">IF(History!CH$2="","",History!CH23*$C$34)</f>
        <v>1463.28</v>
      </c>
      <c r="CE34" s="11">
        <f ca="1">IF(History!CI$2="","",History!CI23*$C$34)</f>
        <v>1484.05</v>
      </c>
      <c r="CF34" s="11" t="str">
        <f ca="1">IF(History!CJ$2="","",History!CJ23*$C$34)</f>
        <v/>
      </c>
      <c r="CG34" s="11" t="str">
        <f ca="1">IF(History!CK$2="","",History!CK23*$C$34)</f>
        <v/>
      </c>
      <c r="CH34" s="11" t="str">
        <f ca="1">IF(History!CL$2="","",History!CL23*$C$34)</f>
        <v/>
      </c>
      <c r="CI34" s="11" t="str">
        <f ca="1">IF(History!CM$2="","",History!CM23*$C$34)</f>
        <v/>
      </c>
      <c r="CJ34" s="11" t="str">
        <f ca="1">IF(History!CN$2="","",History!CN23*$C$34)</f>
        <v/>
      </c>
      <c r="CK34" s="11" t="str">
        <f ca="1">IF(History!CO$2="","",History!CO23*$C$34)</f>
        <v/>
      </c>
      <c r="CL34" s="11" t="str">
        <f ca="1">IF(History!CP$2="","",History!CP23*$C$34)</f>
        <v/>
      </c>
      <c r="CM34" s="11" t="str">
        <f ca="1">IF(History!CQ$2="","",History!CQ23*$C$34)</f>
        <v/>
      </c>
      <c r="CN34" s="11" t="str">
        <f ca="1">IF(History!CR$2="","",History!CR23*$C$34)</f>
        <v/>
      </c>
      <c r="CO34" s="11" t="str">
        <f ca="1">IF(History!CS$2="","",History!CS23*$C$34)</f>
        <v/>
      </c>
      <c r="CP34" s="11" t="str">
        <f ca="1">IF(History!CT$2="","",History!CT23*$C$34)</f>
        <v/>
      </c>
      <c r="CQ34" s="11" t="str">
        <f ca="1">IF(History!CU$2="","",History!CU23*$C$34)</f>
        <v/>
      </c>
      <c r="CR34" s="11" t="str">
        <f ca="1">IF(History!CV$2="","",History!CV23*$C$34)</f>
        <v/>
      </c>
      <c r="CS34" s="11" t="str">
        <f ca="1">IF(History!CW$2="","",History!CW23*$C$34)</f>
        <v/>
      </c>
      <c r="CT34" s="11" t="str">
        <f ca="1">IF(History!CX$2="","",History!CX23*$C$34)</f>
        <v/>
      </c>
      <c r="CU34" s="11" t="str">
        <f ca="1">IF(History!CY$2="","",History!CY23*$C$34)</f>
        <v/>
      </c>
      <c r="CV34" s="11" t="str">
        <f ca="1">IF(History!CZ$2="","",History!CZ23*$C$34)</f>
        <v/>
      </c>
      <c r="CW34" s="11" t="str">
        <f ca="1">IF(History!DA$2="","",History!DA23*$C$34)</f>
        <v/>
      </c>
      <c r="CX34" s="11" t="str">
        <f ca="1">IF(History!DB$2="","",History!DB23*$C$34)</f>
        <v/>
      </c>
      <c r="CY34" s="11" t="str">
        <f ca="1">IF(History!DC$2="","",History!DC23*$C$34)</f>
        <v/>
      </c>
      <c r="CZ34" s="11" t="str">
        <f ca="1">IF(History!DD$2="","",History!DD23*$C$34)</f>
        <v/>
      </c>
      <c r="DA34" s="11" t="str">
        <f ca="1">IF(History!DE$2="","",History!DE23*$C$34)</f>
        <v/>
      </c>
      <c r="DB34" s="11" t="str">
        <f ca="1">IF(History!DF$2="","",History!DF23*$C$34)</f>
        <v/>
      </c>
      <c r="DC34" s="11" t="str">
        <f ca="1">IF(History!DG$2="","",History!DG23*$C$34)</f>
        <v/>
      </c>
      <c r="DD34" s="11" t="str">
        <f ca="1">IF(History!DH$2="","",History!DH23*$C$34)</f>
        <v/>
      </c>
      <c r="DE34" s="11" t="str">
        <f ca="1">IF(History!DI$2="","",History!DI23*$C$34)</f>
        <v/>
      </c>
      <c r="DF34" s="11" t="str">
        <f ca="1">IF(History!DJ$2="","",History!DJ23*$C$34)</f>
        <v/>
      </c>
      <c r="DG34" s="11" t="str">
        <f ca="1">IF(History!DK$2="","",History!DK23*$C$34)</f>
        <v/>
      </c>
      <c r="DH34" s="11" t="str">
        <f ca="1">IF(History!DL$2="","",History!DL23*$C$34)</f>
        <v/>
      </c>
      <c r="DI34" s="11" t="str">
        <f ca="1">IF(History!DM$2="","",History!DM23*$C$34)</f>
        <v/>
      </c>
      <c r="DJ34" s="11" t="str">
        <f ca="1">IF(History!DN$2="","",History!DN23*$C$34)</f>
        <v/>
      </c>
      <c r="DK34" s="11" t="str">
        <f ca="1">IF(History!DO$2="","",History!DO23*$C$34)</f>
        <v/>
      </c>
      <c r="DL34" s="11" t="str">
        <f ca="1">IF(History!DP$2="","",History!DP23*$C$34)</f>
        <v/>
      </c>
      <c r="DM34" s="11" t="str">
        <f ca="1">IF(History!DQ$2="","",History!DQ23*$C$34)</f>
        <v/>
      </c>
      <c r="DN34" s="11" t="str">
        <f ca="1">IF(History!DR$2="","",History!DR23*$C$34)</f>
        <v/>
      </c>
      <c r="DO34" s="11" t="str">
        <f ca="1">IF(History!DS$2="","",History!DS23*$C$34)</f>
        <v/>
      </c>
      <c r="DP34" s="11" t="str">
        <f ca="1">IF(History!DT$2="","",History!DT23*$C$34)</f>
        <v/>
      </c>
      <c r="DQ34" s="11" t="str">
        <f ca="1">IF(History!DU$2="","",History!DU23*$C$34)</f>
        <v/>
      </c>
      <c r="DR34" s="11" t="str">
        <f ca="1">IF(History!DV$2="","",History!DV23*$C$34)</f>
        <v/>
      </c>
      <c r="DS34" s="11" t="str">
        <f ca="1">IF(History!DW$2="","",History!DW23*$C$34)</f>
        <v/>
      </c>
      <c r="DT34" s="11" t="str">
        <f ca="1">IF(History!DX$2="","",History!DX23*$C$34)</f>
        <v/>
      </c>
      <c r="DU34" s="11" t="str">
        <f ca="1">IF(History!DY$2="","",History!DY23*$C$34)</f>
        <v/>
      </c>
      <c r="DV34" s="11" t="str">
        <f ca="1">IF(History!DZ$2="","",History!DZ23*$C$34)</f>
        <v/>
      </c>
      <c r="DW34" s="11" t="str">
        <f ca="1">IF(History!EA$2="","",History!EA23*$C$34)</f>
        <v/>
      </c>
      <c r="DX34" s="11" t="str">
        <f ca="1">IF(History!EB$2="","",History!EB23*$C$34)</f>
        <v/>
      </c>
      <c r="DY34" s="11" t="str">
        <f ca="1">IF(History!EC$2="","",History!EC23*$C$34)</f>
        <v/>
      </c>
      <c r="DZ34" s="11" t="str">
        <f ca="1">IF(History!ED$2="","",History!ED23*$C$34)</f>
        <v/>
      </c>
      <c r="EA34" s="11" t="str">
        <f ca="1">IF(History!EE$2="","",History!EE23*$C$34)</f>
        <v/>
      </c>
      <c r="EB34" s="11" t="str">
        <f ca="1">IF(History!EF$2="","",History!EF23*$C$34)</f>
        <v/>
      </c>
      <c r="EC34" s="11" t="str">
        <f ca="1">IF(History!EG$2="","",History!EG23*$C$34)</f>
        <v/>
      </c>
      <c r="ED34" s="11" t="str">
        <f ca="1">IF(History!EH$2="","",History!EH23*$C$34)</f>
        <v/>
      </c>
      <c r="EE34" s="11" t="str">
        <f ca="1">IF(History!EI$2="","",History!EI23*$C$34)</f>
        <v/>
      </c>
      <c r="EF34" s="11" t="str">
        <f ca="1">IF(History!EJ$2="","",History!EJ23*$C$34)</f>
        <v/>
      </c>
      <c r="EG34" s="11" t="str">
        <f ca="1">IF(History!EK$2="","",History!EK23*$C$34)</f>
        <v/>
      </c>
      <c r="EH34" s="11" t="str">
        <f ca="1">IF(History!EL$2="","",History!EL23*$C$34)</f>
        <v/>
      </c>
      <c r="EI34" s="11" t="str">
        <f ca="1">IF(History!EM$2="","",History!EM23*$C$34)</f>
        <v/>
      </c>
      <c r="EJ34" s="11" t="str">
        <f ca="1">IF(History!EN$2="","",History!EN23*$C$34)</f>
        <v/>
      </c>
      <c r="EK34" s="11" t="str">
        <f ca="1">IF(History!EO$2="","",History!EO23*$C$34)</f>
        <v/>
      </c>
      <c r="EL34" s="11" t="str">
        <f ca="1">IF(History!EP$2="","",History!EP23*$C$34)</f>
        <v/>
      </c>
      <c r="EM34" s="11" t="str">
        <f ca="1">IF(History!EQ$2="","",History!EQ23*$C$34)</f>
        <v/>
      </c>
      <c r="EN34" s="11" t="str">
        <f ca="1">IF(History!ER$2="","",History!ER23*$C$34)</f>
        <v/>
      </c>
      <c r="EO34" s="11" t="str">
        <f ca="1">IF(History!ES$2="","",History!ES23*$C$34)</f>
        <v/>
      </c>
      <c r="EP34" s="11" t="str">
        <f ca="1">IF(History!ET$2="","",History!ET23*$C$34)</f>
        <v/>
      </c>
      <c r="EQ34" s="11" t="str">
        <f ca="1">IF(History!EU$2="","",History!EU23*$C$34)</f>
        <v/>
      </c>
      <c r="ER34" s="11" t="str">
        <f ca="1">IF(History!EV$2="","",History!EV23*$C$34)</f>
        <v/>
      </c>
      <c r="ES34" s="11" t="str">
        <f ca="1">IF(History!EW$2="","",History!EW23*$C$34)</f>
        <v/>
      </c>
      <c r="ET34" s="11" t="str">
        <f ca="1">IF(History!EX$2="","",History!EX23*$C$34)</f>
        <v/>
      </c>
      <c r="EU34" s="11" t="str">
        <f ca="1">IF(History!EY$2="","",History!EY23*$C$34)</f>
        <v/>
      </c>
      <c r="EV34" s="11" t="str">
        <f ca="1">IF(History!EZ$2="","",History!EZ23*$C$34)</f>
        <v/>
      </c>
      <c r="EW34" s="11" t="str">
        <f ca="1">IF(History!FA$2="","",History!FA23*$C$34)</f>
        <v/>
      </c>
      <c r="EX34" s="11" t="str">
        <f ca="1">IF(History!FB$2="","",History!FB23*$C$34)</f>
        <v/>
      </c>
      <c r="EY34" s="11" t="str">
        <f ca="1">IF(History!FC$2="","",History!FC23*$C$34)</f>
        <v/>
      </c>
      <c r="EZ34" s="11" t="str">
        <f ca="1">IF(History!FD$2="","",History!FD23*$C$34)</f>
        <v/>
      </c>
      <c r="FA34" s="11" t="str">
        <f ca="1">IF(History!FE$2="","",History!FE23*$C$34)</f>
        <v/>
      </c>
      <c r="FB34" s="11" t="str">
        <f ca="1">IF(History!FF$2="","",History!FF23*$C$34)</f>
        <v/>
      </c>
      <c r="FC34" s="11" t="str">
        <f ca="1">IF(History!FG$2="","",History!FG23*$C$34)</f>
        <v/>
      </c>
      <c r="FD34" s="11" t="str">
        <f ca="1">IF(History!FH$2="","",History!FH23*$C$34)</f>
        <v/>
      </c>
      <c r="FE34" s="11" t="str">
        <f ca="1">IF(History!FI$2="","",History!FI23*$C$34)</f>
        <v/>
      </c>
      <c r="FF34" s="11" t="str">
        <f ca="1">IF(History!FJ$2="","",History!FJ23*$C$34)</f>
        <v/>
      </c>
      <c r="FG34" s="11" t="str">
        <f ca="1">IF(History!FK$2="","",History!FK23*$C$34)</f>
        <v/>
      </c>
      <c r="FH34" s="11" t="str">
        <f ca="1">IF(History!FL$2="","",History!FL23*$C$34)</f>
        <v/>
      </c>
      <c r="FI34" s="11" t="str">
        <f ca="1">IF(History!FM$2="","",History!FM23*$C$34)</f>
        <v/>
      </c>
      <c r="FJ34" s="11" t="str">
        <f ca="1">IF(History!FN$2="","",History!FN23*$C$34)</f>
        <v/>
      </c>
      <c r="FK34" s="11" t="str">
        <f ca="1">IF(History!FO$2="","",History!FO23*$C$34)</f>
        <v/>
      </c>
      <c r="FL34" s="11" t="str">
        <f ca="1">IF(History!FP$2="","",History!FP23*$C$34)</f>
        <v/>
      </c>
      <c r="FM34" s="11" t="str">
        <f ca="1">IF(History!FQ$2="","",History!FQ23*$C$34)</f>
        <v/>
      </c>
      <c r="FN34" s="11" t="str">
        <f ca="1">IF(History!FR$2="","",History!FR23*$C$34)</f>
        <v/>
      </c>
      <c r="FO34" s="11" t="str">
        <f ca="1">IF(History!FS$2="","",History!FS23*$C$34)</f>
        <v/>
      </c>
      <c r="FP34" s="11" t="str">
        <f ca="1">IF(History!FT$2="","",History!FT23*$C$34)</f>
        <v/>
      </c>
      <c r="FQ34" s="11" t="str">
        <f ca="1">IF(History!FU$2="","",History!FU23*$C$34)</f>
        <v/>
      </c>
      <c r="FR34" s="11" t="str">
        <f ca="1">IF(History!FV$2="","",History!FV23*$C$34)</f>
        <v/>
      </c>
      <c r="FS34" s="11" t="str">
        <f ca="1">IF(History!FW$2="","",History!FW23*$C$34)</f>
        <v/>
      </c>
      <c r="FT34" s="11" t="str">
        <f ca="1">IF(History!FX$2="","",History!FX23*$C$34)</f>
        <v/>
      </c>
      <c r="FU34" s="11" t="str">
        <f ca="1">IF(History!FY$2="","",History!FY23*$C$34)</f>
        <v/>
      </c>
      <c r="FV34" s="11" t="str">
        <f ca="1">IF(History!FZ$2="","",History!FZ23*$C$34)</f>
        <v/>
      </c>
      <c r="FW34" s="11" t="str">
        <f ca="1">IF(History!GA$2="","",History!GA23*$C$34)</f>
        <v/>
      </c>
      <c r="FX34" s="11" t="str">
        <f ca="1">IF(History!GB$2="","",History!GB23*$C$34)</f>
        <v/>
      </c>
      <c r="FY34" s="11" t="str">
        <f ca="1">IF(History!GC$2="","",History!GC23*$C$34)</f>
        <v/>
      </c>
      <c r="FZ34" s="11" t="str">
        <f ca="1">IF(History!GD$2="","",History!GD23*$C$34)</f>
        <v/>
      </c>
      <c r="GA34" s="11" t="str">
        <f ca="1">IF(History!GE$2="","",History!GE23*$C$34)</f>
        <v/>
      </c>
      <c r="GB34" s="11" t="str">
        <f ca="1">IF(History!GF$2="","",History!GF23*$C$34)</f>
        <v/>
      </c>
      <c r="GC34" s="11" t="str">
        <f ca="1">IF(History!GG$2="","",History!GG23*$C$34)</f>
        <v/>
      </c>
      <c r="GD34" s="11" t="str">
        <f ca="1">IF(History!GH$2="","",History!GH23*$C$34)</f>
        <v/>
      </c>
      <c r="GE34" s="11" t="str">
        <f ca="1">IF(History!GI$2="","",History!GI23*$C$34)</f>
        <v/>
      </c>
      <c r="GF34" s="11" t="str">
        <f ca="1">IF(History!GJ$2="","",History!GJ23*$C$34)</f>
        <v/>
      </c>
      <c r="GG34" s="11" t="str">
        <f ca="1">IF(History!GK$2="","",History!GK23*$C$34)</f>
        <v/>
      </c>
      <c r="GH34" s="11" t="str">
        <f ca="1">IF(History!GL$2="","",History!GL23*$C$34)</f>
        <v/>
      </c>
      <c r="GI34" s="11" t="str">
        <f ca="1">IF(History!GM$2="","",History!GM23*$C$34)</f>
        <v/>
      </c>
      <c r="GJ34" s="11" t="str">
        <f ca="1">IF(History!GN$2="","",History!GN23*$C$34)</f>
        <v/>
      </c>
      <c r="GK34" s="11" t="str">
        <f ca="1">IF(History!GO$2="","",History!GO23*$C$34)</f>
        <v/>
      </c>
      <c r="GL34" s="11" t="str">
        <f ca="1">IF(History!GP$2="","",History!GP23*$C$34)</f>
        <v/>
      </c>
      <c r="GM34" s="11" t="str">
        <f ca="1">IF(History!GQ$2="","",History!GQ23*$C$34)</f>
        <v/>
      </c>
      <c r="GN34" s="11" t="str">
        <f ca="1">IF(History!GR$2="","",History!GR23*$C$34)</f>
        <v/>
      </c>
      <c r="GO34" s="11" t="str">
        <f ca="1">IF(History!GS$2="","",History!GS23*$C$34)</f>
        <v/>
      </c>
      <c r="GP34" s="11" t="str">
        <f ca="1">IF(History!GT$2="","",History!GT23*$C$34)</f>
        <v/>
      </c>
      <c r="GQ34" s="11" t="str">
        <f ca="1">IF(History!GU$2="","",History!GU23*$C$34)</f>
        <v/>
      </c>
      <c r="GR34" s="11" t="str">
        <f ca="1">IF(History!GV$2="","",History!GV23*$C$34)</f>
        <v/>
      </c>
      <c r="GS34" s="11" t="str">
        <f ca="1">IF(History!GW$2="","",History!GW23*$C$34)</f>
        <v/>
      </c>
      <c r="GT34" s="11" t="str">
        <f ca="1">IF(History!GX$2="","",History!GX23*$C$34)</f>
        <v/>
      </c>
      <c r="GU34" s="11" t="str">
        <f ca="1">IF(History!GY$2="","",History!GY23*$C$34)</f>
        <v/>
      </c>
      <c r="GV34" s="11" t="str">
        <f ca="1">IF(History!GZ$2="","",History!GZ23*$C$34)</f>
        <v/>
      </c>
      <c r="GW34" s="11" t="str">
        <f ca="1">IF(History!HA$2="","",History!HA23*$C$34)</f>
        <v/>
      </c>
      <c r="GX34" s="11" t="str">
        <f ca="1">IF(History!HB$2="","",History!HB23*$C$34)</f>
        <v/>
      </c>
      <c r="GY34" s="11" t="str">
        <f ca="1">IF(History!HC$2="","",History!HC23*$C$34)</f>
        <v/>
      </c>
      <c r="GZ34" s="11" t="str">
        <f ca="1">IF(History!HD$2="","",History!HD23*$C$34)</f>
        <v/>
      </c>
      <c r="HA34" s="11" t="str">
        <f ca="1">IF(History!HE$2="","",History!HE23*$C$34)</f>
        <v/>
      </c>
      <c r="HB34" s="11" t="str">
        <f ca="1">IF(History!HF$2="","",History!HF23*$C$34)</f>
        <v/>
      </c>
      <c r="HC34" s="11" t="str">
        <f ca="1">IF(History!HG$2="","",History!HG23*$C$34)</f>
        <v/>
      </c>
      <c r="HD34" s="11" t="str">
        <f ca="1">IF(History!HH$2="","",History!HH23*$C$34)</f>
        <v/>
      </c>
      <c r="HE34" s="11" t="str">
        <f ca="1">IF(History!HI$2="","",History!HI23*$C$34)</f>
        <v/>
      </c>
      <c r="HF34" s="11" t="str">
        <f ca="1">IF(History!HJ$2="","",History!HJ23*$C$34)</f>
        <v/>
      </c>
      <c r="HG34" s="11" t="str">
        <f ca="1">IF(History!HK$2="","",History!HK23*$C$34)</f>
        <v/>
      </c>
      <c r="HH34" s="11" t="str">
        <f ca="1">IF(History!HL$2="","",History!HL23*$C$34)</f>
        <v/>
      </c>
      <c r="HI34" s="11" t="str">
        <f ca="1">IF(History!HM$2="","",History!HM23*$C$34)</f>
        <v/>
      </c>
      <c r="HJ34" s="11" t="str">
        <f ca="1">IF(History!HN$2="","",History!HN23*$C$34)</f>
        <v/>
      </c>
      <c r="HK34" s="11" t="str">
        <f ca="1">IF(History!HO$2="","",History!HO23*$C$34)</f>
        <v/>
      </c>
      <c r="HL34" s="11" t="str">
        <f ca="1">IF(History!HP$2="","",History!HP23*$C$34)</f>
        <v/>
      </c>
      <c r="HM34" s="11" t="str">
        <f ca="1">IF(History!HQ$2="","",History!HQ23*$C$34)</f>
        <v/>
      </c>
      <c r="HN34" s="11" t="str">
        <f ca="1">IF(History!HR$2="","",History!HR23*$C$34)</f>
        <v/>
      </c>
      <c r="HO34" s="11" t="str">
        <f ca="1">IF(History!HS$2="","",History!HS23*$C$34)</f>
        <v/>
      </c>
      <c r="HP34" s="11" t="str">
        <f ca="1">IF(History!HT$2="","",History!HT23*$C$34)</f>
        <v/>
      </c>
      <c r="HQ34" s="11" t="str">
        <f ca="1">IF(History!HU$2="","",History!HU23*$C$34)</f>
        <v/>
      </c>
      <c r="HR34" s="11" t="str">
        <f ca="1">IF(History!HV$2="","",History!HV23*$C$34)</f>
        <v/>
      </c>
      <c r="HS34" s="11" t="str">
        <f ca="1">IF(History!HW$2="","",History!HW23*$C$34)</f>
        <v/>
      </c>
      <c r="HT34" s="11" t="str">
        <f ca="1">IF(History!HX$2="","",History!HX23*$C$34)</f>
        <v/>
      </c>
      <c r="HU34" s="11" t="str">
        <f ca="1">IF(History!HY$2="","",History!HY23*$C$34)</f>
        <v/>
      </c>
      <c r="HV34" s="11" t="str">
        <f ca="1">IF(History!HZ$2="","",History!HZ23*$C$34)</f>
        <v/>
      </c>
      <c r="HW34" s="11" t="str">
        <f ca="1">IF(History!IA$2="","",History!IA23*$C$34)</f>
        <v/>
      </c>
      <c r="HX34" s="11" t="str">
        <f ca="1">IF(History!IB$2="","",History!IB23*$C$34)</f>
        <v/>
      </c>
      <c r="HY34" s="11" t="str">
        <f ca="1">IF(History!IC$2="","",History!IC23*$C$34)</f>
        <v/>
      </c>
      <c r="HZ34" s="11" t="str">
        <f ca="1">IF(History!ID$2="","",History!ID23*$C$34)</f>
        <v/>
      </c>
      <c r="IA34" s="11" t="str">
        <f ca="1">IF(History!IE$2="","",History!IE23*$C$34)</f>
        <v/>
      </c>
      <c r="IB34" s="11" t="str">
        <f ca="1">IF(History!IF$2="","",History!IF23*$C$34)</f>
        <v/>
      </c>
      <c r="IC34" s="11" t="str">
        <f ca="1">IF(History!IG$2="","",History!IG23*$C$34)</f>
        <v/>
      </c>
      <c r="ID34" s="11" t="str">
        <f ca="1">IF(History!IH$2="","",History!IH23*$C$34)</f>
        <v/>
      </c>
      <c r="IE34" s="11" t="str">
        <f ca="1">IF(History!II$2="","",History!II23*$C$34)</f>
        <v/>
      </c>
      <c r="IF34" s="11" t="str">
        <f ca="1">IF(History!IJ$2="","",History!IJ23*$C$34)</f>
        <v/>
      </c>
      <c r="IG34" s="11" t="str">
        <f ca="1">IF(History!IK$2="","",History!IK23*$C$34)</f>
        <v/>
      </c>
      <c r="IH34" s="11" t="str">
        <f ca="1">IF(History!IL$2="","",History!IL23*$C$34)</f>
        <v/>
      </c>
      <c r="II34" s="11" t="str">
        <f ca="1">IF(History!IM$2="","",History!IM23*$C$34)</f>
        <v/>
      </c>
      <c r="IJ34" s="11" t="str">
        <f ca="1">IF(History!IN$2="","",History!IN23*$C$34)</f>
        <v/>
      </c>
      <c r="IK34" s="11" t="str">
        <f ca="1">IF(History!IO$2="","",History!IO23*$C$34)</f>
        <v/>
      </c>
      <c r="IL34" s="11" t="str">
        <f ca="1">IF(History!IP$2="","",History!IP23*$C$34)</f>
        <v/>
      </c>
      <c r="IM34" s="11" t="str">
        <f ca="1">IF(History!IQ$2="","",History!IQ23*$C$34)</f>
        <v/>
      </c>
      <c r="IN34" s="11" t="str">
        <f ca="1">IF(History!IR$2="","",History!IR23*$C$34)</f>
        <v/>
      </c>
      <c r="IO34" s="11" t="str">
        <f ca="1">IF(History!IS$2="","",History!IS23*$C$34)</f>
        <v/>
      </c>
      <c r="IP34" s="11" t="str">
        <f ca="1">IF(History!IT$2="","",History!IT23*$C$34)</f>
        <v/>
      </c>
      <c r="IQ34" s="11" t="str">
        <f ca="1">IF(History!IU$2="","",History!IU23*$C$34)</f>
        <v/>
      </c>
      <c r="IR34" s="11" t="str">
        <f ca="1">IF(History!IV$2="","",History!IV23*$C$34)</f>
        <v/>
      </c>
      <c r="IS34" s="11" t="str">
        <f ca="1">IF(History!IW$2="","",History!IW23*$C$34)</f>
        <v/>
      </c>
      <c r="IT34" s="11" t="str">
        <f ca="1">IF(History!IX$2="","",History!IX23*$C$34)</f>
        <v/>
      </c>
      <c r="IU34" s="11" t="str">
        <f ca="1">IF(History!IY$2="","",History!IY23*$C$34)</f>
        <v/>
      </c>
      <c r="IV34" s="11" t="str">
        <f ca="1">IF(History!IZ$2="","",History!IZ23*$C$34)</f>
        <v/>
      </c>
      <c r="IW34" s="11" t="str">
        <f ca="1">IF(History!JA$2="","",History!JA23*$C$34)</f>
        <v/>
      </c>
      <c r="IX34" s="11" t="str">
        <f ca="1">IF(History!JB$2="","",History!JB23*$C$34)</f>
        <v/>
      </c>
      <c r="IY34" s="11" t="str">
        <f ca="1">IF(History!JC$2="","",History!JC23*$C$34)</f>
        <v/>
      </c>
      <c r="IZ34" s="11" t="str">
        <f ca="1">IF(History!JD$2="","",History!JD23*$C$34)</f>
        <v/>
      </c>
      <c r="JA34" s="11" t="str">
        <f ca="1">IF(History!JE$2="","",History!JE23*$C$34)</f>
        <v/>
      </c>
      <c r="JB34" s="11" t="str">
        <f ca="1">IF(History!JF$2="","",History!JF23*$C$34)</f>
        <v/>
      </c>
      <c r="JC34" s="11" t="str">
        <f ca="1">IF(History!JG$2="","",History!JG23*$C$34)</f>
        <v/>
      </c>
      <c r="JD34" s="11" t="str">
        <f ca="1">IF(History!JH$2="","",History!JH23*$C$34)</f>
        <v/>
      </c>
      <c r="JE34" s="11" t="str">
        <f ca="1">IF(History!JI$2="","",History!JI23*$C$34)</f>
        <v/>
      </c>
      <c r="JF34" s="11" t="str">
        <f ca="1">IF(History!JJ$2="","",History!JJ23*$C$34)</f>
        <v/>
      </c>
      <c r="JG34" s="11" t="str">
        <f ca="1">IF(History!JK$2="","",History!JK23*$C$34)</f>
        <v/>
      </c>
      <c r="JH34" s="11" t="str">
        <f ca="1">IF(History!JL$2="","",History!JL23*$C$34)</f>
        <v/>
      </c>
      <c r="JI34" s="11" t="str">
        <f ca="1">IF(History!JM$2="","",History!JM23*$C$34)</f>
        <v/>
      </c>
      <c r="JJ34" s="11" t="str">
        <f ca="1">IF(History!JN$2="","",History!JN23*$C$34)</f>
        <v/>
      </c>
      <c r="JK34" s="11" t="str">
        <f ca="1">IF(History!JO$2="","",History!JO23*$C$34)</f>
        <v/>
      </c>
      <c r="JL34" s="11" t="str">
        <f ca="1">IF(History!JP$2="","",History!JP23*$C$34)</f>
        <v/>
      </c>
      <c r="JM34" s="11" t="str">
        <f ca="1">IF(History!JQ$2="","",History!JQ23*$C$34)</f>
        <v/>
      </c>
      <c r="JN34" s="11" t="str">
        <f ca="1">IF(History!JR$2="","",History!JR23*$C$34)</f>
        <v/>
      </c>
      <c r="JO34" s="11" t="str">
        <f ca="1">IF(History!JS$2="","",History!JS23*$C$34)</f>
        <v/>
      </c>
      <c r="JP34" s="11" t="str">
        <f ca="1">IF(History!JT$2="","",History!JT23*$C$34)</f>
        <v/>
      </c>
      <c r="JQ34" s="11" t="str">
        <f ca="1">IF(History!JU$2="","",History!JU23*$C$34)</f>
        <v/>
      </c>
      <c r="JR34" s="11" t="str">
        <f ca="1">IF(History!JV$2="","",History!JV23*$C$34)</f>
        <v/>
      </c>
      <c r="JS34" s="11" t="str">
        <f ca="1">IF(History!JW$2="","",History!JW23*$C$34)</f>
        <v/>
      </c>
      <c r="JT34" s="11" t="str">
        <f ca="1">IF(History!JX$2="","",History!JX23*$C$34)</f>
        <v/>
      </c>
      <c r="JU34" s="11" t="str">
        <f ca="1">IF(History!JY$2="","",History!JY23*$C$34)</f>
        <v/>
      </c>
      <c r="JV34" s="11" t="str">
        <f ca="1">IF(History!JZ$2="","",History!JZ23*$C$34)</f>
        <v/>
      </c>
      <c r="JW34" s="11" t="str">
        <f ca="1">IF(History!KA$2="","",History!KA23*$C$34)</f>
        <v/>
      </c>
      <c r="JX34" s="11" t="str">
        <f ca="1">IF(History!KB$2="","",History!KB23*$C$34)</f>
        <v/>
      </c>
      <c r="JY34" s="11" t="str">
        <f ca="1">IF(History!KC$2="","",History!KC23*$C$34)</f>
        <v/>
      </c>
      <c r="JZ34" s="11" t="str">
        <f ca="1">IF(History!KD$2="","",History!KD23*$C$34)</f>
        <v/>
      </c>
      <c r="KA34" s="11" t="str">
        <f ca="1">IF(History!KE$2="","",History!KE23*$C$34)</f>
        <v/>
      </c>
      <c r="KB34" s="11" t="str">
        <f ca="1">IF(History!KF$2="","",History!KF23*$C$34)</f>
        <v/>
      </c>
    </row>
    <row r="35" spans="1:288" ht="15.75" customHeight="1">
      <c r="A35" s="22" t="s">
        <v>30</v>
      </c>
      <c r="B35" s="6" t="s">
        <v>67</v>
      </c>
      <c r="C35" s="26">
        <v>7</v>
      </c>
      <c r="D35" s="11">
        <f ca="1">IF(History!H$2="","",History!H24*$C$35)</f>
        <v>1030.05</v>
      </c>
      <c r="E35" s="11">
        <f ca="1">IF(History!I$2="","",History!I24*$C$35)</f>
        <v>1061.2</v>
      </c>
      <c r="F35" s="11">
        <f ca="1">IF(History!J$2="","",History!J24*$C$35)</f>
        <v>1052.8</v>
      </c>
      <c r="G35" s="11">
        <f ca="1">IF(History!K$2="","",History!K24*$C$35)</f>
        <v>1053.71</v>
      </c>
      <c r="H35" s="11">
        <f ca="1">IF(History!L$2="","",History!L24*$C$35)</f>
        <v>1045.52</v>
      </c>
      <c r="I35" s="11">
        <f ca="1">IF(History!M$2="","",History!M24*$C$35)</f>
        <v>1025.5</v>
      </c>
      <c r="J35" s="11">
        <f ca="1">IF(History!N$2="","",History!N24*$C$35)</f>
        <v>1007.4399999999999</v>
      </c>
      <c r="K35" s="11">
        <f ca="1">IF(History!O$2="","",History!O24*$C$35)</f>
        <v>973.35000000000014</v>
      </c>
      <c r="L35" s="11">
        <f ca="1">IF(History!P$2="","",History!P24*$C$35)</f>
        <v>962.07999999999993</v>
      </c>
      <c r="M35" s="11">
        <f ca="1">IF(History!Q$2="","",History!Q24*$C$35)</f>
        <v>986.30000000000007</v>
      </c>
      <c r="N35" s="11">
        <f ca="1">IF(History!R$2="","",History!R24*$C$35)</f>
        <v>957.3900000000001</v>
      </c>
      <c r="O35" s="11">
        <f ca="1">IF(History!S$2="","",History!S24*$C$35)</f>
        <v>936.60000000000014</v>
      </c>
      <c r="P35" s="11">
        <f ca="1">IF(History!T$2="","",History!T24*$C$35)</f>
        <v>921.19999999999993</v>
      </c>
      <c r="Q35" s="11">
        <f ca="1">IF(History!U$2="","",History!U24*$C$35)</f>
        <v>924.69999999999993</v>
      </c>
      <c r="R35" s="11">
        <f ca="1">IF(History!V$2="","",History!V24*$C$35)</f>
        <v>945</v>
      </c>
      <c r="S35" s="11">
        <f ca="1">IF(History!W$2="","",History!W24*$C$35)</f>
        <v>949.19999999999993</v>
      </c>
      <c r="T35" s="11">
        <f ca="1">IF(History!X$2="","",History!X24*$C$35)</f>
        <v>944.57999999999993</v>
      </c>
      <c r="U35" s="11">
        <f ca="1">IF(History!Y$2="","",History!Y24*$C$35)</f>
        <v>922.60000000000014</v>
      </c>
      <c r="V35" s="11">
        <f ca="1">IF(History!Z$2="","",History!Z24*$C$35)</f>
        <v>910.21</v>
      </c>
      <c r="W35" s="11">
        <f ca="1">IF(History!AA$2="","",History!AA24*$C$35)</f>
        <v>940.44999999999993</v>
      </c>
      <c r="X35" s="11">
        <f ca="1">IF(History!AB$2="","",History!AB24*$C$35)</f>
        <v>957.46</v>
      </c>
      <c r="Y35" s="11">
        <f ca="1">IF(History!AC$2="","",History!AC24*$C$35)</f>
        <v>963.62</v>
      </c>
      <c r="Z35" s="11">
        <f ca="1">IF(History!AD$2="","",History!AD24*$C$35)</f>
        <v>930.43999999999994</v>
      </c>
      <c r="AA35" s="11">
        <f ca="1">IF(History!AE$2="","",History!AE24*$C$35)</f>
        <v>920.71</v>
      </c>
      <c r="AB35" s="11">
        <f ca="1">IF(History!AF$2="","",History!AF24*$C$35)</f>
        <v>926.7299999999999</v>
      </c>
      <c r="AC35" s="11">
        <f ca="1">IF(History!AG$2="","",History!AG24*$C$35)</f>
        <v>939.39999999999986</v>
      </c>
      <c r="AD35" s="11">
        <f ca="1">IF(History!AH$2="","",History!AH24*$C$35)</f>
        <v>947.59</v>
      </c>
      <c r="AE35" s="11">
        <f ca="1">IF(History!AI$2="","",History!AI24*$C$35)</f>
        <v>926.87</v>
      </c>
      <c r="AF35" s="11">
        <f ca="1">IF(History!AJ$2="","",History!AJ24*$C$35)</f>
        <v>920.43000000000006</v>
      </c>
      <c r="AG35" s="11">
        <f ca="1">IF(History!AK$2="","",History!AK24*$C$35)</f>
        <v>901.04</v>
      </c>
      <c r="AH35" s="11">
        <f ca="1">IF(History!AL$2="","",History!AL24*$C$35)</f>
        <v>726.39</v>
      </c>
      <c r="AI35" s="11">
        <f ca="1">IF(History!AM$2="","",History!AM24*$C$35)</f>
        <v>731.85</v>
      </c>
      <c r="AJ35" s="11">
        <f ca="1">IF(History!AN$2="","",History!AN24*$C$35)</f>
        <v>776.65</v>
      </c>
      <c r="AK35" s="11">
        <f ca="1">IF(History!AO$2="","",History!AO24*$C$35)</f>
        <v>793.59</v>
      </c>
      <c r="AL35" s="11">
        <f ca="1">IF(History!AP$2="","",History!AP24*$C$35)</f>
        <v>757.32999999999993</v>
      </c>
      <c r="AM35" s="11">
        <f ca="1">IF(History!AQ$2="","",History!AQ24*$C$35)</f>
        <v>790.23</v>
      </c>
      <c r="AN35" s="11">
        <f ca="1">IF(History!AR$2="","",History!AR24*$C$35)</f>
        <v>785.75</v>
      </c>
      <c r="AO35" s="11">
        <f ca="1">IF(History!AS$2="","",History!AS24*$C$35)</f>
        <v>764.82</v>
      </c>
      <c r="AP35" s="11">
        <f ca="1">IF(History!AT$2="","",History!AT24*$C$35)</f>
        <v>749.69999999999993</v>
      </c>
      <c r="AQ35" s="11">
        <f ca="1">IF(History!AU$2="","",History!AU24*$C$35)</f>
        <v>756.69999999999993</v>
      </c>
      <c r="AR35" s="11">
        <f ca="1">IF(History!AV$2="","",History!AV24*$C$35)</f>
        <v>762.16</v>
      </c>
      <c r="AS35" s="11">
        <f ca="1">IF(History!AW$2="","",History!AW24*$C$35)</f>
        <v>756.42000000000007</v>
      </c>
      <c r="AT35" s="11">
        <f ca="1">IF(History!AX$2="","",History!AX24*$C$35)</f>
        <v>758.17000000000007</v>
      </c>
      <c r="AU35" s="11">
        <f ca="1">IF(History!AY$2="","",History!AY24*$C$35)</f>
        <v>745.85</v>
      </c>
      <c r="AV35" s="11">
        <f ca="1">IF(History!AZ$2="","",History!AZ24*$C$35)</f>
        <v>769.93</v>
      </c>
      <c r="AW35" s="11">
        <f ca="1">IF(History!BA$2="","",History!BA24*$C$35)</f>
        <v>799.96</v>
      </c>
      <c r="AX35" s="11">
        <f ca="1">IF(History!BB$2="","",History!BB24*$C$35)</f>
        <v>789.04</v>
      </c>
      <c r="AY35" s="11">
        <f ca="1">IF(History!BC$2="","",History!BC24*$C$35)</f>
        <v>821.24</v>
      </c>
      <c r="AZ35" s="11">
        <f ca="1">IF(History!BD$2="","",History!BD24*$C$35)</f>
        <v>799.26</v>
      </c>
      <c r="BA35" s="11">
        <f ca="1">IF(History!BE$2="","",History!BE24*$C$35)</f>
        <v>819.07</v>
      </c>
      <c r="BB35" s="11">
        <f ca="1">IF(History!BF$2="","",History!BF24*$C$35)</f>
        <v>807.52</v>
      </c>
      <c r="BC35" s="11">
        <f ca="1">IF(History!BG$2="","",History!BG24*$C$35)</f>
        <v>823.82999999999993</v>
      </c>
      <c r="BD35" s="11">
        <f ca="1">IF(History!BH$2="","",History!BH24*$C$35)</f>
        <v>807.66</v>
      </c>
      <c r="BE35" s="11">
        <f ca="1">IF(History!BI$2="","",History!BI24*$C$35)</f>
        <v>804.65</v>
      </c>
      <c r="BF35" s="11">
        <f ca="1">IF(History!BJ$2="","",History!BJ24*$C$35)</f>
        <v>828.31</v>
      </c>
      <c r="BG35" s="11">
        <f ca="1">IF(History!BK$2="","",History!BK24*$C$35)</f>
        <v>825.02</v>
      </c>
      <c r="BH35" s="11">
        <f ca="1">IF(History!BL$2="","",History!BL24*$C$35)</f>
        <v>829.29</v>
      </c>
      <c r="BI35" s="11">
        <f ca="1">IF(History!BM$2="","",History!BM24*$C$35)</f>
        <v>848.82</v>
      </c>
      <c r="BJ35" s="11">
        <f ca="1">IF(History!BN$2="","",History!BN24*$C$35)</f>
        <v>842.94</v>
      </c>
      <c r="BK35" s="11">
        <f ca="1">IF(History!BO$2="","",History!BO24*$C$35)</f>
        <v>807.73</v>
      </c>
      <c r="BL35" s="11">
        <f ca="1">IF(History!BP$2="","",History!BP24*$C$35)</f>
        <v>785.54</v>
      </c>
      <c r="BM35" s="11">
        <f ca="1">IF(History!BQ$2="","",History!BQ24*$C$35)</f>
        <v>777.69999999999993</v>
      </c>
      <c r="BN35" s="11">
        <f ca="1">IF(History!BR$2="","",History!BR24*$C$35)</f>
        <v>758.52</v>
      </c>
      <c r="BO35" s="11">
        <f ca="1">IF(History!BS$2="","",History!BS24*$C$35)</f>
        <v>760.13</v>
      </c>
      <c r="BP35" s="11">
        <f ca="1">IF(History!BT$2="","",History!BT24*$C$35)</f>
        <v>758.44999999999993</v>
      </c>
      <c r="BQ35" s="11">
        <f ca="1">IF(History!BU$2="","",History!BU24*$C$35)</f>
        <v>765.94</v>
      </c>
      <c r="BR35" s="11">
        <f ca="1">IF(History!BV$2="","",History!BV24*$C$35)</f>
        <v>763</v>
      </c>
      <c r="BS35" s="11">
        <f ca="1">IF(History!BW$2="","",History!BW24*$C$35)</f>
        <v>758.31</v>
      </c>
      <c r="BT35" s="11">
        <f ca="1">IF(History!BX$2="","",History!BX24*$C$35)</f>
        <v>783.71999999999991</v>
      </c>
      <c r="BU35" s="11">
        <f ca="1">IF(History!BY$2="","",History!BY24*$C$35)</f>
        <v>780.64</v>
      </c>
      <c r="BV35" s="11">
        <f ca="1">IF(History!BZ$2="","",History!BZ24*$C$35)</f>
        <v>774.76</v>
      </c>
      <c r="BW35" s="11">
        <f ca="1">IF(History!CA$2="","",History!CA24*$C$35)</f>
        <v>750.32999999999993</v>
      </c>
      <c r="BX35" s="11">
        <f ca="1">IF(History!CB$2="","",History!CB24*$C$35)</f>
        <v>761.25</v>
      </c>
      <c r="BY35" s="11">
        <f ca="1">IF(History!CC$2="","",History!CC24*$C$35)</f>
        <v>717.29</v>
      </c>
      <c r="BZ35" s="11">
        <f ca="1">IF(History!CD$2="","",History!CD24*$C$35)</f>
        <v>796.25</v>
      </c>
      <c r="CA35" s="11">
        <f ca="1">IF(History!CE$2="","",History!CE24*$C$35)</f>
        <v>832.16</v>
      </c>
      <c r="CB35" s="11">
        <f ca="1">IF(History!CF$2="","",History!CF24*$C$35)</f>
        <v>825.23</v>
      </c>
      <c r="CC35" s="11">
        <f ca="1">IF(History!CG$2="","",History!CG24*$C$35)</f>
        <v>841.19</v>
      </c>
      <c r="CD35" s="11">
        <f ca="1">IF(History!CH$2="","",History!CH24*$C$35)</f>
        <v>849.1</v>
      </c>
      <c r="CE35" s="11">
        <f ca="1">IF(History!CI$2="","",History!CI24*$C$35)</f>
        <v>881.57999999999993</v>
      </c>
      <c r="CF35" s="11" t="str">
        <f ca="1">IF(History!CJ$2="","",History!CJ24*$C$35)</f>
        <v/>
      </c>
      <c r="CG35" s="11" t="str">
        <f ca="1">IF(History!CK$2="","",History!CK24*$C$35)</f>
        <v/>
      </c>
      <c r="CH35" s="11" t="str">
        <f ca="1">IF(History!CL$2="","",History!CL24*$C$35)</f>
        <v/>
      </c>
      <c r="CI35" s="11" t="str">
        <f ca="1">IF(History!CM$2="","",History!CM24*$C$35)</f>
        <v/>
      </c>
      <c r="CJ35" s="11" t="str">
        <f ca="1">IF(History!CN$2="","",History!CN24*$C$35)</f>
        <v/>
      </c>
      <c r="CK35" s="11" t="str">
        <f ca="1">IF(History!CO$2="","",History!CO24*$C$35)</f>
        <v/>
      </c>
      <c r="CL35" s="11" t="str">
        <f ca="1">IF(History!CP$2="","",History!CP24*$C$35)</f>
        <v/>
      </c>
      <c r="CM35" s="11" t="str">
        <f ca="1">IF(History!CQ$2="","",History!CQ24*$C$35)</f>
        <v/>
      </c>
      <c r="CN35" s="11" t="str">
        <f ca="1">IF(History!CR$2="","",History!CR24*$C$35)</f>
        <v/>
      </c>
      <c r="CO35" s="11" t="str">
        <f ca="1">IF(History!CS$2="","",History!CS24*$C$35)</f>
        <v/>
      </c>
      <c r="CP35" s="11" t="str">
        <f ca="1">IF(History!CT$2="","",History!CT24*$C$35)</f>
        <v/>
      </c>
      <c r="CQ35" s="11" t="str">
        <f ca="1">IF(History!CU$2="","",History!CU24*$C$35)</f>
        <v/>
      </c>
      <c r="CR35" s="11" t="str">
        <f ca="1">IF(History!CV$2="","",History!CV24*$C$35)</f>
        <v/>
      </c>
      <c r="CS35" s="11" t="str">
        <f ca="1">IF(History!CW$2="","",History!CW24*$C$35)</f>
        <v/>
      </c>
      <c r="CT35" s="11" t="str">
        <f ca="1">IF(History!CX$2="","",History!CX24*$C$35)</f>
        <v/>
      </c>
      <c r="CU35" s="11" t="str">
        <f ca="1">IF(History!CY$2="","",History!CY24*$C$35)</f>
        <v/>
      </c>
      <c r="CV35" s="11" t="str">
        <f ca="1">IF(History!CZ$2="","",History!CZ24*$C$35)</f>
        <v/>
      </c>
      <c r="CW35" s="11" t="str">
        <f ca="1">IF(History!DA$2="","",History!DA24*$C$35)</f>
        <v/>
      </c>
      <c r="CX35" s="11" t="str">
        <f ca="1">IF(History!DB$2="","",History!DB24*$C$35)</f>
        <v/>
      </c>
      <c r="CY35" s="11" t="str">
        <f ca="1">IF(History!DC$2="","",History!DC24*$C$35)</f>
        <v/>
      </c>
      <c r="CZ35" s="11" t="str">
        <f ca="1">IF(History!DD$2="","",History!DD24*$C$35)</f>
        <v/>
      </c>
      <c r="DA35" s="11" t="str">
        <f ca="1">IF(History!DE$2="","",History!DE24*$C$35)</f>
        <v/>
      </c>
      <c r="DB35" s="11" t="str">
        <f ca="1">IF(History!DF$2="","",History!DF24*$C$35)</f>
        <v/>
      </c>
      <c r="DC35" s="11" t="str">
        <f ca="1">IF(History!DG$2="","",History!DG24*$C$35)</f>
        <v/>
      </c>
      <c r="DD35" s="11" t="str">
        <f ca="1">IF(History!DH$2="","",History!DH24*$C$35)</f>
        <v/>
      </c>
      <c r="DE35" s="11" t="str">
        <f ca="1">IF(History!DI$2="","",History!DI24*$C$35)</f>
        <v/>
      </c>
      <c r="DF35" s="11" t="str">
        <f ca="1">IF(History!DJ$2="","",History!DJ24*$C$35)</f>
        <v/>
      </c>
      <c r="DG35" s="11" t="str">
        <f ca="1">IF(History!DK$2="","",History!DK24*$C$35)</f>
        <v/>
      </c>
      <c r="DH35" s="11" t="str">
        <f ca="1">IF(History!DL$2="","",History!DL24*$C$35)</f>
        <v/>
      </c>
      <c r="DI35" s="11" t="str">
        <f ca="1">IF(History!DM$2="","",History!DM24*$C$35)</f>
        <v/>
      </c>
      <c r="DJ35" s="11" t="str">
        <f ca="1">IF(History!DN$2="","",History!DN24*$C$35)</f>
        <v/>
      </c>
      <c r="DK35" s="11" t="str">
        <f ca="1">IF(History!DO$2="","",History!DO24*$C$35)</f>
        <v/>
      </c>
      <c r="DL35" s="11" t="str">
        <f ca="1">IF(History!DP$2="","",History!DP24*$C$35)</f>
        <v/>
      </c>
      <c r="DM35" s="11" t="str">
        <f ca="1">IF(History!DQ$2="","",History!DQ24*$C$35)</f>
        <v/>
      </c>
      <c r="DN35" s="11" t="str">
        <f ca="1">IF(History!DR$2="","",History!DR24*$C$35)</f>
        <v/>
      </c>
      <c r="DO35" s="11" t="str">
        <f ca="1">IF(History!DS$2="","",History!DS24*$C$35)</f>
        <v/>
      </c>
      <c r="DP35" s="11" t="str">
        <f ca="1">IF(History!DT$2="","",History!DT24*$C$35)</f>
        <v/>
      </c>
      <c r="DQ35" s="11" t="str">
        <f ca="1">IF(History!DU$2="","",History!DU24*$C$35)</f>
        <v/>
      </c>
      <c r="DR35" s="11" t="str">
        <f ca="1">IF(History!DV$2="","",History!DV24*$C$35)</f>
        <v/>
      </c>
      <c r="DS35" s="11" t="str">
        <f ca="1">IF(History!DW$2="","",History!DW24*$C$35)</f>
        <v/>
      </c>
      <c r="DT35" s="11" t="str">
        <f ca="1">IF(History!DX$2="","",History!DX24*$C$35)</f>
        <v/>
      </c>
      <c r="DU35" s="11" t="str">
        <f ca="1">IF(History!DY$2="","",History!DY24*$C$35)</f>
        <v/>
      </c>
      <c r="DV35" s="11" t="str">
        <f ca="1">IF(History!DZ$2="","",History!DZ24*$C$35)</f>
        <v/>
      </c>
      <c r="DW35" s="11" t="str">
        <f ca="1">IF(History!EA$2="","",History!EA24*$C$35)</f>
        <v/>
      </c>
      <c r="DX35" s="11" t="str">
        <f ca="1">IF(History!EB$2="","",History!EB24*$C$35)</f>
        <v/>
      </c>
      <c r="DY35" s="11" t="str">
        <f ca="1">IF(History!EC$2="","",History!EC24*$C$35)</f>
        <v/>
      </c>
      <c r="DZ35" s="11" t="str">
        <f ca="1">IF(History!ED$2="","",History!ED24*$C$35)</f>
        <v/>
      </c>
      <c r="EA35" s="11" t="str">
        <f ca="1">IF(History!EE$2="","",History!EE24*$C$35)</f>
        <v/>
      </c>
      <c r="EB35" s="11" t="str">
        <f ca="1">IF(History!EF$2="","",History!EF24*$C$35)</f>
        <v/>
      </c>
      <c r="EC35" s="11" t="str">
        <f ca="1">IF(History!EG$2="","",History!EG24*$C$35)</f>
        <v/>
      </c>
      <c r="ED35" s="11" t="str">
        <f ca="1">IF(History!EH$2="","",History!EH24*$C$35)</f>
        <v/>
      </c>
      <c r="EE35" s="11" t="str">
        <f ca="1">IF(History!EI$2="","",History!EI24*$C$35)</f>
        <v/>
      </c>
      <c r="EF35" s="11" t="str">
        <f ca="1">IF(History!EJ$2="","",History!EJ24*$C$35)</f>
        <v/>
      </c>
      <c r="EG35" s="11" t="str">
        <f ca="1">IF(History!EK$2="","",History!EK24*$C$35)</f>
        <v/>
      </c>
      <c r="EH35" s="11" t="str">
        <f ca="1">IF(History!EL$2="","",History!EL24*$C$35)</f>
        <v/>
      </c>
      <c r="EI35" s="11" t="str">
        <f ca="1">IF(History!EM$2="","",History!EM24*$C$35)</f>
        <v/>
      </c>
      <c r="EJ35" s="11" t="str">
        <f ca="1">IF(History!EN$2="","",History!EN24*$C$35)</f>
        <v/>
      </c>
      <c r="EK35" s="11" t="str">
        <f ca="1">IF(History!EO$2="","",History!EO24*$C$35)</f>
        <v/>
      </c>
      <c r="EL35" s="11" t="str">
        <f ca="1">IF(History!EP$2="","",History!EP24*$C$35)</f>
        <v/>
      </c>
      <c r="EM35" s="11" t="str">
        <f ca="1">IF(History!EQ$2="","",History!EQ24*$C$35)</f>
        <v/>
      </c>
      <c r="EN35" s="11" t="str">
        <f ca="1">IF(History!ER$2="","",History!ER24*$C$35)</f>
        <v/>
      </c>
      <c r="EO35" s="11" t="str">
        <f ca="1">IF(History!ES$2="","",History!ES24*$C$35)</f>
        <v/>
      </c>
      <c r="EP35" s="11" t="str">
        <f ca="1">IF(History!ET$2="","",History!ET24*$C$35)</f>
        <v/>
      </c>
      <c r="EQ35" s="11" t="str">
        <f ca="1">IF(History!EU$2="","",History!EU24*$C$35)</f>
        <v/>
      </c>
      <c r="ER35" s="11" t="str">
        <f ca="1">IF(History!EV$2="","",History!EV24*$C$35)</f>
        <v/>
      </c>
      <c r="ES35" s="11" t="str">
        <f ca="1">IF(History!EW$2="","",History!EW24*$C$35)</f>
        <v/>
      </c>
      <c r="ET35" s="11" t="str">
        <f ca="1">IF(History!EX$2="","",History!EX24*$C$35)</f>
        <v/>
      </c>
      <c r="EU35" s="11" t="str">
        <f ca="1">IF(History!EY$2="","",History!EY24*$C$35)</f>
        <v/>
      </c>
      <c r="EV35" s="11" t="str">
        <f ca="1">IF(History!EZ$2="","",History!EZ24*$C$35)</f>
        <v/>
      </c>
      <c r="EW35" s="11" t="str">
        <f ca="1">IF(History!FA$2="","",History!FA24*$C$35)</f>
        <v/>
      </c>
      <c r="EX35" s="11" t="str">
        <f ca="1">IF(History!FB$2="","",History!FB24*$C$35)</f>
        <v/>
      </c>
      <c r="EY35" s="11" t="str">
        <f ca="1">IF(History!FC$2="","",History!FC24*$C$35)</f>
        <v/>
      </c>
      <c r="EZ35" s="11" t="str">
        <f ca="1">IF(History!FD$2="","",History!FD24*$C$35)</f>
        <v/>
      </c>
      <c r="FA35" s="11" t="str">
        <f ca="1">IF(History!FE$2="","",History!FE24*$C$35)</f>
        <v/>
      </c>
      <c r="FB35" s="11" t="str">
        <f ca="1">IF(History!FF$2="","",History!FF24*$C$35)</f>
        <v/>
      </c>
      <c r="FC35" s="11" t="str">
        <f ca="1">IF(History!FG$2="","",History!FG24*$C$35)</f>
        <v/>
      </c>
      <c r="FD35" s="11" t="str">
        <f ca="1">IF(History!FH$2="","",History!FH24*$C$35)</f>
        <v/>
      </c>
      <c r="FE35" s="11" t="str">
        <f ca="1">IF(History!FI$2="","",History!FI24*$C$35)</f>
        <v/>
      </c>
      <c r="FF35" s="11" t="str">
        <f ca="1">IF(History!FJ$2="","",History!FJ24*$C$35)</f>
        <v/>
      </c>
      <c r="FG35" s="11" t="str">
        <f ca="1">IF(History!FK$2="","",History!FK24*$C$35)</f>
        <v/>
      </c>
      <c r="FH35" s="11" t="str">
        <f ca="1">IF(History!FL$2="","",History!FL24*$C$35)</f>
        <v/>
      </c>
      <c r="FI35" s="11" t="str">
        <f ca="1">IF(History!FM$2="","",History!FM24*$C$35)</f>
        <v/>
      </c>
      <c r="FJ35" s="11" t="str">
        <f ca="1">IF(History!FN$2="","",History!FN24*$C$35)</f>
        <v/>
      </c>
      <c r="FK35" s="11" t="str">
        <f ca="1">IF(History!FO$2="","",History!FO24*$C$35)</f>
        <v/>
      </c>
      <c r="FL35" s="11" t="str">
        <f ca="1">IF(History!FP$2="","",History!FP24*$C$35)</f>
        <v/>
      </c>
      <c r="FM35" s="11" t="str">
        <f ca="1">IF(History!FQ$2="","",History!FQ24*$C$35)</f>
        <v/>
      </c>
      <c r="FN35" s="11" t="str">
        <f ca="1">IF(History!FR$2="","",History!FR24*$C$35)</f>
        <v/>
      </c>
      <c r="FO35" s="11" t="str">
        <f ca="1">IF(History!FS$2="","",History!FS24*$C$35)</f>
        <v/>
      </c>
      <c r="FP35" s="11" t="str">
        <f ca="1">IF(History!FT$2="","",History!FT24*$C$35)</f>
        <v/>
      </c>
      <c r="FQ35" s="11" t="str">
        <f ca="1">IF(History!FU$2="","",History!FU24*$C$35)</f>
        <v/>
      </c>
      <c r="FR35" s="11" t="str">
        <f ca="1">IF(History!FV$2="","",History!FV24*$C$35)</f>
        <v/>
      </c>
      <c r="FS35" s="11" t="str">
        <f ca="1">IF(History!FW$2="","",History!FW24*$C$35)</f>
        <v/>
      </c>
      <c r="FT35" s="11" t="str">
        <f ca="1">IF(History!FX$2="","",History!FX24*$C$35)</f>
        <v/>
      </c>
      <c r="FU35" s="11" t="str">
        <f ca="1">IF(History!FY$2="","",History!FY24*$C$35)</f>
        <v/>
      </c>
      <c r="FV35" s="11" t="str">
        <f ca="1">IF(History!FZ$2="","",History!FZ24*$C$35)</f>
        <v/>
      </c>
      <c r="FW35" s="11" t="str">
        <f ca="1">IF(History!GA$2="","",History!GA24*$C$35)</f>
        <v/>
      </c>
      <c r="FX35" s="11" t="str">
        <f ca="1">IF(History!GB$2="","",History!GB24*$C$35)</f>
        <v/>
      </c>
      <c r="FY35" s="11" t="str">
        <f ca="1">IF(History!GC$2="","",History!GC24*$C$35)</f>
        <v/>
      </c>
      <c r="FZ35" s="11" t="str">
        <f ca="1">IF(History!GD$2="","",History!GD24*$C$35)</f>
        <v/>
      </c>
      <c r="GA35" s="11" t="str">
        <f ca="1">IF(History!GE$2="","",History!GE24*$C$35)</f>
        <v/>
      </c>
      <c r="GB35" s="11" t="str">
        <f ca="1">IF(History!GF$2="","",History!GF24*$C$35)</f>
        <v/>
      </c>
      <c r="GC35" s="11" t="str">
        <f ca="1">IF(History!GG$2="","",History!GG24*$C$35)</f>
        <v/>
      </c>
      <c r="GD35" s="11" t="str">
        <f ca="1">IF(History!GH$2="","",History!GH24*$C$35)</f>
        <v/>
      </c>
      <c r="GE35" s="11" t="str">
        <f ca="1">IF(History!GI$2="","",History!GI24*$C$35)</f>
        <v/>
      </c>
      <c r="GF35" s="11" t="str">
        <f ca="1">IF(History!GJ$2="","",History!GJ24*$C$35)</f>
        <v/>
      </c>
      <c r="GG35" s="11" t="str">
        <f ca="1">IF(History!GK$2="","",History!GK24*$C$35)</f>
        <v/>
      </c>
      <c r="GH35" s="11" t="str">
        <f ca="1">IF(History!GL$2="","",History!GL24*$C$35)</f>
        <v/>
      </c>
      <c r="GI35" s="11" t="str">
        <f ca="1">IF(History!GM$2="","",History!GM24*$C$35)</f>
        <v/>
      </c>
      <c r="GJ35" s="11" t="str">
        <f ca="1">IF(History!GN$2="","",History!GN24*$C$35)</f>
        <v/>
      </c>
      <c r="GK35" s="11" t="str">
        <f ca="1">IF(History!GO$2="","",History!GO24*$C$35)</f>
        <v/>
      </c>
      <c r="GL35" s="11" t="str">
        <f ca="1">IF(History!GP$2="","",History!GP24*$C$35)</f>
        <v/>
      </c>
      <c r="GM35" s="11" t="str">
        <f ca="1">IF(History!GQ$2="","",History!GQ24*$C$35)</f>
        <v/>
      </c>
      <c r="GN35" s="11" t="str">
        <f ca="1">IF(History!GR$2="","",History!GR24*$C$35)</f>
        <v/>
      </c>
      <c r="GO35" s="11" t="str">
        <f ca="1">IF(History!GS$2="","",History!GS24*$C$35)</f>
        <v/>
      </c>
      <c r="GP35" s="11" t="str">
        <f ca="1">IF(History!GT$2="","",History!GT24*$C$35)</f>
        <v/>
      </c>
      <c r="GQ35" s="11" t="str">
        <f ca="1">IF(History!GU$2="","",History!GU24*$C$35)</f>
        <v/>
      </c>
      <c r="GR35" s="11" t="str">
        <f ca="1">IF(History!GV$2="","",History!GV24*$C$35)</f>
        <v/>
      </c>
      <c r="GS35" s="11" t="str">
        <f ca="1">IF(History!GW$2="","",History!GW24*$C$35)</f>
        <v/>
      </c>
      <c r="GT35" s="11" t="str">
        <f ca="1">IF(History!GX$2="","",History!GX24*$C$35)</f>
        <v/>
      </c>
      <c r="GU35" s="11" t="str">
        <f ca="1">IF(History!GY$2="","",History!GY24*$C$35)</f>
        <v/>
      </c>
      <c r="GV35" s="11" t="str">
        <f ca="1">IF(History!GZ$2="","",History!GZ24*$C$35)</f>
        <v/>
      </c>
      <c r="GW35" s="11" t="str">
        <f ca="1">IF(History!HA$2="","",History!HA24*$C$35)</f>
        <v/>
      </c>
      <c r="GX35" s="11" t="str">
        <f ca="1">IF(History!HB$2="","",History!HB24*$C$35)</f>
        <v/>
      </c>
      <c r="GY35" s="11" t="str">
        <f ca="1">IF(History!HC$2="","",History!HC24*$C$35)</f>
        <v/>
      </c>
      <c r="GZ35" s="11" t="str">
        <f ca="1">IF(History!HD$2="","",History!HD24*$C$35)</f>
        <v/>
      </c>
      <c r="HA35" s="11" t="str">
        <f ca="1">IF(History!HE$2="","",History!HE24*$C$35)</f>
        <v/>
      </c>
      <c r="HB35" s="11" t="str">
        <f ca="1">IF(History!HF$2="","",History!HF24*$C$35)</f>
        <v/>
      </c>
      <c r="HC35" s="11" t="str">
        <f ca="1">IF(History!HG$2="","",History!HG24*$C$35)</f>
        <v/>
      </c>
      <c r="HD35" s="11" t="str">
        <f ca="1">IF(History!HH$2="","",History!HH24*$C$35)</f>
        <v/>
      </c>
      <c r="HE35" s="11" t="str">
        <f ca="1">IF(History!HI$2="","",History!HI24*$C$35)</f>
        <v/>
      </c>
      <c r="HF35" s="11" t="str">
        <f ca="1">IF(History!HJ$2="","",History!HJ24*$C$35)</f>
        <v/>
      </c>
      <c r="HG35" s="11" t="str">
        <f ca="1">IF(History!HK$2="","",History!HK24*$C$35)</f>
        <v/>
      </c>
      <c r="HH35" s="11" t="str">
        <f ca="1">IF(History!HL$2="","",History!HL24*$C$35)</f>
        <v/>
      </c>
      <c r="HI35" s="11" t="str">
        <f ca="1">IF(History!HM$2="","",History!HM24*$C$35)</f>
        <v/>
      </c>
      <c r="HJ35" s="11" t="str">
        <f ca="1">IF(History!HN$2="","",History!HN24*$C$35)</f>
        <v/>
      </c>
      <c r="HK35" s="11" t="str">
        <f ca="1">IF(History!HO$2="","",History!HO24*$C$35)</f>
        <v/>
      </c>
      <c r="HL35" s="11" t="str">
        <f ca="1">IF(History!HP$2="","",History!HP24*$C$35)</f>
        <v/>
      </c>
      <c r="HM35" s="11" t="str">
        <f ca="1">IF(History!HQ$2="","",History!HQ24*$C$35)</f>
        <v/>
      </c>
      <c r="HN35" s="11" t="str">
        <f ca="1">IF(History!HR$2="","",History!HR24*$C$35)</f>
        <v/>
      </c>
      <c r="HO35" s="11" t="str">
        <f ca="1">IF(History!HS$2="","",History!HS24*$C$35)</f>
        <v/>
      </c>
      <c r="HP35" s="11" t="str">
        <f ca="1">IF(History!HT$2="","",History!HT24*$C$35)</f>
        <v/>
      </c>
      <c r="HQ35" s="11" t="str">
        <f ca="1">IF(History!HU$2="","",History!HU24*$C$35)</f>
        <v/>
      </c>
      <c r="HR35" s="11" t="str">
        <f ca="1">IF(History!HV$2="","",History!HV24*$C$35)</f>
        <v/>
      </c>
      <c r="HS35" s="11" t="str">
        <f ca="1">IF(History!HW$2="","",History!HW24*$C$35)</f>
        <v/>
      </c>
      <c r="HT35" s="11" t="str">
        <f ca="1">IF(History!HX$2="","",History!HX24*$C$35)</f>
        <v/>
      </c>
      <c r="HU35" s="11" t="str">
        <f ca="1">IF(History!HY$2="","",History!HY24*$C$35)</f>
        <v/>
      </c>
      <c r="HV35" s="11" t="str">
        <f ca="1">IF(History!HZ$2="","",History!HZ24*$C$35)</f>
        <v/>
      </c>
      <c r="HW35" s="11" t="str">
        <f ca="1">IF(History!IA$2="","",History!IA24*$C$35)</f>
        <v/>
      </c>
      <c r="HX35" s="11" t="str">
        <f ca="1">IF(History!IB$2="","",History!IB24*$C$35)</f>
        <v/>
      </c>
      <c r="HY35" s="11" t="str">
        <f ca="1">IF(History!IC$2="","",History!IC24*$C$35)</f>
        <v/>
      </c>
      <c r="HZ35" s="11" t="str">
        <f ca="1">IF(History!ID$2="","",History!ID24*$C$35)</f>
        <v/>
      </c>
      <c r="IA35" s="11" t="str">
        <f ca="1">IF(History!IE$2="","",History!IE24*$C$35)</f>
        <v/>
      </c>
      <c r="IB35" s="11" t="str">
        <f ca="1">IF(History!IF$2="","",History!IF24*$C$35)</f>
        <v/>
      </c>
      <c r="IC35" s="11" t="str">
        <f ca="1">IF(History!IG$2="","",History!IG24*$C$35)</f>
        <v/>
      </c>
      <c r="ID35" s="11" t="str">
        <f ca="1">IF(History!IH$2="","",History!IH24*$C$35)</f>
        <v/>
      </c>
      <c r="IE35" s="11" t="str">
        <f ca="1">IF(History!II$2="","",History!II24*$C$35)</f>
        <v/>
      </c>
      <c r="IF35" s="11" t="str">
        <f ca="1">IF(History!IJ$2="","",History!IJ24*$C$35)</f>
        <v/>
      </c>
      <c r="IG35" s="11" t="str">
        <f ca="1">IF(History!IK$2="","",History!IK24*$C$35)</f>
        <v/>
      </c>
      <c r="IH35" s="11" t="str">
        <f ca="1">IF(History!IL$2="","",History!IL24*$C$35)</f>
        <v/>
      </c>
      <c r="II35" s="11" t="str">
        <f ca="1">IF(History!IM$2="","",History!IM24*$C$35)</f>
        <v/>
      </c>
      <c r="IJ35" s="11" t="str">
        <f ca="1">IF(History!IN$2="","",History!IN24*$C$35)</f>
        <v/>
      </c>
      <c r="IK35" s="11" t="str">
        <f ca="1">IF(History!IO$2="","",History!IO24*$C$35)</f>
        <v/>
      </c>
      <c r="IL35" s="11" t="str">
        <f ca="1">IF(History!IP$2="","",History!IP24*$C$35)</f>
        <v/>
      </c>
      <c r="IM35" s="11" t="str">
        <f ca="1">IF(History!IQ$2="","",History!IQ24*$C$35)</f>
        <v/>
      </c>
      <c r="IN35" s="11" t="str">
        <f ca="1">IF(History!IR$2="","",History!IR24*$C$35)</f>
        <v/>
      </c>
      <c r="IO35" s="11" t="str">
        <f ca="1">IF(History!IS$2="","",History!IS24*$C$35)</f>
        <v/>
      </c>
      <c r="IP35" s="11" t="str">
        <f ca="1">IF(History!IT$2="","",History!IT24*$C$35)</f>
        <v/>
      </c>
      <c r="IQ35" s="11" t="str">
        <f ca="1">IF(History!IU$2="","",History!IU24*$C$35)</f>
        <v/>
      </c>
      <c r="IR35" s="11" t="str">
        <f ca="1">IF(History!IV$2="","",History!IV24*$C$35)</f>
        <v/>
      </c>
      <c r="IS35" s="11" t="str">
        <f ca="1">IF(History!IW$2="","",History!IW24*$C$35)</f>
        <v/>
      </c>
      <c r="IT35" s="11" t="str">
        <f ca="1">IF(History!IX$2="","",History!IX24*$C$35)</f>
        <v/>
      </c>
      <c r="IU35" s="11" t="str">
        <f ca="1">IF(History!IY$2="","",History!IY24*$C$35)</f>
        <v/>
      </c>
      <c r="IV35" s="11" t="str">
        <f ca="1">IF(History!IZ$2="","",History!IZ24*$C$35)</f>
        <v/>
      </c>
      <c r="IW35" s="11" t="str">
        <f ca="1">IF(History!JA$2="","",History!JA24*$C$35)</f>
        <v/>
      </c>
      <c r="IX35" s="11" t="str">
        <f ca="1">IF(History!JB$2="","",History!JB24*$C$35)</f>
        <v/>
      </c>
      <c r="IY35" s="11" t="str">
        <f ca="1">IF(History!JC$2="","",History!JC24*$C$35)</f>
        <v/>
      </c>
      <c r="IZ35" s="11" t="str">
        <f ca="1">IF(History!JD$2="","",History!JD24*$C$35)</f>
        <v/>
      </c>
      <c r="JA35" s="11" t="str">
        <f ca="1">IF(History!JE$2="","",History!JE24*$C$35)</f>
        <v/>
      </c>
      <c r="JB35" s="11" t="str">
        <f ca="1">IF(History!JF$2="","",History!JF24*$C$35)</f>
        <v/>
      </c>
      <c r="JC35" s="11" t="str">
        <f ca="1">IF(History!JG$2="","",History!JG24*$C$35)</f>
        <v/>
      </c>
      <c r="JD35" s="11" t="str">
        <f ca="1">IF(History!JH$2="","",History!JH24*$C$35)</f>
        <v/>
      </c>
      <c r="JE35" s="11" t="str">
        <f ca="1">IF(History!JI$2="","",History!JI24*$C$35)</f>
        <v/>
      </c>
      <c r="JF35" s="11" t="str">
        <f ca="1">IF(History!JJ$2="","",History!JJ24*$C$35)</f>
        <v/>
      </c>
      <c r="JG35" s="11" t="str">
        <f ca="1">IF(History!JK$2="","",History!JK24*$C$35)</f>
        <v/>
      </c>
      <c r="JH35" s="11" t="str">
        <f ca="1">IF(History!JL$2="","",History!JL24*$C$35)</f>
        <v/>
      </c>
      <c r="JI35" s="11" t="str">
        <f ca="1">IF(History!JM$2="","",History!JM24*$C$35)</f>
        <v/>
      </c>
      <c r="JJ35" s="11" t="str">
        <f ca="1">IF(History!JN$2="","",History!JN24*$C$35)</f>
        <v/>
      </c>
      <c r="JK35" s="11" t="str">
        <f ca="1">IF(History!JO$2="","",History!JO24*$C$35)</f>
        <v/>
      </c>
      <c r="JL35" s="11" t="str">
        <f ca="1">IF(History!JP$2="","",History!JP24*$C$35)</f>
        <v/>
      </c>
      <c r="JM35" s="11" t="str">
        <f ca="1">IF(History!JQ$2="","",History!JQ24*$C$35)</f>
        <v/>
      </c>
      <c r="JN35" s="11" t="str">
        <f ca="1">IF(History!JR$2="","",History!JR24*$C$35)</f>
        <v/>
      </c>
      <c r="JO35" s="11" t="str">
        <f ca="1">IF(History!JS$2="","",History!JS24*$C$35)</f>
        <v/>
      </c>
      <c r="JP35" s="11" t="str">
        <f ca="1">IF(History!JT$2="","",History!JT24*$C$35)</f>
        <v/>
      </c>
      <c r="JQ35" s="11" t="str">
        <f ca="1">IF(History!JU$2="","",History!JU24*$C$35)</f>
        <v/>
      </c>
      <c r="JR35" s="11" t="str">
        <f ca="1">IF(History!JV$2="","",History!JV24*$C$35)</f>
        <v/>
      </c>
      <c r="JS35" s="11" t="str">
        <f ca="1">IF(History!JW$2="","",History!JW24*$C$35)</f>
        <v/>
      </c>
      <c r="JT35" s="11" t="str">
        <f ca="1">IF(History!JX$2="","",History!JX24*$C$35)</f>
        <v/>
      </c>
      <c r="JU35" s="11" t="str">
        <f ca="1">IF(History!JY$2="","",History!JY24*$C$35)</f>
        <v/>
      </c>
      <c r="JV35" s="11" t="str">
        <f ca="1">IF(History!JZ$2="","",History!JZ24*$C$35)</f>
        <v/>
      </c>
      <c r="JW35" s="11" t="str">
        <f ca="1">IF(History!KA$2="","",History!KA24*$C$35)</f>
        <v/>
      </c>
      <c r="JX35" s="11" t="str">
        <f ca="1">IF(History!KB$2="","",History!KB24*$C$35)</f>
        <v/>
      </c>
      <c r="JY35" s="11" t="str">
        <f ca="1">IF(History!KC$2="","",History!KC24*$C$35)</f>
        <v/>
      </c>
      <c r="JZ35" s="11" t="str">
        <f ca="1">IF(History!KD$2="","",History!KD24*$C$35)</f>
        <v/>
      </c>
      <c r="KA35" s="11" t="str">
        <f ca="1">IF(History!KE$2="","",History!KE24*$C$35)</f>
        <v/>
      </c>
      <c r="KB35" s="11" t="str">
        <f ca="1">IF(History!KF$2="","",History!KF24*$C$35)</f>
        <v/>
      </c>
    </row>
    <row r="36" spans="1:288" ht="15.75" customHeight="1">
      <c r="A36" s="22" t="s">
        <v>30</v>
      </c>
      <c r="B36" s="6" t="s">
        <v>68</v>
      </c>
      <c r="C36" s="26">
        <v>115</v>
      </c>
      <c r="D36" s="11">
        <f ca="1">IF(History!H$2="","",History!H25*$C$36)</f>
        <v>1771</v>
      </c>
      <c r="E36" s="11">
        <f ca="1">IF(History!I$2="","",History!I25*$C$36)</f>
        <v>1896.35</v>
      </c>
      <c r="F36" s="11">
        <f ca="1">IF(History!J$2="","",History!J25*$C$36)</f>
        <v>1794</v>
      </c>
      <c r="G36" s="11">
        <f ca="1">IF(History!K$2="","",History!K25*$C$36)</f>
        <v>1741.1000000000001</v>
      </c>
      <c r="H36" s="11">
        <f ca="1">IF(History!L$2="","",History!L25*$C$36)</f>
        <v>1737.6499999999999</v>
      </c>
      <c r="I36" s="11">
        <f ca="1">IF(History!M$2="","",History!M25*$C$36)</f>
        <v>1620.35</v>
      </c>
      <c r="J36" s="11">
        <f ca="1">IF(History!N$2="","",History!N25*$C$36)</f>
        <v>1578.95</v>
      </c>
      <c r="K36" s="11">
        <f ca="1">IF(History!O$2="","",History!O25*$C$36)</f>
        <v>1553.6499999999999</v>
      </c>
      <c r="L36" s="11">
        <f ca="1">IF(History!P$2="","",History!P25*$C$36)</f>
        <v>1461.65</v>
      </c>
      <c r="M36" s="11">
        <f ca="1">IF(History!Q$2="","",History!Q25*$C$36)</f>
        <v>1500.75</v>
      </c>
      <c r="N36" s="11">
        <f ca="1">IF(History!R$2="","",History!R25*$C$36)</f>
        <v>1442.1</v>
      </c>
      <c r="O36" s="11">
        <f ca="1">IF(History!S$2="","",History!S25*$C$36)</f>
        <v>1422.55</v>
      </c>
      <c r="P36" s="11">
        <f ca="1">IF(History!T$2="","",History!T25*$C$36)</f>
        <v>1367.3500000000001</v>
      </c>
      <c r="Q36" s="11">
        <f ca="1">IF(History!U$2="","",History!U25*$C$36)</f>
        <v>1434.0500000000002</v>
      </c>
      <c r="R36" s="11">
        <f ca="1">IF(History!V$2="","",History!V25*$C$36)</f>
        <v>1560.55</v>
      </c>
      <c r="S36" s="11">
        <f ca="1">IF(History!W$2="","",History!W25*$C$36)</f>
        <v>1598.5</v>
      </c>
      <c r="T36" s="11">
        <f ca="1">IF(History!X$2="","",History!X25*$C$36)</f>
        <v>1520.3000000000002</v>
      </c>
      <c r="U36" s="11">
        <f ca="1">IF(History!Y$2="","",History!Y25*$C$36)</f>
        <v>1374.25</v>
      </c>
      <c r="V36" s="11">
        <f ca="1">IF(History!Z$2="","",History!Z25*$C$36)</f>
        <v>1597.3500000000001</v>
      </c>
      <c r="W36" s="11">
        <f ca="1">IF(History!AA$2="","",History!AA25*$C$36)</f>
        <v>1577.8000000000002</v>
      </c>
      <c r="X36" s="11">
        <f ca="1">IF(History!AB$2="","",History!AB25*$C$36)</f>
        <v>1633</v>
      </c>
      <c r="Y36" s="11">
        <f ca="1">IF(History!AC$2="","",History!AC25*$C$36)</f>
        <v>1670.9499999999998</v>
      </c>
      <c r="Z36" s="11">
        <f ca="1">IF(History!AD$2="","",History!AD25*$C$36)</f>
        <v>1608.8500000000001</v>
      </c>
      <c r="AA36" s="11">
        <f ca="1">IF(History!AE$2="","",History!AE25*$C$36)</f>
        <v>1529.5</v>
      </c>
      <c r="AB36" s="11">
        <f ca="1">IF(History!AF$2="","",History!AF25*$C$36)</f>
        <v>1529.5</v>
      </c>
      <c r="AC36" s="11">
        <f ca="1">IF(History!AG$2="","",History!AG25*$C$36)</f>
        <v>1604.25</v>
      </c>
      <c r="AD36" s="11">
        <f ca="1">IF(History!AH$2="","",History!AH25*$C$36)</f>
        <v>1501.9</v>
      </c>
      <c r="AE36" s="11">
        <f ca="1">IF(History!AI$2="","",History!AI25*$C$36)</f>
        <v>1444.4</v>
      </c>
      <c r="AF36" s="11">
        <f ca="1">IF(History!AJ$2="","",History!AJ25*$C$36)</f>
        <v>1290.3000000000002</v>
      </c>
      <c r="AG36" s="11">
        <f ca="1">IF(History!AK$2="","",History!AK25*$C$36)</f>
        <v>1346.65</v>
      </c>
      <c r="AH36" s="11">
        <f ca="1">IF(History!AL$2="","",History!AL25*$C$36)</f>
        <v>1304.0999999999999</v>
      </c>
      <c r="AI36" s="11">
        <f ca="1">IF(History!AM$2="","",History!AM25*$C$36)</f>
        <v>1544.45</v>
      </c>
      <c r="AJ36" s="11">
        <f ca="1">IF(History!AN$2="","",History!AN25*$C$36)</f>
        <v>1627.25</v>
      </c>
      <c r="AK36" s="11">
        <f ca="1">IF(History!AO$2="","",History!AO25*$C$36)</f>
        <v>1676.7</v>
      </c>
      <c r="AL36" s="11">
        <f ca="1">IF(History!AP$2="","",History!AP25*$C$36)</f>
        <v>1580.1000000000001</v>
      </c>
      <c r="AM36" s="11">
        <f ca="1">IF(History!AQ$2="","",History!AQ25*$C$36)</f>
        <v>1576.65</v>
      </c>
      <c r="AN36" s="11">
        <f ca="1">IF(History!AR$2="","",History!AR25*$C$36)</f>
        <v>1482.3500000000001</v>
      </c>
      <c r="AO36" s="11">
        <f ca="1">IF(History!AS$2="","",History!AS25*$C$36)</f>
        <v>1454.75</v>
      </c>
      <c r="AP36" s="11">
        <f ca="1">IF(History!AT$2="","",History!AT25*$C$36)</f>
        <v>1353.55</v>
      </c>
      <c r="AQ36" s="11">
        <f ca="1">IF(History!AU$2="","",History!AU25*$C$36)</f>
        <v>1380</v>
      </c>
      <c r="AR36" s="11">
        <f ca="1">IF(History!AV$2="","",History!AV25*$C$36)</f>
        <v>1430.6</v>
      </c>
      <c r="AS36" s="11">
        <f ca="1">IF(History!AW$2="","",History!AW25*$C$36)</f>
        <v>1374.25</v>
      </c>
      <c r="AT36" s="11">
        <f ca="1">IF(History!AX$2="","",History!AX25*$C$36)</f>
        <v>1269.5999999999999</v>
      </c>
      <c r="AU36" s="11">
        <f ca="1">IF(History!AY$2="","",History!AY25*$C$36)</f>
        <v>1210.9499999999998</v>
      </c>
      <c r="AV36" s="11">
        <f ca="1">IF(History!AZ$2="","",History!AZ25*$C$36)</f>
        <v>1255.8</v>
      </c>
      <c r="AW36" s="11">
        <f ca="1">IF(History!BA$2="","",History!BA25*$C$36)</f>
        <v>1409.8999999999999</v>
      </c>
      <c r="AX36" s="11">
        <f ca="1">IF(History!BB$2="","",History!BB25*$C$36)</f>
        <v>1489.25</v>
      </c>
      <c r="AY36" s="11">
        <f ca="1">IF(History!BC$2="","",History!BC25*$C$36)</f>
        <v>1543.3</v>
      </c>
      <c r="AZ36" s="11">
        <f ca="1">IF(History!BD$2="","",History!BD25*$C$36)</f>
        <v>1515.7</v>
      </c>
      <c r="BA36" s="11">
        <f ca="1">IF(History!BE$2="","",History!BE25*$C$36)</f>
        <v>1555.9499999999998</v>
      </c>
      <c r="BB36" s="11">
        <f ca="1">IF(History!BF$2="","",History!BF25*$C$36)</f>
        <v>1515.7</v>
      </c>
      <c r="BC36" s="11">
        <f ca="1">IF(History!BG$2="","",History!BG25*$C$36)</f>
        <v>1560.55</v>
      </c>
      <c r="BD36" s="11">
        <f ca="1">IF(History!BH$2="","",History!BH25*$C$36)</f>
        <v>1539.8500000000001</v>
      </c>
      <c r="BE36" s="11">
        <f ca="1">IF(History!BI$2="","",History!BI25*$C$36)</f>
        <v>1589.3</v>
      </c>
      <c r="BF36" s="11">
        <f ca="1">IF(History!BJ$2="","",History!BJ25*$C$36)</f>
        <v>1695.1000000000001</v>
      </c>
      <c r="BG36" s="11">
        <f ca="1">IF(History!BK$2="","",History!BK25*$C$36)</f>
        <v>1607.7</v>
      </c>
      <c r="BH36" s="11">
        <f ca="1">IF(History!BL$2="","",History!BL25*$C$36)</f>
        <v>1519.15</v>
      </c>
      <c r="BI36" s="11">
        <f ca="1">IF(History!BM$2="","",History!BM25*$C$36)</f>
        <v>1551.3500000000001</v>
      </c>
      <c r="BJ36" s="11">
        <f ca="1">IF(History!BN$2="","",History!BN25*$C$36)</f>
        <v>1635.3000000000002</v>
      </c>
      <c r="BK36" s="11">
        <f ca="1">IF(History!BO$2="","",History!BO25*$C$36)</f>
        <v>1584.6999999999998</v>
      </c>
      <c r="BL36" s="11">
        <f ca="1">IF(History!BP$2="","",History!BP25*$C$36)</f>
        <v>1477.75</v>
      </c>
      <c r="BM36" s="11">
        <f ca="1">IF(History!BQ$2="","",History!BQ25*$C$36)</f>
        <v>1453.6000000000001</v>
      </c>
      <c r="BN36" s="11">
        <f ca="1">IF(History!BR$2="","",History!BR25*$C$36)</f>
        <v>1385.75</v>
      </c>
      <c r="BO36" s="11">
        <f ca="1">IF(History!BS$2="","",History!BS25*$C$36)</f>
        <v>1380</v>
      </c>
      <c r="BP36" s="11">
        <f ca="1">IF(History!BT$2="","",History!BT25*$C$36)</f>
        <v>1361.6</v>
      </c>
      <c r="BQ36" s="11">
        <f ca="1">IF(History!BU$2="","",History!BU25*$C$36)</f>
        <v>1346.65</v>
      </c>
      <c r="BR36" s="11">
        <f ca="1">IF(History!BV$2="","",History!BV25*$C$36)</f>
        <v>1288</v>
      </c>
      <c r="BS36" s="11">
        <f ca="1">IF(History!BW$2="","",History!BW25*$C$36)</f>
        <v>1269.5999999999999</v>
      </c>
      <c r="BT36" s="11">
        <f ca="1">IF(History!BX$2="","",History!BX25*$C$36)</f>
        <v>1343.2</v>
      </c>
      <c r="BU36" s="11">
        <f ca="1">IF(History!BY$2="","",History!BY25*$C$36)</f>
        <v>1421.3999999999999</v>
      </c>
      <c r="BV36" s="11">
        <f ca="1">IF(History!BZ$2="","",History!BZ25*$C$36)</f>
        <v>1331.7</v>
      </c>
      <c r="BW36" s="11">
        <f ca="1">IF(History!CA$2="","",History!CA25*$C$36)</f>
        <v>1260.4000000000001</v>
      </c>
      <c r="BX36" s="11">
        <f ca="1">IF(History!CB$2="","",History!CB25*$C$36)</f>
        <v>1284.55</v>
      </c>
      <c r="BY36" s="11">
        <f ca="1">IF(History!CC$2="","",History!CC25*$C$36)</f>
        <v>1187.95</v>
      </c>
      <c r="BZ36" s="11">
        <f ca="1">IF(History!CD$2="","",History!CD25*$C$36)</f>
        <v>1133.8999999999999</v>
      </c>
      <c r="CA36" s="11">
        <f ca="1">IF(History!CE$2="","",History!CE25*$C$36)</f>
        <v>1178.75</v>
      </c>
      <c r="CB36" s="11">
        <f ca="1">IF(History!CF$2="","",History!CF25*$C$36)</f>
        <v>1109.75</v>
      </c>
      <c r="CC36" s="11">
        <f ca="1">IF(History!CG$2="","",History!CG25*$C$36)</f>
        <v>1178.75</v>
      </c>
      <c r="CD36" s="11">
        <f ca="1">IF(History!CH$2="","",History!CH25*$C$36)</f>
        <v>1162.6499999999999</v>
      </c>
      <c r="CE36" s="11">
        <f ca="1">IF(History!CI$2="","",History!CI25*$C$36)</f>
        <v>1221.3</v>
      </c>
      <c r="CF36" s="11" t="str">
        <f ca="1">IF(History!CJ$2="","",History!CJ25*$C$36)</f>
        <v/>
      </c>
      <c r="CG36" s="11" t="str">
        <f ca="1">IF(History!CK$2="","",History!CK25*$C$36)</f>
        <v/>
      </c>
      <c r="CH36" s="11" t="str">
        <f ca="1">IF(History!CL$2="","",History!CL25*$C$36)</f>
        <v/>
      </c>
      <c r="CI36" s="11" t="str">
        <f ca="1">IF(History!CM$2="","",History!CM25*$C$36)</f>
        <v/>
      </c>
      <c r="CJ36" s="11" t="str">
        <f ca="1">IF(History!CN$2="","",History!CN25*$C$36)</f>
        <v/>
      </c>
      <c r="CK36" s="11" t="str">
        <f ca="1">IF(History!CO$2="","",History!CO25*$C$36)</f>
        <v/>
      </c>
      <c r="CL36" s="11" t="str">
        <f ca="1">IF(History!CP$2="","",History!CP25*$C$36)</f>
        <v/>
      </c>
      <c r="CM36" s="11" t="str">
        <f ca="1">IF(History!CQ$2="","",History!CQ25*$C$36)</f>
        <v/>
      </c>
      <c r="CN36" s="11" t="str">
        <f ca="1">IF(History!CR$2="","",History!CR25*$C$36)</f>
        <v/>
      </c>
      <c r="CO36" s="11" t="str">
        <f ca="1">IF(History!CS$2="","",History!CS25*$C$36)</f>
        <v/>
      </c>
      <c r="CP36" s="11" t="str">
        <f ca="1">IF(History!CT$2="","",History!CT25*$C$36)</f>
        <v/>
      </c>
      <c r="CQ36" s="11" t="str">
        <f ca="1">IF(History!CU$2="","",History!CU25*$C$36)</f>
        <v/>
      </c>
      <c r="CR36" s="11" t="str">
        <f ca="1">IF(History!CV$2="","",History!CV25*$C$36)</f>
        <v/>
      </c>
      <c r="CS36" s="11" t="str">
        <f ca="1">IF(History!CW$2="","",History!CW25*$C$36)</f>
        <v/>
      </c>
      <c r="CT36" s="11" t="str">
        <f ca="1">IF(History!CX$2="","",History!CX25*$C$36)</f>
        <v/>
      </c>
      <c r="CU36" s="11" t="str">
        <f ca="1">IF(History!CY$2="","",History!CY25*$C$36)</f>
        <v/>
      </c>
      <c r="CV36" s="11" t="str">
        <f ca="1">IF(History!CZ$2="","",History!CZ25*$C$36)</f>
        <v/>
      </c>
      <c r="CW36" s="11" t="str">
        <f ca="1">IF(History!DA$2="","",History!DA25*$C$36)</f>
        <v/>
      </c>
      <c r="CX36" s="11" t="str">
        <f ca="1">IF(History!DB$2="","",History!DB25*$C$36)</f>
        <v/>
      </c>
      <c r="CY36" s="11" t="str">
        <f ca="1">IF(History!DC$2="","",History!DC25*$C$36)</f>
        <v/>
      </c>
      <c r="CZ36" s="11" t="str">
        <f ca="1">IF(History!DD$2="","",History!DD25*$C$36)</f>
        <v/>
      </c>
      <c r="DA36" s="11" t="str">
        <f ca="1">IF(History!DE$2="","",History!DE25*$C$36)</f>
        <v/>
      </c>
      <c r="DB36" s="11" t="str">
        <f ca="1">IF(History!DF$2="","",History!DF25*$C$36)</f>
        <v/>
      </c>
      <c r="DC36" s="11" t="str">
        <f ca="1">IF(History!DG$2="","",History!DG25*$C$36)</f>
        <v/>
      </c>
      <c r="DD36" s="11" t="str">
        <f ca="1">IF(History!DH$2="","",History!DH25*$C$36)</f>
        <v/>
      </c>
      <c r="DE36" s="11" t="str">
        <f ca="1">IF(History!DI$2="","",History!DI25*$C$36)</f>
        <v/>
      </c>
      <c r="DF36" s="11" t="str">
        <f ca="1">IF(History!DJ$2="","",History!DJ25*$C$36)</f>
        <v/>
      </c>
      <c r="DG36" s="11" t="str">
        <f ca="1">IF(History!DK$2="","",History!DK25*$C$36)</f>
        <v/>
      </c>
      <c r="DH36" s="11" t="str">
        <f ca="1">IF(History!DL$2="","",History!DL25*$C$36)</f>
        <v/>
      </c>
      <c r="DI36" s="11" t="str">
        <f ca="1">IF(History!DM$2="","",History!DM25*$C$36)</f>
        <v/>
      </c>
      <c r="DJ36" s="11" t="str">
        <f ca="1">IF(History!DN$2="","",History!DN25*$C$36)</f>
        <v/>
      </c>
      <c r="DK36" s="11" t="str">
        <f ca="1">IF(History!DO$2="","",History!DO25*$C$36)</f>
        <v/>
      </c>
      <c r="DL36" s="11" t="str">
        <f ca="1">IF(History!DP$2="","",History!DP25*$C$36)</f>
        <v/>
      </c>
      <c r="DM36" s="11" t="str">
        <f ca="1">IF(History!DQ$2="","",History!DQ25*$C$36)</f>
        <v/>
      </c>
      <c r="DN36" s="11" t="str">
        <f ca="1">IF(History!DR$2="","",History!DR25*$C$36)</f>
        <v/>
      </c>
      <c r="DO36" s="11" t="str">
        <f ca="1">IF(History!DS$2="","",History!DS25*$C$36)</f>
        <v/>
      </c>
      <c r="DP36" s="11" t="str">
        <f ca="1">IF(History!DT$2="","",History!DT25*$C$36)</f>
        <v/>
      </c>
      <c r="DQ36" s="11" t="str">
        <f ca="1">IF(History!DU$2="","",History!DU25*$C$36)</f>
        <v/>
      </c>
      <c r="DR36" s="11" t="str">
        <f ca="1">IF(History!DV$2="","",History!DV25*$C$36)</f>
        <v/>
      </c>
      <c r="DS36" s="11" t="str">
        <f ca="1">IF(History!DW$2="","",History!DW25*$C$36)</f>
        <v/>
      </c>
      <c r="DT36" s="11" t="str">
        <f ca="1">IF(History!DX$2="","",History!DX25*$C$36)</f>
        <v/>
      </c>
      <c r="DU36" s="11" t="str">
        <f ca="1">IF(History!DY$2="","",History!DY25*$C$36)</f>
        <v/>
      </c>
      <c r="DV36" s="11" t="str">
        <f ca="1">IF(History!DZ$2="","",History!DZ25*$C$36)</f>
        <v/>
      </c>
      <c r="DW36" s="11" t="str">
        <f ca="1">IF(History!EA$2="","",History!EA25*$C$36)</f>
        <v/>
      </c>
      <c r="DX36" s="11" t="str">
        <f ca="1">IF(History!EB$2="","",History!EB25*$C$36)</f>
        <v/>
      </c>
      <c r="DY36" s="11" t="str">
        <f ca="1">IF(History!EC$2="","",History!EC25*$C$36)</f>
        <v/>
      </c>
      <c r="DZ36" s="11" t="str">
        <f ca="1">IF(History!ED$2="","",History!ED25*$C$36)</f>
        <v/>
      </c>
      <c r="EA36" s="11" t="str">
        <f ca="1">IF(History!EE$2="","",History!EE25*$C$36)</f>
        <v/>
      </c>
      <c r="EB36" s="11" t="str">
        <f ca="1">IF(History!EF$2="","",History!EF25*$C$36)</f>
        <v/>
      </c>
      <c r="EC36" s="11" t="str">
        <f ca="1">IF(History!EG$2="","",History!EG25*$C$36)</f>
        <v/>
      </c>
      <c r="ED36" s="11" t="str">
        <f ca="1">IF(History!EH$2="","",History!EH25*$C$36)</f>
        <v/>
      </c>
      <c r="EE36" s="11" t="str">
        <f ca="1">IF(History!EI$2="","",History!EI25*$C$36)</f>
        <v/>
      </c>
      <c r="EF36" s="11" t="str">
        <f ca="1">IF(History!EJ$2="","",History!EJ25*$C$36)</f>
        <v/>
      </c>
      <c r="EG36" s="11" t="str">
        <f ca="1">IF(History!EK$2="","",History!EK25*$C$36)</f>
        <v/>
      </c>
      <c r="EH36" s="11" t="str">
        <f ca="1">IF(History!EL$2="","",History!EL25*$C$36)</f>
        <v/>
      </c>
      <c r="EI36" s="11" t="str">
        <f ca="1">IF(History!EM$2="","",History!EM25*$C$36)</f>
        <v/>
      </c>
      <c r="EJ36" s="11" t="str">
        <f ca="1">IF(History!EN$2="","",History!EN25*$C$36)</f>
        <v/>
      </c>
      <c r="EK36" s="11" t="str">
        <f ca="1">IF(History!EO$2="","",History!EO25*$C$36)</f>
        <v/>
      </c>
      <c r="EL36" s="11" t="str">
        <f ca="1">IF(History!EP$2="","",History!EP25*$C$36)</f>
        <v/>
      </c>
      <c r="EM36" s="11" t="str">
        <f ca="1">IF(History!EQ$2="","",History!EQ25*$C$36)</f>
        <v/>
      </c>
      <c r="EN36" s="11" t="str">
        <f ca="1">IF(History!ER$2="","",History!ER25*$C$36)</f>
        <v/>
      </c>
      <c r="EO36" s="11" t="str">
        <f ca="1">IF(History!ES$2="","",History!ES25*$C$36)</f>
        <v/>
      </c>
      <c r="EP36" s="11" t="str">
        <f ca="1">IF(History!ET$2="","",History!ET25*$C$36)</f>
        <v/>
      </c>
      <c r="EQ36" s="11" t="str">
        <f ca="1">IF(History!EU$2="","",History!EU25*$C$36)</f>
        <v/>
      </c>
      <c r="ER36" s="11" t="str">
        <f ca="1">IF(History!EV$2="","",History!EV25*$C$36)</f>
        <v/>
      </c>
      <c r="ES36" s="11" t="str">
        <f ca="1">IF(History!EW$2="","",History!EW25*$C$36)</f>
        <v/>
      </c>
      <c r="ET36" s="11" t="str">
        <f ca="1">IF(History!EX$2="","",History!EX25*$C$36)</f>
        <v/>
      </c>
      <c r="EU36" s="11" t="str">
        <f ca="1">IF(History!EY$2="","",History!EY25*$C$36)</f>
        <v/>
      </c>
      <c r="EV36" s="11" t="str">
        <f ca="1">IF(History!EZ$2="","",History!EZ25*$C$36)</f>
        <v/>
      </c>
      <c r="EW36" s="11" t="str">
        <f ca="1">IF(History!FA$2="","",History!FA25*$C$36)</f>
        <v/>
      </c>
      <c r="EX36" s="11" t="str">
        <f ca="1">IF(History!FB$2="","",History!FB25*$C$36)</f>
        <v/>
      </c>
      <c r="EY36" s="11" t="str">
        <f ca="1">IF(History!FC$2="","",History!FC25*$C$36)</f>
        <v/>
      </c>
      <c r="EZ36" s="11" t="str">
        <f ca="1">IF(History!FD$2="","",History!FD25*$C$36)</f>
        <v/>
      </c>
      <c r="FA36" s="11" t="str">
        <f ca="1">IF(History!FE$2="","",History!FE25*$C$36)</f>
        <v/>
      </c>
      <c r="FB36" s="11" t="str">
        <f ca="1">IF(History!FF$2="","",History!FF25*$C$36)</f>
        <v/>
      </c>
      <c r="FC36" s="11" t="str">
        <f ca="1">IF(History!FG$2="","",History!FG25*$C$36)</f>
        <v/>
      </c>
      <c r="FD36" s="11" t="str">
        <f ca="1">IF(History!FH$2="","",History!FH25*$C$36)</f>
        <v/>
      </c>
      <c r="FE36" s="11" t="str">
        <f ca="1">IF(History!FI$2="","",History!FI25*$C$36)</f>
        <v/>
      </c>
      <c r="FF36" s="11" t="str">
        <f ca="1">IF(History!FJ$2="","",History!FJ25*$C$36)</f>
        <v/>
      </c>
      <c r="FG36" s="11" t="str">
        <f ca="1">IF(History!FK$2="","",History!FK25*$C$36)</f>
        <v/>
      </c>
      <c r="FH36" s="11" t="str">
        <f ca="1">IF(History!FL$2="","",History!FL25*$C$36)</f>
        <v/>
      </c>
      <c r="FI36" s="11" t="str">
        <f ca="1">IF(History!FM$2="","",History!FM25*$C$36)</f>
        <v/>
      </c>
      <c r="FJ36" s="11" t="str">
        <f ca="1">IF(History!FN$2="","",History!FN25*$C$36)</f>
        <v/>
      </c>
      <c r="FK36" s="11" t="str">
        <f ca="1">IF(History!FO$2="","",History!FO25*$C$36)</f>
        <v/>
      </c>
      <c r="FL36" s="11" t="str">
        <f ca="1">IF(History!FP$2="","",History!FP25*$C$36)</f>
        <v/>
      </c>
      <c r="FM36" s="11" t="str">
        <f ca="1">IF(History!FQ$2="","",History!FQ25*$C$36)</f>
        <v/>
      </c>
      <c r="FN36" s="11" t="str">
        <f ca="1">IF(History!FR$2="","",History!FR25*$C$36)</f>
        <v/>
      </c>
      <c r="FO36" s="11" t="str">
        <f ca="1">IF(History!FS$2="","",History!FS25*$C$36)</f>
        <v/>
      </c>
      <c r="FP36" s="11" t="str">
        <f ca="1">IF(History!FT$2="","",History!FT25*$C$36)</f>
        <v/>
      </c>
      <c r="FQ36" s="11" t="str">
        <f ca="1">IF(History!FU$2="","",History!FU25*$C$36)</f>
        <v/>
      </c>
      <c r="FR36" s="11" t="str">
        <f ca="1">IF(History!FV$2="","",History!FV25*$C$36)</f>
        <v/>
      </c>
      <c r="FS36" s="11" t="str">
        <f ca="1">IF(History!FW$2="","",History!FW25*$C$36)</f>
        <v/>
      </c>
      <c r="FT36" s="11" t="str">
        <f ca="1">IF(History!FX$2="","",History!FX25*$C$36)</f>
        <v/>
      </c>
      <c r="FU36" s="11" t="str">
        <f ca="1">IF(History!FY$2="","",History!FY25*$C$36)</f>
        <v/>
      </c>
      <c r="FV36" s="11" t="str">
        <f ca="1">IF(History!FZ$2="","",History!FZ25*$C$36)</f>
        <v/>
      </c>
      <c r="FW36" s="11" t="str">
        <f ca="1">IF(History!GA$2="","",History!GA25*$C$36)</f>
        <v/>
      </c>
      <c r="FX36" s="11" t="str">
        <f ca="1">IF(History!GB$2="","",History!GB25*$C$36)</f>
        <v/>
      </c>
      <c r="FY36" s="11" t="str">
        <f ca="1">IF(History!GC$2="","",History!GC25*$C$36)</f>
        <v/>
      </c>
      <c r="FZ36" s="11" t="str">
        <f ca="1">IF(History!GD$2="","",History!GD25*$C$36)</f>
        <v/>
      </c>
      <c r="GA36" s="11" t="str">
        <f ca="1">IF(History!GE$2="","",History!GE25*$C$36)</f>
        <v/>
      </c>
      <c r="GB36" s="11" t="str">
        <f ca="1">IF(History!GF$2="","",History!GF25*$C$36)</f>
        <v/>
      </c>
      <c r="GC36" s="11" t="str">
        <f ca="1">IF(History!GG$2="","",History!GG25*$C$36)</f>
        <v/>
      </c>
      <c r="GD36" s="11" t="str">
        <f ca="1">IF(History!GH$2="","",History!GH25*$C$36)</f>
        <v/>
      </c>
      <c r="GE36" s="11" t="str">
        <f ca="1">IF(History!GI$2="","",History!GI25*$C$36)</f>
        <v/>
      </c>
      <c r="GF36" s="11" t="str">
        <f ca="1">IF(History!GJ$2="","",History!GJ25*$C$36)</f>
        <v/>
      </c>
      <c r="GG36" s="11" t="str">
        <f ca="1">IF(History!GK$2="","",History!GK25*$C$36)</f>
        <v/>
      </c>
      <c r="GH36" s="11" t="str">
        <f ca="1">IF(History!GL$2="","",History!GL25*$C$36)</f>
        <v/>
      </c>
      <c r="GI36" s="11" t="str">
        <f ca="1">IF(History!GM$2="","",History!GM25*$C$36)</f>
        <v/>
      </c>
      <c r="GJ36" s="11" t="str">
        <f ca="1">IF(History!GN$2="","",History!GN25*$C$36)</f>
        <v/>
      </c>
      <c r="GK36" s="11" t="str">
        <f ca="1">IF(History!GO$2="","",History!GO25*$C$36)</f>
        <v/>
      </c>
      <c r="GL36" s="11" t="str">
        <f ca="1">IF(History!GP$2="","",History!GP25*$C$36)</f>
        <v/>
      </c>
      <c r="GM36" s="11" t="str">
        <f ca="1">IF(History!GQ$2="","",History!GQ25*$C$36)</f>
        <v/>
      </c>
      <c r="GN36" s="11" t="str">
        <f ca="1">IF(History!GR$2="","",History!GR25*$C$36)</f>
        <v/>
      </c>
      <c r="GO36" s="11" t="str">
        <f ca="1">IF(History!GS$2="","",History!GS25*$C$36)</f>
        <v/>
      </c>
      <c r="GP36" s="11" t="str">
        <f ca="1">IF(History!GT$2="","",History!GT25*$C$36)</f>
        <v/>
      </c>
      <c r="GQ36" s="11" t="str">
        <f ca="1">IF(History!GU$2="","",History!GU25*$C$36)</f>
        <v/>
      </c>
      <c r="GR36" s="11" t="str">
        <f ca="1">IF(History!GV$2="","",History!GV25*$C$36)</f>
        <v/>
      </c>
      <c r="GS36" s="11" t="str">
        <f ca="1">IF(History!GW$2="","",History!GW25*$C$36)</f>
        <v/>
      </c>
      <c r="GT36" s="11" t="str">
        <f ca="1">IF(History!GX$2="","",History!GX25*$C$36)</f>
        <v/>
      </c>
      <c r="GU36" s="11" t="str">
        <f ca="1">IF(History!GY$2="","",History!GY25*$C$36)</f>
        <v/>
      </c>
      <c r="GV36" s="11" t="str">
        <f ca="1">IF(History!GZ$2="","",History!GZ25*$C$36)</f>
        <v/>
      </c>
      <c r="GW36" s="11" t="str">
        <f ca="1">IF(History!HA$2="","",History!HA25*$C$36)</f>
        <v/>
      </c>
      <c r="GX36" s="11" t="str">
        <f ca="1">IF(History!HB$2="","",History!HB25*$C$36)</f>
        <v/>
      </c>
      <c r="GY36" s="11" t="str">
        <f ca="1">IF(History!HC$2="","",History!HC25*$C$36)</f>
        <v/>
      </c>
      <c r="GZ36" s="11" t="str">
        <f ca="1">IF(History!HD$2="","",History!HD25*$C$36)</f>
        <v/>
      </c>
      <c r="HA36" s="11" t="str">
        <f ca="1">IF(History!HE$2="","",History!HE25*$C$36)</f>
        <v/>
      </c>
      <c r="HB36" s="11" t="str">
        <f ca="1">IF(History!HF$2="","",History!HF25*$C$36)</f>
        <v/>
      </c>
      <c r="HC36" s="11" t="str">
        <f ca="1">IF(History!HG$2="","",History!HG25*$C$36)</f>
        <v/>
      </c>
      <c r="HD36" s="11" t="str">
        <f ca="1">IF(History!HH$2="","",History!HH25*$C$36)</f>
        <v/>
      </c>
      <c r="HE36" s="11" t="str">
        <f ca="1">IF(History!HI$2="","",History!HI25*$C$36)</f>
        <v/>
      </c>
      <c r="HF36" s="11" t="str">
        <f ca="1">IF(History!HJ$2="","",History!HJ25*$C$36)</f>
        <v/>
      </c>
      <c r="HG36" s="11" t="str">
        <f ca="1">IF(History!HK$2="","",History!HK25*$C$36)</f>
        <v/>
      </c>
      <c r="HH36" s="11" t="str">
        <f ca="1">IF(History!HL$2="","",History!HL25*$C$36)</f>
        <v/>
      </c>
      <c r="HI36" s="11" t="str">
        <f ca="1">IF(History!HM$2="","",History!HM25*$C$36)</f>
        <v/>
      </c>
      <c r="HJ36" s="11" t="str">
        <f ca="1">IF(History!HN$2="","",History!HN25*$C$36)</f>
        <v/>
      </c>
      <c r="HK36" s="11" t="str">
        <f ca="1">IF(History!HO$2="","",History!HO25*$C$36)</f>
        <v/>
      </c>
      <c r="HL36" s="11" t="str">
        <f ca="1">IF(History!HP$2="","",History!HP25*$C$36)</f>
        <v/>
      </c>
      <c r="HM36" s="11" t="str">
        <f ca="1">IF(History!HQ$2="","",History!HQ25*$C$36)</f>
        <v/>
      </c>
      <c r="HN36" s="11" t="str">
        <f ca="1">IF(History!HR$2="","",History!HR25*$C$36)</f>
        <v/>
      </c>
      <c r="HO36" s="11" t="str">
        <f ca="1">IF(History!HS$2="","",History!HS25*$C$36)</f>
        <v/>
      </c>
      <c r="HP36" s="11" t="str">
        <f ca="1">IF(History!HT$2="","",History!HT25*$C$36)</f>
        <v/>
      </c>
      <c r="HQ36" s="11" t="str">
        <f ca="1">IF(History!HU$2="","",History!HU25*$C$36)</f>
        <v/>
      </c>
      <c r="HR36" s="11" t="str">
        <f ca="1">IF(History!HV$2="","",History!HV25*$C$36)</f>
        <v/>
      </c>
      <c r="HS36" s="11" t="str">
        <f ca="1">IF(History!HW$2="","",History!HW25*$C$36)</f>
        <v/>
      </c>
      <c r="HT36" s="11" t="str">
        <f ca="1">IF(History!HX$2="","",History!HX25*$C$36)</f>
        <v/>
      </c>
      <c r="HU36" s="11" t="str">
        <f ca="1">IF(History!HY$2="","",History!HY25*$C$36)</f>
        <v/>
      </c>
      <c r="HV36" s="11" t="str">
        <f ca="1">IF(History!HZ$2="","",History!HZ25*$C$36)</f>
        <v/>
      </c>
      <c r="HW36" s="11" t="str">
        <f ca="1">IF(History!IA$2="","",History!IA25*$C$36)</f>
        <v/>
      </c>
      <c r="HX36" s="11" t="str">
        <f ca="1">IF(History!IB$2="","",History!IB25*$C$36)</f>
        <v/>
      </c>
      <c r="HY36" s="11" t="str">
        <f ca="1">IF(History!IC$2="","",History!IC25*$C$36)</f>
        <v/>
      </c>
      <c r="HZ36" s="11" t="str">
        <f ca="1">IF(History!ID$2="","",History!ID25*$C$36)</f>
        <v/>
      </c>
      <c r="IA36" s="11" t="str">
        <f ca="1">IF(History!IE$2="","",History!IE25*$C$36)</f>
        <v/>
      </c>
      <c r="IB36" s="11" t="str">
        <f ca="1">IF(History!IF$2="","",History!IF25*$C$36)</f>
        <v/>
      </c>
      <c r="IC36" s="11" t="str">
        <f ca="1">IF(History!IG$2="","",History!IG25*$C$36)</f>
        <v/>
      </c>
      <c r="ID36" s="11" t="str">
        <f ca="1">IF(History!IH$2="","",History!IH25*$C$36)</f>
        <v/>
      </c>
      <c r="IE36" s="11" t="str">
        <f ca="1">IF(History!II$2="","",History!II25*$C$36)</f>
        <v/>
      </c>
      <c r="IF36" s="11" t="str">
        <f ca="1">IF(History!IJ$2="","",History!IJ25*$C$36)</f>
        <v/>
      </c>
      <c r="IG36" s="11" t="str">
        <f ca="1">IF(History!IK$2="","",History!IK25*$C$36)</f>
        <v/>
      </c>
      <c r="IH36" s="11" t="str">
        <f ca="1">IF(History!IL$2="","",History!IL25*$C$36)</f>
        <v/>
      </c>
      <c r="II36" s="11" t="str">
        <f ca="1">IF(History!IM$2="","",History!IM25*$C$36)</f>
        <v/>
      </c>
      <c r="IJ36" s="11" t="str">
        <f ca="1">IF(History!IN$2="","",History!IN25*$C$36)</f>
        <v/>
      </c>
      <c r="IK36" s="11" t="str">
        <f ca="1">IF(History!IO$2="","",History!IO25*$C$36)</f>
        <v/>
      </c>
      <c r="IL36" s="11" t="str">
        <f ca="1">IF(History!IP$2="","",History!IP25*$C$36)</f>
        <v/>
      </c>
      <c r="IM36" s="11" t="str">
        <f ca="1">IF(History!IQ$2="","",History!IQ25*$C$36)</f>
        <v/>
      </c>
      <c r="IN36" s="11" t="str">
        <f ca="1">IF(History!IR$2="","",History!IR25*$C$36)</f>
        <v/>
      </c>
      <c r="IO36" s="11" t="str">
        <f ca="1">IF(History!IS$2="","",History!IS25*$C$36)</f>
        <v/>
      </c>
      <c r="IP36" s="11" t="str">
        <f ca="1">IF(History!IT$2="","",History!IT25*$C$36)</f>
        <v/>
      </c>
      <c r="IQ36" s="11" t="str">
        <f ca="1">IF(History!IU$2="","",History!IU25*$C$36)</f>
        <v/>
      </c>
      <c r="IR36" s="11" t="str">
        <f ca="1">IF(History!IV$2="","",History!IV25*$C$36)</f>
        <v/>
      </c>
      <c r="IS36" s="11" t="str">
        <f ca="1">IF(History!IW$2="","",History!IW25*$C$36)</f>
        <v/>
      </c>
      <c r="IT36" s="11" t="str">
        <f ca="1">IF(History!IX$2="","",History!IX25*$C$36)</f>
        <v/>
      </c>
      <c r="IU36" s="11" t="str">
        <f ca="1">IF(History!IY$2="","",History!IY25*$C$36)</f>
        <v/>
      </c>
      <c r="IV36" s="11" t="str">
        <f ca="1">IF(History!IZ$2="","",History!IZ25*$C$36)</f>
        <v/>
      </c>
      <c r="IW36" s="11" t="str">
        <f ca="1">IF(History!JA$2="","",History!JA25*$C$36)</f>
        <v/>
      </c>
      <c r="IX36" s="11" t="str">
        <f ca="1">IF(History!JB$2="","",History!JB25*$C$36)</f>
        <v/>
      </c>
      <c r="IY36" s="11" t="str">
        <f ca="1">IF(History!JC$2="","",History!JC25*$C$36)</f>
        <v/>
      </c>
      <c r="IZ36" s="11" t="str">
        <f ca="1">IF(History!JD$2="","",History!JD25*$C$36)</f>
        <v/>
      </c>
      <c r="JA36" s="11" t="str">
        <f ca="1">IF(History!JE$2="","",History!JE25*$C$36)</f>
        <v/>
      </c>
      <c r="JB36" s="11" t="str">
        <f ca="1">IF(History!JF$2="","",History!JF25*$C$36)</f>
        <v/>
      </c>
      <c r="JC36" s="11" t="str">
        <f ca="1">IF(History!JG$2="","",History!JG25*$C$36)</f>
        <v/>
      </c>
      <c r="JD36" s="11" t="str">
        <f ca="1">IF(History!JH$2="","",History!JH25*$C$36)</f>
        <v/>
      </c>
      <c r="JE36" s="11" t="str">
        <f ca="1">IF(History!JI$2="","",History!JI25*$C$36)</f>
        <v/>
      </c>
      <c r="JF36" s="11" t="str">
        <f ca="1">IF(History!JJ$2="","",History!JJ25*$C$36)</f>
        <v/>
      </c>
      <c r="JG36" s="11" t="str">
        <f ca="1">IF(History!JK$2="","",History!JK25*$C$36)</f>
        <v/>
      </c>
      <c r="JH36" s="11" t="str">
        <f ca="1">IF(History!JL$2="","",History!JL25*$C$36)</f>
        <v/>
      </c>
      <c r="JI36" s="11" t="str">
        <f ca="1">IF(History!JM$2="","",History!JM25*$C$36)</f>
        <v/>
      </c>
      <c r="JJ36" s="11" t="str">
        <f ca="1">IF(History!JN$2="","",History!JN25*$C$36)</f>
        <v/>
      </c>
      <c r="JK36" s="11" t="str">
        <f ca="1">IF(History!JO$2="","",History!JO25*$C$36)</f>
        <v/>
      </c>
      <c r="JL36" s="11" t="str">
        <f ca="1">IF(History!JP$2="","",History!JP25*$C$36)</f>
        <v/>
      </c>
      <c r="JM36" s="11" t="str">
        <f ca="1">IF(History!JQ$2="","",History!JQ25*$C$36)</f>
        <v/>
      </c>
      <c r="JN36" s="11" t="str">
        <f ca="1">IF(History!JR$2="","",History!JR25*$C$36)</f>
        <v/>
      </c>
      <c r="JO36" s="11" t="str">
        <f ca="1">IF(History!JS$2="","",History!JS25*$C$36)</f>
        <v/>
      </c>
      <c r="JP36" s="11" t="str">
        <f ca="1">IF(History!JT$2="","",History!JT25*$C$36)</f>
        <v/>
      </c>
      <c r="JQ36" s="11" t="str">
        <f ca="1">IF(History!JU$2="","",History!JU25*$C$36)</f>
        <v/>
      </c>
      <c r="JR36" s="11" t="str">
        <f ca="1">IF(History!JV$2="","",History!JV25*$C$36)</f>
        <v/>
      </c>
      <c r="JS36" s="11" t="str">
        <f ca="1">IF(History!JW$2="","",History!JW25*$C$36)</f>
        <v/>
      </c>
      <c r="JT36" s="11" t="str">
        <f ca="1">IF(History!JX$2="","",History!JX25*$C$36)</f>
        <v/>
      </c>
      <c r="JU36" s="11" t="str">
        <f ca="1">IF(History!JY$2="","",History!JY25*$C$36)</f>
        <v/>
      </c>
      <c r="JV36" s="11" t="str">
        <f ca="1">IF(History!JZ$2="","",History!JZ25*$C$36)</f>
        <v/>
      </c>
      <c r="JW36" s="11" t="str">
        <f ca="1">IF(History!KA$2="","",History!KA25*$C$36)</f>
        <v/>
      </c>
      <c r="JX36" s="11" t="str">
        <f ca="1">IF(History!KB$2="","",History!KB25*$C$36)</f>
        <v/>
      </c>
      <c r="JY36" s="11" t="str">
        <f ca="1">IF(History!KC$2="","",History!KC25*$C$36)</f>
        <v/>
      </c>
      <c r="JZ36" s="11" t="str">
        <f ca="1">IF(History!KD$2="","",History!KD25*$C$36)</f>
        <v/>
      </c>
      <c r="KA36" s="11" t="str">
        <f ca="1">IF(History!KE$2="","",History!KE25*$C$36)</f>
        <v/>
      </c>
      <c r="KB36" s="11" t="str">
        <f ca="1">IF(History!KF$2="","",History!KF25*$C$36)</f>
        <v/>
      </c>
    </row>
    <row r="37" spans="1:288" ht="15.75" customHeight="1">
      <c r="A37" s="22" t="s">
        <v>30</v>
      </c>
      <c r="B37" s="6" t="s">
        <v>69</v>
      </c>
      <c r="C37" s="26">
        <v>23</v>
      </c>
      <c r="D37" s="11">
        <f ca="1">IF(History!H$2="","",History!H26*$C$37)</f>
        <v>1789.63</v>
      </c>
      <c r="E37" s="11">
        <f ca="1">IF(History!I$2="","",History!I26*$C$37)</f>
        <v>1796.3</v>
      </c>
      <c r="F37" s="11">
        <f ca="1">IF(History!J$2="","",History!J26*$C$37)</f>
        <v>1836.78</v>
      </c>
      <c r="G37" s="11">
        <f ca="1">IF(History!K$2="","",History!K26*$C$37)</f>
        <v>1828.5</v>
      </c>
      <c r="H37" s="11">
        <f ca="1">IF(History!L$2="","",History!L26*$C$37)</f>
        <v>1816.5400000000002</v>
      </c>
      <c r="I37" s="11">
        <f ca="1">IF(History!M$2="","",History!M26*$C$37)</f>
        <v>1782.5</v>
      </c>
      <c r="J37" s="11">
        <f ca="1">IF(History!N$2="","",History!N26*$C$37)</f>
        <v>1773.9899999999998</v>
      </c>
      <c r="K37" s="11">
        <f ca="1">IF(History!O$2="","",History!O26*$C$37)</f>
        <v>1751.6799999999998</v>
      </c>
      <c r="L37" s="11">
        <f ca="1">IF(History!P$2="","",History!P26*$C$37)</f>
        <v>1725</v>
      </c>
      <c r="M37" s="11">
        <f ca="1">IF(History!Q$2="","",History!Q26*$C$37)</f>
        <v>1744.78</v>
      </c>
      <c r="N37" s="11">
        <f ca="1">IF(History!R$2="","",History!R26*$C$37)</f>
        <v>1691.88</v>
      </c>
      <c r="O37" s="11">
        <f ca="1">IF(History!S$2="","",History!S26*$C$37)</f>
        <v>1658.3</v>
      </c>
      <c r="P37" s="11">
        <f ca="1">IF(History!T$2="","",History!T26*$C$37)</f>
        <v>1625.1799999999998</v>
      </c>
      <c r="Q37" s="11">
        <f ca="1">IF(History!U$2="","",History!U26*$C$37)</f>
        <v>1661.2900000000002</v>
      </c>
      <c r="R37" s="11">
        <f ca="1">IF(History!V$2="","",History!V26*$C$37)</f>
        <v>1683.37</v>
      </c>
      <c r="S37" s="11">
        <f ca="1">IF(History!W$2="","",History!W26*$C$37)</f>
        <v>1704.0700000000002</v>
      </c>
      <c r="T37" s="11">
        <f ca="1">IF(History!X$2="","",History!X26*$C$37)</f>
        <v>1705.6799999999998</v>
      </c>
      <c r="U37" s="11">
        <f ca="1">IF(History!Y$2="","",History!Y26*$C$37)</f>
        <v>1666.58</v>
      </c>
      <c r="V37" s="11">
        <f ca="1">IF(History!Z$2="","",History!Z26*$C$37)</f>
        <v>1650.25</v>
      </c>
      <c r="W37" s="11">
        <f ca="1">IF(History!AA$2="","",History!AA26*$C$37)</f>
        <v>1631.62</v>
      </c>
      <c r="X37" s="11">
        <f ca="1">IF(History!AB$2="","",History!AB26*$C$37)</f>
        <v>1667.9599999999998</v>
      </c>
      <c r="Y37" s="11">
        <f ca="1">IF(History!AC$2="","",History!AC26*$C$37)</f>
        <v>1729.83</v>
      </c>
      <c r="Z37" s="11">
        <f ca="1">IF(History!AD$2="","",History!AD26*$C$37)</f>
        <v>1700.8500000000001</v>
      </c>
      <c r="AA37" s="11">
        <f ca="1">IF(History!AE$2="","",History!AE26*$C$37)</f>
        <v>1692.5700000000002</v>
      </c>
      <c r="AB37" s="11">
        <f ca="1">IF(History!AF$2="","",History!AF26*$C$37)</f>
        <v>1724.5400000000002</v>
      </c>
      <c r="AC37" s="11">
        <f ca="1">IF(History!AG$2="","",History!AG26*$C$37)</f>
        <v>1760.6499999999999</v>
      </c>
      <c r="AD37" s="11">
        <f ca="1">IF(History!AH$2="","",History!AH26*$C$37)</f>
        <v>1855.64</v>
      </c>
      <c r="AE37" s="11">
        <f ca="1">IF(History!AI$2="","",History!AI26*$C$37)</f>
        <v>1808.4899999999998</v>
      </c>
      <c r="AF37" s="11">
        <f ca="1">IF(History!AJ$2="","",History!AJ26*$C$37)</f>
        <v>1809.64</v>
      </c>
      <c r="AG37" s="11">
        <f ca="1">IF(History!AK$2="","",History!AK26*$C$37)</f>
        <v>1755.59</v>
      </c>
      <c r="AH37" s="11">
        <f ca="1">IF(History!AL$2="","",History!AL26*$C$37)</f>
        <v>1700.39</v>
      </c>
      <c r="AI37" s="11">
        <f ca="1">IF(History!AM$2="","",History!AM26*$C$37)</f>
        <v>1738.5700000000002</v>
      </c>
      <c r="AJ37" s="11">
        <f ca="1">IF(History!AN$2="","",History!AN26*$C$37)</f>
        <v>1784.34</v>
      </c>
      <c r="AK37" s="11">
        <f ca="1">IF(History!AO$2="","",History!AO26*$C$37)</f>
        <v>1813.3200000000002</v>
      </c>
      <c r="AL37" s="11">
        <f ca="1">IF(History!AP$2="","",History!AP26*$C$37)</f>
        <v>1786.87</v>
      </c>
      <c r="AM37" s="11">
        <f ca="1">IF(History!AQ$2="","",History!AQ26*$C$37)</f>
        <v>1855.41</v>
      </c>
      <c r="AN37" s="11">
        <f ca="1">IF(History!AR$2="","",History!AR26*$C$37)</f>
        <v>1848.05</v>
      </c>
      <c r="AO37" s="11">
        <f ca="1">IF(History!AS$2="","",History!AS26*$C$37)</f>
        <v>1817.69</v>
      </c>
      <c r="AP37" s="11">
        <f ca="1">IF(History!AT$2="","",History!AT26*$C$37)</f>
        <v>1764.7900000000002</v>
      </c>
      <c r="AQ37" s="11">
        <f ca="1">IF(History!AU$2="","",History!AU26*$C$37)</f>
        <v>1753.98</v>
      </c>
      <c r="AR37" s="11">
        <f ca="1">IF(History!AV$2="","",History!AV26*$C$37)</f>
        <v>1831.03</v>
      </c>
      <c r="AS37" s="11">
        <f ca="1">IF(History!AW$2="","",History!AW26*$C$37)</f>
        <v>1816.08</v>
      </c>
      <c r="AT37" s="11">
        <f ca="1">IF(History!AX$2="","",History!AX26*$C$37)</f>
        <v>1821.37</v>
      </c>
      <c r="AU37" s="11">
        <f ca="1">IF(History!AY$2="","",History!AY26*$C$37)</f>
        <v>1782.0400000000002</v>
      </c>
      <c r="AV37" s="11">
        <f ca="1">IF(History!AZ$2="","",History!AZ26*$C$37)</f>
        <v>1807.5700000000002</v>
      </c>
      <c r="AW37" s="11">
        <f ca="1">IF(History!BA$2="","",History!BA26*$C$37)</f>
        <v>1890.14</v>
      </c>
      <c r="AX37" s="11">
        <f ca="1">IF(History!BB$2="","",History!BB26*$C$37)</f>
        <v>1926.7099999999998</v>
      </c>
      <c r="AY37" s="11">
        <f ca="1">IF(History!BC$2="","",History!BC26*$C$37)</f>
        <v>1937.98</v>
      </c>
      <c r="AZ37" s="11">
        <f ca="1">IF(History!BD$2="","",History!BD26*$C$37)</f>
        <v>1939.8200000000002</v>
      </c>
      <c r="BA37" s="11">
        <f ca="1">IF(History!BE$2="","",History!BE26*$C$37)</f>
        <v>1933.38</v>
      </c>
      <c r="BB37" s="11">
        <f ca="1">IF(History!BF$2="","",History!BF26*$C$37)</f>
        <v>1873.12</v>
      </c>
      <c r="BC37" s="11">
        <f ca="1">IF(History!BG$2="","",History!BG26*$C$37)</f>
        <v>1880.25</v>
      </c>
      <c r="BD37" s="11">
        <f ca="1">IF(History!BH$2="","",History!BH26*$C$37)</f>
        <v>1858.17</v>
      </c>
      <c r="BE37" s="11">
        <f ca="1">IF(History!BI$2="","",History!BI26*$C$37)</f>
        <v>1872.4299999999998</v>
      </c>
      <c r="BF37" s="11">
        <f ca="1">IF(History!BJ$2="","",History!BJ26*$C$37)</f>
        <v>1885.77</v>
      </c>
      <c r="BG37" s="11">
        <f ca="1">IF(History!BK$2="","",History!BK26*$C$37)</f>
        <v>1872.89</v>
      </c>
      <c r="BH37" s="11">
        <f ca="1">IF(History!BL$2="","",History!BL26*$C$37)</f>
        <v>1824.59</v>
      </c>
      <c r="BI37" s="11">
        <f ca="1">IF(History!BM$2="","",History!BM26*$C$37)</f>
        <v>1701.77</v>
      </c>
      <c r="BJ37" s="11">
        <f ca="1">IF(History!BN$2="","",History!BN26*$C$37)</f>
        <v>1673.25</v>
      </c>
      <c r="BK37" s="11">
        <f ca="1">IF(History!BO$2="","",History!BO26*$C$37)</f>
        <v>1557.56</v>
      </c>
      <c r="BL37" s="11">
        <f ca="1">IF(History!BP$2="","",History!BP26*$C$37)</f>
        <v>1505.12</v>
      </c>
      <c r="BM37" s="11">
        <f ca="1">IF(History!BQ$2="","",History!BQ26*$C$37)</f>
        <v>1470.16</v>
      </c>
      <c r="BN37" s="11">
        <f ca="1">IF(History!BR$2="","",History!BR26*$C$37)</f>
        <v>1451.53</v>
      </c>
      <c r="BO37" s="11">
        <f ca="1">IF(History!BS$2="","",History!BS26*$C$37)</f>
        <v>1448.77</v>
      </c>
      <c r="BP37" s="11">
        <f ca="1">IF(History!BT$2="","",History!BT26*$C$37)</f>
        <v>1449.46</v>
      </c>
      <c r="BQ37" s="11">
        <f ca="1">IF(History!BU$2="","",History!BU26*$C$37)</f>
        <v>1491.78</v>
      </c>
      <c r="BR37" s="11">
        <f ca="1">IF(History!BV$2="","",History!BV26*$C$37)</f>
        <v>1472.4599999999998</v>
      </c>
      <c r="BS37" s="11">
        <f ca="1">IF(History!BW$2="","",History!BW26*$C$37)</f>
        <v>1481.2</v>
      </c>
      <c r="BT37" s="11">
        <f ca="1">IF(History!BX$2="","",History!BX26*$C$37)</f>
        <v>1526.7399999999998</v>
      </c>
      <c r="BU37" s="11">
        <f ca="1">IF(History!BY$2="","",History!BY26*$C$37)</f>
        <v>1555.72</v>
      </c>
      <c r="BV37" s="11">
        <f ca="1">IF(History!BZ$2="","",History!BZ26*$C$37)</f>
        <v>1564.4599999999998</v>
      </c>
      <c r="BW37" s="11">
        <f ca="1">IF(History!CA$2="","",History!CA26*$C$37)</f>
        <v>1551.58</v>
      </c>
      <c r="BX37" s="11">
        <f ca="1">IF(History!CB$2="","",History!CB26*$C$37)</f>
        <v>1599.6499999999999</v>
      </c>
      <c r="BY37" s="11">
        <f ca="1">IF(History!CC$2="","",History!CC26*$C$37)</f>
        <v>1563.08</v>
      </c>
      <c r="BZ37" s="11">
        <f ca="1">IF(History!CD$2="","",History!CD26*$C$37)</f>
        <v>1569.75</v>
      </c>
      <c r="CA37" s="11">
        <f ca="1">IF(History!CE$2="","",History!CE26*$C$37)</f>
        <v>1632.08</v>
      </c>
      <c r="CB37" s="11">
        <f ca="1">IF(History!CF$2="","",History!CF26*$C$37)</f>
        <v>1607.7</v>
      </c>
      <c r="CC37" s="11">
        <f ca="1">IF(History!CG$2="","",History!CG26*$C$37)</f>
        <v>1634.1499999999999</v>
      </c>
      <c r="CD37" s="11">
        <f ca="1">IF(History!CH$2="","",History!CH26*$C$37)</f>
        <v>1676.7</v>
      </c>
      <c r="CE37" s="11">
        <f ca="1">IF(History!CI$2="","",History!CI26*$C$37)</f>
        <v>1741.56</v>
      </c>
      <c r="CF37" s="11" t="str">
        <f ca="1">IF(History!CJ$2="","",History!CJ26*$C$37)</f>
        <v/>
      </c>
      <c r="CG37" s="11" t="str">
        <f ca="1">IF(History!CK$2="","",History!CK26*$C$37)</f>
        <v/>
      </c>
      <c r="CH37" s="11" t="str">
        <f ca="1">IF(History!CL$2="","",History!CL26*$C$37)</f>
        <v/>
      </c>
      <c r="CI37" s="11" t="str">
        <f ca="1">IF(History!CM$2="","",History!CM26*$C$37)</f>
        <v/>
      </c>
      <c r="CJ37" s="11" t="str">
        <f ca="1">IF(History!CN$2="","",History!CN26*$C$37)</f>
        <v/>
      </c>
      <c r="CK37" s="11" t="str">
        <f ca="1">IF(History!CO$2="","",History!CO26*$C$37)</f>
        <v/>
      </c>
      <c r="CL37" s="11" t="str">
        <f ca="1">IF(History!CP$2="","",History!CP26*$C$37)</f>
        <v/>
      </c>
      <c r="CM37" s="11" t="str">
        <f ca="1">IF(History!CQ$2="","",History!CQ26*$C$37)</f>
        <v/>
      </c>
      <c r="CN37" s="11" t="str">
        <f ca="1">IF(History!CR$2="","",History!CR26*$C$37)</f>
        <v/>
      </c>
      <c r="CO37" s="11" t="str">
        <f ca="1">IF(History!CS$2="","",History!CS26*$C$37)</f>
        <v/>
      </c>
      <c r="CP37" s="11" t="str">
        <f ca="1">IF(History!CT$2="","",History!CT26*$C$37)</f>
        <v/>
      </c>
      <c r="CQ37" s="11" t="str">
        <f ca="1">IF(History!CU$2="","",History!CU26*$C$37)</f>
        <v/>
      </c>
      <c r="CR37" s="11" t="str">
        <f ca="1">IF(History!CV$2="","",History!CV26*$C$37)</f>
        <v/>
      </c>
      <c r="CS37" s="11" t="str">
        <f ca="1">IF(History!CW$2="","",History!CW26*$C$37)</f>
        <v/>
      </c>
      <c r="CT37" s="11" t="str">
        <f ca="1">IF(History!CX$2="","",History!CX26*$C$37)</f>
        <v/>
      </c>
      <c r="CU37" s="11" t="str">
        <f ca="1">IF(History!CY$2="","",History!CY26*$C$37)</f>
        <v/>
      </c>
      <c r="CV37" s="11" t="str">
        <f ca="1">IF(History!CZ$2="","",History!CZ26*$C$37)</f>
        <v/>
      </c>
      <c r="CW37" s="11" t="str">
        <f ca="1">IF(History!DA$2="","",History!DA26*$C$37)</f>
        <v/>
      </c>
      <c r="CX37" s="11" t="str">
        <f ca="1">IF(History!DB$2="","",History!DB26*$C$37)</f>
        <v/>
      </c>
      <c r="CY37" s="11" t="str">
        <f ca="1">IF(History!DC$2="","",History!DC26*$C$37)</f>
        <v/>
      </c>
      <c r="CZ37" s="11" t="str">
        <f ca="1">IF(History!DD$2="","",History!DD26*$C$37)</f>
        <v/>
      </c>
      <c r="DA37" s="11" t="str">
        <f ca="1">IF(History!DE$2="","",History!DE26*$C$37)</f>
        <v/>
      </c>
      <c r="DB37" s="11" t="str">
        <f ca="1">IF(History!DF$2="","",History!DF26*$C$37)</f>
        <v/>
      </c>
      <c r="DC37" s="11" t="str">
        <f ca="1">IF(History!DG$2="","",History!DG26*$C$37)</f>
        <v/>
      </c>
      <c r="DD37" s="11" t="str">
        <f ca="1">IF(History!DH$2="","",History!DH26*$C$37)</f>
        <v/>
      </c>
      <c r="DE37" s="11" t="str">
        <f ca="1">IF(History!DI$2="","",History!DI26*$C$37)</f>
        <v/>
      </c>
      <c r="DF37" s="11" t="str">
        <f ca="1">IF(History!DJ$2="","",History!DJ26*$C$37)</f>
        <v/>
      </c>
      <c r="DG37" s="11" t="str">
        <f ca="1">IF(History!DK$2="","",History!DK26*$C$37)</f>
        <v/>
      </c>
      <c r="DH37" s="11" t="str">
        <f ca="1">IF(History!DL$2="","",History!DL26*$C$37)</f>
        <v/>
      </c>
      <c r="DI37" s="11" t="str">
        <f ca="1">IF(History!DM$2="","",History!DM26*$C$37)</f>
        <v/>
      </c>
      <c r="DJ37" s="11" t="str">
        <f ca="1">IF(History!DN$2="","",History!DN26*$C$37)</f>
        <v/>
      </c>
      <c r="DK37" s="11" t="str">
        <f ca="1">IF(History!DO$2="","",History!DO26*$C$37)</f>
        <v/>
      </c>
      <c r="DL37" s="11" t="str">
        <f ca="1">IF(History!DP$2="","",History!DP26*$C$37)</f>
        <v/>
      </c>
      <c r="DM37" s="11" t="str">
        <f ca="1">IF(History!DQ$2="","",History!DQ26*$C$37)</f>
        <v/>
      </c>
      <c r="DN37" s="11" t="str">
        <f ca="1">IF(History!DR$2="","",History!DR26*$C$37)</f>
        <v/>
      </c>
      <c r="DO37" s="11" t="str">
        <f ca="1">IF(History!DS$2="","",History!DS26*$C$37)</f>
        <v/>
      </c>
      <c r="DP37" s="11" t="str">
        <f ca="1">IF(History!DT$2="","",History!DT26*$C$37)</f>
        <v/>
      </c>
      <c r="DQ37" s="11" t="str">
        <f ca="1">IF(History!DU$2="","",History!DU26*$C$37)</f>
        <v/>
      </c>
      <c r="DR37" s="11" t="str">
        <f ca="1">IF(History!DV$2="","",History!DV26*$C$37)</f>
        <v/>
      </c>
      <c r="DS37" s="11" t="str">
        <f ca="1">IF(History!DW$2="","",History!DW26*$C$37)</f>
        <v/>
      </c>
      <c r="DT37" s="11" t="str">
        <f ca="1">IF(History!DX$2="","",History!DX26*$C$37)</f>
        <v/>
      </c>
      <c r="DU37" s="11" t="str">
        <f ca="1">IF(History!DY$2="","",History!DY26*$C$37)</f>
        <v/>
      </c>
      <c r="DV37" s="11" t="str">
        <f ca="1">IF(History!DZ$2="","",History!DZ26*$C$37)</f>
        <v/>
      </c>
      <c r="DW37" s="11" t="str">
        <f ca="1">IF(History!EA$2="","",History!EA26*$C$37)</f>
        <v/>
      </c>
      <c r="DX37" s="11" t="str">
        <f ca="1">IF(History!EB$2="","",History!EB26*$C$37)</f>
        <v/>
      </c>
      <c r="DY37" s="11" t="str">
        <f ca="1">IF(History!EC$2="","",History!EC26*$C$37)</f>
        <v/>
      </c>
      <c r="DZ37" s="11" t="str">
        <f ca="1">IF(History!ED$2="","",History!ED26*$C$37)</f>
        <v/>
      </c>
      <c r="EA37" s="11" t="str">
        <f ca="1">IF(History!EE$2="","",History!EE26*$C$37)</f>
        <v/>
      </c>
      <c r="EB37" s="11" t="str">
        <f ca="1">IF(History!EF$2="","",History!EF26*$C$37)</f>
        <v/>
      </c>
      <c r="EC37" s="11" t="str">
        <f ca="1">IF(History!EG$2="","",History!EG26*$C$37)</f>
        <v/>
      </c>
      <c r="ED37" s="11" t="str">
        <f ca="1">IF(History!EH$2="","",History!EH26*$C$37)</f>
        <v/>
      </c>
      <c r="EE37" s="11" t="str">
        <f ca="1">IF(History!EI$2="","",History!EI26*$C$37)</f>
        <v/>
      </c>
      <c r="EF37" s="11" t="str">
        <f ca="1">IF(History!EJ$2="","",History!EJ26*$C$37)</f>
        <v/>
      </c>
      <c r="EG37" s="11" t="str">
        <f ca="1">IF(History!EK$2="","",History!EK26*$C$37)</f>
        <v/>
      </c>
      <c r="EH37" s="11" t="str">
        <f ca="1">IF(History!EL$2="","",History!EL26*$C$37)</f>
        <v/>
      </c>
      <c r="EI37" s="11" t="str">
        <f ca="1">IF(History!EM$2="","",History!EM26*$C$37)</f>
        <v/>
      </c>
      <c r="EJ37" s="11" t="str">
        <f ca="1">IF(History!EN$2="","",History!EN26*$C$37)</f>
        <v/>
      </c>
      <c r="EK37" s="11" t="str">
        <f ca="1">IF(History!EO$2="","",History!EO26*$C$37)</f>
        <v/>
      </c>
      <c r="EL37" s="11" t="str">
        <f ca="1">IF(History!EP$2="","",History!EP26*$C$37)</f>
        <v/>
      </c>
      <c r="EM37" s="11" t="str">
        <f ca="1">IF(History!EQ$2="","",History!EQ26*$C$37)</f>
        <v/>
      </c>
      <c r="EN37" s="11" t="str">
        <f ca="1">IF(History!ER$2="","",History!ER26*$C$37)</f>
        <v/>
      </c>
      <c r="EO37" s="11" t="str">
        <f ca="1">IF(History!ES$2="","",History!ES26*$C$37)</f>
        <v/>
      </c>
      <c r="EP37" s="11" t="str">
        <f ca="1">IF(History!ET$2="","",History!ET26*$C$37)</f>
        <v/>
      </c>
      <c r="EQ37" s="11" t="str">
        <f ca="1">IF(History!EU$2="","",History!EU26*$C$37)</f>
        <v/>
      </c>
      <c r="ER37" s="11" t="str">
        <f ca="1">IF(History!EV$2="","",History!EV26*$C$37)</f>
        <v/>
      </c>
      <c r="ES37" s="11" t="str">
        <f ca="1">IF(History!EW$2="","",History!EW26*$C$37)</f>
        <v/>
      </c>
      <c r="ET37" s="11" t="str">
        <f ca="1">IF(History!EX$2="","",History!EX26*$C$37)</f>
        <v/>
      </c>
      <c r="EU37" s="11" t="str">
        <f ca="1">IF(History!EY$2="","",History!EY26*$C$37)</f>
        <v/>
      </c>
      <c r="EV37" s="11" t="str">
        <f ca="1">IF(History!EZ$2="","",History!EZ26*$C$37)</f>
        <v/>
      </c>
      <c r="EW37" s="11" t="str">
        <f ca="1">IF(History!FA$2="","",History!FA26*$C$37)</f>
        <v/>
      </c>
      <c r="EX37" s="11" t="str">
        <f ca="1">IF(History!FB$2="","",History!FB26*$C$37)</f>
        <v/>
      </c>
      <c r="EY37" s="11" t="str">
        <f ca="1">IF(History!FC$2="","",History!FC26*$C$37)</f>
        <v/>
      </c>
      <c r="EZ37" s="11" t="str">
        <f ca="1">IF(History!FD$2="","",History!FD26*$C$37)</f>
        <v/>
      </c>
      <c r="FA37" s="11" t="str">
        <f ca="1">IF(History!FE$2="","",History!FE26*$C$37)</f>
        <v/>
      </c>
      <c r="FB37" s="11" t="str">
        <f ca="1">IF(History!FF$2="","",History!FF26*$C$37)</f>
        <v/>
      </c>
      <c r="FC37" s="11" t="str">
        <f ca="1">IF(History!FG$2="","",History!FG26*$C$37)</f>
        <v/>
      </c>
      <c r="FD37" s="11" t="str">
        <f ca="1">IF(History!FH$2="","",History!FH26*$C$37)</f>
        <v/>
      </c>
      <c r="FE37" s="11" t="str">
        <f ca="1">IF(History!FI$2="","",History!FI26*$C$37)</f>
        <v/>
      </c>
      <c r="FF37" s="11" t="str">
        <f ca="1">IF(History!FJ$2="","",History!FJ26*$C$37)</f>
        <v/>
      </c>
      <c r="FG37" s="11" t="str">
        <f ca="1">IF(History!FK$2="","",History!FK26*$C$37)</f>
        <v/>
      </c>
      <c r="FH37" s="11" t="str">
        <f ca="1">IF(History!FL$2="","",History!FL26*$C$37)</f>
        <v/>
      </c>
      <c r="FI37" s="11" t="str">
        <f ca="1">IF(History!FM$2="","",History!FM26*$C$37)</f>
        <v/>
      </c>
      <c r="FJ37" s="11" t="str">
        <f ca="1">IF(History!FN$2="","",History!FN26*$C$37)</f>
        <v/>
      </c>
      <c r="FK37" s="11" t="str">
        <f ca="1">IF(History!FO$2="","",History!FO26*$C$37)</f>
        <v/>
      </c>
      <c r="FL37" s="11" t="str">
        <f ca="1">IF(History!FP$2="","",History!FP26*$C$37)</f>
        <v/>
      </c>
      <c r="FM37" s="11" t="str">
        <f ca="1">IF(History!FQ$2="","",History!FQ26*$C$37)</f>
        <v/>
      </c>
      <c r="FN37" s="11" t="str">
        <f ca="1">IF(History!FR$2="","",History!FR26*$C$37)</f>
        <v/>
      </c>
      <c r="FO37" s="11" t="str">
        <f ca="1">IF(History!FS$2="","",History!FS26*$C$37)</f>
        <v/>
      </c>
      <c r="FP37" s="11" t="str">
        <f ca="1">IF(History!FT$2="","",History!FT26*$C$37)</f>
        <v/>
      </c>
      <c r="FQ37" s="11" t="str">
        <f ca="1">IF(History!FU$2="","",History!FU26*$C$37)</f>
        <v/>
      </c>
      <c r="FR37" s="11" t="str">
        <f ca="1">IF(History!FV$2="","",History!FV26*$C$37)</f>
        <v/>
      </c>
      <c r="FS37" s="11" t="str">
        <f ca="1">IF(History!FW$2="","",History!FW26*$C$37)</f>
        <v/>
      </c>
      <c r="FT37" s="11" t="str">
        <f ca="1">IF(History!FX$2="","",History!FX26*$C$37)</f>
        <v/>
      </c>
      <c r="FU37" s="11" t="str">
        <f ca="1">IF(History!FY$2="","",History!FY26*$C$37)</f>
        <v/>
      </c>
      <c r="FV37" s="11" t="str">
        <f ca="1">IF(History!FZ$2="","",History!FZ26*$C$37)</f>
        <v/>
      </c>
      <c r="FW37" s="11" t="str">
        <f ca="1">IF(History!GA$2="","",History!GA26*$C$37)</f>
        <v/>
      </c>
      <c r="FX37" s="11" t="str">
        <f ca="1">IF(History!GB$2="","",History!GB26*$C$37)</f>
        <v/>
      </c>
      <c r="FY37" s="11" t="str">
        <f ca="1">IF(History!GC$2="","",History!GC26*$C$37)</f>
        <v/>
      </c>
      <c r="FZ37" s="11" t="str">
        <f ca="1">IF(History!GD$2="","",History!GD26*$C$37)</f>
        <v/>
      </c>
      <c r="GA37" s="11" t="str">
        <f ca="1">IF(History!GE$2="","",History!GE26*$C$37)</f>
        <v/>
      </c>
      <c r="GB37" s="11" t="str">
        <f ca="1">IF(History!GF$2="","",History!GF26*$C$37)</f>
        <v/>
      </c>
      <c r="GC37" s="11" t="str">
        <f ca="1">IF(History!GG$2="","",History!GG26*$C$37)</f>
        <v/>
      </c>
      <c r="GD37" s="11" t="str">
        <f ca="1">IF(History!GH$2="","",History!GH26*$C$37)</f>
        <v/>
      </c>
      <c r="GE37" s="11" t="str">
        <f ca="1">IF(History!GI$2="","",History!GI26*$C$37)</f>
        <v/>
      </c>
      <c r="GF37" s="11" t="str">
        <f ca="1">IF(History!GJ$2="","",History!GJ26*$C$37)</f>
        <v/>
      </c>
      <c r="GG37" s="11" t="str">
        <f ca="1">IF(History!GK$2="","",History!GK26*$C$37)</f>
        <v/>
      </c>
      <c r="GH37" s="11" t="str">
        <f ca="1">IF(History!GL$2="","",History!GL26*$C$37)</f>
        <v/>
      </c>
      <c r="GI37" s="11" t="str">
        <f ca="1">IF(History!GM$2="","",History!GM26*$C$37)</f>
        <v/>
      </c>
      <c r="GJ37" s="11" t="str">
        <f ca="1">IF(History!GN$2="","",History!GN26*$C$37)</f>
        <v/>
      </c>
      <c r="GK37" s="11" t="str">
        <f ca="1">IF(History!GO$2="","",History!GO26*$C$37)</f>
        <v/>
      </c>
      <c r="GL37" s="11" t="str">
        <f ca="1">IF(History!GP$2="","",History!GP26*$C$37)</f>
        <v/>
      </c>
      <c r="GM37" s="11" t="str">
        <f ca="1">IF(History!GQ$2="","",History!GQ26*$C$37)</f>
        <v/>
      </c>
      <c r="GN37" s="11" t="str">
        <f ca="1">IF(History!GR$2="","",History!GR26*$C$37)</f>
        <v/>
      </c>
      <c r="GO37" s="11" t="str">
        <f ca="1">IF(History!GS$2="","",History!GS26*$C$37)</f>
        <v/>
      </c>
      <c r="GP37" s="11" t="str">
        <f ca="1">IF(History!GT$2="","",History!GT26*$C$37)</f>
        <v/>
      </c>
      <c r="GQ37" s="11" t="str">
        <f ca="1">IF(History!GU$2="","",History!GU26*$C$37)</f>
        <v/>
      </c>
      <c r="GR37" s="11" t="str">
        <f ca="1">IF(History!GV$2="","",History!GV26*$C$37)</f>
        <v/>
      </c>
      <c r="GS37" s="11" t="str">
        <f ca="1">IF(History!GW$2="","",History!GW26*$C$37)</f>
        <v/>
      </c>
      <c r="GT37" s="11" t="str">
        <f ca="1">IF(History!GX$2="","",History!GX26*$C$37)</f>
        <v/>
      </c>
      <c r="GU37" s="11" t="str">
        <f ca="1">IF(History!GY$2="","",History!GY26*$C$37)</f>
        <v/>
      </c>
      <c r="GV37" s="11" t="str">
        <f ca="1">IF(History!GZ$2="","",History!GZ26*$C$37)</f>
        <v/>
      </c>
      <c r="GW37" s="11" t="str">
        <f ca="1">IF(History!HA$2="","",History!HA26*$C$37)</f>
        <v/>
      </c>
      <c r="GX37" s="11" t="str">
        <f ca="1">IF(History!HB$2="","",History!HB26*$C$37)</f>
        <v/>
      </c>
      <c r="GY37" s="11" t="str">
        <f ca="1">IF(History!HC$2="","",History!HC26*$C$37)</f>
        <v/>
      </c>
      <c r="GZ37" s="11" t="str">
        <f ca="1">IF(History!HD$2="","",History!HD26*$C$37)</f>
        <v/>
      </c>
      <c r="HA37" s="11" t="str">
        <f ca="1">IF(History!HE$2="","",History!HE26*$C$37)</f>
        <v/>
      </c>
      <c r="HB37" s="11" t="str">
        <f ca="1">IF(History!HF$2="","",History!HF26*$C$37)</f>
        <v/>
      </c>
      <c r="HC37" s="11" t="str">
        <f ca="1">IF(History!HG$2="","",History!HG26*$C$37)</f>
        <v/>
      </c>
      <c r="HD37" s="11" t="str">
        <f ca="1">IF(History!HH$2="","",History!HH26*$C$37)</f>
        <v/>
      </c>
      <c r="HE37" s="11" t="str">
        <f ca="1">IF(History!HI$2="","",History!HI26*$C$37)</f>
        <v/>
      </c>
      <c r="HF37" s="11" t="str">
        <f ca="1">IF(History!HJ$2="","",History!HJ26*$C$37)</f>
        <v/>
      </c>
      <c r="HG37" s="11" t="str">
        <f ca="1">IF(History!HK$2="","",History!HK26*$C$37)</f>
        <v/>
      </c>
      <c r="HH37" s="11" t="str">
        <f ca="1">IF(History!HL$2="","",History!HL26*$C$37)</f>
        <v/>
      </c>
      <c r="HI37" s="11" t="str">
        <f ca="1">IF(History!HM$2="","",History!HM26*$C$37)</f>
        <v/>
      </c>
      <c r="HJ37" s="11" t="str">
        <f ca="1">IF(History!HN$2="","",History!HN26*$C$37)</f>
        <v/>
      </c>
      <c r="HK37" s="11" t="str">
        <f ca="1">IF(History!HO$2="","",History!HO26*$C$37)</f>
        <v/>
      </c>
      <c r="HL37" s="11" t="str">
        <f ca="1">IF(History!HP$2="","",History!HP26*$C$37)</f>
        <v/>
      </c>
      <c r="HM37" s="11" t="str">
        <f ca="1">IF(History!HQ$2="","",History!HQ26*$C$37)</f>
        <v/>
      </c>
      <c r="HN37" s="11" t="str">
        <f ca="1">IF(History!HR$2="","",History!HR26*$C$37)</f>
        <v/>
      </c>
      <c r="HO37" s="11" t="str">
        <f ca="1">IF(History!HS$2="","",History!HS26*$C$37)</f>
        <v/>
      </c>
      <c r="HP37" s="11" t="str">
        <f ca="1">IF(History!HT$2="","",History!HT26*$C$37)</f>
        <v/>
      </c>
      <c r="HQ37" s="11" t="str">
        <f ca="1">IF(History!HU$2="","",History!HU26*$C$37)</f>
        <v/>
      </c>
      <c r="HR37" s="11" t="str">
        <f ca="1">IF(History!HV$2="","",History!HV26*$C$37)</f>
        <v/>
      </c>
      <c r="HS37" s="11" t="str">
        <f ca="1">IF(History!HW$2="","",History!HW26*$C$37)</f>
        <v/>
      </c>
      <c r="HT37" s="11" t="str">
        <f ca="1">IF(History!HX$2="","",History!HX26*$C$37)</f>
        <v/>
      </c>
      <c r="HU37" s="11" t="str">
        <f ca="1">IF(History!HY$2="","",History!HY26*$C$37)</f>
        <v/>
      </c>
      <c r="HV37" s="11" t="str">
        <f ca="1">IF(History!HZ$2="","",History!HZ26*$C$37)</f>
        <v/>
      </c>
      <c r="HW37" s="11" t="str">
        <f ca="1">IF(History!IA$2="","",History!IA26*$C$37)</f>
        <v/>
      </c>
      <c r="HX37" s="11" t="str">
        <f ca="1">IF(History!IB$2="","",History!IB26*$C$37)</f>
        <v/>
      </c>
      <c r="HY37" s="11" t="str">
        <f ca="1">IF(History!IC$2="","",History!IC26*$C$37)</f>
        <v/>
      </c>
      <c r="HZ37" s="11" t="str">
        <f ca="1">IF(History!ID$2="","",History!ID26*$C$37)</f>
        <v/>
      </c>
      <c r="IA37" s="11" t="str">
        <f ca="1">IF(History!IE$2="","",History!IE26*$C$37)</f>
        <v/>
      </c>
      <c r="IB37" s="11" t="str">
        <f ca="1">IF(History!IF$2="","",History!IF26*$C$37)</f>
        <v/>
      </c>
      <c r="IC37" s="11" t="str">
        <f ca="1">IF(History!IG$2="","",History!IG26*$C$37)</f>
        <v/>
      </c>
      <c r="ID37" s="11" t="str">
        <f ca="1">IF(History!IH$2="","",History!IH26*$C$37)</f>
        <v/>
      </c>
      <c r="IE37" s="11" t="str">
        <f ca="1">IF(History!II$2="","",History!II26*$C$37)</f>
        <v/>
      </c>
      <c r="IF37" s="11" t="str">
        <f ca="1">IF(History!IJ$2="","",History!IJ26*$C$37)</f>
        <v/>
      </c>
      <c r="IG37" s="11" t="str">
        <f ca="1">IF(History!IK$2="","",History!IK26*$C$37)</f>
        <v/>
      </c>
      <c r="IH37" s="11" t="str">
        <f ca="1">IF(History!IL$2="","",History!IL26*$C$37)</f>
        <v/>
      </c>
      <c r="II37" s="11" t="str">
        <f ca="1">IF(History!IM$2="","",History!IM26*$C$37)</f>
        <v/>
      </c>
      <c r="IJ37" s="11" t="str">
        <f ca="1">IF(History!IN$2="","",History!IN26*$C$37)</f>
        <v/>
      </c>
      <c r="IK37" s="11" t="str">
        <f ca="1">IF(History!IO$2="","",History!IO26*$C$37)</f>
        <v/>
      </c>
      <c r="IL37" s="11" t="str">
        <f ca="1">IF(History!IP$2="","",History!IP26*$C$37)</f>
        <v/>
      </c>
      <c r="IM37" s="11" t="str">
        <f ca="1">IF(History!IQ$2="","",History!IQ26*$C$37)</f>
        <v/>
      </c>
      <c r="IN37" s="11" t="str">
        <f ca="1">IF(History!IR$2="","",History!IR26*$C$37)</f>
        <v/>
      </c>
      <c r="IO37" s="11" t="str">
        <f ca="1">IF(History!IS$2="","",History!IS26*$C$37)</f>
        <v/>
      </c>
      <c r="IP37" s="11" t="str">
        <f ca="1">IF(History!IT$2="","",History!IT26*$C$37)</f>
        <v/>
      </c>
      <c r="IQ37" s="11" t="str">
        <f ca="1">IF(History!IU$2="","",History!IU26*$C$37)</f>
        <v/>
      </c>
      <c r="IR37" s="11" t="str">
        <f ca="1">IF(History!IV$2="","",History!IV26*$C$37)</f>
        <v/>
      </c>
      <c r="IS37" s="11" t="str">
        <f ca="1">IF(History!IW$2="","",History!IW26*$C$37)</f>
        <v/>
      </c>
      <c r="IT37" s="11" t="str">
        <f ca="1">IF(History!IX$2="","",History!IX26*$C$37)</f>
        <v/>
      </c>
      <c r="IU37" s="11" t="str">
        <f ca="1">IF(History!IY$2="","",History!IY26*$C$37)</f>
        <v/>
      </c>
      <c r="IV37" s="11" t="str">
        <f ca="1">IF(History!IZ$2="","",History!IZ26*$C$37)</f>
        <v/>
      </c>
      <c r="IW37" s="11" t="str">
        <f ca="1">IF(History!JA$2="","",History!JA26*$C$37)</f>
        <v/>
      </c>
      <c r="IX37" s="11" t="str">
        <f ca="1">IF(History!JB$2="","",History!JB26*$C$37)</f>
        <v/>
      </c>
      <c r="IY37" s="11" t="str">
        <f ca="1">IF(History!JC$2="","",History!JC26*$C$37)</f>
        <v/>
      </c>
      <c r="IZ37" s="11" t="str">
        <f ca="1">IF(History!JD$2="","",History!JD26*$C$37)</f>
        <v/>
      </c>
      <c r="JA37" s="11" t="str">
        <f ca="1">IF(History!JE$2="","",History!JE26*$C$37)</f>
        <v/>
      </c>
      <c r="JB37" s="11" t="str">
        <f ca="1">IF(History!JF$2="","",History!JF26*$C$37)</f>
        <v/>
      </c>
      <c r="JC37" s="11" t="str">
        <f ca="1">IF(History!JG$2="","",History!JG26*$C$37)</f>
        <v/>
      </c>
      <c r="JD37" s="11" t="str">
        <f ca="1">IF(History!JH$2="","",History!JH26*$C$37)</f>
        <v/>
      </c>
      <c r="JE37" s="11" t="str">
        <f ca="1">IF(History!JI$2="","",History!JI26*$C$37)</f>
        <v/>
      </c>
      <c r="JF37" s="11" t="str">
        <f ca="1">IF(History!JJ$2="","",History!JJ26*$C$37)</f>
        <v/>
      </c>
      <c r="JG37" s="11" t="str">
        <f ca="1">IF(History!JK$2="","",History!JK26*$C$37)</f>
        <v/>
      </c>
      <c r="JH37" s="11" t="str">
        <f ca="1">IF(History!JL$2="","",History!JL26*$C$37)</f>
        <v/>
      </c>
      <c r="JI37" s="11" t="str">
        <f ca="1">IF(History!JM$2="","",History!JM26*$C$37)</f>
        <v/>
      </c>
      <c r="JJ37" s="11" t="str">
        <f ca="1">IF(History!JN$2="","",History!JN26*$C$37)</f>
        <v/>
      </c>
      <c r="JK37" s="11" t="str">
        <f ca="1">IF(History!JO$2="","",History!JO26*$C$37)</f>
        <v/>
      </c>
      <c r="JL37" s="11" t="str">
        <f ca="1">IF(History!JP$2="","",History!JP26*$C$37)</f>
        <v/>
      </c>
      <c r="JM37" s="11" t="str">
        <f ca="1">IF(History!JQ$2="","",History!JQ26*$C$37)</f>
        <v/>
      </c>
      <c r="JN37" s="11" t="str">
        <f ca="1">IF(History!JR$2="","",History!JR26*$C$37)</f>
        <v/>
      </c>
      <c r="JO37" s="11" t="str">
        <f ca="1">IF(History!JS$2="","",History!JS26*$C$37)</f>
        <v/>
      </c>
      <c r="JP37" s="11" t="str">
        <f ca="1">IF(History!JT$2="","",History!JT26*$C$37)</f>
        <v/>
      </c>
      <c r="JQ37" s="11" t="str">
        <f ca="1">IF(History!JU$2="","",History!JU26*$C$37)</f>
        <v/>
      </c>
      <c r="JR37" s="11" t="str">
        <f ca="1">IF(History!JV$2="","",History!JV26*$C$37)</f>
        <v/>
      </c>
      <c r="JS37" s="11" t="str">
        <f ca="1">IF(History!JW$2="","",History!JW26*$C$37)</f>
        <v/>
      </c>
      <c r="JT37" s="11" t="str">
        <f ca="1">IF(History!JX$2="","",History!JX26*$C$37)</f>
        <v/>
      </c>
      <c r="JU37" s="11" t="str">
        <f ca="1">IF(History!JY$2="","",History!JY26*$C$37)</f>
        <v/>
      </c>
      <c r="JV37" s="11" t="str">
        <f ca="1">IF(History!JZ$2="","",History!JZ26*$C$37)</f>
        <v/>
      </c>
      <c r="JW37" s="11" t="str">
        <f ca="1">IF(History!KA$2="","",History!KA26*$C$37)</f>
        <v/>
      </c>
      <c r="JX37" s="11" t="str">
        <f ca="1">IF(History!KB$2="","",History!KB26*$C$37)</f>
        <v/>
      </c>
      <c r="JY37" s="11" t="str">
        <f ca="1">IF(History!KC$2="","",History!KC26*$C$37)</f>
        <v/>
      </c>
      <c r="JZ37" s="11" t="str">
        <f ca="1">IF(History!KD$2="","",History!KD26*$C$37)</f>
        <v/>
      </c>
      <c r="KA37" s="11" t="str">
        <f ca="1">IF(History!KE$2="","",History!KE26*$C$37)</f>
        <v/>
      </c>
      <c r="KB37" s="11" t="str">
        <f ca="1">IF(History!KF$2="","",History!KF26*$C$37)</f>
        <v/>
      </c>
    </row>
    <row r="38" spans="1:288" ht="15.75" customHeight="1">
      <c r="A38" s="22" t="s">
        <v>30</v>
      </c>
      <c r="B38" s="6" t="s">
        <v>70</v>
      </c>
      <c r="C38" s="26">
        <v>65</v>
      </c>
      <c r="D38" s="11">
        <f ca="1">IF(History!H$2="","",History!H27*$C$38)</f>
        <v>1798.5500000000002</v>
      </c>
      <c r="E38" s="11">
        <f ca="1">IF(History!I$2="","",History!I27*$C$38)</f>
        <v>1807</v>
      </c>
      <c r="F38" s="11">
        <f ca="1">IF(History!J$2="","",History!J27*$C$38)</f>
        <v>1809.6</v>
      </c>
      <c r="G38" s="11">
        <f ca="1">IF(History!K$2="","",History!K27*$C$38)</f>
        <v>1831.0500000000002</v>
      </c>
      <c r="H38" s="11">
        <f ca="1">IF(History!L$2="","",History!L27*$C$38)</f>
        <v>1885</v>
      </c>
      <c r="I38" s="11">
        <f ca="1">IF(History!M$2="","",History!M27*$C$38)</f>
        <v>1816.75</v>
      </c>
      <c r="J38" s="11">
        <f ca="1">IF(History!N$2="","",History!N27*$C$38)</f>
        <v>1773.2</v>
      </c>
      <c r="K38" s="11">
        <f ca="1">IF(History!O$2="","",History!O27*$C$38)</f>
        <v>1771.25</v>
      </c>
      <c r="L38" s="11">
        <f ca="1">IF(History!P$2="","",History!P27*$C$38)</f>
        <v>1748.5</v>
      </c>
      <c r="M38" s="11">
        <f ca="1">IF(History!Q$2="","",History!Q27*$C$38)</f>
        <v>1766.7</v>
      </c>
      <c r="N38" s="11">
        <f ca="1">IF(History!R$2="","",History!R27*$C$38)</f>
        <v>1753.7</v>
      </c>
      <c r="O38" s="11">
        <f ca="1">IF(History!S$2="","",History!S27*$C$38)</f>
        <v>1773.2</v>
      </c>
      <c r="P38" s="11">
        <f ca="1">IF(History!T$2="","",History!T27*$C$38)</f>
        <v>1727.6999999999998</v>
      </c>
      <c r="Q38" s="11">
        <f ca="1">IF(History!U$2="","",History!U27*$C$38)</f>
        <v>1726.3999999999999</v>
      </c>
      <c r="R38" s="11">
        <f ca="1">IF(History!V$2="","",History!V27*$C$38)</f>
        <v>1722.5</v>
      </c>
      <c r="S38" s="11">
        <f ca="1">IF(History!W$2="","",History!W27*$C$38)</f>
        <v>1807.6499999999999</v>
      </c>
      <c r="T38" s="11">
        <f ca="1">IF(History!X$2="","",History!X27*$C$38)</f>
        <v>1816.75</v>
      </c>
      <c r="U38" s="11">
        <f ca="1">IF(History!Y$2="","",History!Y27*$C$38)</f>
        <v>1787.5</v>
      </c>
      <c r="V38" s="11">
        <f ca="1">IF(History!Z$2="","",History!Z27*$C$38)</f>
        <v>1775.1499999999999</v>
      </c>
      <c r="W38" s="11">
        <f ca="1">IF(History!AA$2="","",History!AA27*$C$38)</f>
        <v>1782.3000000000002</v>
      </c>
      <c r="X38" s="11">
        <f ca="1">IF(History!AB$2="","",History!AB27*$C$38)</f>
        <v>1844.05</v>
      </c>
      <c r="Y38" s="11">
        <f ca="1">IF(History!AC$2="","",History!AC27*$C$38)</f>
        <v>1899.95</v>
      </c>
      <c r="Z38" s="11">
        <f ca="1">IF(History!AD$2="","",History!AD27*$C$38)</f>
        <v>1890.1999999999998</v>
      </c>
      <c r="AA38" s="11">
        <f ca="1">IF(History!AE$2="","",History!AE27*$C$38)</f>
        <v>1860.3</v>
      </c>
      <c r="AB38" s="11">
        <f ca="1">IF(History!AF$2="","",History!AF27*$C$38)</f>
        <v>1839.5</v>
      </c>
      <c r="AC38" s="11">
        <f ca="1">IF(History!AG$2="","",History!AG27*$C$38)</f>
        <v>1916.85</v>
      </c>
      <c r="AD38" s="11">
        <f ca="1">IF(History!AH$2="","",History!AH27*$C$38)</f>
        <v>1963.65</v>
      </c>
      <c r="AE38" s="11">
        <f ca="1">IF(History!AI$2="","",History!AI27*$C$38)</f>
        <v>1927.25</v>
      </c>
      <c r="AF38" s="11">
        <f ca="1">IF(History!AJ$2="","",History!AJ27*$C$38)</f>
        <v>1904.5</v>
      </c>
      <c r="AG38" s="11">
        <f ca="1">IF(History!AK$2="","",History!AK27*$C$38)</f>
        <v>1899.95</v>
      </c>
      <c r="AH38" s="11">
        <f ca="1">IF(History!AL$2="","",History!AL27*$C$38)</f>
        <v>1853.8</v>
      </c>
      <c r="AI38" s="11">
        <f ca="1">IF(History!AM$2="","",History!AM27*$C$38)</f>
        <v>1846.65</v>
      </c>
      <c r="AJ38" s="11">
        <f ca="1">IF(History!AN$2="","",History!AN27*$C$38)</f>
        <v>1979.9</v>
      </c>
      <c r="AK38" s="11">
        <f ca="1">IF(History!AO$2="","",History!AO27*$C$38)</f>
        <v>1996.15</v>
      </c>
      <c r="AL38" s="11">
        <f ca="1">IF(History!AP$2="","",History!AP27*$C$38)</f>
        <v>1937</v>
      </c>
      <c r="AM38" s="11">
        <f ca="1">IF(History!AQ$2="","",History!AQ27*$C$38)</f>
        <v>2020.85</v>
      </c>
      <c r="AN38" s="11">
        <f ca="1">IF(History!AR$2="","",History!AR27*$C$38)</f>
        <v>2007.8500000000001</v>
      </c>
      <c r="AO38" s="11">
        <f ca="1">IF(History!AS$2="","",History!AS27*$C$38)</f>
        <v>1901.9</v>
      </c>
      <c r="AP38" s="11">
        <f ca="1">IF(History!AT$2="","",History!AT27*$C$38)</f>
        <v>1797.25</v>
      </c>
      <c r="AQ38" s="11">
        <f ca="1">IF(History!AU$2="","",History!AU27*$C$38)</f>
        <v>1822.6</v>
      </c>
      <c r="AR38" s="11">
        <f ca="1">IF(History!AV$2="","",History!AV27*$C$38)</f>
        <v>1918.8</v>
      </c>
      <c r="AS38" s="11">
        <f ca="1">IF(History!AW$2="","",History!AW27*$C$38)</f>
        <v>1940.25</v>
      </c>
      <c r="AT38" s="11">
        <f ca="1">IF(History!AX$2="","",History!AX27*$C$38)</f>
        <v>1992.25</v>
      </c>
      <c r="AU38" s="11">
        <f ca="1">IF(History!AY$2="","",History!AY27*$C$38)</f>
        <v>2070.9</v>
      </c>
      <c r="AV38" s="11">
        <f ca="1">IF(History!AZ$2="","",History!AZ27*$C$38)</f>
        <v>2090.3999999999996</v>
      </c>
      <c r="AW38" s="11">
        <f ca="1">IF(History!BA$2="","",History!BA27*$C$38)</f>
        <v>2122.8999999999996</v>
      </c>
      <c r="AX38" s="11">
        <f ca="1">IF(History!BB$2="","",History!BB27*$C$38)</f>
        <v>2146.3000000000002</v>
      </c>
      <c r="AY38" s="11">
        <f ca="1">IF(History!BC$2="","",History!BC27*$C$38)</f>
        <v>2113.15</v>
      </c>
      <c r="AZ38" s="11">
        <f ca="1">IF(History!BD$2="","",History!BD27*$C$38)</f>
        <v>2110.5499999999997</v>
      </c>
      <c r="BA38" s="11">
        <f ca="1">IF(History!BE$2="","",History!BE27*$C$38)</f>
        <v>2195.7000000000003</v>
      </c>
      <c r="BB38" s="11">
        <f ca="1">IF(History!BF$2="","",History!BF27*$C$38)</f>
        <v>2174.9</v>
      </c>
      <c r="BC38" s="11">
        <f ca="1">IF(History!BG$2="","",History!BG27*$C$38)</f>
        <v>2178.15</v>
      </c>
      <c r="BD38" s="11">
        <f ca="1">IF(History!BH$2="","",History!BH27*$C$38)</f>
        <v>2171</v>
      </c>
      <c r="BE38" s="11">
        <f ca="1">IF(History!BI$2="","",History!BI27*$C$38)</f>
        <v>2138.5</v>
      </c>
      <c r="BF38" s="11">
        <f ca="1">IF(History!BJ$2="","",History!BJ27*$C$38)</f>
        <v>2141.75</v>
      </c>
      <c r="BG38" s="11">
        <f ca="1">IF(History!BK$2="","",History!BK27*$C$38)</f>
        <v>2098.2000000000003</v>
      </c>
      <c r="BH38" s="11">
        <f ca="1">IF(History!BL$2="","",History!BL27*$C$38)</f>
        <v>2089.1</v>
      </c>
      <c r="BI38" s="11">
        <f ca="1">IF(History!BM$2="","",History!BM27*$C$38)</f>
        <v>2087.15</v>
      </c>
      <c r="BJ38" s="11">
        <f ca="1">IF(History!BN$2="","",History!BN27*$C$38)</f>
        <v>2074.8000000000002</v>
      </c>
      <c r="BK38" s="11">
        <f ca="1">IF(History!BO$2="","",History!BO27*$C$38)</f>
        <v>2054.65</v>
      </c>
      <c r="BL38" s="11">
        <f ca="1">IF(History!BP$2="","",History!BP27*$C$38)</f>
        <v>1999.4</v>
      </c>
      <c r="BM38" s="11">
        <f ca="1">IF(History!BQ$2="","",History!BQ27*$C$38)</f>
        <v>1974.05</v>
      </c>
      <c r="BN38" s="11">
        <f ca="1">IF(History!BR$2="","",History!BR27*$C$38)</f>
        <v>1966.9</v>
      </c>
      <c r="BO38" s="11">
        <f ca="1">IF(History!BS$2="","",History!BS27*$C$38)</f>
        <v>1964.3</v>
      </c>
      <c r="BP38" s="11">
        <f ca="1">IF(History!BT$2="","",History!BT27*$C$38)</f>
        <v>1955.85</v>
      </c>
      <c r="BQ38" s="11">
        <f ca="1">IF(History!BU$2="","",History!BU27*$C$38)</f>
        <v>2018.8999999999999</v>
      </c>
      <c r="BR38" s="11">
        <f ca="1">IF(History!BV$2="","",History!BV27*$C$38)</f>
        <v>2002</v>
      </c>
      <c r="BS38" s="11">
        <f ca="1">IF(History!BW$2="","",History!BW27*$C$38)</f>
        <v>1988.35</v>
      </c>
      <c r="BT38" s="11">
        <f ca="1">IF(History!BX$2="","",History!BX27*$C$38)</f>
        <v>2049.4500000000003</v>
      </c>
      <c r="BU38" s="11">
        <f ca="1">IF(History!BY$2="","",History!BY27*$C$38)</f>
        <v>2081.3000000000002</v>
      </c>
      <c r="BV38" s="11">
        <f ca="1">IF(History!BZ$2="","",History!BZ27*$C$38)</f>
        <v>2065.0500000000002</v>
      </c>
      <c r="BW38" s="11">
        <f ca="1">IF(History!CA$2="","",History!CA27*$C$38)</f>
        <v>1988.35</v>
      </c>
      <c r="BX38" s="11">
        <f ca="1">IF(History!CB$2="","",History!CB27*$C$38)</f>
        <v>1988.35</v>
      </c>
      <c r="BY38" s="11">
        <f ca="1">IF(History!CC$2="","",History!CC27*$C$38)</f>
        <v>1916.85</v>
      </c>
      <c r="BZ38" s="11">
        <f ca="1">IF(History!CD$2="","",History!CD27*$C$38)</f>
        <v>1932.45</v>
      </c>
      <c r="CA38" s="11">
        <f ca="1">IF(History!CE$2="","",History!CE27*$C$38)</f>
        <v>1933.1</v>
      </c>
      <c r="CB38" s="11">
        <f ca="1">IF(History!CF$2="","",History!CF27*$C$38)</f>
        <v>1892.8</v>
      </c>
      <c r="CC38" s="11">
        <f ca="1">IF(History!CG$2="","",History!CG27*$C$38)</f>
        <v>1911</v>
      </c>
      <c r="CD38" s="11">
        <f ca="1">IF(History!CH$2="","",History!CH27*$C$38)</f>
        <v>1973.3999999999999</v>
      </c>
      <c r="CE38" s="11">
        <f ca="1">IF(History!CI$2="","",History!CI27*$C$38)</f>
        <v>2010.45</v>
      </c>
      <c r="CF38" s="11" t="str">
        <f ca="1">IF(History!CJ$2="","",History!CJ27*$C$38)</f>
        <v/>
      </c>
      <c r="CG38" s="11" t="str">
        <f ca="1">IF(History!CK$2="","",History!CK27*$C$38)</f>
        <v/>
      </c>
      <c r="CH38" s="11" t="str">
        <f ca="1">IF(History!CL$2="","",History!CL27*$C$38)</f>
        <v/>
      </c>
      <c r="CI38" s="11" t="str">
        <f ca="1">IF(History!CM$2="","",History!CM27*$C$38)</f>
        <v/>
      </c>
      <c r="CJ38" s="11" t="str">
        <f ca="1">IF(History!CN$2="","",History!CN27*$C$38)</f>
        <v/>
      </c>
      <c r="CK38" s="11" t="str">
        <f ca="1">IF(History!CO$2="","",History!CO27*$C$38)</f>
        <v/>
      </c>
      <c r="CL38" s="11" t="str">
        <f ca="1">IF(History!CP$2="","",History!CP27*$C$38)</f>
        <v/>
      </c>
      <c r="CM38" s="11" t="str">
        <f ca="1">IF(History!CQ$2="","",History!CQ27*$C$38)</f>
        <v/>
      </c>
      <c r="CN38" s="11" t="str">
        <f ca="1">IF(History!CR$2="","",History!CR27*$C$38)</f>
        <v/>
      </c>
      <c r="CO38" s="11" t="str">
        <f ca="1">IF(History!CS$2="","",History!CS27*$C$38)</f>
        <v/>
      </c>
      <c r="CP38" s="11" t="str">
        <f ca="1">IF(History!CT$2="","",History!CT27*$C$38)</f>
        <v/>
      </c>
      <c r="CQ38" s="11" t="str">
        <f ca="1">IF(History!CU$2="","",History!CU27*$C$38)</f>
        <v/>
      </c>
      <c r="CR38" s="11" t="str">
        <f ca="1">IF(History!CV$2="","",History!CV27*$C$38)</f>
        <v/>
      </c>
      <c r="CS38" s="11" t="str">
        <f ca="1">IF(History!CW$2="","",History!CW27*$C$38)</f>
        <v/>
      </c>
      <c r="CT38" s="11" t="str">
        <f ca="1">IF(History!CX$2="","",History!CX27*$C$38)</f>
        <v/>
      </c>
      <c r="CU38" s="11" t="str">
        <f ca="1">IF(History!CY$2="","",History!CY27*$C$38)</f>
        <v/>
      </c>
      <c r="CV38" s="11" t="str">
        <f ca="1">IF(History!CZ$2="","",History!CZ27*$C$38)</f>
        <v/>
      </c>
      <c r="CW38" s="11" t="str">
        <f ca="1">IF(History!DA$2="","",History!DA27*$C$38)</f>
        <v/>
      </c>
      <c r="CX38" s="11" t="str">
        <f ca="1">IF(History!DB$2="","",History!DB27*$C$38)</f>
        <v/>
      </c>
      <c r="CY38" s="11" t="str">
        <f ca="1">IF(History!DC$2="","",History!DC27*$C$38)</f>
        <v/>
      </c>
      <c r="CZ38" s="11" t="str">
        <f ca="1">IF(History!DD$2="","",History!DD27*$C$38)</f>
        <v/>
      </c>
      <c r="DA38" s="11" t="str">
        <f ca="1">IF(History!DE$2="","",History!DE27*$C$38)</f>
        <v/>
      </c>
      <c r="DB38" s="11" t="str">
        <f ca="1">IF(History!DF$2="","",History!DF27*$C$38)</f>
        <v/>
      </c>
      <c r="DC38" s="11" t="str">
        <f ca="1">IF(History!DG$2="","",History!DG27*$C$38)</f>
        <v/>
      </c>
      <c r="DD38" s="11" t="str">
        <f ca="1">IF(History!DH$2="","",History!DH27*$C$38)</f>
        <v/>
      </c>
      <c r="DE38" s="11" t="str">
        <f ca="1">IF(History!DI$2="","",History!DI27*$C$38)</f>
        <v/>
      </c>
      <c r="DF38" s="11" t="str">
        <f ca="1">IF(History!DJ$2="","",History!DJ27*$C$38)</f>
        <v/>
      </c>
      <c r="DG38" s="11" t="str">
        <f ca="1">IF(History!DK$2="","",History!DK27*$C$38)</f>
        <v/>
      </c>
      <c r="DH38" s="11" t="str">
        <f ca="1">IF(History!DL$2="","",History!DL27*$C$38)</f>
        <v/>
      </c>
      <c r="DI38" s="11" t="str">
        <f ca="1">IF(History!DM$2="","",History!DM27*$C$38)</f>
        <v/>
      </c>
      <c r="DJ38" s="11" t="str">
        <f ca="1">IF(History!DN$2="","",History!DN27*$C$38)</f>
        <v/>
      </c>
      <c r="DK38" s="11" t="str">
        <f ca="1">IF(History!DO$2="","",History!DO27*$C$38)</f>
        <v/>
      </c>
      <c r="DL38" s="11" t="str">
        <f ca="1">IF(History!DP$2="","",History!DP27*$C$38)</f>
        <v/>
      </c>
      <c r="DM38" s="11" t="str">
        <f ca="1">IF(History!DQ$2="","",History!DQ27*$C$38)</f>
        <v/>
      </c>
      <c r="DN38" s="11" t="str">
        <f ca="1">IF(History!DR$2="","",History!DR27*$C$38)</f>
        <v/>
      </c>
      <c r="DO38" s="11" t="str">
        <f ca="1">IF(History!DS$2="","",History!DS27*$C$38)</f>
        <v/>
      </c>
      <c r="DP38" s="11" t="str">
        <f ca="1">IF(History!DT$2="","",History!DT27*$C$38)</f>
        <v/>
      </c>
      <c r="DQ38" s="11" t="str">
        <f ca="1">IF(History!DU$2="","",History!DU27*$C$38)</f>
        <v/>
      </c>
      <c r="DR38" s="11" t="str">
        <f ca="1">IF(History!DV$2="","",History!DV27*$C$38)</f>
        <v/>
      </c>
      <c r="DS38" s="11" t="str">
        <f ca="1">IF(History!DW$2="","",History!DW27*$C$38)</f>
        <v/>
      </c>
      <c r="DT38" s="11" t="str">
        <f ca="1">IF(History!DX$2="","",History!DX27*$C$38)</f>
        <v/>
      </c>
      <c r="DU38" s="11" t="str">
        <f ca="1">IF(History!DY$2="","",History!DY27*$C$38)</f>
        <v/>
      </c>
      <c r="DV38" s="11" t="str">
        <f ca="1">IF(History!DZ$2="","",History!DZ27*$C$38)</f>
        <v/>
      </c>
      <c r="DW38" s="11" t="str">
        <f ca="1">IF(History!EA$2="","",History!EA27*$C$38)</f>
        <v/>
      </c>
      <c r="DX38" s="11" t="str">
        <f ca="1">IF(History!EB$2="","",History!EB27*$C$38)</f>
        <v/>
      </c>
      <c r="DY38" s="11" t="str">
        <f ca="1">IF(History!EC$2="","",History!EC27*$C$38)</f>
        <v/>
      </c>
      <c r="DZ38" s="11" t="str">
        <f ca="1">IF(History!ED$2="","",History!ED27*$C$38)</f>
        <v/>
      </c>
      <c r="EA38" s="11" t="str">
        <f ca="1">IF(History!EE$2="","",History!EE27*$C$38)</f>
        <v/>
      </c>
      <c r="EB38" s="11" t="str">
        <f ca="1">IF(History!EF$2="","",History!EF27*$C$38)</f>
        <v/>
      </c>
      <c r="EC38" s="11" t="str">
        <f ca="1">IF(History!EG$2="","",History!EG27*$C$38)</f>
        <v/>
      </c>
      <c r="ED38" s="11" t="str">
        <f ca="1">IF(History!EH$2="","",History!EH27*$C$38)</f>
        <v/>
      </c>
      <c r="EE38" s="11" t="str">
        <f ca="1">IF(History!EI$2="","",History!EI27*$C$38)</f>
        <v/>
      </c>
      <c r="EF38" s="11" t="str">
        <f ca="1">IF(History!EJ$2="","",History!EJ27*$C$38)</f>
        <v/>
      </c>
      <c r="EG38" s="11" t="str">
        <f ca="1">IF(History!EK$2="","",History!EK27*$C$38)</f>
        <v/>
      </c>
      <c r="EH38" s="11" t="str">
        <f ca="1">IF(History!EL$2="","",History!EL27*$C$38)</f>
        <v/>
      </c>
      <c r="EI38" s="11" t="str">
        <f ca="1">IF(History!EM$2="","",History!EM27*$C$38)</f>
        <v/>
      </c>
      <c r="EJ38" s="11" t="str">
        <f ca="1">IF(History!EN$2="","",History!EN27*$C$38)</f>
        <v/>
      </c>
      <c r="EK38" s="11" t="str">
        <f ca="1">IF(History!EO$2="","",History!EO27*$C$38)</f>
        <v/>
      </c>
      <c r="EL38" s="11" t="str">
        <f ca="1">IF(History!EP$2="","",History!EP27*$C$38)</f>
        <v/>
      </c>
      <c r="EM38" s="11" t="str">
        <f ca="1">IF(History!EQ$2="","",History!EQ27*$C$38)</f>
        <v/>
      </c>
      <c r="EN38" s="11" t="str">
        <f ca="1">IF(History!ER$2="","",History!ER27*$C$38)</f>
        <v/>
      </c>
      <c r="EO38" s="11" t="str">
        <f ca="1">IF(History!ES$2="","",History!ES27*$C$38)</f>
        <v/>
      </c>
      <c r="EP38" s="11" t="str">
        <f ca="1">IF(History!ET$2="","",History!ET27*$C$38)</f>
        <v/>
      </c>
      <c r="EQ38" s="11" t="str">
        <f ca="1">IF(History!EU$2="","",History!EU27*$C$38)</f>
        <v/>
      </c>
      <c r="ER38" s="11" t="str">
        <f ca="1">IF(History!EV$2="","",History!EV27*$C$38)</f>
        <v/>
      </c>
      <c r="ES38" s="11" t="str">
        <f ca="1">IF(History!EW$2="","",History!EW27*$C$38)</f>
        <v/>
      </c>
      <c r="ET38" s="11" t="str">
        <f ca="1">IF(History!EX$2="","",History!EX27*$C$38)</f>
        <v/>
      </c>
      <c r="EU38" s="11" t="str">
        <f ca="1">IF(History!EY$2="","",History!EY27*$C$38)</f>
        <v/>
      </c>
      <c r="EV38" s="11" t="str">
        <f ca="1">IF(History!EZ$2="","",History!EZ27*$C$38)</f>
        <v/>
      </c>
      <c r="EW38" s="11" t="str">
        <f ca="1">IF(History!FA$2="","",History!FA27*$C$38)</f>
        <v/>
      </c>
      <c r="EX38" s="11" t="str">
        <f ca="1">IF(History!FB$2="","",History!FB27*$C$38)</f>
        <v/>
      </c>
      <c r="EY38" s="11" t="str">
        <f ca="1">IF(History!FC$2="","",History!FC27*$C$38)</f>
        <v/>
      </c>
      <c r="EZ38" s="11" t="str">
        <f ca="1">IF(History!FD$2="","",History!FD27*$C$38)</f>
        <v/>
      </c>
      <c r="FA38" s="11" t="str">
        <f ca="1">IF(History!FE$2="","",History!FE27*$C$38)</f>
        <v/>
      </c>
      <c r="FB38" s="11" t="str">
        <f ca="1">IF(History!FF$2="","",History!FF27*$C$38)</f>
        <v/>
      </c>
      <c r="FC38" s="11" t="str">
        <f ca="1">IF(History!FG$2="","",History!FG27*$C$38)</f>
        <v/>
      </c>
      <c r="FD38" s="11" t="str">
        <f ca="1">IF(History!FH$2="","",History!FH27*$C$38)</f>
        <v/>
      </c>
      <c r="FE38" s="11" t="str">
        <f ca="1">IF(History!FI$2="","",History!FI27*$C$38)</f>
        <v/>
      </c>
      <c r="FF38" s="11" t="str">
        <f ca="1">IF(History!FJ$2="","",History!FJ27*$C$38)</f>
        <v/>
      </c>
      <c r="FG38" s="11" t="str">
        <f ca="1">IF(History!FK$2="","",History!FK27*$C$38)</f>
        <v/>
      </c>
      <c r="FH38" s="11" t="str">
        <f ca="1">IF(History!FL$2="","",History!FL27*$C$38)</f>
        <v/>
      </c>
      <c r="FI38" s="11" t="str">
        <f ca="1">IF(History!FM$2="","",History!FM27*$C$38)</f>
        <v/>
      </c>
      <c r="FJ38" s="11" t="str">
        <f ca="1">IF(History!FN$2="","",History!FN27*$C$38)</f>
        <v/>
      </c>
      <c r="FK38" s="11" t="str">
        <f ca="1">IF(History!FO$2="","",History!FO27*$C$38)</f>
        <v/>
      </c>
      <c r="FL38" s="11" t="str">
        <f ca="1">IF(History!FP$2="","",History!FP27*$C$38)</f>
        <v/>
      </c>
      <c r="FM38" s="11" t="str">
        <f ca="1">IF(History!FQ$2="","",History!FQ27*$C$38)</f>
        <v/>
      </c>
      <c r="FN38" s="11" t="str">
        <f ca="1">IF(History!FR$2="","",History!FR27*$C$38)</f>
        <v/>
      </c>
      <c r="FO38" s="11" t="str">
        <f ca="1">IF(History!FS$2="","",History!FS27*$C$38)</f>
        <v/>
      </c>
      <c r="FP38" s="11" t="str">
        <f ca="1">IF(History!FT$2="","",History!FT27*$C$38)</f>
        <v/>
      </c>
      <c r="FQ38" s="11" t="str">
        <f ca="1">IF(History!FU$2="","",History!FU27*$C$38)</f>
        <v/>
      </c>
      <c r="FR38" s="11" t="str">
        <f ca="1">IF(History!FV$2="","",History!FV27*$C$38)</f>
        <v/>
      </c>
      <c r="FS38" s="11" t="str">
        <f ca="1">IF(History!FW$2="","",History!FW27*$C$38)</f>
        <v/>
      </c>
      <c r="FT38" s="11" t="str">
        <f ca="1">IF(History!FX$2="","",History!FX27*$C$38)</f>
        <v/>
      </c>
      <c r="FU38" s="11" t="str">
        <f ca="1">IF(History!FY$2="","",History!FY27*$C$38)</f>
        <v/>
      </c>
      <c r="FV38" s="11" t="str">
        <f ca="1">IF(History!FZ$2="","",History!FZ27*$C$38)</f>
        <v/>
      </c>
      <c r="FW38" s="11" t="str">
        <f ca="1">IF(History!GA$2="","",History!GA27*$C$38)</f>
        <v/>
      </c>
      <c r="FX38" s="11" t="str">
        <f ca="1">IF(History!GB$2="","",History!GB27*$C$38)</f>
        <v/>
      </c>
      <c r="FY38" s="11" t="str">
        <f ca="1">IF(History!GC$2="","",History!GC27*$C$38)</f>
        <v/>
      </c>
      <c r="FZ38" s="11" t="str">
        <f ca="1">IF(History!GD$2="","",History!GD27*$C$38)</f>
        <v/>
      </c>
      <c r="GA38" s="11" t="str">
        <f ca="1">IF(History!GE$2="","",History!GE27*$C$38)</f>
        <v/>
      </c>
      <c r="GB38" s="11" t="str">
        <f ca="1">IF(History!GF$2="","",History!GF27*$C$38)</f>
        <v/>
      </c>
      <c r="GC38" s="11" t="str">
        <f ca="1">IF(History!GG$2="","",History!GG27*$C$38)</f>
        <v/>
      </c>
      <c r="GD38" s="11" t="str">
        <f ca="1">IF(History!GH$2="","",History!GH27*$C$38)</f>
        <v/>
      </c>
      <c r="GE38" s="11" t="str">
        <f ca="1">IF(History!GI$2="","",History!GI27*$C$38)</f>
        <v/>
      </c>
      <c r="GF38" s="11" t="str">
        <f ca="1">IF(History!GJ$2="","",History!GJ27*$C$38)</f>
        <v/>
      </c>
      <c r="GG38" s="11" t="str">
        <f ca="1">IF(History!GK$2="","",History!GK27*$C$38)</f>
        <v/>
      </c>
      <c r="GH38" s="11" t="str">
        <f ca="1">IF(History!GL$2="","",History!GL27*$C$38)</f>
        <v/>
      </c>
      <c r="GI38" s="11" t="str">
        <f ca="1">IF(History!GM$2="","",History!GM27*$C$38)</f>
        <v/>
      </c>
      <c r="GJ38" s="11" t="str">
        <f ca="1">IF(History!GN$2="","",History!GN27*$C$38)</f>
        <v/>
      </c>
      <c r="GK38" s="11" t="str">
        <f ca="1">IF(History!GO$2="","",History!GO27*$C$38)</f>
        <v/>
      </c>
      <c r="GL38" s="11" t="str">
        <f ca="1">IF(History!GP$2="","",History!GP27*$C$38)</f>
        <v/>
      </c>
      <c r="GM38" s="11" t="str">
        <f ca="1">IF(History!GQ$2="","",History!GQ27*$C$38)</f>
        <v/>
      </c>
      <c r="GN38" s="11" t="str">
        <f ca="1">IF(History!GR$2="","",History!GR27*$C$38)</f>
        <v/>
      </c>
      <c r="GO38" s="11" t="str">
        <f ca="1">IF(History!GS$2="","",History!GS27*$C$38)</f>
        <v/>
      </c>
      <c r="GP38" s="11" t="str">
        <f ca="1">IF(History!GT$2="","",History!GT27*$C$38)</f>
        <v/>
      </c>
      <c r="GQ38" s="11" t="str">
        <f ca="1">IF(History!GU$2="","",History!GU27*$C$38)</f>
        <v/>
      </c>
      <c r="GR38" s="11" t="str">
        <f ca="1">IF(History!GV$2="","",History!GV27*$C$38)</f>
        <v/>
      </c>
      <c r="GS38" s="11" t="str">
        <f ca="1">IF(History!GW$2="","",History!GW27*$C$38)</f>
        <v/>
      </c>
      <c r="GT38" s="11" t="str">
        <f ca="1">IF(History!GX$2="","",History!GX27*$C$38)</f>
        <v/>
      </c>
      <c r="GU38" s="11" t="str">
        <f ca="1">IF(History!GY$2="","",History!GY27*$C$38)</f>
        <v/>
      </c>
      <c r="GV38" s="11" t="str">
        <f ca="1">IF(History!GZ$2="","",History!GZ27*$C$38)</f>
        <v/>
      </c>
      <c r="GW38" s="11" t="str">
        <f ca="1">IF(History!HA$2="","",History!HA27*$C$38)</f>
        <v/>
      </c>
      <c r="GX38" s="11" t="str">
        <f ca="1">IF(History!HB$2="","",History!HB27*$C$38)</f>
        <v/>
      </c>
      <c r="GY38" s="11" t="str">
        <f ca="1">IF(History!HC$2="","",History!HC27*$C$38)</f>
        <v/>
      </c>
      <c r="GZ38" s="11" t="str">
        <f ca="1">IF(History!HD$2="","",History!HD27*$C$38)</f>
        <v/>
      </c>
      <c r="HA38" s="11" t="str">
        <f ca="1">IF(History!HE$2="","",History!HE27*$C$38)</f>
        <v/>
      </c>
      <c r="HB38" s="11" t="str">
        <f ca="1">IF(History!HF$2="","",History!HF27*$C$38)</f>
        <v/>
      </c>
      <c r="HC38" s="11" t="str">
        <f ca="1">IF(History!HG$2="","",History!HG27*$C$38)</f>
        <v/>
      </c>
      <c r="HD38" s="11" t="str">
        <f ca="1">IF(History!HH$2="","",History!HH27*$C$38)</f>
        <v/>
      </c>
      <c r="HE38" s="11" t="str">
        <f ca="1">IF(History!HI$2="","",History!HI27*$C$38)</f>
        <v/>
      </c>
      <c r="HF38" s="11" t="str">
        <f ca="1">IF(History!HJ$2="","",History!HJ27*$C$38)</f>
        <v/>
      </c>
      <c r="HG38" s="11" t="str">
        <f ca="1">IF(History!HK$2="","",History!HK27*$C$38)</f>
        <v/>
      </c>
      <c r="HH38" s="11" t="str">
        <f ca="1">IF(History!HL$2="","",History!HL27*$C$38)</f>
        <v/>
      </c>
      <c r="HI38" s="11" t="str">
        <f ca="1">IF(History!HM$2="","",History!HM27*$C$38)</f>
        <v/>
      </c>
      <c r="HJ38" s="11" t="str">
        <f ca="1">IF(History!HN$2="","",History!HN27*$C$38)</f>
        <v/>
      </c>
      <c r="HK38" s="11" t="str">
        <f ca="1">IF(History!HO$2="","",History!HO27*$C$38)</f>
        <v/>
      </c>
      <c r="HL38" s="11" t="str">
        <f ca="1">IF(History!HP$2="","",History!HP27*$C$38)</f>
        <v/>
      </c>
      <c r="HM38" s="11" t="str">
        <f ca="1">IF(History!HQ$2="","",History!HQ27*$C$38)</f>
        <v/>
      </c>
      <c r="HN38" s="11" t="str">
        <f ca="1">IF(History!HR$2="","",History!HR27*$C$38)</f>
        <v/>
      </c>
      <c r="HO38" s="11" t="str">
        <f ca="1">IF(History!HS$2="","",History!HS27*$C$38)</f>
        <v/>
      </c>
      <c r="HP38" s="11" t="str">
        <f ca="1">IF(History!HT$2="","",History!HT27*$C$38)</f>
        <v/>
      </c>
      <c r="HQ38" s="11" t="str">
        <f ca="1">IF(History!HU$2="","",History!HU27*$C$38)</f>
        <v/>
      </c>
      <c r="HR38" s="11" t="str">
        <f ca="1">IF(History!HV$2="","",History!HV27*$C$38)</f>
        <v/>
      </c>
      <c r="HS38" s="11" t="str">
        <f ca="1">IF(History!HW$2="","",History!HW27*$C$38)</f>
        <v/>
      </c>
      <c r="HT38" s="11" t="str">
        <f ca="1">IF(History!HX$2="","",History!HX27*$C$38)</f>
        <v/>
      </c>
      <c r="HU38" s="11" t="str">
        <f ca="1">IF(History!HY$2="","",History!HY27*$C$38)</f>
        <v/>
      </c>
      <c r="HV38" s="11" t="str">
        <f ca="1">IF(History!HZ$2="","",History!HZ27*$C$38)</f>
        <v/>
      </c>
      <c r="HW38" s="11" t="str">
        <f ca="1">IF(History!IA$2="","",History!IA27*$C$38)</f>
        <v/>
      </c>
      <c r="HX38" s="11" t="str">
        <f ca="1">IF(History!IB$2="","",History!IB27*$C$38)</f>
        <v/>
      </c>
      <c r="HY38" s="11" t="str">
        <f ca="1">IF(History!IC$2="","",History!IC27*$C$38)</f>
        <v/>
      </c>
      <c r="HZ38" s="11" t="str">
        <f ca="1">IF(History!ID$2="","",History!ID27*$C$38)</f>
        <v/>
      </c>
      <c r="IA38" s="11" t="str">
        <f ca="1">IF(History!IE$2="","",History!IE27*$C$38)</f>
        <v/>
      </c>
      <c r="IB38" s="11" t="str">
        <f ca="1">IF(History!IF$2="","",History!IF27*$C$38)</f>
        <v/>
      </c>
      <c r="IC38" s="11" t="str">
        <f ca="1">IF(History!IG$2="","",History!IG27*$C$38)</f>
        <v/>
      </c>
      <c r="ID38" s="11" t="str">
        <f ca="1">IF(History!IH$2="","",History!IH27*$C$38)</f>
        <v/>
      </c>
      <c r="IE38" s="11" t="str">
        <f ca="1">IF(History!II$2="","",History!II27*$C$38)</f>
        <v/>
      </c>
      <c r="IF38" s="11" t="str">
        <f ca="1">IF(History!IJ$2="","",History!IJ27*$C$38)</f>
        <v/>
      </c>
      <c r="IG38" s="11" t="str">
        <f ca="1">IF(History!IK$2="","",History!IK27*$C$38)</f>
        <v/>
      </c>
      <c r="IH38" s="11" t="str">
        <f ca="1">IF(History!IL$2="","",History!IL27*$C$38)</f>
        <v/>
      </c>
      <c r="II38" s="11" t="str">
        <f ca="1">IF(History!IM$2="","",History!IM27*$C$38)</f>
        <v/>
      </c>
      <c r="IJ38" s="11" t="str">
        <f ca="1">IF(History!IN$2="","",History!IN27*$C$38)</f>
        <v/>
      </c>
      <c r="IK38" s="11" t="str">
        <f ca="1">IF(History!IO$2="","",History!IO27*$C$38)</f>
        <v/>
      </c>
      <c r="IL38" s="11" t="str">
        <f ca="1">IF(History!IP$2="","",History!IP27*$C$38)</f>
        <v/>
      </c>
      <c r="IM38" s="11" t="str">
        <f ca="1">IF(History!IQ$2="","",History!IQ27*$C$38)</f>
        <v/>
      </c>
      <c r="IN38" s="11" t="str">
        <f ca="1">IF(History!IR$2="","",History!IR27*$C$38)</f>
        <v/>
      </c>
      <c r="IO38" s="11" t="str">
        <f ca="1">IF(History!IS$2="","",History!IS27*$C$38)</f>
        <v/>
      </c>
      <c r="IP38" s="11" t="str">
        <f ca="1">IF(History!IT$2="","",History!IT27*$C$38)</f>
        <v/>
      </c>
      <c r="IQ38" s="11" t="str">
        <f ca="1">IF(History!IU$2="","",History!IU27*$C$38)</f>
        <v/>
      </c>
      <c r="IR38" s="11" t="str">
        <f ca="1">IF(History!IV$2="","",History!IV27*$C$38)</f>
        <v/>
      </c>
      <c r="IS38" s="11" t="str">
        <f ca="1">IF(History!IW$2="","",History!IW27*$C$38)</f>
        <v/>
      </c>
      <c r="IT38" s="11" t="str">
        <f ca="1">IF(History!IX$2="","",History!IX27*$C$38)</f>
        <v/>
      </c>
      <c r="IU38" s="11" t="str">
        <f ca="1">IF(History!IY$2="","",History!IY27*$C$38)</f>
        <v/>
      </c>
      <c r="IV38" s="11" t="str">
        <f ca="1">IF(History!IZ$2="","",History!IZ27*$C$38)</f>
        <v/>
      </c>
      <c r="IW38" s="11" t="str">
        <f ca="1">IF(History!JA$2="","",History!JA27*$C$38)</f>
        <v/>
      </c>
      <c r="IX38" s="11" t="str">
        <f ca="1">IF(History!JB$2="","",History!JB27*$C$38)</f>
        <v/>
      </c>
      <c r="IY38" s="11" t="str">
        <f ca="1">IF(History!JC$2="","",History!JC27*$C$38)</f>
        <v/>
      </c>
      <c r="IZ38" s="11" t="str">
        <f ca="1">IF(History!JD$2="","",History!JD27*$C$38)</f>
        <v/>
      </c>
      <c r="JA38" s="11" t="str">
        <f ca="1">IF(History!JE$2="","",History!JE27*$C$38)</f>
        <v/>
      </c>
      <c r="JB38" s="11" t="str">
        <f ca="1">IF(History!JF$2="","",History!JF27*$C$38)</f>
        <v/>
      </c>
      <c r="JC38" s="11" t="str">
        <f ca="1">IF(History!JG$2="","",History!JG27*$C$38)</f>
        <v/>
      </c>
      <c r="JD38" s="11" t="str">
        <f ca="1">IF(History!JH$2="","",History!JH27*$C$38)</f>
        <v/>
      </c>
      <c r="JE38" s="11" t="str">
        <f ca="1">IF(History!JI$2="","",History!JI27*$C$38)</f>
        <v/>
      </c>
      <c r="JF38" s="11" t="str">
        <f ca="1">IF(History!JJ$2="","",History!JJ27*$C$38)</f>
        <v/>
      </c>
      <c r="JG38" s="11" t="str">
        <f ca="1">IF(History!JK$2="","",History!JK27*$C$38)</f>
        <v/>
      </c>
      <c r="JH38" s="11" t="str">
        <f ca="1">IF(History!JL$2="","",History!JL27*$C$38)</f>
        <v/>
      </c>
      <c r="JI38" s="11" t="str">
        <f ca="1">IF(History!JM$2="","",History!JM27*$C$38)</f>
        <v/>
      </c>
      <c r="JJ38" s="11" t="str">
        <f ca="1">IF(History!JN$2="","",History!JN27*$C$38)</f>
        <v/>
      </c>
      <c r="JK38" s="11" t="str">
        <f ca="1">IF(History!JO$2="","",History!JO27*$C$38)</f>
        <v/>
      </c>
      <c r="JL38" s="11" t="str">
        <f ca="1">IF(History!JP$2="","",History!JP27*$C$38)</f>
        <v/>
      </c>
      <c r="JM38" s="11" t="str">
        <f ca="1">IF(History!JQ$2="","",History!JQ27*$C$38)</f>
        <v/>
      </c>
      <c r="JN38" s="11" t="str">
        <f ca="1">IF(History!JR$2="","",History!JR27*$C$38)</f>
        <v/>
      </c>
      <c r="JO38" s="11" t="str">
        <f ca="1">IF(History!JS$2="","",History!JS27*$C$38)</f>
        <v/>
      </c>
      <c r="JP38" s="11" t="str">
        <f ca="1">IF(History!JT$2="","",History!JT27*$C$38)</f>
        <v/>
      </c>
      <c r="JQ38" s="11" t="str">
        <f ca="1">IF(History!JU$2="","",History!JU27*$C$38)</f>
        <v/>
      </c>
      <c r="JR38" s="11" t="str">
        <f ca="1">IF(History!JV$2="","",History!JV27*$C$38)</f>
        <v/>
      </c>
      <c r="JS38" s="11" t="str">
        <f ca="1">IF(History!JW$2="","",History!JW27*$C$38)</f>
        <v/>
      </c>
      <c r="JT38" s="11" t="str">
        <f ca="1">IF(History!JX$2="","",History!JX27*$C$38)</f>
        <v/>
      </c>
      <c r="JU38" s="11" t="str">
        <f ca="1">IF(History!JY$2="","",History!JY27*$C$38)</f>
        <v/>
      </c>
      <c r="JV38" s="11" t="str">
        <f ca="1">IF(History!JZ$2="","",History!JZ27*$C$38)</f>
        <v/>
      </c>
      <c r="JW38" s="11" t="str">
        <f ca="1">IF(History!KA$2="","",History!KA27*$C$38)</f>
        <v/>
      </c>
      <c r="JX38" s="11" t="str">
        <f ca="1">IF(History!KB$2="","",History!KB27*$C$38)</f>
        <v/>
      </c>
      <c r="JY38" s="11" t="str">
        <f ca="1">IF(History!KC$2="","",History!KC27*$C$38)</f>
        <v/>
      </c>
      <c r="JZ38" s="11" t="str">
        <f ca="1">IF(History!KD$2="","",History!KD27*$C$38)</f>
        <v/>
      </c>
      <c r="KA38" s="11" t="str">
        <f ca="1">IF(History!KE$2="","",History!KE27*$C$38)</f>
        <v/>
      </c>
      <c r="KB38" s="11" t="str">
        <f ca="1">IF(History!KF$2="","",History!KF27*$C$38)</f>
        <v/>
      </c>
    </row>
    <row r="39" spans="1:288" ht="15.75" customHeight="1">
      <c r="A39" s="22" t="s">
        <v>30</v>
      </c>
      <c r="B39" s="6" t="s">
        <v>71</v>
      </c>
      <c r="C39" s="26">
        <v>129</v>
      </c>
      <c r="D39" s="11">
        <f ca="1">IF(History!H$2="","",History!H28*$C$39)</f>
        <v>1617.6599999999999</v>
      </c>
      <c r="E39" s="11">
        <f ca="1">IF(History!I$2="","",History!I28*$C$39)</f>
        <v>1595.7299999999998</v>
      </c>
      <c r="F39" s="11">
        <f ca="1">IF(History!J$2="","",History!J28*$C$39)</f>
        <v>1584.12</v>
      </c>
      <c r="G39" s="11">
        <f ca="1">IF(History!K$2="","",History!K28*$C$39)</f>
        <v>1548</v>
      </c>
      <c r="H39" s="11">
        <f ca="1">IF(History!L$2="","",History!L28*$C$39)</f>
        <v>1560.8999999999999</v>
      </c>
      <c r="I39" s="11">
        <f ca="1">IF(History!M$2="","",History!M28*$C$39)</f>
        <v>1511.88</v>
      </c>
      <c r="J39" s="11">
        <f ca="1">IF(History!N$2="","",History!N28*$C$39)</f>
        <v>1566.0600000000002</v>
      </c>
      <c r="K39" s="11">
        <f ca="1">IF(History!O$2="","",History!O28*$C$39)</f>
        <v>1519.62</v>
      </c>
      <c r="L39" s="11">
        <f ca="1">IF(History!P$2="","",History!P28*$C$39)</f>
        <v>1412.55</v>
      </c>
      <c r="M39" s="11">
        <f ca="1">IF(History!Q$2="","",History!Q28*$C$39)</f>
        <v>1442.22</v>
      </c>
      <c r="N39" s="11">
        <f ca="1">IF(History!R$2="","",History!R28*$C$39)</f>
        <v>1406.1000000000001</v>
      </c>
      <c r="O39" s="11">
        <f ca="1">IF(History!S$2="","",History!S28*$C$39)</f>
        <v>1373.8500000000001</v>
      </c>
      <c r="P39" s="11">
        <f ca="1">IF(History!T$2="","",History!T28*$C$39)</f>
        <v>1336.4399999999998</v>
      </c>
      <c r="Q39" s="11">
        <f ca="1">IF(History!U$2="","",History!U28*$C$39)</f>
        <v>1373.8500000000001</v>
      </c>
      <c r="R39" s="11">
        <f ca="1">IF(History!V$2="","",History!V28*$C$39)</f>
        <v>1434.4799999999998</v>
      </c>
      <c r="S39" s="11">
        <f ca="1">IF(History!W$2="","",History!W28*$C$39)</f>
        <v>1426.74</v>
      </c>
      <c r="T39" s="11">
        <f ca="1">IF(History!X$2="","",History!X28*$C$39)</f>
        <v>1355.79</v>
      </c>
      <c r="U39" s="11">
        <f ca="1">IF(History!Y$2="","",History!Y28*$C$39)</f>
        <v>1280.97</v>
      </c>
      <c r="V39" s="11">
        <f ca="1">IF(History!Z$2="","",History!Z28*$C$39)</f>
        <v>1349.3400000000001</v>
      </c>
      <c r="W39" s="11">
        <f ca="1">IF(History!AA$2="","",History!AA28*$C$39)</f>
        <v>1364.82</v>
      </c>
      <c r="X39" s="11">
        <f ca="1">IF(History!AB$2="","",History!AB28*$C$39)</f>
        <v>1376.43</v>
      </c>
      <c r="Y39" s="11">
        <f ca="1">IF(History!AC$2="","",History!AC28*$C$39)</f>
        <v>1455.12</v>
      </c>
      <c r="Z39" s="11">
        <f ca="1">IF(History!AD$2="","",History!AD28*$C$39)</f>
        <v>1425.45</v>
      </c>
      <c r="AA39" s="11">
        <f ca="1">IF(History!AE$2="","",History!AE28*$C$39)</f>
        <v>1407.39</v>
      </c>
      <c r="AB39" s="11">
        <f ca="1">IF(History!AF$2="","",History!AF28*$C$39)</f>
        <v>1400.9399999999998</v>
      </c>
      <c r="AC39" s="11">
        <f ca="1">IF(History!AG$2="","",History!AG28*$C$39)</f>
        <v>1442.22</v>
      </c>
      <c r="AD39" s="11">
        <f ca="1">IF(History!AH$2="","",History!AH28*$C$39)</f>
        <v>1443.51</v>
      </c>
      <c r="AE39" s="11">
        <f ca="1">IF(History!AI$2="","",History!AI28*$C$39)</f>
        <v>1379.01</v>
      </c>
      <c r="AF39" s="11">
        <f ca="1">IF(History!AJ$2="","",History!AJ28*$C$39)</f>
        <v>1360.95</v>
      </c>
      <c r="AG39" s="11">
        <f ca="1">IF(History!AK$2="","",History!AK28*$C$39)</f>
        <v>1332.57</v>
      </c>
      <c r="AH39" s="11">
        <f ca="1">IF(History!AL$2="","",History!AL28*$C$39)</f>
        <v>1261.6199999999999</v>
      </c>
      <c r="AI39" s="11">
        <f ca="1">IF(History!AM$2="","",History!AM28*$C$39)</f>
        <v>1315.8</v>
      </c>
      <c r="AJ39" s="11">
        <f ca="1">IF(History!AN$2="","",History!AN28*$C$39)</f>
        <v>1287.42</v>
      </c>
      <c r="AK39" s="11">
        <f ca="1">IF(History!AO$2="","",History!AO28*$C$39)</f>
        <v>1320.96</v>
      </c>
      <c r="AL39" s="11">
        <f ca="1">IF(History!AP$2="","",History!AP28*$C$39)</f>
        <v>1416.42</v>
      </c>
      <c r="AM39" s="11">
        <f ca="1">IF(History!AQ$2="","",History!AQ28*$C$39)</f>
        <v>1386.75</v>
      </c>
      <c r="AN39" s="11">
        <f ca="1">IF(History!AR$2="","",History!AR28*$C$39)</f>
        <v>1367.3999999999999</v>
      </c>
      <c r="AO39" s="11">
        <f ca="1">IF(History!AS$2="","",History!AS28*$C$39)</f>
        <v>1354.5</v>
      </c>
      <c r="AP39" s="11">
        <f ca="1">IF(History!AT$2="","",History!AT28*$C$39)</f>
        <v>1305.4799999999998</v>
      </c>
      <c r="AQ39" s="11">
        <f ca="1">IF(History!AU$2="","",History!AU28*$C$39)</f>
        <v>1333.86</v>
      </c>
      <c r="AR39" s="11">
        <f ca="1">IF(History!AV$2="","",History!AV28*$C$39)</f>
        <v>1425.45</v>
      </c>
      <c r="AS39" s="11">
        <f ca="1">IF(History!AW$2="","",History!AW28*$C$39)</f>
        <v>1409.97</v>
      </c>
      <c r="AT39" s="11">
        <f ca="1">IF(History!AX$2="","",History!AX28*$C$39)</f>
        <v>1371.2700000000002</v>
      </c>
      <c r="AU39" s="11">
        <f ca="1">IF(History!AY$2="","",History!AY28*$C$39)</f>
        <v>536.64</v>
      </c>
      <c r="AV39" s="11">
        <f ca="1">IF(History!AZ$2="","",History!AZ28*$C$39)</f>
        <v>577.92000000000007</v>
      </c>
      <c r="AW39" s="11">
        <f ca="1">IF(History!BA$2="","",History!BA28*$C$39)</f>
        <v>597.27</v>
      </c>
      <c r="AX39" s="11">
        <f ca="1">IF(History!BB$2="","",History!BB28*$C$39)</f>
        <v>714.66</v>
      </c>
      <c r="AY39" s="11">
        <f ca="1">IF(History!BC$2="","",History!BC28*$C$39)</f>
        <v>722.4</v>
      </c>
      <c r="AZ39" s="11">
        <f ca="1">IF(History!BD$2="","",History!BD28*$C$39)</f>
        <v>734.0100000000001</v>
      </c>
      <c r="BA39" s="11">
        <f ca="1">IF(History!BE$2="","",History!BE28*$C$39)</f>
        <v>784.32</v>
      </c>
      <c r="BB39" s="11">
        <f ca="1">IF(History!BF$2="","",History!BF28*$C$39)</f>
        <v>795.93</v>
      </c>
      <c r="BC39" s="11">
        <f ca="1">IF(History!BG$2="","",History!BG28*$C$39)</f>
        <v>757.23</v>
      </c>
      <c r="BD39" s="11">
        <f ca="1">IF(History!BH$2="","",History!BH28*$C$39)</f>
        <v>724.98</v>
      </c>
      <c r="BE39" s="11">
        <f ca="1">IF(History!BI$2="","",History!BI28*$C$39)</f>
        <v>715.94999999999993</v>
      </c>
      <c r="BF39" s="11">
        <f ca="1">IF(History!BJ$2="","",History!BJ28*$C$39)</f>
        <v>741.75</v>
      </c>
      <c r="BG39" s="11">
        <f ca="1">IF(History!BK$2="","",History!BK28*$C$39)</f>
        <v>718.53000000000009</v>
      </c>
      <c r="BH39" s="11">
        <f ca="1">IF(History!BL$2="","",History!BL28*$C$39)</f>
        <v>695.31</v>
      </c>
      <c r="BI39" s="11">
        <f ca="1">IF(History!BM$2="","",History!BM28*$C$39)</f>
        <v>721.11</v>
      </c>
      <c r="BJ39" s="11">
        <f ca="1">IF(History!BN$2="","",History!BN28*$C$39)</f>
        <v>739.17000000000007</v>
      </c>
      <c r="BK39" s="11">
        <f ca="1">IF(History!BO$2="","",History!BO28*$C$39)</f>
        <v>727.56</v>
      </c>
      <c r="BL39" s="11">
        <f ca="1">IF(History!BP$2="","",History!BP28*$C$39)</f>
        <v>740.46</v>
      </c>
      <c r="BM39" s="11">
        <f ca="1">IF(History!BQ$2="","",History!BQ28*$C$39)</f>
        <v>744.32999999999993</v>
      </c>
      <c r="BN39" s="11">
        <f ca="1">IF(History!BR$2="","",History!BR28*$C$39)</f>
        <v>710.79</v>
      </c>
      <c r="BO39" s="11">
        <f ca="1">IF(History!BS$2="","",History!BS28*$C$39)</f>
        <v>722.4</v>
      </c>
      <c r="BP39" s="11">
        <f ca="1">IF(History!BT$2="","",History!BT28*$C$39)</f>
        <v>736.59</v>
      </c>
      <c r="BQ39" s="11">
        <f ca="1">IF(History!BU$2="","",History!BU28*$C$39)</f>
        <v>795.93</v>
      </c>
      <c r="BR39" s="11">
        <f ca="1">IF(History!BV$2="","",History!BV28*$C$39)</f>
        <v>794.64</v>
      </c>
      <c r="BS39" s="11">
        <f ca="1">IF(History!BW$2="","",History!BW28*$C$39)</f>
        <v>611.46</v>
      </c>
      <c r="BT39" s="11">
        <f ca="1">IF(History!BX$2="","",History!BX28*$C$39)</f>
        <v>597.27</v>
      </c>
      <c r="BU39" s="11">
        <f ca="1">IF(History!BY$2="","",History!BY28*$C$39)</f>
        <v>601.14</v>
      </c>
      <c r="BV39" s="11">
        <f ca="1">IF(History!BZ$2="","",History!BZ28*$C$39)</f>
        <v>580.5</v>
      </c>
      <c r="BW39" s="11">
        <f ca="1">IF(History!CA$2="","",History!CA28*$C$39)</f>
        <v>588.2399999999999</v>
      </c>
      <c r="BX39" s="11">
        <f ca="1">IF(History!CB$2="","",History!CB28*$C$39)</f>
        <v>608.88</v>
      </c>
      <c r="BY39" s="11">
        <f ca="1">IF(History!CC$2="","",History!CC28*$C$39)</f>
        <v>558.57000000000005</v>
      </c>
      <c r="BZ39" s="11">
        <f ca="1">IF(History!CD$2="","",History!CD28*$C$39)</f>
        <v>549.54</v>
      </c>
      <c r="CA39" s="11">
        <f ca="1">IF(History!CE$2="","",History!CE28*$C$39)</f>
        <v>543.09</v>
      </c>
      <c r="CB39" s="11">
        <f ca="1">IF(History!CF$2="","",History!CF28*$C$39)</f>
        <v>532.77</v>
      </c>
      <c r="CC39" s="11">
        <f ca="1">IF(History!CG$2="","",History!CG28*$C$39)</f>
        <v>580.5</v>
      </c>
      <c r="CD39" s="11">
        <f ca="1">IF(History!CH$2="","",History!CH28*$C$39)</f>
        <v>581.79</v>
      </c>
      <c r="CE39" s="11">
        <f ca="1">IF(History!CI$2="","",History!CI28*$C$39)</f>
        <v>601.14</v>
      </c>
      <c r="CF39" s="11" t="str">
        <f ca="1">IF(History!CJ$2="","",History!CJ28*$C$39)</f>
        <v/>
      </c>
      <c r="CG39" s="11" t="str">
        <f ca="1">IF(History!CK$2="","",History!CK28*$C$39)</f>
        <v/>
      </c>
      <c r="CH39" s="11" t="str">
        <f ca="1">IF(History!CL$2="","",History!CL28*$C$39)</f>
        <v/>
      </c>
      <c r="CI39" s="11" t="str">
        <f ca="1">IF(History!CM$2="","",History!CM28*$C$39)</f>
        <v/>
      </c>
      <c r="CJ39" s="11" t="str">
        <f ca="1">IF(History!CN$2="","",History!CN28*$C$39)</f>
        <v/>
      </c>
      <c r="CK39" s="11" t="str">
        <f ca="1">IF(History!CO$2="","",History!CO28*$C$39)</f>
        <v/>
      </c>
      <c r="CL39" s="11" t="str">
        <f ca="1">IF(History!CP$2="","",History!CP28*$C$39)</f>
        <v/>
      </c>
      <c r="CM39" s="11" t="str">
        <f ca="1">IF(History!CQ$2="","",History!CQ28*$C$39)</f>
        <v/>
      </c>
      <c r="CN39" s="11" t="str">
        <f ca="1">IF(History!CR$2="","",History!CR28*$C$39)</f>
        <v/>
      </c>
      <c r="CO39" s="11" t="str">
        <f ca="1">IF(History!CS$2="","",History!CS28*$C$39)</f>
        <v/>
      </c>
      <c r="CP39" s="11" t="str">
        <f ca="1">IF(History!CT$2="","",History!CT28*$C$39)</f>
        <v/>
      </c>
      <c r="CQ39" s="11" t="str">
        <f ca="1">IF(History!CU$2="","",History!CU28*$C$39)</f>
        <v/>
      </c>
      <c r="CR39" s="11" t="str">
        <f ca="1">IF(History!CV$2="","",History!CV28*$C$39)</f>
        <v/>
      </c>
      <c r="CS39" s="11" t="str">
        <f ca="1">IF(History!CW$2="","",History!CW28*$C$39)</f>
        <v/>
      </c>
      <c r="CT39" s="11" t="str">
        <f ca="1">IF(History!CX$2="","",History!CX28*$C$39)</f>
        <v/>
      </c>
      <c r="CU39" s="11" t="str">
        <f ca="1">IF(History!CY$2="","",History!CY28*$C$39)</f>
        <v/>
      </c>
      <c r="CV39" s="11" t="str">
        <f ca="1">IF(History!CZ$2="","",History!CZ28*$C$39)</f>
        <v/>
      </c>
      <c r="CW39" s="11" t="str">
        <f ca="1">IF(History!DA$2="","",History!DA28*$C$39)</f>
        <v/>
      </c>
      <c r="CX39" s="11" t="str">
        <f ca="1">IF(History!DB$2="","",History!DB28*$C$39)</f>
        <v/>
      </c>
      <c r="CY39" s="11" t="str">
        <f ca="1">IF(History!DC$2="","",History!DC28*$C$39)</f>
        <v/>
      </c>
      <c r="CZ39" s="11" t="str">
        <f ca="1">IF(History!DD$2="","",History!DD28*$C$39)</f>
        <v/>
      </c>
      <c r="DA39" s="11" t="str">
        <f ca="1">IF(History!DE$2="","",History!DE28*$C$39)</f>
        <v/>
      </c>
      <c r="DB39" s="11" t="str">
        <f ca="1">IF(History!DF$2="","",History!DF28*$C$39)</f>
        <v/>
      </c>
      <c r="DC39" s="11" t="str">
        <f ca="1">IF(History!DG$2="","",History!DG28*$C$39)</f>
        <v/>
      </c>
      <c r="DD39" s="11" t="str">
        <f ca="1">IF(History!DH$2="","",History!DH28*$C$39)</f>
        <v/>
      </c>
      <c r="DE39" s="11" t="str">
        <f ca="1">IF(History!DI$2="","",History!DI28*$C$39)</f>
        <v/>
      </c>
      <c r="DF39" s="11" t="str">
        <f ca="1">IF(History!DJ$2="","",History!DJ28*$C$39)</f>
        <v/>
      </c>
      <c r="DG39" s="11" t="str">
        <f ca="1">IF(History!DK$2="","",History!DK28*$C$39)</f>
        <v/>
      </c>
      <c r="DH39" s="11" t="str">
        <f ca="1">IF(History!DL$2="","",History!DL28*$C$39)</f>
        <v/>
      </c>
      <c r="DI39" s="11" t="str">
        <f ca="1">IF(History!DM$2="","",History!DM28*$C$39)</f>
        <v/>
      </c>
      <c r="DJ39" s="11" t="str">
        <f ca="1">IF(History!DN$2="","",History!DN28*$C$39)</f>
        <v/>
      </c>
      <c r="DK39" s="11" t="str">
        <f ca="1">IF(History!DO$2="","",History!DO28*$C$39)</f>
        <v/>
      </c>
      <c r="DL39" s="11" t="str">
        <f ca="1">IF(History!DP$2="","",History!DP28*$C$39)</f>
        <v/>
      </c>
      <c r="DM39" s="11" t="str">
        <f ca="1">IF(History!DQ$2="","",History!DQ28*$C$39)</f>
        <v/>
      </c>
      <c r="DN39" s="11" t="str">
        <f ca="1">IF(History!DR$2="","",History!DR28*$C$39)</f>
        <v/>
      </c>
      <c r="DO39" s="11" t="str">
        <f ca="1">IF(History!DS$2="","",History!DS28*$C$39)</f>
        <v/>
      </c>
      <c r="DP39" s="11" t="str">
        <f ca="1">IF(History!DT$2="","",History!DT28*$C$39)</f>
        <v/>
      </c>
      <c r="DQ39" s="11" t="str">
        <f ca="1">IF(History!DU$2="","",History!DU28*$C$39)</f>
        <v/>
      </c>
      <c r="DR39" s="11" t="str">
        <f ca="1">IF(History!DV$2="","",History!DV28*$C$39)</f>
        <v/>
      </c>
      <c r="DS39" s="11" t="str">
        <f ca="1">IF(History!DW$2="","",History!DW28*$C$39)</f>
        <v/>
      </c>
      <c r="DT39" s="11" t="str">
        <f ca="1">IF(History!DX$2="","",History!DX28*$C$39)</f>
        <v/>
      </c>
      <c r="DU39" s="11" t="str">
        <f ca="1">IF(History!DY$2="","",History!DY28*$C$39)</f>
        <v/>
      </c>
      <c r="DV39" s="11" t="str">
        <f ca="1">IF(History!DZ$2="","",History!DZ28*$C$39)</f>
        <v/>
      </c>
      <c r="DW39" s="11" t="str">
        <f ca="1">IF(History!EA$2="","",History!EA28*$C$39)</f>
        <v/>
      </c>
      <c r="DX39" s="11" t="str">
        <f ca="1">IF(History!EB$2="","",History!EB28*$C$39)</f>
        <v/>
      </c>
      <c r="DY39" s="11" t="str">
        <f ca="1">IF(History!EC$2="","",History!EC28*$C$39)</f>
        <v/>
      </c>
      <c r="DZ39" s="11" t="str">
        <f ca="1">IF(History!ED$2="","",History!ED28*$C$39)</f>
        <v/>
      </c>
      <c r="EA39" s="11" t="str">
        <f ca="1">IF(History!EE$2="","",History!EE28*$C$39)</f>
        <v/>
      </c>
      <c r="EB39" s="11" t="str">
        <f ca="1">IF(History!EF$2="","",History!EF28*$C$39)</f>
        <v/>
      </c>
      <c r="EC39" s="11" t="str">
        <f ca="1">IF(History!EG$2="","",History!EG28*$C$39)</f>
        <v/>
      </c>
      <c r="ED39" s="11" t="str">
        <f ca="1">IF(History!EH$2="","",History!EH28*$C$39)</f>
        <v/>
      </c>
      <c r="EE39" s="11" t="str">
        <f ca="1">IF(History!EI$2="","",History!EI28*$C$39)</f>
        <v/>
      </c>
      <c r="EF39" s="11" t="str">
        <f ca="1">IF(History!EJ$2="","",History!EJ28*$C$39)</f>
        <v/>
      </c>
      <c r="EG39" s="11" t="str">
        <f ca="1">IF(History!EK$2="","",History!EK28*$C$39)</f>
        <v/>
      </c>
      <c r="EH39" s="11" t="str">
        <f ca="1">IF(History!EL$2="","",History!EL28*$C$39)</f>
        <v/>
      </c>
      <c r="EI39" s="11" t="str">
        <f ca="1">IF(History!EM$2="","",History!EM28*$C$39)</f>
        <v/>
      </c>
      <c r="EJ39" s="11" t="str">
        <f ca="1">IF(History!EN$2="","",History!EN28*$C$39)</f>
        <v/>
      </c>
      <c r="EK39" s="11" t="str">
        <f ca="1">IF(History!EO$2="","",History!EO28*$C$39)</f>
        <v/>
      </c>
      <c r="EL39" s="11" t="str">
        <f ca="1">IF(History!EP$2="","",History!EP28*$C$39)</f>
        <v/>
      </c>
      <c r="EM39" s="11" t="str">
        <f ca="1">IF(History!EQ$2="","",History!EQ28*$C$39)</f>
        <v/>
      </c>
      <c r="EN39" s="11" t="str">
        <f ca="1">IF(History!ER$2="","",History!ER28*$C$39)</f>
        <v/>
      </c>
      <c r="EO39" s="11" t="str">
        <f ca="1">IF(History!ES$2="","",History!ES28*$C$39)</f>
        <v/>
      </c>
      <c r="EP39" s="11" t="str">
        <f ca="1">IF(History!ET$2="","",History!ET28*$C$39)</f>
        <v/>
      </c>
      <c r="EQ39" s="11" t="str">
        <f ca="1">IF(History!EU$2="","",History!EU28*$C$39)</f>
        <v/>
      </c>
      <c r="ER39" s="11" t="str">
        <f ca="1">IF(History!EV$2="","",History!EV28*$C$39)</f>
        <v/>
      </c>
      <c r="ES39" s="11" t="str">
        <f ca="1">IF(History!EW$2="","",History!EW28*$C$39)</f>
        <v/>
      </c>
      <c r="ET39" s="11" t="str">
        <f ca="1">IF(History!EX$2="","",History!EX28*$C$39)</f>
        <v/>
      </c>
      <c r="EU39" s="11" t="str">
        <f ca="1">IF(History!EY$2="","",History!EY28*$C$39)</f>
        <v/>
      </c>
      <c r="EV39" s="11" t="str">
        <f ca="1">IF(History!EZ$2="","",History!EZ28*$C$39)</f>
        <v/>
      </c>
      <c r="EW39" s="11" t="str">
        <f ca="1">IF(History!FA$2="","",History!FA28*$C$39)</f>
        <v/>
      </c>
      <c r="EX39" s="11" t="str">
        <f ca="1">IF(History!FB$2="","",History!FB28*$C$39)</f>
        <v/>
      </c>
      <c r="EY39" s="11" t="str">
        <f ca="1">IF(History!FC$2="","",History!FC28*$C$39)</f>
        <v/>
      </c>
      <c r="EZ39" s="11" t="str">
        <f ca="1">IF(History!FD$2="","",History!FD28*$C$39)</f>
        <v/>
      </c>
      <c r="FA39" s="11" t="str">
        <f ca="1">IF(History!FE$2="","",History!FE28*$C$39)</f>
        <v/>
      </c>
      <c r="FB39" s="11" t="str">
        <f ca="1">IF(History!FF$2="","",History!FF28*$C$39)</f>
        <v/>
      </c>
      <c r="FC39" s="11" t="str">
        <f ca="1">IF(History!FG$2="","",History!FG28*$C$39)</f>
        <v/>
      </c>
      <c r="FD39" s="11" t="str">
        <f ca="1">IF(History!FH$2="","",History!FH28*$C$39)</f>
        <v/>
      </c>
      <c r="FE39" s="11" t="str">
        <f ca="1">IF(History!FI$2="","",History!FI28*$C$39)</f>
        <v/>
      </c>
      <c r="FF39" s="11" t="str">
        <f ca="1">IF(History!FJ$2="","",History!FJ28*$C$39)</f>
        <v/>
      </c>
      <c r="FG39" s="11" t="str">
        <f ca="1">IF(History!FK$2="","",History!FK28*$C$39)</f>
        <v/>
      </c>
      <c r="FH39" s="11" t="str">
        <f ca="1">IF(History!FL$2="","",History!FL28*$C$39)</f>
        <v/>
      </c>
      <c r="FI39" s="11" t="str">
        <f ca="1">IF(History!FM$2="","",History!FM28*$C$39)</f>
        <v/>
      </c>
      <c r="FJ39" s="11" t="str">
        <f ca="1">IF(History!FN$2="","",History!FN28*$C$39)</f>
        <v/>
      </c>
      <c r="FK39" s="11" t="str">
        <f ca="1">IF(History!FO$2="","",History!FO28*$C$39)</f>
        <v/>
      </c>
      <c r="FL39" s="11" t="str">
        <f ca="1">IF(History!FP$2="","",History!FP28*$C$39)</f>
        <v/>
      </c>
      <c r="FM39" s="11" t="str">
        <f ca="1">IF(History!FQ$2="","",History!FQ28*$C$39)</f>
        <v/>
      </c>
      <c r="FN39" s="11" t="str">
        <f ca="1">IF(History!FR$2="","",History!FR28*$C$39)</f>
        <v/>
      </c>
      <c r="FO39" s="11" t="str">
        <f ca="1">IF(History!FS$2="","",History!FS28*$C$39)</f>
        <v/>
      </c>
      <c r="FP39" s="11" t="str">
        <f ca="1">IF(History!FT$2="","",History!FT28*$C$39)</f>
        <v/>
      </c>
      <c r="FQ39" s="11" t="str">
        <f ca="1">IF(History!FU$2="","",History!FU28*$C$39)</f>
        <v/>
      </c>
      <c r="FR39" s="11" t="str">
        <f ca="1">IF(History!FV$2="","",History!FV28*$C$39)</f>
        <v/>
      </c>
      <c r="FS39" s="11" t="str">
        <f ca="1">IF(History!FW$2="","",History!FW28*$C$39)</f>
        <v/>
      </c>
      <c r="FT39" s="11" t="str">
        <f ca="1">IF(History!FX$2="","",History!FX28*$C$39)</f>
        <v/>
      </c>
      <c r="FU39" s="11" t="str">
        <f ca="1">IF(History!FY$2="","",History!FY28*$C$39)</f>
        <v/>
      </c>
      <c r="FV39" s="11" t="str">
        <f ca="1">IF(History!FZ$2="","",History!FZ28*$C$39)</f>
        <v/>
      </c>
      <c r="FW39" s="11" t="str">
        <f ca="1">IF(History!GA$2="","",History!GA28*$C$39)</f>
        <v/>
      </c>
      <c r="FX39" s="11" t="str">
        <f ca="1">IF(History!GB$2="","",History!GB28*$C$39)</f>
        <v/>
      </c>
      <c r="FY39" s="11" t="str">
        <f ca="1">IF(History!GC$2="","",History!GC28*$C$39)</f>
        <v/>
      </c>
      <c r="FZ39" s="11" t="str">
        <f ca="1">IF(History!GD$2="","",History!GD28*$C$39)</f>
        <v/>
      </c>
      <c r="GA39" s="11" t="str">
        <f ca="1">IF(History!GE$2="","",History!GE28*$C$39)</f>
        <v/>
      </c>
      <c r="GB39" s="11" t="str">
        <f ca="1">IF(History!GF$2="","",History!GF28*$C$39)</f>
        <v/>
      </c>
      <c r="GC39" s="11" t="str">
        <f ca="1">IF(History!GG$2="","",History!GG28*$C$39)</f>
        <v/>
      </c>
      <c r="GD39" s="11" t="str">
        <f ca="1">IF(History!GH$2="","",History!GH28*$C$39)</f>
        <v/>
      </c>
      <c r="GE39" s="11" t="str">
        <f ca="1">IF(History!GI$2="","",History!GI28*$C$39)</f>
        <v/>
      </c>
      <c r="GF39" s="11" t="str">
        <f ca="1">IF(History!GJ$2="","",History!GJ28*$C$39)</f>
        <v/>
      </c>
      <c r="GG39" s="11" t="str">
        <f ca="1">IF(History!GK$2="","",History!GK28*$C$39)</f>
        <v/>
      </c>
      <c r="GH39" s="11" t="str">
        <f ca="1">IF(History!GL$2="","",History!GL28*$C$39)</f>
        <v/>
      </c>
      <c r="GI39" s="11" t="str">
        <f ca="1">IF(History!GM$2="","",History!GM28*$C$39)</f>
        <v/>
      </c>
      <c r="GJ39" s="11" t="str">
        <f ca="1">IF(History!GN$2="","",History!GN28*$C$39)</f>
        <v/>
      </c>
      <c r="GK39" s="11" t="str">
        <f ca="1">IF(History!GO$2="","",History!GO28*$C$39)</f>
        <v/>
      </c>
      <c r="GL39" s="11" t="str">
        <f ca="1">IF(History!GP$2="","",History!GP28*$C$39)</f>
        <v/>
      </c>
      <c r="GM39" s="11" t="str">
        <f ca="1">IF(History!GQ$2="","",History!GQ28*$C$39)</f>
        <v/>
      </c>
      <c r="GN39" s="11" t="str">
        <f ca="1">IF(History!GR$2="","",History!GR28*$C$39)</f>
        <v/>
      </c>
      <c r="GO39" s="11" t="str">
        <f ca="1">IF(History!GS$2="","",History!GS28*$C$39)</f>
        <v/>
      </c>
      <c r="GP39" s="11" t="str">
        <f ca="1">IF(History!GT$2="","",History!GT28*$C$39)</f>
        <v/>
      </c>
      <c r="GQ39" s="11" t="str">
        <f ca="1">IF(History!GU$2="","",History!GU28*$C$39)</f>
        <v/>
      </c>
      <c r="GR39" s="11" t="str">
        <f ca="1">IF(History!GV$2="","",History!GV28*$C$39)</f>
        <v/>
      </c>
      <c r="GS39" s="11" t="str">
        <f ca="1">IF(History!GW$2="","",History!GW28*$C$39)</f>
        <v/>
      </c>
      <c r="GT39" s="11" t="str">
        <f ca="1">IF(History!GX$2="","",History!GX28*$C$39)</f>
        <v/>
      </c>
      <c r="GU39" s="11" t="str">
        <f ca="1">IF(History!GY$2="","",History!GY28*$C$39)</f>
        <v/>
      </c>
      <c r="GV39" s="11" t="str">
        <f ca="1">IF(History!GZ$2="","",History!GZ28*$C$39)</f>
        <v/>
      </c>
      <c r="GW39" s="11" t="str">
        <f ca="1">IF(History!HA$2="","",History!HA28*$C$39)</f>
        <v/>
      </c>
      <c r="GX39" s="11" t="str">
        <f ca="1">IF(History!HB$2="","",History!HB28*$C$39)</f>
        <v/>
      </c>
      <c r="GY39" s="11" t="str">
        <f ca="1">IF(History!HC$2="","",History!HC28*$C$39)</f>
        <v/>
      </c>
      <c r="GZ39" s="11" t="str">
        <f ca="1">IF(History!HD$2="","",History!HD28*$C$39)</f>
        <v/>
      </c>
      <c r="HA39" s="11" t="str">
        <f ca="1">IF(History!HE$2="","",History!HE28*$C$39)</f>
        <v/>
      </c>
      <c r="HB39" s="11" t="str">
        <f ca="1">IF(History!HF$2="","",History!HF28*$C$39)</f>
        <v/>
      </c>
      <c r="HC39" s="11" t="str">
        <f ca="1">IF(History!HG$2="","",History!HG28*$C$39)</f>
        <v/>
      </c>
      <c r="HD39" s="11" t="str">
        <f ca="1">IF(History!HH$2="","",History!HH28*$C$39)</f>
        <v/>
      </c>
      <c r="HE39" s="11" t="str">
        <f ca="1">IF(History!HI$2="","",History!HI28*$C$39)</f>
        <v/>
      </c>
      <c r="HF39" s="11" t="str">
        <f ca="1">IF(History!HJ$2="","",History!HJ28*$C$39)</f>
        <v/>
      </c>
      <c r="HG39" s="11" t="str">
        <f ca="1">IF(History!HK$2="","",History!HK28*$C$39)</f>
        <v/>
      </c>
      <c r="HH39" s="11" t="str">
        <f ca="1">IF(History!HL$2="","",History!HL28*$C$39)</f>
        <v/>
      </c>
      <c r="HI39" s="11" t="str">
        <f ca="1">IF(History!HM$2="","",History!HM28*$C$39)</f>
        <v/>
      </c>
      <c r="HJ39" s="11" t="str">
        <f ca="1">IF(History!HN$2="","",History!HN28*$C$39)</f>
        <v/>
      </c>
      <c r="HK39" s="11" t="str">
        <f ca="1">IF(History!HO$2="","",History!HO28*$C$39)</f>
        <v/>
      </c>
      <c r="HL39" s="11" t="str">
        <f ca="1">IF(History!HP$2="","",History!HP28*$C$39)</f>
        <v/>
      </c>
      <c r="HM39" s="11" t="str">
        <f ca="1">IF(History!HQ$2="","",History!HQ28*$C$39)</f>
        <v/>
      </c>
      <c r="HN39" s="11" t="str">
        <f ca="1">IF(History!HR$2="","",History!HR28*$C$39)</f>
        <v/>
      </c>
      <c r="HO39" s="11" t="str">
        <f ca="1">IF(History!HS$2="","",History!HS28*$C$39)</f>
        <v/>
      </c>
      <c r="HP39" s="11" t="str">
        <f ca="1">IF(History!HT$2="","",History!HT28*$C$39)</f>
        <v/>
      </c>
      <c r="HQ39" s="11" t="str">
        <f ca="1">IF(History!HU$2="","",History!HU28*$C$39)</f>
        <v/>
      </c>
      <c r="HR39" s="11" t="str">
        <f ca="1">IF(History!HV$2="","",History!HV28*$C$39)</f>
        <v/>
      </c>
      <c r="HS39" s="11" t="str">
        <f ca="1">IF(History!HW$2="","",History!HW28*$C$39)</f>
        <v/>
      </c>
      <c r="HT39" s="11" t="str">
        <f ca="1">IF(History!HX$2="","",History!HX28*$C$39)</f>
        <v/>
      </c>
      <c r="HU39" s="11" t="str">
        <f ca="1">IF(History!HY$2="","",History!HY28*$C$39)</f>
        <v/>
      </c>
      <c r="HV39" s="11" t="str">
        <f ca="1">IF(History!HZ$2="","",History!HZ28*$C$39)</f>
        <v/>
      </c>
      <c r="HW39" s="11" t="str">
        <f ca="1">IF(History!IA$2="","",History!IA28*$C$39)</f>
        <v/>
      </c>
      <c r="HX39" s="11" t="str">
        <f ca="1">IF(History!IB$2="","",History!IB28*$C$39)</f>
        <v/>
      </c>
      <c r="HY39" s="11" t="str">
        <f ca="1">IF(History!IC$2="","",History!IC28*$C$39)</f>
        <v/>
      </c>
      <c r="HZ39" s="11" t="str">
        <f ca="1">IF(History!ID$2="","",History!ID28*$C$39)</f>
        <v/>
      </c>
      <c r="IA39" s="11" t="str">
        <f ca="1">IF(History!IE$2="","",History!IE28*$C$39)</f>
        <v/>
      </c>
      <c r="IB39" s="11" t="str">
        <f ca="1">IF(History!IF$2="","",History!IF28*$C$39)</f>
        <v/>
      </c>
      <c r="IC39" s="11" t="str">
        <f ca="1">IF(History!IG$2="","",History!IG28*$C$39)</f>
        <v/>
      </c>
      <c r="ID39" s="11" t="str">
        <f ca="1">IF(History!IH$2="","",History!IH28*$C$39)</f>
        <v/>
      </c>
      <c r="IE39" s="11" t="str">
        <f ca="1">IF(History!II$2="","",History!II28*$C$39)</f>
        <v/>
      </c>
      <c r="IF39" s="11" t="str">
        <f ca="1">IF(History!IJ$2="","",History!IJ28*$C$39)</f>
        <v/>
      </c>
      <c r="IG39" s="11" t="str">
        <f ca="1">IF(History!IK$2="","",History!IK28*$C$39)</f>
        <v/>
      </c>
      <c r="IH39" s="11" t="str">
        <f ca="1">IF(History!IL$2="","",History!IL28*$C$39)</f>
        <v/>
      </c>
      <c r="II39" s="11" t="str">
        <f ca="1">IF(History!IM$2="","",History!IM28*$C$39)</f>
        <v/>
      </c>
      <c r="IJ39" s="11" t="str">
        <f ca="1">IF(History!IN$2="","",History!IN28*$C$39)</f>
        <v/>
      </c>
      <c r="IK39" s="11" t="str">
        <f ca="1">IF(History!IO$2="","",History!IO28*$C$39)</f>
        <v/>
      </c>
      <c r="IL39" s="11" t="str">
        <f ca="1">IF(History!IP$2="","",History!IP28*$C$39)</f>
        <v/>
      </c>
      <c r="IM39" s="11" t="str">
        <f ca="1">IF(History!IQ$2="","",History!IQ28*$C$39)</f>
        <v/>
      </c>
      <c r="IN39" s="11" t="str">
        <f ca="1">IF(History!IR$2="","",History!IR28*$C$39)</f>
        <v/>
      </c>
      <c r="IO39" s="11" t="str">
        <f ca="1">IF(History!IS$2="","",History!IS28*$C$39)</f>
        <v/>
      </c>
      <c r="IP39" s="11" t="str">
        <f ca="1">IF(History!IT$2="","",History!IT28*$C$39)</f>
        <v/>
      </c>
      <c r="IQ39" s="11" t="str">
        <f ca="1">IF(History!IU$2="","",History!IU28*$C$39)</f>
        <v/>
      </c>
      <c r="IR39" s="11" t="str">
        <f ca="1">IF(History!IV$2="","",History!IV28*$C$39)</f>
        <v/>
      </c>
      <c r="IS39" s="11" t="str">
        <f ca="1">IF(History!IW$2="","",History!IW28*$C$39)</f>
        <v/>
      </c>
      <c r="IT39" s="11" t="str">
        <f ca="1">IF(History!IX$2="","",History!IX28*$C$39)</f>
        <v/>
      </c>
      <c r="IU39" s="11" t="str">
        <f ca="1">IF(History!IY$2="","",History!IY28*$C$39)</f>
        <v/>
      </c>
      <c r="IV39" s="11" t="str">
        <f ca="1">IF(History!IZ$2="","",History!IZ28*$C$39)</f>
        <v/>
      </c>
      <c r="IW39" s="11" t="str">
        <f ca="1">IF(History!JA$2="","",History!JA28*$C$39)</f>
        <v/>
      </c>
      <c r="IX39" s="11" t="str">
        <f ca="1">IF(History!JB$2="","",History!JB28*$C$39)</f>
        <v/>
      </c>
      <c r="IY39" s="11" t="str">
        <f ca="1">IF(History!JC$2="","",History!JC28*$C$39)</f>
        <v/>
      </c>
      <c r="IZ39" s="11" t="str">
        <f ca="1">IF(History!JD$2="","",History!JD28*$C$39)</f>
        <v/>
      </c>
      <c r="JA39" s="11" t="str">
        <f ca="1">IF(History!JE$2="","",History!JE28*$C$39)</f>
        <v/>
      </c>
      <c r="JB39" s="11" t="str">
        <f ca="1">IF(History!JF$2="","",History!JF28*$C$39)</f>
        <v/>
      </c>
      <c r="JC39" s="11" t="str">
        <f ca="1">IF(History!JG$2="","",History!JG28*$C$39)</f>
        <v/>
      </c>
      <c r="JD39" s="11" t="str">
        <f ca="1">IF(History!JH$2="","",History!JH28*$C$39)</f>
        <v/>
      </c>
      <c r="JE39" s="11" t="str">
        <f ca="1">IF(History!JI$2="","",History!JI28*$C$39)</f>
        <v/>
      </c>
      <c r="JF39" s="11" t="str">
        <f ca="1">IF(History!JJ$2="","",History!JJ28*$C$39)</f>
        <v/>
      </c>
      <c r="JG39" s="11" t="str">
        <f ca="1">IF(History!JK$2="","",History!JK28*$C$39)</f>
        <v/>
      </c>
      <c r="JH39" s="11" t="str">
        <f ca="1">IF(History!JL$2="","",History!JL28*$C$39)</f>
        <v/>
      </c>
      <c r="JI39" s="11" t="str">
        <f ca="1">IF(History!JM$2="","",History!JM28*$C$39)</f>
        <v/>
      </c>
      <c r="JJ39" s="11" t="str">
        <f ca="1">IF(History!JN$2="","",History!JN28*$C$39)</f>
        <v/>
      </c>
      <c r="JK39" s="11" t="str">
        <f ca="1">IF(History!JO$2="","",History!JO28*$C$39)</f>
        <v/>
      </c>
      <c r="JL39" s="11" t="str">
        <f ca="1">IF(History!JP$2="","",History!JP28*$C$39)</f>
        <v/>
      </c>
      <c r="JM39" s="11" t="str">
        <f ca="1">IF(History!JQ$2="","",History!JQ28*$C$39)</f>
        <v/>
      </c>
      <c r="JN39" s="11" t="str">
        <f ca="1">IF(History!JR$2="","",History!JR28*$C$39)</f>
        <v/>
      </c>
      <c r="JO39" s="11" t="str">
        <f ca="1">IF(History!JS$2="","",History!JS28*$C$39)</f>
        <v/>
      </c>
      <c r="JP39" s="11" t="str">
        <f ca="1">IF(History!JT$2="","",History!JT28*$C$39)</f>
        <v/>
      </c>
      <c r="JQ39" s="11" t="str">
        <f ca="1">IF(History!JU$2="","",History!JU28*$C$39)</f>
        <v/>
      </c>
      <c r="JR39" s="11" t="str">
        <f ca="1">IF(History!JV$2="","",History!JV28*$C$39)</f>
        <v/>
      </c>
      <c r="JS39" s="11" t="str">
        <f ca="1">IF(History!JW$2="","",History!JW28*$C$39)</f>
        <v/>
      </c>
      <c r="JT39" s="11" t="str">
        <f ca="1">IF(History!JX$2="","",History!JX28*$C$39)</f>
        <v/>
      </c>
      <c r="JU39" s="11" t="str">
        <f ca="1">IF(History!JY$2="","",History!JY28*$C$39)</f>
        <v/>
      </c>
      <c r="JV39" s="11" t="str">
        <f ca="1">IF(History!JZ$2="","",History!JZ28*$C$39)</f>
        <v/>
      </c>
      <c r="JW39" s="11" t="str">
        <f ca="1">IF(History!KA$2="","",History!KA28*$C$39)</f>
        <v/>
      </c>
      <c r="JX39" s="11" t="str">
        <f ca="1">IF(History!KB$2="","",History!KB28*$C$39)</f>
        <v/>
      </c>
      <c r="JY39" s="11" t="str">
        <f ca="1">IF(History!KC$2="","",History!KC28*$C$39)</f>
        <v/>
      </c>
      <c r="JZ39" s="11" t="str">
        <f ca="1">IF(History!KD$2="","",History!KD28*$C$39)</f>
        <v/>
      </c>
      <c r="KA39" s="11" t="str">
        <f ca="1">IF(History!KE$2="","",History!KE28*$C$39)</f>
        <v/>
      </c>
      <c r="KB39" s="11" t="str">
        <f ca="1">IF(History!KF$2="","",History!KF28*$C$39)</f>
        <v/>
      </c>
    </row>
    <row r="40" spans="1:288" ht="15.75" customHeight="1">
      <c r="A40" s="22" t="s">
        <v>30</v>
      </c>
      <c r="B40" s="6" t="s">
        <v>72</v>
      </c>
      <c r="C40" s="26">
        <v>67</v>
      </c>
      <c r="D40" s="11">
        <f ca="1">IF(History!H$2="","",History!H29*$C$40)</f>
        <v>1657.58</v>
      </c>
      <c r="E40" s="11">
        <f ca="1">IF(History!I$2="","",History!I29*$C$40)</f>
        <v>1657.58</v>
      </c>
      <c r="F40" s="11">
        <f ca="1">IF(History!J$2="","",History!J29*$C$40)</f>
        <v>1707.83</v>
      </c>
      <c r="G40" s="11">
        <f ca="1">IF(History!K$2="","",History!K29*$C$40)</f>
        <v>1717.21</v>
      </c>
      <c r="H40" s="11">
        <f ca="1">IF(History!L$2="","",History!L29*$C$40)</f>
        <v>1753.39</v>
      </c>
      <c r="I40" s="11">
        <f ca="1">IF(History!M$2="","",History!M29*$C$40)</f>
        <v>1726.59</v>
      </c>
      <c r="J40" s="11">
        <f ca="1">IF(History!N$2="","",History!N29*$C$40)</f>
        <v>1727.9299999999998</v>
      </c>
      <c r="K40" s="11">
        <f ca="1">IF(History!O$2="","",History!O29*$C$40)</f>
        <v>1699.12</v>
      </c>
      <c r="L40" s="11">
        <f ca="1">IF(History!P$2="","",History!P29*$C$40)</f>
        <v>1627.4299999999998</v>
      </c>
      <c r="M40" s="11">
        <f ca="1">IF(History!Q$2="","",History!Q29*$C$40)</f>
        <v>1679.02</v>
      </c>
      <c r="N40" s="11">
        <f ca="1">IF(History!R$2="","",History!R29*$C$40)</f>
        <v>1613.36</v>
      </c>
      <c r="O40" s="11">
        <f ca="1">IF(History!S$2="","",History!S29*$C$40)</f>
        <v>1583.21</v>
      </c>
      <c r="P40" s="11">
        <f ca="1">IF(History!T$2="","",History!T29*$C$40)</f>
        <v>1531.62</v>
      </c>
      <c r="Q40" s="11">
        <f ca="1">IF(History!U$2="","",History!U29*$C$40)</f>
        <v>1577.8500000000001</v>
      </c>
      <c r="R40" s="11">
        <f ca="1">IF(History!V$2="","",History!V29*$C$40)</f>
        <v>1660.26</v>
      </c>
      <c r="S40" s="11">
        <f ca="1">IF(History!W$2="","",History!W29*$C$40)</f>
        <v>1684.38</v>
      </c>
      <c r="T40" s="11">
        <f ca="1">IF(History!X$2="","",History!X29*$C$40)</f>
        <v>1662.27</v>
      </c>
      <c r="U40" s="11">
        <f ca="1">IF(History!Y$2="","",History!Y29*$C$40)</f>
        <v>1587.8999999999999</v>
      </c>
      <c r="V40" s="11">
        <f ca="1">IF(History!Z$2="","",History!Z29*$C$40)</f>
        <v>1565.12</v>
      </c>
      <c r="W40" s="11">
        <f ca="1">IF(History!AA$2="","",History!AA29*$C$40)</f>
        <v>1595.27</v>
      </c>
      <c r="X40" s="11">
        <f ca="1">IF(History!AB$2="","",History!AB29*$C$40)</f>
        <v>1620.06</v>
      </c>
      <c r="Y40" s="11">
        <f ca="1">IF(History!AC$2="","",History!AC29*$C$40)</f>
        <v>1682.37</v>
      </c>
      <c r="Z40" s="11">
        <f ca="1">IF(History!AD$2="","",History!AD29*$C$40)</f>
        <v>1632.79</v>
      </c>
      <c r="AA40" s="11">
        <f ca="1">IF(History!AE$2="","",History!AE29*$C$40)</f>
        <v>1623.41</v>
      </c>
      <c r="AB40" s="11">
        <f ca="1">IF(History!AF$2="","",History!AF29*$C$40)</f>
        <v>1632.79</v>
      </c>
      <c r="AC40" s="11">
        <f ca="1">IF(History!AG$2="","",History!AG29*$C$40)</f>
        <v>1662.94</v>
      </c>
      <c r="AD40" s="11">
        <f ca="1">IF(History!AH$2="","",History!AH29*$C$40)</f>
        <v>1793.59</v>
      </c>
      <c r="AE40" s="11">
        <f ca="1">IF(History!AI$2="","",History!AI29*$C$40)</f>
        <v>1750.04</v>
      </c>
      <c r="AF40" s="11">
        <f ca="1">IF(History!AJ$2="","",History!AJ29*$C$40)</f>
        <v>1710.51</v>
      </c>
      <c r="AG40" s="11">
        <f ca="1">IF(History!AK$2="","",History!AK29*$C$40)</f>
        <v>1688.3999999999999</v>
      </c>
      <c r="AH40" s="11">
        <f ca="1">IF(History!AL$2="","",History!AL29*$C$40)</f>
        <v>1608.67</v>
      </c>
      <c r="AI40" s="11">
        <f ca="1">IF(History!AM$2="","",History!AM29*$C$40)</f>
        <v>1683.71</v>
      </c>
      <c r="AJ40" s="11">
        <f ca="1">IF(History!AN$2="","",History!AN29*$C$40)</f>
        <v>1707.16</v>
      </c>
      <c r="AK40" s="11">
        <f ca="1">IF(History!AO$2="","",History!AO29*$C$40)</f>
        <v>1724.58</v>
      </c>
      <c r="AL40" s="11">
        <f ca="1">IF(History!AP$2="","",History!AP29*$C$40)</f>
        <v>1709.84</v>
      </c>
      <c r="AM40" s="11">
        <f ca="1">IF(History!AQ$2="","",History!AQ29*$C$40)</f>
        <v>1727.9299999999998</v>
      </c>
      <c r="AN40" s="11">
        <f ca="1">IF(History!AR$2="","",History!AR29*$C$40)</f>
        <v>1710.51</v>
      </c>
      <c r="AO40" s="11">
        <f ca="1">IF(History!AS$2="","",History!AS29*$C$40)</f>
        <v>1649.54</v>
      </c>
      <c r="AP40" s="11">
        <f ca="1">IF(History!AT$2="","",History!AT29*$C$40)</f>
        <v>1593.9299999999998</v>
      </c>
      <c r="AQ40" s="11">
        <f ca="1">IF(History!AU$2="","",History!AU29*$C$40)</f>
        <v>1642.84</v>
      </c>
      <c r="AR40" s="11">
        <f ca="1">IF(History!AV$2="","",History!AV29*$C$40)</f>
        <v>1701.8</v>
      </c>
      <c r="AS40" s="11">
        <f ca="1">IF(History!AW$2="","",History!AW29*$C$40)</f>
        <v>1693.09</v>
      </c>
      <c r="AT40" s="11">
        <f ca="1">IF(History!AX$2="","",History!AX29*$C$40)</f>
        <v>1693.09</v>
      </c>
      <c r="AU40" s="11">
        <f ca="1">IF(History!AY$2="","",History!AY29*$C$40)</f>
        <v>1658.25</v>
      </c>
      <c r="AV40" s="11">
        <f ca="1">IF(History!AZ$2="","",History!AZ29*$C$40)</f>
        <v>1711.1799999999998</v>
      </c>
      <c r="AW40" s="11">
        <f ca="1">IF(History!BA$2="","",History!BA29*$C$40)</f>
        <v>1784.88</v>
      </c>
      <c r="AX40" s="11">
        <f ca="1">IF(History!BB$2="","",History!BB29*$C$40)</f>
        <v>1782.2</v>
      </c>
      <c r="AY40" s="11">
        <f ca="1">IF(History!BC$2="","",History!BC29*$C$40)</f>
        <v>1778.8500000000001</v>
      </c>
      <c r="AZ40" s="11">
        <f ca="1">IF(History!BD$2="","",History!BD29*$C$40)</f>
        <v>1762.1000000000001</v>
      </c>
      <c r="BA40" s="11">
        <f ca="1">IF(History!BE$2="","",History!BE29*$C$40)</f>
        <v>1775.5</v>
      </c>
      <c r="BB40" s="11">
        <f ca="1">IF(History!BF$2="","",History!BF29*$C$40)</f>
        <v>1715.87</v>
      </c>
      <c r="BC40" s="11">
        <f ca="1">IF(History!BG$2="","",History!BG29*$C$40)</f>
        <v>1666.96</v>
      </c>
      <c r="BD40" s="11">
        <f ca="1">IF(History!BH$2="","",History!BH29*$C$40)</f>
        <v>1658.92</v>
      </c>
      <c r="BE40" s="11">
        <f ca="1">IF(History!BI$2="","",History!BI29*$C$40)</f>
        <v>1657.58</v>
      </c>
      <c r="BF40" s="11">
        <f ca="1">IF(History!BJ$2="","",History!BJ29*$C$40)</f>
        <v>1719.89</v>
      </c>
      <c r="BG40" s="11">
        <f ca="1">IF(History!BK$2="","",History!BK29*$C$40)</f>
        <v>1642.17</v>
      </c>
      <c r="BH40" s="11">
        <f ca="1">IF(History!BL$2="","",History!BL29*$C$40)</f>
        <v>1596.61</v>
      </c>
      <c r="BI40" s="11">
        <f ca="1">IF(History!BM$2="","",History!BM29*$C$40)</f>
        <v>1638.8200000000002</v>
      </c>
      <c r="BJ40" s="11">
        <f ca="1">IF(History!BN$2="","",History!BN29*$C$40)</f>
        <v>1619.39</v>
      </c>
      <c r="BK40" s="11">
        <f ca="1">IF(History!BO$2="","",History!BO29*$C$40)</f>
        <v>1505.49</v>
      </c>
      <c r="BL40" s="11">
        <f ca="1">IF(History!BP$2="","",History!BP29*$C$40)</f>
        <v>1447.87</v>
      </c>
      <c r="BM40" s="11">
        <f ca="1">IF(History!BQ$2="","",History!BQ29*$C$40)</f>
        <v>1463.95</v>
      </c>
      <c r="BN40" s="11">
        <f ca="1">IF(History!BR$2="","",History!BR29*$C$40)</f>
        <v>1437.8200000000002</v>
      </c>
      <c r="BO40" s="11">
        <f ca="1">IF(History!BS$2="","",History!BS29*$C$40)</f>
        <v>1439.83</v>
      </c>
      <c r="BP40" s="11">
        <f ca="1">IF(History!BT$2="","",History!BT29*$C$40)</f>
        <v>1463.28</v>
      </c>
      <c r="BQ40" s="11">
        <f ca="1">IF(History!BU$2="","",History!BU29*$C$40)</f>
        <v>1545.02</v>
      </c>
      <c r="BR40" s="11">
        <f ca="1">IF(History!BV$2="","",History!BV29*$C$40)</f>
        <v>1529.61</v>
      </c>
      <c r="BS40" s="11">
        <f ca="1">IF(History!BW$2="","",History!BW29*$C$40)</f>
        <v>1521.5700000000002</v>
      </c>
      <c r="BT40" s="11">
        <f ca="1">IF(History!BX$2="","",History!BX29*$C$40)</f>
        <v>1587.8999999999999</v>
      </c>
      <c r="BU40" s="11">
        <f ca="1">IF(History!BY$2="","",History!BY29*$C$40)</f>
        <v>1633.46</v>
      </c>
      <c r="BV40" s="11">
        <f ca="1">IF(History!BZ$2="","",History!BZ29*$C$40)</f>
        <v>1585.89</v>
      </c>
      <c r="BW40" s="11">
        <f ca="1">IF(History!CA$2="","",History!CA29*$C$40)</f>
        <v>1541.67</v>
      </c>
      <c r="BX40" s="11">
        <f ca="1">IF(History!CB$2="","",History!CB29*$C$40)</f>
        <v>1556.41</v>
      </c>
      <c r="BY40" s="11">
        <f ca="1">IF(History!CC$2="","",History!CC29*$C$40)</f>
        <v>1524.25</v>
      </c>
      <c r="BZ40" s="11">
        <f ca="1">IF(History!CD$2="","",History!CD29*$C$40)</f>
        <v>1521.5700000000002</v>
      </c>
      <c r="CA40" s="11">
        <f ca="1">IF(History!CE$2="","",History!CE29*$C$40)</f>
        <v>1585.89</v>
      </c>
      <c r="CB40" s="11">
        <f ca="1">IF(History!CF$2="","",History!CF29*$C$40)</f>
        <v>1506.83</v>
      </c>
      <c r="CC40" s="11">
        <f ca="1">IF(History!CG$2="","",History!CG29*$C$40)</f>
        <v>1563.78</v>
      </c>
      <c r="CD40" s="11">
        <f ca="1">IF(History!CH$2="","",History!CH29*$C$40)</f>
        <v>1583.21</v>
      </c>
      <c r="CE40" s="11">
        <f ca="1">IF(History!CI$2="","",History!CI29*$C$40)</f>
        <v>1744.01</v>
      </c>
      <c r="CF40" s="11" t="str">
        <f ca="1">IF(History!CJ$2="","",History!CJ29*$C$40)</f>
        <v/>
      </c>
      <c r="CG40" s="11" t="str">
        <f ca="1">IF(History!CK$2="","",History!CK29*$C$40)</f>
        <v/>
      </c>
      <c r="CH40" s="11" t="str">
        <f ca="1">IF(History!CL$2="","",History!CL29*$C$40)</f>
        <v/>
      </c>
      <c r="CI40" s="11" t="str">
        <f ca="1">IF(History!CM$2="","",History!CM29*$C$40)</f>
        <v/>
      </c>
      <c r="CJ40" s="11" t="str">
        <f ca="1">IF(History!CN$2="","",History!CN29*$C$40)</f>
        <v/>
      </c>
      <c r="CK40" s="11" t="str">
        <f ca="1">IF(History!CO$2="","",History!CO29*$C$40)</f>
        <v/>
      </c>
      <c r="CL40" s="11" t="str">
        <f ca="1">IF(History!CP$2="","",History!CP29*$C$40)</f>
        <v/>
      </c>
      <c r="CM40" s="11" t="str">
        <f ca="1">IF(History!CQ$2="","",History!CQ29*$C$40)</f>
        <v/>
      </c>
      <c r="CN40" s="11" t="str">
        <f ca="1">IF(History!CR$2="","",History!CR29*$C$40)</f>
        <v/>
      </c>
      <c r="CO40" s="11" t="str">
        <f ca="1">IF(History!CS$2="","",History!CS29*$C$40)</f>
        <v/>
      </c>
      <c r="CP40" s="11" t="str">
        <f ca="1">IF(History!CT$2="","",History!CT29*$C$40)</f>
        <v/>
      </c>
      <c r="CQ40" s="11" t="str">
        <f ca="1">IF(History!CU$2="","",History!CU29*$C$40)</f>
        <v/>
      </c>
      <c r="CR40" s="11" t="str">
        <f ca="1">IF(History!CV$2="","",History!CV29*$C$40)</f>
        <v/>
      </c>
      <c r="CS40" s="11" t="str">
        <f ca="1">IF(History!CW$2="","",History!CW29*$C$40)</f>
        <v/>
      </c>
      <c r="CT40" s="11" t="str">
        <f ca="1">IF(History!CX$2="","",History!CX29*$C$40)</f>
        <v/>
      </c>
      <c r="CU40" s="11" t="str">
        <f ca="1">IF(History!CY$2="","",History!CY29*$C$40)</f>
        <v/>
      </c>
      <c r="CV40" s="11" t="str">
        <f ca="1">IF(History!CZ$2="","",History!CZ29*$C$40)</f>
        <v/>
      </c>
      <c r="CW40" s="11" t="str">
        <f ca="1">IF(History!DA$2="","",History!DA29*$C$40)</f>
        <v/>
      </c>
      <c r="CX40" s="11" t="str">
        <f ca="1">IF(History!DB$2="","",History!DB29*$C$40)</f>
        <v/>
      </c>
      <c r="CY40" s="11" t="str">
        <f ca="1">IF(History!DC$2="","",History!DC29*$C$40)</f>
        <v/>
      </c>
      <c r="CZ40" s="11" t="str">
        <f ca="1">IF(History!DD$2="","",History!DD29*$C$40)</f>
        <v/>
      </c>
      <c r="DA40" s="11" t="str">
        <f ca="1">IF(History!DE$2="","",History!DE29*$C$40)</f>
        <v/>
      </c>
      <c r="DB40" s="11" t="str">
        <f ca="1">IF(History!DF$2="","",History!DF29*$C$40)</f>
        <v/>
      </c>
      <c r="DC40" s="11" t="str">
        <f ca="1">IF(History!DG$2="","",History!DG29*$C$40)</f>
        <v/>
      </c>
      <c r="DD40" s="11" t="str">
        <f ca="1">IF(History!DH$2="","",History!DH29*$C$40)</f>
        <v/>
      </c>
      <c r="DE40" s="11" t="str">
        <f ca="1">IF(History!DI$2="","",History!DI29*$C$40)</f>
        <v/>
      </c>
      <c r="DF40" s="11" t="str">
        <f ca="1">IF(History!DJ$2="","",History!DJ29*$C$40)</f>
        <v/>
      </c>
      <c r="DG40" s="11" t="str">
        <f ca="1">IF(History!DK$2="","",History!DK29*$C$40)</f>
        <v/>
      </c>
      <c r="DH40" s="11" t="str">
        <f ca="1">IF(History!DL$2="","",History!DL29*$C$40)</f>
        <v/>
      </c>
      <c r="DI40" s="11" t="str">
        <f ca="1">IF(History!DM$2="","",History!DM29*$C$40)</f>
        <v/>
      </c>
      <c r="DJ40" s="11" t="str">
        <f ca="1">IF(History!DN$2="","",History!DN29*$C$40)</f>
        <v/>
      </c>
      <c r="DK40" s="11" t="str">
        <f ca="1">IF(History!DO$2="","",History!DO29*$C$40)</f>
        <v/>
      </c>
      <c r="DL40" s="11" t="str">
        <f ca="1">IF(History!DP$2="","",History!DP29*$C$40)</f>
        <v/>
      </c>
      <c r="DM40" s="11" t="str">
        <f ca="1">IF(History!DQ$2="","",History!DQ29*$C$40)</f>
        <v/>
      </c>
      <c r="DN40" s="11" t="str">
        <f ca="1">IF(History!DR$2="","",History!DR29*$C$40)</f>
        <v/>
      </c>
      <c r="DO40" s="11" t="str">
        <f ca="1">IF(History!DS$2="","",History!DS29*$C$40)</f>
        <v/>
      </c>
      <c r="DP40" s="11" t="str">
        <f ca="1">IF(History!DT$2="","",History!DT29*$C$40)</f>
        <v/>
      </c>
      <c r="DQ40" s="11" t="str">
        <f ca="1">IF(History!DU$2="","",History!DU29*$C$40)</f>
        <v/>
      </c>
      <c r="DR40" s="11" t="str">
        <f ca="1">IF(History!DV$2="","",History!DV29*$C$40)</f>
        <v/>
      </c>
      <c r="DS40" s="11" t="str">
        <f ca="1">IF(History!DW$2="","",History!DW29*$C$40)</f>
        <v/>
      </c>
      <c r="DT40" s="11" t="str">
        <f ca="1">IF(History!DX$2="","",History!DX29*$C$40)</f>
        <v/>
      </c>
      <c r="DU40" s="11" t="str">
        <f ca="1">IF(History!DY$2="","",History!DY29*$C$40)</f>
        <v/>
      </c>
      <c r="DV40" s="11" t="str">
        <f ca="1">IF(History!DZ$2="","",History!DZ29*$C$40)</f>
        <v/>
      </c>
      <c r="DW40" s="11" t="str">
        <f ca="1">IF(History!EA$2="","",History!EA29*$C$40)</f>
        <v/>
      </c>
      <c r="DX40" s="11" t="str">
        <f ca="1">IF(History!EB$2="","",History!EB29*$C$40)</f>
        <v/>
      </c>
      <c r="DY40" s="11" t="str">
        <f ca="1">IF(History!EC$2="","",History!EC29*$C$40)</f>
        <v/>
      </c>
      <c r="DZ40" s="11" t="str">
        <f ca="1">IF(History!ED$2="","",History!ED29*$C$40)</f>
        <v/>
      </c>
      <c r="EA40" s="11" t="str">
        <f ca="1">IF(History!EE$2="","",History!EE29*$C$40)</f>
        <v/>
      </c>
      <c r="EB40" s="11" t="str">
        <f ca="1">IF(History!EF$2="","",History!EF29*$C$40)</f>
        <v/>
      </c>
      <c r="EC40" s="11" t="str">
        <f ca="1">IF(History!EG$2="","",History!EG29*$C$40)</f>
        <v/>
      </c>
      <c r="ED40" s="11" t="str">
        <f ca="1">IF(History!EH$2="","",History!EH29*$C$40)</f>
        <v/>
      </c>
      <c r="EE40" s="11" t="str">
        <f ca="1">IF(History!EI$2="","",History!EI29*$C$40)</f>
        <v/>
      </c>
      <c r="EF40" s="11" t="str">
        <f ca="1">IF(History!EJ$2="","",History!EJ29*$C$40)</f>
        <v/>
      </c>
      <c r="EG40" s="11" t="str">
        <f ca="1">IF(History!EK$2="","",History!EK29*$C$40)</f>
        <v/>
      </c>
      <c r="EH40" s="11" t="str">
        <f ca="1">IF(History!EL$2="","",History!EL29*$C$40)</f>
        <v/>
      </c>
      <c r="EI40" s="11" t="str">
        <f ca="1">IF(History!EM$2="","",History!EM29*$C$40)</f>
        <v/>
      </c>
      <c r="EJ40" s="11" t="str">
        <f ca="1">IF(History!EN$2="","",History!EN29*$C$40)</f>
        <v/>
      </c>
      <c r="EK40" s="11" t="str">
        <f ca="1">IF(History!EO$2="","",History!EO29*$C$40)</f>
        <v/>
      </c>
      <c r="EL40" s="11" t="str">
        <f ca="1">IF(History!EP$2="","",History!EP29*$C$40)</f>
        <v/>
      </c>
      <c r="EM40" s="11" t="str">
        <f ca="1">IF(History!EQ$2="","",History!EQ29*$C$40)</f>
        <v/>
      </c>
      <c r="EN40" s="11" t="str">
        <f ca="1">IF(History!ER$2="","",History!ER29*$C$40)</f>
        <v/>
      </c>
      <c r="EO40" s="11" t="str">
        <f ca="1">IF(History!ES$2="","",History!ES29*$C$40)</f>
        <v/>
      </c>
      <c r="EP40" s="11" t="str">
        <f ca="1">IF(History!ET$2="","",History!ET29*$C$40)</f>
        <v/>
      </c>
      <c r="EQ40" s="11" t="str">
        <f ca="1">IF(History!EU$2="","",History!EU29*$C$40)</f>
        <v/>
      </c>
      <c r="ER40" s="11" t="str">
        <f ca="1">IF(History!EV$2="","",History!EV29*$C$40)</f>
        <v/>
      </c>
      <c r="ES40" s="11" t="str">
        <f ca="1">IF(History!EW$2="","",History!EW29*$C$40)</f>
        <v/>
      </c>
      <c r="ET40" s="11" t="str">
        <f ca="1">IF(History!EX$2="","",History!EX29*$C$40)</f>
        <v/>
      </c>
      <c r="EU40" s="11" t="str">
        <f ca="1">IF(History!EY$2="","",History!EY29*$C$40)</f>
        <v/>
      </c>
      <c r="EV40" s="11" t="str">
        <f ca="1">IF(History!EZ$2="","",History!EZ29*$C$40)</f>
        <v/>
      </c>
      <c r="EW40" s="11" t="str">
        <f ca="1">IF(History!FA$2="","",History!FA29*$C$40)</f>
        <v/>
      </c>
      <c r="EX40" s="11" t="str">
        <f ca="1">IF(History!FB$2="","",History!FB29*$C$40)</f>
        <v/>
      </c>
      <c r="EY40" s="11" t="str">
        <f ca="1">IF(History!FC$2="","",History!FC29*$C$40)</f>
        <v/>
      </c>
      <c r="EZ40" s="11" t="str">
        <f ca="1">IF(History!FD$2="","",History!FD29*$C$40)</f>
        <v/>
      </c>
      <c r="FA40" s="11" t="str">
        <f ca="1">IF(History!FE$2="","",History!FE29*$C$40)</f>
        <v/>
      </c>
      <c r="FB40" s="11" t="str">
        <f ca="1">IF(History!FF$2="","",History!FF29*$C$40)</f>
        <v/>
      </c>
      <c r="FC40" s="11" t="str">
        <f ca="1">IF(History!FG$2="","",History!FG29*$C$40)</f>
        <v/>
      </c>
      <c r="FD40" s="11" t="str">
        <f ca="1">IF(History!FH$2="","",History!FH29*$C$40)</f>
        <v/>
      </c>
      <c r="FE40" s="11" t="str">
        <f ca="1">IF(History!FI$2="","",History!FI29*$C$40)</f>
        <v/>
      </c>
      <c r="FF40" s="11" t="str">
        <f ca="1">IF(History!FJ$2="","",History!FJ29*$C$40)</f>
        <v/>
      </c>
      <c r="FG40" s="11" t="str">
        <f ca="1">IF(History!FK$2="","",History!FK29*$C$40)</f>
        <v/>
      </c>
      <c r="FH40" s="11" t="str">
        <f ca="1">IF(History!FL$2="","",History!FL29*$C$40)</f>
        <v/>
      </c>
      <c r="FI40" s="11" t="str">
        <f ca="1">IF(History!FM$2="","",History!FM29*$C$40)</f>
        <v/>
      </c>
      <c r="FJ40" s="11" t="str">
        <f ca="1">IF(History!FN$2="","",History!FN29*$C$40)</f>
        <v/>
      </c>
      <c r="FK40" s="11" t="str">
        <f ca="1">IF(History!FO$2="","",History!FO29*$C$40)</f>
        <v/>
      </c>
      <c r="FL40" s="11" t="str">
        <f ca="1">IF(History!FP$2="","",History!FP29*$C$40)</f>
        <v/>
      </c>
      <c r="FM40" s="11" t="str">
        <f ca="1">IF(History!FQ$2="","",History!FQ29*$C$40)</f>
        <v/>
      </c>
      <c r="FN40" s="11" t="str">
        <f ca="1">IF(History!FR$2="","",History!FR29*$C$40)</f>
        <v/>
      </c>
      <c r="FO40" s="11" t="str">
        <f ca="1">IF(History!FS$2="","",History!FS29*$C$40)</f>
        <v/>
      </c>
      <c r="FP40" s="11" t="str">
        <f ca="1">IF(History!FT$2="","",History!FT29*$C$40)</f>
        <v/>
      </c>
      <c r="FQ40" s="11" t="str">
        <f ca="1">IF(History!FU$2="","",History!FU29*$C$40)</f>
        <v/>
      </c>
      <c r="FR40" s="11" t="str">
        <f ca="1">IF(History!FV$2="","",History!FV29*$C$40)</f>
        <v/>
      </c>
      <c r="FS40" s="11" t="str">
        <f ca="1">IF(History!FW$2="","",History!FW29*$C$40)</f>
        <v/>
      </c>
      <c r="FT40" s="11" t="str">
        <f ca="1">IF(History!FX$2="","",History!FX29*$C$40)</f>
        <v/>
      </c>
      <c r="FU40" s="11" t="str">
        <f ca="1">IF(History!FY$2="","",History!FY29*$C$40)</f>
        <v/>
      </c>
      <c r="FV40" s="11" t="str">
        <f ca="1">IF(History!FZ$2="","",History!FZ29*$C$40)</f>
        <v/>
      </c>
      <c r="FW40" s="11" t="str">
        <f ca="1">IF(History!GA$2="","",History!GA29*$C$40)</f>
        <v/>
      </c>
      <c r="FX40" s="11" t="str">
        <f ca="1">IF(History!GB$2="","",History!GB29*$C$40)</f>
        <v/>
      </c>
      <c r="FY40" s="11" t="str">
        <f ca="1">IF(History!GC$2="","",History!GC29*$C$40)</f>
        <v/>
      </c>
      <c r="FZ40" s="11" t="str">
        <f ca="1">IF(History!GD$2="","",History!GD29*$C$40)</f>
        <v/>
      </c>
      <c r="GA40" s="11" t="str">
        <f ca="1">IF(History!GE$2="","",History!GE29*$C$40)</f>
        <v/>
      </c>
      <c r="GB40" s="11" t="str">
        <f ca="1">IF(History!GF$2="","",History!GF29*$C$40)</f>
        <v/>
      </c>
      <c r="GC40" s="11" t="str">
        <f ca="1">IF(History!GG$2="","",History!GG29*$C$40)</f>
        <v/>
      </c>
      <c r="GD40" s="11" t="str">
        <f ca="1">IF(History!GH$2="","",History!GH29*$C$40)</f>
        <v/>
      </c>
      <c r="GE40" s="11" t="str">
        <f ca="1">IF(History!GI$2="","",History!GI29*$C$40)</f>
        <v/>
      </c>
      <c r="GF40" s="11" t="str">
        <f ca="1">IF(History!GJ$2="","",History!GJ29*$C$40)</f>
        <v/>
      </c>
      <c r="GG40" s="11" t="str">
        <f ca="1">IF(History!GK$2="","",History!GK29*$C$40)</f>
        <v/>
      </c>
      <c r="GH40" s="11" t="str">
        <f ca="1">IF(History!GL$2="","",History!GL29*$C$40)</f>
        <v/>
      </c>
      <c r="GI40" s="11" t="str">
        <f ca="1">IF(History!GM$2="","",History!GM29*$C$40)</f>
        <v/>
      </c>
      <c r="GJ40" s="11" t="str">
        <f ca="1">IF(History!GN$2="","",History!GN29*$C$40)</f>
        <v/>
      </c>
      <c r="GK40" s="11" t="str">
        <f ca="1">IF(History!GO$2="","",History!GO29*$C$40)</f>
        <v/>
      </c>
      <c r="GL40" s="11" t="str">
        <f ca="1">IF(History!GP$2="","",History!GP29*$C$40)</f>
        <v/>
      </c>
      <c r="GM40" s="11" t="str">
        <f ca="1">IF(History!GQ$2="","",History!GQ29*$C$40)</f>
        <v/>
      </c>
      <c r="GN40" s="11" t="str">
        <f ca="1">IF(History!GR$2="","",History!GR29*$C$40)</f>
        <v/>
      </c>
      <c r="GO40" s="11" t="str">
        <f ca="1">IF(History!GS$2="","",History!GS29*$C$40)</f>
        <v/>
      </c>
      <c r="GP40" s="11" t="str">
        <f ca="1">IF(History!GT$2="","",History!GT29*$C$40)</f>
        <v/>
      </c>
      <c r="GQ40" s="11" t="str">
        <f ca="1">IF(History!GU$2="","",History!GU29*$C$40)</f>
        <v/>
      </c>
      <c r="GR40" s="11" t="str">
        <f ca="1">IF(History!GV$2="","",History!GV29*$C$40)</f>
        <v/>
      </c>
      <c r="GS40" s="11" t="str">
        <f ca="1">IF(History!GW$2="","",History!GW29*$C$40)</f>
        <v/>
      </c>
      <c r="GT40" s="11" t="str">
        <f ca="1">IF(History!GX$2="","",History!GX29*$C$40)</f>
        <v/>
      </c>
      <c r="GU40" s="11" t="str">
        <f ca="1">IF(History!GY$2="","",History!GY29*$C$40)</f>
        <v/>
      </c>
      <c r="GV40" s="11" t="str">
        <f ca="1">IF(History!GZ$2="","",History!GZ29*$C$40)</f>
        <v/>
      </c>
      <c r="GW40" s="11" t="str">
        <f ca="1">IF(History!HA$2="","",History!HA29*$C$40)</f>
        <v/>
      </c>
      <c r="GX40" s="11" t="str">
        <f ca="1">IF(History!HB$2="","",History!HB29*$C$40)</f>
        <v/>
      </c>
      <c r="GY40" s="11" t="str">
        <f ca="1">IF(History!HC$2="","",History!HC29*$C$40)</f>
        <v/>
      </c>
      <c r="GZ40" s="11" t="str">
        <f ca="1">IF(History!HD$2="","",History!HD29*$C$40)</f>
        <v/>
      </c>
      <c r="HA40" s="11" t="str">
        <f ca="1">IF(History!HE$2="","",History!HE29*$C$40)</f>
        <v/>
      </c>
      <c r="HB40" s="11" t="str">
        <f ca="1">IF(History!HF$2="","",History!HF29*$C$40)</f>
        <v/>
      </c>
      <c r="HC40" s="11" t="str">
        <f ca="1">IF(History!HG$2="","",History!HG29*$C$40)</f>
        <v/>
      </c>
      <c r="HD40" s="11" t="str">
        <f ca="1">IF(History!HH$2="","",History!HH29*$C$40)</f>
        <v/>
      </c>
      <c r="HE40" s="11" t="str">
        <f ca="1">IF(History!HI$2="","",History!HI29*$C$40)</f>
        <v/>
      </c>
      <c r="HF40" s="11" t="str">
        <f ca="1">IF(History!HJ$2="","",History!HJ29*$C$40)</f>
        <v/>
      </c>
      <c r="HG40" s="11" t="str">
        <f ca="1">IF(History!HK$2="","",History!HK29*$C$40)</f>
        <v/>
      </c>
      <c r="HH40" s="11" t="str">
        <f ca="1">IF(History!HL$2="","",History!HL29*$C$40)</f>
        <v/>
      </c>
      <c r="HI40" s="11" t="str">
        <f ca="1">IF(History!HM$2="","",History!HM29*$C$40)</f>
        <v/>
      </c>
      <c r="HJ40" s="11" t="str">
        <f ca="1">IF(History!HN$2="","",History!HN29*$C$40)</f>
        <v/>
      </c>
      <c r="HK40" s="11" t="str">
        <f ca="1">IF(History!HO$2="","",History!HO29*$C$40)</f>
        <v/>
      </c>
      <c r="HL40" s="11" t="str">
        <f ca="1">IF(History!HP$2="","",History!HP29*$C$40)</f>
        <v/>
      </c>
      <c r="HM40" s="11" t="str">
        <f ca="1">IF(History!HQ$2="","",History!HQ29*$C$40)</f>
        <v/>
      </c>
      <c r="HN40" s="11" t="str">
        <f ca="1">IF(History!HR$2="","",History!HR29*$C$40)</f>
        <v/>
      </c>
      <c r="HO40" s="11" t="str">
        <f ca="1">IF(History!HS$2="","",History!HS29*$C$40)</f>
        <v/>
      </c>
      <c r="HP40" s="11" t="str">
        <f ca="1">IF(History!HT$2="","",History!HT29*$C$40)</f>
        <v/>
      </c>
      <c r="HQ40" s="11" t="str">
        <f ca="1">IF(History!HU$2="","",History!HU29*$C$40)</f>
        <v/>
      </c>
      <c r="HR40" s="11" t="str">
        <f ca="1">IF(History!HV$2="","",History!HV29*$C$40)</f>
        <v/>
      </c>
      <c r="HS40" s="11" t="str">
        <f ca="1">IF(History!HW$2="","",History!HW29*$C$40)</f>
        <v/>
      </c>
      <c r="HT40" s="11" t="str">
        <f ca="1">IF(History!HX$2="","",History!HX29*$C$40)</f>
        <v/>
      </c>
      <c r="HU40" s="11" t="str">
        <f ca="1">IF(History!HY$2="","",History!HY29*$C$40)</f>
        <v/>
      </c>
      <c r="HV40" s="11" t="str">
        <f ca="1">IF(History!HZ$2="","",History!HZ29*$C$40)</f>
        <v/>
      </c>
      <c r="HW40" s="11" t="str">
        <f ca="1">IF(History!IA$2="","",History!IA29*$C$40)</f>
        <v/>
      </c>
      <c r="HX40" s="11" t="str">
        <f ca="1">IF(History!IB$2="","",History!IB29*$C$40)</f>
        <v/>
      </c>
      <c r="HY40" s="11" t="str">
        <f ca="1">IF(History!IC$2="","",History!IC29*$C$40)</f>
        <v/>
      </c>
      <c r="HZ40" s="11" t="str">
        <f ca="1">IF(History!ID$2="","",History!ID29*$C$40)</f>
        <v/>
      </c>
      <c r="IA40" s="11" t="str">
        <f ca="1">IF(History!IE$2="","",History!IE29*$C$40)</f>
        <v/>
      </c>
      <c r="IB40" s="11" t="str">
        <f ca="1">IF(History!IF$2="","",History!IF29*$C$40)</f>
        <v/>
      </c>
      <c r="IC40" s="11" t="str">
        <f ca="1">IF(History!IG$2="","",History!IG29*$C$40)</f>
        <v/>
      </c>
      <c r="ID40" s="11" t="str">
        <f ca="1">IF(History!IH$2="","",History!IH29*$C$40)</f>
        <v/>
      </c>
      <c r="IE40" s="11" t="str">
        <f ca="1">IF(History!II$2="","",History!II29*$C$40)</f>
        <v/>
      </c>
      <c r="IF40" s="11" t="str">
        <f ca="1">IF(History!IJ$2="","",History!IJ29*$C$40)</f>
        <v/>
      </c>
      <c r="IG40" s="11" t="str">
        <f ca="1">IF(History!IK$2="","",History!IK29*$C$40)</f>
        <v/>
      </c>
      <c r="IH40" s="11" t="str">
        <f ca="1">IF(History!IL$2="","",History!IL29*$C$40)</f>
        <v/>
      </c>
      <c r="II40" s="11" t="str">
        <f ca="1">IF(History!IM$2="","",History!IM29*$C$40)</f>
        <v/>
      </c>
      <c r="IJ40" s="11" t="str">
        <f ca="1">IF(History!IN$2="","",History!IN29*$C$40)</f>
        <v/>
      </c>
      <c r="IK40" s="11" t="str">
        <f ca="1">IF(History!IO$2="","",History!IO29*$C$40)</f>
        <v/>
      </c>
      <c r="IL40" s="11" t="str">
        <f ca="1">IF(History!IP$2="","",History!IP29*$C$40)</f>
        <v/>
      </c>
      <c r="IM40" s="11" t="str">
        <f ca="1">IF(History!IQ$2="","",History!IQ29*$C$40)</f>
        <v/>
      </c>
      <c r="IN40" s="11" t="str">
        <f ca="1">IF(History!IR$2="","",History!IR29*$C$40)</f>
        <v/>
      </c>
      <c r="IO40" s="11" t="str">
        <f ca="1">IF(History!IS$2="","",History!IS29*$C$40)</f>
        <v/>
      </c>
      <c r="IP40" s="11" t="str">
        <f ca="1">IF(History!IT$2="","",History!IT29*$C$40)</f>
        <v/>
      </c>
      <c r="IQ40" s="11" t="str">
        <f ca="1">IF(History!IU$2="","",History!IU29*$C$40)</f>
        <v/>
      </c>
      <c r="IR40" s="11" t="str">
        <f ca="1">IF(History!IV$2="","",History!IV29*$C$40)</f>
        <v/>
      </c>
      <c r="IS40" s="11" t="str">
        <f ca="1">IF(History!IW$2="","",History!IW29*$C$40)</f>
        <v/>
      </c>
      <c r="IT40" s="11" t="str">
        <f ca="1">IF(History!IX$2="","",History!IX29*$C$40)</f>
        <v/>
      </c>
      <c r="IU40" s="11" t="str">
        <f ca="1">IF(History!IY$2="","",History!IY29*$C$40)</f>
        <v/>
      </c>
      <c r="IV40" s="11" t="str">
        <f ca="1">IF(History!IZ$2="","",History!IZ29*$C$40)</f>
        <v/>
      </c>
      <c r="IW40" s="11" t="str">
        <f ca="1">IF(History!JA$2="","",History!JA29*$C$40)</f>
        <v/>
      </c>
      <c r="IX40" s="11" t="str">
        <f ca="1">IF(History!JB$2="","",History!JB29*$C$40)</f>
        <v/>
      </c>
      <c r="IY40" s="11" t="str">
        <f ca="1">IF(History!JC$2="","",History!JC29*$C$40)</f>
        <v/>
      </c>
      <c r="IZ40" s="11" t="str">
        <f ca="1">IF(History!JD$2="","",History!JD29*$C$40)</f>
        <v/>
      </c>
      <c r="JA40" s="11" t="str">
        <f ca="1">IF(History!JE$2="","",History!JE29*$C$40)</f>
        <v/>
      </c>
      <c r="JB40" s="11" t="str">
        <f ca="1">IF(History!JF$2="","",History!JF29*$C$40)</f>
        <v/>
      </c>
      <c r="JC40" s="11" t="str">
        <f ca="1">IF(History!JG$2="","",History!JG29*$C$40)</f>
        <v/>
      </c>
      <c r="JD40" s="11" t="str">
        <f ca="1">IF(History!JH$2="","",History!JH29*$C$40)</f>
        <v/>
      </c>
      <c r="JE40" s="11" t="str">
        <f ca="1">IF(History!JI$2="","",History!JI29*$C$40)</f>
        <v/>
      </c>
      <c r="JF40" s="11" t="str">
        <f ca="1">IF(History!JJ$2="","",History!JJ29*$C$40)</f>
        <v/>
      </c>
      <c r="JG40" s="11" t="str">
        <f ca="1">IF(History!JK$2="","",History!JK29*$C$40)</f>
        <v/>
      </c>
      <c r="JH40" s="11" t="str">
        <f ca="1">IF(History!JL$2="","",History!JL29*$C$40)</f>
        <v/>
      </c>
      <c r="JI40" s="11" t="str">
        <f ca="1">IF(History!JM$2="","",History!JM29*$C$40)</f>
        <v/>
      </c>
      <c r="JJ40" s="11" t="str">
        <f ca="1">IF(History!JN$2="","",History!JN29*$C$40)</f>
        <v/>
      </c>
      <c r="JK40" s="11" t="str">
        <f ca="1">IF(History!JO$2="","",History!JO29*$C$40)</f>
        <v/>
      </c>
      <c r="JL40" s="11" t="str">
        <f ca="1">IF(History!JP$2="","",History!JP29*$C$40)</f>
        <v/>
      </c>
      <c r="JM40" s="11" t="str">
        <f ca="1">IF(History!JQ$2="","",History!JQ29*$C$40)</f>
        <v/>
      </c>
      <c r="JN40" s="11" t="str">
        <f ca="1">IF(History!JR$2="","",History!JR29*$C$40)</f>
        <v/>
      </c>
      <c r="JO40" s="11" t="str">
        <f ca="1">IF(History!JS$2="","",History!JS29*$C$40)</f>
        <v/>
      </c>
      <c r="JP40" s="11" t="str">
        <f ca="1">IF(History!JT$2="","",History!JT29*$C$40)</f>
        <v/>
      </c>
      <c r="JQ40" s="11" t="str">
        <f ca="1">IF(History!JU$2="","",History!JU29*$C$40)</f>
        <v/>
      </c>
      <c r="JR40" s="11" t="str">
        <f ca="1">IF(History!JV$2="","",History!JV29*$C$40)</f>
        <v/>
      </c>
      <c r="JS40" s="11" t="str">
        <f ca="1">IF(History!JW$2="","",History!JW29*$C$40)</f>
        <v/>
      </c>
      <c r="JT40" s="11" t="str">
        <f ca="1">IF(History!JX$2="","",History!JX29*$C$40)</f>
        <v/>
      </c>
      <c r="JU40" s="11" t="str">
        <f ca="1">IF(History!JY$2="","",History!JY29*$C$40)</f>
        <v/>
      </c>
      <c r="JV40" s="11" t="str">
        <f ca="1">IF(History!JZ$2="","",History!JZ29*$C$40)</f>
        <v/>
      </c>
      <c r="JW40" s="11" t="str">
        <f ca="1">IF(History!KA$2="","",History!KA29*$C$40)</f>
        <v/>
      </c>
      <c r="JX40" s="11" t="str">
        <f ca="1">IF(History!KB$2="","",History!KB29*$C$40)</f>
        <v/>
      </c>
      <c r="JY40" s="11" t="str">
        <f ca="1">IF(History!KC$2="","",History!KC29*$C$40)</f>
        <v/>
      </c>
      <c r="JZ40" s="11" t="str">
        <f ca="1">IF(History!KD$2="","",History!KD29*$C$40)</f>
        <v/>
      </c>
      <c r="KA40" s="11" t="str">
        <f ca="1">IF(History!KE$2="","",History!KE29*$C$40)</f>
        <v/>
      </c>
      <c r="KB40" s="11" t="str">
        <f ca="1">IF(History!KF$2="","",History!KF29*$C$40)</f>
        <v/>
      </c>
    </row>
    <row r="41" spans="1:288" ht="15.75" customHeight="1">
      <c r="A41" s="22" t="s">
        <v>30</v>
      </c>
      <c r="B41" s="6" t="s">
        <v>73</v>
      </c>
      <c r="C41" s="26">
        <v>52</v>
      </c>
      <c r="D41" s="11">
        <f ca="1">IF(History!H$2="","",History!H30*$C$41)</f>
        <v>1516.8400000000001</v>
      </c>
      <c r="E41" s="11">
        <f ca="1">IF(History!I$2="","",History!I30*$C$41)</f>
        <v>1571.96</v>
      </c>
      <c r="F41" s="11">
        <f ca="1">IF(History!J$2="","",History!J30*$C$41)</f>
        <v>1516.32</v>
      </c>
      <c r="G41" s="11">
        <f ca="1">IF(History!K$2="","",History!K30*$C$41)</f>
        <v>1441.96</v>
      </c>
      <c r="H41" s="11">
        <f ca="1">IF(History!L$2="","",History!L30*$C$41)</f>
        <v>1507.48</v>
      </c>
      <c r="I41" s="11">
        <f ca="1">IF(History!M$2="","",History!M30*$C$41)</f>
        <v>1426.36</v>
      </c>
      <c r="J41" s="11">
        <f ca="1">IF(History!N$2="","",History!N30*$C$41)</f>
        <v>1447.68</v>
      </c>
      <c r="K41" s="11">
        <f ca="1">IF(History!O$2="","",History!O30*$C$41)</f>
        <v>1393.08</v>
      </c>
      <c r="L41" s="11">
        <f ca="1">IF(History!P$2="","",History!P30*$C$41)</f>
        <v>1380.08</v>
      </c>
      <c r="M41" s="11">
        <f ca="1">IF(History!Q$2="","",History!Q30*$C$41)</f>
        <v>1438.32</v>
      </c>
      <c r="N41" s="11">
        <f ca="1">IF(History!R$2="","",History!R30*$C$41)</f>
        <v>1395.1599999999999</v>
      </c>
      <c r="O41" s="11">
        <f ca="1">IF(History!S$2="","",History!S30*$C$41)</f>
        <v>1378.52</v>
      </c>
      <c r="P41" s="11">
        <f ca="1">IF(History!T$2="","",History!T30*$C$41)</f>
        <v>1335.36</v>
      </c>
      <c r="Q41" s="11">
        <f ca="1">IF(History!U$2="","",History!U30*$C$41)</f>
        <v>1425.8400000000001</v>
      </c>
      <c r="R41" s="11">
        <f ca="1">IF(History!V$2="","",History!V30*$C$41)</f>
        <v>1500.2</v>
      </c>
      <c r="S41" s="11">
        <f ca="1">IF(History!W$2="","",History!W30*$C$41)</f>
        <v>1525.1599999999999</v>
      </c>
      <c r="T41" s="11">
        <f ca="1">IF(History!X$2="","",History!X30*$C$41)</f>
        <v>1461.2</v>
      </c>
      <c r="U41" s="11">
        <f ca="1">IF(History!Y$2="","",History!Y30*$C$41)</f>
        <v>1418.04</v>
      </c>
      <c r="V41" s="11">
        <f ca="1">IF(History!Z$2="","",History!Z30*$C$41)</f>
        <v>1434.68</v>
      </c>
      <c r="W41" s="11">
        <f ca="1">IF(History!AA$2="","",History!AA30*$C$41)</f>
        <v>1497.6000000000001</v>
      </c>
      <c r="X41" s="11">
        <f ca="1">IF(History!AB$2="","",History!AB30*$C$41)</f>
        <v>1510.08</v>
      </c>
      <c r="Y41" s="11">
        <f ca="1">IF(History!AC$2="","",History!AC30*$C$41)</f>
        <v>1583.3999999999999</v>
      </c>
      <c r="Z41" s="11">
        <f ca="1">IF(History!AD$2="","",History!AD30*$C$41)</f>
        <v>1604.2</v>
      </c>
      <c r="AA41" s="11">
        <f ca="1">IF(History!AE$2="","",History!AE30*$C$41)</f>
        <v>1601.6000000000001</v>
      </c>
      <c r="AB41" s="11">
        <f ca="1">IF(History!AF$2="","",History!AF30*$C$41)</f>
        <v>1583.3999999999999</v>
      </c>
      <c r="AC41" s="11">
        <f ca="1">IF(History!AG$2="","",History!AG30*$C$41)</f>
        <v>1665.56</v>
      </c>
      <c r="AD41" s="11">
        <f ca="1">IF(History!AH$2="","",History!AH30*$C$41)</f>
        <v>1790.8799999999999</v>
      </c>
      <c r="AE41" s="11">
        <f ca="1">IF(History!AI$2="","",History!AI30*$C$41)</f>
        <v>1716</v>
      </c>
      <c r="AF41" s="11">
        <f ca="1">IF(History!AJ$2="","",History!AJ30*$C$41)</f>
        <v>1691.0400000000002</v>
      </c>
      <c r="AG41" s="11">
        <f ca="1">IF(History!AK$2="","",History!AK30*$C$41)</f>
        <v>1623.44</v>
      </c>
      <c r="AH41" s="11">
        <f ca="1">IF(History!AL$2="","",History!AL30*$C$41)</f>
        <v>1496.56</v>
      </c>
      <c r="AI41" s="11">
        <f ca="1">IF(History!AM$2="","",History!AM30*$C$41)</f>
        <v>1570.3999999999999</v>
      </c>
      <c r="AJ41" s="11">
        <f ca="1">IF(History!AN$2="","",History!AN30*$C$41)</f>
        <v>1551.68</v>
      </c>
      <c r="AK41" s="11">
        <f ca="1">IF(History!AO$2="","",History!AO30*$C$41)</f>
        <v>1570.3999999999999</v>
      </c>
      <c r="AL41" s="11">
        <f ca="1">IF(History!AP$2="","",History!AP30*$C$41)</f>
        <v>1553.24</v>
      </c>
      <c r="AM41" s="11">
        <f ca="1">IF(History!AQ$2="","",History!AQ30*$C$41)</f>
        <v>1504.88</v>
      </c>
      <c r="AN41" s="11">
        <f ca="1">IF(History!AR$2="","",History!AR30*$C$41)</f>
        <v>1481.48</v>
      </c>
      <c r="AO41" s="11">
        <f ca="1">IF(History!AS$2="","",History!AS30*$C$41)</f>
        <v>1431.56</v>
      </c>
      <c r="AP41" s="11">
        <f ca="1">IF(History!AT$2="","",History!AT30*$C$41)</f>
        <v>1449.76</v>
      </c>
      <c r="AQ41" s="11">
        <f ca="1">IF(History!AU$2="","",History!AU30*$C$41)</f>
        <v>1490.8400000000001</v>
      </c>
      <c r="AR41" s="11">
        <f ca="1">IF(History!AV$2="","",History!AV30*$C$41)</f>
        <v>1518.92</v>
      </c>
      <c r="AS41" s="11">
        <f ca="1">IF(History!AW$2="","",History!AW30*$C$41)</f>
        <v>1487.2</v>
      </c>
      <c r="AT41" s="11">
        <f ca="1">IF(History!AX$2="","",History!AX30*$C$41)</f>
        <v>1446.12</v>
      </c>
      <c r="AU41" s="11">
        <f ca="1">IF(History!AY$2="","",History!AY30*$C$41)</f>
        <v>1476.28</v>
      </c>
      <c r="AV41" s="11">
        <f ca="1">IF(History!AZ$2="","",History!AZ30*$C$41)</f>
        <v>1500.2</v>
      </c>
      <c r="AW41" s="11">
        <f ca="1">IF(History!BA$2="","",History!BA30*$C$41)</f>
        <v>1566.76</v>
      </c>
      <c r="AX41" s="11">
        <f ca="1">IF(History!BB$2="","",History!BB30*$C$41)</f>
        <v>1621.88</v>
      </c>
      <c r="AY41" s="11">
        <f ca="1">IF(History!BC$2="","",History!BC30*$C$41)</f>
        <v>1694.6800000000003</v>
      </c>
      <c r="AZ41" s="11">
        <f ca="1">IF(History!BD$2="","",History!BD30*$C$41)</f>
        <v>1671.8</v>
      </c>
      <c r="BA41" s="11">
        <f ca="1">IF(History!BE$2="","",History!BE30*$C$41)</f>
        <v>1750.8400000000001</v>
      </c>
      <c r="BB41" s="11">
        <f ca="1">IF(History!BF$2="","",History!BF30*$C$41)</f>
        <v>1745.1200000000001</v>
      </c>
      <c r="BC41" s="11">
        <f ca="1">IF(History!BG$2="","",History!BG30*$C$41)</f>
        <v>1812.2</v>
      </c>
      <c r="BD41" s="11">
        <f ca="1">IF(History!BH$2="","",History!BH30*$C$41)</f>
        <v>1790.8799999999999</v>
      </c>
      <c r="BE41" s="11">
        <f ca="1">IF(History!BI$2="","",History!BI30*$C$41)</f>
        <v>1834.56</v>
      </c>
      <c r="BF41" s="11">
        <f ca="1">IF(History!BJ$2="","",History!BJ30*$C$41)</f>
        <v>1850.6800000000003</v>
      </c>
      <c r="BG41" s="11">
        <f ca="1">IF(History!BK$2="","",History!BK30*$C$41)</f>
        <v>1817.4</v>
      </c>
      <c r="BH41" s="11">
        <f ca="1">IF(History!BL$2="","",History!BL30*$C$41)</f>
        <v>1801.28</v>
      </c>
      <c r="BI41" s="11">
        <f ca="1">IF(History!BM$2="","",History!BM30*$C$41)</f>
        <v>1867.3199999999997</v>
      </c>
      <c r="BJ41" s="11">
        <f ca="1">IF(History!BN$2="","",History!BN30*$C$41)</f>
        <v>1939.6</v>
      </c>
      <c r="BK41" s="11">
        <f ca="1">IF(History!BO$2="","",History!BO30*$C$41)</f>
        <v>1944.28</v>
      </c>
      <c r="BL41" s="11">
        <f ca="1">IF(History!BP$2="","",History!BP30*$C$41)</f>
        <v>1917.2399999999998</v>
      </c>
      <c r="BM41" s="11">
        <f ca="1">IF(History!BQ$2="","",History!BQ30*$C$41)</f>
        <v>1874.6</v>
      </c>
      <c r="BN41" s="11">
        <f ca="1">IF(History!BR$2="","",History!BR30*$C$41)</f>
        <v>1809.6</v>
      </c>
      <c r="BO41" s="11">
        <f ca="1">IF(History!BS$2="","",History!BS30*$C$41)</f>
        <v>1770.08</v>
      </c>
      <c r="BP41" s="11">
        <f ca="1">IF(History!BT$2="","",History!BT30*$C$41)</f>
        <v>1820.52</v>
      </c>
      <c r="BQ41" s="11">
        <f ca="1">IF(History!BU$2="","",History!BU30*$C$41)</f>
        <v>1875.64</v>
      </c>
      <c r="BR41" s="11">
        <f ca="1">IF(History!BV$2="","",History!BV30*$C$41)</f>
        <v>1842.8799999999999</v>
      </c>
      <c r="BS41" s="11">
        <f ca="1">IF(History!BW$2="","",History!BW30*$C$41)</f>
        <v>1769.0400000000002</v>
      </c>
      <c r="BT41" s="11">
        <f ca="1">IF(History!BX$2="","",History!BX30*$C$41)</f>
        <v>1803.8799999999999</v>
      </c>
      <c r="BU41" s="11">
        <f ca="1">IF(History!BY$2="","",History!BY30*$C$41)</f>
        <v>1854.3199999999997</v>
      </c>
      <c r="BV41" s="11">
        <f ca="1">IF(History!BZ$2="","",History!BZ30*$C$41)</f>
        <v>1799.72</v>
      </c>
      <c r="BW41" s="11">
        <f ca="1">IF(History!CA$2="","",History!CA30*$C$41)</f>
        <v>1733.6800000000003</v>
      </c>
      <c r="BX41" s="11">
        <f ca="1">IF(History!CB$2="","",History!CB30*$C$41)</f>
        <v>1811.6800000000003</v>
      </c>
      <c r="BY41" s="11">
        <f ca="1">IF(History!CC$2="","",History!CC30*$C$41)</f>
        <v>1703</v>
      </c>
      <c r="BZ41" s="11">
        <f ca="1">IF(History!CD$2="","",History!CD30*$C$41)</f>
        <v>1681.6800000000003</v>
      </c>
      <c r="CA41" s="11">
        <f ca="1">IF(History!CE$2="","",History!CE30*$C$41)</f>
        <v>1665.56</v>
      </c>
      <c r="CB41" s="11">
        <f ca="1">IF(History!CF$2="","",History!CF30*$C$41)</f>
        <v>1596.3999999999999</v>
      </c>
      <c r="CC41" s="11">
        <f ca="1">IF(History!CG$2="","",History!CG30*$C$41)</f>
        <v>1668.6800000000003</v>
      </c>
      <c r="CD41" s="11">
        <f ca="1">IF(History!CH$2="","",History!CH30*$C$41)</f>
        <v>1666.08</v>
      </c>
      <c r="CE41" s="11">
        <f ca="1">IF(History!CI$2="","",History!CI30*$C$41)</f>
        <v>1671.8</v>
      </c>
      <c r="CF41" s="11" t="str">
        <f ca="1">IF(History!CJ$2="","",History!CJ30*$C$41)</f>
        <v/>
      </c>
      <c r="CG41" s="11" t="str">
        <f ca="1">IF(History!CK$2="","",History!CK30*$C$41)</f>
        <v/>
      </c>
      <c r="CH41" s="11" t="str">
        <f ca="1">IF(History!CL$2="","",History!CL30*$C$41)</f>
        <v/>
      </c>
      <c r="CI41" s="11" t="str">
        <f ca="1">IF(History!CM$2="","",History!CM30*$C$41)</f>
        <v/>
      </c>
      <c r="CJ41" s="11" t="str">
        <f ca="1">IF(History!CN$2="","",History!CN30*$C$41)</f>
        <v/>
      </c>
      <c r="CK41" s="11" t="str">
        <f ca="1">IF(History!CO$2="","",History!CO30*$C$41)</f>
        <v/>
      </c>
      <c r="CL41" s="11" t="str">
        <f ca="1">IF(History!CP$2="","",History!CP30*$C$41)</f>
        <v/>
      </c>
      <c r="CM41" s="11" t="str">
        <f ca="1">IF(History!CQ$2="","",History!CQ30*$C$41)</f>
        <v/>
      </c>
      <c r="CN41" s="11" t="str">
        <f ca="1">IF(History!CR$2="","",History!CR30*$C$41)</f>
        <v/>
      </c>
      <c r="CO41" s="11" t="str">
        <f ca="1">IF(History!CS$2="","",History!CS30*$C$41)</f>
        <v/>
      </c>
      <c r="CP41" s="11" t="str">
        <f ca="1">IF(History!CT$2="","",History!CT30*$C$41)</f>
        <v/>
      </c>
      <c r="CQ41" s="11" t="str">
        <f ca="1">IF(History!CU$2="","",History!CU30*$C$41)</f>
        <v/>
      </c>
      <c r="CR41" s="11" t="str">
        <f ca="1">IF(History!CV$2="","",History!CV30*$C$41)</f>
        <v/>
      </c>
      <c r="CS41" s="11" t="str">
        <f ca="1">IF(History!CW$2="","",History!CW30*$C$41)</f>
        <v/>
      </c>
      <c r="CT41" s="11" t="str">
        <f ca="1">IF(History!CX$2="","",History!CX30*$C$41)</f>
        <v/>
      </c>
      <c r="CU41" s="11" t="str">
        <f ca="1">IF(History!CY$2="","",History!CY30*$C$41)</f>
        <v/>
      </c>
      <c r="CV41" s="11" t="str">
        <f ca="1">IF(History!CZ$2="","",History!CZ30*$C$41)</f>
        <v/>
      </c>
      <c r="CW41" s="11" t="str">
        <f ca="1">IF(History!DA$2="","",History!DA30*$C$41)</f>
        <v/>
      </c>
      <c r="CX41" s="11" t="str">
        <f ca="1">IF(History!DB$2="","",History!DB30*$C$41)</f>
        <v/>
      </c>
      <c r="CY41" s="11" t="str">
        <f ca="1">IF(History!DC$2="","",History!DC30*$C$41)</f>
        <v/>
      </c>
      <c r="CZ41" s="11" t="str">
        <f ca="1">IF(History!DD$2="","",History!DD30*$C$41)</f>
        <v/>
      </c>
      <c r="DA41" s="11" t="str">
        <f ca="1">IF(History!DE$2="","",History!DE30*$C$41)</f>
        <v/>
      </c>
      <c r="DB41" s="11" t="str">
        <f ca="1">IF(History!DF$2="","",History!DF30*$C$41)</f>
        <v/>
      </c>
      <c r="DC41" s="11" t="str">
        <f ca="1">IF(History!DG$2="","",History!DG30*$C$41)</f>
        <v/>
      </c>
      <c r="DD41" s="11" t="str">
        <f ca="1">IF(History!DH$2="","",History!DH30*$C$41)</f>
        <v/>
      </c>
      <c r="DE41" s="11" t="str">
        <f ca="1">IF(History!DI$2="","",History!DI30*$C$41)</f>
        <v/>
      </c>
      <c r="DF41" s="11" t="str">
        <f ca="1">IF(History!DJ$2="","",History!DJ30*$C$41)</f>
        <v/>
      </c>
      <c r="DG41" s="11" t="str">
        <f ca="1">IF(History!DK$2="","",History!DK30*$C$41)</f>
        <v/>
      </c>
      <c r="DH41" s="11" t="str">
        <f ca="1">IF(History!DL$2="","",History!DL30*$C$41)</f>
        <v/>
      </c>
      <c r="DI41" s="11" t="str">
        <f ca="1">IF(History!DM$2="","",History!DM30*$C$41)</f>
        <v/>
      </c>
      <c r="DJ41" s="11" t="str">
        <f ca="1">IF(History!DN$2="","",History!DN30*$C$41)</f>
        <v/>
      </c>
      <c r="DK41" s="11" t="str">
        <f ca="1">IF(History!DO$2="","",History!DO30*$C$41)</f>
        <v/>
      </c>
      <c r="DL41" s="11" t="str">
        <f ca="1">IF(History!DP$2="","",History!DP30*$C$41)</f>
        <v/>
      </c>
      <c r="DM41" s="11" t="str">
        <f ca="1">IF(History!DQ$2="","",History!DQ30*$C$41)</f>
        <v/>
      </c>
      <c r="DN41" s="11" t="str">
        <f ca="1">IF(History!DR$2="","",History!DR30*$C$41)</f>
        <v/>
      </c>
      <c r="DO41" s="11" t="str">
        <f ca="1">IF(History!DS$2="","",History!DS30*$C$41)</f>
        <v/>
      </c>
      <c r="DP41" s="11" t="str">
        <f ca="1">IF(History!DT$2="","",History!DT30*$C$41)</f>
        <v/>
      </c>
      <c r="DQ41" s="11" t="str">
        <f ca="1">IF(History!DU$2="","",History!DU30*$C$41)</f>
        <v/>
      </c>
      <c r="DR41" s="11" t="str">
        <f ca="1">IF(History!DV$2="","",History!DV30*$C$41)</f>
        <v/>
      </c>
      <c r="DS41" s="11" t="str">
        <f ca="1">IF(History!DW$2="","",History!DW30*$C$41)</f>
        <v/>
      </c>
      <c r="DT41" s="11" t="str">
        <f ca="1">IF(History!DX$2="","",History!DX30*$C$41)</f>
        <v/>
      </c>
      <c r="DU41" s="11" t="str">
        <f ca="1">IF(History!DY$2="","",History!DY30*$C$41)</f>
        <v/>
      </c>
      <c r="DV41" s="11" t="str">
        <f ca="1">IF(History!DZ$2="","",History!DZ30*$C$41)</f>
        <v/>
      </c>
      <c r="DW41" s="11" t="str">
        <f ca="1">IF(History!EA$2="","",History!EA30*$C$41)</f>
        <v/>
      </c>
      <c r="DX41" s="11" t="str">
        <f ca="1">IF(History!EB$2="","",History!EB30*$C$41)</f>
        <v/>
      </c>
      <c r="DY41" s="11" t="str">
        <f ca="1">IF(History!EC$2="","",History!EC30*$C$41)</f>
        <v/>
      </c>
      <c r="DZ41" s="11" t="str">
        <f ca="1">IF(History!ED$2="","",History!ED30*$C$41)</f>
        <v/>
      </c>
      <c r="EA41" s="11" t="str">
        <f ca="1">IF(History!EE$2="","",History!EE30*$C$41)</f>
        <v/>
      </c>
      <c r="EB41" s="11" t="str">
        <f ca="1">IF(History!EF$2="","",History!EF30*$C$41)</f>
        <v/>
      </c>
      <c r="EC41" s="11" t="str">
        <f ca="1">IF(History!EG$2="","",History!EG30*$C$41)</f>
        <v/>
      </c>
      <c r="ED41" s="11" t="str">
        <f ca="1">IF(History!EH$2="","",History!EH30*$C$41)</f>
        <v/>
      </c>
      <c r="EE41" s="11" t="str">
        <f ca="1">IF(History!EI$2="","",History!EI30*$C$41)</f>
        <v/>
      </c>
      <c r="EF41" s="11" t="str">
        <f ca="1">IF(History!EJ$2="","",History!EJ30*$C$41)</f>
        <v/>
      </c>
      <c r="EG41" s="11" t="str">
        <f ca="1">IF(History!EK$2="","",History!EK30*$C$41)</f>
        <v/>
      </c>
      <c r="EH41" s="11" t="str">
        <f ca="1">IF(History!EL$2="","",History!EL30*$C$41)</f>
        <v/>
      </c>
      <c r="EI41" s="11" t="str">
        <f ca="1">IF(History!EM$2="","",History!EM30*$C$41)</f>
        <v/>
      </c>
      <c r="EJ41" s="11" t="str">
        <f ca="1">IF(History!EN$2="","",History!EN30*$C$41)</f>
        <v/>
      </c>
      <c r="EK41" s="11" t="str">
        <f ca="1">IF(History!EO$2="","",History!EO30*$C$41)</f>
        <v/>
      </c>
      <c r="EL41" s="11" t="str">
        <f ca="1">IF(History!EP$2="","",History!EP30*$C$41)</f>
        <v/>
      </c>
      <c r="EM41" s="11" t="str">
        <f ca="1">IF(History!EQ$2="","",History!EQ30*$C$41)</f>
        <v/>
      </c>
      <c r="EN41" s="11" t="str">
        <f ca="1">IF(History!ER$2="","",History!ER30*$C$41)</f>
        <v/>
      </c>
      <c r="EO41" s="11" t="str">
        <f ca="1">IF(History!ES$2="","",History!ES30*$C$41)</f>
        <v/>
      </c>
      <c r="EP41" s="11" t="str">
        <f ca="1">IF(History!ET$2="","",History!ET30*$C$41)</f>
        <v/>
      </c>
      <c r="EQ41" s="11" t="str">
        <f ca="1">IF(History!EU$2="","",History!EU30*$C$41)</f>
        <v/>
      </c>
      <c r="ER41" s="11" t="str">
        <f ca="1">IF(History!EV$2="","",History!EV30*$C$41)</f>
        <v/>
      </c>
      <c r="ES41" s="11" t="str">
        <f ca="1">IF(History!EW$2="","",History!EW30*$C$41)</f>
        <v/>
      </c>
      <c r="ET41" s="11" t="str">
        <f ca="1">IF(History!EX$2="","",History!EX30*$C$41)</f>
        <v/>
      </c>
      <c r="EU41" s="11" t="str">
        <f ca="1">IF(History!EY$2="","",History!EY30*$C$41)</f>
        <v/>
      </c>
      <c r="EV41" s="11" t="str">
        <f ca="1">IF(History!EZ$2="","",History!EZ30*$C$41)</f>
        <v/>
      </c>
      <c r="EW41" s="11" t="str">
        <f ca="1">IF(History!FA$2="","",History!FA30*$C$41)</f>
        <v/>
      </c>
      <c r="EX41" s="11" t="str">
        <f ca="1">IF(History!FB$2="","",History!FB30*$C$41)</f>
        <v/>
      </c>
      <c r="EY41" s="11" t="str">
        <f ca="1">IF(History!FC$2="","",History!FC30*$C$41)</f>
        <v/>
      </c>
      <c r="EZ41" s="11" t="str">
        <f ca="1">IF(History!FD$2="","",History!FD30*$C$41)</f>
        <v/>
      </c>
      <c r="FA41" s="11" t="str">
        <f ca="1">IF(History!FE$2="","",History!FE30*$C$41)</f>
        <v/>
      </c>
      <c r="FB41" s="11" t="str">
        <f ca="1">IF(History!FF$2="","",History!FF30*$C$41)</f>
        <v/>
      </c>
      <c r="FC41" s="11" t="str">
        <f ca="1">IF(History!FG$2="","",History!FG30*$C$41)</f>
        <v/>
      </c>
      <c r="FD41" s="11" t="str">
        <f ca="1">IF(History!FH$2="","",History!FH30*$C$41)</f>
        <v/>
      </c>
      <c r="FE41" s="11" t="str">
        <f ca="1">IF(History!FI$2="","",History!FI30*$C$41)</f>
        <v/>
      </c>
      <c r="FF41" s="11" t="str">
        <f ca="1">IF(History!FJ$2="","",History!FJ30*$C$41)</f>
        <v/>
      </c>
      <c r="FG41" s="11" t="str">
        <f ca="1">IF(History!FK$2="","",History!FK30*$C$41)</f>
        <v/>
      </c>
      <c r="FH41" s="11" t="str">
        <f ca="1">IF(History!FL$2="","",History!FL30*$C$41)</f>
        <v/>
      </c>
      <c r="FI41" s="11" t="str">
        <f ca="1">IF(History!FM$2="","",History!FM30*$C$41)</f>
        <v/>
      </c>
      <c r="FJ41" s="11" t="str">
        <f ca="1">IF(History!FN$2="","",History!FN30*$C$41)</f>
        <v/>
      </c>
      <c r="FK41" s="11" t="str">
        <f ca="1">IF(History!FO$2="","",History!FO30*$C$41)</f>
        <v/>
      </c>
      <c r="FL41" s="11" t="str">
        <f ca="1">IF(History!FP$2="","",History!FP30*$C$41)</f>
        <v/>
      </c>
      <c r="FM41" s="11" t="str">
        <f ca="1">IF(History!FQ$2="","",History!FQ30*$C$41)</f>
        <v/>
      </c>
      <c r="FN41" s="11" t="str">
        <f ca="1">IF(History!FR$2="","",History!FR30*$C$41)</f>
        <v/>
      </c>
      <c r="FO41" s="11" t="str">
        <f ca="1">IF(History!FS$2="","",History!FS30*$C$41)</f>
        <v/>
      </c>
      <c r="FP41" s="11" t="str">
        <f ca="1">IF(History!FT$2="","",History!FT30*$C$41)</f>
        <v/>
      </c>
      <c r="FQ41" s="11" t="str">
        <f ca="1">IF(History!FU$2="","",History!FU30*$C$41)</f>
        <v/>
      </c>
      <c r="FR41" s="11" t="str">
        <f ca="1">IF(History!FV$2="","",History!FV30*$C$41)</f>
        <v/>
      </c>
      <c r="FS41" s="11" t="str">
        <f ca="1">IF(History!FW$2="","",History!FW30*$C$41)</f>
        <v/>
      </c>
      <c r="FT41" s="11" t="str">
        <f ca="1">IF(History!FX$2="","",History!FX30*$C$41)</f>
        <v/>
      </c>
      <c r="FU41" s="11" t="str">
        <f ca="1">IF(History!FY$2="","",History!FY30*$C$41)</f>
        <v/>
      </c>
      <c r="FV41" s="11" t="str">
        <f ca="1">IF(History!FZ$2="","",History!FZ30*$C$41)</f>
        <v/>
      </c>
      <c r="FW41" s="11" t="str">
        <f ca="1">IF(History!GA$2="","",History!GA30*$C$41)</f>
        <v/>
      </c>
      <c r="FX41" s="11" t="str">
        <f ca="1">IF(History!GB$2="","",History!GB30*$C$41)</f>
        <v/>
      </c>
      <c r="FY41" s="11" t="str">
        <f ca="1">IF(History!GC$2="","",History!GC30*$C$41)</f>
        <v/>
      </c>
      <c r="FZ41" s="11" t="str">
        <f ca="1">IF(History!GD$2="","",History!GD30*$C$41)</f>
        <v/>
      </c>
      <c r="GA41" s="11" t="str">
        <f ca="1">IF(History!GE$2="","",History!GE30*$C$41)</f>
        <v/>
      </c>
      <c r="GB41" s="11" t="str">
        <f ca="1">IF(History!GF$2="","",History!GF30*$C$41)</f>
        <v/>
      </c>
      <c r="GC41" s="11" t="str">
        <f ca="1">IF(History!GG$2="","",History!GG30*$C$41)</f>
        <v/>
      </c>
      <c r="GD41" s="11" t="str">
        <f ca="1">IF(History!GH$2="","",History!GH30*$C$41)</f>
        <v/>
      </c>
      <c r="GE41" s="11" t="str">
        <f ca="1">IF(History!GI$2="","",History!GI30*$C$41)</f>
        <v/>
      </c>
      <c r="GF41" s="11" t="str">
        <f ca="1">IF(History!GJ$2="","",History!GJ30*$C$41)</f>
        <v/>
      </c>
      <c r="GG41" s="11" t="str">
        <f ca="1">IF(History!GK$2="","",History!GK30*$C$41)</f>
        <v/>
      </c>
      <c r="GH41" s="11" t="str">
        <f ca="1">IF(History!GL$2="","",History!GL30*$C$41)</f>
        <v/>
      </c>
      <c r="GI41" s="11" t="str">
        <f ca="1">IF(History!GM$2="","",History!GM30*$C$41)</f>
        <v/>
      </c>
      <c r="GJ41" s="11" t="str">
        <f ca="1">IF(History!GN$2="","",History!GN30*$C$41)</f>
        <v/>
      </c>
      <c r="GK41" s="11" t="str">
        <f ca="1">IF(History!GO$2="","",History!GO30*$C$41)</f>
        <v/>
      </c>
      <c r="GL41" s="11" t="str">
        <f ca="1">IF(History!GP$2="","",History!GP30*$C$41)</f>
        <v/>
      </c>
      <c r="GM41" s="11" t="str">
        <f ca="1">IF(History!GQ$2="","",History!GQ30*$C$41)</f>
        <v/>
      </c>
      <c r="GN41" s="11" t="str">
        <f ca="1">IF(History!GR$2="","",History!GR30*$C$41)</f>
        <v/>
      </c>
      <c r="GO41" s="11" t="str">
        <f ca="1">IF(History!GS$2="","",History!GS30*$C$41)</f>
        <v/>
      </c>
      <c r="GP41" s="11" t="str">
        <f ca="1">IF(History!GT$2="","",History!GT30*$C$41)</f>
        <v/>
      </c>
      <c r="GQ41" s="11" t="str">
        <f ca="1">IF(History!GU$2="","",History!GU30*$C$41)</f>
        <v/>
      </c>
      <c r="GR41" s="11" t="str">
        <f ca="1">IF(History!GV$2="","",History!GV30*$C$41)</f>
        <v/>
      </c>
      <c r="GS41" s="11" t="str">
        <f ca="1">IF(History!GW$2="","",History!GW30*$C$41)</f>
        <v/>
      </c>
      <c r="GT41" s="11" t="str">
        <f ca="1">IF(History!GX$2="","",History!GX30*$C$41)</f>
        <v/>
      </c>
      <c r="GU41" s="11" t="str">
        <f ca="1">IF(History!GY$2="","",History!GY30*$C$41)</f>
        <v/>
      </c>
      <c r="GV41" s="11" t="str">
        <f ca="1">IF(History!GZ$2="","",History!GZ30*$C$41)</f>
        <v/>
      </c>
      <c r="GW41" s="11" t="str">
        <f ca="1">IF(History!HA$2="","",History!HA30*$C$41)</f>
        <v/>
      </c>
      <c r="GX41" s="11" t="str">
        <f ca="1">IF(History!HB$2="","",History!HB30*$C$41)</f>
        <v/>
      </c>
      <c r="GY41" s="11" t="str">
        <f ca="1">IF(History!HC$2="","",History!HC30*$C$41)</f>
        <v/>
      </c>
      <c r="GZ41" s="11" t="str">
        <f ca="1">IF(History!HD$2="","",History!HD30*$C$41)</f>
        <v/>
      </c>
      <c r="HA41" s="11" t="str">
        <f ca="1">IF(History!HE$2="","",History!HE30*$C$41)</f>
        <v/>
      </c>
      <c r="HB41" s="11" t="str">
        <f ca="1">IF(History!HF$2="","",History!HF30*$C$41)</f>
        <v/>
      </c>
      <c r="HC41" s="11" t="str">
        <f ca="1">IF(History!HG$2="","",History!HG30*$C$41)</f>
        <v/>
      </c>
      <c r="HD41" s="11" t="str">
        <f ca="1">IF(History!HH$2="","",History!HH30*$C$41)</f>
        <v/>
      </c>
      <c r="HE41" s="11" t="str">
        <f ca="1">IF(History!HI$2="","",History!HI30*$C$41)</f>
        <v/>
      </c>
      <c r="HF41" s="11" t="str">
        <f ca="1">IF(History!HJ$2="","",History!HJ30*$C$41)</f>
        <v/>
      </c>
      <c r="HG41" s="11" t="str">
        <f ca="1">IF(History!HK$2="","",History!HK30*$C$41)</f>
        <v/>
      </c>
      <c r="HH41" s="11" t="str">
        <f ca="1">IF(History!HL$2="","",History!HL30*$C$41)</f>
        <v/>
      </c>
      <c r="HI41" s="11" t="str">
        <f ca="1">IF(History!HM$2="","",History!HM30*$C$41)</f>
        <v/>
      </c>
      <c r="HJ41" s="11" t="str">
        <f ca="1">IF(History!HN$2="","",History!HN30*$C$41)</f>
        <v/>
      </c>
      <c r="HK41" s="11" t="str">
        <f ca="1">IF(History!HO$2="","",History!HO30*$C$41)</f>
        <v/>
      </c>
      <c r="HL41" s="11" t="str">
        <f ca="1">IF(History!HP$2="","",History!HP30*$C$41)</f>
        <v/>
      </c>
      <c r="HM41" s="11" t="str">
        <f ca="1">IF(History!HQ$2="","",History!HQ30*$C$41)</f>
        <v/>
      </c>
      <c r="HN41" s="11" t="str">
        <f ca="1">IF(History!HR$2="","",History!HR30*$C$41)</f>
        <v/>
      </c>
      <c r="HO41" s="11" t="str">
        <f ca="1">IF(History!HS$2="","",History!HS30*$C$41)</f>
        <v/>
      </c>
      <c r="HP41" s="11" t="str">
        <f ca="1">IF(History!HT$2="","",History!HT30*$C$41)</f>
        <v/>
      </c>
      <c r="HQ41" s="11" t="str">
        <f ca="1">IF(History!HU$2="","",History!HU30*$C$41)</f>
        <v/>
      </c>
      <c r="HR41" s="11" t="str">
        <f ca="1">IF(History!HV$2="","",History!HV30*$C$41)</f>
        <v/>
      </c>
      <c r="HS41" s="11" t="str">
        <f ca="1">IF(History!HW$2="","",History!HW30*$C$41)</f>
        <v/>
      </c>
      <c r="HT41" s="11" t="str">
        <f ca="1">IF(History!HX$2="","",History!HX30*$C$41)</f>
        <v/>
      </c>
      <c r="HU41" s="11" t="str">
        <f ca="1">IF(History!HY$2="","",History!HY30*$C$41)</f>
        <v/>
      </c>
      <c r="HV41" s="11" t="str">
        <f ca="1">IF(History!HZ$2="","",History!HZ30*$C$41)</f>
        <v/>
      </c>
      <c r="HW41" s="11" t="str">
        <f ca="1">IF(History!IA$2="","",History!IA30*$C$41)</f>
        <v/>
      </c>
      <c r="HX41" s="11" t="str">
        <f ca="1">IF(History!IB$2="","",History!IB30*$C$41)</f>
        <v/>
      </c>
      <c r="HY41" s="11" t="str">
        <f ca="1">IF(History!IC$2="","",History!IC30*$C$41)</f>
        <v/>
      </c>
      <c r="HZ41" s="11" t="str">
        <f ca="1">IF(History!ID$2="","",History!ID30*$C$41)</f>
        <v/>
      </c>
      <c r="IA41" s="11" t="str">
        <f ca="1">IF(History!IE$2="","",History!IE30*$C$41)</f>
        <v/>
      </c>
      <c r="IB41" s="11" t="str">
        <f ca="1">IF(History!IF$2="","",History!IF30*$C$41)</f>
        <v/>
      </c>
      <c r="IC41" s="11" t="str">
        <f ca="1">IF(History!IG$2="","",History!IG30*$C$41)</f>
        <v/>
      </c>
      <c r="ID41" s="11" t="str">
        <f ca="1">IF(History!IH$2="","",History!IH30*$C$41)</f>
        <v/>
      </c>
      <c r="IE41" s="11" t="str">
        <f ca="1">IF(History!II$2="","",History!II30*$C$41)</f>
        <v/>
      </c>
      <c r="IF41" s="11" t="str">
        <f ca="1">IF(History!IJ$2="","",History!IJ30*$C$41)</f>
        <v/>
      </c>
      <c r="IG41" s="11" t="str">
        <f ca="1">IF(History!IK$2="","",History!IK30*$C$41)</f>
        <v/>
      </c>
      <c r="IH41" s="11" t="str">
        <f ca="1">IF(History!IL$2="","",History!IL30*$C$41)</f>
        <v/>
      </c>
      <c r="II41" s="11" t="str">
        <f ca="1">IF(History!IM$2="","",History!IM30*$C$41)</f>
        <v/>
      </c>
      <c r="IJ41" s="11" t="str">
        <f ca="1">IF(History!IN$2="","",History!IN30*$C$41)</f>
        <v/>
      </c>
      <c r="IK41" s="11" t="str">
        <f ca="1">IF(History!IO$2="","",History!IO30*$C$41)</f>
        <v/>
      </c>
      <c r="IL41" s="11" t="str">
        <f ca="1">IF(History!IP$2="","",History!IP30*$C$41)</f>
        <v/>
      </c>
      <c r="IM41" s="11" t="str">
        <f ca="1">IF(History!IQ$2="","",History!IQ30*$C$41)</f>
        <v/>
      </c>
      <c r="IN41" s="11" t="str">
        <f ca="1">IF(History!IR$2="","",History!IR30*$C$41)</f>
        <v/>
      </c>
      <c r="IO41" s="11" t="str">
        <f ca="1">IF(History!IS$2="","",History!IS30*$C$41)</f>
        <v/>
      </c>
      <c r="IP41" s="11" t="str">
        <f ca="1">IF(History!IT$2="","",History!IT30*$C$41)</f>
        <v/>
      </c>
      <c r="IQ41" s="11" t="str">
        <f ca="1">IF(History!IU$2="","",History!IU30*$C$41)</f>
        <v/>
      </c>
      <c r="IR41" s="11" t="str">
        <f ca="1">IF(History!IV$2="","",History!IV30*$C$41)</f>
        <v/>
      </c>
      <c r="IS41" s="11" t="str">
        <f ca="1">IF(History!IW$2="","",History!IW30*$C$41)</f>
        <v/>
      </c>
      <c r="IT41" s="11" t="str">
        <f ca="1">IF(History!IX$2="","",History!IX30*$C$41)</f>
        <v/>
      </c>
      <c r="IU41" s="11" t="str">
        <f ca="1">IF(History!IY$2="","",History!IY30*$C$41)</f>
        <v/>
      </c>
      <c r="IV41" s="11" t="str">
        <f ca="1">IF(History!IZ$2="","",History!IZ30*$C$41)</f>
        <v/>
      </c>
      <c r="IW41" s="11" t="str">
        <f ca="1">IF(History!JA$2="","",History!JA30*$C$41)</f>
        <v/>
      </c>
      <c r="IX41" s="11" t="str">
        <f ca="1">IF(History!JB$2="","",History!JB30*$C$41)</f>
        <v/>
      </c>
      <c r="IY41" s="11" t="str">
        <f ca="1">IF(History!JC$2="","",History!JC30*$C$41)</f>
        <v/>
      </c>
      <c r="IZ41" s="11" t="str">
        <f ca="1">IF(History!JD$2="","",History!JD30*$C$41)</f>
        <v/>
      </c>
      <c r="JA41" s="11" t="str">
        <f ca="1">IF(History!JE$2="","",History!JE30*$C$41)</f>
        <v/>
      </c>
      <c r="JB41" s="11" t="str">
        <f ca="1">IF(History!JF$2="","",History!JF30*$C$41)</f>
        <v/>
      </c>
      <c r="JC41" s="11" t="str">
        <f ca="1">IF(History!JG$2="","",History!JG30*$C$41)</f>
        <v/>
      </c>
      <c r="JD41" s="11" t="str">
        <f ca="1">IF(History!JH$2="","",History!JH30*$C$41)</f>
        <v/>
      </c>
      <c r="JE41" s="11" t="str">
        <f ca="1">IF(History!JI$2="","",History!JI30*$C$41)</f>
        <v/>
      </c>
      <c r="JF41" s="11" t="str">
        <f ca="1">IF(History!JJ$2="","",History!JJ30*$C$41)</f>
        <v/>
      </c>
      <c r="JG41" s="11" t="str">
        <f ca="1">IF(History!JK$2="","",History!JK30*$C$41)</f>
        <v/>
      </c>
      <c r="JH41" s="11" t="str">
        <f ca="1">IF(History!JL$2="","",History!JL30*$C$41)</f>
        <v/>
      </c>
      <c r="JI41" s="11" t="str">
        <f ca="1">IF(History!JM$2="","",History!JM30*$C$41)</f>
        <v/>
      </c>
      <c r="JJ41" s="11" t="str">
        <f ca="1">IF(History!JN$2="","",History!JN30*$C$41)</f>
        <v/>
      </c>
      <c r="JK41" s="11" t="str">
        <f ca="1">IF(History!JO$2="","",History!JO30*$C$41)</f>
        <v/>
      </c>
      <c r="JL41" s="11" t="str">
        <f ca="1">IF(History!JP$2="","",History!JP30*$C$41)</f>
        <v/>
      </c>
      <c r="JM41" s="11" t="str">
        <f ca="1">IF(History!JQ$2="","",History!JQ30*$C$41)</f>
        <v/>
      </c>
      <c r="JN41" s="11" t="str">
        <f ca="1">IF(History!JR$2="","",History!JR30*$C$41)</f>
        <v/>
      </c>
      <c r="JO41" s="11" t="str">
        <f ca="1">IF(History!JS$2="","",History!JS30*$C$41)</f>
        <v/>
      </c>
      <c r="JP41" s="11" t="str">
        <f ca="1">IF(History!JT$2="","",History!JT30*$C$41)</f>
        <v/>
      </c>
      <c r="JQ41" s="11" t="str">
        <f ca="1">IF(History!JU$2="","",History!JU30*$C$41)</f>
        <v/>
      </c>
      <c r="JR41" s="11" t="str">
        <f ca="1">IF(History!JV$2="","",History!JV30*$C$41)</f>
        <v/>
      </c>
      <c r="JS41" s="11" t="str">
        <f ca="1">IF(History!JW$2="","",History!JW30*$C$41)</f>
        <v/>
      </c>
      <c r="JT41" s="11" t="str">
        <f ca="1">IF(History!JX$2="","",History!JX30*$C$41)</f>
        <v/>
      </c>
      <c r="JU41" s="11" t="str">
        <f ca="1">IF(History!JY$2="","",History!JY30*$C$41)</f>
        <v/>
      </c>
      <c r="JV41" s="11" t="str">
        <f ca="1">IF(History!JZ$2="","",History!JZ30*$C$41)</f>
        <v/>
      </c>
      <c r="JW41" s="11" t="str">
        <f ca="1">IF(History!KA$2="","",History!KA30*$C$41)</f>
        <v/>
      </c>
      <c r="JX41" s="11" t="str">
        <f ca="1">IF(History!KB$2="","",History!KB30*$C$41)</f>
        <v/>
      </c>
      <c r="JY41" s="11" t="str">
        <f ca="1">IF(History!KC$2="","",History!KC30*$C$41)</f>
        <v/>
      </c>
      <c r="JZ41" s="11" t="str">
        <f ca="1">IF(History!KD$2="","",History!KD30*$C$41)</f>
        <v/>
      </c>
      <c r="KA41" s="11" t="str">
        <f ca="1">IF(History!KE$2="","",History!KE30*$C$41)</f>
        <v/>
      </c>
      <c r="KB41" s="11" t="str">
        <f ca="1">IF(History!KF$2="","",History!KF30*$C$41)</f>
        <v/>
      </c>
    </row>
    <row r="42" spans="1:288" ht="15.75" customHeight="1">
      <c r="A42" s="22" t="s">
        <v>30</v>
      </c>
      <c r="B42" s="6" t="s">
        <v>74</v>
      </c>
      <c r="C42" s="26">
        <v>26</v>
      </c>
      <c r="D42" s="11">
        <f ca="1">IF(History!H$2="","",History!H31*$C$42)</f>
        <v>1513.2</v>
      </c>
      <c r="E42" s="11">
        <f ca="1">IF(History!I$2="","",History!I31*$C$42)</f>
        <v>1528.8</v>
      </c>
      <c r="F42" s="11">
        <f ca="1">IF(History!J$2="","",History!J31*$C$42)</f>
        <v>1529.8400000000001</v>
      </c>
      <c r="G42" s="11">
        <f ca="1">IF(History!K$2="","",History!K31*$C$42)</f>
        <v>1556.62</v>
      </c>
      <c r="H42" s="11">
        <f ca="1">IF(History!L$2="","",History!L31*$C$42)</f>
        <v>1587.56</v>
      </c>
      <c r="I42" s="11">
        <f ca="1">IF(History!M$2="","",History!M31*$C$42)</f>
        <v>1561.04</v>
      </c>
      <c r="J42" s="11">
        <f ca="1">IF(History!N$2="","",History!N31*$C$42)</f>
        <v>1510.08</v>
      </c>
      <c r="K42" s="11">
        <f ca="1">IF(History!O$2="","",History!O31*$C$42)</f>
        <v>1466.6599999999999</v>
      </c>
      <c r="L42" s="11">
        <f ca="1">IF(History!P$2="","",History!P31*$C$42)</f>
        <v>1446.38</v>
      </c>
      <c r="M42" s="11">
        <f ca="1">IF(History!Q$2="","",History!Q31*$C$42)</f>
        <v>1451.32</v>
      </c>
      <c r="N42" s="11">
        <f ca="1">IF(History!R$2="","",History!R31*$C$42)</f>
        <v>1443</v>
      </c>
      <c r="O42" s="11">
        <f ca="1">IF(History!S$2="","",History!S31*$C$42)</f>
        <v>1422.2</v>
      </c>
      <c r="P42" s="11">
        <f ca="1">IF(History!T$2="","",History!T31*$C$42)</f>
        <v>1410.5</v>
      </c>
      <c r="Q42" s="11">
        <f ca="1">IF(History!U$2="","",History!U31*$C$42)</f>
        <v>1446.12</v>
      </c>
      <c r="R42" s="11">
        <f ca="1">IF(History!V$2="","",History!V31*$C$42)</f>
        <v>1429.74</v>
      </c>
      <c r="S42" s="11">
        <f ca="1">IF(History!W$2="","",History!W31*$C$42)</f>
        <v>1616.94</v>
      </c>
      <c r="T42" s="11">
        <f ca="1">IF(History!X$2="","",History!X31*$C$42)</f>
        <v>1651</v>
      </c>
      <c r="U42" s="11">
        <f ca="1">IF(History!Y$2="","",History!Y31*$C$42)</f>
        <v>1615.38</v>
      </c>
      <c r="V42" s="11">
        <f ca="1">IF(History!Z$2="","",History!Z31*$C$42)</f>
        <v>1623.7</v>
      </c>
      <c r="W42" s="11">
        <f ca="1">IF(History!AA$2="","",History!AA31*$C$42)</f>
        <v>1659.06</v>
      </c>
      <c r="X42" s="11">
        <f ca="1">IF(History!AB$2="","",History!AB31*$C$42)</f>
        <v>1773.72</v>
      </c>
      <c r="Y42" s="11">
        <f ca="1">IF(History!AC$2="","",History!AC31*$C$42)</f>
        <v>1800.7600000000002</v>
      </c>
      <c r="Z42" s="11">
        <f ca="1">IF(History!AD$2="","",History!AD31*$C$42)</f>
        <v>1822.6</v>
      </c>
      <c r="AA42" s="11">
        <f ca="1">IF(History!AE$2="","",History!AE31*$C$42)</f>
        <v>1804.6599999999999</v>
      </c>
      <c r="AB42" s="11">
        <f ca="1">IF(History!AF$2="","",History!AF31*$C$42)</f>
        <v>1812.72</v>
      </c>
      <c r="AC42" s="11">
        <f ca="1">IF(History!AG$2="","",History!AG31*$C$42)</f>
        <v>1891.5</v>
      </c>
      <c r="AD42" s="11">
        <f ca="1">IF(History!AH$2="","",History!AH31*$C$42)</f>
        <v>1937.2600000000002</v>
      </c>
      <c r="AE42" s="11">
        <f ca="1">IF(History!AI$2="","",History!AI31*$C$42)</f>
        <v>1916.4599999999998</v>
      </c>
      <c r="AF42" s="11">
        <f ca="1">IF(History!AJ$2="","",History!AJ31*$C$42)</f>
        <v>1926.6</v>
      </c>
      <c r="AG42" s="11">
        <f ca="1">IF(History!AK$2="","",History!AK31*$C$42)</f>
        <v>1888.1200000000001</v>
      </c>
      <c r="AH42" s="11">
        <f ca="1">IF(History!AL$2="","",History!AL31*$C$42)</f>
        <v>1871.22</v>
      </c>
      <c r="AI42" s="11">
        <f ca="1">IF(History!AM$2="","",History!AM31*$C$42)</f>
        <v>1874.6</v>
      </c>
      <c r="AJ42" s="11">
        <f ca="1">IF(History!AN$2="","",History!AN31*$C$42)</f>
        <v>1925.8199999999997</v>
      </c>
      <c r="AK42" s="11">
        <f ca="1">IF(History!AO$2="","",History!AO31*$C$42)</f>
        <v>1902.1599999999999</v>
      </c>
      <c r="AL42" s="11">
        <f ca="1">IF(History!AP$2="","",History!AP31*$C$42)</f>
        <v>1872</v>
      </c>
      <c r="AM42" s="11">
        <f ca="1">IF(History!AQ$2="","",History!AQ31*$C$42)</f>
        <v>1903.98</v>
      </c>
      <c r="AN42" s="11">
        <f ca="1">IF(History!AR$2="","",History!AR31*$C$42)</f>
        <v>1889.42</v>
      </c>
      <c r="AO42" s="11">
        <f ca="1">IF(History!AS$2="","",History!AS31*$C$42)</f>
        <v>1869.14</v>
      </c>
      <c r="AP42" s="11">
        <f ca="1">IF(History!AT$2="","",History!AT31*$C$42)</f>
        <v>1767.7399999999998</v>
      </c>
      <c r="AQ42" s="11">
        <f ca="1">IF(History!AU$2="","",History!AU31*$C$42)</f>
        <v>1787.7600000000002</v>
      </c>
      <c r="AR42" s="11">
        <f ca="1">IF(History!AV$2="","",History!AV31*$C$42)</f>
        <v>1846.52</v>
      </c>
      <c r="AS42" s="11">
        <f ca="1">IF(History!AW$2="","",History!AW31*$C$42)</f>
        <v>1865.7600000000002</v>
      </c>
      <c r="AT42" s="11">
        <f ca="1">IF(History!AX$2="","",History!AX31*$C$42)</f>
        <v>1823.64</v>
      </c>
      <c r="AU42" s="11">
        <f ca="1">IF(History!AY$2="","",History!AY31*$C$42)</f>
        <v>1837.94</v>
      </c>
      <c r="AV42" s="11">
        <f ca="1">IF(History!AZ$2="","",History!AZ31*$C$42)</f>
        <v>1817.4</v>
      </c>
      <c r="AW42" s="11">
        <f ca="1">IF(History!BA$2="","",History!BA31*$C$42)</f>
        <v>1840.8</v>
      </c>
      <c r="AX42" s="11">
        <f ca="1">IF(History!BB$2="","",History!BB31*$C$42)</f>
        <v>1841.58</v>
      </c>
      <c r="AY42" s="11">
        <f ca="1">IF(History!BC$2="","",History!BC31*$C$42)</f>
        <v>1840.02</v>
      </c>
      <c r="AZ42" s="11">
        <f ca="1">IF(History!BD$2="","",History!BD31*$C$42)</f>
        <v>1842.1</v>
      </c>
      <c r="BA42" s="11">
        <f ca="1">IF(History!BE$2="","",History!BE31*$C$42)</f>
        <v>1807</v>
      </c>
      <c r="BB42" s="11">
        <f ca="1">IF(History!BF$2="","",History!BF31*$C$42)</f>
        <v>1795.8199999999997</v>
      </c>
      <c r="BC42" s="11">
        <f ca="1">IF(History!BG$2="","",History!BG31*$C$42)</f>
        <v>1802.06</v>
      </c>
      <c r="BD42" s="11">
        <f ca="1">IF(History!BH$2="","",History!BH31*$C$42)</f>
        <v>1826.2399999999998</v>
      </c>
      <c r="BE42" s="11">
        <f ca="1">IF(History!BI$2="","",History!BI31*$C$42)</f>
        <v>1843.4</v>
      </c>
      <c r="BF42" s="11">
        <f ca="1">IF(History!BJ$2="","",History!BJ31*$C$42)</f>
        <v>1848.86</v>
      </c>
      <c r="BG42" s="11">
        <f ca="1">IF(History!BK$2="","",History!BK31*$C$42)</f>
        <v>1821.8199999999997</v>
      </c>
      <c r="BH42" s="11">
        <f ca="1">IF(History!BL$2="","",History!BL31*$C$42)</f>
        <v>1778.6599999999999</v>
      </c>
      <c r="BI42" s="11">
        <f ca="1">IF(History!BM$2="","",History!BM31*$C$42)</f>
        <v>1769.0400000000002</v>
      </c>
      <c r="BJ42" s="11">
        <f ca="1">IF(History!BN$2="","",History!BN31*$C$42)</f>
        <v>1769.8199999999997</v>
      </c>
      <c r="BK42" s="11">
        <f ca="1">IF(History!BO$2="","",History!BO31*$C$42)</f>
        <v>1718.08</v>
      </c>
      <c r="BL42" s="11">
        <f ca="1">IF(History!BP$2="","",History!BP31*$C$42)</f>
        <v>1684.5400000000002</v>
      </c>
      <c r="BM42" s="11">
        <f ca="1">IF(History!BQ$2="","",History!BQ31*$C$42)</f>
        <v>1686.1</v>
      </c>
      <c r="BN42" s="11">
        <f ca="1">IF(History!BR$2="","",History!BR31*$C$42)</f>
        <v>1699.1</v>
      </c>
      <c r="BO42" s="11">
        <f ca="1">IF(History!BS$2="","",History!BS31*$C$42)</f>
        <v>1708.2</v>
      </c>
      <c r="BP42" s="11">
        <f ca="1">IF(History!BT$2="","",History!BT31*$C$42)</f>
        <v>1711.3199999999997</v>
      </c>
      <c r="BQ42" s="11">
        <f ca="1">IF(History!BU$2="","",History!BU31*$C$42)</f>
        <v>1750.06</v>
      </c>
      <c r="BR42" s="11">
        <f ca="1">IF(History!BV$2="","",History!BV31*$C$42)</f>
        <v>1744.86</v>
      </c>
      <c r="BS42" s="11">
        <f ca="1">IF(History!BW$2="","",History!BW31*$C$42)</f>
        <v>1752.92</v>
      </c>
      <c r="BT42" s="11">
        <f ca="1">IF(History!BX$2="","",History!BX31*$C$42)</f>
        <v>1800.7600000000002</v>
      </c>
      <c r="BU42" s="11">
        <f ca="1">IF(History!BY$2="","",History!BY31*$C$42)</f>
        <v>1839.5</v>
      </c>
      <c r="BV42" s="11">
        <f ca="1">IF(History!BZ$2="","",History!BZ31*$C$42)</f>
        <v>1826.5</v>
      </c>
      <c r="BW42" s="11">
        <f ca="1">IF(History!CA$2="","",History!CA31*$C$42)</f>
        <v>1758.9</v>
      </c>
      <c r="BX42" s="11">
        <f ca="1">IF(History!CB$2="","",History!CB31*$C$42)</f>
        <v>1734.98</v>
      </c>
      <c r="BY42" s="11">
        <f ca="1">IF(History!CC$2="","",History!CC31*$C$42)</f>
        <v>1710.8</v>
      </c>
      <c r="BZ42" s="11">
        <f ca="1">IF(History!CD$2="","",History!CD31*$C$42)</f>
        <v>1716.52</v>
      </c>
      <c r="CA42" s="11">
        <f ca="1">IF(History!CE$2="","",History!CE31*$C$42)</f>
        <v>1730.8199999999997</v>
      </c>
      <c r="CB42" s="11">
        <f ca="1">IF(History!CF$2="","",History!CF31*$C$42)</f>
        <v>1712.1</v>
      </c>
      <c r="CC42" s="11">
        <f ca="1">IF(History!CG$2="","",History!CG31*$C$42)</f>
        <v>1723.02</v>
      </c>
      <c r="CD42" s="11">
        <f ca="1">IF(History!CH$2="","",History!CH31*$C$42)</f>
        <v>1808.3</v>
      </c>
      <c r="CE42" s="11">
        <f ca="1">IF(History!CI$2="","",History!CI31*$C$42)</f>
        <v>1840.02</v>
      </c>
      <c r="CF42" s="11" t="str">
        <f ca="1">IF(History!CJ$2="","",History!CJ31*$C$42)</f>
        <v/>
      </c>
      <c r="CG42" s="11" t="str">
        <f ca="1">IF(History!CK$2="","",History!CK31*$C$42)</f>
        <v/>
      </c>
      <c r="CH42" s="11" t="str">
        <f ca="1">IF(History!CL$2="","",History!CL31*$C$42)</f>
        <v/>
      </c>
      <c r="CI42" s="11" t="str">
        <f ca="1">IF(History!CM$2="","",History!CM31*$C$42)</f>
        <v/>
      </c>
      <c r="CJ42" s="11" t="str">
        <f ca="1">IF(History!CN$2="","",History!CN31*$C$42)</f>
        <v/>
      </c>
      <c r="CK42" s="11" t="str">
        <f ca="1">IF(History!CO$2="","",History!CO31*$C$42)</f>
        <v/>
      </c>
      <c r="CL42" s="11" t="str">
        <f ca="1">IF(History!CP$2="","",History!CP31*$C$42)</f>
        <v/>
      </c>
      <c r="CM42" s="11" t="str">
        <f ca="1">IF(History!CQ$2="","",History!CQ31*$C$42)</f>
        <v/>
      </c>
      <c r="CN42" s="11" t="str">
        <f ca="1">IF(History!CR$2="","",History!CR31*$C$42)</f>
        <v/>
      </c>
      <c r="CO42" s="11" t="str">
        <f ca="1">IF(History!CS$2="","",History!CS31*$C$42)</f>
        <v/>
      </c>
      <c r="CP42" s="11" t="str">
        <f ca="1">IF(History!CT$2="","",History!CT31*$C$42)</f>
        <v/>
      </c>
      <c r="CQ42" s="11" t="str">
        <f ca="1">IF(History!CU$2="","",History!CU31*$C$42)</f>
        <v/>
      </c>
      <c r="CR42" s="11" t="str">
        <f ca="1">IF(History!CV$2="","",History!CV31*$C$42)</f>
        <v/>
      </c>
      <c r="CS42" s="11" t="str">
        <f ca="1">IF(History!CW$2="","",History!CW31*$C$42)</f>
        <v/>
      </c>
      <c r="CT42" s="11" t="str">
        <f ca="1">IF(History!CX$2="","",History!CX31*$C$42)</f>
        <v/>
      </c>
      <c r="CU42" s="11" t="str">
        <f ca="1">IF(History!CY$2="","",History!CY31*$C$42)</f>
        <v/>
      </c>
      <c r="CV42" s="11" t="str">
        <f ca="1">IF(History!CZ$2="","",History!CZ31*$C$42)</f>
        <v/>
      </c>
      <c r="CW42" s="11" t="str">
        <f ca="1">IF(History!DA$2="","",History!DA31*$C$42)</f>
        <v/>
      </c>
      <c r="CX42" s="11" t="str">
        <f ca="1">IF(History!DB$2="","",History!DB31*$C$42)</f>
        <v/>
      </c>
      <c r="CY42" s="11" t="str">
        <f ca="1">IF(History!DC$2="","",History!DC31*$C$42)</f>
        <v/>
      </c>
      <c r="CZ42" s="11" t="str">
        <f ca="1">IF(History!DD$2="","",History!DD31*$C$42)</f>
        <v/>
      </c>
      <c r="DA42" s="11" t="str">
        <f ca="1">IF(History!DE$2="","",History!DE31*$C$42)</f>
        <v/>
      </c>
      <c r="DB42" s="11" t="str">
        <f ca="1">IF(History!DF$2="","",History!DF31*$C$42)</f>
        <v/>
      </c>
      <c r="DC42" s="11" t="str">
        <f ca="1">IF(History!DG$2="","",History!DG31*$C$42)</f>
        <v/>
      </c>
      <c r="DD42" s="11" t="str">
        <f ca="1">IF(History!DH$2="","",History!DH31*$C$42)</f>
        <v/>
      </c>
      <c r="DE42" s="11" t="str">
        <f ca="1">IF(History!DI$2="","",History!DI31*$C$42)</f>
        <v/>
      </c>
      <c r="DF42" s="11" t="str">
        <f ca="1">IF(History!DJ$2="","",History!DJ31*$C$42)</f>
        <v/>
      </c>
      <c r="DG42" s="11" t="str">
        <f ca="1">IF(History!DK$2="","",History!DK31*$C$42)</f>
        <v/>
      </c>
      <c r="DH42" s="11" t="str">
        <f ca="1">IF(History!DL$2="","",History!DL31*$C$42)</f>
        <v/>
      </c>
      <c r="DI42" s="11" t="str">
        <f ca="1">IF(History!DM$2="","",History!DM31*$C$42)</f>
        <v/>
      </c>
      <c r="DJ42" s="11" t="str">
        <f ca="1">IF(History!DN$2="","",History!DN31*$C$42)</f>
        <v/>
      </c>
      <c r="DK42" s="11" t="str">
        <f ca="1">IF(History!DO$2="","",History!DO31*$C$42)</f>
        <v/>
      </c>
      <c r="DL42" s="11" t="str">
        <f ca="1">IF(History!DP$2="","",History!DP31*$C$42)</f>
        <v/>
      </c>
      <c r="DM42" s="11" t="str">
        <f ca="1">IF(History!DQ$2="","",History!DQ31*$C$42)</f>
        <v/>
      </c>
      <c r="DN42" s="11" t="str">
        <f ca="1">IF(History!DR$2="","",History!DR31*$C$42)</f>
        <v/>
      </c>
      <c r="DO42" s="11" t="str">
        <f ca="1">IF(History!DS$2="","",History!DS31*$C$42)</f>
        <v/>
      </c>
      <c r="DP42" s="11" t="str">
        <f ca="1">IF(History!DT$2="","",History!DT31*$C$42)</f>
        <v/>
      </c>
      <c r="DQ42" s="11" t="str">
        <f ca="1">IF(History!DU$2="","",History!DU31*$C$42)</f>
        <v/>
      </c>
      <c r="DR42" s="11" t="str">
        <f ca="1">IF(History!DV$2="","",History!DV31*$C$42)</f>
        <v/>
      </c>
      <c r="DS42" s="11" t="str">
        <f ca="1">IF(History!DW$2="","",History!DW31*$C$42)</f>
        <v/>
      </c>
      <c r="DT42" s="11" t="str">
        <f ca="1">IF(History!DX$2="","",History!DX31*$C$42)</f>
        <v/>
      </c>
      <c r="DU42" s="11" t="str">
        <f ca="1">IF(History!DY$2="","",History!DY31*$C$42)</f>
        <v/>
      </c>
      <c r="DV42" s="11" t="str">
        <f ca="1">IF(History!DZ$2="","",History!DZ31*$C$42)</f>
        <v/>
      </c>
      <c r="DW42" s="11" t="str">
        <f ca="1">IF(History!EA$2="","",History!EA31*$C$42)</f>
        <v/>
      </c>
      <c r="DX42" s="11" t="str">
        <f ca="1">IF(History!EB$2="","",History!EB31*$C$42)</f>
        <v/>
      </c>
      <c r="DY42" s="11" t="str">
        <f ca="1">IF(History!EC$2="","",History!EC31*$C$42)</f>
        <v/>
      </c>
      <c r="DZ42" s="11" t="str">
        <f ca="1">IF(History!ED$2="","",History!ED31*$C$42)</f>
        <v/>
      </c>
      <c r="EA42" s="11" t="str">
        <f ca="1">IF(History!EE$2="","",History!EE31*$C$42)</f>
        <v/>
      </c>
      <c r="EB42" s="11" t="str">
        <f ca="1">IF(History!EF$2="","",History!EF31*$C$42)</f>
        <v/>
      </c>
      <c r="EC42" s="11" t="str">
        <f ca="1">IF(History!EG$2="","",History!EG31*$C$42)</f>
        <v/>
      </c>
      <c r="ED42" s="11" t="str">
        <f ca="1">IF(History!EH$2="","",History!EH31*$C$42)</f>
        <v/>
      </c>
      <c r="EE42" s="11" t="str">
        <f ca="1">IF(History!EI$2="","",History!EI31*$C$42)</f>
        <v/>
      </c>
      <c r="EF42" s="11" t="str">
        <f ca="1">IF(History!EJ$2="","",History!EJ31*$C$42)</f>
        <v/>
      </c>
      <c r="EG42" s="11" t="str">
        <f ca="1">IF(History!EK$2="","",History!EK31*$C$42)</f>
        <v/>
      </c>
      <c r="EH42" s="11" t="str">
        <f ca="1">IF(History!EL$2="","",History!EL31*$C$42)</f>
        <v/>
      </c>
      <c r="EI42" s="11" t="str">
        <f ca="1">IF(History!EM$2="","",History!EM31*$C$42)</f>
        <v/>
      </c>
      <c r="EJ42" s="11" t="str">
        <f ca="1">IF(History!EN$2="","",History!EN31*$C$42)</f>
        <v/>
      </c>
      <c r="EK42" s="11" t="str">
        <f ca="1">IF(History!EO$2="","",History!EO31*$C$42)</f>
        <v/>
      </c>
      <c r="EL42" s="11" t="str">
        <f ca="1">IF(History!EP$2="","",History!EP31*$C$42)</f>
        <v/>
      </c>
      <c r="EM42" s="11" t="str">
        <f ca="1">IF(History!EQ$2="","",History!EQ31*$C$42)</f>
        <v/>
      </c>
      <c r="EN42" s="11" t="str">
        <f ca="1">IF(History!ER$2="","",History!ER31*$C$42)</f>
        <v/>
      </c>
      <c r="EO42" s="11" t="str">
        <f ca="1">IF(History!ES$2="","",History!ES31*$C$42)</f>
        <v/>
      </c>
      <c r="EP42" s="11" t="str">
        <f ca="1">IF(History!ET$2="","",History!ET31*$C$42)</f>
        <v/>
      </c>
      <c r="EQ42" s="11" t="str">
        <f ca="1">IF(History!EU$2="","",History!EU31*$C$42)</f>
        <v/>
      </c>
      <c r="ER42" s="11" t="str">
        <f ca="1">IF(History!EV$2="","",History!EV31*$C$42)</f>
        <v/>
      </c>
      <c r="ES42" s="11" t="str">
        <f ca="1">IF(History!EW$2="","",History!EW31*$C$42)</f>
        <v/>
      </c>
      <c r="ET42" s="11" t="str">
        <f ca="1">IF(History!EX$2="","",History!EX31*$C$42)</f>
        <v/>
      </c>
      <c r="EU42" s="11" t="str">
        <f ca="1">IF(History!EY$2="","",History!EY31*$C$42)</f>
        <v/>
      </c>
      <c r="EV42" s="11" t="str">
        <f ca="1">IF(History!EZ$2="","",History!EZ31*$C$42)</f>
        <v/>
      </c>
      <c r="EW42" s="11" t="str">
        <f ca="1">IF(History!FA$2="","",History!FA31*$C$42)</f>
        <v/>
      </c>
      <c r="EX42" s="11" t="str">
        <f ca="1">IF(History!FB$2="","",History!FB31*$C$42)</f>
        <v/>
      </c>
      <c r="EY42" s="11" t="str">
        <f ca="1">IF(History!FC$2="","",History!FC31*$C$42)</f>
        <v/>
      </c>
      <c r="EZ42" s="11" t="str">
        <f ca="1">IF(History!FD$2="","",History!FD31*$C$42)</f>
        <v/>
      </c>
      <c r="FA42" s="11" t="str">
        <f ca="1">IF(History!FE$2="","",History!FE31*$C$42)</f>
        <v/>
      </c>
      <c r="FB42" s="11" t="str">
        <f ca="1">IF(History!FF$2="","",History!FF31*$C$42)</f>
        <v/>
      </c>
      <c r="FC42" s="11" t="str">
        <f ca="1">IF(History!FG$2="","",History!FG31*$C$42)</f>
        <v/>
      </c>
      <c r="FD42" s="11" t="str">
        <f ca="1">IF(History!FH$2="","",History!FH31*$C$42)</f>
        <v/>
      </c>
      <c r="FE42" s="11" t="str">
        <f ca="1">IF(History!FI$2="","",History!FI31*$C$42)</f>
        <v/>
      </c>
      <c r="FF42" s="11" t="str">
        <f ca="1">IF(History!FJ$2="","",History!FJ31*$C$42)</f>
        <v/>
      </c>
      <c r="FG42" s="11" t="str">
        <f ca="1">IF(History!FK$2="","",History!FK31*$C$42)</f>
        <v/>
      </c>
      <c r="FH42" s="11" t="str">
        <f ca="1">IF(History!FL$2="","",History!FL31*$C$42)</f>
        <v/>
      </c>
      <c r="FI42" s="11" t="str">
        <f ca="1">IF(History!FM$2="","",History!FM31*$C$42)</f>
        <v/>
      </c>
      <c r="FJ42" s="11" t="str">
        <f ca="1">IF(History!FN$2="","",History!FN31*$C$42)</f>
        <v/>
      </c>
      <c r="FK42" s="11" t="str">
        <f ca="1">IF(History!FO$2="","",History!FO31*$C$42)</f>
        <v/>
      </c>
      <c r="FL42" s="11" t="str">
        <f ca="1">IF(History!FP$2="","",History!FP31*$C$42)</f>
        <v/>
      </c>
      <c r="FM42" s="11" t="str">
        <f ca="1">IF(History!FQ$2="","",History!FQ31*$C$42)</f>
        <v/>
      </c>
      <c r="FN42" s="11" t="str">
        <f ca="1">IF(History!FR$2="","",History!FR31*$C$42)</f>
        <v/>
      </c>
      <c r="FO42" s="11" t="str">
        <f ca="1">IF(History!FS$2="","",History!FS31*$C$42)</f>
        <v/>
      </c>
      <c r="FP42" s="11" t="str">
        <f ca="1">IF(History!FT$2="","",History!FT31*$C$42)</f>
        <v/>
      </c>
      <c r="FQ42" s="11" t="str">
        <f ca="1">IF(History!FU$2="","",History!FU31*$C$42)</f>
        <v/>
      </c>
      <c r="FR42" s="11" t="str">
        <f ca="1">IF(History!FV$2="","",History!FV31*$C$42)</f>
        <v/>
      </c>
      <c r="FS42" s="11" t="str">
        <f ca="1">IF(History!FW$2="","",History!FW31*$C$42)</f>
        <v/>
      </c>
      <c r="FT42" s="11" t="str">
        <f ca="1">IF(History!FX$2="","",History!FX31*$C$42)</f>
        <v/>
      </c>
      <c r="FU42" s="11" t="str">
        <f ca="1">IF(History!FY$2="","",History!FY31*$C$42)</f>
        <v/>
      </c>
      <c r="FV42" s="11" t="str">
        <f ca="1">IF(History!FZ$2="","",History!FZ31*$C$42)</f>
        <v/>
      </c>
      <c r="FW42" s="11" t="str">
        <f ca="1">IF(History!GA$2="","",History!GA31*$C$42)</f>
        <v/>
      </c>
      <c r="FX42" s="11" t="str">
        <f ca="1">IF(History!GB$2="","",History!GB31*$C$42)</f>
        <v/>
      </c>
      <c r="FY42" s="11" t="str">
        <f ca="1">IF(History!GC$2="","",History!GC31*$C$42)</f>
        <v/>
      </c>
      <c r="FZ42" s="11" t="str">
        <f ca="1">IF(History!GD$2="","",History!GD31*$C$42)</f>
        <v/>
      </c>
      <c r="GA42" s="11" t="str">
        <f ca="1">IF(History!GE$2="","",History!GE31*$C$42)</f>
        <v/>
      </c>
      <c r="GB42" s="11" t="str">
        <f ca="1">IF(History!GF$2="","",History!GF31*$C$42)</f>
        <v/>
      </c>
      <c r="GC42" s="11" t="str">
        <f ca="1">IF(History!GG$2="","",History!GG31*$C$42)</f>
        <v/>
      </c>
      <c r="GD42" s="11" t="str">
        <f ca="1">IF(History!GH$2="","",History!GH31*$C$42)</f>
        <v/>
      </c>
      <c r="GE42" s="11" t="str">
        <f ca="1">IF(History!GI$2="","",History!GI31*$C$42)</f>
        <v/>
      </c>
      <c r="GF42" s="11" t="str">
        <f ca="1">IF(History!GJ$2="","",History!GJ31*$C$42)</f>
        <v/>
      </c>
      <c r="GG42" s="11" t="str">
        <f ca="1">IF(History!GK$2="","",History!GK31*$C$42)</f>
        <v/>
      </c>
      <c r="GH42" s="11" t="str">
        <f ca="1">IF(History!GL$2="","",History!GL31*$C$42)</f>
        <v/>
      </c>
      <c r="GI42" s="11" t="str">
        <f ca="1">IF(History!GM$2="","",History!GM31*$C$42)</f>
        <v/>
      </c>
      <c r="GJ42" s="11" t="str">
        <f ca="1">IF(History!GN$2="","",History!GN31*$C$42)</f>
        <v/>
      </c>
      <c r="GK42" s="11" t="str">
        <f ca="1">IF(History!GO$2="","",History!GO31*$C$42)</f>
        <v/>
      </c>
      <c r="GL42" s="11" t="str">
        <f ca="1">IF(History!GP$2="","",History!GP31*$C$42)</f>
        <v/>
      </c>
      <c r="GM42" s="11" t="str">
        <f ca="1">IF(History!GQ$2="","",History!GQ31*$C$42)</f>
        <v/>
      </c>
      <c r="GN42" s="11" t="str">
        <f ca="1">IF(History!GR$2="","",History!GR31*$C$42)</f>
        <v/>
      </c>
      <c r="GO42" s="11" t="str">
        <f ca="1">IF(History!GS$2="","",History!GS31*$C$42)</f>
        <v/>
      </c>
      <c r="GP42" s="11" t="str">
        <f ca="1">IF(History!GT$2="","",History!GT31*$C$42)</f>
        <v/>
      </c>
      <c r="GQ42" s="11" t="str">
        <f ca="1">IF(History!GU$2="","",History!GU31*$C$42)</f>
        <v/>
      </c>
      <c r="GR42" s="11" t="str">
        <f ca="1">IF(History!GV$2="","",History!GV31*$C$42)</f>
        <v/>
      </c>
      <c r="GS42" s="11" t="str">
        <f ca="1">IF(History!GW$2="","",History!GW31*$C$42)</f>
        <v/>
      </c>
      <c r="GT42" s="11" t="str">
        <f ca="1">IF(History!GX$2="","",History!GX31*$C$42)</f>
        <v/>
      </c>
      <c r="GU42" s="11" t="str">
        <f ca="1">IF(History!GY$2="","",History!GY31*$C$42)</f>
        <v/>
      </c>
      <c r="GV42" s="11" t="str">
        <f ca="1">IF(History!GZ$2="","",History!GZ31*$C$42)</f>
        <v/>
      </c>
      <c r="GW42" s="11" t="str">
        <f ca="1">IF(History!HA$2="","",History!HA31*$C$42)</f>
        <v/>
      </c>
      <c r="GX42" s="11" t="str">
        <f ca="1">IF(History!HB$2="","",History!HB31*$C$42)</f>
        <v/>
      </c>
      <c r="GY42" s="11" t="str">
        <f ca="1">IF(History!HC$2="","",History!HC31*$C$42)</f>
        <v/>
      </c>
      <c r="GZ42" s="11" t="str">
        <f ca="1">IF(History!HD$2="","",History!HD31*$C$42)</f>
        <v/>
      </c>
      <c r="HA42" s="11" t="str">
        <f ca="1">IF(History!HE$2="","",History!HE31*$C$42)</f>
        <v/>
      </c>
      <c r="HB42" s="11" t="str">
        <f ca="1">IF(History!HF$2="","",History!HF31*$C$42)</f>
        <v/>
      </c>
      <c r="HC42" s="11" t="str">
        <f ca="1">IF(History!HG$2="","",History!HG31*$C$42)</f>
        <v/>
      </c>
      <c r="HD42" s="11" t="str">
        <f ca="1">IF(History!HH$2="","",History!HH31*$C$42)</f>
        <v/>
      </c>
      <c r="HE42" s="11" t="str">
        <f ca="1">IF(History!HI$2="","",History!HI31*$C$42)</f>
        <v/>
      </c>
      <c r="HF42" s="11" t="str">
        <f ca="1">IF(History!HJ$2="","",History!HJ31*$C$42)</f>
        <v/>
      </c>
      <c r="HG42" s="11" t="str">
        <f ca="1">IF(History!HK$2="","",History!HK31*$C$42)</f>
        <v/>
      </c>
      <c r="HH42" s="11" t="str">
        <f ca="1">IF(History!HL$2="","",History!HL31*$C$42)</f>
        <v/>
      </c>
      <c r="HI42" s="11" t="str">
        <f ca="1">IF(History!HM$2="","",History!HM31*$C$42)</f>
        <v/>
      </c>
      <c r="HJ42" s="11" t="str">
        <f ca="1">IF(History!HN$2="","",History!HN31*$C$42)</f>
        <v/>
      </c>
      <c r="HK42" s="11" t="str">
        <f ca="1">IF(History!HO$2="","",History!HO31*$C$42)</f>
        <v/>
      </c>
      <c r="HL42" s="11" t="str">
        <f ca="1">IF(History!HP$2="","",History!HP31*$C$42)</f>
        <v/>
      </c>
      <c r="HM42" s="11" t="str">
        <f ca="1">IF(History!HQ$2="","",History!HQ31*$C$42)</f>
        <v/>
      </c>
      <c r="HN42" s="11" t="str">
        <f ca="1">IF(History!HR$2="","",History!HR31*$C$42)</f>
        <v/>
      </c>
      <c r="HO42" s="11" t="str">
        <f ca="1">IF(History!HS$2="","",History!HS31*$C$42)</f>
        <v/>
      </c>
      <c r="HP42" s="11" t="str">
        <f ca="1">IF(History!HT$2="","",History!HT31*$C$42)</f>
        <v/>
      </c>
      <c r="HQ42" s="11" t="str">
        <f ca="1">IF(History!HU$2="","",History!HU31*$C$42)</f>
        <v/>
      </c>
      <c r="HR42" s="11" t="str">
        <f ca="1">IF(History!HV$2="","",History!HV31*$C$42)</f>
        <v/>
      </c>
      <c r="HS42" s="11" t="str">
        <f ca="1">IF(History!HW$2="","",History!HW31*$C$42)</f>
        <v/>
      </c>
      <c r="HT42" s="11" t="str">
        <f ca="1">IF(History!HX$2="","",History!HX31*$C$42)</f>
        <v/>
      </c>
      <c r="HU42" s="11" t="str">
        <f ca="1">IF(History!HY$2="","",History!HY31*$C$42)</f>
        <v/>
      </c>
      <c r="HV42" s="11" t="str">
        <f ca="1">IF(History!HZ$2="","",History!HZ31*$C$42)</f>
        <v/>
      </c>
      <c r="HW42" s="11" t="str">
        <f ca="1">IF(History!IA$2="","",History!IA31*$C$42)</f>
        <v/>
      </c>
      <c r="HX42" s="11" t="str">
        <f ca="1">IF(History!IB$2="","",History!IB31*$C$42)</f>
        <v/>
      </c>
      <c r="HY42" s="11" t="str">
        <f ca="1">IF(History!IC$2="","",History!IC31*$C$42)</f>
        <v/>
      </c>
      <c r="HZ42" s="11" t="str">
        <f ca="1">IF(History!ID$2="","",History!ID31*$C$42)</f>
        <v/>
      </c>
      <c r="IA42" s="11" t="str">
        <f ca="1">IF(History!IE$2="","",History!IE31*$C$42)</f>
        <v/>
      </c>
      <c r="IB42" s="11" t="str">
        <f ca="1">IF(History!IF$2="","",History!IF31*$C$42)</f>
        <v/>
      </c>
      <c r="IC42" s="11" t="str">
        <f ca="1">IF(History!IG$2="","",History!IG31*$C$42)</f>
        <v/>
      </c>
      <c r="ID42" s="11" t="str">
        <f ca="1">IF(History!IH$2="","",History!IH31*$C$42)</f>
        <v/>
      </c>
      <c r="IE42" s="11" t="str">
        <f ca="1">IF(History!II$2="","",History!II31*$C$42)</f>
        <v/>
      </c>
      <c r="IF42" s="11" t="str">
        <f ca="1">IF(History!IJ$2="","",History!IJ31*$C$42)</f>
        <v/>
      </c>
      <c r="IG42" s="11" t="str">
        <f ca="1">IF(History!IK$2="","",History!IK31*$C$42)</f>
        <v/>
      </c>
      <c r="IH42" s="11" t="str">
        <f ca="1">IF(History!IL$2="","",History!IL31*$C$42)</f>
        <v/>
      </c>
      <c r="II42" s="11" t="str">
        <f ca="1">IF(History!IM$2="","",History!IM31*$C$42)</f>
        <v/>
      </c>
      <c r="IJ42" s="11" t="str">
        <f ca="1">IF(History!IN$2="","",History!IN31*$C$42)</f>
        <v/>
      </c>
      <c r="IK42" s="11" t="str">
        <f ca="1">IF(History!IO$2="","",History!IO31*$C$42)</f>
        <v/>
      </c>
      <c r="IL42" s="11" t="str">
        <f ca="1">IF(History!IP$2="","",History!IP31*$C$42)</f>
        <v/>
      </c>
      <c r="IM42" s="11" t="str">
        <f ca="1">IF(History!IQ$2="","",History!IQ31*$C$42)</f>
        <v/>
      </c>
      <c r="IN42" s="11" t="str">
        <f ca="1">IF(History!IR$2="","",History!IR31*$C$42)</f>
        <v/>
      </c>
      <c r="IO42" s="11" t="str">
        <f ca="1">IF(History!IS$2="","",History!IS31*$C$42)</f>
        <v/>
      </c>
      <c r="IP42" s="11" t="str">
        <f ca="1">IF(History!IT$2="","",History!IT31*$C$42)</f>
        <v/>
      </c>
      <c r="IQ42" s="11" t="str">
        <f ca="1">IF(History!IU$2="","",History!IU31*$C$42)</f>
        <v/>
      </c>
      <c r="IR42" s="11" t="str">
        <f ca="1">IF(History!IV$2="","",History!IV31*$C$42)</f>
        <v/>
      </c>
      <c r="IS42" s="11" t="str">
        <f ca="1">IF(History!IW$2="","",History!IW31*$C$42)</f>
        <v/>
      </c>
      <c r="IT42" s="11" t="str">
        <f ca="1">IF(History!IX$2="","",History!IX31*$C$42)</f>
        <v/>
      </c>
      <c r="IU42" s="11" t="str">
        <f ca="1">IF(History!IY$2="","",History!IY31*$C$42)</f>
        <v/>
      </c>
      <c r="IV42" s="11" t="str">
        <f ca="1">IF(History!IZ$2="","",History!IZ31*$C$42)</f>
        <v/>
      </c>
      <c r="IW42" s="11" t="str">
        <f ca="1">IF(History!JA$2="","",History!JA31*$C$42)</f>
        <v/>
      </c>
      <c r="IX42" s="11" t="str">
        <f ca="1">IF(History!JB$2="","",History!JB31*$C$42)</f>
        <v/>
      </c>
      <c r="IY42" s="11" t="str">
        <f ca="1">IF(History!JC$2="","",History!JC31*$C$42)</f>
        <v/>
      </c>
      <c r="IZ42" s="11" t="str">
        <f ca="1">IF(History!JD$2="","",History!JD31*$C$42)</f>
        <v/>
      </c>
      <c r="JA42" s="11" t="str">
        <f ca="1">IF(History!JE$2="","",History!JE31*$C$42)</f>
        <v/>
      </c>
      <c r="JB42" s="11" t="str">
        <f ca="1">IF(History!JF$2="","",History!JF31*$C$42)</f>
        <v/>
      </c>
      <c r="JC42" s="11" t="str">
        <f ca="1">IF(History!JG$2="","",History!JG31*$C$42)</f>
        <v/>
      </c>
      <c r="JD42" s="11" t="str">
        <f ca="1">IF(History!JH$2="","",History!JH31*$C$42)</f>
        <v/>
      </c>
      <c r="JE42" s="11" t="str">
        <f ca="1">IF(History!JI$2="","",History!JI31*$C$42)</f>
        <v/>
      </c>
      <c r="JF42" s="11" t="str">
        <f ca="1">IF(History!JJ$2="","",History!JJ31*$C$42)</f>
        <v/>
      </c>
      <c r="JG42" s="11" t="str">
        <f ca="1">IF(History!JK$2="","",History!JK31*$C$42)</f>
        <v/>
      </c>
      <c r="JH42" s="11" t="str">
        <f ca="1">IF(History!JL$2="","",History!JL31*$C$42)</f>
        <v/>
      </c>
      <c r="JI42" s="11" t="str">
        <f ca="1">IF(History!JM$2="","",History!JM31*$C$42)</f>
        <v/>
      </c>
      <c r="JJ42" s="11" t="str">
        <f ca="1">IF(History!JN$2="","",History!JN31*$C$42)</f>
        <v/>
      </c>
      <c r="JK42" s="11" t="str">
        <f ca="1">IF(History!JO$2="","",History!JO31*$C$42)</f>
        <v/>
      </c>
      <c r="JL42" s="11" t="str">
        <f ca="1">IF(History!JP$2="","",History!JP31*$C$42)</f>
        <v/>
      </c>
      <c r="JM42" s="11" t="str">
        <f ca="1">IF(History!JQ$2="","",History!JQ31*$C$42)</f>
        <v/>
      </c>
      <c r="JN42" s="11" t="str">
        <f ca="1">IF(History!JR$2="","",History!JR31*$C$42)</f>
        <v/>
      </c>
      <c r="JO42" s="11" t="str">
        <f ca="1">IF(History!JS$2="","",History!JS31*$C$42)</f>
        <v/>
      </c>
      <c r="JP42" s="11" t="str">
        <f ca="1">IF(History!JT$2="","",History!JT31*$C$42)</f>
        <v/>
      </c>
      <c r="JQ42" s="11" t="str">
        <f ca="1">IF(History!JU$2="","",History!JU31*$C$42)</f>
        <v/>
      </c>
      <c r="JR42" s="11" t="str">
        <f ca="1">IF(History!JV$2="","",History!JV31*$C$42)</f>
        <v/>
      </c>
      <c r="JS42" s="11" t="str">
        <f ca="1">IF(History!JW$2="","",History!JW31*$C$42)</f>
        <v/>
      </c>
      <c r="JT42" s="11" t="str">
        <f ca="1">IF(History!JX$2="","",History!JX31*$C$42)</f>
        <v/>
      </c>
      <c r="JU42" s="11" t="str">
        <f ca="1">IF(History!JY$2="","",History!JY31*$C$42)</f>
        <v/>
      </c>
      <c r="JV42" s="11" t="str">
        <f ca="1">IF(History!JZ$2="","",History!JZ31*$C$42)</f>
        <v/>
      </c>
      <c r="JW42" s="11" t="str">
        <f ca="1">IF(History!KA$2="","",History!KA31*$C$42)</f>
        <v/>
      </c>
      <c r="JX42" s="11" t="str">
        <f ca="1">IF(History!KB$2="","",History!KB31*$C$42)</f>
        <v/>
      </c>
      <c r="JY42" s="11" t="str">
        <f ca="1">IF(History!KC$2="","",History!KC31*$C$42)</f>
        <v/>
      </c>
      <c r="JZ42" s="11" t="str">
        <f ca="1">IF(History!KD$2="","",History!KD31*$C$42)</f>
        <v/>
      </c>
      <c r="KA42" s="11" t="str">
        <f ca="1">IF(History!KE$2="","",History!KE31*$C$42)</f>
        <v/>
      </c>
      <c r="KB42" s="11" t="str">
        <f ca="1">IF(History!KF$2="","",History!KF31*$C$42)</f>
        <v/>
      </c>
    </row>
    <row r="43" spans="1:288" ht="15.75" customHeight="1">
      <c r="A43" s="22" t="s">
        <v>30</v>
      </c>
      <c r="B43" s="6" t="s">
        <v>75</v>
      </c>
      <c r="C43" s="26">
        <v>88</v>
      </c>
      <c r="D43" s="11">
        <f ca="1">IF(History!H$2="","",History!H32*$C$43)</f>
        <v>1140.48</v>
      </c>
      <c r="E43" s="11">
        <f ca="1">IF(History!I$2="","",History!I32*$C$43)</f>
        <v>1147.52</v>
      </c>
      <c r="F43" s="11">
        <f ca="1">IF(History!J$2="","",History!J32*$C$43)</f>
        <v>1164.24</v>
      </c>
      <c r="G43" s="11">
        <f ca="1">IF(History!K$2="","",History!K32*$C$43)</f>
        <v>1224.08</v>
      </c>
      <c r="H43" s="11">
        <f ca="1">IF(History!L$2="","",History!L32*$C$43)</f>
        <v>1256.6399999999999</v>
      </c>
      <c r="I43" s="11">
        <f ca="1">IF(History!M$2="","",History!M32*$C$43)</f>
        <v>1241.6799999999998</v>
      </c>
      <c r="J43" s="11">
        <f ca="1">IF(History!N$2="","",History!N32*$C$43)</f>
        <v>1273.3600000000001</v>
      </c>
      <c r="K43" s="11">
        <f ca="1">IF(History!O$2="","",History!O32*$C$43)</f>
        <v>1207.3600000000001</v>
      </c>
      <c r="L43" s="11">
        <f ca="1">IF(History!P$2="","",History!P32*$C$43)</f>
        <v>1166.8799999999999</v>
      </c>
      <c r="M43" s="11">
        <f ca="1">IF(History!Q$2="","",History!Q32*$C$43)</f>
        <v>1162.48</v>
      </c>
      <c r="N43" s="11">
        <f ca="1">IF(History!R$2="","",History!R32*$C$43)</f>
        <v>1144.8799999999999</v>
      </c>
      <c r="O43" s="11">
        <f ca="1">IF(History!S$2="","",History!S32*$C$43)</f>
        <v>1133.44</v>
      </c>
      <c r="P43" s="11">
        <f ca="1">IF(History!T$2="","",History!T32*$C$43)</f>
        <v>1157.2</v>
      </c>
      <c r="Q43" s="11">
        <f ca="1">IF(History!U$2="","",History!U32*$C$43)</f>
        <v>1149.28</v>
      </c>
      <c r="R43" s="11">
        <f ca="1">IF(History!V$2="","",History!V32*$C$43)</f>
        <v>1171.28</v>
      </c>
      <c r="S43" s="11">
        <f ca="1">IF(History!W$2="","",History!W32*$C$43)</f>
        <v>1197.6799999999998</v>
      </c>
      <c r="T43" s="11">
        <f ca="1">IF(History!X$2="","",History!X32*$C$43)</f>
        <v>1233.76</v>
      </c>
      <c r="U43" s="11">
        <f ca="1">IF(History!Y$2="","",History!Y32*$C$43)</f>
        <v>1221.44</v>
      </c>
      <c r="V43" s="11">
        <f ca="1">IF(History!Z$2="","",History!Z32*$C$43)</f>
        <v>1215.28</v>
      </c>
      <c r="W43" s="11">
        <f ca="1">IF(History!AA$2="","",History!AA32*$C$43)</f>
        <v>1193.28</v>
      </c>
      <c r="X43" s="11">
        <f ca="1">IF(History!AB$2="","",History!AB32*$C$43)</f>
        <v>1221.44</v>
      </c>
      <c r="Y43" s="11">
        <f ca="1">IF(History!AC$2="","",History!AC32*$C$43)</f>
        <v>1223.2</v>
      </c>
      <c r="Z43" s="11">
        <f ca="1">IF(History!AD$2="","",History!AD32*$C$43)</f>
        <v>1205.5999999999999</v>
      </c>
      <c r="AA43" s="11">
        <f ca="1">IF(History!AE$2="","",History!AE32*$C$43)</f>
        <v>1202.08</v>
      </c>
      <c r="AB43" s="11">
        <f ca="1">IF(History!AF$2="","",History!AF32*$C$43)</f>
        <v>1187.1200000000001</v>
      </c>
      <c r="AC43" s="11">
        <f ca="1">IF(History!AG$2="","",History!AG32*$C$43)</f>
        <v>1227.5999999999999</v>
      </c>
      <c r="AD43" s="11">
        <f ca="1">IF(History!AH$2="","",History!AH32*$C$43)</f>
        <v>1226.72</v>
      </c>
      <c r="AE43" s="11">
        <f ca="1">IF(History!AI$2="","",History!AI32*$C$43)</f>
        <v>1227.5999999999999</v>
      </c>
      <c r="AF43" s="11">
        <f ca="1">IF(History!AJ$2="","",History!AJ32*$C$43)</f>
        <v>1174.8</v>
      </c>
      <c r="AG43" s="11">
        <f ca="1">IF(History!AK$2="","",History!AK32*$C$43)</f>
        <v>1136.96</v>
      </c>
      <c r="AH43" s="11">
        <f ca="1">IF(History!AL$2="","",History!AL32*$C$43)</f>
        <v>1114.08</v>
      </c>
      <c r="AI43" s="11">
        <f ca="1">IF(History!AM$2="","",History!AM32*$C$43)</f>
        <v>1092.96</v>
      </c>
      <c r="AJ43" s="11">
        <f ca="1">IF(History!AN$2="","",History!AN32*$C$43)</f>
        <v>1155.44</v>
      </c>
      <c r="AK43" s="11">
        <f ca="1">IF(History!AO$2="","",History!AO32*$C$43)</f>
        <v>1124.6399999999999</v>
      </c>
      <c r="AL43" s="11">
        <f ca="1">IF(History!AP$2="","",History!AP32*$C$43)</f>
        <v>1039.28</v>
      </c>
      <c r="AM43" s="11">
        <f ca="1">IF(History!AQ$2="","",History!AQ32*$C$43)</f>
        <v>1095.5999999999999</v>
      </c>
      <c r="AN43" s="11">
        <f ca="1">IF(History!AR$2="","",History!AR32*$C$43)</f>
        <v>1093.8399999999999</v>
      </c>
      <c r="AO43" s="11">
        <f ca="1">IF(History!AS$2="","",History!AS32*$C$43)</f>
        <v>1080.6399999999999</v>
      </c>
      <c r="AP43" s="11">
        <f ca="1">IF(History!AT$2="","",History!AT32*$C$43)</f>
        <v>1020.8</v>
      </c>
      <c r="AQ43" s="11">
        <f ca="1">IF(History!AU$2="","",History!AU32*$C$43)</f>
        <v>1034</v>
      </c>
      <c r="AR43" s="11">
        <f ca="1">IF(History!AV$2="","",History!AV32*$C$43)</f>
        <v>1064.8</v>
      </c>
      <c r="AS43" s="11">
        <f ca="1">IF(History!AW$2="","",History!AW32*$C$43)</f>
        <v>1056.8799999999999</v>
      </c>
      <c r="AT43" s="11">
        <f ca="1">IF(History!AX$2="","",History!AX32*$C$43)</f>
        <v>1038.4000000000001</v>
      </c>
      <c r="AU43" s="11">
        <f ca="1">IF(History!AY$2="","",History!AY32*$C$43)</f>
        <v>1041.92</v>
      </c>
      <c r="AV43" s="11">
        <f ca="1">IF(History!AZ$2="","",History!AZ32*$C$43)</f>
        <v>1048.08</v>
      </c>
      <c r="AW43" s="11">
        <f ca="1">IF(History!BA$2="","",History!BA32*$C$43)</f>
        <v>1157.2</v>
      </c>
      <c r="AX43" s="11">
        <f ca="1">IF(History!BB$2="","",History!BB32*$C$43)</f>
        <v>1124.6399999999999</v>
      </c>
      <c r="AY43" s="11">
        <f ca="1">IF(History!BC$2="","",History!BC32*$C$43)</f>
        <v>1116.72</v>
      </c>
      <c r="AZ43" s="11">
        <f ca="1">IF(History!BD$2="","",History!BD32*$C$43)</f>
        <v>1119.3600000000001</v>
      </c>
      <c r="BA43" s="11">
        <f ca="1">IF(History!BE$2="","",History!BE32*$C$43)</f>
        <v>1126.4000000000001</v>
      </c>
      <c r="BB43" s="11">
        <f ca="1">IF(History!BF$2="","",History!BF32*$C$43)</f>
        <v>1067.44</v>
      </c>
      <c r="BC43" s="11">
        <f ca="1">IF(History!BG$2="","",History!BG32*$C$43)</f>
        <v>1116.72</v>
      </c>
      <c r="BD43" s="11">
        <f ca="1">IF(History!BH$2="","",History!BH32*$C$43)</f>
        <v>1166.8799999999999</v>
      </c>
      <c r="BE43" s="11">
        <f ca="1">IF(History!BI$2="","",History!BI32*$C$43)</f>
        <v>1166</v>
      </c>
      <c r="BF43" s="11">
        <f ca="1">IF(History!BJ$2="","",History!BJ32*$C$43)</f>
        <v>1192.4000000000001</v>
      </c>
      <c r="BG43" s="11">
        <f ca="1">IF(History!BK$2="","",History!BK32*$C$43)</f>
        <v>1166</v>
      </c>
      <c r="BH43" s="11">
        <f ca="1">IF(History!BL$2="","",History!BL32*$C$43)</f>
        <v>1159.8399999999999</v>
      </c>
      <c r="BI43" s="11">
        <f ca="1">IF(History!BM$2="","",History!BM32*$C$43)</f>
        <v>1164.24</v>
      </c>
      <c r="BJ43" s="11">
        <f ca="1">IF(History!BN$2="","",History!BN32*$C$43)</f>
        <v>1159.8399999999999</v>
      </c>
      <c r="BK43" s="11">
        <f ca="1">IF(History!BO$2="","",History!BO32*$C$43)</f>
        <v>1111.44</v>
      </c>
      <c r="BL43" s="11">
        <f ca="1">IF(History!BP$2="","",History!BP32*$C$43)</f>
        <v>1123.76</v>
      </c>
      <c r="BM43" s="11">
        <f ca="1">IF(History!BQ$2="","",History!BQ32*$C$43)</f>
        <v>1111.44</v>
      </c>
      <c r="BN43" s="11">
        <f ca="1">IF(History!BR$2="","",History!BR32*$C$43)</f>
        <v>1152.8</v>
      </c>
      <c r="BO43" s="11">
        <f ca="1">IF(History!BS$2="","",History!BS32*$C$43)</f>
        <v>1117.5999999999999</v>
      </c>
      <c r="BP43" s="11">
        <f ca="1">IF(History!BT$2="","",History!BT32*$C$43)</f>
        <v>1135.2</v>
      </c>
      <c r="BQ43" s="11">
        <f ca="1">IF(History!BU$2="","",History!BU32*$C$43)</f>
        <v>1171.28</v>
      </c>
      <c r="BR43" s="11">
        <f ca="1">IF(History!BV$2="","",History!BV32*$C$43)</f>
        <v>1152.8</v>
      </c>
      <c r="BS43" s="11">
        <f ca="1">IF(History!BW$2="","",History!BW32*$C$43)</f>
        <v>1140.48</v>
      </c>
      <c r="BT43" s="11">
        <f ca="1">IF(History!BX$2="","",History!BX32*$C$43)</f>
        <v>1164.24</v>
      </c>
      <c r="BU43" s="11">
        <f ca="1">IF(History!BY$2="","",History!BY32*$C$43)</f>
        <v>1208.24</v>
      </c>
      <c r="BV43" s="11">
        <f ca="1">IF(History!BZ$2="","",History!BZ32*$C$43)</f>
        <v>1207.3600000000001</v>
      </c>
      <c r="BW43" s="11">
        <f ca="1">IF(History!CA$2="","",History!CA32*$C$43)</f>
        <v>1177.44</v>
      </c>
      <c r="BX43" s="11">
        <f ca="1">IF(History!CB$2="","",History!CB32*$C$43)</f>
        <v>1166</v>
      </c>
      <c r="BY43" s="11">
        <f ca="1">IF(History!CC$2="","",History!CC32*$C$43)</f>
        <v>1113.2</v>
      </c>
      <c r="BZ43" s="11">
        <f ca="1">IF(History!CD$2="","",History!CD32*$C$43)</f>
        <v>1181.8399999999999</v>
      </c>
      <c r="CA43" s="11">
        <f ca="1">IF(History!CE$2="","",History!CE32*$C$43)</f>
        <v>1224.08</v>
      </c>
      <c r="CB43" s="11">
        <f ca="1">IF(History!CF$2="","",History!CF32*$C$43)</f>
        <v>1186.24</v>
      </c>
      <c r="CC43" s="11">
        <f ca="1">IF(History!CG$2="","",History!CG32*$C$43)</f>
        <v>1190.6399999999999</v>
      </c>
      <c r="CD43" s="11">
        <f ca="1">IF(History!CH$2="","",History!CH32*$C$43)</f>
        <v>1224.08</v>
      </c>
      <c r="CE43" s="11">
        <f ca="1">IF(History!CI$2="","",History!CI32*$C$43)</f>
        <v>1261.92</v>
      </c>
      <c r="CF43" s="11" t="str">
        <f ca="1">IF(History!CJ$2="","",History!CJ32*$C$43)</f>
        <v/>
      </c>
      <c r="CG43" s="11" t="str">
        <f ca="1">IF(History!CK$2="","",History!CK32*$C$43)</f>
        <v/>
      </c>
      <c r="CH43" s="11" t="str">
        <f ca="1">IF(History!CL$2="","",History!CL32*$C$43)</f>
        <v/>
      </c>
      <c r="CI43" s="11" t="str">
        <f ca="1">IF(History!CM$2="","",History!CM32*$C$43)</f>
        <v/>
      </c>
      <c r="CJ43" s="11" t="str">
        <f ca="1">IF(History!CN$2="","",History!CN32*$C$43)</f>
        <v/>
      </c>
      <c r="CK43" s="11" t="str">
        <f ca="1">IF(History!CO$2="","",History!CO32*$C$43)</f>
        <v/>
      </c>
      <c r="CL43" s="11" t="str">
        <f ca="1">IF(History!CP$2="","",History!CP32*$C$43)</f>
        <v/>
      </c>
      <c r="CM43" s="11" t="str">
        <f ca="1">IF(History!CQ$2="","",History!CQ32*$C$43)</f>
        <v/>
      </c>
      <c r="CN43" s="11" t="str">
        <f ca="1">IF(History!CR$2="","",History!CR32*$C$43)</f>
        <v/>
      </c>
      <c r="CO43" s="11" t="str">
        <f ca="1">IF(History!CS$2="","",History!CS32*$C$43)</f>
        <v/>
      </c>
      <c r="CP43" s="11" t="str">
        <f ca="1">IF(History!CT$2="","",History!CT32*$C$43)</f>
        <v/>
      </c>
      <c r="CQ43" s="11" t="str">
        <f ca="1">IF(History!CU$2="","",History!CU32*$C$43)</f>
        <v/>
      </c>
      <c r="CR43" s="11" t="str">
        <f ca="1">IF(History!CV$2="","",History!CV32*$C$43)</f>
        <v/>
      </c>
      <c r="CS43" s="11" t="str">
        <f ca="1">IF(History!CW$2="","",History!CW32*$C$43)</f>
        <v/>
      </c>
      <c r="CT43" s="11" t="str">
        <f ca="1">IF(History!CX$2="","",History!CX32*$C$43)</f>
        <v/>
      </c>
      <c r="CU43" s="11" t="str">
        <f ca="1">IF(History!CY$2="","",History!CY32*$C$43)</f>
        <v/>
      </c>
      <c r="CV43" s="11" t="str">
        <f ca="1">IF(History!CZ$2="","",History!CZ32*$C$43)</f>
        <v/>
      </c>
      <c r="CW43" s="11" t="str">
        <f ca="1">IF(History!DA$2="","",History!DA32*$C$43)</f>
        <v/>
      </c>
      <c r="CX43" s="11" t="str">
        <f ca="1">IF(History!DB$2="","",History!DB32*$C$43)</f>
        <v/>
      </c>
      <c r="CY43" s="11" t="str">
        <f ca="1">IF(History!DC$2="","",History!DC32*$C$43)</f>
        <v/>
      </c>
      <c r="CZ43" s="11" t="str">
        <f ca="1">IF(History!DD$2="","",History!DD32*$C$43)</f>
        <v/>
      </c>
      <c r="DA43" s="11" t="str">
        <f ca="1">IF(History!DE$2="","",History!DE32*$C$43)</f>
        <v/>
      </c>
      <c r="DB43" s="11" t="str">
        <f ca="1">IF(History!DF$2="","",History!DF32*$C$43)</f>
        <v/>
      </c>
      <c r="DC43" s="11" t="str">
        <f ca="1">IF(History!DG$2="","",History!DG32*$C$43)</f>
        <v/>
      </c>
      <c r="DD43" s="11" t="str">
        <f ca="1">IF(History!DH$2="","",History!DH32*$C$43)</f>
        <v/>
      </c>
      <c r="DE43" s="11" t="str">
        <f ca="1">IF(History!DI$2="","",History!DI32*$C$43)</f>
        <v/>
      </c>
      <c r="DF43" s="11" t="str">
        <f ca="1">IF(History!DJ$2="","",History!DJ32*$C$43)</f>
        <v/>
      </c>
      <c r="DG43" s="11" t="str">
        <f ca="1">IF(History!DK$2="","",History!DK32*$C$43)</f>
        <v/>
      </c>
      <c r="DH43" s="11" t="str">
        <f ca="1">IF(History!DL$2="","",History!DL32*$C$43)</f>
        <v/>
      </c>
      <c r="DI43" s="11" t="str">
        <f ca="1">IF(History!DM$2="","",History!DM32*$C$43)</f>
        <v/>
      </c>
      <c r="DJ43" s="11" t="str">
        <f ca="1">IF(History!DN$2="","",History!DN32*$C$43)</f>
        <v/>
      </c>
      <c r="DK43" s="11" t="str">
        <f ca="1">IF(History!DO$2="","",History!DO32*$C$43)</f>
        <v/>
      </c>
      <c r="DL43" s="11" t="str">
        <f ca="1">IF(History!DP$2="","",History!DP32*$C$43)</f>
        <v/>
      </c>
      <c r="DM43" s="11" t="str">
        <f ca="1">IF(History!DQ$2="","",History!DQ32*$C$43)</f>
        <v/>
      </c>
      <c r="DN43" s="11" t="str">
        <f ca="1">IF(History!DR$2="","",History!DR32*$C$43)</f>
        <v/>
      </c>
      <c r="DO43" s="11" t="str">
        <f ca="1">IF(History!DS$2="","",History!DS32*$C$43)</f>
        <v/>
      </c>
      <c r="DP43" s="11" t="str">
        <f ca="1">IF(History!DT$2="","",History!DT32*$C$43)</f>
        <v/>
      </c>
      <c r="DQ43" s="11" t="str">
        <f ca="1">IF(History!DU$2="","",History!DU32*$C$43)</f>
        <v/>
      </c>
      <c r="DR43" s="11" t="str">
        <f ca="1">IF(History!DV$2="","",History!DV32*$C$43)</f>
        <v/>
      </c>
      <c r="DS43" s="11" t="str">
        <f ca="1">IF(History!DW$2="","",History!DW32*$C$43)</f>
        <v/>
      </c>
      <c r="DT43" s="11" t="str">
        <f ca="1">IF(History!DX$2="","",History!DX32*$C$43)</f>
        <v/>
      </c>
      <c r="DU43" s="11" t="str">
        <f ca="1">IF(History!DY$2="","",History!DY32*$C$43)</f>
        <v/>
      </c>
      <c r="DV43" s="11" t="str">
        <f ca="1">IF(History!DZ$2="","",History!DZ32*$C$43)</f>
        <v/>
      </c>
      <c r="DW43" s="11" t="str">
        <f ca="1">IF(History!EA$2="","",History!EA32*$C$43)</f>
        <v/>
      </c>
      <c r="DX43" s="11" t="str">
        <f ca="1">IF(History!EB$2="","",History!EB32*$C$43)</f>
        <v/>
      </c>
      <c r="DY43" s="11" t="str">
        <f ca="1">IF(History!EC$2="","",History!EC32*$C$43)</f>
        <v/>
      </c>
      <c r="DZ43" s="11" t="str">
        <f ca="1">IF(History!ED$2="","",History!ED32*$C$43)</f>
        <v/>
      </c>
      <c r="EA43" s="11" t="str">
        <f ca="1">IF(History!EE$2="","",History!EE32*$C$43)</f>
        <v/>
      </c>
      <c r="EB43" s="11" t="str">
        <f ca="1">IF(History!EF$2="","",History!EF32*$C$43)</f>
        <v/>
      </c>
      <c r="EC43" s="11" t="str">
        <f ca="1">IF(History!EG$2="","",History!EG32*$C$43)</f>
        <v/>
      </c>
      <c r="ED43" s="11" t="str">
        <f ca="1">IF(History!EH$2="","",History!EH32*$C$43)</f>
        <v/>
      </c>
      <c r="EE43" s="11" t="str">
        <f ca="1">IF(History!EI$2="","",History!EI32*$C$43)</f>
        <v/>
      </c>
      <c r="EF43" s="11" t="str">
        <f ca="1">IF(History!EJ$2="","",History!EJ32*$C$43)</f>
        <v/>
      </c>
      <c r="EG43" s="11" t="str">
        <f ca="1">IF(History!EK$2="","",History!EK32*$C$43)</f>
        <v/>
      </c>
      <c r="EH43" s="11" t="str">
        <f ca="1">IF(History!EL$2="","",History!EL32*$C$43)</f>
        <v/>
      </c>
      <c r="EI43" s="11" t="str">
        <f ca="1">IF(History!EM$2="","",History!EM32*$C$43)</f>
        <v/>
      </c>
      <c r="EJ43" s="11" t="str">
        <f ca="1">IF(History!EN$2="","",History!EN32*$C$43)</f>
        <v/>
      </c>
      <c r="EK43" s="11" t="str">
        <f ca="1">IF(History!EO$2="","",History!EO32*$C$43)</f>
        <v/>
      </c>
      <c r="EL43" s="11" t="str">
        <f ca="1">IF(History!EP$2="","",History!EP32*$C$43)</f>
        <v/>
      </c>
      <c r="EM43" s="11" t="str">
        <f ca="1">IF(History!EQ$2="","",History!EQ32*$C$43)</f>
        <v/>
      </c>
      <c r="EN43" s="11" t="str">
        <f ca="1">IF(History!ER$2="","",History!ER32*$C$43)</f>
        <v/>
      </c>
      <c r="EO43" s="11" t="str">
        <f ca="1">IF(History!ES$2="","",History!ES32*$C$43)</f>
        <v/>
      </c>
      <c r="EP43" s="11" t="str">
        <f ca="1">IF(History!ET$2="","",History!ET32*$C$43)</f>
        <v/>
      </c>
      <c r="EQ43" s="11" t="str">
        <f ca="1">IF(History!EU$2="","",History!EU32*$C$43)</f>
        <v/>
      </c>
      <c r="ER43" s="11" t="str">
        <f ca="1">IF(History!EV$2="","",History!EV32*$C$43)</f>
        <v/>
      </c>
      <c r="ES43" s="11" t="str">
        <f ca="1">IF(History!EW$2="","",History!EW32*$C$43)</f>
        <v/>
      </c>
      <c r="ET43" s="11" t="str">
        <f ca="1">IF(History!EX$2="","",History!EX32*$C$43)</f>
        <v/>
      </c>
      <c r="EU43" s="11" t="str">
        <f ca="1">IF(History!EY$2="","",History!EY32*$C$43)</f>
        <v/>
      </c>
      <c r="EV43" s="11" t="str">
        <f ca="1">IF(History!EZ$2="","",History!EZ32*$C$43)</f>
        <v/>
      </c>
      <c r="EW43" s="11" t="str">
        <f ca="1">IF(History!FA$2="","",History!FA32*$C$43)</f>
        <v/>
      </c>
      <c r="EX43" s="11" t="str">
        <f ca="1">IF(History!FB$2="","",History!FB32*$C$43)</f>
        <v/>
      </c>
      <c r="EY43" s="11" t="str">
        <f ca="1">IF(History!FC$2="","",History!FC32*$C$43)</f>
        <v/>
      </c>
      <c r="EZ43" s="11" t="str">
        <f ca="1">IF(History!FD$2="","",History!FD32*$C$43)</f>
        <v/>
      </c>
      <c r="FA43" s="11" t="str">
        <f ca="1">IF(History!FE$2="","",History!FE32*$C$43)</f>
        <v/>
      </c>
      <c r="FB43" s="11" t="str">
        <f ca="1">IF(History!FF$2="","",History!FF32*$C$43)</f>
        <v/>
      </c>
      <c r="FC43" s="11" t="str">
        <f ca="1">IF(History!FG$2="","",History!FG32*$C$43)</f>
        <v/>
      </c>
      <c r="FD43" s="11" t="str">
        <f ca="1">IF(History!FH$2="","",History!FH32*$C$43)</f>
        <v/>
      </c>
      <c r="FE43" s="11" t="str">
        <f ca="1">IF(History!FI$2="","",History!FI32*$C$43)</f>
        <v/>
      </c>
      <c r="FF43" s="11" t="str">
        <f ca="1">IF(History!FJ$2="","",History!FJ32*$C$43)</f>
        <v/>
      </c>
      <c r="FG43" s="11" t="str">
        <f ca="1">IF(History!FK$2="","",History!FK32*$C$43)</f>
        <v/>
      </c>
      <c r="FH43" s="11" t="str">
        <f ca="1">IF(History!FL$2="","",History!FL32*$C$43)</f>
        <v/>
      </c>
      <c r="FI43" s="11" t="str">
        <f ca="1">IF(History!FM$2="","",History!FM32*$C$43)</f>
        <v/>
      </c>
      <c r="FJ43" s="11" t="str">
        <f ca="1">IF(History!FN$2="","",History!FN32*$C$43)</f>
        <v/>
      </c>
      <c r="FK43" s="11" t="str">
        <f ca="1">IF(History!FO$2="","",History!FO32*$C$43)</f>
        <v/>
      </c>
      <c r="FL43" s="11" t="str">
        <f ca="1">IF(History!FP$2="","",History!FP32*$C$43)</f>
        <v/>
      </c>
      <c r="FM43" s="11" t="str">
        <f ca="1">IF(History!FQ$2="","",History!FQ32*$C$43)</f>
        <v/>
      </c>
      <c r="FN43" s="11" t="str">
        <f ca="1">IF(History!FR$2="","",History!FR32*$C$43)</f>
        <v/>
      </c>
      <c r="FO43" s="11" t="str">
        <f ca="1">IF(History!FS$2="","",History!FS32*$C$43)</f>
        <v/>
      </c>
      <c r="FP43" s="11" t="str">
        <f ca="1">IF(History!FT$2="","",History!FT32*$C$43)</f>
        <v/>
      </c>
      <c r="FQ43" s="11" t="str">
        <f ca="1">IF(History!FU$2="","",History!FU32*$C$43)</f>
        <v/>
      </c>
      <c r="FR43" s="11" t="str">
        <f ca="1">IF(History!FV$2="","",History!FV32*$C$43)</f>
        <v/>
      </c>
      <c r="FS43" s="11" t="str">
        <f ca="1">IF(History!FW$2="","",History!FW32*$C$43)</f>
        <v/>
      </c>
      <c r="FT43" s="11" t="str">
        <f ca="1">IF(History!FX$2="","",History!FX32*$C$43)</f>
        <v/>
      </c>
      <c r="FU43" s="11" t="str">
        <f ca="1">IF(History!FY$2="","",History!FY32*$C$43)</f>
        <v/>
      </c>
      <c r="FV43" s="11" t="str">
        <f ca="1">IF(History!FZ$2="","",History!FZ32*$C$43)</f>
        <v/>
      </c>
      <c r="FW43" s="11" t="str">
        <f ca="1">IF(History!GA$2="","",History!GA32*$C$43)</f>
        <v/>
      </c>
      <c r="FX43" s="11" t="str">
        <f ca="1">IF(History!GB$2="","",History!GB32*$C$43)</f>
        <v/>
      </c>
      <c r="FY43" s="11" t="str">
        <f ca="1">IF(History!GC$2="","",History!GC32*$C$43)</f>
        <v/>
      </c>
      <c r="FZ43" s="11" t="str">
        <f ca="1">IF(History!GD$2="","",History!GD32*$C$43)</f>
        <v/>
      </c>
      <c r="GA43" s="11" t="str">
        <f ca="1">IF(History!GE$2="","",History!GE32*$C$43)</f>
        <v/>
      </c>
      <c r="GB43" s="11" t="str">
        <f ca="1">IF(History!GF$2="","",History!GF32*$C$43)</f>
        <v/>
      </c>
      <c r="GC43" s="11" t="str">
        <f ca="1">IF(History!GG$2="","",History!GG32*$C$43)</f>
        <v/>
      </c>
      <c r="GD43" s="11" t="str">
        <f ca="1">IF(History!GH$2="","",History!GH32*$C$43)</f>
        <v/>
      </c>
      <c r="GE43" s="11" t="str">
        <f ca="1">IF(History!GI$2="","",History!GI32*$C$43)</f>
        <v/>
      </c>
      <c r="GF43" s="11" t="str">
        <f ca="1">IF(History!GJ$2="","",History!GJ32*$C$43)</f>
        <v/>
      </c>
      <c r="GG43" s="11" t="str">
        <f ca="1">IF(History!GK$2="","",History!GK32*$C$43)</f>
        <v/>
      </c>
      <c r="GH43" s="11" t="str">
        <f ca="1">IF(History!GL$2="","",History!GL32*$C$43)</f>
        <v/>
      </c>
      <c r="GI43" s="11" t="str">
        <f ca="1">IF(History!GM$2="","",History!GM32*$C$43)</f>
        <v/>
      </c>
      <c r="GJ43" s="11" t="str">
        <f ca="1">IF(History!GN$2="","",History!GN32*$C$43)</f>
        <v/>
      </c>
      <c r="GK43" s="11" t="str">
        <f ca="1">IF(History!GO$2="","",History!GO32*$C$43)</f>
        <v/>
      </c>
      <c r="GL43" s="11" t="str">
        <f ca="1">IF(History!GP$2="","",History!GP32*$C$43)</f>
        <v/>
      </c>
      <c r="GM43" s="11" t="str">
        <f ca="1">IF(History!GQ$2="","",History!GQ32*$C$43)</f>
        <v/>
      </c>
      <c r="GN43" s="11" t="str">
        <f ca="1">IF(History!GR$2="","",History!GR32*$C$43)</f>
        <v/>
      </c>
      <c r="GO43" s="11" t="str">
        <f ca="1">IF(History!GS$2="","",History!GS32*$C$43)</f>
        <v/>
      </c>
      <c r="GP43" s="11" t="str">
        <f ca="1">IF(History!GT$2="","",History!GT32*$C$43)</f>
        <v/>
      </c>
      <c r="GQ43" s="11" t="str">
        <f ca="1">IF(History!GU$2="","",History!GU32*$C$43)</f>
        <v/>
      </c>
      <c r="GR43" s="11" t="str">
        <f ca="1">IF(History!GV$2="","",History!GV32*$C$43)</f>
        <v/>
      </c>
      <c r="GS43" s="11" t="str">
        <f ca="1">IF(History!GW$2="","",History!GW32*$C$43)</f>
        <v/>
      </c>
      <c r="GT43" s="11" t="str">
        <f ca="1">IF(History!GX$2="","",History!GX32*$C$43)</f>
        <v/>
      </c>
      <c r="GU43" s="11" t="str">
        <f ca="1">IF(History!GY$2="","",History!GY32*$C$43)</f>
        <v/>
      </c>
      <c r="GV43" s="11" t="str">
        <f ca="1">IF(History!GZ$2="","",History!GZ32*$C$43)</f>
        <v/>
      </c>
      <c r="GW43" s="11" t="str">
        <f ca="1">IF(History!HA$2="","",History!HA32*$C$43)</f>
        <v/>
      </c>
      <c r="GX43" s="11" t="str">
        <f ca="1">IF(History!HB$2="","",History!HB32*$C$43)</f>
        <v/>
      </c>
      <c r="GY43" s="11" t="str">
        <f ca="1">IF(History!HC$2="","",History!HC32*$C$43)</f>
        <v/>
      </c>
      <c r="GZ43" s="11" t="str">
        <f ca="1">IF(History!HD$2="","",History!HD32*$C$43)</f>
        <v/>
      </c>
      <c r="HA43" s="11" t="str">
        <f ca="1">IF(History!HE$2="","",History!HE32*$C$43)</f>
        <v/>
      </c>
      <c r="HB43" s="11" t="str">
        <f ca="1">IF(History!HF$2="","",History!HF32*$C$43)</f>
        <v/>
      </c>
      <c r="HC43" s="11" t="str">
        <f ca="1">IF(History!HG$2="","",History!HG32*$C$43)</f>
        <v/>
      </c>
      <c r="HD43" s="11" t="str">
        <f ca="1">IF(History!HH$2="","",History!HH32*$C$43)</f>
        <v/>
      </c>
      <c r="HE43" s="11" t="str">
        <f ca="1">IF(History!HI$2="","",History!HI32*$C$43)</f>
        <v/>
      </c>
      <c r="HF43" s="11" t="str">
        <f ca="1">IF(History!HJ$2="","",History!HJ32*$C$43)</f>
        <v/>
      </c>
      <c r="HG43" s="11" t="str">
        <f ca="1">IF(History!HK$2="","",History!HK32*$C$43)</f>
        <v/>
      </c>
      <c r="HH43" s="11" t="str">
        <f ca="1">IF(History!HL$2="","",History!HL32*$C$43)</f>
        <v/>
      </c>
      <c r="HI43" s="11" t="str">
        <f ca="1">IF(History!HM$2="","",History!HM32*$C$43)</f>
        <v/>
      </c>
      <c r="HJ43" s="11" t="str">
        <f ca="1">IF(History!HN$2="","",History!HN32*$C$43)</f>
        <v/>
      </c>
      <c r="HK43" s="11" t="str">
        <f ca="1">IF(History!HO$2="","",History!HO32*$C$43)</f>
        <v/>
      </c>
      <c r="HL43" s="11" t="str">
        <f ca="1">IF(History!HP$2="","",History!HP32*$C$43)</f>
        <v/>
      </c>
      <c r="HM43" s="11" t="str">
        <f ca="1">IF(History!HQ$2="","",History!HQ32*$C$43)</f>
        <v/>
      </c>
      <c r="HN43" s="11" t="str">
        <f ca="1">IF(History!HR$2="","",History!HR32*$C$43)</f>
        <v/>
      </c>
      <c r="HO43" s="11" t="str">
        <f ca="1">IF(History!HS$2="","",History!HS32*$C$43)</f>
        <v/>
      </c>
      <c r="HP43" s="11" t="str">
        <f ca="1">IF(History!HT$2="","",History!HT32*$C$43)</f>
        <v/>
      </c>
      <c r="HQ43" s="11" t="str">
        <f ca="1">IF(History!HU$2="","",History!HU32*$C$43)</f>
        <v/>
      </c>
      <c r="HR43" s="11" t="str">
        <f ca="1">IF(History!HV$2="","",History!HV32*$C$43)</f>
        <v/>
      </c>
      <c r="HS43" s="11" t="str">
        <f ca="1">IF(History!HW$2="","",History!HW32*$C$43)</f>
        <v/>
      </c>
      <c r="HT43" s="11" t="str">
        <f ca="1">IF(History!HX$2="","",History!HX32*$C$43)</f>
        <v/>
      </c>
      <c r="HU43" s="11" t="str">
        <f ca="1">IF(History!HY$2="","",History!HY32*$C$43)</f>
        <v/>
      </c>
      <c r="HV43" s="11" t="str">
        <f ca="1">IF(History!HZ$2="","",History!HZ32*$C$43)</f>
        <v/>
      </c>
      <c r="HW43" s="11" t="str">
        <f ca="1">IF(History!IA$2="","",History!IA32*$C$43)</f>
        <v/>
      </c>
      <c r="HX43" s="11" t="str">
        <f ca="1">IF(History!IB$2="","",History!IB32*$C$43)</f>
        <v/>
      </c>
      <c r="HY43" s="11" t="str">
        <f ca="1">IF(History!IC$2="","",History!IC32*$C$43)</f>
        <v/>
      </c>
      <c r="HZ43" s="11" t="str">
        <f ca="1">IF(History!ID$2="","",History!ID32*$C$43)</f>
        <v/>
      </c>
      <c r="IA43" s="11" t="str">
        <f ca="1">IF(History!IE$2="","",History!IE32*$C$43)</f>
        <v/>
      </c>
      <c r="IB43" s="11" t="str">
        <f ca="1">IF(History!IF$2="","",History!IF32*$C$43)</f>
        <v/>
      </c>
      <c r="IC43" s="11" t="str">
        <f ca="1">IF(History!IG$2="","",History!IG32*$C$43)</f>
        <v/>
      </c>
      <c r="ID43" s="11" t="str">
        <f ca="1">IF(History!IH$2="","",History!IH32*$C$43)</f>
        <v/>
      </c>
      <c r="IE43" s="11" t="str">
        <f ca="1">IF(History!II$2="","",History!II32*$C$43)</f>
        <v/>
      </c>
      <c r="IF43" s="11" t="str">
        <f ca="1">IF(History!IJ$2="","",History!IJ32*$C$43)</f>
        <v/>
      </c>
      <c r="IG43" s="11" t="str">
        <f ca="1">IF(History!IK$2="","",History!IK32*$C$43)</f>
        <v/>
      </c>
      <c r="IH43" s="11" t="str">
        <f ca="1">IF(History!IL$2="","",History!IL32*$C$43)</f>
        <v/>
      </c>
      <c r="II43" s="11" t="str">
        <f ca="1">IF(History!IM$2="","",History!IM32*$C$43)</f>
        <v/>
      </c>
      <c r="IJ43" s="11" t="str">
        <f ca="1">IF(History!IN$2="","",History!IN32*$C$43)</f>
        <v/>
      </c>
      <c r="IK43" s="11" t="str">
        <f ca="1">IF(History!IO$2="","",History!IO32*$C$43)</f>
        <v/>
      </c>
      <c r="IL43" s="11" t="str">
        <f ca="1">IF(History!IP$2="","",History!IP32*$C$43)</f>
        <v/>
      </c>
      <c r="IM43" s="11" t="str">
        <f ca="1">IF(History!IQ$2="","",History!IQ32*$C$43)</f>
        <v/>
      </c>
      <c r="IN43" s="11" t="str">
        <f ca="1">IF(History!IR$2="","",History!IR32*$C$43)</f>
        <v/>
      </c>
      <c r="IO43" s="11" t="str">
        <f ca="1">IF(History!IS$2="","",History!IS32*$C$43)</f>
        <v/>
      </c>
      <c r="IP43" s="11" t="str">
        <f ca="1">IF(History!IT$2="","",History!IT32*$C$43)</f>
        <v/>
      </c>
      <c r="IQ43" s="11" t="str">
        <f ca="1">IF(History!IU$2="","",History!IU32*$C$43)</f>
        <v/>
      </c>
      <c r="IR43" s="11" t="str">
        <f ca="1">IF(History!IV$2="","",History!IV32*$C$43)</f>
        <v/>
      </c>
      <c r="IS43" s="11" t="str">
        <f ca="1">IF(History!IW$2="","",History!IW32*$C$43)</f>
        <v/>
      </c>
      <c r="IT43" s="11" t="str">
        <f ca="1">IF(History!IX$2="","",History!IX32*$C$43)</f>
        <v/>
      </c>
      <c r="IU43" s="11" t="str">
        <f ca="1">IF(History!IY$2="","",History!IY32*$C$43)</f>
        <v/>
      </c>
      <c r="IV43" s="11" t="str">
        <f ca="1">IF(History!IZ$2="","",History!IZ32*$C$43)</f>
        <v/>
      </c>
      <c r="IW43" s="11" t="str">
        <f ca="1">IF(History!JA$2="","",History!JA32*$C$43)</f>
        <v/>
      </c>
      <c r="IX43" s="11" t="str">
        <f ca="1">IF(History!JB$2="","",History!JB32*$C$43)</f>
        <v/>
      </c>
      <c r="IY43" s="11" t="str">
        <f ca="1">IF(History!JC$2="","",History!JC32*$C$43)</f>
        <v/>
      </c>
      <c r="IZ43" s="11" t="str">
        <f ca="1">IF(History!JD$2="","",History!JD32*$C$43)</f>
        <v/>
      </c>
      <c r="JA43" s="11" t="str">
        <f ca="1">IF(History!JE$2="","",History!JE32*$C$43)</f>
        <v/>
      </c>
      <c r="JB43" s="11" t="str">
        <f ca="1">IF(History!JF$2="","",History!JF32*$C$43)</f>
        <v/>
      </c>
      <c r="JC43" s="11" t="str">
        <f ca="1">IF(History!JG$2="","",History!JG32*$C$43)</f>
        <v/>
      </c>
      <c r="JD43" s="11" t="str">
        <f ca="1">IF(History!JH$2="","",History!JH32*$C$43)</f>
        <v/>
      </c>
      <c r="JE43" s="11" t="str">
        <f ca="1">IF(History!JI$2="","",History!JI32*$C$43)</f>
        <v/>
      </c>
      <c r="JF43" s="11" t="str">
        <f ca="1">IF(History!JJ$2="","",History!JJ32*$C$43)</f>
        <v/>
      </c>
      <c r="JG43" s="11" t="str">
        <f ca="1">IF(History!JK$2="","",History!JK32*$C$43)</f>
        <v/>
      </c>
      <c r="JH43" s="11" t="str">
        <f ca="1">IF(History!JL$2="","",History!JL32*$C$43)</f>
        <v/>
      </c>
      <c r="JI43" s="11" t="str">
        <f ca="1">IF(History!JM$2="","",History!JM32*$C$43)</f>
        <v/>
      </c>
      <c r="JJ43" s="11" t="str">
        <f ca="1">IF(History!JN$2="","",History!JN32*$C$43)</f>
        <v/>
      </c>
      <c r="JK43" s="11" t="str">
        <f ca="1">IF(History!JO$2="","",History!JO32*$C$43)</f>
        <v/>
      </c>
      <c r="JL43" s="11" t="str">
        <f ca="1">IF(History!JP$2="","",History!JP32*$C$43)</f>
        <v/>
      </c>
      <c r="JM43" s="11" t="str">
        <f ca="1">IF(History!JQ$2="","",History!JQ32*$C$43)</f>
        <v/>
      </c>
      <c r="JN43" s="11" t="str">
        <f ca="1">IF(History!JR$2="","",History!JR32*$C$43)</f>
        <v/>
      </c>
      <c r="JO43" s="11" t="str">
        <f ca="1">IF(History!JS$2="","",History!JS32*$C$43)</f>
        <v/>
      </c>
      <c r="JP43" s="11" t="str">
        <f ca="1">IF(History!JT$2="","",History!JT32*$C$43)</f>
        <v/>
      </c>
      <c r="JQ43" s="11" t="str">
        <f ca="1">IF(History!JU$2="","",History!JU32*$C$43)</f>
        <v/>
      </c>
      <c r="JR43" s="11" t="str">
        <f ca="1">IF(History!JV$2="","",History!JV32*$C$43)</f>
        <v/>
      </c>
      <c r="JS43" s="11" t="str">
        <f ca="1">IF(History!JW$2="","",History!JW32*$C$43)</f>
        <v/>
      </c>
      <c r="JT43" s="11" t="str">
        <f ca="1">IF(History!JX$2="","",History!JX32*$C$43)</f>
        <v/>
      </c>
      <c r="JU43" s="11" t="str">
        <f ca="1">IF(History!JY$2="","",History!JY32*$C$43)</f>
        <v/>
      </c>
      <c r="JV43" s="11" t="str">
        <f ca="1">IF(History!JZ$2="","",History!JZ32*$C$43)</f>
        <v/>
      </c>
      <c r="JW43" s="11" t="str">
        <f ca="1">IF(History!KA$2="","",History!KA32*$C$43)</f>
        <v/>
      </c>
      <c r="JX43" s="11" t="str">
        <f ca="1">IF(History!KB$2="","",History!KB32*$C$43)</f>
        <v/>
      </c>
      <c r="JY43" s="11" t="str">
        <f ca="1">IF(History!KC$2="","",History!KC32*$C$43)</f>
        <v/>
      </c>
      <c r="JZ43" s="11" t="str">
        <f ca="1">IF(History!KD$2="","",History!KD32*$C$43)</f>
        <v/>
      </c>
      <c r="KA43" s="11" t="str">
        <f ca="1">IF(History!KE$2="","",History!KE32*$C$43)</f>
        <v/>
      </c>
      <c r="KB43" s="11" t="str">
        <f ca="1">IF(History!KF$2="","",History!KF32*$C$43)</f>
        <v/>
      </c>
    </row>
    <row r="44" spans="1:288" ht="15.75" customHeight="1">
      <c r="A44" s="22" t="s">
        <v>30</v>
      </c>
      <c r="B44" s="6" t="s">
        <v>76</v>
      </c>
      <c r="C44" s="26">
        <v>65</v>
      </c>
      <c r="D44" s="11">
        <f ca="1">IF(History!H$2="","",History!H33*$C$44)</f>
        <v>971.75</v>
      </c>
      <c r="E44" s="11">
        <f ca="1">IF(History!I$2="","",History!I33*$C$44)</f>
        <v>975</v>
      </c>
      <c r="F44" s="11">
        <f ca="1">IF(History!J$2="","",History!J33*$C$44)</f>
        <v>983.45</v>
      </c>
      <c r="G44" s="11">
        <f ca="1">IF(History!K$2="","",History!K33*$C$44)</f>
        <v>992.55</v>
      </c>
      <c r="H44" s="11">
        <f ca="1">IF(History!L$2="","",History!L33*$C$44)</f>
        <v>1010.75</v>
      </c>
      <c r="I44" s="11">
        <f ca="1">IF(History!M$2="","",History!M33*$C$44)</f>
        <v>1002.3</v>
      </c>
      <c r="J44" s="11">
        <f ca="1">IF(History!N$2="","",History!N33*$C$44)</f>
        <v>997.1</v>
      </c>
      <c r="K44" s="11">
        <f ca="1">IF(History!O$2="","",History!O33*$C$44)</f>
        <v>968.5</v>
      </c>
      <c r="L44" s="11">
        <f ca="1">IF(History!P$2="","",History!P33*$C$44)</f>
        <v>952.9</v>
      </c>
      <c r="M44" s="11">
        <f ca="1">IF(History!Q$2="","",History!Q33*$C$44)</f>
        <v>954.19999999999993</v>
      </c>
      <c r="N44" s="11">
        <f ca="1">IF(History!R$2="","",History!R33*$C$44)</f>
        <v>947.7</v>
      </c>
      <c r="O44" s="11">
        <f ca="1">IF(History!S$2="","",History!S33*$C$44)</f>
        <v>937.94999999999993</v>
      </c>
      <c r="P44" s="11">
        <f ca="1">IF(History!T$2="","",History!T33*$C$44)</f>
        <v>938.6</v>
      </c>
      <c r="Q44" s="11">
        <f ca="1">IF(History!U$2="","",History!U33*$C$44)</f>
        <v>922.35</v>
      </c>
      <c r="R44" s="11">
        <f ca="1">IF(History!V$2="","",History!V33*$C$44)</f>
        <v>932.75</v>
      </c>
      <c r="S44" s="11">
        <f ca="1">IF(History!W$2="","",History!W33*$C$44)</f>
        <v>944.44999999999993</v>
      </c>
      <c r="T44" s="11">
        <f ca="1">IF(History!X$2="","",History!X33*$C$44)</f>
        <v>943.8</v>
      </c>
      <c r="U44" s="11">
        <f ca="1">IF(History!Y$2="","",History!Y33*$C$44)</f>
        <v>923.65000000000009</v>
      </c>
      <c r="V44" s="11">
        <f ca="1">IF(History!Z$2="","",History!Z33*$C$44)</f>
        <v>918.45</v>
      </c>
      <c r="W44" s="11">
        <f ca="1">IF(History!AA$2="","",History!AA33*$C$44)</f>
        <v>920.4</v>
      </c>
      <c r="X44" s="11">
        <f ca="1">IF(History!AB$2="","",History!AB33*$C$44)</f>
        <v>939.25</v>
      </c>
      <c r="Y44" s="11">
        <f ca="1">IF(History!AC$2="","",History!AC33*$C$44)</f>
        <v>939.90000000000009</v>
      </c>
      <c r="Z44" s="11">
        <f ca="1">IF(History!AD$2="","",History!AD33*$C$44)</f>
        <v>924.95</v>
      </c>
      <c r="AA44" s="11">
        <f ca="1">IF(History!AE$2="","",History!AE33*$C$44)</f>
        <v>906.1</v>
      </c>
      <c r="AB44" s="11">
        <f ca="1">IF(History!AF$2="","",History!AF33*$C$44)</f>
        <v>924.95</v>
      </c>
      <c r="AC44" s="11">
        <f ca="1">IF(History!AG$2="","",History!AG33*$C$44)</f>
        <v>936</v>
      </c>
      <c r="AD44" s="11">
        <f ca="1">IF(History!AH$2="","",History!AH33*$C$44)</f>
        <v>949</v>
      </c>
      <c r="AE44" s="11">
        <f ca="1">IF(History!AI$2="","",History!AI33*$C$44)</f>
        <v>923</v>
      </c>
      <c r="AF44" s="11">
        <f ca="1">IF(History!AJ$2="","",History!AJ33*$C$44)</f>
        <v>928.19999999999993</v>
      </c>
      <c r="AG44" s="11">
        <f ca="1">IF(History!AK$2="","",History!AK33*$C$44)</f>
        <v>925.6</v>
      </c>
      <c r="AH44" s="11">
        <f ca="1">IF(History!AL$2="","",History!AL33*$C$44)</f>
        <v>911.3</v>
      </c>
      <c r="AI44" s="11">
        <f ca="1">IF(History!AM$2="","",History!AM33*$C$44)</f>
        <v>927.55</v>
      </c>
      <c r="AJ44" s="11">
        <f ca="1">IF(History!AN$2="","",History!AN33*$C$44)</f>
        <v>958.1</v>
      </c>
      <c r="AK44" s="11">
        <f ca="1">IF(History!AO$2="","",History!AO33*$C$44)</f>
        <v>957.45</v>
      </c>
      <c r="AL44" s="11">
        <f ca="1">IF(History!AP$2="","",History!AP33*$C$44)</f>
        <v>932.75</v>
      </c>
      <c r="AM44" s="11">
        <f ca="1">IF(History!AQ$2="","",History!AQ33*$C$44)</f>
        <v>951.6</v>
      </c>
      <c r="AN44" s="11">
        <f ca="1">IF(History!AR$2="","",History!AR33*$C$44)</f>
        <v>980.85</v>
      </c>
      <c r="AO44" s="11">
        <f ca="1">IF(History!AS$2="","",History!AS33*$C$44)</f>
        <v>954.19999999999993</v>
      </c>
      <c r="AP44" s="11">
        <f ca="1">IF(History!AT$2="","",History!AT33*$C$44)</f>
        <v>888.55</v>
      </c>
      <c r="AQ44" s="11">
        <f ca="1">IF(History!AU$2="","",History!AU33*$C$44)</f>
        <v>891.80000000000007</v>
      </c>
      <c r="AR44" s="11">
        <f ca="1">IF(History!AV$2="","",History!AV33*$C$44)</f>
        <v>937.3</v>
      </c>
      <c r="AS44" s="11">
        <f ca="1">IF(History!AW$2="","",History!AW33*$C$44)</f>
        <v>968.5</v>
      </c>
      <c r="AT44" s="11">
        <f ca="1">IF(History!AX$2="","",History!AX33*$C$44)</f>
        <v>949.65</v>
      </c>
      <c r="AU44" s="11">
        <f ca="1">IF(History!AY$2="","",History!AY33*$C$44)</f>
        <v>991.25</v>
      </c>
      <c r="AV44" s="11">
        <f ca="1">IF(History!AZ$2="","",History!AZ33*$C$44)</f>
        <v>971.1</v>
      </c>
      <c r="AW44" s="11">
        <f ca="1">IF(History!BA$2="","",History!BA33*$C$44)</f>
        <v>986.69999999999993</v>
      </c>
      <c r="AX44" s="11">
        <f ca="1">IF(History!BB$2="","",History!BB33*$C$44)</f>
        <v>1011.4</v>
      </c>
      <c r="AY44" s="11">
        <f ca="1">IF(History!BC$2="","",History!BC33*$C$44)</f>
        <v>1043.8999999999999</v>
      </c>
      <c r="AZ44" s="11">
        <f ca="1">IF(History!BD$2="","",History!BD33*$C$44)</f>
        <v>1028.3</v>
      </c>
      <c r="BA44" s="11">
        <f ca="1">IF(History!BE$2="","",History!BE33*$C$44)</f>
        <v>1023.75</v>
      </c>
      <c r="BB44" s="11">
        <f ca="1">IF(History!BF$2="","",History!BF33*$C$44)</f>
        <v>1030.25</v>
      </c>
      <c r="BC44" s="11">
        <f ca="1">IF(History!BG$2="","",History!BG33*$C$44)</f>
        <v>1058.2</v>
      </c>
      <c r="BD44" s="11">
        <f ca="1">IF(History!BH$2="","",History!BH33*$C$44)</f>
        <v>1043.8999999999999</v>
      </c>
      <c r="BE44" s="11">
        <f ca="1">IF(History!BI$2="","",History!BI33*$C$44)</f>
        <v>1030.25</v>
      </c>
      <c r="BF44" s="11">
        <f ca="1">IF(History!BJ$2="","",History!BJ33*$C$44)</f>
        <v>1031.55</v>
      </c>
      <c r="BG44" s="11">
        <f ca="1">IF(History!BK$2="","",History!BK33*$C$44)</f>
        <v>1019.85</v>
      </c>
      <c r="BH44" s="11">
        <f ca="1">IF(History!BL$2="","",History!BL33*$C$44)</f>
        <v>1008.8</v>
      </c>
      <c r="BI44" s="11">
        <f ca="1">IF(History!BM$2="","",History!BM33*$C$44)</f>
        <v>1025.05</v>
      </c>
      <c r="BJ44" s="11">
        <f ca="1">IF(History!BN$2="","",History!BN33*$C$44)</f>
        <v>1021.1500000000001</v>
      </c>
      <c r="BK44" s="11">
        <f ca="1">IF(History!BO$2="","",History!BO33*$C$44)</f>
        <v>1005.5500000000001</v>
      </c>
      <c r="BL44" s="11">
        <f ca="1">IF(History!BP$2="","",History!BP33*$C$44)</f>
        <v>1002.3</v>
      </c>
      <c r="BM44" s="11">
        <f ca="1">IF(History!BQ$2="","",History!BQ33*$C$44)</f>
        <v>1009.4499999999999</v>
      </c>
      <c r="BN44" s="11">
        <f ca="1">IF(History!BR$2="","",History!BR33*$C$44)</f>
        <v>995.15</v>
      </c>
      <c r="BO44" s="11">
        <f ca="1">IF(History!BS$2="","",History!BS33*$C$44)</f>
        <v>996.45</v>
      </c>
      <c r="BP44" s="11">
        <f ca="1">IF(History!BT$2="","",History!BT33*$C$44)</f>
        <v>1004.25</v>
      </c>
      <c r="BQ44" s="11">
        <f ca="1">IF(History!BU$2="","",History!BU33*$C$44)</f>
        <v>1030.8999999999999</v>
      </c>
      <c r="BR44" s="11">
        <f ca="1">IF(History!BV$2="","",History!BV33*$C$44)</f>
        <v>1040</v>
      </c>
      <c r="BS44" s="11">
        <f ca="1">IF(History!BW$2="","",History!BW33*$C$44)</f>
        <v>1034.1500000000001</v>
      </c>
      <c r="BT44" s="11">
        <f ca="1">IF(History!BX$2="","",History!BX33*$C$44)</f>
        <v>1069.25</v>
      </c>
      <c r="BU44" s="11">
        <f ca="1">IF(History!BY$2="","",History!BY33*$C$44)</f>
        <v>1075.0999999999999</v>
      </c>
      <c r="BV44" s="11">
        <f ca="1">IF(History!BZ$2="","",History!BZ33*$C$44)</f>
        <v>1062.75</v>
      </c>
      <c r="BW44" s="11">
        <f ca="1">IF(History!CA$2="","",History!CA33*$C$44)</f>
        <v>1033.5</v>
      </c>
      <c r="BX44" s="11">
        <f ca="1">IF(History!CB$2="","",History!CB33*$C$44)</f>
        <v>1028.3</v>
      </c>
      <c r="BY44" s="11">
        <f ca="1">IF(History!CC$2="","",History!CC33*$C$44)</f>
        <v>1008.8</v>
      </c>
      <c r="BZ44" s="11">
        <f ca="1">IF(History!CD$2="","",History!CD33*$C$44)</f>
        <v>1004.25</v>
      </c>
      <c r="CA44" s="11">
        <f ca="1">IF(History!CE$2="","",History!CE33*$C$44)</f>
        <v>1001.65</v>
      </c>
      <c r="CB44" s="11">
        <f ca="1">IF(History!CF$2="","",History!CF33*$C$44)</f>
        <v>989.30000000000007</v>
      </c>
      <c r="CC44" s="11">
        <f ca="1">IF(History!CG$2="","",History!CG33*$C$44)</f>
        <v>995.15</v>
      </c>
      <c r="CD44" s="11">
        <f ca="1">IF(History!CH$2="","",History!CH33*$C$44)</f>
        <v>1015.3</v>
      </c>
      <c r="CE44" s="11">
        <f ca="1">IF(History!CI$2="","",History!CI33*$C$44)</f>
        <v>1041.95</v>
      </c>
      <c r="CF44" s="11" t="str">
        <f ca="1">IF(History!CJ$2="","",History!CJ33*$C$44)</f>
        <v/>
      </c>
      <c r="CG44" s="11" t="str">
        <f ca="1">IF(History!CK$2="","",History!CK33*$C$44)</f>
        <v/>
      </c>
      <c r="CH44" s="11" t="str">
        <f ca="1">IF(History!CL$2="","",History!CL33*$C$44)</f>
        <v/>
      </c>
      <c r="CI44" s="11" t="str">
        <f ca="1">IF(History!CM$2="","",History!CM33*$C$44)</f>
        <v/>
      </c>
      <c r="CJ44" s="11" t="str">
        <f ca="1">IF(History!CN$2="","",History!CN33*$C$44)</f>
        <v/>
      </c>
      <c r="CK44" s="11" t="str">
        <f ca="1">IF(History!CO$2="","",History!CO33*$C$44)</f>
        <v/>
      </c>
      <c r="CL44" s="11" t="str">
        <f ca="1">IF(History!CP$2="","",History!CP33*$C$44)</f>
        <v/>
      </c>
      <c r="CM44" s="11" t="str">
        <f ca="1">IF(History!CQ$2="","",History!CQ33*$C$44)</f>
        <v/>
      </c>
      <c r="CN44" s="11" t="str">
        <f ca="1">IF(History!CR$2="","",History!CR33*$C$44)</f>
        <v/>
      </c>
      <c r="CO44" s="11" t="str">
        <f ca="1">IF(History!CS$2="","",History!CS33*$C$44)</f>
        <v/>
      </c>
      <c r="CP44" s="11" t="str">
        <f ca="1">IF(History!CT$2="","",History!CT33*$C$44)</f>
        <v/>
      </c>
      <c r="CQ44" s="11" t="str">
        <f ca="1">IF(History!CU$2="","",History!CU33*$C$44)</f>
        <v/>
      </c>
      <c r="CR44" s="11" t="str">
        <f ca="1">IF(History!CV$2="","",History!CV33*$C$44)</f>
        <v/>
      </c>
      <c r="CS44" s="11" t="str">
        <f ca="1">IF(History!CW$2="","",History!CW33*$C$44)</f>
        <v/>
      </c>
      <c r="CT44" s="11" t="str">
        <f ca="1">IF(History!CX$2="","",History!CX33*$C$44)</f>
        <v/>
      </c>
      <c r="CU44" s="11" t="str">
        <f ca="1">IF(History!CY$2="","",History!CY33*$C$44)</f>
        <v/>
      </c>
      <c r="CV44" s="11" t="str">
        <f ca="1">IF(History!CZ$2="","",History!CZ33*$C$44)</f>
        <v/>
      </c>
      <c r="CW44" s="11" t="str">
        <f ca="1">IF(History!DA$2="","",History!DA33*$C$44)</f>
        <v/>
      </c>
      <c r="CX44" s="11" t="str">
        <f ca="1">IF(History!DB$2="","",History!DB33*$C$44)</f>
        <v/>
      </c>
      <c r="CY44" s="11" t="str">
        <f ca="1">IF(History!DC$2="","",History!DC33*$C$44)</f>
        <v/>
      </c>
      <c r="CZ44" s="11" t="str">
        <f ca="1">IF(History!DD$2="","",History!DD33*$C$44)</f>
        <v/>
      </c>
      <c r="DA44" s="11" t="str">
        <f ca="1">IF(History!DE$2="","",History!DE33*$C$44)</f>
        <v/>
      </c>
      <c r="DB44" s="11" t="str">
        <f ca="1">IF(History!DF$2="","",History!DF33*$C$44)</f>
        <v/>
      </c>
      <c r="DC44" s="11" t="str">
        <f ca="1">IF(History!DG$2="","",History!DG33*$C$44)</f>
        <v/>
      </c>
      <c r="DD44" s="11" t="str">
        <f ca="1">IF(History!DH$2="","",History!DH33*$C$44)</f>
        <v/>
      </c>
      <c r="DE44" s="11" t="str">
        <f ca="1">IF(History!DI$2="","",History!DI33*$C$44)</f>
        <v/>
      </c>
      <c r="DF44" s="11" t="str">
        <f ca="1">IF(History!DJ$2="","",History!DJ33*$C$44)</f>
        <v/>
      </c>
      <c r="DG44" s="11" t="str">
        <f ca="1">IF(History!DK$2="","",History!DK33*$C$44)</f>
        <v/>
      </c>
      <c r="DH44" s="11" t="str">
        <f ca="1">IF(History!DL$2="","",History!DL33*$C$44)</f>
        <v/>
      </c>
      <c r="DI44" s="11" t="str">
        <f ca="1">IF(History!DM$2="","",History!DM33*$C$44)</f>
        <v/>
      </c>
      <c r="DJ44" s="11" t="str">
        <f ca="1">IF(History!DN$2="","",History!DN33*$C$44)</f>
        <v/>
      </c>
      <c r="DK44" s="11" t="str">
        <f ca="1">IF(History!DO$2="","",History!DO33*$C$44)</f>
        <v/>
      </c>
      <c r="DL44" s="11" t="str">
        <f ca="1">IF(History!DP$2="","",History!DP33*$C$44)</f>
        <v/>
      </c>
      <c r="DM44" s="11" t="str">
        <f ca="1">IF(History!DQ$2="","",History!DQ33*$C$44)</f>
        <v/>
      </c>
      <c r="DN44" s="11" t="str">
        <f ca="1">IF(History!DR$2="","",History!DR33*$C$44)</f>
        <v/>
      </c>
      <c r="DO44" s="11" t="str">
        <f ca="1">IF(History!DS$2="","",History!DS33*$C$44)</f>
        <v/>
      </c>
      <c r="DP44" s="11" t="str">
        <f ca="1">IF(History!DT$2="","",History!DT33*$C$44)</f>
        <v/>
      </c>
      <c r="DQ44" s="11" t="str">
        <f ca="1">IF(History!DU$2="","",History!DU33*$C$44)</f>
        <v/>
      </c>
      <c r="DR44" s="11" t="str">
        <f ca="1">IF(History!DV$2="","",History!DV33*$C$44)</f>
        <v/>
      </c>
      <c r="DS44" s="11" t="str">
        <f ca="1">IF(History!DW$2="","",History!DW33*$C$44)</f>
        <v/>
      </c>
      <c r="DT44" s="11" t="str">
        <f ca="1">IF(History!DX$2="","",History!DX33*$C$44)</f>
        <v/>
      </c>
      <c r="DU44" s="11" t="str">
        <f ca="1">IF(History!DY$2="","",History!DY33*$C$44)</f>
        <v/>
      </c>
      <c r="DV44" s="11" t="str">
        <f ca="1">IF(History!DZ$2="","",History!DZ33*$C$44)</f>
        <v/>
      </c>
      <c r="DW44" s="11" t="str">
        <f ca="1">IF(History!EA$2="","",History!EA33*$C$44)</f>
        <v/>
      </c>
      <c r="DX44" s="11" t="str">
        <f ca="1">IF(History!EB$2="","",History!EB33*$C$44)</f>
        <v/>
      </c>
      <c r="DY44" s="11" t="str">
        <f ca="1">IF(History!EC$2="","",History!EC33*$C$44)</f>
        <v/>
      </c>
      <c r="DZ44" s="11" t="str">
        <f ca="1">IF(History!ED$2="","",History!ED33*$C$44)</f>
        <v/>
      </c>
      <c r="EA44" s="11" t="str">
        <f ca="1">IF(History!EE$2="","",History!EE33*$C$44)</f>
        <v/>
      </c>
      <c r="EB44" s="11" t="str">
        <f ca="1">IF(History!EF$2="","",History!EF33*$C$44)</f>
        <v/>
      </c>
      <c r="EC44" s="11" t="str">
        <f ca="1">IF(History!EG$2="","",History!EG33*$C$44)</f>
        <v/>
      </c>
      <c r="ED44" s="11" t="str">
        <f ca="1">IF(History!EH$2="","",History!EH33*$C$44)</f>
        <v/>
      </c>
      <c r="EE44" s="11" t="str">
        <f ca="1">IF(History!EI$2="","",History!EI33*$C$44)</f>
        <v/>
      </c>
      <c r="EF44" s="11" t="str">
        <f ca="1">IF(History!EJ$2="","",History!EJ33*$C$44)</f>
        <v/>
      </c>
      <c r="EG44" s="11" t="str">
        <f ca="1">IF(History!EK$2="","",History!EK33*$C$44)</f>
        <v/>
      </c>
      <c r="EH44" s="11" t="str">
        <f ca="1">IF(History!EL$2="","",History!EL33*$C$44)</f>
        <v/>
      </c>
      <c r="EI44" s="11" t="str">
        <f ca="1">IF(History!EM$2="","",History!EM33*$C$44)</f>
        <v/>
      </c>
      <c r="EJ44" s="11" t="str">
        <f ca="1">IF(History!EN$2="","",History!EN33*$C$44)</f>
        <v/>
      </c>
      <c r="EK44" s="11" t="str">
        <f ca="1">IF(History!EO$2="","",History!EO33*$C$44)</f>
        <v/>
      </c>
      <c r="EL44" s="11" t="str">
        <f ca="1">IF(History!EP$2="","",History!EP33*$C$44)</f>
        <v/>
      </c>
      <c r="EM44" s="11" t="str">
        <f ca="1">IF(History!EQ$2="","",History!EQ33*$C$44)</f>
        <v/>
      </c>
      <c r="EN44" s="11" t="str">
        <f ca="1">IF(History!ER$2="","",History!ER33*$C$44)</f>
        <v/>
      </c>
      <c r="EO44" s="11" t="str">
        <f ca="1">IF(History!ES$2="","",History!ES33*$C$44)</f>
        <v/>
      </c>
      <c r="EP44" s="11" t="str">
        <f ca="1">IF(History!ET$2="","",History!ET33*$C$44)</f>
        <v/>
      </c>
      <c r="EQ44" s="11" t="str">
        <f ca="1">IF(History!EU$2="","",History!EU33*$C$44)</f>
        <v/>
      </c>
      <c r="ER44" s="11" t="str">
        <f ca="1">IF(History!EV$2="","",History!EV33*$C$44)</f>
        <v/>
      </c>
      <c r="ES44" s="11" t="str">
        <f ca="1">IF(History!EW$2="","",History!EW33*$C$44)</f>
        <v/>
      </c>
      <c r="ET44" s="11" t="str">
        <f ca="1">IF(History!EX$2="","",History!EX33*$C$44)</f>
        <v/>
      </c>
      <c r="EU44" s="11" t="str">
        <f ca="1">IF(History!EY$2="","",History!EY33*$C$44)</f>
        <v/>
      </c>
      <c r="EV44" s="11" t="str">
        <f ca="1">IF(History!EZ$2="","",History!EZ33*$C$44)</f>
        <v/>
      </c>
      <c r="EW44" s="11" t="str">
        <f ca="1">IF(History!FA$2="","",History!FA33*$C$44)</f>
        <v/>
      </c>
      <c r="EX44" s="11" t="str">
        <f ca="1">IF(History!FB$2="","",History!FB33*$C$44)</f>
        <v/>
      </c>
      <c r="EY44" s="11" t="str">
        <f ca="1">IF(History!FC$2="","",History!FC33*$C$44)</f>
        <v/>
      </c>
      <c r="EZ44" s="11" t="str">
        <f ca="1">IF(History!FD$2="","",History!FD33*$C$44)</f>
        <v/>
      </c>
      <c r="FA44" s="11" t="str">
        <f ca="1">IF(History!FE$2="","",History!FE33*$C$44)</f>
        <v/>
      </c>
      <c r="FB44" s="11" t="str">
        <f ca="1">IF(History!FF$2="","",History!FF33*$C$44)</f>
        <v/>
      </c>
      <c r="FC44" s="11" t="str">
        <f ca="1">IF(History!FG$2="","",History!FG33*$C$44)</f>
        <v/>
      </c>
      <c r="FD44" s="11" t="str">
        <f ca="1">IF(History!FH$2="","",History!FH33*$C$44)</f>
        <v/>
      </c>
      <c r="FE44" s="11" t="str">
        <f ca="1">IF(History!FI$2="","",History!FI33*$C$44)</f>
        <v/>
      </c>
      <c r="FF44" s="11" t="str">
        <f ca="1">IF(History!FJ$2="","",History!FJ33*$C$44)</f>
        <v/>
      </c>
      <c r="FG44" s="11" t="str">
        <f ca="1">IF(History!FK$2="","",History!FK33*$C$44)</f>
        <v/>
      </c>
      <c r="FH44" s="11" t="str">
        <f ca="1">IF(History!FL$2="","",History!FL33*$C$44)</f>
        <v/>
      </c>
      <c r="FI44" s="11" t="str">
        <f ca="1">IF(History!FM$2="","",History!FM33*$C$44)</f>
        <v/>
      </c>
      <c r="FJ44" s="11" t="str">
        <f ca="1">IF(History!FN$2="","",History!FN33*$C$44)</f>
        <v/>
      </c>
      <c r="FK44" s="11" t="str">
        <f ca="1">IF(History!FO$2="","",History!FO33*$C$44)</f>
        <v/>
      </c>
      <c r="FL44" s="11" t="str">
        <f ca="1">IF(History!FP$2="","",History!FP33*$C$44)</f>
        <v/>
      </c>
      <c r="FM44" s="11" t="str">
        <f ca="1">IF(History!FQ$2="","",History!FQ33*$C$44)</f>
        <v/>
      </c>
      <c r="FN44" s="11" t="str">
        <f ca="1">IF(History!FR$2="","",History!FR33*$C$44)</f>
        <v/>
      </c>
      <c r="FO44" s="11" t="str">
        <f ca="1">IF(History!FS$2="","",History!FS33*$C$44)</f>
        <v/>
      </c>
      <c r="FP44" s="11" t="str">
        <f ca="1">IF(History!FT$2="","",History!FT33*$C$44)</f>
        <v/>
      </c>
      <c r="FQ44" s="11" t="str">
        <f ca="1">IF(History!FU$2="","",History!FU33*$C$44)</f>
        <v/>
      </c>
      <c r="FR44" s="11" t="str">
        <f ca="1">IF(History!FV$2="","",History!FV33*$C$44)</f>
        <v/>
      </c>
      <c r="FS44" s="11" t="str">
        <f ca="1">IF(History!FW$2="","",History!FW33*$C$44)</f>
        <v/>
      </c>
      <c r="FT44" s="11" t="str">
        <f ca="1">IF(History!FX$2="","",History!FX33*$C$44)</f>
        <v/>
      </c>
      <c r="FU44" s="11" t="str">
        <f ca="1">IF(History!FY$2="","",History!FY33*$C$44)</f>
        <v/>
      </c>
      <c r="FV44" s="11" t="str">
        <f ca="1">IF(History!FZ$2="","",History!FZ33*$C$44)</f>
        <v/>
      </c>
      <c r="FW44" s="11" t="str">
        <f ca="1">IF(History!GA$2="","",History!GA33*$C$44)</f>
        <v/>
      </c>
      <c r="FX44" s="11" t="str">
        <f ca="1">IF(History!GB$2="","",History!GB33*$C$44)</f>
        <v/>
      </c>
      <c r="FY44" s="11" t="str">
        <f ca="1">IF(History!GC$2="","",History!GC33*$C$44)</f>
        <v/>
      </c>
      <c r="FZ44" s="11" t="str">
        <f ca="1">IF(History!GD$2="","",History!GD33*$C$44)</f>
        <v/>
      </c>
      <c r="GA44" s="11" t="str">
        <f ca="1">IF(History!GE$2="","",History!GE33*$C$44)</f>
        <v/>
      </c>
      <c r="GB44" s="11" t="str">
        <f ca="1">IF(History!GF$2="","",History!GF33*$C$44)</f>
        <v/>
      </c>
      <c r="GC44" s="11" t="str">
        <f ca="1">IF(History!GG$2="","",History!GG33*$C$44)</f>
        <v/>
      </c>
      <c r="GD44" s="11" t="str">
        <f ca="1">IF(History!GH$2="","",History!GH33*$C$44)</f>
        <v/>
      </c>
      <c r="GE44" s="11" t="str">
        <f ca="1">IF(History!GI$2="","",History!GI33*$C$44)</f>
        <v/>
      </c>
      <c r="GF44" s="11" t="str">
        <f ca="1">IF(History!GJ$2="","",History!GJ33*$C$44)</f>
        <v/>
      </c>
      <c r="GG44" s="11" t="str">
        <f ca="1">IF(History!GK$2="","",History!GK33*$C$44)</f>
        <v/>
      </c>
      <c r="GH44" s="11" t="str">
        <f ca="1">IF(History!GL$2="","",History!GL33*$C$44)</f>
        <v/>
      </c>
      <c r="GI44" s="11" t="str">
        <f ca="1">IF(History!GM$2="","",History!GM33*$C$44)</f>
        <v/>
      </c>
      <c r="GJ44" s="11" t="str">
        <f ca="1">IF(History!GN$2="","",History!GN33*$C$44)</f>
        <v/>
      </c>
      <c r="GK44" s="11" t="str">
        <f ca="1">IF(History!GO$2="","",History!GO33*$C$44)</f>
        <v/>
      </c>
      <c r="GL44" s="11" t="str">
        <f ca="1">IF(History!GP$2="","",History!GP33*$C$44)</f>
        <v/>
      </c>
      <c r="GM44" s="11" t="str">
        <f ca="1">IF(History!GQ$2="","",History!GQ33*$C$44)</f>
        <v/>
      </c>
      <c r="GN44" s="11" t="str">
        <f ca="1">IF(History!GR$2="","",History!GR33*$C$44)</f>
        <v/>
      </c>
      <c r="GO44" s="11" t="str">
        <f ca="1">IF(History!GS$2="","",History!GS33*$C$44)</f>
        <v/>
      </c>
      <c r="GP44" s="11" t="str">
        <f ca="1">IF(History!GT$2="","",History!GT33*$C$44)</f>
        <v/>
      </c>
      <c r="GQ44" s="11" t="str">
        <f ca="1">IF(History!GU$2="","",History!GU33*$C$44)</f>
        <v/>
      </c>
      <c r="GR44" s="11" t="str">
        <f ca="1">IF(History!GV$2="","",History!GV33*$C$44)</f>
        <v/>
      </c>
      <c r="GS44" s="11" t="str">
        <f ca="1">IF(History!GW$2="","",History!GW33*$C$44)</f>
        <v/>
      </c>
      <c r="GT44" s="11" t="str">
        <f ca="1">IF(History!GX$2="","",History!GX33*$C$44)</f>
        <v/>
      </c>
      <c r="GU44" s="11" t="str">
        <f ca="1">IF(History!GY$2="","",History!GY33*$C$44)</f>
        <v/>
      </c>
      <c r="GV44" s="11" t="str">
        <f ca="1">IF(History!GZ$2="","",History!GZ33*$C$44)</f>
        <v/>
      </c>
      <c r="GW44" s="11" t="str">
        <f ca="1">IF(History!HA$2="","",History!HA33*$C$44)</f>
        <v/>
      </c>
      <c r="GX44" s="11" t="str">
        <f ca="1">IF(History!HB$2="","",History!HB33*$C$44)</f>
        <v/>
      </c>
      <c r="GY44" s="11" t="str">
        <f ca="1">IF(History!HC$2="","",History!HC33*$C$44)</f>
        <v/>
      </c>
      <c r="GZ44" s="11" t="str">
        <f ca="1">IF(History!HD$2="","",History!HD33*$C$44)</f>
        <v/>
      </c>
      <c r="HA44" s="11" t="str">
        <f ca="1">IF(History!HE$2="","",History!HE33*$C$44)</f>
        <v/>
      </c>
      <c r="HB44" s="11" t="str">
        <f ca="1">IF(History!HF$2="","",History!HF33*$C$44)</f>
        <v/>
      </c>
      <c r="HC44" s="11" t="str">
        <f ca="1">IF(History!HG$2="","",History!HG33*$C$44)</f>
        <v/>
      </c>
      <c r="HD44" s="11" t="str">
        <f ca="1">IF(History!HH$2="","",History!HH33*$C$44)</f>
        <v/>
      </c>
      <c r="HE44" s="11" t="str">
        <f ca="1">IF(History!HI$2="","",History!HI33*$C$44)</f>
        <v/>
      </c>
      <c r="HF44" s="11" t="str">
        <f ca="1">IF(History!HJ$2="","",History!HJ33*$C$44)</f>
        <v/>
      </c>
      <c r="HG44" s="11" t="str">
        <f ca="1">IF(History!HK$2="","",History!HK33*$C$44)</f>
        <v/>
      </c>
      <c r="HH44" s="11" t="str">
        <f ca="1">IF(History!HL$2="","",History!HL33*$C$44)</f>
        <v/>
      </c>
      <c r="HI44" s="11" t="str">
        <f ca="1">IF(History!HM$2="","",History!HM33*$C$44)</f>
        <v/>
      </c>
      <c r="HJ44" s="11" t="str">
        <f ca="1">IF(History!HN$2="","",History!HN33*$C$44)</f>
        <v/>
      </c>
      <c r="HK44" s="11" t="str">
        <f ca="1">IF(History!HO$2="","",History!HO33*$C$44)</f>
        <v/>
      </c>
      <c r="HL44" s="11" t="str">
        <f ca="1">IF(History!HP$2="","",History!HP33*$C$44)</f>
        <v/>
      </c>
      <c r="HM44" s="11" t="str">
        <f ca="1">IF(History!HQ$2="","",History!HQ33*$C$44)</f>
        <v/>
      </c>
      <c r="HN44" s="11" t="str">
        <f ca="1">IF(History!HR$2="","",History!HR33*$C$44)</f>
        <v/>
      </c>
      <c r="HO44" s="11" t="str">
        <f ca="1">IF(History!HS$2="","",History!HS33*$C$44)</f>
        <v/>
      </c>
      <c r="HP44" s="11" t="str">
        <f ca="1">IF(History!HT$2="","",History!HT33*$C$44)</f>
        <v/>
      </c>
      <c r="HQ44" s="11" t="str">
        <f ca="1">IF(History!HU$2="","",History!HU33*$C$44)</f>
        <v/>
      </c>
      <c r="HR44" s="11" t="str">
        <f ca="1">IF(History!HV$2="","",History!HV33*$C$44)</f>
        <v/>
      </c>
      <c r="HS44" s="11" t="str">
        <f ca="1">IF(History!HW$2="","",History!HW33*$C$44)</f>
        <v/>
      </c>
      <c r="HT44" s="11" t="str">
        <f ca="1">IF(History!HX$2="","",History!HX33*$C$44)</f>
        <v/>
      </c>
      <c r="HU44" s="11" t="str">
        <f ca="1">IF(History!HY$2="","",History!HY33*$C$44)</f>
        <v/>
      </c>
      <c r="HV44" s="11" t="str">
        <f ca="1">IF(History!HZ$2="","",History!HZ33*$C$44)</f>
        <v/>
      </c>
      <c r="HW44" s="11" t="str">
        <f ca="1">IF(History!IA$2="","",History!IA33*$C$44)</f>
        <v/>
      </c>
      <c r="HX44" s="11" t="str">
        <f ca="1">IF(History!IB$2="","",History!IB33*$C$44)</f>
        <v/>
      </c>
      <c r="HY44" s="11" t="str">
        <f ca="1">IF(History!IC$2="","",History!IC33*$C$44)</f>
        <v/>
      </c>
      <c r="HZ44" s="11" t="str">
        <f ca="1">IF(History!ID$2="","",History!ID33*$C$44)</f>
        <v/>
      </c>
      <c r="IA44" s="11" t="str">
        <f ca="1">IF(History!IE$2="","",History!IE33*$C$44)</f>
        <v/>
      </c>
      <c r="IB44" s="11" t="str">
        <f ca="1">IF(History!IF$2="","",History!IF33*$C$44)</f>
        <v/>
      </c>
      <c r="IC44" s="11" t="str">
        <f ca="1">IF(History!IG$2="","",History!IG33*$C$44)</f>
        <v/>
      </c>
      <c r="ID44" s="11" t="str">
        <f ca="1">IF(History!IH$2="","",History!IH33*$C$44)</f>
        <v/>
      </c>
      <c r="IE44" s="11" t="str">
        <f ca="1">IF(History!II$2="","",History!II33*$C$44)</f>
        <v/>
      </c>
      <c r="IF44" s="11" t="str">
        <f ca="1">IF(History!IJ$2="","",History!IJ33*$C$44)</f>
        <v/>
      </c>
      <c r="IG44" s="11" t="str">
        <f ca="1">IF(History!IK$2="","",History!IK33*$C$44)</f>
        <v/>
      </c>
      <c r="IH44" s="11" t="str">
        <f ca="1">IF(History!IL$2="","",History!IL33*$C$44)</f>
        <v/>
      </c>
      <c r="II44" s="11" t="str">
        <f ca="1">IF(History!IM$2="","",History!IM33*$C$44)</f>
        <v/>
      </c>
      <c r="IJ44" s="11" t="str">
        <f ca="1">IF(History!IN$2="","",History!IN33*$C$44)</f>
        <v/>
      </c>
      <c r="IK44" s="11" t="str">
        <f ca="1">IF(History!IO$2="","",History!IO33*$C$44)</f>
        <v/>
      </c>
      <c r="IL44" s="11" t="str">
        <f ca="1">IF(History!IP$2="","",History!IP33*$C$44)</f>
        <v/>
      </c>
      <c r="IM44" s="11" t="str">
        <f ca="1">IF(History!IQ$2="","",History!IQ33*$C$44)</f>
        <v/>
      </c>
      <c r="IN44" s="11" t="str">
        <f ca="1">IF(History!IR$2="","",History!IR33*$C$44)</f>
        <v/>
      </c>
      <c r="IO44" s="11" t="str">
        <f ca="1">IF(History!IS$2="","",History!IS33*$C$44)</f>
        <v/>
      </c>
      <c r="IP44" s="11" t="str">
        <f ca="1">IF(History!IT$2="","",History!IT33*$C$44)</f>
        <v/>
      </c>
      <c r="IQ44" s="11" t="str">
        <f ca="1">IF(History!IU$2="","",History!IU33*$C$44)</f>
        <v/>
      </c>
      <c r="IR44" s="11" t="str">
        <f ca="1">IF(History!IV$2="","",History!IV33*$C$44)</f>
        <v/>
      </c>
      <c r="IS44" s="11" t="str">
        <f ca="1">IF(History!IW$2="","",History!IW33*$C$44)</f>
        <v/>
      </c>
      <c r="IT44" s="11" t="str">
        <f ca="1">IF(History!IX$2="","",History!IX33*$C$44)</f>
        <v/>
      </c>
      <c r="IU44" s="11" t="str">
        <f ca="1">IF(History!IY$2="","",History!IY33*$C$44)</f>
        <v/>
      </c>
      <c r="IV44" s="11" t="str">
        <f ca="1">IF(History!IZ$2="","",History!IZ33*$C$44)</f>
        <v/>
      </c>
      <c r="IW44" s="11" t="str">
        <f ca="1">IF(History!JA$2="","",History!JA33*$C$44)</f>
        <v/>
      </c>
      <c r="IX44" s="11" t="str">
        <f ca="1">IF(History!JB$2="","",History!JB33*$C$44)</f>
        <v/>
      </c>
      <c r="IY44" s="11" t="str">
        <f ca="1">IF(History!JC$2="","",History!JC33*$C$44)</f>
        <v/>
      </c>
      <c r="IZ44" s="11" t="str">
        <f ca="1">IF(History!JD$2="","",History!JD33*$C$44)</f>
        <v/>
      </c>
      <c r="JA44" s="11" t="str">
        <f ca="1">IF(History!JE$2="","",History!JE33*$C$44)</f>
        <v/>
      </c>
      <c r="JB44" s="11" t="str">
        <f ca="1">IF(History!JF$2="","",History!JF33*$C$44)</f>
        <v/>
      </c>
      <c r="JC44" s="11" t="str">
        <f ca="1">IF(History!JG$2="","",History!JG33*$C$44)</f>
        <v/>
      </c>
      <c r="JD44" s="11" t="str">
        <f ca="1">IF(History!JH$2="","",History!JH33*$C$44)</f>
        <v/>
      </c>
      <c r="JE44" s="11" t="str">
        <f ca="1">IF(History!JI$2="","",History!JI33*$C$44)</f>
        <v/>
      </c>
      <c r="JF44" s="11" t="str">
        <f ca="1">IF(History!JJ$2="","",History!JJ33*$C$44)</f>
        <v/>
      </c>
      <c r="JG44" s="11" t="str">
        <f ca="1">IF(History!JK$2="","",History!JK33*$C$44)</f>
        <v/>
      </c>
      <c r="JH44" s="11" t="str">
        <f ca="1">IF(History!JL$2="","",History!JL33*$C$44)</f>
        <v/>
      </c>
      <c r="JI44" s="11" t="str">
        <f ca="1">IF(History!JM$2="","",History!JM33*$C$44)</f>
        <v/>
      </c>
      <c r="JJ44" s="11" t="str">
        <f ca="1">IF(History!JN$2="","",History!JN33*$C$44)</f>
        <v/>
      </c>
      <c r="JK44" s="11" t="str">
        <f ca="1">IF(History!JO$2="","",History!JO33*$C$44)</f>
        <v/>
      </c>
      <c r="JL44" s="11" t="str">
        <f ca="1">IF(History!JP$2="","",History!JP33*$C$44)</f>
        <v/>
      </c>
      <c r="JM44" s="11" t="str">
        <f ca="1">IF(History!JQ$2="","",History!JQ33*$C$44)</f>
        <v/>
      </c>
      <c r="JN44" s="11" t="str">
        <f ca="1">IF(History!JR$2="","",History!JR33*$C$44)</f>
        <v/>
      </c>
      <c r="JO44" s="11" t="str">
        <f ca="1">IF(History!JS$2="","",History!JS33*$C$44)</f>
        <v/>
      </c>
      <c r="JP44" s="11" t="str">
        <f ca="1">IF(History!JT$2="","",History!JT33*$C$44)</f>
        <v/>
      </c>
      <c r="JQ44" s="11" t="str">
        <f ca="1">IF(History!JU$2="","",History!JU33*$C$44)</f>
        <v/>
      </c>
      <c r="JR44" s="11" t="str">
        <f ca="1">IF(History!JV$2="","",History!JV33*$C$44)</f>
        <v/>
      </c>
      <c r="JS44" s="11" t="str">
        <f ca="1">IF(History!JW$2="","",History!JW33*$C$44)</f>
        <v/>
      </c>
      <c r="JT44" s="11" t="str">
        <f ca="1">IF(History!JX$2="","",History!JX33*$C$44)</f>
        <v/>
      </c>
      <c r="JU44" s="11" t="str">
        <f ca="1">IF(History!JY$2="","",History!JY33*$C$44)</f>
        <v/>
      </c>
      <c r="JV44" s="11" t="str">
        <f ca="1">IF(History!JZ$2="","",History!JZ33*$C$44)</f>
        <v/>
      </c>
      <c r="JW44" s="11" t="str">
        <f ca="1">IF(History!KA$2="","",History!KA33*$C$44)</f>
        <v/>
      </c>
      <c r="JX44" s="11" t="str">
        <f ca="1">IF(History!KB$2="","",History!KB33*$C$44)</f>
        <v/>
      </c>
      <c r="JY44" s="11" t="str">
        <f ca="1">IF(History!KC$2="","",History!KC33*$C$44)</f>
        <v/>
      </c>
      <c r="JZ44" s="11" t="str">
        <f ca="1">IF(History!KD$2="","",History!KD33*$C$44)</f>
        <v/>
      </c>
      <c r="KA44" s="11" t="str">
        <f ca="1">IF(History!KE$2="","",History!KE33*$C$44)</f>
        <v/>
      </c>
      <c r="KB44" s="11" t="str">
        <f ca="1">IF(History!KF$2="","",History!KF33*$C$44)</f>
        <v/>
      </c>
    </row>
    <row r="45" spans="1:288" ht="15.75" customHeight="1">
      <c r="A45" s="22" t="s">
        <v>30</v>
      </c>
      <c r="B45" s="6" t="s">
        <v>77</v>
      </c>
      <c r="C45" s="26">
        <v>24</v>
      </c>
      <c r="D45" s="11">
        <f ca="1">IF(History!H$2="","",History!H34*$C$45)</f>
        <v>901.44</v>
      </c>
      <c r="E45" s="11">
        <f ca="1">IF(History!I$2="","",History!I34*$C$45)</f>
        <v>943.44</v>
      </c>
      <c r="F45" s="11">
        <f ca="1">IF(History!J$2="","",History!J34*$C$45)</f>
        <v>887.52</v>
      </c>
      <c r="G45" s="11">
        <f ca="1">IF(History!K$2="","",History!K34*$C$45)</f>
        <v>873.59999999999991</v>
      </c>
      <c r="H45" s="11">
        <f ca="1">IF(History!L$2="","",History!L34*$C$45)</f>
        <v>859.44</v>
      </c>
      <c r="I45" s="11">
        <f ca="1">IF(History!M$2="","",History!M34*$C$45)</f>
        <v>824.64</v>
      </c>
      <c r="J45" s="11">
        <f ca="1">IF(History!N$2="","",History!N34*$C$45)</f>
        <v>804</v>
      </c>
      <c r="K45" s="11">
        <f ca="1">IF(History!O$2="","",History!O34*$C$45)</f>
        <v>776.87999999999988</v>
      </c>
      <c r="L45" s="11">
        <f ca="1">IF(History!P$2="","",History!P34*$C$45)</f>
        <v>746.16</v>
      </c>
      <c r="M45" s="11">
        <f ca="1">IF(History!Q$2="","",History!Q34*$C$45)</f>
        <v>762</v>
      </c>
      <c r="N45" s="11">
        <f ca="1">IF(History!R$2="","",History!R34*$C$45)</f>
        <v>740.40000000000009</v>
      </c>
      <c r="O45" s="11">
        <f ca="1">IF(History!S$2="","",History!S34*$C$45)</f>
        <v>740.88</v>
      </c>
      <c r="P45" s="11">
        <f ca="1">IF(History!T$2="","",History!T34*$C$45)</f>
        <v>702.72</v>
      </c>
      <c r="Q45" s="11">
        <f ca="1">IF(History!U$2="","",History!U34*$C$45)</f>
        <v>714</v>
      </c>
      <c r="R45" s="11">
        <f ca="1">IF(History!V$2="","",History!V34*$C$45)</f>
        <v>739.2</v>
      </c>
      <c r="S45" s="11">
        <f ca="1">IF(History!W$2="","",History!W34*$C$45)</f>
        <v>755.28</v>
      </c>
      <c r="T45" s="11">
        <f ca="1">IF(History!X$2="","",History!X34*$C$45)</f>
        <v>721.2</v>
      </c>
      <c r="U45" s="11">
        <f ca="1">IF(History!Y$2="","",History!Y34*$C$45)</f>
        <v>702.72</v>
      </c>
      <c r="V45" s="11">
        <f ca="1">IF(History!Z$2="","",History!Z34*$C$45)</f>
        <v>705.59999999999991</v>
      </c>
      <c r="W45" s="11">
        <f ca="1">IF(History!AA$2="","",History!AA34*$C$45)</f>
        <v>726.96</v>
      </c>
      <c r="X45" s="11">
        <f ca="1">IF(History!AB$2="","",History!AB34*$C$45)</f>
        <v>727.2</v>
      </c>
      <c r="Y45" s="11">
        <f ca="1">IF(History!AC$2="","",History!AC34*$C$45)</f>
        <v>774</v>
      </c>
      <c r="Z45" s="11">
        <f ca="1">IF(History!AD$2="","",History!AD34*$C$45)</f>
        <v>737.52</v>
      </c>
      <c r="AA45" s="11">
        <f ca="1">IF(History!AE$2="","",History!AE34*$C$45)</f>
        <v>703.68000000000006</v>
      </c>
      <c r="AB45" s="11">
        <f ca="1">IF(History!AF$2="","",History!AF34*$C$45)</f>
        <v>694.08</v>
      </c>
      <c r="AC45" s="11">
        <f ca="1">IF(History!AG$2="","",History!AG34*$C$45)</f>
        <v>712.8</v>
      </c>
      <c r="AD45" s="11">
        <f ca="1">IF(History!AH$2="","",History!AH34*$C$45)</f>
        <v>694.08</v>
      </c>
      <c r="AE45" s="11">
        <f ca="1">IF(History!AI$2="","",History!AI34*$C$45)</f>
        <v>705.12</v>
      </c>
      <c r="AF45" s="11">
        <f ca="1">IF(History!AJ$2="","",History!AJ34*$C$45)</f>
        <v>731.76</v>
      </c>
      <c r="AG45" s="11">
        <f ca="1">IF(History!AK$2="","",History!AK34*$C$45)</f>
        <v>716.64</v>
      </c>
      <c r="AH45" s="11">
        <f ca="1">IF(History!AL$2="","",History!AL34*$C$45)</f>
        <v>720.24</v>
      </c>
      <c r="AI45" s="11">
        <f ca="1">IF(History!AM$2="","",History!AM34*$C$45)</f>
        <v>854.16000000000008</v>
      </c>
      <c r="AJ45" s="11">
        <f ca="1">IF(History!AN$2="","",History!AN34*$C$45)</f>
        <v>876</v>
      </c>
      <c r="AK45" s="11">
        <f ca="1">IF(History!AO$2="","",History!AO34*$C$45)</f>
        <v>892.80000000000007</v>
      </c>
      <c r="AL45" s="11">
        <f ca="1">IF(History!AP$2="","",History!AP34*$C$45)</f>
        <v>901.44</v>
      </c>
      <c r="AM45" s="11">
        <f ca="1">IF(History!AQ$2="","",History!AQ34*$C$45)</f>
        <v>879.12000000000012</v>
      </c>
      <c r="AN45" s="11">
        <f ca="1">IF(History!AR$2="","",History!AR34*$C$45)</f>
        <v>868.31999999999994</v>
      </c>
      <c r="AO45" s="11">
        <f ca="1">IF(History!AS$2="","",History!AS34*$C$45)</f>
        <v>813.12000000000012</v>
      </c>
      <c r="AP45" s="11">
        <f ca="1">IF(History!AT$2="","",History!AT34*$C$45)</f>
        <v>786.24</v>
      </c>
      <c r="AQ45" s="11">
        <f ca="1">IF(History!AU$2="","",History!AU34*$C$45)</f>
        <v>792.72</v>
      </c>
      <c r="AR45" s="11">
        <f ca="1">IF(History!AV$2="","",History!AV34*$C$45)</f>
        <v>828.48</v>
      </c>
      <c r="AS45" s="11">
        <f ca="1">IF(History!AW$2="","",History!AW34*$C$45)</f>
        <v>828.96</v>
      </c>
      <c r="AT45" s="11">
        <f ca="1">IF(History!AX$2="","",History!AX34*$C$45)</f>
        <v>794.40000000000009</v>
      </c>
      <c r="AU45" s="11">
        <f ca="1">IF(History!AY$2="","",History!AY34*$C$45)</f>
        <v>752.16</v>
      </c>
      <c r="AV45" s="11">
        <f ca="1">IF(History!AZ$2="","",History!AZ34*$C$45)</f>
        <v>759.59999999999991</v>
      </c>
      <c r="AW45" s="11">
        <f ca="1">IF(History!BA$2="","",History!BA34*$C$45)</f>
        <v>800.87999999999988</v>
      </c>
      <c r="AX45" s="11">
        <f ca="1">IF(History!BB$2="","",History!BB34*$C$45)</f>
        <v>828</v>
      </c>
      <c r="AY45" s="11">
        <f ca="1">IF(History!BC$2="","",History!BC34*$C$45)</f>
        <v>862.80000000000007</v>
      </c>
      <c r="AZ45" s="11">
        <f ca="1">IF(History!BD$2="","",History!BD34*$C$45)</f>
        <v>830.87999999999988</v>
      </c>
      <c r="BA45" s="11">
        <f ca="1">IF(History!BE$2="","",History!BE34*$C$45)</f>
        <v>827.76</v>
      </c>
      <c r="BB45" s="11">
        <f ca="1">IF(History!BF$2="","",History!BF34*$C$45)</f>
        <v>791.52</v>
      </c>
      <c r="BC45" s="11">
        <f ca="1">IF(History!BG$2="","",History!BG34*$C$45)</f>
        <v>833.28</v>
      </c>
      <c r="BD45" s="11">
        <f ca="1">IF(History!BH$2="","",History!BH34*$C$45)</f>
        <v>863.04</v>
      </c>
      <c r="BE45" s="11">
        <f ca="1">IF(History!BI$2="","",History!BI34*$C$45)</f>
        <v>876</v>
      </c>
      <c r="BF45" s="11">
        <f ca="1">IF(History!BJ$2="","",History!BJ34*$C$45)</f>
        <v>888</v>
      </c>
      <c r="BG45" s="11">
        <f ca="1">IF(History!BK$2="","",History!BK34*$C$45)</f>
        <v>801.59999999999991</v>
      </c>
      <c r="BH45" s="11">
        <f ca="1">IF(History!BL$2="","",History!BL34*$C$45)</f>
        <v>757.43999999999994</v>
      </c>
      <c r="BI45" s="11">
        <f ca="1">IF(History!BM$2="","",History!BM34*$C$45)</f>
        <v>767.76</v>
      </c>
      <c r="BJ45" s="11">
        <f ca="1">IF(History!BN$2="","",History!BN34*$C$45)</f>
        <v>837.36</v>
      </c>
      <c r="BK45" s="11">
        <f ca="1">IF(History!BO$2="","",History!BO34*$C$45)</f>
        <v>905.52</v>
      </c>
      <c r="BL45" s="11">
        <f ca="1">IF(History!BP$2="","",History!BP34*$C$45)</f>
        <v>842.64</v>
      </c>
      <c r="BM45" s="11">
        <f ca="1">IF(History!BQ$2="","",History!BQ34*$C$45)</f>
        <v>817.68000000000006</v>
      </c>
      <c r="BN45" s="11">
        <f ca="1">IF(History!BR$2="","",History!BR34*$C$45)</f>
        <v>808.80000000000007</v>
      </c>
      <c r="BO45" s="11">
        <f ca="1">IF(History!BS$2="","",History!BS34*$C$45)</f>
        <v>752.40000000000009</v>
      </c>
      <c r="BP45" s="11">
        <f ca="1">IF(History!BT$2="","",History!BT34*$C$45)</f>
        <v>738</v>
      </c>
      <c r="BQ45" s="11">
        <f ca="1">IF(History!BU$2="","",History!BU34*$C$45)</f>
        <v>764.88</v>
      </c>
      <c r="BR45" s="11">
        <f ca="1">IF(History!BV$2="","",History!BV34*$C$45)</f>
        <v>767.52</v>
      </c>
      <c r="BS45" s="11">
        <f ca="1">IF(History!BW$2="","",History!BW34*$C$45)</f>
        <v>749.28</v>
      </c>
      <c r="BT45" s="11">
        <f ca="1">IF(History!BX$2="","",History!BX34*$C$45)</f>
        <v>751.92</v>
      </c>
      <c r="BU45" s="11">
        <f ca="1">IF(History!BY$2="","",History!BY34*$C$45)</f>
        <v>750</v>
      </c>
      <c r="BV45" s="11">
        <f ca="1">IF(History!BZ$2="","",History!BZ34*$C$45)</f>
        <v>703.68000000000006</v>
      </c>
      <c r="BW45" s="11">
        <f ca="1">IF(History!CA$2="","",History!CA34*$C$45)</f>
        <v>657.59999999999991</v>
      </c>
      <c r="BX45" s="11">
        <f ca="1">IF(History!CB$2="","",History!CB34*$C$45)</f>
        <v>655.43999999999994</v>
      </c>
      <c r="BY45" s="11">
        <f ca="1">IF(History!CC$2="","",History!CC34*$C$45)</f>
        <v>610.31999999999994</v>
      </c>
      <c r="BZ45" s="11">
        <f ca="1">IF(History!CD$2="","",History!CD34*$C$45)</f>
        <v>599.52</v>
      </c>
      <c r="CA45" s="11">
        <f ca="1">IF(History!CE$2="","",History!CE34*$C$45)</f>
        <v>597.12</v>
      </c>
      <c r="CB45" s="11">
        <f ca="1">IF(History!CF$2="","",History!CF34*$C$45)</f>
        <v>581.04</v>
      </c>
      <c r="CC45" s="11">
        <f ca="1">IF(History!CG$2="","",History!CG34*$C$45)</f>
        <v>607.91999999999996</v>
      </c>
      <c r="CD45" s="11">
        <f ca="1">IF(History!CH$2="","",History!CH34*$C$45)</f>
        <v>592.56000000000006</v>
      </c>
      <c r="CE45" s="11">
        <f ca="1">IF(History!CI$2="","",History!CI34*$C$45)</f>
        <v>603.12</v>
      </c>
      <c r="CF45" s="11" t="str">
        <f ca="1">IF(History!CJ$2="","",History!CJ34*$C$45)</f>
        <v/>
      </c>
      <c r="CG45" s="11" t="str">
        <f ca="1">IF(History!CK$2="","",History!CK34*$C$45)</f>
        <v/>
      </c>
      <c r="CH45" s="11" t="str">
        <f ca="1">IF(History!CL$2="","",History!CL34*$C$45)</f>
        <v/>
      </c>
      <c r="CI45" s="11" t="str">
        <f ca="1">IF(History!CM$2="","",History!CM34*$C$45)</f>
        <v/>
      </c>
      <c r="CJ45" s="11" t="str">
        <f ca="1">IF(History!CN$2="","",History!CN34*$C$45)</f>
        <v/>
      </c>
      <c r="CK45" s="11" t="str">
        <f ca="1">IF(History!CO$2="","",History!CO34*$C$45)</f>
        <v/>
      </c>
      <c r="CL45" s="11" t="str">
        <f ca="1">IF(History!CP$2="","",History!CP34*$C$45)</f>
        <v/>
      </c>
      <c r="CM45" s="11" t="str">
        <f ca="1">IF(History!CQ$2="","",History!CQ34*$C$45)</f>
        <v/>
      </c>
      <c r="CN45" s="11" t="str">
        <f ca="1">IF(History!CR$2="","",History!CR34*$C$45)</f>
        <v/>
      </c>
      <c r="CO45" s="11" t="str">
        <f ca="1">IF(History!CS$2="","",History!CS34*$C$45)</f>
        <v/>
      </c>
      <c r="CP45" s="11" t="str">
        <f ca="1">IF(History!CT$2="","",History!CT34*$C$45)</f>
        <v/>
      </c>
      <c r="CQ45" s="11" t="str">
        <f ca="1">IF(History!CU$2="","",History!CU34*$C$45)</f>
        <v/>
      </c>
      <c r="CR45" s="11" t="str">
        <f ca="1">IF(History!CV$2="","",History!CV34*$C$45)</f>
        <v/>
      </c>
      <c r="CS45" s="11" t="str">
        <f ca="1">IF(History!CW$2="","",History!CW34*$C$45)</f>
        <v/>
      </c>
      <c r="CT45" s="11" t="str">
        <f ca="1">IF(History!CX$2="","",History!CX34*$C$45)</f>
        <v/>
      </c>
      <c r="CU45" s="11" t="str">
        <f ca="1">IF(History!CY$2="","",History!CY34*$C$45)</f>
        <v/>
      </c>
      <c r="CV45" s="11" t="str">
        <f ca="1">IF(History!CZ$2="","",History!CZ34*$C$45)</f>
        <v/>
      </c>
      <c r="CW45" s="11" t="str">
        <f ca="1">IF(History!DA$2="","",History!DA34*$C$45)</f>
        <v/>
      </c>
      <c r="CX45" s="11" t="str">
        <f ca="1">IF(History!DB$2="","",History!DB34*$C$45)</f>
        <v/>
      </c>
      <c r="CY45" s="11" t="str">
        <f ca="1">IF(History!DC$2="","",History!DC34*$C$45)</f>
        <v/>
      </c>
      <c r="CZ45" s="11" t="str">
        <f ca="1">IF(History!DD$2="","",History!DD34*$C$45)</f>
        <v/>
      </c>
      <c r="DA45" s="11" t="str">
        <f ca="1">IF(History!DE$2="","",History!DE34*$C$45)</f>
        <v/>
      </c>
      <c r="DB45" s="11" t="str">
        <f ca="1">IF(History!DF$2="","",History!DF34*$C$45)</f>
        <v/>
      </c>
      <c r="DC45" s="11" t="str">
        <f ca="1">IF(History!DG$2="","",History!DG34*$C$45)</f>
        <v/>
      </c>
      <c r="DD45" s="11" t="str">
        <f ca="1">IF(History!DH$2="","",History!DH34*$C$45)</f>
        <v/>
      </c>
      <c r="DE45" s="11" t="str">
        <f ca="1">IF(History!DI$2="","",History!DI34*$C$45)</f>
        <v/>
      </c>
      <c r="DF45" s="11" t="str">
        <f ca="1">IF(History!DJ$2="","",History!DJ34*$C$45)</f>
        <v/>
      </c>
      <c r="DG45" s="11" t="str">
        <f ca="1">IF(History!DK$2="","",History!DK34*$C$45)</f>
        <v/>
      </c>
      <c r="DH45" s="11" t="str">
        <f ca="1">IF(History!DL$2="","",History!DL34*$C$45)</f>
        <v/>
      </c>
      <c r="DI45" s="11" t="str">
        <f ca="1">IF(History!DM$2="","",History!DM34*$C$45)</f>
        <v/>
      </c>
      <c r="DJ45" s="11" t="str">
        <f ca="1">IF(History!DN$2="","",History!DN34*$C$45)</f>
        <v/>
      </c>
      <c r="DK45" s="11" t="str">
        <f ca="1">IF(History!DO$2="","",History!DO34*$C$45)</f>
        <v/>
      </c>
      <c r="DL45" s="11" t="str">
        <f ca="1">IF(History!DP$2="","",History!DP34*$C$45)</f>
        <v/>
      </c>
      <c r="DM45" s="11" t="str">
        <f ca="1">IF(History!DQ$2="","",History!DQ34*$C$45)</f>
        <v/>
      </c>
      <c r="DN45" s="11" t="str">
        <f ca="1">IF(History!DR$2="","",History!DR34*$C$45)</f>
        <v/>
      </c>
      <c r="DO45" s="11" t="str">
        <f ca="1">IF(History!DS$2="","",History!DS34*$C$45)</f>
        <v/>
      </c>
      <c r="DP45" s="11" t="str">
        <f ca="1">IF(History!DT$2="","",History!DT34*$C$45)</f>
        <v/>
      </c>
      <c r="DQ45" s="11" t="str">
        <f ca="1">IF(History!DU$2="","",History!DU34*$C$45)</f>
        <v/>
      </c>
      <c r="DR45" s="11" t="str">
        <f ca="1">IF(History!DV$2="","",History!DV34*$C$45)</f>
        <v/>
      </c>
      <c r="DS45" s="11" t="str">
        <f ca="1">IF(History!DW$2="","",History!DW34*$C$45)</f>
        <v/>
      </c>
      <c r="DT45" s="11" t="str">
        <f ca="1">IF(History!DX$2="","",History!DX34*$C$45)</f>
        <v/>
      </c>
      <c r="DU45" s="11" t="str">
        <f ca="1">IF(History!DY$2="","",History!DY34*$C$45)</f>
        <v/>
      </c>
      <c r="DV45" s="11" t="str">
        <f ca="1">IF(History!DZ$2="","",History!DZ34*$C$45)</f>
        <v/>
      </c>
      <c r="DW45" s="11" t="str">
        <f ca="1">IF(History!EA$2="","",History!EA34*$C$45)</f>
        <v/>
      </c>
      <c r="DX45" s="11" t="str">
        <f ca="1">IF(History!EB$2="","",History!EB34*$C$45)</f>
        <v/>
      </c>
      <c r="DY45" s="11" t="str">
        <f ca="1">IF(History!EC$2="","",History!EC34*$C$45)</f>
        <v/>
      </c>
      <c r="DZ45" s="11" t="str">
        <f ca="1">IF(History!ED$2="","",History!ED34*$C$45)</f>
        <v/>
      </c>
      <c r="EA45" s="11" t="str">
        <f ca="1">IF(History!EE$2="","",History!EE34*$C$45)</f>
        <v/>
      </c>
      <c r="EB45" s="11" t="str">
        <f ca="1">IF(History!EF$2="","",History!EF34*$C$45)</f>
        <v/>
      </c>
      <c r="EC45" s="11" t="str">
        <f ca="1">IF(History!EG$2="","",History!EG34*$C$45)</f>
        <v/>
      </c>
      <c r="ED45" s="11" t="str">
        <f ca="1">IF(History!EH$2="","",History!EH34*$C$45)</f>
        <v/>
      </c>
      <c r="EE45" s="11" t="str">
        <f ca="1">IF(History!EI$2="","",History!EI34*$C$45)</f>
        <v/>
      </c>
      <c r="EF45" s="11" t="str">
        <f ca="1">IF(History!EJ$2="","",History!EJ34*$C$45)</f>
        <v/>
      </c>
      <c r="EG45" s="11" t="str">
        <f ca="1">IF(History!EK$2="","",History!EK34*$C$45)</f>
        <v/>
      </c>
      <c r="EH45" s="11" t="str">
        <f ca="1">IF(History!EL$2="","",History!EL34*$C$45)</f>
        <v/>
      </c>
      <c r="EI45" s="11" t="str">
        <f ca="1">IF(History!EM$2="","",History!EM34*$C$45)</f>
        <v/>
      </c>
      <c r="EJ45" s="11" t="str">
        <f ca="1">IF(History!EN$2="","",History!EN34*$C$45)</f>
        <v/>
      </c>
      <c r="EK45" s="11" t="str">
        <f ca="1">IF(History!EO$2="","",History!EO34*$C$45)</f>
        <v/>
      </c>
      <c r="EL45" s="11" t="str">
        <f ca="1">IF(History!EP$2="","",History!EP34*$C$45)</f>
        <v/>
      </c>
      <c r="EM45" s="11" t="str">
        <f ca="1">IF(History!EQ$2="","",History!EQ34*$C$45)</f>
        <v/>
      </c>
      <c r="EN45" s="11" t="str">
        <f ca="1">IF(History!ER$2="","",History!ER34*$C$45)</f>
        <v/>
      </c>
      <c r="EO45" s="11" t="str">
        <f ca="1">IF(History!ES$2="","",History!ES34*$C$45)</f>
        <v/>
      </c>
      <c r="EP45" s="11" t="str">
        <f ca="1">IF(History!ET$2="","",History!ET34*$C$45)</f>
        <v/>
      </c>
      <c r="EQ45" s="11" t="str">
        <f ca="1">IF(History!EU$2="","",History!EU34*$C$45)</f>
        <v/>
      </c>
      <c r="ER45" s="11" t="str">
        <f ca="1">IF(History!EV$2="","",History!EV34*$C$45)</f>
        <v/>
      </c>
      <c r="ES45" s="11" t="str">
        <f ca="1">IF(History!EW$2="","",History!EW34*$C$45)</f>
        <v/>
      </c>
      <c r="ET45" s="11" t="str">
        <f ca="1">IF(History!EX$2="","",History!EX34*$C$45)</f>
        <v/>
      </c>
      <c r="EU45" s="11" t="str">
        <f ca="1">IF(History!EY$2="","",History!EY34*$C$45)</f>
        <v/>
      </c>
      <c r="EV45" s="11" t="str">
        <f ca="1">IF(History!EZ$2="","",History!EZ34*$C$45)</f>
        <v/>
      </c>
      <c r="EW45" s="11" t="str">
        <f ca="1">IF(History!FA$2="","",History!FA34*$C$45)</f>
        <v/>
      </c>
      <c r="EX45" s="11" t="str">
        <f ca="1">IF(History!FB$2="","",History!FB34*$C$45)</f>
        <v/>
      </c>
      <c r="EY45" s="11" t="str">
        <f ca="1">IF(History!FC$2="","",History!FC34*$C$45)</f>
        <v/>
      </c>
      <c r="EZ45" s="11" t="str">
        <f ca="1">IF(History!FD$2="","",History!FD34*$C$45)</f>
        <v/>
      </c>
      <c r="FA45" s="11" t="str">
        <f ca="1">IF(History!FE$2="","",History!FE34*$C$45)</f>
        <v/>
      </c>
      <c r="FB45" s="11" t="str">
        <f ca="1">IF(History!FF$2="","",History!FF34*$C$45)</f>
        <v/>
      </c>
      <c r="FC45" s="11" t="str">
        <f ca="1">IF(History!FG$2="","",History!FG34*$C$45)</f>
        <v/>
      </c>
      <c r="FD45" s="11" t="str">
        <f ca="1">IF(History!FH$2="","",History!FH34*$C$45)</f>
        <v/>
      </c>
      <c r="FE45" s="11" t="str">
        <f ca="1">IF(History!FI$2="","",History!FI34*$C$45)</f>
        <v/>
      </c>
      <c r="FF45" s="11" t="str">
        <f ca="1">IF(History!FJ$2="","",History!FJ34*$C$45)</f>
        <v/>
      </c>
      <c r="FG45" s="11" t="str">
        <f ca="1">IF(History!FK$2="","",History!FK34*$C$45)</f>
        <v/>
      </c>
      <c r="FH45" s="11" t="str">
        <f ca="1">IF(History!FL$2="","",History!FL34*$C$45)</f>
        <v/>
      </c>
      <c r="FI45" s="11" t="str">
        <f ca="1">IF(History!FM$2="","",History!FM34*$C$45)</f>
        <v/>
      </c>
      <c r="FJ45" s="11" t="str">
        <f ca="1">IF(History!FN$2="","",History!FN34*$C$45)</f>
        <v/>
      </c>
      <c r="FK45" s="11" t="str">
        <f ca="1">IF(History!FO$2="","",History!FO34*$C$45)</f>
        <v/>
      </c>
      <c r="FL45" s="11" t="str">
        <f ca="1">IF(History!FP$2="","",History!FP34*$C$45)</f>
        <v/>
      </c>
      <c r="FM45" s="11" t="str">
        <f ca="1">IF(History!FQ$2="","",History!FQ34*$C$45)</f>
        <v/>
      </c>
      <c r="FN45" s="11" t="str">
        <f ca="1">IF(History!FR$2="","",History!FR34*$C$45)</f>
        <v/>
      </c>
      <c r="FO45" s="11" t="str">
        <f ca="1">IF(History!FS$2="","",History!FS34*$C$45)</f>
        <v/>
      </c>
      <c r="FP45" s="11" t="str">
        <f ca="1">IF(History!FT$2="","",History!FT34*$C$45)</f>
        <v/>
      </c>
      <c r="FQ45" s="11" t="str">
        <f ca="1">IF(History!FU$2="","",History!FU34*$C$45)</f>
        <v/>
      </c>
      <c r="FR45" s="11" t="str">
        <f ca="1">IF(History!FV$2="","",History!FV34*$C$45)</f>
        <v/>
      </c>
      <c r="FS45" s="11" t="str">
        <f ca="1">IF(History!FW$2="","",History!FW34*$C$45)</f>
        <v/>
      </c>
      <c r="FT45" s="11" t="str">
        <f ca="1">IF(History!FX$2="","",History!FX34*$C$45)</f>
        <v/>
      </c>
      <c r="FU45" s="11" t="str">
        <f ca="1">IF(History!FY$2="","",History!FY34*$C$45)</f>
        <v/>
      </c>
      <c r="FV45" s="11" t="str">
        <f ca="1">IF(History!FZ$2="","",History!FZ34*$C$45)</f>
        <v/>
      </c>
      <c r="FW45" s="11" t="str">
        <f ca="1">IF(History!GA$2="","",History!GA34*$C$45)</f>
        <v/>
      </c>
      <c r="FX45" s="11" t="str">
        <f ca="1">IF(History!GB$2="","",History!GB34*$C$45)</f>
        <v/>
      </c>
      <c r="FY45" s="11" t="str">
        <f ca="1">IF(History!GC$2="","",History!GC34*$C$45)</f>
        <v/>
      </c>
      <c r="FZ45" s="11" t="str">
        <f ca="1">IF(History!GD$2="","",History!GD34*$C$45)</f>
        <v/>
      </c>
      <c r="GA45" s="11" t="str">
        <f ca="1">IF(History!GE$2="","",History!GE34*$C$45)</f>
        <v/>
      </c>
      <c r="GB45" s="11" t="str">
        <f ca="1">IF(History!GF$2="","",History!GF34*$C$45)</f>
        <v/>
      </c>
      <c r="GC45" s="11" t="str">
        <f ca="1">IF(History!GG$2="","",History!GG34*$C$45)</f>
        <v/>
      </c>
      <c r="GD45" s="11" t="str">
        <f ca="1">IF(History!GH$2="","",History!GH34*$C$45)</f>
        <v/>
      </c>
      <c r="GE45" s="11" t="str">
        <f ca="1">IF(History!GI$2="","",History!GI34*$C$45)</f>
        <v/>
      </c>
      <c r="GF45" s="11" t="str">
        <f ca="1">IF(History!GJ$2="","",History!GJ34*$C$45)</f>
        <v/>
      </c>
      <c r="GG45" s="11" t="str">
        <f ca="1">IF(History!GK$2="","",History!GK34*$C$45)</f>
        <v/>
      </c>
      <c r="GH45" s="11" t="str">
        <f ca="1">IF(History!GL$2="","",History!GL34*$C$45)</f>
        <v/>
      </c>
      <c r="GI45" s="11" t="str">
        <f ca="1">IF(History!GM$2="","",History!GM34*$C$45)</f>
        <v/>
      </c>
      <c r="GJ45" s="11" t="str">
        <f ca="1">IF(History!GN$2="","",History!GN34*$C$45)</f>
        <v/>
      </c>
      <c r="GK45" s="11" t="str">
        <f ca="1">IF(History!GO$2="","",History!GO34*$C$45)</f>
        <v/>
      </c>
      <c r="GL45" s="11" t="str">
        <f ca="1">IF(History!GP$2="","",History!GP34*$C$45)</f>
        <v/>
      </c>
      <c r="GM45" s="11" t="str">
        <f ca="1">IF(History!GQ$2="","",History!GQ34*$C$45)</f>
        <v/>
      </c>
      <c r="GN45" s="11" t="str">
        <f ca="1">IF(History!GR$2="","",History!GR34*$C$45)</f>
        <v/>
      </c>
      <c r="GO45" s="11" t="str">
        <f ca="1">IF(History!GS$2="","",History!GS34*$C$45)</f>
        <v/>
      </c>
      <c r="GP45" s="11" t="str">
        <f ca="1">IF(History!GT$2="","",History!GT34*$C$45)</f>
        <v/>
      </c>
      <c r="GQ45" s="11" t="str">
        <f ca="1">IF(History!GU$2="","",History!GU34*$C$45)</f>
        <v/>
      </c>
      <c r="GR45" s="11" t="str">
        <f ca="1">IF(History!GV$2="","",History!GV34*$C$45)</f>
        <v/>
      </c>
      <c r="GS45" s="11" t="str">
        <f ca="1">IF(History!GW$2="","",History!GW34*$C$45)</f>
        <v/>
      </c>
      <c r="GT45" s="11" t="str">
        <f ca="1">IF(History!GX$2="","",History!GX34*$C$45)</f>
        <v/>
      </c>
      <c r="GU45" s="11" t="str">
        <f ca="1">IF(History!GY$2="","",History!GY34*$C$45)</f>
        <v/>
      </c>
      <c r="GV45" s="11" t="str">
        <f ca="1">IF(History!GZ$2="","",History!GZ34*$C$45)</f>
        <v/>
      </c>
      <c r="GW45" s="11" t="str">
        <f ca="1">IF(History!HA$2="","",History!HA34*$C$45)</f>
        <v/>
      </c>
      <c r="GX45" s="11" t="str">
        <f ca="1">IF(History!HB$2="","",History!HB34*$C$45)</f>
        <v/>
      </c>
      <c r="GY45" s="11" t="str">
        <f ca="1">IF(History!HC$2="","",History!HC34*$C$45)</f>
        <v/>
      </c>
      <c r="GZ45" s="11" t="str">
        <f ca="1">IF(History!HD$2="","",History!HD34*$C$45)</f>
        <v/>
      </c>
      <c r="HA45" s="11" t="str">
        <f ca="1">IF(History!HE$2="","",History!HE34*$C$45)</f>
        <v/>
      </c>
      <c r="HB45" s="11" t="str">
        <f ca="1">IF(History!HF$2="","",History!HF34*$C$45)</f>
        <v/>
      </c>
      <c r="HC45" s="11" t="str">
        <f ca="1">IF(History!HG$2="","",History!HG34*$C$45)</f>
        <v/>
      </c>
      <c r="HD45" s="11" t="str">
        <f ca="1">IF(History!HH$2="","",History!HH34*$C$45)</f>
        <v/>
      </c>
      <c r="HE45" s="11" t="str">
        <f ca="1">IF(History!HI$2="","",History!HI34*$C$45)</f>
        <v/>
      </c>
      <c r="HF45" s="11" t="str">
        <f ca="1">IF(History!HJ$2="","",History!HJ34*$C$45)</f>
        <v/>
      </c>
      <c r="HG45" s="11" t="str">
        <f ca="1">IF(History!HK$2="","",History!HK34*$C$45)</f>
        <v/>
      </c>
      <c r="HH45" s="11" t="str">
        <f ca="1">IF(History!HL$2="","",History!HL34*$C$45)</f>
        <v/>
      </c>
      <c r="HI45" s="11" t="str">
        <f ca="1">IF(History!HM$2="","",History!HM34*$C$45)</f>
        <v/>
      </c>
      <c r="HJ45" s="11" t="str">
        <f ca="1">IF(History!HN$2="","",History!HN34*$C$45)</f>
        <v/>
      </c>
      <c r="HK45" s="11" t="str">
        <f ca="1">IF(History!HO$2="","",History!HO34*$C$45)</f>
        <v/>
      </c>
      <c r="HL45" s="11" t="str">
        <f ca="1">IF(History!HP$2="","",History!HP34*$C$45)</f>
        <v/>
      </c>
      <c r="HM45" s="11" t="str">
        <f ca="1">IF(History!HQ$2="","",History!HQ34*$C$45)</f>
        <v/>
      </c>
      <c r="HN45" s="11" t="str">
        <f ca="1">IF(History!HR$2="","",History!HR34*$C$45)</f>
        <v/>
      </c>
      <c r="HO45" s="11" t="str">
        <f ca="1">IF(History!HS$2="","",History!HS34*$C$45)</f>
        <v/>
      </c>
      <c r="HP45" s="11" t="str">
        <f ca="1">IF(History!HT$2="","",History!HT34*$C$45)</f>
        <v/>
      </c>
      <c r="HQ45" s="11" t="str">
        <f ca="1">IF(History!HU$2="","",History!HU34*$C$45)</f>
        <v/>
      </c>
      <c r="HR45" s="11" t="str">
        <f ca="1">IF(History!HV$2="","",History!HV34*$C$45)</f>
        <v/>
      </c>
      <c r="HS45" s="11" t="str">
        <f ca="1">IF(History!HW$2="","",History!HW34*$C$45)</f>
        <v/>
      </c>
      <c r="HT45" s="11" t="str">
        <f ca="1">IF(History!HX$2="","",History!HX34*$C$45)</f>
        <v/>
      </c>
      <c r="HU45" s="11" t="str">
        <f ca="1">IF(History!HY$2="","",History!HY34*$C$45)</f>
        <v/>
      </c>
      <c r="HV45" s="11" t="str">
        <f ca="1">IF(History!HZ$2="","",History!HZ34*$C$45)</f>
        <v/>
      </c>
      <c r="HW45" s="11" t="str">
        <f ca="1">IF(History!IA$2="","",History!IA34*$C$45)</f>
        <v/>
      </c>
      <c r="HX45" s="11" t="str">
        <f ca="1">IF(History!IB$2="","",History!IB34*$C$45)</f>
        <v/>
      </c>
      <c r="HY45" s="11" t="str">
        <f ca="1">IF(History!IC$2="","",History!IC34*$C$45)</f>
        <v/>
      </c>
      <c r="HZ45" s="11" t="str">
        <f ca="1">IF(History!ID$2="","",History!ID34*$C$45)</f>
        <v/>
      </c>
      <c r="IA45" s="11" t="str">
        <f ca="1">IF(History!IE$2="","",History!IE34*$C$45)</f>
        <v/>
      </c>
      <c r="IB45" s="11" t="str">
        <f ca="1">IF(History!IF$2="","",History!IF34*$C$45)</f>
        <v/>
      </c>
      <c r="IC45" s="11" t="str">
        <f ca="1">IF(History!IG$2="","",History!IG34*$C$45)</f>
        <v/>
      </c>
      <c r="ID45" s="11" t="str">
        <f ca="1">IF(History!IH$2="","",History!IH34*$C$45)</f>
        <v/>
      </c>
      <c r="IE45" s="11" t="str">
        <f ca="1">IF(History!II$2="","",History!II34*$C$45)</f>
        <v/>
      </c>
      <c r="IF45" s="11" t="str">
        <f ca="1">IF(History!IJ$2="","",History!IJ34*$C$45)</f>
        <v/>
      </c>
      <c r="IG45" s="11" t="str">
        <f ca="1">IF(History!IK$2="","",History!IK34*$C$45)</f>
        <v/>
      </c>
      <c r="IH45" s="11" t="str">
        <f ca="1">IF(History!IL$2="","",History!IL34*$C$45)</f>
        <v/>
      </c>
      <c r="II45" s="11" t="str">
        <f ca="1">IF(History!IM$2="","",History!IM34*$C$45)</f>
        <v/>
      </c>
      <c r="IJ45" s="11" t="str">
        <f ca="1">IF(History!IN$2="","",History!IN34*$C$45)</f>
        <v/>
      </c>
      <c r="IK45" s="11" t="str">
        <f ca="1">IF(History!IO$2="","",History!IO34*$C$45)</f>
        <v/>
      </c>
      <c r="IL45" s="11" t="str">
        <f ca="1">IF(History!IP$2="","",History!IP34*$C$45)</f>
        <v/>
      </c>
      <c r="IM45" s="11" t="str">
        <f ca="1">IF(History!IQ$2="","",History!IQ34*$C$45)</f>
        <v/>
      </c>
      <c r="IN45" s="11" t="str">
        <f ca="1">IF(History!IR$2="","",History!IR34*$C$45)</f>
        <v/>
      </c>
      <c r="IO45" s="11" t="str">
        <f ca="1">IF(History!IS$2="","",History!IS34*$C$45)</f>
        <v/>
      </c>
      <c r="IP45" s="11" t="str">
        <f ca="1">IF(History!IT$2="","",History!IT34*$C$45)</f>
        <v/>
      </c>
      <c r="IQ45" s="11" t="str">
        <f ca="1">IF(History!IU$2="","",History!IU34*$C$45)</f>
        <v/>
      </c>
      <c r="IR45" s="11" t="str">
        <f ca="1">IF(History!IV$2="","",History!IV34*$C$45)</f>
        <v/>
      </c>
      <c r="IS45" s="11" t="str">
        <f ca="1">IF(History!IW$2="","",History!IW34*$C$45)</f>
        <v/>
      </c>
      <c r="IT45" s="11" t="str">
        <f ca="1">IF(History!IX$2="","",History!IX34*$C$45)</f>
        <v/>
      </c>
      <c r="IU45" s="11" t="str">
        <f ca="1">IF(History!IY$2="","",History!IY34*$C$45)</f>
        <v/>
      </c>
      <c r="IV45" s="11" t="str">
        <f ca="1">IF(History!IZ$2="","",History!IZ34*$C$45)</f>
        <v/>
      </c>
      <c r="IW45" s="11" t="str">
        <f ca="1">IF(History!JA$2="","",History!JA34*$C$45)</f>
        <v/>
      </c>
      <c r="IX45" s="11" t="str">
        <f ca="1">IF(History!JB$2="","",History!JB34*$C$45)</f>
        <v/>
      </c>
      <c r="IY45" s="11" t="str">
        <f ca="1">IF(History!JC$2="","",History!JC34*$C$45)</f>
        <v/>
      </c>
      <c r="IZ45" s="11" t="str">
        <f ca="1">IF(History!JD$2="","",History!JD34*$C$45)</f>
        <v/>
      </c>
      <c r="JA45" s="11" t="str">
        <f ca="1">IF(History!JE$2="","",History!JE34*$C$45)</f>
        <v/>
      </c>
      <c r="JB45" s="11" t="str">
        <f ca="1">IF(History!JF$2="","",History!JF34*$C$45)</f>
        <v/>
      </c>
      <c r="JC45" s="11" t="str">
        <f ca="1">IF(History!JG$2="","",History!JG34*$C$45)</f>
        <v/>
      </c>
      <c r="JD45" s="11" t="str">
        <f ca="1">IF(History!JH$2="","",History!JH34*$C$45)</f>
        <v/>
      </c>
      <c r="JE45" s="11" t="str">
        <f ca="1">IF(History!JI$2="","",History!JI34*$C$45)</f>
        <v/>
      </c>
      <c r="JF45" s="11" t="str">
        <f ca="1">IF(History!JJ$2="","",History!JJ34*$C$45)</f>
        <v/>
      </c>
      <c r="JG45" s="11" t="str">
        <f ca="1">IF(History!JK$2="","",History!JK34*$C$45)</f>
        <v/>
      </c>
      <c r="JH45" s="11" t="str">
        <f ca="1">IF(History!JL$2="","",History!JL34*$C$45)</f>
        <v/>
      </c>
      <c r="JI45" s="11" t="str">
        <f ca="1">IF(History!JM$2="","",History!JM34*$C$45)</f>
        <v/>
      </c>
      <c r="JJ45" s="11" t="str">
        <f ca="1">IF(History!JN$2="","",History!JN34*$C$45)</f>
        <v/>
      </c>
      <c r="JK45" s="11" t="str">
        <f ca="1">IF(History!JO$2="","",History!JO34*$C$45)</f>
        <v/>
      </c>
      <c r="JL45" s="11" t="str">
        <f ca="1">IF(History!JP$2="","",History!JP34*$C$45)</f>
        <v/>
      </c>
      <c r="JM45" s="11" t="str">
        <f ca="1">IF(History!JQ$2="","",History!JQ34*$C$45)</f>
        <v/>
      </c>
      <c r="JN45" s="11" t="str">
        <f ca="1">IF(History!JR$2="","",History!JR34*$C$45)</f>
        <v/>
      </c>
      <c r="JO45" s="11" t="str">
        <f ca="1">IF(History!JS$2="","",History!JS34*$C$45)</f>
        <v/>
      </c>
      <c r="JP45" s="11" t="str">
        <f ca="1">IF(History!JT$2="","",History!JT34*$C$45)</f>
        <v/>
      </c>
      <c r="JQ45" s="11" t="str">
        <f ca="1">IF(History!JU$2="","",History!JU34*$C$45)</f>
        <v/>
      </c>
      <c r="JR45" s="11" t="str">
        <f ca="1">IF(History!JV$2="","",History!JV34*$C$45)</f>
        <v/>
      </c>
      <c r="JS45" s="11" t="str">
        <f ca="1">IF(History!JW$2="","",History!JW34*$C$45)</f>
        <v/>
      </c>
      <c r="JT45" s="11" t="str">
        <f ca="1">IF(History!JX$2="","",History!JX34*$C$45)</f>
        <v/>
      </c>
      <c r="JU45" s="11" t="str">
        <f ca="1">IF(History!JY$2="","",History!JY34*$C$45)</f>
        <v/>
      </c>
      <c r="JV45" s="11" t="str">
        <f ca="1">IF(History!JZ$2="","",History!JZ34*$C$45)</f>
        <v/>
      </c>
      <c r="JW45" s="11" t="str">
        <f ca="1">IF(History!KA$2="","",History!KA34*$C$45)</f>
        <v/>
      </c>
      <c r="JX45" s="11" t="str">
        <f ca="1">IF(History!KB$2="","",History!KB34*$C$45)</f>
        <v/>
      </c>
      <c r="JY45" s="11" t="str">
        <f ca="1">IF(History!KC$2="","",History!KC34*$C$45)</f>
        <v/>
      </c>
      <c r="JZ45" s="11" t="str">
        <f ca="1">IF(History!KD$2="","",History!KD34*$C$45)</f>
        <v/>
      </c>
      <c r="KA45" s="11" t="str">
        <f ca="1">IF(History!KE$2="","",History!KE34*$C$45)</f>
        <v/>
      </c>
      <c r="KB45" s="11" t="str">
        <f ca="1">IF(History!KF$2="","",History!KF34*$C$45)</f>
        <v/>
      </c>
    </row>
    <row r="46" spans="1:288" ht="15.75" customHeight="1">
      <c r="A46" s="22" t="s">
        <v>30</v>
      </c>
      <c r="B46" s="6" t="s">
        <v>78</v>
      </c>
      <c r="C46" s="26">
        <v>4</v>
      </c>
      <c r="D46" s="11">
        <f ca="1">IF(History!H$2="","",History!H35*$C$46)</f>
        <v>1148</v>
      </c>
      <c r="E46" s="11">
        <f ca="1">IF(History!I$2="","",History!I35*$C$46)</f>
        <v>1166.4000000000001</v>
      </c>
      <c r="F46" s="11">
        <f ca="1">IF(History!J$2="","",History!J35*$C$46)</f>
        <v>1171.96</v>
      </c>
      <c r="G46" s="11">
        <f ca="1">IF(History!K$2="","",History!K35*$C$46)</f>
        <v>1140.04</v>
      </c>
      <c r="H46" s="11">
        <f ca="1">IF(History!L$2="","",History!L35*$C$46)</f>
        <v>1137.2</v>
      </c>
      <c r="I46" s="11">
        <f ca="1">IF(History!M$2="","",History!M35*$C$46)</f>
        <v>1133.32</v>
      </c>
      <c r="J46" s="11">
        <f ca="1">IF(History!N$2="","",History!N35*$C$46)</f>
        <v>1107.92</v>
      </c>
      <c r="K46" s="11">
        <f ca="1">IF(History!O$2="","",History!O35*$C$46)</f>
        <v>1095.52</v>
      </c>
      <c r="L46" s="11">
        <f ca="1">IF(History!P$2="","",History!P35*$C$46)</f>
        <v>1046.04</v>
      </c>
      <c r="M46" s="11">
        <f ca="1">IF(History!Q$2="","",History!Q35*$C$46)</f>
        <v>1049.68</v>
      </c>
      <c r="N46" s="11">
        <f ca="1">IF(History!R$2="","",History!R35*$C$46)</f>
        <v>1008.2</v>
      </c>
      <c r="O46" s="11">
        <f ca="1">IF(History!S$2="","",History!S35*$C$46)</f>
        <v>999.36</v>
      </c>
      <c r="P46" s="11">
        <f ca="1">IF(History!T$2="","",History!T35*$C$46)</f>
        <v>981.6</v>
      </c>
      <c r="Q46" s="11">
        <f ca="1">IF(History!U$2="","",History!U35*$C$46)</f>
        <v>991.36</v>
      </c>
      <c r="R46" s="11">
        <f ca="1">IF(History!V$2="","",History!V35*$C$46)</f>
        <v>1046.72</v>
      </c>
      <c r="S46" s="11">
        <f ca="1">IF(History!W$2="","",History!W35*$C$46)</f>
        <v>1047.96</v>
      </c>
      <c r="T46" s="11">
        <f ca="1">IF(History!X$2="","",History!X35*$C$46)</f>
        <v>1034</v>
      </c>
      <c r="U46" s="11">
        <f ca="1">IF(History!Y$2="","",History!Y35*$C$46)</f>
        <v>1001.76</v>
      </c>
      <c r="V46" s="11">
        <f ca="1">IF(History!Z$2="","",History!Z35*$C$46)</f>
        <v>1078</v>
      </c>
      <c r="W46" s="11">
        <f ca="1">IF(History!AA$2="","",History!AA35*$C$46)</f>
        <v>1043.1600000000001</v>
      </c>
      <c r="X46" s="11">
        <f ca="1">IF(History!AB$2="","",History!AB35*$C$46)</f>
        <v>1051.52</v>
      </c>
      <c r="Y46" s="11">
        <f ca="1">IF(History!AC$2="","",History!AC35*$C$46)</f>
        <v>1080.04</v>
      </c>
      <c r="Z46" s="11">
        <f ca="1">IF(History!AD$2="","",History!AD35*$C$46)</f>
        <v>1035.52</v>
      </c>
      <c r="AA46" s="11">
        <f ca="1">IF(History!AE$2="","",History!AE35*$C$46)</f>
        <v>1024.96</v>
      </c>
      <c r="AB46" s="11">
        <f ca="1">IF(History!AF$2="","",History!AF35*$C$46)</f>
        <v>1013.52</v>
      </c>
      <c r="AC46" s="11">
        <f ca="1">IF(History!AG$2="","",History!AG35*$C$46)</f>
        <v>1048.1199999999999</v>
      </c>
      <c r="AD46" s="11">
        <f ca="1">IF(History!AH$2="","",History!AH35*$C$46)</f>
        <v>1055.8399999999999</v>
      </c>
      <c r="AE46" s="11">
        <f ca="1">IF(History!AI$2="","",History!AI35*$C$46)</f>
        <v>1003.76</v>
      </c>
      <c r="AF46" s="11">
        <f ca="1">IF(History!AJ$2="","",History!AJ35*$C$46)</f>
        <v>1009.72</v>
      </c>
      <c r="AG46" s="11">
        <f ca="1">IF(History!AK$2="","",History!AK35*$C$46)</f>
        <v>1000.68</v>
      </c>
      <c r="AH46" s="11">
        <f ca="1">IF(History!AL$2="","",History!AL35*$C$46)</f>
        <v>958.96</v>
      </c>
      <c r="AI46" s="11">
        <f ca="1">IF(History!AM$2="","",History!AM35*$C$46)</f>
        <v>965.32</v>
      </c>
      <c r="AJ46" s="11">
        <f ca="1">IF(History!AN$2="","",History!AN35*$C$46)</f>
        <v>993</v>
      </c>
      <c r="AK46" s="11">
        <f ca="1">IF(History!AO$2="","",History!AO35*$C$46)</f>
        <v>962.48</v>
      </c>
      <c r="AL46" s="11">
        <f ca="1">IF(History!AP$2="","",History!AP35*$C$46)</f>
        <v>925.6</v>
      </c>
      <c r="AM46" s="11">
        <f ca="1">IF(History!AQ$2="","",History!AQ35*$C$46)</f>
        <v>960.36</v>
      </c>
      <c r="AN46" s="11">
        <f ca="1">IF(History!AR$2="","",History!AR35*$C$46)</f>
        <v>938.8</v>
      </c>
      <c r="AO46" s="11">
        <f ca="1">IF(History!AS$2="","",History!AS35*$C$46)</f>
        <v>881.52</v>
      </c>
      <c r="AP46" s="11">
        <f ca="1">IF(History!AT$2="","",History!AT35*$C$46)</f>
        <v>826.92</v>
      </c>
      <c r="AQ46" s="11">
        <f ca="1">IF(History!AU$2="","",History!AU35*$C$46)</f>
        <v>824.2</v>
      </c>
      <c r="AR46" s="11">
        <f ca="1">IF(History!AV$2="","",History!AV35*$C$46)</f>
        <v>868.2</v>
      </c>
      <c r="AS46" s="11">
        <f ca="1">IF(History!AW$2="","",History!AW35*$C$46)</f>
        <v>850.72</v>
      </c>
      <c r="AT46" s="11">
        <f ca="1">IF(History!AX$2="","",History!AX35*$C$46)</f>
        <v>846.56</v>
      </c>
      <c r="AU46" s="11">
        <f ca="1">IF(History!AY$2="","",History!AY35*$C$46)</f>
        <v>854.6</v>
      </c>
      <c r="AV46" s="11">
        <f ca="1">IF(History!AZ$2="","",History!AZ35*$C$46)</f>
        <v>872.8</v>
      </c>
      <c r="AW46" s="11">
        <f ca="1">IF(History!BA$2="","",History!BA35*$C$46)</f>
        <v>925.4</v>
      </c>
      <c r="AX46" s="11">
        <f ca="1">IF(History!BB$2="","",History!BB35*$C$46)</f>
        <v>947.04</v>
      </c>
      <c r="AY46" s="11">
        <f ca="1">IF(History!BC$2="","",History!BC35*$C$46)</f>
        <v>954.04</v>
      </c>
      <c r="AZ46" s="11">
        <f ca="1">IF(History!BD$2="","",History!BD35*$C$46)</f>
        <v>959.48</v>
      </c>
      <c r="BA46" s="11">
        <f ca="1">IF(History!BE$2="","",History!BE35*$C$46)</f>
        <v>972.72</v>
      </c>
      <c r="BB46" s="11">
        <f ca="1">IF(History!BF$2="","",History!BF35*$C$46)</f>
        <v>951.88</v>
      </c>
      <c r="BC46" s="11">
        <f ca="1">IF(History!BG$2="","",History!BG35*$C$46)</f>
        <v>966.72</v>
      </c>
      <c r="BD46" s="11">
        <f ca="1">IF(History!BH$2="","",History!BH35*$C$46)</f>
        <v>978.12</v>
      </c>
      <c r="BE46" s="11">
        <f ca="1">IF(History!BI$2="","",History!BI35*$C$46)</f>
        <v>960.92</v>
      </c>
      <c r="BF46" s="11">
        <f ca="1">IF(History!BJ$2="","",History!BJ35*$C$46)</f>
        <v>989.48</v>
      </c>
      <c r="BG46" s="11">
        <f ca="1">IF(History!BK$2="","",History!BK35*$C$46)</f>
        <v>970.12</v>
      </c>
      <c r="BH46" s="11">
        <f ca="1">IF(History!BL$2="","",History!BL35*$C$46)</f>
        <v>959.96</v>
      </c>
      <c r="BI46" s="11">
        <f ca="1">IF(History!BM$2="","",History!BM35*$C$46)</f>
        <v>958.92</v>
      </c>
      <c r="BJ46" s="11">
        <f ca="1">IF(History!BN$2="","",History!BN35*$C$46)</f>
        <v>950.52</v>
      </c>
      <c r="BK46" s="11">
        <f ca="1">IF(History!BO$2="","",History!BO35*$C$46)</f>
        <v>928.24</v>
      </c>
      <c r="BL46" s="11">
        <f ca="1">IF(History!BP$2="","",History!BP35*$C$46)</f>
        <v>884.6</v>
      </c>
      <c r="BM46" s="11">
        <f ca="1">IF(History!BQ$2="","",History!BQ35*$C$46)</f>
        <v>873.28</v>
      </c>
      <c r="BN46" s="11">
        <f ca="1">IF(History!BR$2="","",History!BR35*$C$46)</f>
        <v>815.2</v>
      </c>
      <c r="BO46" s="11">
        <f ca="1">IF(History!BS$2="","",History!BS35*$C$46)</f>
        <v>795.56</v>
      </c>
      <c r="BP46" s="11">
        <f ca="1">IF(History!BT$2="","",History!BT35*$C$46)</f>
        <v>793.12</v>
      </c>
      <c r="BQ46" s="11">
        <f ca="1">IF(History!BU$2="","",History!BU35*$C$46)</f>
        <v>828.04</v>
      </c>
      <c r="BR46" s="11">
        <f ca="1">IF(History!BV$2="","",History!BV35*$C$46)</f>
        <v>812</v>
      </c>
      <c r="BS46" s="11">
        <f ca="1">IF(History!BW$2="","",History!BW35*$C$46)</f>
        <v>794.48</v>
      </c>
      <c r="BT46" s="11">
        <f ca="1">IF(History!BX$2="","",History!BX35*$C$46)</f>
        <v>838.4</v>
      </c>
      <c r="BU46" s="11">
        <f ca="1">IF(History!BY$2="","",History!BY35*$C$46)</f>
        <v>838.96</v>
      </c>
      <c r="BV46" s="11">
        <f ca="1">IF(History!BZ$2="","",History!BZ35*$C$46)</f>
        <v>814</v>
      </c>
      <c r="BW46" s="11">
        <f ca="1">IF(History!CA$2="","",History!CA35*$C$46)</f>
        <v>786.56</v>
      </c>
      <c r="BX46" s="11">
        <f ca="1">IF(History!CB$2="","",History!CB35*$C$46)</f>
        <v>789.68</v>
      </c>
      <c r="BY46" s="11">
        <f ca="1">IF(History!CC$2="","",History!CC35*$C$46)</f>
        <v>740.12</v>
      </c>
      <c r="BZ46" s="11">
        <f ca="1">IF(History!CD$2="","",History!CD35*$C$46)</f>
        <v>729.72</v>
      </c>
      <c r="CA46" s="11">
        <f ca="1">IF(History!CE$2="","",History!CE35*$C$46)</f>
        <v>736</v>
      </c>
      <c r="CB46" s="11">
        <f ca="1">IF(History!CF$2="","",History!CF35*$C$46)</f>
        <v>708.64</v>
      </c>
      <c r="CC46" s="11">
        <f ca="1">IF(History!CG$2="","",History!CG35*$C$46)</f>
        <v>719.44</v>
      </c>
      <c r="CD46" s="11">
        <f ca="1">IF(History!CH$2="","",History!CH35*$C$46)</f>
        <v>711.24</v>
      </c>
      <c r="CE46" s="11">
        <f ca="1">IF(History!CI$2="","",History!CI35*$C$46)</f>
        <v>735.48</v>
      </c>
      <c r="CF46" s="11" t="str">
        <f ca="1">IF(History!CJ$2="","",History!CJ35*$C$46)</f>
        <v/>
      </c>
      <c r="CG46" s="11" t="str">
        <f ca="1">IF(History!CK$2="","",History!CK35*$C$46)</f>
        <v/>
      </c>
      <c r="CH46" s="11" t="str">
        <f ca="1">IF(History!CL$2="","",History!CL35*$C$46)</f>
        <v/>
      </c>
      <c r="CI46" s="11" t="str">
        <f ca="1">IF(History!CM$2="","",History!CM35*$C$46)</f>
        <v/>
      </c>
      <c r="CJ46" s="11" t="str">
        <f ca="1">IF(History!CN$2="","",History!CN35*$C$46)</f>
        <v/>
      </c>
      <c r="CK46" s="11" t="str">
        <f ca="1">IF(History!CO$2="","",History!CO35*$C$46)</f>
        <v/>
      </c>
      <c r="CL46" s="11" t="str">
        <f ca="1">IF(History!CP$2="","",History!CP35*$C$46)</f>
        <v/>
      </c>
      <c r="CM46" s="11" t="str">
        <f ca="1">IF(History!CQ$2="","",History!CQ35*$C$46)</f>
        <v/>
      </c>
      <c r="CN46" s="11" t="str">
        <f ca="1">IF(History!CR$2="","",History!CR35*$C$46)</f>
        <v/>
      </c>
      <c r="CO46" s="11" t="str">
        <f ca="1">IF(History!CS$2="","",History!CS35*$C$46)</f>
        <v/>
      </c>
      <c r="CP46" s="11" t="str">
        <f ca="1">IF(History!CT$2="","",History!CT35*$C$46)</f>
        <v/>
      </c>
      <c r="CQ46" s="11" t="str">
        <f ca="1">IF(History!CU$2="","",History!CU35*$C$46)</f>
        <v/>
      </c>
      <c r="CR46" s="11" t="str">
        <f ca="1">IF(History!CV$2="","",History!CV35*$C$46)</f>
        <v/>
      </c>
      <c r="CS46" s="11" t="str">
        <f ca="1">IF(History!CW$2="","",History!CW35*$C$46)</f>
        <v/>
      </c>
      <c r="CT46" s="11" t="str">
        <f ca="1">IF(History!CX$2="","",History!CX35*$C$46)</f>
        <v/>
      </c>
      <c r="CU46" s="11" t="str">
        <f ca="1">IF(History!CY$2="","",History!CY35*$C$46)</f>
        <v/>
      </c>
      <c r="CV46" s="11" t="str">
        <f ca="1">IF(History!CZ$2="","",History!CZ35*$C$46)</f>
        <v/>
      </c>
      <c r="CW46" s="11" t="str">
        <f ca="1">IF(History!DA$2="","",History!DA35*$C$46)</f>
        <v/>
      </c>
      <c r="CX46" s="11" t="str">
        <f ca="1">IF(History!DB$2="","",History!DB35*$C$46)</f>
        <v/>
      </c>
      <c r="CY46" s="11" t="str">
        <f ca="1">IF(History!DC$2="","",History!DC35*$C$46)</f>
        <v/>
      </c>
      <c r="CZ46" s="11" t="str">
        <f ca="1">IF(History!DD$2="","",History!DD35*$C$46)</f>
        <v/>
      </c>
      <c r="DA46" s="11" t="str">
        <f ca="1">IF(History!DE$2="","",History!DE35*$C$46)</f>
        <v/>
      </c>
      <c r="DB46" s="11" t="str">
        <f ca="1">IF(History!DF$2="","",History!DF35*$C$46)</f>
        <v/>
      </c>
      <c r="DC46" s="11" t="str">
        <f ca="1">IF(History!DG$2="","",History!DG35*$C$46)</f>
        <v/>
      </c>
      <c r="DD46" s="11" t="str">
        <f ca="1">IF(History!DH$2="","",History!DH35*$C$46)</f>
        <v/>
      </c>
      <c r="DE46" s="11" t="str">
        <f ca="1">IF(History!DI$2="","",History!DI35*$C$46)</f>
        <v/>
      </c>
      <c r="DF46" s="11" t="str">
        <f ca="1">IF(History!DJ$2="","",History!DJ35*$C$46)</f>
        <v/>
      </c>
      <c r="DG46" s="11" t="str">
        <f ca="1">IF(History!DK$2="","",History!DK35*$C$46)</f>
        <v/>
      </c>
      <c r="DH46" s="11" t="str">
        <f ca="1">IF(History!DL$2="","",History!DL35*$C$46)</f>
        <v/>
      </c>
      <c r="DI46" s="11" t="str">
        <f ca="1">IF(History!DM$2="","",History!DM35*$C$46)</f>
        <v/>
      </c>
      <c r="DJ46" s="11" t="str">
        <f ca="1">IF(History!DN$2="","",History!DN35*$C$46)</f>
        <v/>
      </c>
      <c r="DK46" s="11" t="str">
        <f ca="1">IF(History!DO$2="","",History!DO35*$C$46)</f>
        <v/>
      </c>
      <c r="DL46" s="11" t="str">
        <f ca="1">IF(History!DP$2="","",History!DP35*$C$46)</f>
        <v/>
      </c>
      <c r="DM46" s="11" t="str">
        <f ca="1">IF(History!DQ$2="","",History!DQ35*$C$46)</f>
        <v/>
      </c>
      <c r="DN46" s="11" t="str">
        <f ca="1">IF(History!DR$2="","",History!DR35*$C$46)</f>
        <v/>
      </c>
      <c r="DO46" s="11" t="str">
        <f ca="1">IF(History!DS$2="","",History!DS35*$C$46)</f>
        <v/>
      </c>
      <c r="DP46" s="11" t="str">
        <f ca="1">IF(History!DT$2="","",History!DT35*$C$46)</f>
        <v/>
      </c>
      <c r="DQ46" s="11" t="str">
        <f ca="1">IF(History!DU$2="","",History!DU35*$C$46)</f>
        <v/>
      </c>
      <c r="DR46" s="11" t="str">
        <f ca="1">IF(History!DV$2="","",History!DV35*$C$46)</f>
        <v/>
      </c>
      <c r="DS46" s="11" t="str">
        <f ca="1">IF(History!DW$2="","",History!DW35*$C$46)</f>
        <v/>
      </c>
      <c r="DT46" s="11" t="str">
        <f ca="1">IF(History!DX$2="","",History!DX35*$C$46)</f>
        <v/>
      </c>
      <c r="DU46" s="11" t="str">
        <f ca="1">IF(History!DY$2="","",History!DY35*$C$46)</f>
        <v/>
      </c>
      <c r="DV46" s="11" t="str">
        <f ca="1">IF(History!DZ$2="","",History!DZ35*$C$46)</f>
        <v/>
      </c>
      <c r="DW46" s="11" t="str">
        <f ca="1">IF(History!EA$2="","",History!EA35*$C$46)</f>
        <v/>
      </c>
      <c r="DX46" s="11" t="str">
        <f ca="1">IF(History!EB$2="","",History!EB35*$C$46)</f>
        <v/>
      </c>
      <c r="DY46" s="11" t="str">
        <f ca="1">IF(History!EC$2="","",History!EC35*$C$46)</f>
        <v/>
      </c>
      <c r="DZ46" s="11" t="str">
        <f ca="1">IF(History!ED$2="","",History!ED35*$C$46)</f>
        <v/>
      </c>
      <c r="EA46" s="11" t="str">
        <f ca="1">IF(History!EE$2="","",History!EE35*$C$46)</f>
        <v/>
      </c>
      <c r="EB46" s="11" t="str">
        <f ca="1">IF(History!EF$2="","",History!EF35*$C$46)</f>
        <v/>
      </c>
      <c r="EC46" s="11" t="str">
        <f ca="1">IF(History!EG$2="","",History!EG35*$C$46)</f>
        <v/>
      </c>
      <c r="ED46" s="11" t="str">
        <f ca="1">IF(History!EH$2="","",History!EH35*$C$46)</f>
        <v/>
      </c>
      <c r="EE46" s="11" t="str">
        <f ca="1">IF(History!EI$2="","",History!EI35*$C$46)</f>
        <v/>
      </c>
      <c r="EF46" s="11" t="str">
        <f ca="1">IF(History!EJ$2="","",History!EJ35*$C$46)</f>
        <v/>
      </c>
      <c r="EG46" s="11" t="str">
        <f ca="1">IF(History!EK$2="","",History!EK35*$C$46)</f>
        <v/>
      </c>
      <c r="EH46" s="11" t="str">
        <f ca="1">IF(History!EL$2="","",History!EL35*$C$46)</f>
        <v/>
      </c>
      <c r="EI46" s="11" t="str">
        <f ca="1">IF(History!EM$2="","",History!EM35*$C$46)</f>
        <v/>
      </c>
      <c r="EJ46" s="11" t="str">
        <f ca="1">IF(History!EN$2="","",History!EN35*$C$46)</f>
        <v/>
      </c>
      <c r="EK46" s="11" t="str">
        <f ca="1">IF(History!EO$2="","",History!EO35*$C$46)</f>
        <v/>
      </c>
      <c r="EL46" s="11" t="str">
        <f ca="1">IF(History!EP$2="","",History!EP35*$C$46)</f>
        <v/>
      </c>
      <c r="EM46" s="11" t="str">
        <f ca="1">IF(History!EQ$2="","",History!EQ35*$C$46)</f>
        <v/>
      </c>
      <c r="EN46" s="11" t="str">
        <f ca="1">IF(History!ER$2="","",History!ER35*$C$46)</f>
        <v/>
      </c>
      <c r="EO46" s="11" t="str">
        <f ca="1">IF(History!ES$2="","",History!ES35*$C$46)</f>
        <v/>
      </c>
      <c r="EP46" s="11" t="str">
        <f ca="1">IF(History!ET$2="","",History!ET35*$C$46)</f>
        <v/>
      </c>
      <c r="EQ46" s="11" t="str">
        <f ca="1">IF(History!EU$2="","",History!EU35*$C$46)</f>
        <v/>
      </c>
      <c r="ER46" s="11" t="str">
        <f ca="1">IF(History!EV$2="","",History!EV35*$C$46)</f>
        <v/>
      </c>
      <c r="ES46" s="11" t="str">
        <f ca="1">IF(History!EW$2="","",History!EW35*$C$46)</f>
        <v/>
      </c>
      <c r="ET46" s="11" t="str">
        <f ca="1">IF(History!EX$2="","",History!EX35*$C$46)</f>
        <v/>
      </c>
      <c r="EU46" s="11" t="str">
        <f ca="1">IF(History!EY$2="","",History!EY35*$C$46)</f>
        <v/>
      </c>
      <c r="EV46" s="11" t="str">
        <f ca="1">IF(History!EZ$2="","",History!EZ35*$C$46)</f>
        <v/>
      </c>
      <c r="EW46" s="11" t="str">
        <f ca="1">IF(History!FA$2="","",History!FA35*$C$46)</f>
        <v/>
      </c>
      <c r="EX46" s="11" t="str">
        <f ca="1">IF(History!FB$2="","",History!FB35*$C$46)</f>
        <v/>
      </c>
      <c r="EY46" s="11" t="str">
        <f ca="1">IF(History!FC$2="","",History!FC35*$C$46)</f>
        <v/>
      </c>
      <c r="EZ46" s="11" t="str">
        <f ca="1">IF(History!FD$2="","",History!FD35*$C$46)</f>
        <v/>
      </c>
      <c r="FA46" s="11" t="str">
        <f ca="1">IF(History!FE$2="","",History!FE35*$C$46)</f>
        <v/>
      </c>
      <c r="FB46" s="11" t="str">
        <f ca="1">IF(History!FF$2="","",History!FF35*$C$46)</f>
        <v/>
      </c>
      <c r="FC46" s="11" t="str">
        <f ca="1">IF(History!FG$2="","",History!FG35*$C$46)</f>
        <v/>
      </c>
      <c r="FD46" s="11" t="str">
        <f ca="1">IF(History!FH$2="","",History!FH35*$C$46)</f>
        <v/>
      </c>
      <c r="FE46" s="11" t="str">
        <f ca="1">IF(History!FI$2="","",History!FI35*$C$46)</f>
        <v/>
      </c>
      <c r="FF46" s="11" t="str">
        <f ca="1">IF(History!FJ$2="","",History!FJ35*$C$46)</f>
        <v/>
      </c>
      <c r="FG46" s="11" t="str">
        <f ca="1">IF(History!FK$2="","",History!FK35*$C$46)</f>
        <v/>
      </c>
      <c r="FH46" s="11" t="str">
        <f ca="1">IF(History!FL$2="","",History!FL35*$C$46)</f>
        <v/>
      </c>
      <c r="FI46" s="11" t="str">
        <f ca="1">IF(History!FM$2="","",History!FM35*$C$46)</f>
        <v/>
      </c>
      <c r="FJ46" s="11" t="str">
        <f ca="1">IF(History!FN$2="","",History!FN35*$C$46)</f>
        <v/>
      </c>
      <c r="FK46" s="11" t="str">
        <f ca="1">IF(History!FO$2="","",History!FO35*$C$46)</f>
        <v/>
      </c>
      <c r="FL46" s="11" t="str">
        <f ca="1">IF(History!FP$2="","",History!FP35*$C$46)</f>
        <v/>
      </c>
      <c r="FM46" s="11" t="str">
        <f ca="1">IF(History!FQ$2="","",History!FQ35*$C$46)</f>
        <v/>
      </c>
      <c r="FN46" s="11" t="str">
        <f ca="1">IF(History!FR$2="","",History!FR35*$C$46)</f>
        <v/>
      </c>
      <c r="FO46" s="11" t="str">
        <f ca="1">IF(History!FS$2="","",History!FS35*$C$46)</f>
        <v/>
      </c>
      <c r="FP46" s="11" t="str">
        <f ca="1">IF(History!FT$2="","",History!FT35*$C$46)</f>
        <v/>
      </c>
      <c r="FQ46" s="11" t="str">
        <f ca="1">IF(History!FU$2="","",History!FU35*$C$46)</f>
        <v/>
      </c>
      <c r="FR46" s="11" t="str">
        <f ca="1">IF(History!FV$2="","",History!FV35*$C$46)</f>
        <v/>
      </c>
      <c r="FS46" s="11" t="str">
        <f ca="1">IF(History!FW$2="","",History!FW35*$C$46)</f>
        <v/>
      </c>
      <c r="FT46" s="11" t="str">
        <f ca="1">IF(History!FX$2="","",History!FX35*$C$46)</f>
        <v/>
      </c>
      <c r="FU46" s="11" t="str">
        <f ca="1">IF(History!FY$2="","",History!FY35*$C$46)</f>
        <v/>
      </c>
      <c r="FV46" s="11" t="str">
        <f ca="1">IF(History!FZ$2="","",History!FZ35*$C$46)</f>
        <v/>
      </c>
      <c r="FW46" s="11" t="str">
        <f ca="1">IF(History!GA$2="","",History!GA35*$C$46)</f>
        <v/>
      </c>
      <c r="FX46" s="11" t="str">
        <f ca="1">IF(History!GB$2="","",History!GB35*$C$46)</f>
        <v/>
      </c>
      <c r="FY46" s="11" t="str">
        <f ca="1">IF(History!GC$2="","",History!GC35*$C$46)</f>
        <v/>
      </c>
      <c r="FZ46" s="11" t="str">
        <f ca="1">IF(History!GD$2="","",History!GD35*$C$46)</f>
        <v/>
      </c>
      <c r="GA46" s="11" t="str">
        <f ca="1">IF(History!GE$2="","",History!GE35*$C$46)</f>
        <v/>
      </c>
      <c r="GB46" s="11" t="str">
        <f ca="1">IF(History!GF$2="","",History!GF35*$C$46)</f>
        <v/>
      </c>
      <c r="GC46" s="11" t="str">
        <f ca="1">IF(History!GG$2="","",History!GG35*$C$46)</f>
        <v/>
      </c>
      <c r="GD46" s="11" t="str">
        <f ca="1">IF(History!GH$2="","",History!GH35*$C$46)</f>
        <v/>
      </c>
      <c r="GE46" s="11" t="str">
        <f ca="1">IF(History!GI$2="","",History!GI35*$C$46)</f>
        <v/>
      </c>
      <c r="GF46" s="11" t="str">
        <f ca="1">IF(History!GJ$2="","",History!GJ35*$C$46)</f>
        <v/>
      </c>
      <c r="GG46" s="11" t="str">
        <f ca="1">IF(History!GK$2="","",History!GK35*$C$46)</f>
        <v/>
      </c>
      <c r="GH46" s="11" t="str">
        <f ca="1">IF(History!GL$2="","",History!GL35*$C$46)</f>
        <v/>
      </c>
      <c r="GI46" s="11" t="str">
        <f ca="1">IF(History!GM$2="","",History!GM35*$C$46)</f>
        <v/>
      </c>
      <c r="GJ46" s="11" t="str">
        <f ca="1">IF(History!GN$2="","",History!GN35*$C$46)</f>
        <v/>
      </c>
      <c r="GK46" s="11" t="str">
        <f ca="1">IF(History!GO$2="","",History!GO35*$C$46)</f>
        <v/>
      </c>
      <c r="GL46" s="11" t="str">
        <f ca="1">IF(History!GP$2="","",History!GP35*$C$46)</f>
        <v/>
      </c>
      <c r="GM46" s="11" t="str">
        <f ca="1">IF(History!GQ$2="","",History!GQ35*$C$46)</f>
        <v/>
      </c>
      <c r="GN46" s="11" t="str">
        <f ca="1">IF(History!GR$2="","",History!GR35*$C$46)</f>
        <v/>
      </c>
      <c r="GO46" s="11" t="str">
        <f ca="1">IF(History!GS$2="","",History!GS35*$C$46)</f>
        <v/>
      </c>
      <c r="GP46" s="11" t="str">
        <f ca="1">IF(History!GT$2="","",History!GT35*$C$46)</f>
        <v/>
      </c>
      <c r="GQ46" s="11" t="str">
        <f ca="1">IF(History!GU$2="","",History!GU35*$C$46)</f>
        <v/>
      </c>
      <c r="GR46" s="11" t="str">
        <f ca="1">IF(History!GV$2="","",History!GV35*$C$46)</f>
        <v/>
      </c>
      <c r="GS46" s="11" t="str">
        <f ca="1">IF(History!GW$2="","",History!GW35*$C$46)</f>
        <v/>
      </c>
      <c r="GT46" s="11" t="str">
        <f ca="1">IF(History!GX$2="","",History!GX35*$C$46)</f>
        <v/>
      </c>
      <c r="GU46" s="11" t="str">
        <f ca="1">IF(History!GY$2="","",History!GY35*$C$46)</f>
        <v/>
      </c>
      <c r="GV46" s="11" t="str">
        <f ca="1">IF(History!GZ$2="","",History!GZ35*$C$46)</f>
        <v/>
      </c>
      <c r="GW46" s="11" t="str">
        <f ca="1">IF(History!HA$2="","",History!HA35*$C$46)</f>
        <v/>
      </c>
      <c r="GX46" s="11" t="str">
        <f ca="1">IF(History!HB$2="","",History!HB35*$C$46)</f>
        <v/>
      </c>
      <c r="GY46" s="11" t="str">
        <f ca="1">IF(History!HC$2="","",History!HC35*$C$46)</f>
        <v/>
      </c>
      <c r="GZ46" s="11" t="str">
        <f ca="1">IF(History!HD$2="","",History!HD35*$C$46)</f>
        <v/>
      </c>
      <c r="HA46" s="11" t="str">
        <f ca="1">IF(History!HE$2="","",History!HE35*$C$46)</f>
        <v/>
      </c>
      <c r="HB46" s="11" t="str">
        <f ca="1">IF(History!HF$2="","",History!HF35*$C$46)</f>
        <v/>
      </c>
      <c r="HC46" s="11" t="str">
        <f ca="1">IF(History!HG$2="","",History!HG35*$C$46)</f>
        <v/>
      </c>
      <c r="HD46" s="11" t="str">
        <f ca="1">IF(History!HH$2="","",History!HH35*$C$46)</f>
        <v/>
      </c>
      <c r="HE46" s="11" t="str">
        <f ca="1">IF(History!HI$2="","",History!HI35*$C$46)</f>
        <v/>
      </c>
      <c r="HF46" s="11" t="str">
        <f ca="1">IF(History!HJ$2="","",History!HJ35*$C$46)</f>
        <v/>
      </c>
      <c r="HG46" s="11" t="str">
        <f ca="1">IF(History!HK$2="","",History!HK35*$C$46)</f>
        <v/>
      </c>
      <c r="HH46" s="11" t="str">
        <f ca="1">IF(History!HL$2="","",History!HL35*$C$46)</f>
        <v/>
      </c>
      <c r="HI46" s="11" t="str">
        <f ca="1">IF(History!HM$2="","",History!HM35*$C$46)</f>
        <v/>
      </c>
      <c r="HJ46" s="11" t="str">
        <f ca="1">IF(History!HN$2="","",History!HN35*$C$46)</f>
        <v/>
      </c>
      <c r="HK46" s="11" t="str">
        <f ca="1">IF(History!HO$2="","",History!HO35*$C$46)</f>
        <v/>
      </c>
      <c r="HL46" s="11" t="str">
        <f ca="1">IF(History!HP$2="","",History!HP35*$C$46)</f>
        <v/>
      </c>
      <c r="HM46" s="11" t="str">
        <f ca="1">IF(History!HQ$2="","",History!HQ35*$C$46)</f>
        <v/>
      </c>
      <c r="HN46" s="11" t="str">
        <f ca="1">IF(History!HR$2="","",History!HR35*$C$46)</f>
        <v/>
      </c>
      <c r="HO46" s="11" t="str">
        <f ca="1">IF(History!HS$2="","",History!HS35*$C$46)</f>
        <v/>
      </c>
      <c r="HP46" s="11" t="str">
        <f ca="1">IF(History!HT$2="","",History!HT35*$C$46)</f>
        <v/>
      </c>
      <c r="HQ46" s="11" t="str">
        <f ca="1">IF(History!HU$2="","",History!HU35*$C$46)</f>
        <v/>
      </c>
      <c r="HR46" s="11" t="str">
        <f ca="1">IF(History!HV$2="","",History!HV35*$C$46)</f>
        <v/>
      </c>
      <c r="HS46" s="11" t="str">
        <f ca="1">IF(History!HW$2="","",History!HW35*$C$46)</f>
        <v/>
      </c>
      <c r="HT46" s="11" t="str">
        <f ca="1">IF(History!HX$2="","",History!HX35*$C$46)</f>
        <v/>
      </c>
      <c r="HU46" s="11" t="str">
        <f ca="1">IF(History!HY$2="","",History!HY35*$C$46)</f>
        <v/>
      </c>
      <c r="HV46" s="11" t="str">
        <f ca="1">IF(History!HZ$2="","",History!HZ35*$C$46)</f>
        <v/>
      </c>
      <c r="HW46" s="11" t="str">
        <f ca="1">IF(History!IA$2="","",History!IA35*$C$46)</f>
        <v/>
      </c>
      <c r="HX46" s="11" t="str">
        <f ca="1">IF(History!IB$2="","",History!IB35*$C$46)</f>
        <v/>
      </c>
      <c r="HY46" s="11" t="str">
        <f ca="1">IF(History!IC$2="","",History!IC35*$C$46)</f>
        <v/>
      </c>
      <c r="HZ46" s="11" t="str">
        <f ca="1">IF(History!ID$2="","",History!ID35*$C$46)</f>
        <v/>
      </c>
      <c r="IA46" s="11" t="str">
        <f ca="1">IF(History!IE$2="","",History!IE35*$C$46)</f>
        <v/>
      </c>
      <c r="IB46" s="11" t="str">
        <f ca="1">IF(History!IF$2="","",History!IF35*$C$46)</f>
        <v/>
      </c>
      <c r="IC46" s="11" t="str">
        <f ca="1">IF(History!IG$2="","",History!IG35*$C$46)</f>
        <v/>
      </c>
      <c r="ID46" s="11" t="str">
        <f ca="1">IF(History!IH$2="","",History!IH35*$C$46)</f>
        <v/>
      </c>
      <c r="IE46" s="11" t="str">
        <f ca="1">IF(History!II$2="","",History!II35*$C$46)</f>
        <v/>
      </c>
      <c r="IF46" s="11" t="str">
        <f ca="1">IF(History!IJ$2="","",History!IJ35*$C$46)</f>
        <v/>
      </c>
      <c r="IG46" s="11" t="str">
        <f ca="1">IF(History!IK$2="","",History!IK35*$C$46)</f>
        <v/>
      </c>
      <c r="IH46" s="11" t="str">
        <f ca="1">IF(History!IL$2="","",History!IL35*$C$46)</f>
        <v/>
      </c>
      <c r="II46" s="11" t="str">
        <f ca="1">IF(History!IM$2="","",History!IM35*$C$46)</f>
        <v/>
      </c>
      <c r="IJ46" s="11" t="str">
        <f ca="1">IF(History!IN$2="","",History!IN35*$C$46)</f>
        <v/>
      </c>
      <c r="IK46" s="11" t="str">
        <f ca="1">IF(History!IO$2="","",History!IO35*$C$46)</f>
        <v/>
      </c>
      <c r="IL46" s="11" t="str">
        <f ca="1">IF(History!IP$2="","",History!IP35*$C$46)</f>
        <v/>
      </c>
      <c r="IM46" s="11" t="str">
        <f ca="1">IF(History!IQ$2="","",History!IQ35*$C$46)</f>
        <v/>
      </c>
      <c r="IN46" s="11" t="str">
        <f ca="1">IF(History!IR$2="","",History!IR35*$C$46)</f>
        <v/>
      </c>
      <c r="IO46" s="11" t="str">
        <f ca="1">IF(History!IS$2="","",History!IS35*$C$46)</f>
        <v/>
      </c>
      <c r="IP46" s="11" t="str">
        <f ca="1">IF(History!IT$2="","",History!IT35*$C$46)</f>
        <v/>
      </c>
      <c r="IQ46" s="11" t="str">
        <f ca="1">IF(History!IU$2="","",History!IU35*$C$46)</f>
        <v/>
      </c>
      <c r="IR46" s="11" t="str">
        <f ca="1">IF(History!IV$2="","",History!IV35*$C$46)</f>
        <v/>
      </c>
      <c r="IS46" s="11" t="str">
        <f ca="1">IF(History!IW$2="","",History!IW35*$C$46)</f>
        <v/>
      </c>
      <c r="IT46" s="11" t="str">
        <f ca="1">IF(History!IX$2="","",History!IX35*$C$46)</f>
        <v/>
      </c>
      <c r="IU46" s="11" t="str">
        <f ca="1">IF(History!IY$2="","",History!IY35*$C$46)</f>
        <v/>
      </c>
      <c r="IV46" s="11" t="str">
        <f ca="1">IF(History!IZ$2="","",History!IZ35*$C$46)</f>
        <v/>
      </c>
      <c r="IW46" s="11" t="str">
        <f ca="1">IF(History!JA$2="","",History!JA35*$C$46)</f>
        <v/>
      </c>
      <c r="IX46" s="11" t="str">
        <f ca="1">IF(History!JB$2="","",History!JB35*$C$46)</f>
        <v/>
      </c>
      <c r="IY46" s="11" t="str">
        <f ca="1">IF(History!JC$2="","",History!JC35*$C$46)</f>
        <v/>
      </c>
      <c r="IZ46" s="11" t="str">
        <f ca="1">IF(History!JD$2="","",History!JD35*$C$46)</f>
        <v/>
      </c>
      <c r="JA46" s="11" t="str">
        <f ca="1">IF(History!JE$2="","",History!JE35*$C$46)</f>
        <v/>
      </c>
      <c r="JB46" s="11" t="str">
        <f ca="1">IF(History!JF$2="","",History!JF35*$C$46)</f>
        <v/>
      </c>
      <c r="JC46" s="11" t="str">
        <f ca="1">IF(History!JG$2="","",History!JG35*$C$46)</f>
        <v/>
      </c>
      <c r="JD46" s="11" t="str">
        <f ca="1">IF(History!JH$2="","",History!JH35*$C$46)</f>
        <v/>
      </c>
      <c r="JE46" s="11" t="str">
        <f ca="1">IF(History!JI$2="","",History!JI35*$C$46)</f>
        <v/>
      </c>
      <c r="JF46" s="11" t="str">
        <f ca="1">IF(History!JJ$2="","",History!JJ35*$C$46)</f>
        <v/>
      </c>
      <c r="JG46" s="11" t="str">
        <f ca="1">IF(History!JK$2="","",History!JK35*$C$46)</f>
        <v/>
      </c>
      <c r="JH46" s="11" t="str">
        <f ca="1">IF(History!JL$2="","",History!JL35*$C$46)</f>
        <v/>
      </c>
      <c r="JI46" s="11" t="str">
        <f ca="1">IF(History!JM$2="","",History!JM35*$C$46)</f>
        <v/>
      </c>
      <c r="JJ46" s="11" t="str">
        <f ca="1">IF(History!JN$2="","",History!JN35*$C$46)</f>
        <v/>
      </c>
      <c r="JK46" s="11" t="str">
        <f ca="1">IF(History!JO$2="","",History!JO35*$C$46)</f>
        <v/>
      </c>
      <c r="JL46" s="11" t="str">
        <f ca="1">IF(History!JP$2="","",History!JP35*$C$46)</f>
        <v/>
      </c>
      <c r="JM46" s="11" t="str">
        <f ca="1">IF(History!JQ$2="","",History!JQ35*$C$46)</f>
        <v/>
      </c>
      <c r="JN46" s="11" t="str">
        <f ca="1">IF(History!JR$2="","",History!JR35*$C$46)</f>
        <v/>
      </c>
      <c r="JO46" s="11" t="str">
        <f ca="1">IF(History!JS$2="","",History!JS35*$C$46)</f>
        <v/>
      </c>
      <c r="JP46" s="11" t="str">
        <f ca="1">IF(History!JT$2="","",History!JT35*$C$46)</f>
        <v/>
      </c>
      <c r="JQ46" s="11" t="str">
        <f ca="1">IF(History!JU$2="","",History!JU35*$C$46)</f>
        <v/>
      </c>
      <c r="JR46" s="11" t="str">
        <f ca="1">IF(History!JV$2="","",History!JV35*$C$46)</f>
        <v/>
      </c>
      <c r="JS46" s="11" t="str">
        <f ca="1">IF(History!JW$2="","",History!JW35*$C$46)</f>
        <v/>
      </c>
      <c r="JT46" s="11" t="str">
        <f ca="1">IF(History!JX$2="","",History!JX35*$C$46)</f>
        <v/>
      </c>
      <c r="JU46" s="11" t="str">
        <f ca="1">IF(History!JY$2="","",History!JY35*$C$46)</f>
        <v/>
      </c>
      <c r="JV46" s="11" t="str">
        <f ca="1">IF(History!JZ$2="","",History!JZ35*$C$46)</f>
        <v/>
      </c>
      <c r="JW46" s="11" t="str">
        <f ca="1">IF(History!KA$2="","",History!KA35*$C$46)</f>
        <v/>
      </c>
      <c r="JX46" s="11" t="str">
        <f ca="1">IF(History!KB$2="","",History!KB35*$C$46)</f>
        <v/>
      </c>
      <c r="JY46" s="11" t="str">
        <f ca="1">IF(History!KC$2="","",History!KC35*$C$46)</f>
        <v/>
      </c>
      <c r="JZ46" s="11" t="str">
        <f ca="1">IF(History!KD$2="","",History!KD35*$C$46)</f>
        <v/>
      </c>
      <c r="KA46" s="11" t="str">
        <f ca="1">IF(History!KE$2="","",History!KE35*$C$46)</f>
        <v/>
      </c>
      <c r="KB46" s="11" t="str">
        <f ca="1">IF(History!KF$2="","",History!KF35*$C$46)</f>
        <v/>
      </c>
    </row>
    <row r="47" spans="1:288" ht="15.75" customHeight="1">
      <c r="A47" s="22" t="s">
        <v>30</v>
      </c>
      <c r="B47" s="6" t="s">
        <v>79</v>
      </c>
      <c r="C47" s="26">
        <v>35</v>
      </c>
      <c r="D47" s="11">
        <f ca="1">IF(History!H$2="","",History!H36*$C$47)</f>
        <v>758.45</v>
      </c>
      <c r="E47" s="11">
        <f ca="1">IF(History!I$2="","",History!I36*$C$47)</f>
        <v>800.8</v>
      </c>
      <c r="F47" s="11">
        <f ca="1">IF(History!J$2="","",History!J36*$C$47)</f>
        <v>803.25</v>
      </c>
      <c r="G47" s="11">
        <f ca="1">IF(History!K$2="","",History!K36*$C$47)</f>
        <v>807.45</v>
      </c>
      <c r="H47" s="11">
        <f ca="1">IF(History!L$2="","",History!L36*$C$47)</f>
        <v>793.8</v>
      </c>
      <c r="I47" s="11">
        <f ca="1">IF(History!M$2="","",History!M36*$C$47)</f>
        <v>779.1</v>
      </c>
      <c r="J47" s="11">
        <f ca="1">IF(History!N$2="","",History!N36*$C$47)</f>
        <v>773.5</v>
      </c>
      <c r="K47" s="11">
        <f ca="1">IF(History!O$2="","",History!O36*$C$47)</f>
        <v>721.7</v>
      </c>
      <c r="L47" s="11">
        <f ca="1">IF(History!P$2="","",History!P36*$C$47)</f>
        <v>708.4</v>
      </c>
      <c r="M47" s="11">
        <f ca="1">IF(History!Q$2="","",History!Q36*$C$47)</f>
        <v>770.35</v>
      </c>
      <c r="N47" s="11">
        <f ca="1">IF(History!R$2="","",History!R36*$C$47)</f>
        <v>770</v>
      </c>
      <c r="O47" s="11">
        <f ca="1">IF(History!S$2="","",History!S36*$C$47)</f>
        <v>741.3</v>
      </c>
      <c r="P47" s="11">
        <f ca="1">IF(History!T$2="","",History!T36*$C$47)</f>
        <v>741.3</v>
      </c>
      <c r="Q47" s="11">
        <f ca="1">IF(History!U$2="","",History!U36*$C$47)</f>
        <v>749</v>
      </c>
      <c r="R47" s="11">
        <f ca="1">IF(History!V$2="","",History!V36*$C$47)</f>
        <v>805.69999999999993</v>
      </c>
      <c r="S47" s="11">
        <f ca="1">IF(History!W$2="","",History!W36*$C$47)</f>
        <v>794.15000000000009</v>
      </c>
      <c r="T47" s="11">
        <f ca="1">IF(History!X$2="","",History!X36*$C$47)</f>
        <v>766.15</v>
      </c>
      <c r="U47" s="11">
        <f ca="1">IF(History!Y$2="","",History!Y36*$C$47)</f>
        <v>756.35</v>
      </c>
      <c r="V47" s="11">
        <f ca="1">IF(History!Z$2="","",History!Z36*$C$47)</f>
        <v>754.59999999999991</v>
      </c>
      <c r="W47" s="11">
        <f ca="1">IF(History!AA$2="","",History!AA36*$C$47)</f>
        <v>759.5</v>
      </c>
      <c r="X47" s="11">
        <f ca="1">IF(History!AB$2="","",History!AB36*$C$47)</f>
        <v>817.6</v>
      </c>
      <c r="Y47" s="11">
        <f ca="1">IF(History!AC$2="","",History!AC36*$C$47)</f>
        <v>843.15</v>
      </c>
      <c r="Z47" s="11">
        <f ca="1">IF(History!AD$2="","",History!AD36*$C$47)</f>
        <v>825.3</v>
      </c>
      <c r="AA47" s="11">
        <f ca="1">IF(History!AE$2="","",History!AE36*$C$47)</f>
        <v>798.7</v>
      </c>
      <c r="AB47" s="11">
        <f ca="1">IF(History!AF$2="","",History!AF36*$C$47)</f>
        <v>789.59999999999991</v>
      </c>
      <c r="AC47" s="11">
        <f ca="1">IF(History!AG$2="","",History!AG36*$C$47)</f>
        <v>819.35</v>
      </c>
      <c r="AD47" s="11">
        <f ca="1">IF(History!AH$2="","",History!AH36*$C$47)</f>
        <v>824.95</v>
      </c>
      <c r="AE47" s="11">
        <f ca="1">IF(History!AI$2="","",History!AI36*$C$47)</f>
        <v>796.6</v>
      </c>
      <c r="AF47" s="11">
        <f ca="1">IF(History!AJ$2="","",History!AJ36*$C$47)</f>
        <v>801.15</v>
      </c>
      <c r="AG47" s="11">
        <f ca="1">IF(History!AK$2="","",History!AK36*$C$47)</f>
        <v>766.15</v>
      </c>
      <c r="AH47" s="11">
        <f ca="1">IF(History!AL$2="","",History!AL36*$C$47)</f>
        <v>764.75</v>
      </c>
      <c r="AI47" s="11">
        <f ca="1">IF(History!AM$2="","",History!AM36*$C$47)</f>
        <v>787.5</v>
      </c>
      <c r="AJ47" s="11">
        <f ca="1">IF(History!AN$2="","",History!AN36*$C$47)</f>
        <v>790.65</v>
      </c>
      <c r="AK47" s="11">
        <f ca="1">IF(History!AO$2="","",History!AO36*$C$47)</f>
        <v>766.5</v>
      </c>
      <c r="AL47" s="11">
        <f ca="1">IF(History!AP$2="","",History!AP36*$C$47)</f>
        <v>714.7</v>
      </c>
      <c r="AM47" s="11">
        <f ca="1">IF(History!AQ$2="","",History!AQ36*$C$47)</f>
        <v>763.34999999999991</v>
      </c>
      <c r="AN47" s="11">
        <f ca="1">IF(History!AR$2="","",History!AR36*$C$47)</f>
        <v>758.8</v>
      </c>
      <c r="AO47" s="11">
        <f ca="1">IF(History!AS$2="","",History!AS36*$C$47)</f>
        <v>690.9</v>
      </c>
      <c r="AP47" s="11">
        <f ca="1">IF(History!AT$2="","",History!AT36*$C$47)</f>
        <v>573.65</v>
      </c>
      <c r="AQ47" s="11">
        <f ca="1">IF(History!AU$2="","",History!AU36*$C$47)</f>
        <v>603.4</v>
      </c>
      <c r="AR47" s="11">
        <f ca="1">IF(History!AV$2="","",History!AV36*$C$47)</f>
        <v>634.20000000000005</v>
      </c>
      <c r="AS47" s="11">
        <f ca="1">IF(History!AW$2="","",History!AW36*$C$47)</f>
        <v>654.15000000000009</v>
      </c>
      <c r="AT47" s="11">
        <f ca="1">IF(History!AX$2="","",History!AX36*$C$47)</f>
        <v>607.95000000000005</v>
      </c>
      <c r="AU47" s="11">
        <f ca="1">IF(History!AY$2="","",History!AY36*$C$47)</f>
        <v>607.95000000000005</v>
      </c>
      <c r="AV47" s="11">
        <f ca="1">IF(History!AZ$2="","",History!AZ36*$C$47)</f>
        <v>640.15</v>
      </c>
      <c r="AW47" s="11">
        <f ca="1">IF(History!BA$2="","",History!BA36*$C$47)</f>
        <v>677.25</v>
      </c>
      <c r="AX47" s="11">
        <f ca="1">IF(History!BB$2="","",History!BB36*$C$47)</f>
        <v>740.25</v>
      </c>
      <c r="AY47" s="11">
        <f ca="1">IF(History!BC$2="","",History!BC36*$C$47)</f>
        <v>749.7</v>
      </c>
      <c r="AZ47" s="11">
        <f ca="1">IF(History!BD$2="","",History!BD36*$C$47)</f>
        <v>760.9</v>
      </c>
      <c r="BA47" s="11">
        <f ca="1">IF(History!BE$2="","",History!BE36*$C$47)</f>
        <v>759.5</v>
      </c>
      <c r="BB47" s="11">
        <f ca="1">IF(History!BF$2="","",History!BF36*$C$47)</f>
        <v>758.45</v>
      </c>
      <c r="BC47" s="11">
        <f ca="1">IF(History!BG$2="","",History!BG36*$C$47)</f>
        <v>762.30000000000007</v>
      </c>
      <c r="BD47" s="11">
        <f ca="1">IF(History!BH$2="","",History!BH36*$C$47)</f>
        <v>770.35</v>
      </c>
      <c r="BE47" s="11">
        <f ca="1">IF(History!BI$2="","",History!BI36*$C$47)</f>
        <v>768.6</v>
      </c>
      <c r="BF47" s="11">
        <f ca="1">IF(History!BJ$2="","",History!BJ36*$C$47)</f>
        <v>816.2</v>
      </c>
      <c r="BG47" s="11">
        <f ca="1">IF(History!BK$2="","",History!BK36*$C$47)</f>
        <v>796.25</v>
      </c>
      <c r="BH47" s="11">
        <f ca="1">IF(History!BL$2="","",History!BL36*$C$47)</f>
        <v>764.75</v>
      </c>
      <c r="BI47" s="11">
        <f ca="1">IF(History!BM$2="","",History!BM36*$C$47)</f>
        <v>775.95</v>
      </c>
      <c r="BJ47" s="11">
        <f ca="1">IF(History!BN$2="","",History!BN36*$C$47)</f>
        <v>801.85</v>
      </c>
      <c r="BK47" s="11">
        <f ca="1">IF(History!BO$2="","",History!BO36*$C$47)</f>
        <v>784</v>
      </c>
      <c r="BL47" s="11">
        <f ca="1">IF(History!BP$2="","",History!BP36*$C$47)</f>
        <v>774.55</v>
      </c>
      <c r="BM47" s="11">
        <f ca="1">IF(History!BQ$2="","",History!BQ36*$C$47)</f>
        <v>774.2</v>
      </c>
      <c r="BN47" s="11">
        <f ca="1">IF(History!BR$2="","",History!BR36*$C$47)</f>
        <v>783.3</v>
      </c>
      <c r="BO47" s="11">
        <f ca="1">IF(History!BS$2="","",History!BS36*$C$47)</f>
        <v>774.55</v>
      </c>
      <c r="BP47" s="11">
        <f ca="1">IF(History!BT$2="","",History!BT36*$C$47)</f>
        <v>781.2</v>
      </c>
      <c r="BQ47" s="11">
        <f ca="1">IF(History!BU$2="","",History!BU36*$C$47)</f>
        <v>816.55</v>
      </c>
      <c r="BR47" s="11">
        <f ca="1">IF(History!BV$2="","",History!BV36*$C$47)</f>
        <v>817.25</v>
      </c>
      <c r="BS47" s="11">
        <f ca="1">IF(History!BW$2="","",History!BW36*$C$47)</f>
        <v>816.2</v>
      </c>
      <c r="BT47" s="11">
        <f ca="1">IF(History!BX$2="","",History!BX36*$C$47)</f>
        <v>841.05000000000007</v>
      </c>
      <c r="BU47" s="11">
        <f ca="1">IF(History!BY$2="","",History!BY36*$C$47)</f>
        <v>832.30000000000007</v>
      </c>
      <c r="BV47" s="11">
        <f ca="1">IF(History!BZ$2="","",History!BZ36*$C$47)</f>
        <v>833.34999999999991</v>
      </c>
      <c r="BW47" s="11">
        <f ca="1">IF(History!CA$2="","",History!CA36*$C$47)</f>
        <v>802.90000000000009</v>
      </c>
      <c r="BX47" s="11">
        <f ca="1">IF(History!CB$2="","",History!CB36*$C$47)</f>
        <v>816.2</v>
      </c>
      <c r="BY47" s="11">
        <f ca="1">IF(History!CC$2="","",History!CC36*$C$47)</f>
        <v>792.75</v>
      </c>
      <c r="BZ47" s="11">
        <f ca="1">IF(History!CD$2="","",History!CD36*$C$47)</f>
        <v>791</v>
      </c>
      <c r="CA47" s="11">
        <f ca="1">IF(History!CE$2="","",History!CE36*$C$47)</f>
        <v>817.25</v>
      </c>
      <c r="CB47" s="11">
        <f ca="1">IF(History!CF$2="","",History!CF36*$C$47)</f>
        <v>786.44999999999993</v>
      </c>
      <c r="CC47" s="11">
        <f ca="1">IF(History!CG$2="","",History!CG36*$C$47)</f>
        <v>811.65000000000009</v>
      </c>
      <c r="CD47" s="11">
        <f ca="1">IF(History!CH$2="","",History!CH36*$C$47)</f>
        <v>814.44999999999993</v>
      </c>
      <c r="CE47" s="11">
        <f ca="1">IF(History!CI$2="","",History!CI36*$C$47)</f>
        <v>823.55000000000007</v>
      </c>
      <c r="CF47" s="11" t="str">
        <f ca="1">IF(History!CJ$2="","",History!CJ36*$C$47)</f>
        <v/>
      </c>
      <c r="CG47" s="11" t="str">
        <f ca="1">IF(History!CK$2="","",History!CK36*$C$47)</f>
        <v/>
      </c>
      <c r="CH47" s="11" t="str">
        <f ca="1">IF(History!CL$2="","",History!CL36*$C$47)</f>
        <v/>
      </c>
      <c r="CI47" s="11" t="str">
        <f ca="1">IF(History!CM$2="","",History!CM36*$C$47)</f>
        <v/>
      </c>
      <c r="CJ47" s="11" t="str">
        <f ca="1">IF(History!CN$2="","",History!CN36*$C$47)</f>
        <v/>
      </c>
      <c r="CK47" s="11" t="str">
        <f ca="1">IF(History!CO$2="","",History!CO36*$C$47)</f>
        <v/>
      </c>
      <c r="CL47" s="11" t="str">
        <f ca="1">IF(History!CP$2="","",History!CP36*$C$47)</f>
        <v/>
      </c>
      <c r="CM47" s="11" t="str">
        <f ca="1">IF(History!CQ$2="","",History!CQ36*$C$47)</f>
        <v/>
      </c>
      <c r="CN47" s="11" t="str">
        <f ca="1">IF(History!CR$2="","",History!CR36*$C$47)</f>
        <v/>
      </c>
      <c r="CO47" s="11" t="str">
        <f ca="1">IF(History!CS$2="","",History!CS36*$C$47)</f>
        <v/>
      </c>
      <c r="CP47" s="11" t="str">
        <f ca="1">IF(History!CT$2="","",History!CT36*$C$47)</f>
        <v/>
      </c>
      <c r="CQ47" s="11" t="str">
        <f ca="1">IF(History!CU$2="","",History!CU36*$C$47)</f>
        <v/>
      </c>
      <c r="CR47" s="11" t="str">
        <f ca="1">IF(History!CV$2="","",History!CV36*$C$47)</f>
        <v/>
      </c>
      <c r="CS47" s="11" t="str">
        <f ca="1">IF(History!CW$2="","",History!CW36*$C$47)</f>
        <v/>
      </c>
      <c r="CT47" s="11" t="str">
        <f ca="1">IF(History!CX$2="","",History!CX36*$C$47)</f>
        <v/>
      </c>
      <c r="CU47" s="11" t="str">
        <f ca="1">IF(History!CY$2="","",History!CY36*$C$47)</f>
        <v/>
      </c>
      <c r="CV47" s="11" t="str">
        <f ca="1">IF(History!CZ$2="","",History!CZ36*$C$47)</f>
        <v/>
      </c>
      <c r="CW47" s="11" t="str">
        <f ca="1">IF(History!DA$2="","",History!DA36*$C$47)</f>
        <v/>
      </c>
      <c r="CX47" s="11" t="str">
        <f ca="1">IF(History!DB$2="","",History!DB36*$C$47)</f>
        <v/>
      </c>
      <c r="CY47" s="11" t="str">
        <f ca="1">IF(History!DC$2="","",History!DC36*$C$47)</f>
        <v/>
      </c>
      <c r="CZ47" s="11" t="str">
        <f ca="1">IF(History!DD$2="","",History!DD36*$C$47)</f>
        <v/>
      </c>
      <c r="DA47" s="11" t="str">
        <f ca="1">IF(History!DE$2="","",History!DE36*$C$47)</f>
        <v/>
      </c>
      <c r="DB47" s="11" t="str">
        <f ca="1">IF(History!DF$2="","",History!DF36*$C$47)</f>
        <v/>
      </c>
      <c r="DC47" s="11" t="str">
        <f ca="1">IF(History!DG$2="","",History!DG36*$C$47)</f>
        <v/>
      </c>
      <c r="DD47" s="11" t="str">
        <f ca="1">IF(History!DH$2="","",History!DH36*$C$47)</f>
        <v/>
      </c>
      <c r="DE47" s="11" t="str">
        <f ca="1">IF(History!DI$2="","",History!DI36*$C$47)</f>
        <v/>
      </c>
      <c r="DF47" s="11" t="str">
        <f ca="1">IF(History!DJ$2="","",History!DJ36*$C$47)</f>
        <v/>
      </c>
      <c r="DG47" s="11" t="str">
        <f ca="1">IF(History!DK$2="","",History!DK36*$C$47)</f>
        <v/>
      </c>
      <c r="DH47" s="11" t="str">
        <f ca="1">IF(History!DL$2="","",History!DL36*$C$47)</f>
        <v/>
      </c>
      <c r="DI47" s="11" t="str">
        <f ca="1">IF(History!DM$2="","",History!DM36*$C$47)</f>
        <v/>
      </c>
      <c r="DJ47" s="11" t="str">
        <f ca="1">IF(History!DN$2="","",History!DN36*$C$47)</f>
        <v/>
      </c>
      <c r="DK47" s="11" t="str">
        <f ca="1">IF(History!DO$2="","",History!DO36*$C$47)</f>
        <v/>
      </c>
      <c r="DL47" s="11" t="str">
        <f ca="1">IF(History!DP$2="","",History!DP36*$C$47)</f>
        <v/>
      </c>
      <c r="DM47" s="11" t="str">
        <f ca="1">IF(History!DQ$2="","",History!DQ36*$C$47)</f>
        <v/>
      </c>
      <c r="DN47" s="11" t="str">
        <f ca="1">IF(History!DR$2="","",History!DR36*$C$47)</f>
        <v/>
      </c>
      <c r="DO47" s="11" t="str">
        <f ca="1">IF(History!DS$2="","",History!DS36*$C$47)</f>
        <v/>
      </c>
      <c r="DP47" s="11" t="str">
        <f ca="1">IF(History!DT$2="","",History!DT36*$C$47)</f>
        <v/>
      </c>
      <c r="DQ47" s="11" t="str">
        <f ca="1">IF(History!DU$2="","",History!DU36*$C$47)</f>
        <v/>
      </c>
      <c r="DR47" s="11" t="str">
        <f ca="1">IF(History!DV$2="","",History!DV36*$C$47)</f>
        <v/>
      </c>
      <c r="DS47" s="11" t="str">
        <f ca="1">IF(History!DW$2="","",History!DW36*$C$47)</f>
        <v/>
      </c>
      <c r="DT47" s="11" t="str">
        <f ca="1">IF(History!DX$2="","",History!DX36*$C$47)</f>
        <v/>
      </c>
      <c r="DU47" s="11" t="str">
        <f ca="1">IF(History!DY$2="","",History!DY36*$C$47)</f>
        <v/>
      </c>
      <c r="DV47" s="11" t="str">
        <f ca="1">IF(History!DZ$2="","",History!DZ36*$C$47)</f>
        <v/>
      </c>
      <c r="DW47" s="11" t="str">
        <f ca="1">IF(History!EA$2="","",History!EA36*$C$47)</f>
        <v/>
      </c>
      <c r="DX47" s="11" t="str">
        <f ca="1">IF(History!EB$2="","",History!EB36*$C$47)</f>
        <v/>
      </c>
      <c r="DY47" s="11" t="str">
        <f ca="1">IF(History!EC$2="","",History!EC36*$C$47)</f>
        <v/>
      </c>
      <c r="DZ47" s="11" t="str">
        <f ca="1">IF(History!ED$2="","",History!ED36*$C$47)</f>
        <v/>
      </c>
      <c r="EA47" s="11" t="str">
        <f ca="1">IF(History!EE$2="","",History!EE36*$C$47)</f>
        <v/>
      </c>
      <c r="EB47" s="11" t="str">
        <f ca="1">IF(History!EF$2="","",History!EF36*$C$47)</f>
        <v/>
      </c>
      <c r="EC47" s="11" t="str">
        <f ca="1">IF(History!EG$2="","",History!EG36*$C$47)</f>
        <v/>
      </c>
      <c r="ED47" s="11" t="str">
        <f ca="1">IF(History!EH$2="","",History!EH36*$C$47)</f>
        <v/>
      </c>
      <c r="EE47" s="11" t="str">
        <f ca="1">IF(History!EI$2="","",History!EI36*$C$47)</f>
        <v/>
      </c>
      <c r="EF47" s="11" t="str">
        <f ca="1">IF(History!EJ$2="","",History!EJ36*$C$47)</f>
        <v/>
      </c>
      <c r="EG47" s="11" t="str">
        <f ca="1">IF(History!EK$2="","",History!EK36*$C$47)</f>
        <v/>
      </c>
      <c r="EH47" s="11" t="str">
        <f ca="1">IF(History!EL$2="","",History!EL36*$C$47)</f>
        <v/>
      </c>
      <c r="EI47" s="11" t="str">
        <f ca="1">IF(History!EM$2="","",History!EM36*$C$47)</f>
        <v/>
      </c>
      <c r="EJ47" s="11" t="str">
        <f ca="1">IF(History!EN$2="","",History!EN36*$C$47)</f>
        <v/>
      </c>
      <c r="EK47" s="11" t="str">
        <f ca="1">IF(History!EO$2="","",History!EO36*$C$47)</f>
        <v/>
      </c>
      <c r="EL47" s="11" t="str">
        <f ca="1">IF(History!EP$2="","",History!EP36*$C$47)</f>
        <v/>
      </c>
      <c r="EM47" s="11" t="str">
        <f ca="1">IF(History!EQ$2="","",History!EQ36*$C$47)</f>
        <v/>
      </c>
      <c r="EN47" s="11" t="str">
        <f ca="1">IF(History!ER$2="","",History!ER36*$C$47)</f>
        <v/>
      </c>
      <c r="EO47" s="11" t="str">
        <f ca="1">IF(History!ES$2="","",History!ES36*$C$47)</f>
        <v/>
      </c>
      <c r="EP47" s="11" t="str">
        <f ca="1">IF(History!ET$2="","",History!ET36*$C$47)</f>
        <v/>
      </c>
      <c r="EQ47" s="11" t="str">
        <f ca="1">IF(History!EU$2="","",History!EU36*$C$47)</f>
        <v/>
      </c>
      <c r="ER47" s="11" t="str">
        <f ca="1">IF(History!EV$2="","",History!EV36*$C$47)</f>
        <v/>
      </c>
      <c r="ES47" s="11" t="str">
        <f ca="1">IF(History!EW$2="","",History!EW36*$C$47)</f>
        <v/>
      </c>
      <c r="ET47" s="11" t="str">
        <f ca="1">IF(History!EX$2="","",History!EX36*$C$47)</f>
        <v/>
      </c>
      <c r="EU47" s="11" t="str">
        <f ca="1">IF(History!EY$2="","",History!EY36*$C$47)</f>
        <v/>
      </c>
      <c r="EV47" s="11" t="str">
        <f ca="1">IF(History!EZ$2="","",History!EZ36*$C$47)</f>
        <v/>
      </c>
      <c r="EW47" s="11" t="str">
        <f ca="1">IF(History!FA$2="","",History!FA36*$C$47)</f>
        <v/>
      </c>
      <c r="EX47" s="11" t="str">
        <f ca="1">IF(History!FB$2="","",History!FB36*$C$47)</f>
        <v/>
      </c>
      <c r="EY47" s="11" t="str">
        <f ca="1">IF(History!FC$2="","",History!FC36*$C$47)</f>
        <v/>
      </c>
      <c r="EZ47" s="11" t="str">
        <f ca="1">IF(History!FD$2="","",History!FD36*$C$47)</f>
        <v/>
      </c>
      <c r="FA47" s="11" t="str">
        <f ca="1">IF(History!FE$2="","",History!FE36*$C$47)</f>
        <v/>
      </c>
      <c r="FB47" s="11" t="str">
        <f ca="1">IF(History!FF$2="","",History!FF36*$C$47)</f>
        <v/>
      </c>
      <c r="FC47" s="11" t="str">
        <f ca="1">IF(History!FG$2="","",History!FG36*$C$47)</f>
        <v/>
      </c>
      <c r="FD47" s="11" t="str">
        <f ca="1">IF(History!FH$2="","",History!FH36*$C$47)</f>
        <v/>
      </c>
      <c r="FE47" s="11" t="str">
        <f ca="1">IF(History!FI$2="","",History!FI36*$C$47)</f>
        <v/>
      </c>
      <c r="FF47" s="11" t="str">
        <f ca="1">IF(History!FJ$2="","",History!FJ36*$C$47)</f>
        <v/>
      </c>
      <c r="FG47" s="11" t="str">
        <f ca="1">IF(History!FK$2="","",History!FK36*$C$47)</f>
        <v/>
      </c>
      <c r="FH47" s="11" t="str">
        <f ca="1">IF(History!FL$2="","",History!FL36*$C$47)</f>
        <v/>
      </c>
      <c r="FI47" s="11" t="str">
        <f ca="1">IF(History!FM$2="","",History!FM36*$C$47)</f>
        <v/>
      </c>
      <c r="FJ47" s="11" t="str">
        <f ca="1">IF(History!FN$2="","",History!FN36*$C$47)</f>
        <v/>
      </c>
      <c r="FK47" s="11" t="str">
        <f ca="1">IF(History!FO$2="","",History!FO36*$C$47)</f>
        <v/>
      </c>
      <c r="FL47" s="11" t="str">
        <f ca="1">IF(History!FP$2="","",History!FP36*$C$47)</f>
        <v/>
      </c>
      <c r="FM47" s="11" t="str">
        <f ca="1">IF(History!FQ$2="","",History!FQ36*$C$47)</f>
        <v/>
      </c>
      <c r="FN47" s="11" t="str">
        <f ca="1">IF(History!FR$2="","",History!FR36*$C$47)</f>
        <v/>
      </c>
      <c r="FO47" s="11" t="str">
        <f ca="1">IF(History!FS$2="","",History!FS36*$C$47)</f>
        <v/>
      </c>
      <c r="FP47" s="11" t="str">
        <f ca="1">IF(History!FT$2="","",History!FT36*$C$47)</f>
        <v/>
      </c>
      <c r="FQ47" s="11" t="str">
        <f ca="1">IF(History!FU$2="","",History!FU36*$C$47)</f>
        <v/>
      </c>
      <c r="FR47" s="11" t="str">
        <f ca="1">IF(History!FV$2="","",History!FV36*$C$47)</f>
        <v/>
      </c>
      <c r="FS47" s="11" t="str">
        <f ca="1">IF(History!FW$2="","",History!FW36*$C$47)</f>
        <v/>
      </c>
      <c r="FT47" s="11" t="str">
        <f ca="1">IF(History!FX$2="","",History!FX36*$C$47)</f>
        <v/>
      </c>
      <c r="FU47" s="11" t="str">
        <f ca="1">IF(History!FY$2="","",History!FY36*$C$47)</f>
        <v/>
      </c>
      <c r="FV47" s="11" t="str">
        <f ca="1">IF(History!FZ$2="","",History!FZ36*$C$47)</f>
        <v/>
      </c>
      <c r="FW47" s="11" t="str">
        <f ca="1">IF(History!GA$2="","",History!GA36*$C$47)</f>
        <v/>
      </c>
      <c r="FX47" s="11" t="str">
        <f ca="1">IF(History!GB$2="","",History!GB36*$C$47)</f>
        <v/>
      </c>
      <c r="FY47" s="11" t="str">
        <f ca="1">IF(History!GC$2="","",History!GC36*$C$47)</f>
        <v/>
      </c>
      <c r="FZ47" s="11" t="str">
        <f ca="1">IF(History!GD$2="","",History!GD36*$C$47)</f>
        <v/>
      </c>
      <c r="GA47" s="11" t="str">
        <f ca="1">IF(History!GE$2="","",History!GE36*$C$47)</f>
        <v/>
      </c>
      <c r="GB47" s="11" t="str">
        <f ca="1">IF(History!GF$2="","",History!GF36*$C$47)</f>
        <v/>
      </c>
      <c r="GC47" s="11" t="str">
        <f ca="1">IF(History!GG$2="","",History!GG36*$C$47)</f>
        <v/>
      </c>
      <c r="GD47" s="11" t="str">
        <f ca="1">IF(History!GH$2="","",History!GH36*$C$47)</f>
        <v/>
      </c>
      <c r="GE47" s="11" t="str">
        <f ca="1">IF(History!GI$2="","",History!GI36*$C$47)</f>
        <v/>
      </c>
      <c r="GF47" s="11" t="str">
        <f ca="1">IF(History!GJ$2="","",History!GJ36*$C$47)</f>
        <v/>
      </c>
      <c r="GG47" s="11" t="str">
        <f ca="1">IF(History!GK$2="","",History!GK36*$C$47)</f>
        <v/>
      </c>
      <c r="GH47" s="11" t="str">
        <f ca="1">IF(History!GL$2="","",History!GL36*$C$47)</f>
        <v/>
      </c>
      <c r="GI47" s="11" t="str">
        <f ca="1">IF(History!GM$2="","",History!GM36*$C$47)</f>
        <v/>
      </c>
      <c r="GJ47" s="11" t="str">
        <f ca="1">IF(History!GN$2="","",History!GN36*$C$47)</f>
        <v/>
      </c>
      <c r="GK47" s="11" t="str">
        <f ca="1">IF(History!GO$2="","",History!GO36*$C$47)</f>
        <v/>
      </c>
      <c r="GL47" s="11" t="str">
        <f ca="1">IF(History!GP$2="","",History!GP36*$C$47)</f>
        <v/>
      </c>
      <c r="GM47" s="11" t="str">
        <f ca="1">IF(History!GQ$2="","",History!GQ36*$C$47)</f>
        <v/>
      </c>
      <c r="GN47" s="11" t="str">
        <f ca="1">IF(History!GR$2="","",History!GR36*$C$47)</f>
        <v/>
      </c>
      <c r="GO47" s="11" t="str">
        <f ca="1">IF(History!GS$2="","",History!GS36*$C$47)</f>
        <v/>
      </c>
      <c r="GP47" s="11" t="str">
        <f ca="1">IF(History!GT$2="","",History!GT36*$C$47)</f>
        <v/>
      </c>
      <c r="GQ47" s="11" t="str">
        <f ca="1">IF(History!GU$2="","",History!GU36*$C$47)</f>
        <v/>
      </c>
      <c r="GR47" s="11" t="str">
        <f ca="1">IF(History!GV$2="","",History!GV36*$C$47)</f>
        <v/>
      </c>
      <c r="GS47" s="11" t="str">
        <f ca="1">IF(History!GW$2="","",History!GW36*$C$47)</f>
        <v/>
      </c>
      <c r="GT47" s="11" t="str">
        <f ca="1">IF(History!GX$2="","",History!GX36*$C$47)</f>
        <v/>
      </c>
      <c r="GU47" s="11" t="str">
        <f ca="1">IF(History!GY$2="","",History!GY36*$C$47)</f>
        <v/>
      </c>
      <c r="GV47" s="11" t="str">
        <f ca="1">IF(History!GZ$2="","",History!GZ36*$C$47)</f>
        <v/>
      </c>
      <c r="GW47" s="11" t="str">
        <f ca="1">IF(History!HA$2="","",History!HA36*$C$47)</f>
        <v/>
      </c>
      <c r="GX47" s="11" t="str">
        <f ca="1">IF(History!HB$2="","",History!HB36*$C$47)</f>
        <v/>
      </c>
      <c r="GY47" s="11" t="str">
        <f ca="1">IF(History!HC$2="","",History!HC36*$C$47)</f>
        <v/>
      </c>
      <c r="GZ47" s="11" t="str">
        <f ca="1">IF(History!HD$2="","",History!HD36*$C$47)</f>
        <v/>
      </c>
      <c r="HA47" s="11" t="str">
        <f ca="1">IF(History!HE$2="","",History!HE36*$C$47)</f>
        <v/>
      </c>
      <c r="HB47" s="11" t="str">
        <f ca="1">IF(History!HF$2="","",History!HF36*$C$47)</f>
        <v/>
      </c>
      <c r="HC47" s="11" t="str">
        <f ca="1">IF(History!HG$2="","",History!HG36*$C$47)</f>
        <v/>
      </c>
      <c r="HD47" s="11" t="str">
        <f ca="1">IF(History!HH$2="","",History!HH36*$C$47)</f>
        <v/>
      </c>
      <c r="HE47" s="11" t="str">
        <f ca="1">IF(History!HI$2="","",History!HI36*$C$47)</f>
        <v/>
      </c>
      <c r="HF47" s="11" t="str">
        <f ca="1">IF(History!HJ$2="","",History!HJ36*$C$47)</f>
        <v/>
      </c>
      <c r="HG47" s="11" t="str">
        <f ca="1">IF(History!HK$2="","",History!HK36*$C$47)</f>
        <v/>
      </c>
      <c r="HH47" s="11" t="str">
        <f ca="1">IF(History!HL$2="","",History!HL36*$C$47)</f>
        <v/>
      </c>
      <c r="HI47" s="11" t="str">
        <f ca="1">IF(History!HM$2="","",History!HM36*$C$47)</f>
        <v/>
      </c>
      <c r="HJ47" s="11" t="str">
        <f ca="1">IF(History!HN$2="","",History!HN36*$C$47)</f>
        <v/>
      </c>
      <c r="HK47" s="11" t="str">
        <f ca="1">IF(History!HO$2="","",History!HO36*$C$47)</f>
        <v/>
      </c>
      <c r="HL47" s="11" t="str">
        <f ca="1">IF(History!HP$2="","",History!HP36*$C$47)</f>
        <v/>
      </c>
      <c r="HM47" s="11" t="str">
        <f ca="1">IF(History!HQ$2="","",History!HQ36*$C$47)</f>
        <v/>
      </c>
      <c r="HN47" s="11" t="str">
        <f ca="1">IF(History!HR$2="","",History!HR36*$C$47)</f>
        <v/>
      </c>
      <c r="HO47" s="11" t="str">
        <f ca="1">IF(History!HS$2="","",History!HS36*$C$47)</f>
        <v/>
      </c>
      <c r="HP47" s="11" t="str">
        <f ca="1">IF(History!HT$2="","",History!HT36*$C$47)</f>
        <v/>
      </c>
      <c r="HQ47" s="11" t="str">
        <f ca="1">IF(History!HU$2="","",History!HU36*$C$47)</f>
        <v/>
      </c>
      <c r="HR47" s="11" t="str">
        <f ca="1">IF(History!HV$2="","",History!HV36*$C$47)</f>
        <v/>
      </c>
      <c r="HS47" s="11" t="str">
        <f ca="1">IF(History!HW$2="","",History!HW36*$C$47)</f>
        <v/>
      </c>
      <c r="HT47" s="11" t="str">
        <f ca="1">IF(History!HX$2="","",History!HX36*$C$47)</f>
        <v/>
      </c>
      <c r="HU47" s="11" t="str">
        <f ca="1">IF(History!HY$2="","",History!HY36*$C$47)</f>
        <v/>
      </c>
      <c r="HV47" s="11" t="str">
        <f ca="1">IF(History!HZ$2="","",History!HZ36*$C$47)</f>
        <v/>
      </c>
      <c r="HW47" s="11" t="str">
        <f ca="1">IF(History!IA$2="","",History!IA36*$C$47)</f>
        <v/>
      </c>
      <c r="HX47" s="11" t="str">
        <f ca="1">IF(History!IB$2="","",History!IB36*$C$47)</f>
        <v/>
      </c>
      <c r="HY47" s="11" t="str">
        <f ca="1">IF(History!IC$2="","",History!IC36*$C$47)</f>
        <v/>
      </c>
      <c r="HZ47" s="11" t="str">
        <f ca="1">IF(History!ID$2="","",History!ID36*$C$47)</f>
        <v/>
      </c>
      <c r="IA47" s="11" t="str">
        <f ca="1">IF(History!IE$2="","",History!IE36*$C$47)</f>
        <v/>
      </c>
      <c r="IB47" s="11" t="str">
        <f ca="1">IF(History!IF$2="","",History!IF36*$C$47)</f>
        <v/>
      </c>
      <c r="IC47" s="11" t="str">
        <f ca="1">IF(History!IG$2="","",History!IG36*$C$47)</f>
        <v/>
      </c>
      <c r="ID47" s="11" t="str">
        <f ca="1">IF(History!IH$2="","",History!IH36*$C$47)</f>
        <v/>
      </c>
      <c r="IE47" s="11" t="str">
        <f ca="1">IF(History!II$2="","",History!II36*$C$47)</f>
        <v/>
      </c>
      <c r="IF47" s="11" t="str">
        <f ca="1">IF(History!IJ$2="","",History!IJ36*$C$47)</f>
        <v/>
      </c>
      <c r="IG47" s="11" t="str">
        <f ca="1">IF(History!IK$2="","",History!IK36*$C$47)</f>
        <v/>
      </c>
      <c r="IH47" s="11" t="str">
        <f ca="1">IF(History!IL$2="","",History!IL36*$C$47)</f>
        <v/>
      </c>
      <c r="II47" s="11" t="str">
        <f ca="1">IF(History!IM$2="","",History!IM36*$C$47)</f>
        <v/>
      </c>
      <c r="IJ47" s="11" t="str">
        <f ca="1">IF(History!IN$2="","",History!IN36*$C$47)</f>
        <v/>
      </c>
      <c r="IK47" s="11" t="str">
        <f ca="1">IF(History!IO$2="","",History!IO36*$C$47)</f>
        <v/>
      </c>
      <c r="IL47" s="11" t="str">
        <f ca="1">IF(History!IP$2="","",History!IP36*$C$47)</f>
        <v/>
      </c>
      <c r="IM47" s="11" t="str">
        <f ca="1">IF(History!IQ$2="","",History!IQ36*$C$47)</f>
        <v/>
      </c>
      <c r="IN47" s="11" t="str">
        <f ca="1">IF(History!IR$2="","",History!IR36*$C$47)</f>
        <v/>
      </c>
      <c r="IO47" s="11" t="str">
        <f ca="1">IF(History!IS$2="","",History!IS36*$C$47)</f>
        <v/>
      </c>
      <c r="IP47" s="11" t="str">
        <f ca="1">IF(History!IT$2="","",History!IT36*$C$47)</f>
        <v/>
      </c>
      <c r="IQ47" s="11" t="str">
        <f ca="1">IF(History!IU$2="","",History!IU36*$C$47)</f>
        <v/>
      </c>
      <c r="IR47" s="11" t="str">
        <f ca="1">IF(History!IV$2="","",History!IV36*$C$47)</f>
        <v/>
      </c>
      <c r="IS47" s="11" t="str">
        <f ca="1">IF(History!IW$2="","",History!IW36*$C$47)</f>
        <v/>
      </c>
      <c r="IT47" s="11" t="str">
        <f ca="1">IF(History!IX$2="","",History!IX36*$C$47)</f>
        <v/>
      </c>
      <c r="IU47" s="11" t="str">
        <f ca="1">IF(History!IY$2="","",History!IY36*$C$47)</f>
        <v/>
      </c>
      <c r="IV47" s="11" t="str">
        <f ca="1">IF(History!IZ$2="","",History!IZ36*$C$47)</f>
        <v/>
      </c>
      <c r="IW47" s="11" t="str">
        <f ca="1">IF(History!JA$2="","",History!JA36*$C$47)</f>
        <v/>
      </c>
      <c r="IX47" s="11" t="str">
        <f ca="1">IF(History!JB$2="","",History!JB36*$C$47)</f>
        <v/>
      </c>
      <c r="IY47" s="11" t="str">
        <f ca="1">IF(History!JC$2="","",History!JC36*$C$47)</f>
        <v/>
      </c>
      <c r="IZ47" s="11" t="str">
        <f ca="1">IF(History!JD$2="","",History!JD36*$C$47)</f>
        <v/>
      </c>
      <c r="JA47" s="11" t="str">
        <f ca="1">IF(History!JE$2="","",History!JE36*$C$47)</f>
        <v/>
      </c>
      <c r="JB47" s="11" t="str">
        <f ca="1">IF(History!JF$2="","",History!JF36*$C$47)</f>
        <v/>
      </c>
      <c r="JC47" s="11" t="str">
        <f ca="1">IF(History!JG$2="","",History!JG36*$C$47)</f>
        <v/>
      </c>
      <c r="JD47" s="11" t="str">
        <f ca="1">IF(History!JH$2="","",History!JH36*$C$47)</f>
        <v/>
      </c>
      <c r="JE47" s="11" t="str">
        <f ca="1">IF(History!JI$2="","",History!JI36*$C$47)</f>
        <v/>
      </c>
      <c r="JF47" s="11" t="str">
        <f ca="1">IF(History!JJ$2="","",History!JJ36*$C$47)</f>
        <v/>
      </c>
      <c r="JG47" s="11" t="str">
        <f ca="1">IF(History!JK$2="","",History!JK36*$C$47)</f>
        <v/>
      </c>
      <c r="JH47" s="11" t="str">
        <f ca="1">IF(History!JL$2="","",History!JL36*$C$47)</f>
        <v/>
      </c>
      <c r="JI47" s="11" t="str">
        <f ca="1">IF(History!JM$2="","",History!JM36*$C$47)</f>
        <v/>
      </c>
      <c r="JJ47" s="11" t="str">
        <f ca="1">IF(History!JN$2="","",History!JN36*$C$47)</f>
        <v/>
      </c>
      <c r="JK47" s="11" t="str">
        <f ca="1">IF(History!JO$2="","",History!JO36*$C$47)</f>
        <v/>
      </c>
      <c r="JL47" s="11" t="str">
        <f ca="1">IF(History!JP$2="","",History!JP36*$C$47)</f>
        <v/>
      </c>
      <c r="JM47" s="11" t="str">
        <f ca="1">IF(History!JQ$2="","",History!JQ36*$C$47)</f>
        <v/>
      </c>
      <c r="JN47" s="11" t="str">
        <f ca="1">IF(History!JR$2="","",History!JR36*$C$47)</f>
        <v/>
      </c>
      <c r="JO47" s="11" t="str">
        <f ca="1">IF(History!JS$2="","",History!JS36*$C$47)</f>
        <v/>
      </c>
      <c r="JP47" s="11" t="str">
        <f ca="1">IF(History!JT$2="","",History!JT36*$C$47)</f>
        <v/>
      </c>
      <c r="JQ47" s="11" t="str">
        <f ca="1">IF(History!JU$2="","",History!JU36*$C$47)</f>
        <v/>
      </c>
      <c r="JR47" s="11" t="str">
        <f ca="1">IF(History!JV$2="","",History!JV36*$C$47)</f>
        <v/>
      </c>
      <c r="JS47" s="11" t="str">
        <f ca="1">IF(History!JW$2="","",History!JW36*$C$47)</f>
        <v/>
      </c>
      <c r="JT47" s="11" t="str">
        <f ca="1">IF(History!JX$2="","",History!JX36*$C$47)</f>
        <v/>
      </c>
      <c r="JU47" s="11" t="str">
        <f ca="1">IF(History!JY$2="","",History!JY36*$C$47)</f>
        <v/>
      </c>
      <c r="JV47" s="11" t="str">
        <f ca="1">IF(History!JZ$2="","",History!JZ36*$C$47)</f>
        <v/>
      </c>
      <c r="JW47" s="11" t="str">
        <f ca="1">IF(History!KA$2="","",History!KA36*$C$47)</f>
        <v/>
      </c>
      <c r="JX47" s="11" t="str">
        <f ca="1">IF(History!KB$2="","",History!KB36*$C$47)</f>
        <v/>
      </c>
      <c r="JY47" s="11" t="str">
        <f ca="1">IF(History!KC$2="","",History!KC36*$C$47)</f>
        <v/>
      </c>
      <c r="JZ47" s="11" t="str">
        <f ca="1">IF(History!KD$2="","",History!KD36*$C$47)</f>
        <v/>
      </c>
      <c r="KA47" s="11" t="str">
        <f ca="1">IF(History!KE$2="","",History!KE36*$C$47)</f>
        <v/>
      </c>
      <c r="KB47" s="11" t="str">
        <f ca="1">IF(History!KF$2="","",History!KF36*$C$47)</f>
        <v/>
      </c>
    </row>
    <row r="48" spans="1:288" ht="15.75" customHeight="1">
      <c r="A48" s="22" t="s">
        <v>30</v>
      </c>
      <c r="B48" s="6" t="s">
        <v>80</v>
      </c>
      <c r="C48" s="26">
        <v>16</v>
      </c>
      <c r="D48" s="11">
        <f ca="1">IF(History!H$2="","",History!H37*$C$48)</f>
        <v>824</v>
      </c>
      <c r="E48" s="11">
        <f ca="1">IF(History!I$2="","",History!I37*$C$48)</f>
        <v>822.56</v>
      </c>
      <c r="F48" s="11">
        <f ca="1">IF(History!J$2="","",History!J37*$C$48)</f>
        <v>824.16</v>
      </c>
      <c r="G48" s="11">
        <f ca="1">IF(History!K$2="","",History!K37*$C$48)</f>
        <v>811.68</v>
      </c>
      <c r="H48" s="11">
        <f ca="1">IF(History!L$2="","",History!L37*$C$48)</f>
        <v>830.88</v>
      </c>
      <c r="I48" s="11">
        <f ca="1">IF(History!M$2="","",History!M37*$C$48)</f>
        <v>834.72</v>
      </c>
      <c r="J48" s="11">
        <f ca="1">IF(History!N$2="","",History!N37*$C$48)</f>
        <v>833.28</v>
      </c>
      <c r="K48" s="11">
        <f ca="1">IF(History!O$2="","",History!O37*$C$48)</f>
        <v>833.44</v>
      </c>
      <c r="L48" s="11">
        <f ca="1">IF(History!P$2="","",History!P37*$C$48)</f>
        <v>819.84</v>
      </c>
      <c r="M48" s="11">
        <f ca="1">IF(History!Q$2="","",History!Q37*$C$48)</f>
        <v>813.44</v>
      </c>
      <c r="N48" s="11">
        <f ca="1">IF(History!R$2="","",History!R37*$C$48)</f>
        <v>822.4</v>
      </c>
      <c r="O48" s="11">
        <f ca="1">IF(History!S$2="","",History!S37*$C$48)</f>
        <v>821.12</v>
      </c>
      <c r="P48" s="11">
        <f ca="1">IF(History!T$2="","",History!T37*$C$48)</f>
        <v>845.76</v>
      </c>
      <c r="Q48" s="11">
        <f ca="1">IF(History!U$2="","",History!U37*$C$48)</f>
        <v>843.84</v>
      </c>
      <c r="R48" s="11">
        <f ca="1">IF(History!V$2="","",History!V37*$C$48)</f>
        <v>832</v>
      </c>
      <c r="S48" s="11">
        <f ca="1">IF(History!W$2="","",History!W37*$C$48)</f>
        <v>826.08</v>
      </c>
      <c r="T48" s="11">
        <f ca="1">IF(History!X$2="","",History!X37*$C$48)</f>
        <v>840.64</v>
      </c>
      <c r="U48" s="11">
        <f ca="1">IF(History!Y$2="","",History!Y37*$C$48)</f>
        <v>839.36</v>
      </c>
      <c r="V48" s="11">
        <f ca="1">IF(History!Z$2="","",History!Z37*$C$48)</f>
        <v>833.28</v>
      </c>
      <c r="W48" s="11">
        <f ca="1">IF(History!AA$2="","",History!AA37*$C$48)</f>
        <v>848.8</v>
      </c>
      <c r="X48" s="11">
        <f ca="1">IF(History!AB$2="","",History!AB37*$C$48)</f>
        <v>857.76</v>
      </c>
      <c r="Y48" s="11">
        <f ca="1">IF(History!AC$2="","",History!AC37*$C$48)</f>
        <v>858.4</v>
      </c>
      <c r="Z48" s="11">
        <f ca="1">IF(History!AD$2="","",History!AD37*$C$48)</f>
        <v>846.88</v>
      </c>
      <c r="AA48" s="11">
        <f ca="1">IF(History!AE$2="","",History!AE37*$C$48)</f>
        <v>843.84</v>
      </c>
      <c r="AB48" s="11">
        <f ca="1">IF(History!AF$2="","",History!AF37*$C$48)</f>
        <v>836</v>
      </c>
      <c r="AC48" s="11">
        <f ca="1">IF(History!AG$2="","",History!AG37*$C$48)</f>
        <v>848.32</v>
      </c>
      <c r="AD48" s="11">
        <f ca="1">IF(History!AH$2="","",History!AH37*$C$48)</f>
        <v>856.48</v>
      </c>
      <c r="AE48" s="11">
        <f ca="1">IF(History!AI$2="","",History!AI37*$C$48)</f>
        <v>845.92</v>
      </c>
      <c r="AF48" s="11">
        <f ca="1">IF(History!AJ$2="","",History!AJ37*$C$48)</f>
        <v>840</v>
      </c>
      <c r="AG48" s="11">
        <f ca="1">IF(History!AK$2="","",History!AK37*$C$48)</f>
        <v>833.28</v>
      </c>
      <c r="AH48" s="11">
        <f ca="1">IF(History!AL$2="","",History!AL37*$C$48)</f>
        <v>840.32</v>
      </c>
      <c r="AI48" s="11">
        <f ca="1">IF(History!AM$2="","",History!AM37*$C$48)</f>
        <v>819.68</v>
      </c>
      <c r="AJ48" s="11">
        <f ca="1">IF(History!AN$2="","",History!AN37*$C$48)</f>
        <v>848.8</v>
      </c>
      <c r="AK48" s="11">
        <f ca="1">IF(History!AO$2="","",History!AO37*$C$48)</f>
        <v>839.2</v>
      </c>
      <c r="AL48" s="11">
        <f ca="1">IF(History!AP$2="","",History!AP37*$C$48)</f>
        <v>816.96</v>
      </c>
      <c r="AM48" s="11">
        <f ca="1">IF(History!AQ$2="","",History!AQ37*$C$48)</f>
        <v>816.96</v>
      </c>
      <c r="AN48" s="11">
        <f ca="1">IF(History!AR$2="","",History!AR37*$C$48)</f>
        <v>802.88</v>
      </c>
      <c r="AO48" s="11">
        <f ca="1">IF(History!AS$2="","",History!AS37*$C$48)</f>
        <v>775.68</v>
      </c>
      <c r="AP48" s="11">
        <f ca="1">IF(History!AT$2="","",History!AT37*$C$48)</f>
        <v>777.44</v>
      </c>
      <c r="AQ48" s="11">
        <f ca="1">IF(History!AU$2="","",History!AU37*$C$48)</f>
        <v>803.2</v>
      </c>
      <c r="AR48" s="11">
        <f ca="1">IF(History!AV$2="","",History!AV37*$C$48)</f>
        <v>830.88</v>
      </c>
      <c r="AS48" s="11">
        <f ca="1">IF(History!AW$2="","",History!AW37*$C$48)</f>
        <v>822.4</v>
      </c>
      <c r="AT48" s="11">
        <f ca="1">IF(History!AX$2="","",History!AX37*$C$48)</f>
        <v>811.36</v>
      </c>
      <c r="AU48" s="11">
        <f ca="1">IF(History!AY$2="","",History!AY37*$C$48)</f>
        <v>805.28</v>
      </c>
      <c r="AV48" s="11">
        <f ca="1">IF(History!AZ$2="","",History!AZ37*$C$48)</f>
        <v>829.28</v>
      </c>
      <c r="AW48" s="11">
        <f ca="1">IF(History!BA$2="","",History!BA37*$C$48)</f>
        <v>830.4</v>
      </c>
      <c r="AX48" s="11">
        <f ca="1">IF(History!BB$2="","",History!BB37*$C$48)</f>
        <v>841.6</v>
      </c>
      <c r="AY48" s="11">
        <f ca="1">IF(History!BC$2="","",History!BC37*$C$48)</f>
        <v>833.44</v>
      </c>
      <c r="AZ48" s="11">
        <f ca="1">IF(History!BD$2="","",History!BD37*$C$48)</f>
        <v>815.2</v>
      </c>
      <c r="BA48" s="11">
        <f ca="1">IF(History!BE$2="","",History!BE37*$C$48)</f>
        <v>827.36</v>
      </c>
      <c r="BB48" s="11">
        <f ca="1">IF(History!BF$2="","",History!BF37*$C$48)</f>
        <v>825.44</v>
      </c>
      <c r="BC48" s="11">
        <f ca="1">IF(History!BG$2="","",History!BG37*$C$48)</f>
        <v>819.04</v>
      </c>
      <c r="BD48" s="11">
        <f ca="1">IF(History!BH$2="","",History!BH37*$C$48)</f>
        <v>824.48</v>
      </c>
      <c r="BE48" s="11">
        <f ca="1">IF(History!BI$2="","",History!BI37*$C$48)</f>
        <v>829.28</v>
      </c>
      <c r="BF48" s="11">
        <f ca="1">IF(History!BJ$2="","",History!BJ37*$C$48)</f>
        <v>822.72</v>
      </c>
      <c r="BG48" s="11">
        <f ca="1">IF(History!BK$2="","",History!BK37*$C$48)</f>
        <v>825.6</v>
      </c>
      <c r="BH48" s="11">
        <f ca="1">IF(History!BL$2="","",History!BL37*$C$48)</f>
        <v>821.44</v>
      </c>
      <c r="BI48" s="11">
        <f ca="1">IF(History!BM$2="","",History!BM37*$C$48)</f>
        <v>835.2</v>
      </c>
      <c r="BJ48" s="11">
        <f ca="1">IF(History!BN$2="","",History!BN37*$C$48)</f>
        <v>840.8</v>
      </c>
      <c r="BK48" s="11">
        <f ca="1">IF(History!BO$2="","",History!BO37*$C$48)</f>
        <v>846.4</v>
      </c>
      <c r="BL48" s="11">
        <f ca="1">IF(History!BP$2="","",History!BP37*$C$48)</f>
        <v>866.24</v>
      </c>
      <c r="BM48" s="11">
        <f ca="1">IF(History!BQ$2="","",History!BQ37*$C$48)</f>
        <v>888.32</v>
      </c>
      <c r="BN48" s="11">
        <f ca="1">IF(History!BR$2="","",History!BR37*$C$48)</f>
        <v>908</v>
      </c>
      <c r="BO48" s="11">
        <f ca="1">IF(History!BS$2="","",History!BS37*$C$48)</f>
        <v>919.36</v>
      </c>
      <c r="BP48" s="11">
        <f ca="1">IF(History!BT$2="","",History!BT37*$C$48)</f>
        <v>891.52</v>
      </c>
      <c r="BQ48" s="11">
        <f ca="1">IF(History!BU$2="","",History!BU37*$C$48)</f>
        <v>907.2</v>
      </c>
      <c r="BR48" s="11">
        <f ca="1">IF(History!BV$2="","",History!BV37*$C$48)</f>
        <v>892</v>
      </c>
      <c r="BS48" s="11">
        <f ca="1">IF(History!BW$2="","",History!BW37*$C$48)</f>
        <v>883.04</v>
      </c>
      <c r="BT48" s="11">
        <f ca="1">IF(History!BX$2="","",History!BX37*$C$48)</f>
        <v>883.2</v>
      </c>
      <c r="BU48" s="11">
        <f ca="1">IF(History!BY$2="","",History!BY37*$C$48)</f>
        <v>893.6</v>
      </c>
      <c r="BV48" s="11">
        <f ca="1">IF(History!BZ$2="","",History!BZ37*$C$48)</f>
        <v>883.68</v>
      </c>
      <c r="BW48" s="11">
        <f ca="1">IF(History!CA$2="","",History!CA37*$C$48)</f>
        <v>867.84</v>
      </c>
      <c r="BX48" s="11">
        <f ca="1">IF(History!CB$2="","",History!CB37*$C$48)</f>
        <v>872.64</v>
      </c>
      <c r="BY48" s="11">
        <f ca="1">IF(History!CC$2="","",History!CC37*$C$48)</f>
        <v>862.56</v>
      </c>
      <c r="BZ48" s="11">
        <f ca="1">IF(History!CD$2="","",History!CD37*$C$48)</f>
        <v>869.44</v>
      </c>
      <c r="CA48" s="11">
        <f ca="1">IF(History!CE$2="","",History!CE37*$C$48)</f>
        <v>870.56</v>
      </c>
      <c r="CB48" s="11">
        <f ca="1">IF(History!CF$2="","",History!CF37*$C$48)</f>
        <v>836</v>
      </c>
      <c r="CC48" s="11">
        <f ca="1">IF(History!CG$2="","",History!CG37*$C$48)</f>
        <v>848.96</v>
      </c>
      <c r="CD48" s="11">
        <f ca="1">IF(History!CH$2="","",History!CH37*$C$48)</f>
        <v>854.72</v>
      </c>
      <c r="CE48" s="11">
        <f ca="1">IF(History!CI$2="","",History!CI37*$C$48)</f>
        <v>839.84</v>
      </c>
      <c r="CF48" s="11" t="str">
        <f ca="1">IF(History!CJ$2="","",History!CJ37*$C$48)</f>
        <v/>
      </c>
      <c r="CG48" s="11" t="str">
        <f ca="1">IF(History!CK$2="","",History!CK37*$C$48)</f>
        <v/>
      </c>
      <c r="CH48" s="11" t="str">
        <f ca="1">IF(History!CL$2="","",History!CL37*$C$48)</f>
        <v/>
      </c>
      <c r="CI48" s="11" t="str">
        <f ca="1">IF(History!CM$2="","",History!CM37*$C$48)</f>
        <v/>
      </c>
      <c r="CJ48" s="11" t="str">
        <f ca="1">IF(History!CN$2="","",History!CN37*$C$48)</f>
        <v/>
      </c>
      <c r="CK48" s="11" t="str">
        <f ca="1">IF(History!CO$2="","",History!CO37*$C$48)</f>
        <v/>
      </c>
      <c r="CL48" s="11" t="str">
        <f ca="1">IF(History!CP$2="","",History!CP37*$C$48)</f>
        <v/>
      </c>
      <c r="CM48" s="11" t="str">
        <f ca="1">IF(History!CQ$2="","",History!CQ37*$C$48)</f>
        <v/>
      </c>
      <c r="CN48" s="11" t="str">
        <f ca="1">IF(History!CR$2="","",History!CR37*$C$48)</f>
        <v/>
      </c>
      <c r="CO48" s="11" t="str">
        <f ca="1">IF(History!CS$2="","",History!CS37*$C$48)</f>
        <v/>
      </c>
      <c r="CP48" s="11" t="str">
        <f ca="1">IF(History!CT$2="","",History!CT37*$C$48)</f>
        <v/>
      </c>
      <c r="CQ48" s="11" t="str">
        <f ca="1">IF(History!CU$2="","",History!CU37*$C$48)</f>
        <v/>
      </c>
      <c r="CR48" s="11" t="str">
        <f ca="1">IF(History!CV$2="","",History!CV37*$C$48)</f>
        <v/>
      </c>
      <c r="CS48" s="11" t="str">
        <f ca="1">IF(History!CW$2="","",History!CW37*$C$48)</f>
        <v/>
      </c>
      <c r="CT48" s="11" t="str">
        <f ca="1">IF(History!CX$2="","",History!CX37*$C$48)</f>
        <v/>
      </c>
      <c r="CU48" s="11" t="str">
        <f ca="1">IF(History!CY$2="","",History!CY37*$C$48)</f>
        <v/>
      </c>
      <c r="CV48" s="11" t="str">
        <f ca="1">IF(History!CZ$2="","",History!CZ37*$C$48)</f>
        <v/>
      </c>
      <c r="CW48" s="11" t="str">
        <f ca="1">IF(History!DA$2="","",History!DA37*$C$48)</f>
        <v/>
      </c>
      <c r="CX48" s="11" t="str">
        <f ca="1">IF(History!DB$2="","",History!DB37*$C$48)</f>
        <v/>
      </c>
      <c r="CY48" s="11" t="str">
        <f ca="1">IF(History!DC$2="","",History!DC37*$C$48)</f>
        <v/>
      </c>
      <c r="CZ48" s="11" t="str">
        <f ca="1">IF(History!DD$2="","",History!DD37*$C$48)</f>
        <v/>
      </c>
      <c r="DA48" s="11" t="str">
        <f ca="1">IF(History!DE$2="","",History!DE37*$C$48)</f>
        <v/>
      </c>
      <c r="DB48" s="11" t="str">
        <f ca="1">IF(History!DF$2="","",History!DF37*$C$48)</f>
        <v/>
      </c>
      <c r="DC48" s="11" t="str">
        <f ca="1">IF(History!DG$2="","",History!DG37*$C$48)</f>
        <v/>
      </c>
      <c r="DD48" s="11" t="str">
        <f ca="1">IF(History!DH$2="","",History!DH37*$C$48)</f>
        <v/>
      </c>
      <c r="DE48" s="11" t="str">
        <f ca="1">IF(History!DI$2="","",History!DI37*$C$48)</f>
        <v/>
      </c>
      <c r="DF48" s="11" t="str">
        <f ca="1">IF(History!DJ$2="","",History!DJ37*$C$48)</f>
        <v/>
      </c>
      <c r="DG48" s="11" t="str">
        <f ca="1">IF(History!DK$2="","",History!DK37*$C$48)</f>
        <v/>
      </c>
      <c r="DH48" s="11" t="str">
        <f ca="1">IF(History!DL$2="","",History!DL37*$C$48)</f>
        <v/>
      </c>
      <c r="DI48" s="11" t="str">
        <f ca="1">IF(History!DM$2="","",History!DM37*$C$48)</f>
        <v/>
      </c>
      <c r="DJ48" s="11" t="str">
        <f ca="1">IF(History!DN$2="","",History!DN37*$C$48)</f>
        <v/>
      </c>
      <c r="DK48" s="11" t="str">
        <f ca="1">IF(History!DO$2="","",History!DO37*$C$48)</f>
        <v/>
      </c>
      <c r="DL48" s="11" t="str">
        <f ca="1">IF(History!DP$2="","",History!DP37*$C$48)</f>
        <v/>
      </c>
      <c r="DM48" s="11" t="str">
        <f ca="1">IF(History!DQ$2="","",History!DQ37*$C$48)</f>
        <v/>
      </c>
      <c r="DN48" s="11" t="str">
        <f ca="1">IF(History!DR$2="","",History!DR37*$C$48)</f>
        <v/>
      </c>
      <c r="DO48" s="11" t="str">
        <f ca="1">IF(History!DS$2="","",History!DS37*$C$48)</f>
        <v/>
      </c>
      <c r="DP48" s="11" t="str">
        <f ca="1">IF(History!DT$2="","",History!DT37*$C$48)</f>
        <v/>
      </c>
      <c r="DQ48" s="11" t="str">
        <f ca="1">IF(History!DU$2="","",History!DU37*$C$48)</f>
        <v/>
      </c>
      <c r="DR48" s="11" t="str">
        <f ca="1">IF(History!DV$2="","",History!DV37*$C$48)</f>
        <v/>
      </c>
      <c r="DS48" s="11" t="str">
        <f ca="1">IF(History!DW$2="","",History!DW37*$C$48)</f>
        <v/>
      </c>
      <c r="DT48" s="11" t="str">
        <f ca="1">IF(History!DX$2="","",History!DX37*$C$48)</f>
        <v/>
      </c>
      <c r="DU48" s="11" t="str">
        <f ca="1">IF(History!DY$2="","",History!DY37*$C$48)</f>
        <v/>
      </c>
      <c r="DV48" s="11" t="str">
        <f ca="1">IF(History!DZ$2="","",History!DZ37*$C$48)</f>
        <v/>
      </c>
      <c r="DW48" s="11" t="str">
        <f ca="1">IF(History!EA$2="","",History!EA37*$C$48)</f>
        <v/>
      </c>
      <c r="DX48" s="11" t="str">
        <f ca="1">IF(History!EB$2="","",History!EB37*$C$48)</f>
        <v/>
      </c>
      <c r="DY48" s="11" t="str">
        <f ca="1">IF(History!EC$2="","",History!EC37*$C$48)</f>
        <v/>
      </c>
      <c r="DZ48" s="11" t="str">
        <f ca="1">IF(History!ED$2="","",History!ED37*$C$48)</f>
        <v/>
      </c>
      <c r="EA48" s="11" t="str">
        <f ca="1">IF(History!EE$2="","",History!EE37*$C$48)</f>
        <v/>
      </c>
      <c r="EB48" s="11" t="str">
        <f ca="1">IF(History!EF$2="","",History!EF37*$C$48)</f>
        <v/>
      </c>
      <c r="EC48" s="11" t="str">
        <f ca="1">IF(History!EG$2="","",History!EG37*$C$48)</f>
        <v/>
      </c>
      <c r="ED48" s="11" t="str">
        <f ca="1">IF(History!EH$2="","",History!EH37*$C$48)</f>
        <v/>
      </c>
      <c r="EE48" s="11" t="str">
        <f ca="1">IF(History!EI$2="","",History!EI37*$C$48)</f>
        <v/>
      </c>
      <c r="EF48" s="11" t="str">
        <f ca="1">IF(History!EJ$2="","",History!EJ37*$C$48)</f>
        <v/>
      </c>
      <c r="EG48" s="11" t="str">
        <f ca="1">IF(History!EK$2="","",History!EK37*$C$48)</f>
        <v/>
      </c>
      <c r="EH48" s="11" t="str">
        <f ca="1">IF(History!EL$2="","",History!EL37*$C$48)</f>
        <v/>
      </c>
      <c r="EI48" s="11" t="str">
        <f ca="1">IF(History!EM$2="","",History!EM37*$C$48)</f>
        <v/>
      </c>
      <c r="EJ48" s="11" t="str">
        <f ca="1">IF(History!EN$2="","",History!EN37*$C$48)</f>
        <v/>
      </c>
      <c r="EK48" s="11" t="str">
        <f ca="1">IF(History!EO$2="","",History!EO37*$C$48)</f>
        <v/>
      </c>
      <c r="EL48" s="11" t="str">
        <f ca="1">IF(History!EP$2="","",History!EP37*$C$48)</f>
        <v/>
      </c>
      <c r="EM48" s="11" t="str">
        <f ca="1">IF(History!EQ$2="","",History!EQ37*$C$48)</f>
        <v/>
      </c>
      <c r="EN48" s="11" t="str">
        <f ca="1">IF(History!ER$2="","",History!ER37*$C$48)</f>
        <v/>
      </c>
      <c r="EO48" s="11" t="str">
        <f ca="1">IF(History!ES$2="","",History!ES37*$C$48)</f>
        <v/>
      </c>
      <c r="EP48" s="11" t="str">
        <f ca="1">IF(History!ET$2="","",History!ET37*$C$48)</f>
        <v/>
      </c>
      <c r="EQ48" s="11" t="str">
        <f ca="1">IF(History!EU$2="","",History!EU37*$C$48)</f>
        <v/>
      </c>
      <c r="ER48" s="11" t="str">
        <f ca="1">IF(History!EV$2="","",History!EV37*$C$48)</f>
        <v/>
      </c>
      <c r="ES48" s="11" t="str">
        <f ca="1">IF(History!EW$2="","",History!EW37*$C$48)</f>
        <v/>
      </c>
      <c r="ET48" s="11" t="str">
        <f ca="1">IF(History!EX$2="","",History!EX37*$C$48)</f>
        <v/>
      </c>
      <c r="EU48" s="11" t="str">
        <f ca="1">IF(History!EY$2="","",History!EY37*$C$48)</f>
        <v/>
      </c>
      <c r="EV48" s="11" t="str">
        <f ca="1">IF(History!EZ$2="","",History!EZ37*$C$48)</f>
        <v/>
      </c>
      <c r="EW48" s="11" t="str">
        <f ca="1">IF(History!FA$2="","",History!FA37*$C$48)</f>
        <v/>
      </c>
      <c r="EX48" s="11" t="str">
        <f ca="1">IF(History!FB$2="","",History!FB37*$C$48)</f>
        <v/>
      </c>
      <c r="EY48" s="11" t="str">
        <f ca="1">IF(History!FC$2="","",History!FC37*$C$48)</f>
        <v/>
      </c>
      <c r="EZ48" s="11" t="str">
        <f ca="1">IF(History!FD$2="","",History!FD37*$C$48)</f>
        <v/>
      </c>
      <c r="FA48" s="11" t="str">
        <f ca="1">IF(History!FE$2="","",History!FE37*$C$48)</f>
        <v/>
      </c>
      <c r="FB48" s="11" t="str">
        <f ca="1">IF(History!FF$2="","",History!FF37*$C$48)</f>
        <v/>
      </c>
      <c r="FC48" s="11" t="str">
        <f ca="1">IF(History!FG$2="","",History!FG37*$C$48)</f>
        <v/>
      </c>
      <c r="FD48" s="11" t="str">
        <f ca="1">IF(History!FH$2="","",History!FH37*$C$48)</f>
        <v/>
      </c>
      <c r="FE48" s="11" t="str">
        <f ca="1">IF(History!FI$2="","",History!FI37*$C$48)</f>
        <v/>
      </c>
      <c r="FF48" s="11" t="str">
        <f ca="1">IF(History!FJ$2="","",History!FJ37*$C$48)</f>
        <v/>
      </c>
      <c r="FG48" s="11" t="str">
        <f ca="1">IF(History!FK$2="","",History!FK37*$C$48)</f>
        <v/>
      </c>
      <c r="FH48" s="11" t="str">
        <f ca="1">IF(History!FL$2="","",History!FL37*$C$48)</f>
        <v/>
      </c>
      <c r="FI48" s="11" t="str">
        <f ca="1">IF(History!FM$2="","",History!FM37*$C$48)</f>
        <v/>
      </c>
      <c r="FJ48" s="11" t="str">
        <f ca="1">IF(History!FN$2="","",History!FN37*$C$48)</f>
        <v/>
      </c>
      <c r="FK48" s="11" t="str">
        <f ca="1">IF(History!FO$2="","",History!FO37*$C$48)</f>
        <v/>
      </c>
      <c r="FL48" s="11" t="str">
        <f ca="1">IF(History!FP$2="","",History!FP37*$C$48)</f>
        <v/>
      </c>
      <c r="FM48" s="11" t="str">
        <f ca="1">IF(History!FQ$2="","",History!FQ37*$C$48)</f>
        <v/>
      </c>
      <c r="FN48" s="11" t="str">
        <f ca="1">IF(History!FR$2="","",History!FR37*$C$48)</f>
        <v/>
      </c>
      <c r="FO48" s="11" t="str">
        <f ca="1">IF(History!FS$2="","",History!FS37*$C$48)</f>
        <v/>
      </c>
      <c r="FP48" s="11" t="str">
        <f ca="1">IF(History!FT$2="","",History!FT37*$C$48)</f>
        <v/>
      </c>
      <c r="FQ48" s="11" t="str">
        <f ca="1">IF(History!FU$2="","",History!FU37*$C$48)</f>
        <v/>
      </c>
      <c r="FR48" s="11" t="str">
        <f ca="1">IF(History!FV$2="","",History!FV37*$C$48)</f>
        <v/>
      </c>
      <c r="FS48" s="11" t="str">
        <f ca="1">IF(History!FW$2="","",History!FW37*$C$48)</f>
        <v/>
      </c>
      <c r="FT48" s="11" t="str">
        <f ca="1">IF(History!FX$2="","",History!FX37*$C$48)</f>
        <v/>
      </c>
      <c r="FU48" s="11" t="str">
        <f ca="1">IF(History!FY$2="","",History!FY37*$C$48)</f>
        <v/>
      </c>
      <c r="FV48" s="11" t="str">
        <f ca="1">IF(History!FZ$2="","",History!FZ37*$C$48)</f>
        <v/>
      </c>
      <c r="FW48" s="11" t="str">
        <f ca="1">IF(History!GA$2="","",History!GA37*$C$48)</f>
        <v/>
      </c>
      <c r="FX48" s="11" t="str">
        <f ca="1">IF(History!GB$2="","",History!GB37*$C$48)</f>
        <v/>
      </c>
      <c r="FY48" s="11" t="str">
        <f ca="1">IF(History!GC$2="","",History!GC37*$C$48)</f>
        <v/>
      </c>
      <c r="FZ48" s="11" t="str">
        <f ca="1">IF(History!GD$2="","",History!GD37*$C$48)</f>
        <v/>
      </c>
      <c r="GA48" s="11" t="str">
        <f ca="1">IF(History!GE$2="","",History!GE37*$C$48)</f>
        <v/>
      </c>
      <c r="GB48" s="11" t="str">
        <f ca="1">IF(History!GF$2="","",History!GF37*$C$48)</f>
        <v/>
      </c>
      <c r="GC48" s="11" t="str">
        <f ca="1">IF(History!GG$2="","",History!GG37*$C$48)</f>
        <v/>
      </c>
      <c r="GD48" s="11" t="str">
        <f ca="1">IF(History!GH$2="","",History!GH37*$C$48)</f>
        <v/>
      </c>
      <c r="GE48" s="11" t="str">
        <f ca="1">IF(History!GI$2="","",History!GI37*$C$48)</f>
        <v/>
      </c>
      <c r="GF48" s="11" t="str">
        <f ca="1">IF(History!GJ$2="","",History!GJ37*$C$48)</f>
        <v/>
      </c>
      <c r="GG48" s="11" t="str">
        <f ca="1">IF(History!GK$2="","",History!GK37*$C$48)</f>
        <v/>
      </c>
      <c r="GH48" s="11" t="str">
        <f ca="1">IF(History!GL$2="","",History!GL37*$C$48)</f>
        <v/>
      </c>
      <c r="GI48" s="11" t="str">
        <f ca="1">IF(History!GM$2="","",History!GM37*$C$48)</f>
        <v/>
      </c>
      <c r="GJ48" s="11" t="str">
        <f ca="1">IF(History!GN$2="","",History!GN37*$C$48)</f>
        <v/>
      </c>
      <c r="GK48" s="11" t="str">
        <f ca="1">IF(History!GO$2="","",History!GO37*$C$48)</f>
        <v/>
      </c>
      <c r="GL48" s="11" t="str">
        <f ca="1">IF(History!GP$2="","",History!GP37*$C$48)</f>
        <v/>
      </c>
      <c r="GM48" s="11" t="str">
        <f ca="1">IF(History!GQ$2="","",History!GQ37*$C$48)</f>
        <v/>
      </c>
      <c r="GN48" s="11" t="str">
        <f ca="1">IF(History!GR$2="","",History!GR37*$C$48)</f>
        <v/>
      </c>
      <c r="GO48" s="11" t="str">
        <f ca="1">IF(History!GS$2="","",History!GS37*$C$48)</f>
        <v/>
      </c>
      <c r="GP48" s="11" t="str">
        <f ca="1">IF(History!GT$2="","",History!GT37*$C$48)</f>
        <v/>
      </c>
      <c r="GQ48" s="11" t="str">
        <f ca="1">IF(History!GU$2="","",History!GU37*$C$48)</f>
        <v/>
      </c>
      <c r="GR48" s="11" t="str">
        <f ca="1">IF(History!GV$2="","",History!GV37*$C$48)</f>
        <v/>
      </c>
      <c r="GS48" s="11" t="str">
        <f ca="1">IF(History!GW$2="","",History!GW37*$C$48)</f>
        <v/>
      </c>
      <c r="GT48" s="11" t="str">
        <f ca="1">IF(History!GX$2="","",History!GX37*$C$48)</f>
        <v/>
      </c>
      <c r="GU48" s="11" t="str">
        <f ca="1">IF(History!GY$2="","",History!GY37*$C$48)</f>
        <v/>
      </c>
      <c r="GV48" s="11" t="str">
        <f ca="1">IF(History!GZ$2="","",History!GZ37*$C$48)</f>
        <v/>
      </c>
      <c r="GW48" s="11" t="str">
        <f ca="1">IF(History!HA$2="","",History!HA37*$C$48)</f>
        <v/>
      </c>
      <c r="GX48" s="11" t="str">
        <f ca="1">IF(History!HB$2="","",History!HB37*$C$48)</f>
        <v/>
      </c>
      <c r="GY48" s="11" t="str">
        <f ca="1">IF(History!HC$2="","",History!HC37*$C$48)</f>
        <v/>
      </c>
      <c r="GZ48" s="11" t="str">
        <f ca="1">IF(History!HD$2="","",History!HD37*$C$48)</f>
        <v/>
      </c>
      <c r="HA48" s="11" t="str">
        <f ca="1">IF(History!HE$2="","",History!HE37*$C$48)</f>
        <v/>
      </c>
      <c r="HB48" s="11" t="str">
        <f ca="1">IF(History!HF$2="","",History!HF37*$C$48)</f>
        <v/>
      </c>
      <c r="HC48" s="11" t="str">
        <f ca="1">IF(History!HG$2="","",History!HG37*$C$48)</f>
        <v/>
      </c>
      <c r="HD48" s="11" t="str">
        <f ca="1">IF(History!HH$2="","",History!HH37*$C$48)</f>
        <v/>
      </c>
      <c r="HE48" s="11" t="str">
        <f ca="1">IF(History!HI$2="","",History!HI37*$C$48)</f>
        <v/>
      </c>
      <c r="HF48" s="11" t="str">
        <f ca="1">IF(History!HJ$2="","",History!HJ37*$C$48)</f>
        <v/>
      </c>
      <c r="HG48" s="11" t="str">
        <f ca="1">IF(History!HK$2="","",History!HK37*$C$48)</f>
        <v/>
      </c>
      <c r="HH48" s="11" t="str">
        <f ca="1">IF(History!HL$2="","",History!HL37*$C$48)</f>
        <v/>
      </c>
      <c r="HI48" s="11" t="str">
        <f ca="1">IF(History!HM$2="","",History!HM37*$C$48)</f>
        <v/>
      </c>
      <c r="HJ48" s="11" t="str">
        <f ca="1">IF(History!HN$2="","",History!HN37*$C$48)</f>
        <v/>
      </c>
      <c r="HK48" s="11" t="str">
        <f ca="1">IF(History!HO$2="","",History!HO37*$C$48)</f>
        <v/>
      </c>
      <c r="HL48" s="11" t="str">
        <f ca="1">IF(History!HP$2="","",History!HP37*$C$48)</f>
        <v/>
      </c>
      <c r="HM48" s="11" t="str">
        <f ca="1">IF(History!HQ$2="","",History!HQ37*$C$48)</f>
        <v/>
      </c>
      <c r="HN48" s="11" t="str">
        <f ca="1">IF(History!HR$2="","",History!HR37*$C$48)</f>
        <v/>
      </c>
      <c r="HO48" s="11" t="str">
        <f ca="1">IF(History!HS$2="","",History!HS37*$C$48)</f>
        <v/>
      </c>
      <c r="HP48" s="11" t="str">
        <f ca="1">IF(History!HT$2="","",History!HT37*$C$48)</f>
        <v/>
      </c>
      <c r="HQ48" s="11" t="str">
        <f ca="1">IF(History!HU$2="","",History!HU37*$C$48)</f>
        <v/>
      </c>
      <c r="HR48" s="11" t="str">
        <f ca="1">IF(History!HV$2="","",History!HV37*$C$48)</f>
        <v/>
      </c>
      <c r="HS48" s="11" t="str">
        <f ca="1">IF(History!HW$2="","",History!HW37*$C$48)</f>
        <v/>
      </c>
      <c r="HT48" s="11" t="str">
        <f ca="1">IF(History!HX$2="","",History!HX37*$C$48)</f>
        <v/>
      </c>
      <c r="HU48" s="11" t="str">
        <f ca="1">IF(History!HY$2="","",History!HY37*$C$48)</f>
        <v/>
      </c>
      <c r="HV48" s="11" t="str">
        <f ca="1">IF(History!HZ$2="","",History!HZ37*$C$48)</f>
        <v/>
      </c>
      <c r="HW48" s="11" t="str">
        <f ca="1">IF(History!IA$2="","",History!IA37*$C$48)</f>
        <v/>
      </c>
      <c r="HX48" s="11" t="str">
        <f ca="1">IF(History!IB$2="","",History!IB37*$C$48)</f>
        <v/>
      </c>
      <c r="HY48" s="11" t="str">
        <f ca="1">IF(History!IC$2="","",History!IC37*$C$48)</f>
        <v/>
      </c>
      <c r="HZ48" s="11" t="str">
        <f ca="1">IF(History!ID$2="","",History!ID37*$C$48)</f>
        <v/>
      </c>
      <c r="IA48" s="11" t="str">
        <f ca="1">IF(History!IE$2="","",History!IE37*$C$48)</f>
        <v/>
      </c>
      <c r="IB48" s="11" t="str">
        <f ca="1">IF(History!IF$2="","",History!IF37*$C$48)</f>
        <v/>
      </c>
      <c r="IC48" s="11" t="str">
        <f ca="1">IF(History!IG$2="","",History!IG37*$C$48)</f>
        <v/>
      </c>
      <c r="ID48" s="11" t="str">
        <f ca="1">IF(History!IH$2="","",History!IH37*$C$48)</f>
        <v/>
      </c>
      <c r="IE48" s="11" t="str">
        <f ca="1">IF(History!II$2="","",History!II37*$C$48)</f>
        <v/>
      </c>
      <c r="IF48" s="11" t="str">
        <f ca="1">IF(History!IJ$2="","",History!IJ37*$C$48)</f>
        <v/>
      </c>
      <c r="IG48" s="11" t="str">
        <f ca="1">IF(History!IK$2="","",History!IK37*$C$48)</f>
        <v/>
      </c>
      <c r="IH48" s="11" t="str">
        <f ca="1">IF(History!IL$2="","",History!IL37*$C$48)</f>
        <v/>
      </c>
      <c r="II48" s="11" t="str">
        <f ca="1">IF(History!IM$2="","",History!IM37*$C$48)</f>
        <v/>
      </c>
      <c r="IJ48" s="11" t="str">
        <f ca="1">IF(History!IN$2="","",History!IN37*$C$48)</f>
        <v/>
      </c>
      <c r="IK48" s="11" t="str">
        <f ca="1">IF(History!IO$2="","",History!IO37*$C$48)</f>
        <v/>
      </c>
      <c r="IL48" s="11" t="str">
        <f ca="1">IF(History!IP$2="","",History!IP37*$C$48)</f>
        <v/>
      </c>
      <c r="IM48" s="11" t="str">
        <f ca="1">IF(History!IQ$2="","",History!IQ37*$C$48)</f>
        <v/>
      </c>
      <c r="IN48" s="11" t="str">
        <f ca="1">IF(History!IR$2="","",History!IR37*$C$48)</f>
        <v/>
      </c>
      <c r="IO48" s="11" t="str">
        <f ca="1">IF(History!IS$2="","",History!IS37*$C$48)</f>
        <v/>
      </c>
      <c r="IP48" s="11" t="str">
        <f ca="1">IF(History!IT$2="","",History!IT37*$C$48)</f>
        <v/>
      </c>
      <c r="IQ48" s="11" t="str">
        <f ca="1">IF(History!IU$2="","",History!IU37*$C$48)</f>
        <v/>
      </c>
      <c r="IR48" s="11" t="str">
        <f ca="1">IF(History!IV$2="","",History!IV37*$C$48)</f>
        <v/>
      </c>
      <c r="IS48" s="11" t="str">
        <f ca="1">IF(History!IW$2="","",History!IW37*$C$48)</f>
        <v/>
      </c>
      <c r="IT48" s="11" t="str">
        <f ca="1">IF(History!IX$2="","",History!IX37*$C$48)</f>
        <v/>
      </c>
      <c r="IU48" s="11" t="str">
        <f ca="1">IF(History!IY$2="","",History!IY37*$C$48)</f>
        <v/>
      </c>
      <c r="IV48" s="11" t="str">
        <f ca="1">IF(History!IZ$2="","",History!IZ37*$C$48)</f>
        <v/>
      </c>
      <c r="IW48" s="11" t="str">
        <f ca="1">IF(History!JA$2="","",History!JA37*$C$48)</f>
        <v/>
      </c>
      <c r="IX48" s="11" t="str">
        <f ca="1">IF(History!JB$2="","",History!JB37*$C$48)</f>
        <v/>
      </c>
      <c r="IY48" s="11" t="str">
        <f ca="1">IF(History!JC$2="","",History!JC37*$C$48)</f>
        <v/>
      </c>
      <c r="IZ48" s="11" t="str">
        <f ca="1">IF(History!JD$2="","",History!JD37*$C$48)</f>
        <v/>
      </c>
      <c r="JA48" s="11" t="str">
        <f ca="1">IF(History!JE$2="","",History!JE37*$C$48)</f>
        <v/>
      </c>
      <c r="JB48" s="11" t="str">
        <f ca="1">IF(History!JF$2="","",History!JF37*$C$48)</f>
        <v/>
      </c>
      <c r="JC48" s="11" t="str">
        <f ca="1">IF(History!JG$2="","",History!JG37*$C$48)</f>
        <v/>
      </c>
      <c r="JD48" s="11" t="str">
        <f ca="1">IF(History!JH$2="","",History!JH37*$C$48)</f>
        <v/>
      </c>
      <c r="JE48" s="11" t="str">
        <f ca="1">IF(History!JI$2="","",History!JI37*$C$48)</f>
        <v/>
      </c>
      <c r="JF48" s="11" t="str">
        <f ca="1">IF(History!JJ$2="","",History!JJ37*$C$48)</f>
        <v/>
      </c>
      <c r="JG48" s="11" t="str">
        <f ca="1">IF(History!JK$2="","",History!JK37*$C$48)</f>
        <v/>
      </c>
      <c r="JH48" s="11" t="str">
        <f ca="1">IF(History!JL$2="","",History!JL37*$C$48)</f>
        <v/>
      </c>
      <c r="JI48" s="11" t="str">
        <f ca="1">IF(History!JM$2="","",History!JM37*$C$48)</f>
        <v/>
      </c>
      <c r="JJ48" s="11" t="str">
        <f ca="1">IF(History!JN$2="","",History!JN37*$C$48)</f>
        <v/>
      </c>
      <c r="JK48" s="11" t="str">
        <f ca="1">IF(History!JO$2="","",History!JO37*$C$48)</f>
        <v/>
      </c>
      <c r="JL48" s="11" t="str">
        <f ca="1">IF(History!JP$2="","",History!JP37*$C$48)</f>
        <v/>
      </c>
      <c r="JM48" s="11" t="str">
        <f ca="1">IF(History!JQ$2="","",History!JQ37*$C$48)</f>
        <v/>
      </c>
      <c r="JN48" s="11" t="str">
        <f ca="1">IF(History!JR$2="","",History!JR37*$C$48)</f>
        <v/>
      </c>
      <c r="JO48" s="11" t="str">
        <f ca="1">IF(History!JS$2="","",History!JS37*$C$48)</f>
        <v/>
      </c>
      <c r="JP48" s="11" t="str">
        <f ca="1">IF(History!JT$2="","",History!JT37*$C$48)</f>
        <v/>
      </c>
      <c r="JQ48" s="11" t="str">
        <f ca="1">IF(History!JU$2="","",History!JU37*$C$48)</f>
        <v/>
      </c>
      <c r="JR48" s="11" t="str">
        <f ca="1">IF(History!JV$2="","",History!JV37*$C$48)</f>
        <v/>
      </c>
      <c r="JS48" s="11" t="str">
        <f ca="1">IF(History!JW$2="","",History!JW37*$C$48)</f>
        <v/>
      </c>
      <c r="JT48" s="11" t="str">
        <f ca="1">IF(History!JX$2="","",History!JX37*$C$48)</f>
        <v/>
      </c>
      <c r="JU48" s="11" t="str">
        <f ca="1">IF(History!JY$2="","",History!JY37*$C$48)</f>
        <v/>
      </c>
      <c r="JV48" s="11" t="str">
        <f ca="1">IF(History!JZ$2="","",History!JZ37*$C$48)</f>
        <v/>
      </c>
      <c r="JW48" s="11" t="str">
        <f ca="1">IF(History!KA$2="","",History!KA37*$C$48)</f>
        <v/>
      </c>
      <c r="JX48" s="11" t="str">
        <f ca="1">IF(History!KB$2="","",History!KB37*$C$48)</f>
        <v/>
      </c>
      <c r="JY48" s="11" t="str">
        <f ca="1">IF(History!KC$2="","",History!KC37*$C$48)</f>
        <v/>
      </c>
      <c r="JZ48" s="11" t="str">
        <f ca="1">IF(History!KD$2="","",History!KD37*$C$48)</f>
        <v/>
      </c>
      <c r="KA48" s="11" t="str">
        <f ca="1">IF(History!KE$2="","",History!KE37*$C$48)</f>
        <v/>
      </c>
      <c r="KB48" s="11" t="str">
        <f ca="1">IF(History!KF$2="","",History!KF37*$C$48)</f>
        <v/>
      </c>
    </row>
    <row r="49" spans="1:288" ht="15.75" customHeight="1">
      <c r="A49" s="22" t="s">
        <v>30</v>
      </c>
      <c r="B49" s="6" t="s">
        <v>81</v>
      </c>
      <c r="C49" s="26">
        <v>30</v>
      </c>
      <c r="D49" s="11">
        <f ca="1">IF(History!H$2="","",History!H38*$C$49)</f>
        <v>601.79999999999995</v>
      </c>
      <c r="E49" s="11">
        <f ca="1">IF(History!I$2="","",History!I38*$C$49)</f>
        <v>608.69999999999993</v>
      </c>
      <c r="F49" s="11">
        <f ca="1">IF(History!J$2="","",History!J38*$C$49)</f>
        <v>602.70000000000005</v>
      </c>
      <c r="G49" s="11">
        <f ca="1">IF(History!K$2="","",History!K38*$C$49)</f>
        <v>607.5</v>
      </c>
      <c r="H49" s="11">
        <f ca="1">IF(History!L$2="","",History!L38*$C$49)</f>
        <v>604.79999999999995</v>
      </c>
      <c r="I49" s="11">
        <f ca="1">IF(History!M$2="","",History!M38*$C$49)</f>
        <v>593.69999999999993</v>
      </c>
      <c r="J49" s="11">
        <f ca="1">IF(History!N$2="","",History!N38*$C$49)</f>
        <v>572.4</v>
      </c>
      <c r="K49" s="11">
        <f ca="1">IF(History!O$2="","",History!O38*$C$49)</f>
        <v>549</v>
      </c>
      <c r="L49" s="11">
        <f ca="1">IF(History!P$2="","",History!P38*$C$49)</f>
        <v>549</v>
      </c>
      <c r="M49" s="11">
        <f ca="1">IF(History!Q$2="","",History!Q38*$C$49)</f>
        <v>571.5</v>
      </c>
      <c r="N49" s="11">
        <f ca="1">IF(History!R$2="","",History!R38*$C$49)</f>
        <v>556.5</v>
      </c>
      <c r="O49" s="11">
        <f ca="1">IF(History!S$2="","",History!S38*$C$49)</f>
        <v>537.9</v>
      </c>
      <c r="P49" s="11">
        <f ca="1">IF(History!T$2="","",History!T38*$C$49)</f>
        <v>521.70000000000005</v>
      </c>
      <c r="Q49" s="11">
        <f ca="1">IF(History!U$2="","",History!U38*$C$49)</f>
        <v>522.9</v>
      </c>
      <c r="R49" s="11">
        <f ca="1">IF(History!V$2="","",History!V38*$C$49)</f>
        <v>535.5</v>
      </c>
      <c r="S49" s="11">
        <f ca="1">IF(History!W$2="","",History!W38*$C$49)</f>
        <v>534</v>
      </c>
      <c r="T49" s="11">
        <f ca="1">IF(History!X$2="","",History!X38*$C$49)</f>
        <v>529.20000000000005</v>
      </c>
      <c r="U49" s="11">
        <f ca="1">IF(History!Y$2="","",History!Y38*$C$49)</f>
        <v>520.79999999999995</v>
      </c>
      <c r="V49" s="11">
        <f ca="1">IF(History!Z$2="","",History!Z38*$C$49)</f>
        <v>519.9</v>
      </c>
      <c r="W49" s="11">
        <f ca="1">IF(History!AA$2="","",History!AA38*$C$49)</f>
        <v>521.70000000000005</v>
      </c>
      <c r="X49" s="11">
        <f ca="1">IF(History!AB$2="","",History!AB38*$C$49)</f>
        <v>532.5</v>
      </c>
      <c r="Y49" s="11">
        <f ca="1">IF(History!AC$2="","",History!AC38*$C$49)</f>
        <v>540</v>
      </c>
      <c r="Z49" s="11">
        <f ca="1">IF(History!AD$2="","",History!AD38*$C$49)</f>
        <v>518.1</v>
      </c>
      <c r="AA49" s="11">
        <f ca="1">IF(History!AE$2="","",History!AE38*$C$49)</f>
        <v>510.59999999999997</v>
      </c>
      <c r="AB49" s="11">
        <f ca="1">IF(History!AF$2="","",History!AF38*$C$49)</f>
        <v>511.2</v>
      </c>
      <c r="AC49" s="11">
        <f ca="1">IF(History!AG$2="","",History!AG38*$C$49)</f>
        <v>525.90000000000009</v>
      </c>
      <c r="AD49" s="11">
        <f ca="1">IF(History!AH$2="","",History!AH38*$C$49)</f>
        <v>527.70000000000005</v>
      </c>
      <c r="AE49" s="11">
        <f ca="1">IF(History!AI$2="","",History!AI38*$C$49)</f>
        <v>517.5</v>
      </c>
      <c r="AF49" s="11">
        <f ca="1">IF(History!AJ$2="","",History!AJ38*$C$49)</f>
        <v>519.29999999999995</v>
      </c>
      <c r="AG49" s="11">
        <f ca="1">IF(History!AK$2="","",History!AK38*$C$49)</f>
        <v>508.8</v>
      </c>
      <c r="AH49" s="11">
        <f ca="1">IF(History!AL$2="","",History!AL38*$C$49)</f>
        <v>499.8</v>
      </c>
      <c r="AI49" s="11">
        <f ca="1">IF(History!AM$2="","",History!AM38*$C$49)</f>
        <v>505.50000000000006</v>
      </c>
      <c r="AJ49" s="11">
        <f ca="1">IF(History!AN$2="","",History!AN38*$C$49)</f>
        <v>513.29999999999995</v>
      </c>
      <c r="AK49" s="11">
        <f ca="1">IF(History!AO$2="","",History!AO38*$C$49)</f>
        <v>517.5</v>
      </c>
      <c r="AL49" s="11">
        <f ca="1">IF(History!AP$2="","",History!AP38*$C$49)</f>
        <v>508.5</v>
      </c>
      <c r="AM49" s="11">
        <f ca="1">IF(History!AQ$2="","",History!AQ38*$C$49)</f>
        <v>527.1</v>
      </c>
      <c r="AN49" s="11">
        <f ca="1">IF(History!AR$2="","",History!AR38*$C$49)</f>
        <v>535.5</v>
      </c>
      <c r="AO49" s="11">
        <f ca="1">IF(History!AS$2="","",History!AS38*$C$49)</f>
        <v>544.5</v>
      </c>
      <c r="AP49" s="11">
        <f ca="1">IF(History!AT$2="","",History!AT38*$C$49)</f>
        <v>553.5</v>
      </c>
      <c r="AQ49" s="11">
        <f ca="1">IF(History!AU$2="","",History!AU38*$C$49)</f>
        <v>565.5</v>
      </c>
      <c r="AR49" s="11">
        <f ca="1">IF(History!AV$2="","",History!AV38*$C$49)</f>
        <v>581.70000000000005</v>
      </c>
      <c r="AS49" s="11">
        <f ca="1">IF(History!AW$2="","",History!AW38*$C$49)</f>
        <v>581.70000000000005</v>
      </c>
      <c r="AT49" s="11">
        <f ca="1">IF(History!AX$2="","",History!AX38*$C$49)</f>
        <v>582</v>
      </c>
      <c r="AU49" s="11">
        <f ca="1">IF(History!AY$2="","",History!AY38*$C$49)</f>
        <v>579.29999999999995</v>
      </c>
      <c r="AV49" s="11">
        <f ca="1">IF(History!AZ$2="","",History!AZ38*$C$49)</f>
        <v>588.29999999999995</v>
      </c>
      <c r="AW49" s="11">
        <f ca="1">IF(History!BA$2="","",History!BA38*$C$49)</f>
        <v>585.6</v>
      </c>
      <c r="AX49" s="11">
        <f ca="1">IF(History!BB$2="","",History!BB38*$C$49)</f>
        <v>594</v>
      </c>
      <c r="AY49" s="11">
        <f ca="1">IF(History!BC$2="","",History!BC38*$C$49)</f>
        <v>602.4</v>
      </c>
      <c r="AZ49" s="11">
        <f ca="1">IF(History!BD$2="","",History!BD38*$C$49)</f>
        <v>600</v>
      </c>
      <c r="BA49" s="11">
        <f ca="1">IF(History!BE$2="","",History!BE38*$C$49)</f>
        <v>604.20000000000005</v>
      </c>
      <c r="BB49" s="11">
        <f ca="1">IF(History!BF$2="","",History!BF38*$C$49)</f>
        <v>632.70000000000005</v>
      </c>
      <c r="BC49" s="11">
        <f ca="1">IF(History!BG$2="","",History!BG38*$C$49)</f>
        <v>642.29999999999995</v>
      </c>
      <c r="BD49" s="11">
        <f ca="1">IF(History!BH$2="","",History!BH38*$C$49)</f>
        <v>658.2</v>
      </c>
      <c r="BE49" s="11">
        <f ca="1">IF(History!BI$2="","",History!BI38*$C$49)</f>
        <v>655.8</v>
      </c>
      <c r="BF49" s="11">
        <f ca="1">IF(History!BJ$2="","",History!BJ38*$C$49)</f>
        <v>675.90000000000009</v>
      </c>
      <c r="BG49" s="11">
        <f ca="1">IF(History!BK$2="","",History!BK38*$C$49)</f>
        <v>648.6</v>
      </c>
      <c r="BH49" s="11">
        <f ca="1">IF(History!BL$2="","",History!BL38*$C$49)</f>
        <v>656.7</v>
      </c>
      <c r="BI49" s="11">
        <f ca="1">IF(History!BM$2="","",History!BM38*$C$49)</f>
        <v>642.9</v>
      </c>
      <c r="BJ49" s="11">
        <f ca="1">IF(History!BN$2="","",History!BN38*$C$49)</f>
        <v>645.6</v>
      </c>
      <c r="BK49" s="11">
        <f ca="1">IF(History!BO$2="","",History!BO38*$C$49)</f>
        <v>627</v>
      </c>
      <c r="BL49" s="11">
        <f ca="1">IF(History!BP$2="","",History!BP38*$C$49)</f>
        <v>623.69999999999993</v>
      </c>
      <c r="BM49" s="11">
        <f ca="1">IF(History!BQ$2="","",History!BQ38*$C$49)</f>
        <v>632.1</v>
      </c>
      <c r="BN49" s="11">
        <f ca="1">IF(History!BR$2="","",History!BR38*$C$49)</f>
        <v>608.69999999999993</v>
      </c>
      <c r="BO49" s="11">
        <f ca="1">IF(History!BS$2="","",History!BS38*$C$49)</f>
        <v>619.20000000000005</v>
      </c>
      <c r="BP49" s="11">
        <f ca="1">IF(History!BT$2="","",History!BT38*$C$49)</f>
        <v>618.9</v>
      </c>
      <c r="BQ49" s="11">
        <f ca="1">IF(History!BU$2="","",History!BU38*$C$49)</f>
        <v>620.1</v>
      </c>
      <c r="BR49" s="11">
        <f ca="1">IF(History!BV$2="","",History!BV38*$C$49)</f>
        <v>609</v>
      </c>
      <c r="BS49" s="11">
        <f ca="1">IF(History!BW$2="","",History!BW38*$C$49)</f>
        <v>614.4</v>
      </c>
      <c r="BT49" s="11">
        <f ca="1">IF(History!BX$2="","",History!BX38*$C$49)</f>
        <v>628.20000000000005</v>
      </c>
      <c r="BU49" s="11">
        <f ca="1">IF(History!BY$2="","",History!BY38*$C$49)</f>
        <v>639.6</v>
      </c>
      <c r="BV49" s="11">
        <f ca="1">IF(History!BZ$2="","",History!BZ38*$C$49)</f>
        <v>634.20000000000005</v>
      </c>
      <c r="BW49" s="11">
        <f ca="1">IF(History!CA$2="","",History!CA38*$C$49)</f>
        <v>621</v>
      </c>
      <c r="BX49" s="11">
        <f ca="1">IF(History!CB$2="","",History!CB38*$C$49)</f>
        <v>620.1</v>
      </c>
      <c r="BY49" s="11">
        <f ca="1">IF(History!CC$2="","",History!CC38*$C$49)</f>
        <v>603</v>
      </c>
      <c r="BZ49" s="11">
        <f ca="1">IF(History!CD$2="","",History!CD38*$C$49)</f>
        <v>606</v>
      </c>
      <c r="CA49" s="11">
        <f ca="1">IF(History!CE$2="","",History!CE38*$C$49)</f>
        <v>614.09999999999991</v>
      </c>
      <c r="CB49" s="11">
        <f ca="1">IF(History!CF$2="","",History!CF38*$C$49)</f>
        <v>602.4</v>
      </c>
      <c r="CC49" s="11">
        <f ca="1">IF(History!CG$2="","",History!CG38*$C$49)</f>
        <v>608.69999999999993</v>
      </c>
      <c r="CD49" s="11">
        <f ca="1">IF(History!CH$2="","",History!CH38*$C$49)</f>
        <v>614.4</v>
      </c>
      <c r="CE49" s="11">
        <f ca="1">IF(History!CI$2="","",History!CI38*$C$49)</f>
        <v>645.6</v>
      </c>
      <c r="CF49" s="11" t="str">
        <f ca="1">IF(History!CJ$2="","",History!CJ38*$C$49)</f>
        <v/>
      </c>
      <c r="CG49" s="11" t="str">
        <f ca="1">IF(History!CK$2="","",History!CK38*$C$49)</f>
        <v/>
      </c>
      <c r="CH49" s="11" t="str">
        <f ca="1">IF(History!CL$2="","",History!CL38*$C$49)</f>
        <v/>
      </c>
      <c r="CI49" s="11" t="str">
        <f ca="1">IF(History!CM$2="","",History!CM38*$C$49)</f>
        <v/>
      </c>
      <c r="CJ49" s="11" t="str">
        <f ca="1">IF(History!CN$2="","",History!CN38*$C$49)</f>
        <v/>
      </c>
      <c r="CK49" s="11" t="str">
        <f ca="1">IF(History!CO$2="","",History!CO38*$C$49)</f>
        <v/>
      </c>
      <c r="CL49" s="11" t="str">
        <f ca="1">IF(History!CP$2="","",History!CP38*$C$49)</f>
        <v/>
      </c>
      <c r="CM49" s="11" t="str">
        <f ca="1">IF(History!CQ$2="","",History!CQ38*$C$49)</f>
        <v/>
      </c>
      <c r="CN49" s="11" t="str">
        <f ca="1">IF(History!CR$2="","",History!CR38*$C$49)</f>
        <v/>
      </c>
      <c r="CO49" s="11" t="str">
        <f ca="1">IF(History!CS$2="","",History!CS38*$C$49)</f>
        <v/>
      </c>
      <c r="CP49" s="11" t="str">
        <f ca="1">IF(History!CT$2="","",History!CT38*$C$49)</f>
        <v/>
      </c>
      <c r="CQ49" s="11" t="str">
        <f ca="1">IF(History!CU$2="","",History!CU38*$C$49)</f>
        <v/>
      </c>
      <c r="CR49" s="11" t="str">
        <f ca="1">IF(History!CV$2="","",History!CV38*$C$49)</f>
        <v/>
      </c>
      <c r="CS49" s="11" t="str">
        <f ca="1">IF(History!CW$2="","",History!CW38*$C$49)</f>
        <v/>
      </c>
      <c r="CT49" s="11" t="str">
        <f ca="1">IF(History!CX$2="","",History!CX38*$C$49)</f>
        <v/>
      </c>
      <c r="CU49" s="11" t="str">
        <f ca="1">IF(History!CY$2="","",History!CY38*$C$49)</f>
        <v/>
      </c>
      <c r="CV49" s="11" t="str">
        <f ca="1">IF(History!CZ$2="","",History!CZ38*$C$49)</f>
        <v/>
      </c>
      <c r="CW49" s="11" t="str">
        <f ca="1">IF(History!DA$2="","",History!DA38*$C$49)</f>
        <v/>
      </c>
      <c r="CX49" s="11" t="str">
        <f ca="1">IF(History!DB$2="","",History!DB38*$C$49)</f>
        <v/>
      </c>
      <c r="CY49" s="11" t="str">
        <f ca="1">IF(History!DC$2="","",History!DC38*$C$49)</f>
        <v/>
      </c>
      <c r="CZ49" s="11" t="str">
        <f ca="1">IF(History!DD$2="","",History!DD38*$C$49)</f>
        <v/>
      </c>
      <c r="DA49" s="11" t="str">
        <f ca="1">IF(History!DE$2="","",History!DE38*$C$49)</f>
        <v/>
      </c>
      <c r="DB49" s="11" t="str">
        <f ca="1">IF(History!DF$2="","",History!DF38*$C$49)</f>
        <v/>
      </c>
      <c r="DC49" s="11" t="str">
        <f ca="1">IF(History!DG$2="","",History!DG38*$C$49)</f>
        <v/>
      </c>
      <c r="DD49" s="11" t="str">
        <f ca="1">IF(History!DH$2="","",History!DH38*$C$49)</f>
        <v/>
      </c>
      <c r="DE49" s="11" t="str">
        <f ca="1">IF(History!DI$2="","",History!DI38*$C$49)</f>
        <v/>
      </c>
      <c r="DF49" s="11" t="str">
        <f ca="1">IF(History!DJ$2="","",History!DJ38*$C$49)</f>
        <v/>
      </c>
      <c r="DG49" s="11" t="str">
        <f ca="1">IF(History!DK$2="","",History!DK38*$C$49)</f>
        <v/>
      </c>
      <c r="DH49" s="11" t="str">
        <f ca="1">IF(History!DL$2="","",History!DL38*$C$49)</f>
        <v/>
      </c>
      <c r="DI49" s="11" t="str">
        <f ca="1">IF(History!DM$2="","",History!DM38*$C$49)</f>
        <v/>
      </c>
      <c r="DJ49" s="11" t="str">
        <f ca="1">IF(History!DN$2="","",History!DN38*$C$49)</f>
        <v/>
      </c>
      <c r="DK49" s="11" t="str">
        <f ca="1">IF(History!DO$2="","",History!DO38*$C$49)</f>
        <v/>
      </c>
      <c r="DL49" s="11" t="str">
        <f ca="1">IF(History!DP$2="","",History!DP38*$C$49)</f>
        <v/>
      </c>
      <c r="DM49" s="11" t="str">
        <f ca="1">IF(History!DQ$2="","",History!DQ38*$C$49)</f>
        <v/>
      </c>
      <c r="DN49" s="11" t="str">
        <f ca="1">IF(History!DR$2="","",History!DR38*$C$49)</f>
        <v/>
      </c>
      <c r="DO49" s="11" t="str">
        <f ca="1">IF(History!DS$2="","",History!DS38*$C$49)</f>
        <v/>
      </c>
      <c r="DP49" s="11" t="str">
        <f ca="1">IF(History!DT$2="","",History!DT38*$C$49)</f>
        <v/>
      </c>
      <c r="DQ49" s="11" t="str">
        <f ca="1">IF(History!DU$2="","",History!DU38*$C$49)</f>
        <v/>
      </c>
      <c r="DR49" s="11" t="str">
        <f ca="1">IF(History!DV$2="","",History!DV38*$C$49)</f>
        <v/>
      </c>
      <c r="DS49" s="11" t="str">
        <f ca="1">IF(History!DW$2="","",History!DW38*$C$49)</f>
        <v/>
      </c>
      <c r="DT49" s="11" t="str">
        <f ca="1">IF(History!DX$2="","",History!DX38*$C$49)</f>
        <v/>
      </c>
      <c r="DU49" s="11" t="str">
        <f ca="1">IF(History!DY$2="","",History!DY38*$C$49)</f>
        <v/>
      </c>
      <c r="DV49" s="11" t="str">
        <f ca="1">IF(History!DZ$2="","",History!DZ38*$C$49)</f>
        <v/>
      </c>
      <c r="DW49" s="11" t="str">
        <f ca="1">IF(History!EA$2="","",History!EA38*$C$49)</f>
        <v/>
      </c>
      <c r="DX49" s="11" t="str">
        <f ca="1">IF(History!EB$2="","",History!EB38*$C$49)</f>
        <v/>
      </c>
      <c r="DY49" s="11" t="str">
        <f ca="1">IF(History!EC$2="","",History!EC38*$C$49)</f>
        <v/>
      </c>
      <c r="DZ49" s="11" t="str">
        <f ca="1">IF(History!ED$2="","",History!ED38*$C$49)</f>
        <v/>
      </c>
      <c r="EA49" s="11" t="str">
        <f ca="1">IF(History!EE$2="","",History!EE38*$C$49)</f>
        <v/>
      </c>
      <c r="EB49" s="11" t="str">
        <f ca="1">IF(History!EF$2="","",History!EF38*$C$49)</f>
        <v/>
      </c>
      <c r="EC49" s="11" t="str">
        <f ca="1">IF(History!EG$2="","",History!EG38*$C$49)</f>
        <v/>
      </c>
      <c r="ED49" s="11" t="str">
        <f ca="1">IF(History!EH$2="","",History!EH38*$C$49)</f>
        <v/>
      </c>
      <c r="EE49" s="11" t="str">
        <f ca="1">IF(History!EI$2="","",History!EI38*$C$49)</f>
        <v/>
      </c>
      <c r="EF49" s="11" t="str">
        <f ca="1">IF(History!EJ$2="","",History!EJ38*$C$49)</f>
        <v/>
      </c>
      <c r="EG49" s="11" t="str">
        <f ca="1">IF(History!EK$2="","",History!EK38*$C$49)</f>
        <v/>
      </c>
      <c r="EH49" s="11" t="str">
        <f ca="1">IF(History!EL$2="","",History!EL38*$C$49)</f>
        <v/>
      </c>
      <c r="EI49" s="11" t="str">
        <f ca="1">IF(History!EM$2="","",History!EM38*$C$49)</f>
        <v/>
      </c>
      <c r="EJ49" s="11" t="str">
        <f ca="1">IF(History!EN$2="","",History!EN38*$C$49)</f>
        <v/>
      </c>
      <c r="EK49" s="11" t="str">
        <f ca="1">IF(History!EO$2="","",History!EO38*$C$49)</f>
        <v/>
      </c>
      <c r="EL49" s="11" t="str">
        <f ca="1">IF(History!EP$2="","",History!EP38*$C$49)</f>
        <v/>
      </c>
      <c r="EM49" s="11" t="str">
        <f ca="1">IF(History!EQ$2="","",History!EQ38*$C$49)</f>
        <v/>
      </c>
      <c r="EN49" s="11" t="str">
        <f ca="1">IF(History!ER$2="","",History!ER38*$C$49)</f>
        <v/>
      </c>
      <c r="EO49" s="11" t="str">
        <f ca="1">IF(History!ES$2="","",History!ES38*$C$49)</f>
        <v/>
      </c>
      <c r="EP49" s="11" t="str">
        <f ca="1">IF(History!ET$2="","",History!ET38*$C$49)</f>
        <v/>
      </c>
      <c r="EQ49" s="11" t="str">
        <f ca="1">IF(History!EU$2="","",History!EU38*$C$49)</f>
        <v/>
      </c>
      <c r="ER49" s="11" t="str">
        <f ca="1">IF(History!EV$2="","",History!EV38*$C$49)</f>
        <v/>
      </c>
      <c r="ES49" s="11" t="str">
        <f ca="1">IF(History!EW$2="","",History!EW38*$C$49)</f>
        <v/>
      </c>
      <c r="ET49" s="11" t="str">
        <f ca="1">IF(History!EX$2="","",History!EX38*$C$49)</f>
        <v/>
      </c>
      <c r="EU49" s="11" t="str">
        <f ca="1">IF(History!EY$2="","",History!EY38*$C$49)</f>
        <v/>
      </c>
      <c r="EV49" s="11" t="str">
        <f ca="1">IF(History!EZ$2="","",History!EZ38*$C$49)</f>
        <v/>
      </c>
      <c r="EW49" s="11" t="str">
        <f ca="1">IF(History!FA$2="","",History!FA38*$C$49)</f>
        <v/>
      </c>
      <c r="EX49" s="11" t="str">
        <f ca="1">IF(History!FB$2="","",History!FB38*$C$49)</f>
        <v/>
      </c>
      <c r="EY49" s="11" t="str">
        <f ca="1">IF(History!FC$2="","",History!FC38*$C$49)</f>
        <v/>
      </c>
      <c r="EZ49" s="11" t="str">
        <f ca="1">IF(History!FD$2="","",History!FD38*$C$49)</f>
        <v/>
      </c>
      <c r="FA49" s="11" t="str">
        <f ca="1">IF(History!FE$2="","",History!FE38*$C$49)</f>
        <v/>
      </c>
      <c r="FB49" s="11" t="str">
        <f ca="1">IF(History!FF$2="","",History!FF38*$C$49)</f>
        <v/>
      </c>
      <c r="FC49" s="11" t="str">
        <f ca="1">IF(History!FG$2="","",History!FG38*$C$49)</f>
        <v/>
      </c>
      <c r="FD49" s="11" t="str">
        <f ca="1">IF(History!FH$2="","",History!FH38*$C$49)</f>
        <v/>
      </c>
      <c r="FE49" s="11" t="str">
        <f ca="1">IF(History!FI$2="","",History!FI38*$C$49)</f>
        <v/>
      </c>
      <c r="FF49" s="11" t="str">
        <f ca="1">IF(History!FJ$2="","",History!FJ38*$C$49)</f>
        <v/>
      </c>
      <c r="FG49" s="11" t="str">
        <f ca="1">IF(History!FK$2="","",History!FK38*$C$49)</f>
        <v/>
      </c>
      <c r="FH49" s="11" t="str">
        <f ca="1">IF(History!FL$2="","",History!FL38*$C$49)</f>
        <v/>
      </c>
      <c r="FI49" s="11" t="str">
        <f ca="1">IF(History!FM$2="","",History!FM38*$C$49)</f>
        <v/>
      </c>
      <c r="FJ49" s="11" t="str">
        <f ca="1">IF(History!FN$2="","",History!FN38*$C$49)</f>
        <v/>
      </c>
      <c r="FK49" s="11" t="str">
        <f ca="1">IF(History!FO$2="","",History!FO38*$C$49)</f>
        <v/>
      </c>
      <c r="FL49" s="11" t="str">
        <f ca="1">IF(History!FP$2="","",History!FP38*$C$49)</f>
        <v/>
      </c>
      <c r="FM49" s="11" t="str">
        <f ca="1">IF(History!FQ$2="","",History!FQ38*$C$49)</f>
        <v/>
      </c>
      <c r="FN49" s="11" t="str">
        <f ca="1">IF(History!FR$2="","",History!FR38*$C$49)</f>
        <v/>
      </c>
      <c r="FO49" s="11" t="str">
        <f ca="1">IF(History!FS$2="","",History!FS38*$C$49)</f>
        <v/>
      </c>
      <c r="FP49" s="11" t="str">
        <f ca="1">IF(History!FT$2="","",History!FT38*$C$49)</f>
        <v/>
      </c>
      <c r="FQ49" s="11" t="str">
        <f ca="1">IF(History!FU$2="","",History!FU38*$C$49)</f>
        <v/>
      </c>
      <c r="FR49" s="11" t="str">
        <f ca="1">IF(History!FV$2="","",History!FV38*$C$49)</f>
        <v/>
      </c>
      <c r="FS49" s="11" t="str">
        <f ca="1">IF(History!FW$2="","",History!FW38*$C$49)</f>
        <v/>
      </c>
      <c r="FT49" s="11" t="str">
        <f ca="1">IF(History!FX$2="","",History!FX38*$C$49)</f>
        <v/>
      </c>
      <c r="FU49" s="11" t="str">
        <f ca="1">IF(History!FY$2="","",History!FY38*$C$49)</f>
        <v/>
      </c>
      <c r="FV49" s="11" t="str">
        <f ca="1">IF(History!FZ$2="","",History!FZ38*$C$49)</f>
        <v/>
      </c>
      <c r="FW49" s="11" t="str">
        <f ca="1">IF(History!GA$2="","",History!GA38*$C$49)</f>
        <v/>
      </c>
      <c r="FX49" s="11" t="str">
        <f ca="1">IF(History!GB$2="","",History!GB38*$C$49)</f>
        <v/>
      </c>
      <c r="FY49" s="11" t="str">
        <f ca="1">IF(History!GC$2="","",History!GC38*$C$49)</f>
        <v/>
      </c>
      <c r="FZ49" s="11" t="str">
        <f ca="1">IF(History!GD$2="","",History!GD38*$C$49)</f>
        <v/>
      </c>
      <c r="GA49" s="11" t="str">
        <f ca="1">IF(History!GE$2="","",History!GE38*$C$49)</f>
        <v/>
      </c>
      <c r="GB49" s="11" t="str">
        <f ca="1">IF(History!GF$2="","",History!GF38*$C$49)</f>
        <v/>
      </c>
      <c r="GC49" s="11" t="str">
        <f ca="1">IF(History!GG$2="","",History!GG38*$C$49)</f>
        <v/>
      </c>
      <c r="GD49" s="11" t="str">
        <f ca="1">IF(History!GH$2="","",History!GH38*$C$49)</f>
        <v/>
      </c>
      <c r="GE49" s="11" t="str">
        <f ca="1">IF(History!GI$2="","",History!GI38*$C$49)</f>
        <v/>
      </c>
      <c r="GF49" s="11" t="str">
        <f ca="1">IF(History!GJ$2="","",History!GJ38*$C$49)</f>
        <v/>
      </c>
      <c r="GG49" s="11" t="str">
        <f ca="1">IF(History!GK$2="","",History!GK38*$C$49)</f>
        <v/>
      </c>
      <c r="GH49" s="11" t="str">
        <f ca="1">IF(History!GL$2="","",History!GL38*$C$49)</f>
        <v/>
      </c>
      <c r="GI49" s="11" t="str">
        <f ca="1">IF(History!GM$2="","",History!GM38*$C$49)</f>
        <v/>
      </c>
      <c r="GJ49" s="11" t="str">
        <f ca="1">IF(History!GN$2="","",History!GN38*$C$49)</f>
        <v/>
      </c>
      <c r="GK49" s="11" t="str">
        <f ca="1">IF(History!GO$2="","",History!GO38*$C$49)</f>
        <v/>
      </c>
      <c r="GL49" s="11" t="str">
        <f ca="1">IF(History!GP$2="","",History!GP38*$C$49)</f>
        <v/>
      </c>
      <c r="GM49" s="11" t="str">
        <f ca="1">IF(History!GQ$2="","",History!GQ38*$C$49)</f>
        <v/>
      </c>
      <c r="GN49" s="11" t="str">
        <f ca="1">IF(History!GR$2="","",History!GR38*$C$49)</f>
        <v/>
      </c>
      <c r="GO49" s="11" t="str">
        <f ca="1">IF(History!GS$2="","",History!GS38*$C$49)</f>
        <v/>
      </c>
      <c r="GP49" s="11" t="str">
        <f ca="1">IF(History!GT$2="","",History!GT38*$C$49)</f>
        <v/>
      </c>
      <c r="GQ49" s="11" t="str">
        <f ca="1">IF(History!GU$2="","",History!GU38*$C$49)</f>
        <v/>
      </c>
      <c r="GR49" s="11" t="str">
        <f ca="1">IF(History!GV$2="","",History!GV38*$C$49)</f>
        <v/>
      </c>
      <c r="GS49" s="11" t="str">
        <f ca="1">IF(History!GW$2="","",History!GW38*$C$49)</f>
        <v/>
      </c>
      <c r="GT49" s="11" t="str">
        <f ca="1">IF(History!GX$2="","",History!GX38*$C$49)</f>
        <v/>
      </c>
      <c r="GU49" s="11" t="str">
        <f ca="1">IF(History!GY$2="","",History!GY38*$C$49)</f>
        <v/>
      </c>
      <c r="GV49" s="11" t="str">
        <f ca="1">IF(History!GZ$2="","",History!GZ38*$C$49)</f>
        <v/>
      </c>
      <c r="GW49" s="11" t="str">
        <f ca="1">IF(History!HA$2="","",History!HA38*$C$49)</f>
        <v/>
      </c>
      <c r="GX49" s="11" t="str">
        <f ca="1">IF(History!HB$2="","",History!HB38*$C$49)</f>
        <v/>
      </c>
      <c r="GY49" s="11" t="str">
        <f ca="1">IF(History!HC$2="","",History!HC38*$C$49)</f>
        <v/>
      </c>
      <c r="GZ49" s="11" t="str">
        <f ca="1">IF(History!HD$2="","",History!HD38*$C$49)</f>
        <v/>
      </c>
      <c r="HA49" s="11" t="str">
        <f ca="1">IF(History!HE$2="","",History!HE38*$C$49)</f>
        <v/>
      </c>
      <c r="HB49" s="11" t="str">
        <f ca="1">IF(History!HF$2="","",History!HF38*$C$49)</f>
        <v/>
      </c>
      <c r="HC49" s="11" t="str">
        <f ca="1">IF(History!HG$2="","",History!HG38*$C$49)</f>
        <v/>
      </c>
      <c r="HD49" s="11" t="str">
        <f ca="1">IF(History!HH$2="","",History!HH38*$C$49)</f>
        <v/>
      </c>
      <c r="HE49" s="11" t="str">
        <f ca="1">IF(History!HI$2="","",History!HI38*$C$49)</f>
        <v/>
      </c>
      <c r="HF49" s="11" t="str">
        <f ca="1">IF(History!HJ$2="","",History!HJ38*$C$49)</f>
        <v/>
      </c>
      <c r="HG49" s="11" t="str">
        <f ca="1">IF(History!HK$2="","",History!HK38*$C$49)</f>
        <v/>
      </c>
      <c r="HH49" s="11" t="str">
        <f ca="1">IF(History!HL$2="","",History!HL38*$C$49)</f>
        <v/>
      </c>
      <c r="HI49" s="11" t="str">
        <f ca="1">IF(History!HM$2="","",History!HM38*$C$49)</f>
        <v/>
      </c>
      <c r="HJ49" s="11" t="str">
        <f ca="1">IF(History!HN$2="","",History!HN38*$C$49)</f>
        <v/>
      </c>
      <c r="HK49" s="11" t="str">
        <f ca="1">IF(History!HO$2="","",History!HO38*$C$49)</f>
        <v/>
      </c>
      <c r="HL49" s="11" t="str">
        <f ca="1">IF(History!HP$2="","",History!HP38*$C$49)</f>
        <v/>
      </c>
      <c r="HM49" s="11" t="str">
        <f ca="1">IF(History!HQ$2="","",History!HQ38*$C$49)</f>
        <v/>
      </c>
      <c r="HN49" s="11" t="str">
        <f ca="1">IF(History!HR$2="","",History!HR38*$C$49)</f>
        <v/>
      </c>
      <c r="HO49" s="11" t="str">
        <f ca="1">IF(History!HS$2="","",History!HS38*$C$49)</f>
        <v/>
      </c>
      <c r="HP49" s="11" t="str">
        <f ca="1">IF(History!HT$2="","",History!HT38*$C$49)</f>
        <v/>
      </c>
      <c r="HQ49" s="11" t="str">
        <f ca="1">IF(History!HU$2="","",History!HU38*$C$49)</f>
        <v/>
      </c>
      <c r="HR49" s="11" t="str">
        <f ca="1">IF(History!HV$2="","",History!HV38*$C$49)</f>
        <v/>
      </c>
      <c r="HS49" s="11" t="str">
        <f ca="1">IF(History!HW$2="","",History!HW38*$C$49)</f>
        <v/>
      </c>
      <c r="HT49" s="11" t="str">
        <f ca="1">IF(History!HX$2="","",History!HX38*$C$49)</f>
        <v/>
      </c>
      <c r="HU49" s="11" t="str">
        <f ca="1">IF(History!HY$2="","",History!HY38*$C$49)</f>
        <v/>
      </c>
      <c r="HV49" s="11" t="str">
        <f ca="1">IF(History!HZ$2="","",History!HZ38*$C$49)</f>
        <v/>
      </c>
      <c r="HW49" s="11" t="str">
        <f ca="1">IF(History!IA$2="","",History!IA38*$C$49)</f>
        <v/>
      </c>
      <c r="HX49" s="11" t="str">
        <f ca="1">IF(History!IB$2="","",History!IB38*$C$49)</f>
        <v/>
      </c>
      <c r="HY49" s="11" t="str">
        <f ca="1">IF(History!IC$2="","",History!IC38*$C$49)</f>
        <v/>
      </c>
      <c r="HZ49" s="11" t="str">
        <f ca="1">IF(History!ID$2="","",History!ID38*$C$49)</f>
        <v/>
      </c>
      <c r="IA49" s="11" t="str">
        <f ca="1">IF(History!IE$2="","",History!IE38*$C$49)</f>
        <v/>
      </c>
      <c r="IB49" s="11" t="str">
        <f ca="1">IF(History!IF$2="","",History!IF38*$C$49)</f>
        <v/>
      </c>
      <c r="IC49" s="11" t="str">
        <f ca="1">IF(History!IG$2="","",History!IG38*$C$49)</f>
        <v/>
      </c>
      <c r="ID49" s="11" t="str">
        <f ca="1">IF(History!IH$2="","",History!IH38*$C$49)</f>
        <v/>
      </c>
      <c r="IE49" s="11" t="str">
        <f ca="1">IF(History!II$2="","",History!II38*$C$49)</f>
        <v/>
      </c>
      <c r="IF49" s="11" t="str">
        <f ca="1">IF(History!IJ$2="","",History!IJ38*$C$49)</f>
        <v/>
      </c>
      <c r="IG49" s="11" t="str">
        <f ca="1">IF(History!IK$2="","",History!IK38*$C$49)</f>
        <v/>
      </c>
      <c r="IH49" s="11" t="str">
        <f ca="1">IF(History!IL$2="","",History!IL38*$C$49)</f>
        <v/>
      </c>
      <c r="II49" s="11" t="str">
        <f ca="1">IF(History!IM$2="","",History!IM38*$C$49)</f>
        <v/>
      </c>
      <c r="IJ49" s="11" t="str">
        <f ca="1">IF(History!IN$2="","",History!IN38*$C$49)</f>
        <v/>
      </c>
      <c r="IK49" s="11" t="str">
        <f ca="1">IF(History!IO$2="","",History!IO38*$C$49)</f>
        <v/>
      </c>
      <c r="IL49" s="11" t="str">
        <f ca="1">IF(History!IP$2="","",History!IP38*$C$49)</f>
        <v/>
      </c>
      <c r="IM49" s="11" t="str">
        <f ca="1">IF(History!IQ$2="","",History!IQ38*$C$49)</f>
        <v/>
      </c>
      <c r="IN49" s="11" t="str">
        <f ca="1">IF(History!IR$2="","",History!IR38*$C$49)</f>
        <v/>
      </c>
      <c r="IO49" s="11" t="str">
        <f ca="1">IF(History!IS$2="","",History!IS38*$C$49)</f>
        <v/>
      </c>
      <c r="IP49" s="11" t="str">
        <f ca="1">IF(History!IT$2="","",History!IT38*$C$49)</f>
        <v/>
      </c>
      <c r="IQ49" s="11" t="str">
        <f ca="1">IF(History!IU$2="","",History!IU38*$C$49)</f>
        <v/>
      </c>
      <c r="IR49" s="11" t="str">
        <f ca="1">IF(History!IV$2="","",History!IV38*$C$49)</f>
        <v/>
      </c>
      <c r="IS49" s="11" t="str">
        <f ca="1">IF(History!IW$2="","",History!IW38*$C$49)</f>
        <v/>
      </c>
      <c r="IT49" s="11" t="str">
        <f ca="1">IF(History!IX$2="","",History!IX38*$C$49)</f>
        <v/>
      </c>
      <c r="IU49" s="11" t="str">
        <f ca="1">IF(History!IY$2="","",History!IY38*$C$49)</f>
        <v/>
      </c>
      <c r="IV49" s="11" t="str">
        <f ca="1">IF(History!IZ$2="","",History!IZ38*$C$49)</f>
        <v/>
      </c>
      <c r="IW49" s="11" t="str">
        <f ca="1">IF(History!JA$2="","",History!JA38*$C$49)</f>
        <v/>
      </c>
      <c r="IX49" s="11" t="str">
        <f ca="1">IF(History!JB$2="","",History!JB38*$C$49)</f>
        <v/>
      </c>
      <c r="IY49" s="11" t="str">
        <f ca="1">IF(History!JC$2="","",History!JC38*$C$49)</f>
        <v/>
      </c>
      <c r="IZ49" s="11" t="str">
        <f ca="1">IF(History!JD$2="","",History!JD38*$C$49)</f>
        <v/>
      </c>
      <c r="JA49" s="11" t="str">
        <f ca="1">IF(History!JE$2="","",History!JE38*$C$49)</f>
        <v/>
      </c>
      <c r="JB49" s="11" t="str">
        <f ca="1">IF(History!JF$2="","",History!JF38*$C$49)</f>
        <v/>
      </c>
      <c r="JC49" s="11" t="str">
        <f ca="1">IF(History!JG$2="","",History!JG38*$C$49)</f>
        <v/>
      </c>
      <c r="JD49" s="11" t="str">
        <f ca="1">IF(History!JH$2="","",History!JH38*$C$49)</f>
        <v/>
      </c>
      <c r="JE49" s="11" t="str">
        <f ca="1">IF(History!JI$2="","",History!JI38*$C$49)</f>
        <v/>
      </c>
      <c r="JF49" s="11" t="str">
        <f ca="1">IF(History!JJ$2="","",History!JJ38*$C$49)</f>
        <v/>
      </c>
      <c r="JG49" s="11" t="str">
        <f ca="1">IF(History!JK$2="","",History!JK38*$C$49)</f>
        <v/>
      </c>
      <c r="JH49" s="11" t="str">
        <f ca="1">IF(History!JL$2="","",History!JL38*$C$49)</f>
        <v/>
      </c>
      <c r="JI49" s="11" t="str">
        <f ca="1">IF(History!JM$2="","",History!JM38*$C$49)</f>
        <v/>
      </c>
      <c r="JJ49" s="11" t="str">
        <f ca="1">IF(History!JN$2="","",History!JN38*$C$49)</f>
        <v/>
      </c>
      <c r="JK49" s="11" t="str">
        <f ca="1">IF(History!JO$2="","",History!JO38*$C$49)</f>
        <v/>
      </c>
      <c r="JL49" s="11" t="str">
        <f ca="1">IF(History!JP$2="","",History!JP38*$C$49)</f>
        <v/>
      </c>
      <c r="JM49" s="11" t="str">
        <f ca="1">IF(History!JQ$2="","",History!JQ38*$C$49)</f>
        <v/>
      </c>
      <c r="JN49" s="11" t="str">
        <f ca="1">IF(History!JR$2="","",History!JR38*$C$49)</f>
        <v/>
      </c>
      <c r="JO49" s="11" t="str">
        <f ca="1">IF(History!JS$2="","",History!JS38*$C$49)</f>
        <v/>
      </c>
      <c r="JP49" s="11" t="str">
        <f ca="1">IF(History!JT$2="","",History!JT38*$C$49)</f>
        <v/>
      </c>
      <c r="JQ49" s="11" t="str">
        <f ca="1">IF(History!JU$2="","",History!JU38*$C$49)</f>
        <v/>
      </c>
      <c r="JR49" s="11" t="str">
        <f ca="1">IF(History!JV$2="","",History!JV38*$C$49)</f>
        <v/>
      </c>
      <c r="JS49" s="11" t="str">
        <f ca="1">IF(History!JW$2="","",History!JW38*$C$49)</f>
        <v/>
      </c>
      <c r="JT49" s="11" t="str">
        <f ca="1">IF(History!JX$2="","",History!JX38*$C$49)</f>
        <v/>
      </c>
      <c r="JU49" s="11" t="str">
        <f ca="1">IF(History!JY$2="","",History!JY38*$C$49)</f>
        <v/>
      </c>
      <c r="JV49" s="11" t="str">
        <f ca="1">IF(History!JZ$2="","",History!JZ38*$C$49)</f>
        <v/>
      </c>
      <c r="JW49" s="11" t="str">
        <f ca="1">IF(History!KA$2="","",History!KA38*$C$49)</f>
        <v/>
      </c>
      <c r="JX49" s="11" t="str">
        <f ca="1">IF(History!KB$2="","",History!KB38*$C$49)</f>
        <v/>
      </c>
      <c r="JY49" s="11" t="str">
        <f ca="1">IF(History!KC$2="","",History!KC38*$C$49)</f>
        <v/>
      </c>
      <c r="JZ49" s="11" t="str">
        <f ca="1">IF(History!KD$2="","",History!KD38*$C$49)</f>
        <v/>
      </c>
      <c r="KA49" s="11" t="str">
        <f ca="1">IF(History!KE$2="","",History!KE38*$C$49)</f>
        <v/>
      </c>
      <c r="KB49" s="11" t="str">
        <f ca="1">IF(History!KF$2="","",History!KF38*$C$49)</f>
        <v/>
      </c>
    </row>
    <row r="50" spans="1:288" ht="15.75" customHeight="1">
      <c r="A50" s="22" t="s">
        <v>30</v>
      </c>
      <c r="B50" s="6" t="s">
        <v>82</v>
      </c>
      <c r="C50" s="26">
        <v>12</v>
      </c>
      <c r="D50" s="11">
        <f ca="1">IF(History!H$2="","",History!H39*$C$50)</f>
        <v>577.68000000000006</v>
      </c>
      <c r="E50" s="11">
        <f ca="1">IF(History!I$2="","",History!I39*$C$50)</f>
        <v>585.12</v>
      </c>
      <c r="F50" s="11">
        <f ca="1">IF(History!J$2="","",History!J39*$C$50)</f>
        <v>588.59999999999991</v>
      </c>
      <c r="G50" s="11">
        <f ca="1">IF(History!K$2="","",History!K39*$C$50)</f>
        <v>586.31999999999994</v>
      </c>
      <c r="H50" s="11">
        <f ca="1">IF(History!L$2="","",History!L39*$C$50)</f>
        <v>594.36</v>
      </c>
      <c r="I50" s="11">
        <f ca="1">IF(History!M$2="","",History!M39*$C$50)</f>
        <v>579.72</v>
      </c>
      <c r="J50" s="11">
        <f ca="1">IF(History!N$2="","",History!N39*$C$50)</f>
        <v>575.16</v>
      </c>
      <c r="K50" s="11">
        <f ca="1">IF(History!O$2="","",History!O39*$C$50)</f>
        <v>564</v>
      </c>
      <c r="L50" s="11">
        <f ca="1">IF(History!P$2="","",History!P39*$C$50)</f>
        <v>560.40000000000009</v>
      </c>
      <c r="M50" s="11">
        <f ca="1">IF(History!Q$2="","",History!Q39*$C$50)</f>
        <v>558</v>
      </c>
      <c r="N50" s="11">
        <f ca="1">IF(History!R$2="","",History!R39*$C$50)</f>
        <v>554.76</v>
      </c>
      <c r="O50" s="11">
        <f ca="1">IF(History!S$2="","",History!S39*$C$50)</f>
        <v>541.20000000000005</v>
      </c>
      <c r="P50" s="11">
        <f ca="1">IF(History!T$2="","",History!T39*$C$50)</f>
        <v>514.08000000000004</v>
      </c>
      <c r="Q50" s="11">
        <f ca="1">IF(History!U$2="","",History!U39*$C$50)</f>
        <v>516.84</v>
      </c>
      <c r="R50" s="11">
        <f ca="1">IF(History!V$2="","",History!V39*$C$50)</f>
        <v>519.36</v>
      </c>
      <c r="S50" s="11">
        <f ca="1">IF(History!W$2="","",History!W39*$C$50)</f>
        <v>528.48</v>
      </c>
      <c r="T50" s="11">
        <f ca="1">IF(History!X$2="","",History!X39*$C$50)</f>
        <v>526.68000000000006</v>
      </c>
      <c r="U50" s="11">
        <f ca="1">IF(History!Y$2="","",History!Y39*$C$50)</f>
        <v>523.43999999999994</v>
      </c>
      <c r="V50" s="11">
        <f ca="1">IF(History!Z$2="","",History!Z39*$C$50)</f>
        <v>529.56000000000006</v>
      </c>
      <c r="W50" s="11">
        <f ca="1">IF(History!AA$2="","",History!AA39*$C$50)</f>
        <v>530.16</v>
      </c>
      <c r="X50" s="11">
        <f ca="1">IF(History!AB$2="","",History!AB39*$C$50)</f>
        <v>553.79999999999995</v>
      </c>
      <c r="Y50" s="11">
        <f ca="1">IF(History!AC$2="","",History!AC39*$C$50)</f>
        <v>547.79999999999995</v>
      </c>
      <c r="Z50" s="11">
        <f ca="1">IF(History!AD$2="","",History!AD39*$C$50)</f>
        <v>533.28</v>
      </c>
      <c r="AA50" s="11">
        <f ca="1">IF(History!AE$2="","",History!AE39*$C$50)</f>
        <v>531.48</v>
      </c>
      <c r="AB50" s="11">
        <f ca="1">IF(History!AF$2="","",History!AF39*$C$50)</f>
        <v>532.68000000000006</v>
      </c>
      <c r="AC50" s="11">
        <f ca="1">IF(History!AG$2="","",History!AG39*$C$50)</f>
        <v>536.88</v>
      </c>
      <c r="AD50" s="11">
        <f ca="1">IF(History!AH$2="","",History!AH39*$C$50)</f>
        <v>545.16</v>
      </c>
      <c r="AE50" s="11">
        <f ca="1">IF(History!AI$2="","",History!AI39*$C$50)</f>
        <v>539.88</v>
      </c>
      <c r="AF50" s="11">
        <f ca="1">IF(History!AJ$2="","",History!AJ39*$C$50)</f>
        <v>529.91999999999996</v>
      </c>
      <c r="AG50" s="11">
        <f ca="1">IF(History!AK$2="","",History!AK39*$C$50)</f>
        <v>533.16</v>
      </c>
      <c r="AH50" s="11">
        <f ca="1">IF(History!AL$2="","",History!AL39*$C$50)</f>
        <v>528.12</v>
      </c>
      <c r="AI50" s="11">
        <f ca="1">IF(History!AM$2="","",History!AM39*$C$50)</f>
        <v>522.24</v>
      </c>
      <c r="AJ50" s="11">
        <f ca="1">IF(History!AN$2="","",History!AN39*$C$50)</f>
        <v>539.88</v>
      </c>
      <c r="AK50" s="11">
        <f ca="1">IF(History!AO$2="","",History!AO39*$C$50)</f>
        <v>547.68000000000006</v>
      </c>
      <c r="AL50" s="11">
        <f ca="1">IF(History!AP$2="","",History!AP39*$C$50)</f>
        <v>534</v>
      </c>
      <c r="AM50" s="11">
        <f ca="1">IF(History!AQ$2="","",History!AQ39*$C$50)</f>
        <v>550.20000000000005</v>
      </c>
      <c r="AN50" s="11">
        <f ca="1">IF(History!AR$2="","",History!AR39*$C$50)</f>
        <v>561</v>
      </c>
      <c r="AO50" s="11">
        <f ca="1">IF(History!AS$2="","",History!AS39*$C$50)</f>
        <v>536.28</v>
      </c>
      <c r="AP50" s="11">
        <f ca="1">IF(History!AT$2="","",History!AT39*$C$50)</f>
        <v>516.48</v>
      </c>
      <c r="AQ50" s="11">
        <f ca="1">IF(History!AU$2="","",History!AU39*$C$50)</f>
        <v>520.68000000000006</v>
      </c>
      <c r="AR50" s="11">
        <f ca="1">IF(History!AV$2="","",History!AV39*$C$50)</f>
        <v>521.88</v>
      </c>
      <c r="AS50" s="11">
        <f ca="1">IF(History!AW$2="","",History!AW39*$C$50)</f>
        <v>515.16</v>
      </c>
      <c r="AT50" s="11">
        <f ca="1">IF(History!AX$2="","",History!AX39*$C$50)</f>
        <v>509.64</v>
      </c>
      <c r="AU50" s="11">
        <f ca="1">IF(History!AY$2="","",History!AY39*$C$50)</f>
        <v>504.12</v>
      </c>
      <c r="AV50" s="11">
        <f ca="1">IF(History!AZ$2="","",History!AZ39*$C$50)</f>
        <v>504</v>
      </c>
      <c r="AW50" s="11">
        <f ca="1">IF(History!BA$2="","",History!BA39*$C$50)</f>
        <v>519.59999999999991</v>
      </c>
      <c r="AX50" s="11">
        <f ca="1">IF(History!BB$2="","",History!BB39*$C$50)</f>
        <v>528.59999999999991</v>
      </c>
      <c r="AY50" s="11">
        <f ca="1">IF(History!BC$2="","",History!BC39*$C$50)</f>
        <v>528.24</v>
      </c>
      <c r="AZ50" s="11">
        <f ca="1">IF(History!BD$2="","",History!BD39*$C$50)</f>
        <v>520.31999999999994</v>
      </c>
      <c r="BA50" s="11">
        <f ca="1">IF(History!BE$2="","",History!BE39*$C$50)</f>
        <v>539.64</v>
      </c>
      <c r="BB50" s="11">
        <f ca="1">IF(History!BF$2="","",History!BF39*$C$50)</f>
        <v>535.56000000000006</v>
      </c>
      <c r="BC50" s="11">
        <f ca="1">IF(History!BG$2="","",History!BG39*$C$50)</f>
        <v>542.40000000000009</v>
      </c>
      <c r="BD50" s="11">
        <f ca="1">IF(History!BH$2="","",History!BH39*$C$50)</f>
        <v>558.12</v>
      </c>
      <c r="BE50" s="11">
        <f ca="1">IF(History!BI$2="","",History!BI39*$C$50)</f>
        <v>531.96</v>
      </c>
      <c r="BF50" s="11">
        <f ca="1">IF(History!BJ$2="","",History!BJ39*$C$50)</f>
        <v>542.76</v>
      </c>
      <c r="BG50" s="11">
        <f ca="1">IF(History!BK$2="","",History!BK39*$C$50)</f>
        <v>519.24</v>
      </c>
      <c r="BH50" s="11">
        <f ca="1">IF(History!BL$2="","",History!BL39*$C$50)</f>
        <v>508.79999999999995</v>
      </c>
      <c r="BI50" s="11">
        <f ca="1">IF(History!BM$2="","",History!BM39*$C$50)</f>
        <v>504.84000000000003</v>
      </c>
      <c r="BJ50" s="11">
        <f ca="1">IF(History!BN$2="","",History!BN39*$C$50)</f>
        <v>519</v>
      </c>
      <c r="BK50" s="11">
        <f ca="1">IF(History!BO$2="","",History!BO39*$C$50)</f>
        <v>493.08000000000004</v>
      </c>
      <c r="BL50" s="11">
        <f ca="1">IF(History!BP$2="","",History!BP39*$C$50)</f>
        <v>473.04</v>
      </c>
      <c r="BM50" s="11">
        <f ca="1">IF(History!BQ$2="","",History!BQ39*$C$50)</f>
        <v>461.40000000000003</v>
      </c>
      <c r="BN50" s="11">
        <f ca="1">IF(History!BR$2="","",History!BR39*$C$50)</f>
        <v>451.68</v>
      </c>
      <c r="BO50" s="11">
        <f ca="1">IF(History!BS$2="","",History!BS39*$C$50)</f>
        <v>444.84000000000003</v>
      </c>
      <c r="BP50" s="11">
        <f ca="1">IF(History!BT$2="","",History!BT39*$C$50)</f>
        <v>444.12</v>
      </c>
      <c r="BQ50" s="11">
        <f ca="1">IF(History!BU$2="","",History!BU39*$C$50)</f>
        <v>455.88</v>
      </c>
      <c r="BR50" s="11">
        <f ca="1">IF(History!BV$2="","",History!BV39*$C$50)</f>
        <v>455.15999999999997</v>
      </c>
      <c r="BS50" s="11">
        <f ca="1">IF(History!BW$2="","",History!BW39*$C$50)</f>
        <v>453.59999999999997</v>
      </c>
      <c r="BT50" s="11">
        <f ca="1">IF(History!BX$2="","",History!BX39*$C$50)</f>
        <v>471.48</v>
      </c>
      <c r="BU50" s="11">
        <f ca="1">IF(History!BY$2="","",History!BY39*$C$50)</f>
        <v>472.68</v>
      </c>
      <c r="BV50" s="11">
        <f ca="1">IF(History!BZ$2="","",History!BZ39*$C$50)</f>
        <v>467.28</v>
      </c>
      <c r="BW50" s="11">
        <f ca="1">IF(History!CA$2="","",History!CA39*$C$50)</f>
        <v>457.08000000000004</v>
      </c>
      <c r="BX50" s="11">
        <f ca="1">IF(History!CB$2="","",History!CB39*$C$50)</f>
        <v>453.12</v>
      </c>
      <c r="BY50" s="11">
        <f ca="1">IF(History!CC$2="","",History!CC39*$C$50)</f>
        <v>435.84000000000003</v>
      </c>
      <c r="BZ50" s="11">
        <f ca="1">IF(History!CD$2="","",History!CD39*$C$50)</f>
        <v>430.91999999999996</v>
      </c>
      <c r="CA50" s="11">
        <f ca="1">IF(History!CE$2="","",History!CE39*$C$50)</f>
        <v>435.72</v>
      </c>
      <c r="CB50" s="11">
        <f ca="1">IF(History!CF$2="","",History!CF39*$C$50)</f>
        <v>425.40000000000003</v>
      </c>
      <c r="CC50" s="11">
        <f ca="1">IF(History!CG$2="","",History!CG39*$C$50)</f>
        <v>430.68</v>
      </c>
      <c r="CD50" s="11">
        <f ca="1">IF(History!CH$2="","",History!CH39*$C$50)</f>
        <v>434.04</v>
      </c>
      <c r="CE50" s="11">
        <f ca="1">IF(History!CI$2="","",History!CI39*$C$50)</f>
        <v>448.20000000000005</v>
      </c>
      <c r="CF50" s="11" t="str">
        <f ca="1">IF(History!CJ$2="","",History!CJ39*$C$50)</f>
        <v/>
      </c>
      <c r="CG50" s="11" t="str">
        <f ca="1">IF(History!CK$2="","",History!CK39*$C$50)</f>
        <v/>
      </c>
      <c r="CH50" s="11" t="str">
        <f ca="1">IF(History!CL$2="","",History!CL39*$C$50)</f>
        <v/>
      </c>
      <c r="CI50" s="11" t="str">
        <f ca="1">IF(History!CM$2="","",History!CM39*$C$50)</f>
        <v/>
      </c>
      <c r="CJ50" s="11" t="str">
        <f ca="1">IF(History!CN$2="","",History!CN39*$C$50)</f>
        <v/>
      </c>
      <c r="CK50" s="11" t="str">
        <f ca="1">IF(History!CO$2="","",History!CO39*$C$50)</f>
        <v/>
      </c>
      <c r="CL50" s="11" t="str">
        <f ca="1">IF(History!CP$2="","",History!CP39*$C$50)</f>
        <v/>
      </c>
      <c r="CM50" s="11" t="str">
        <f ca="1">IF(History!CQ$2="","",History!CQ39*$C$50)</f>
        <v/>
      </c>
      <c r="CN50" s="11" t="str">
        <f ca="1">IF(History!CR$2="","",History!CR39*$C$50)</f>
        <v/>
      </c>
      <c r="CO50" s="11" t="str">
        <f ca="1">IF(History!CS$2="","",History!CS39*$C$50)</f>
        <v/>
      </c>
      <c r="CP50" s="11" t="str">
        <f ca="1">IF(History!CT$2="","",History!CT39*$C$50)</f>
        <v/>
      </c>
      <c r="CQ50" s="11" t="str">
        <f ca="1">IF(History!CU$2="","",History!CU39*$C$50)</f>
        <v/>
      </c>
      <c r="CR50" s="11" t="str">
        <f ca="1">IF(History!CV$2="","",History!CV39*$C$50)</f>
        <v/>
      </c>
      <c r="CS50" s="11" t="str">
        <f ca="1">IF(History!CW$2="","",History!CW39*$C$50)</f>
        <v/>
      </c>
      <c r="CT50" s="11" t="str">
        <f ca="1">IF(History!CX$2="","",History!CX39*$C$50)</f>
        <v/>
      </c>
      <c r="CU50" s="11" t="str">
        <f ca="1">IF(History!CY$2="","",History!CY39*$C$50)</f>
        <v/>
      </c>
      <c r="CV50" s="11" t="str">
        <f ca="1">IF(History!CZ$2="","",History!CZ39*$C$50)</f>
        <v/>
      </c>
      <c r="CW50" s="11" t="str">
        <f ca="1">IF(History!DA$2="","",History!DA39*$C$50)</f>
        <v/>
      </c>
      <c r="CX50" s="11" t="str">
        <f ca="1">IF(History!DB$2="","",History!DB39*$C$50)</f>
        <v/>
      </c>
      <c r="CY50" s="11" t="str">
        <f ca="1">IF(History!DC$2="","",History!DC39*$C$50)</f>
        <v/>
      </c>
      <c r="CZ50" s="11" t="str">
        <f ca="1">IF(History!DD$2="","",History!DD39*$C$50)</f>
        <v/>
      </c>
      <c r="DA50" s="11" t="str">
        <f ca="1">IF(History!DE$2="","",History!DE39*$C$50)</f>
        <v/>
      </c>
      <c r="DB50" s="11" t="str">
        <f ca="1">IF(History!DF$2="","",History!DF39*$C$50)</f>
        <v/>
      </c>
      <c r="DC50" s="11" t="str">
        <f ca="1">IF(History!DG$2="","",History!DG39*$C$50)</f>
        <v/>
      </c>
      <c r="DD50" s="11" t="str">
        <f ca="1">IF(History!DH$2="","",History!DH39*$C$50)</f>
        <v/>
      </c>
      <c r="DE50" s="11" t="str">
        <f ca="1">IF(History!DI$2="","",History!DI39*$C$50)</f>
        <v/>
      </c>
      <c r="DF50" s="11" t="str">
        <f ca="1">IF(History!DJ$2="","",History!DJ39*$C$50)</f>
        <v/>
      </c>
      <c r="DG50" s="11" t="str">
        <f ca="1">IF(History!DK$2="","",History!DK39*$C$50)</f>
        <v/>
      </c>
      <c r="DH50" s="11" t="str">
        <f ca="1">IF(History!DL$2="","",History!DL39*$C$50)</f>
        <v/>
      </c>
      <c r="DI50" s="11" t="str">
        <f ca="1">IF(History!DM$2="","",History!DM39*$C$50)</f>
        <v/>
      </c>
      <c r="DJ50" s="11" t="str">
        <f ca="1">IF(History!DN$2="","",History!DN39*$C$50)</f>
        <v/>
      </c>
      <c r="DK50" s="11" t="str">
        <f ca="1">IF(History!DO$2="","",History!DO39*$C$50)</f>
        <v/>
      </c>
      <c r="DL50" s="11" t="str">
        <f ca="1">IF(History!DP$2="","",History!DP39*$C$50)</f>
        <v/>
      </c>
      <c r="DM50" s="11" t="str">
        <f ca="1">IF(History!DQ$2="","",History!DQ39*$C$50)</f>
        <v/>
      </c>
      <c r="DN50" s="11" t="str">
        <f ca="1">IF(History!DR$2="","",History!DR39*$C$50)</f>
        <v/>
      </c>
      <c r="DO50" s="11" t="str">
        <f ca="1">IF(History!DS$2="","",History!DS39*$C$50)</f>
        <v/>
      </c>
      <c r="DP50" s="11" t="str">
        <f ca="1">IF(History!DT$2="","",History!DT39*$C$50)</f>
        <v/>
      </c>
      <c r="DQ50" s="11" t="str">
        <f ca="1">IF(History!DU$2="","",History!DU39*$C$50)</f>
        <v/>
      </c>
      <c r="DR50" s="11" t="str">
        <f ca="1">IF(History!DV$2="","",History!DV39*$C$50)</f>
        <v/>
      </c>
      <c r="DS50" s="11" t="str">
        <f ca="1">IF(History!DW$2="","",History!DW39*$C$50)</f>
        <v/>
      </c>
      <c r="DT50" s="11" t="str">
        <f ca="1">IF(History!DX$2="","",History!DX39*$C$50)</f>
        <v/>
      </c>
      <c r="DU50" s="11" t="str">
        <f ca="1">IF(History!DY$2="","",History!DY39*$C$50)</f>
        <v/>
      </c>
      <c r="DV50" s="11" t="str">
        <f ca="1">IF(History!DZ$2="","",History!DZ39*$C$50)</f>
        <v/>
      </c>
      <c r="DW50" s="11" t="str">
        <f ca="1">IF(History!EA$2="","",History!EA39*$C$50)</f>
        <v/>
      </c>
      <c r="DX50" s="11" t="str">
        <f ca="1">IF(History!EB$2="","",History!EB39*$C$50)</f>
        <v/>
      </c>
      <c r="DY50" s="11" t="str">
        <f ca="1">IF(History!EC$2="","",History!EC39*$C$50)</f>
        <v/>
      </c>
      <c r="DZ50" s="11" t="str">
        <f ca="1">IF(History!ED$2="","",History!ED39*$C$50)</f>
        <v/>
      </c>
      <c r="EA50" s="11" t="str">
        <f ca="1">IF(History!EE$2="","",History!EE39*$C$50)</f>
        <v/>
      </c>
      <c r="EB50" s="11" t="str">
        <f ca="1">IF(History!EF$2="","",History!EF39*$C$50)</f>
        <v/>
      </c>
      <c r="EC50" s="11" t="str">
        <f ca="1">IF(History!EG$2="","",History!EG39*$C$50)</f>
        <v/>
      </c>
      <c r="ED50" s="11" t="str">
        <f ca="1">IF(History!EH$2="","",History!EH39*$C$50)</f>
        <v/>
      </c>
      <c r="EE50" s="11" t="str">
        <f ca="1">IF(History!EI$2="","",History!EI39*$C$50)</f>
        <v/>
      </c>
      <c r="EF50" s="11" t="str">
        <f ca="1">IF(History!EJ$2="","",History!EJ39*$C$50)</f>
        <v/>
      </c>
      <c r="EG50" s="11" t="str">
        <f ca="1">IF(History!EK$2="","",History!EK39*$C$50)</f>
        <v/>
      </c>
      <c r="EH50" s="11" t="str">
        <f ca="1">IF(History!EL$2="","",History!EL39*$C$50)</f>
        <v/>
      </c>
      <c r="EI50" s="11" t="str">
        <f ca="1">IF(History!EM$2="","",History!EM39*$C$50)</f>
        <v/>
      </c>
      <c r="EJ50" s="11" t="str">
        <f ca="1">IF(History!EN$2="","",History!EN39*$C$50)</f>
        <v/>
      </c>
      <c r="EK50" s="11" t="str">
        <f ca="1">IF(History!EO$2="","",History!EO39*$C$50)</f>
        <v/>
      </c>
      <c r="EL50" s="11" t="str">
        <f ca="1">IF(History!EP$2="","",History!EP39*$C$50)</f>
        <v/>
      </c>
      <c r="EM50" s="11" t="str">
        <f ca="1">IF(History!EQ$2="","",History!EQ39*$C$50)</f>
        <v/>
      </c>
      <c r="EN50" s="11" t="str">
        <f ca="1">IF(History!ER$2="","",History!ER39*$C$50)</f>
        <v/>
      </c>
      <c r="EO50" s="11" t="str">
        <f ca="1">IF(History!ES$2="","",History!ES39*$C$50)</f>
        <v/>
      </c>
      <c r="EP50" s="11" t="str">
        <f ca="1">IF(History!ET$2="","",History!ET39*$C$50)</f>
        <v/>
      </c>
      <c r="EQ50" s="11" t="str">
        <f ca="1">IF(History!EU$2="","",History!EU39*$C$50)</f>
        <v/>
      </c>
      <c r="ER50" s="11" t="str">
        <f ca="1">IF(History!EV$2="","",History!EV39*$C$50)</f>
        <v/>
      </c>
      <c r="ES50" s="11" t="str">
        <f ca="1">IF(History!EW$2="","",History!EW39*$C$50)</f>
        <v/>
      </c>
      <c r="ET50" s="11" t="str">
        <f ca="1">IF(History!EX$2="","",History!EX39*$C$50)</f>
        <v/>
      </c>
      <c r="EU50" s="11" t="str">
        <f ca="1">IF(History!EY$2="","",History!EY39*$C$50)</f>
        <v/>
      </c>
      <c r="EV50" s="11" t="str">
        <f ca="1">IF(History!EZ$2="","",History!EZ39*$C$50)</f>
        <v/>
      </c>
      <c r="EW50" s="11" t="str">
        <f ca="1">IF(History!FA$2="","",History!FA39*$C$50)</f>
        <v/>
      </c>
      <c r="EX50" s="11" t="str">
        <f ca="1">IF(History!FB$2="","",History!FB39*$C$50)</f>
        <v/>
      </c>
      <c r="EY50" s="11" t="str">
        <f ca="1">IF(History!FC$2="","",History!FC39*$C$50)</f>
        <v/>
      </c>
      <c r="EZ50" s="11" t="str">
        <f ca="1">IF(History!FD$2="","",History!FD39*$C$50)</f>
        <v/>
      </c>
      <c r="FA50" s="11" t="str">
        <f ca="1">IF(History!FE$2="","",History!FE39*$C$50)</f>
        <v/>
      </c>
      <c r="FB50" s="11" t="str">
        <f ca="1">IF(History!FF$2="","",History!FF39*$C$50)</f>
        <v/>
      </c>
      <c r="FC50" s="11" t="str">
        <f ca="1">IF(History!FG$2="","",History!FG39*$C$50)</f>
        <v/>
      </c>
      <c r="FD50" s="11" t="str">
        <f ca="1">IF(History!FH$2="","",History!FH39*$C$50)</f>
        <v/>
      </c>
      <c r="FE50" s="11" t="str">
        <f ca="1">IF(History!FI$2="","",History!FI39*$C$50)</f>
        <v/>
      </c>
      <c r="FF50" s="11" t="str">
        <f ca="1">IF(History!FJ$2="","",History!FJ39*$C$50)</f>
        <v/>
      </c>
      <c r="FG50" s="11" t="str">
        <f ca="1">IF(History!FK$2="","",History!FK39*$C$50)</f>
        <v/>
      </c>
      <c r="FH50" s="11" t="str">
        <f ca="1">IF(History!FL$2="","",History!FL39*$C$50)</f>
        <v/>
      </c>
      <c r="FI50" s="11" t="str">
        <f ca="1">IF(History!FM$2="","",History!FM39*$C$50)</f>
        <v/>
      </c>
      <c r="FJ50" s="11" t="str">
        <f ca="1">IF(History!FN$2="","",History!FN39*$C$50)</f>
        <v/>
      </c>
      <c r="FK50" s="11" t="str">
        <f ca="1">IF(History!FO$2="","",History!FO39*$C$50)</f>
        <v/>
      </c>
      <c r="FL50" s="11" t="str">
        <f ca="1">IF(History!FP$2="","",History!FP39*$C$50)</f>
        <v/>
      </c>
      <c r="FM50" s="11" t="str">
        <f ca="1">IF(History!FQ$2="","",History!FQ39*$C$50)</f>
        <v/>
      </c>
      <c r="FN50" s="11" t="str">
        <f ca="1">IF(History!FR$2="","",History!FR39*$C$50)</f>
        <v/>
      </c>
      <c r="FO50" s="11" t="str">
        <f ca="1">IF(History!FS$2="","",History!FS39*$C$50)</f>
        <v/>
      </c>
      <c r="FP50" s="11" t="str">
        <f ca="1">IF(History!FT$2="","",History!FT39*$C$50)</f>
        <v/>
      </c>
      <c r="FQ50" s="11" t="str">
        <f ca="1">IF(History!FU$2="","",History!FU39*$C$50)</f>
        <v/>
      </c>
      <c r="FR50" s="11" t="str">
        <f ca="1">IF(History!FV$2="","",History!FV39*$C$50)</f>
        <v/>
      </c>
      <c r="FS50" s="11" t="str">
        <f ca="1">IF(History!FW$2="","",History!FW39*$C$50)</f>
        <v/>
      </c>
      <c r="FT50" s="11" t="str">
        <f ca="1">IF(History!FX$2="","",History!FX39*$C$50)</f>
        <v/>
      </c>
      <c r="FU50" s="11" t="str">
        <f ca="1">IF(History!FY$2="","",History!FY39*$C$50)</f>
        <v/>
      </c>
      <c r="FV50" s="11" t="str">
        <f ca="1">IF(History!FZ$2="","",History!FZ39*$C$50)</f>
        <v/>
      </c>
      <c r="FW50" s="11" t="str">
        <f ca="1">IF(History!GA$2="","",History!GA39*$C$50)</f>
        <v/>
      </c>
      <c r="FX50" s="11" t="str">
        <f ca="1">IF(History!GB$2="","",History!GB39*$C$50)</f>
        <v/>
      </c>
      <c r="FY50" s="11" t="str">
        <f ca="1">IF(History!GC$2="","",History!GC39*$C$50)</f>
        <v/>
      </c>
      <c r="FZ50" s="11" t="str">
        <f ca="1">IF(History!GD$2="","",History!GD39*$C$50)</f>
        <v/>
      </c>
      <c r="GA50" s="11" t="str">
        <f ca="1">IF(History!GE$2="","",History!GE39*$C$50)</f>
        <v/>
      </c>
      <c r="GB50" s="11" t="str">
        <f ca="1">IF(History!GF$2="","",History!GF39*$C$50)</f>
        <v/>
      </c>
      <c r="GC50" s="11" t="str">
        <f ca="1">IF(History!GG$2="","",History!GG39*$C$50)</f>
        <v/>
      </c>
      <c r="GD50" s="11" t="str">
        <f ca="1">IF(History!GH$2="","",History!GH39*$C$50)</f>
        <v/>
      </c>
      <c r="GE50" s="11" t="str">
        <f ca="1">IF(History!GI$2="","",History!GI39*$C$50)</f>
        <v/>
      </c>
      <c r="GF50" s="11" t="str">
        <f ca="1">IF(History!GJ$2="","",History!GJ39*$C$50)</f>
        <v/>
      </c>
      <c r="GG50" s="11" t="str">
        <f ca="1">IF(History!GK$2="","",History!GK39*$C$50)</f>
        <v/>
      </c>
      <c r="GH50" s="11" t="str">
        <f ca="1">IF(History!GL$2="","",History!GL39*$C$50)</f>
        <v/>
      </c>
      <c r="GI50" s="11" t="str">
        <f ca="1">IF(History!GM$2="","",History!GM39*$C$50)</f>
        <v/>
      </c>
      <c r="GJ50" s="11" t="str">
        <f ca="1">IF(History!GN$2="","",History!GN39*$C$50)</f>
        <v/>
      </c>
      <c r="GK50" s="11" t="str">
        <f ca="1">IF(History!GO$2="","",History!GO39*$C$50)</f>
        <v/>
      </c>
      <c r="GL50" s="11" t="str">
        <f ca="1">IF(History!GP$2="","",History!GP39*$C$50)</f>
        <v/>
      </c>
      <c r="GM50" s="11" t="str">
        <f ca="1">IF(History!GQ$2="","",History!GQ39*$C$50)</f>
        <v/>
      </c>
      <c r="GN50" s="11" t="str">
        <f ca="1">IF(History!GR$2="","",History!GR39*$C$50)</f>
        <v/>
      </c>
      <c r="GO50" s="11" t="str">
        <f ca="1">IF(History!GS$2="","",History!GS39*$C$50)</f>
        <v/>
      </c>
      <c r="GP50" s="11" t="str">
        <f ca="1">IF(History!GT$2="","",History!GT39*$C$50)</f>
        <v/>
      </c>
      <c r="GQ50" s="11" t="str">
        <f ca="1">IF(History!GU$2="","",History!GU39*$C$50)</f>
        <v/>
      </c>
      <c r="GR50" s="11" t="str">
        <f ca="1">IF(History!GV$2="","",History!GV39*$C$50)</f>
        <v/>
      </c>
      <c r="GS50" s="11" t="str">
        <f ca="1">IF(History!GW$2="","",History!GW39*$C$50)</f>
        <v/>
      </c>
      <c r="GT50" s="11" t="str">
        <f ca="1">IF(History!GX$2="","",History!GX39*$C$50)</f>
        <v/>
      </c>
      <c r="GU50" s="11" t="str">
        <f ca="1">IF(History!GY$2="","",History!GY39*$C$50)</f>
        <v/>
      </c>
      <c r="GV50" s="11" t="str">
        <f ca="1">IF(History!GZ$2="","",History!GZ39*$C$50)</f>
        <v/>
      </c>
      <c r="GW50" s="11" t="str">
        <f ca="1">IF(History!HA$2="","",History!HA39*$C$50)</f>
        <v/>
      </c>
      <c r="GX50" s="11" t="str">
        <f ca="1">IF(History!HB$2="","",History!HB39*$C$50)</f>
        <v/>
      </c>
      <c r="GY50" s="11" t="str">
        <f ca="1">IF(History!HC$2="","",History!HC39*$C$50)</f>
        <v/>
      </c>
      <c r="GZ50" s="11" t="str">
        <f ca="1">IF(History!HD$2="","",History!HD39*$C$50)</f>
        <v/>
      </c>
      <c r="HA50" s="11" t="str">
        <f ca="1">IF(History!HE$2="","",History!HE39*$C$50)</f>
        <v/>
      </c>
      <c r="HB50" s="11" t="str">
        <f ca="1">IF(History!HF$2="","",History!HF39*$C$50)</f>
        <v/>
      </c>
      <c r="HC50" s="11" t="str">
        <f ca="1">IF(History!HG$2="","",History!HG39*$C$50)</f>
        <v/>
      </c>
      <c r="HD50" s="11" t="str">
        <f ca="1">IF(History!HH$2="","",History!HH39*$C$50)</f>
        <v/>
      </c>
      <c r="HE50" s="11" t="str">
        <f ca="1">IF(History!HI$2="","",History!HI39*$C$50)</f>
        <v/>
      </c>
      <c r="HF50" s="11" t="str">
        <f ca="1">IF(History!HJ$2="","",History!HJ39*$C$50)</f>
        <v/>
      </c>
      <c r="HG50" s="11" t="str">
        <f ca="1">IF(History!HK$2="","",History!HK39*$C$50)</f>
        <v/>
      </c>
      <c r="HH50" s="11" t="str">
        <f ca="1">IF(History!HL$2="","",History!HL39*$C$50)</f>
        <v/>
      </c>
      <c r="HI50" s="11" t="str">
        <f ca="1">IF(History!HM$2="","",History!HM39*$C$50)</f>
        <v/>
      </c>
      <c r="HJ50" s="11" t="str">
        <f ca="1">IF(History!HN$2="","",History!HN39*$C$50)</f>
        <v/>
      </c>
      <c r="HK50" s="11" t="str">
        <f ca="1">IF(History!HO$2="","",History!HO39*$C$50)</f>
        <v/>
      </c>
      <c r="HL50" s="11" t="str">
        <f ca="1">IF(History!HP$2="","",History!HP39*$C$50)</f>
        <v/>
      </c>
      <c r="HM50" s="11" t="str">
        <f ca="1">IF(History!HQ$2="","",History!HQ39*$C$50)</f>
        <v/>
      </c>
      <c r="HN50" s="11" t="str">
        <f ca="1">IF(History!HR$2="","",History!HR39*$C$50)</f>
        <v/>
      </c>
      <c r="HO50" s="11" t="str">
        <f ca="1">IF(History!HS$2="","",History!HS39*$C$50)</f>
        <v/>
      </c>
      <c r="HP50" s="11" t="str">
        <f ca="1">IF(History!HT$2="","",History!HT39*$C$50)</f>
        <v/>
      </c>
      <c r="HQ50" s="11" t="str">
        <f ca="1">IF(History!HU$2="","",History!HU39*$C$50)</f>
        <v/>
      </c>
      <c r="HR50" s="11" t="str">
        <f ca="1">IF(History!HV$2="","",History!HV39*$C$50)</f>
        <v/>
      </c>
      <c r="HS50" s="11" t="str">
        <f ca="1">IF(History!HW$2="","",History!HW39*$C$50)</f>
        <v/>
      </c>
      <c r="HT50" s="11" t="str">
        <f ca="1">IF(History!HX$2="","",History!HX39*$C$50)</f>
        <v/>
      </c>
      <c r="HU50" s="11" t="str">
        <f ca="1">IF(History!HY$2="","",History!HY39*$C$50)</f>
        <v/>
      </c>
      <c r="HV50" s="11" t="str">
        <f ca="1">IF(History!HZ$2="","",History!HZ39*$C$50)</f>
        <v/>
      </c>
      <c r="HW50" s="11" t="str">
        <f ca="1">IF(History!IA$2="","",History!IA39*$C$50)</f>
        <v/>
      </c>
      <c r="HX50" s="11" t="str">
        <f ca="1">IF(History!IB$2="","",History!IB39*$C$50)</f>
        <v/>
      </c>
      <c r="HY50" s="11" t="str">
        <f ca="1">IF(History!IC$2="","",History!IC39*$C$50)</f>
        <v/>
      </c>
      <c r="HZ50" s="11" t="str">
        <f ca="1">IF(History!ID$2="","",History!ID39*$C$50)</f>
        <v/>
      </c>
      <c r="IA50" s="11" t="str">
        <f ca="1">IF(History!IE$2="","",History!IE39*$C$50)</f>
        <v/>
      </c>
      <c r="IB50" s="11" t="str">
        <f ca="1">IF(History!IF$2="","",History!IF39*$C$50)</f>
        <v/>
      </c>
      <c r="IC50" s="11" t="str">
        <f ca="1">IF(History!IG$2="","",History!IG39*$C$50)</f>
        <v/>
      </c>
      <c r="ID50" s="11" t="str">
        <f ca="1">IF(History!IH$2="","",History!IH39*$C$50)</f>
        <v/>
      </c>
      <c r="IE50" s="11" t="str">
        <f ca="1">IF(History!II$2="","",History!II39*$C$50)</f>
        <v/>
      </c>
      <c r="IF50" s="11" t="str">
        <f ca="1">IF(History!IJ$2="","",History!IJ39*$C$50)</f>
        <v/>
      </c>
      <c r="IG50" s="11" t="str">
        <f ca="1">IF(History!IK$2="","",History!IK39*$C$50)</f>
        <v/>
      </c>
      <c r="IH50" s="11" t="str">
        <f ca="1">IF(History!IL$2="","",History!IL39*$C$50)</f>
        <v/>
      </c>
      <c r="II50" s="11" t="str">
        <f ca="1">IF(History!IM$2="","",History!IM39*$C$50)</f>
        <v/>
      </c>
      <c r="IJ50" s="11" t="str">
        <f ca="1">IF(History!IN$2="","",History!IN39*$C$50)</f>
        <v/>
      </c>
      <c r="IK50" s="11" t="str">
        <f ca="1">IF(History!IO$2="","",History!IO39*$C$50)</f>
        <v/>
      </c>
      <c r="IL50" s="11" t="str">
        <f ca="1">IF(History!IP$2="","",History!IP39*$C$50)</f>
        <v/>
      </c>
      <c r="IM50" s="11" t="str">
        <f ca="1">IF(History!IQ$2="","",History!IQ39*$C$50)</f>
        <v/>
      </c>
      <c r="IN50" s="11" t="str">
        <f ca="1">IF(History!IR$2="","",History!IR39*$C$50)</f>
        <v/>
      </c>
      <c r="IO50" s="11" t="str">
        <f ca="1">IF(History!IS$2="","",History!IS39*$C$50)</f>
        <v/>
      </c>
      <c r="IP50" s="11" t="str">
        <f ca="1">IF(History!IT$2="","",History!IT39*$C$50)</f>
        <v/>
      </c>
      <c r="IQ50" s="11" t="str">
        <f ca="1">IF(History!IU$2="","",History!IU39*$C$50)</f>
        <v/>
      </c>
      <c r="IR50" s="11" t="str">
        <f ca="1">IF(History!IV$2="","",History!IV39*$C$50)</f>
        <v/>
      </c>
      <c r="IS50" s="11" t="str">
        <f ca="1">IF(History!IW$2="","",History!IW39*$C$50)</f>
        <v/>
      </c>
      <c r="IT50" s="11" t="str">
        <f ca="1">IF(History!IX$2="","",History!IX39*$C$50)</f>
        <v/>
      </c>
      <c r="IU50" s="11" t="str">
        <f ca="1">IF(History!IY$2="","",History!IY39*$C$50)</f>
        <v/>
      </c>
      <c r="IV50" s="11" t="str">
        <f ca="1">IF(History!IZ$2="","",History!IZ39*$C$50)</f>
        <v/>
      </c>
      <c r="IW50" s="11" t="str">
        <f ca="1">IF(History!JA$2="","",History!JA39*$C$50)</f>
        <v/>
      </c>
      <c r="IX50" s="11" t="str">
        <f ca="1">IF(History!JB$2="","",History!JB39*$C$50)</f>
        <v/>
      </c>
      <c r="IY50" s="11" t="str">
        <f ca="1">IF(History!JC$2="","",History!JC39*$C$50)</f>
        <v/>
      </c>
      <c r="IZ50" s="11" t="str">
        <f ca="1">IF(History!JD$2="","",History!JD39*$C$50)</f>
        <v/>
      </c>
      <c r="JA50" s="11" t="str">
        <f ca="1">IF(History!JE$2="","",History!JE39*$C$50)</f>
        <v/>
      </c>
      <c r="JB50" s="11" t="str">
        <f ca="1">IF(History!JF$2="","",History!JF39*$C$50)</f>
        <v/>
      </c>
      <c r="JC50" s="11" t="str">
        <f ca="1">IF(History!JG$2="","",History!JG39*$C$50)</f>
        <v/>
      </c>
      <c r="JD50" s="11" t="str">
        <f ca="1">IF(History!JH$2="","",History!JH39*$C$50)</f>
        <v/>
      </c>
      <c r="JE50" s="11" t="str">
        <f ca="1">IF(History!JI$2="","",History!JI39*$C$50)</f>
        <v/>
      </c>
      <c r="JF50" s="11" t="str">
        <f ca="1">IF(History!JJ$2="","",History!JJ39*$C$50)</f>
        <v/>
      </c>
      <c r="JG50" s="11" t="str">
        <f ca="1">IF(History!JK$2="","",History!JK39*$C$50)</f>
        <v/>
      </c>
      <c r="JH50" s="11" t="str">
        <f ca="1">IF(History!JL$2="","",History!JL39*$C$50)</f>
        <v/>
      </c>
      <c r="JI50" s="11" t="str">
        <f ca="1">IF(History!JM$2="","",History!JM39*$C$50)</f>
        <v/>
      </c>
      <c r="JJ50" s="11" t="str">
        <f ca="1">IF(History!JN$2="","",History!JN39*$C$50)</f>
        <v/>
      </c>
      <c r="JK50" s="11" t="str">
        <f ca="1">IF(History!JO$2="","",History!JO39*$C$50)</f>
        <v/>
      </c>
      <c r="JL50" s="11" t="str">
        <f ca="1">IF(History!JP$2="","",History!JP39*$C$50)</f>
        <v/>
      </c>
      <c r="JM50" s="11" t="str">
        <f ca="1">IF(History!JQ$2="","",History!JQ39*$C$50)</f>
        <v/>
      </c>
      <c r="JN50" s="11" t="str">
        <f ca="1">IF(History!JR$2="","",History!JR39*$C$50)</f>
        <v/>
      </c>
      <c r="JO50" s="11" t="str">
        <f ca="1">IF(History!JS$2="","",History!JS39*$C$50)</f>
        <v/>
      </c>
      <c r="JP50" s="11" t="str">
        <f ca="1">IF(History!JT$2="","",History!JT39*$C$50)</f>
        <v/>
      </c>
      <c r="JQ50" s="11" t="str">
        <f ca="1">IF(History!JU$2="","",History!JU39*$C$50)</f>
        <v/>
      </c>
      <c r="JR50" s="11" t="str">
        <f ca="1">IF(History!JV$2="","",History!JV39*$C$50)</f>
        <v/>
      </c>
      <c r="JS50" s="11" t="str">
        <f ca="1">IF(History!JW$2="","",History!JW39*$C$50)</f>
        <v/>
      </c>
      <c r="JT50" s="11" t="str">
        <f ca="1">IF(History!JX$2="","",History!JX39*$C$50)</f>
        <v/>
      </c>
      <c r="JU50" s="11" t="str">
        <f ca="1">IF(History!JY$2="","",History!JY39*$C$50)</f>
        <v/>
      </c>
      <c r="JV50" s="11" t="str">
        <f ca="1">IF(History!JZ$2="","",History!JZ39*$C$50)</f>
        <v/>
      </c>
      <c r="JW50" s="11" t="str">
        <f ca="1">IF(History!KA$2="","",History!KA39*$C$50)</f>
        <v/>
      </c>
      <c r="JX50" s="11" t="str">
        <f ca="1">IF(History!KB$2="","",History!KB39*$C$50)</f>
        <v/>
      </c>
      <c r="JY50" s="11" t="str">
        <f ca="1">IF(History!KC$2="","",History!KC39*$C$50)</f>
        <v/>
      </c>
      <c r="JZ50" s="11" t="str">
        <f ca="1">IF(History!KD$2="","",History!KD39*$C$50)</f>
        <v/>
      </c>
      <c r="KA50" s="11" t="str">
        <f ca="1">IF(History!KE$2="","",History!KE39*$C$50)</f>
        <v/>
      </c>
      <c r="KB50" s="11" t="str">
        <f ca="1">IF(History!KF$2="","",History!KF39*$C$50)</f>
        <v/>
      </c>
    </row>
    <row r="51" spans="1:288" ht="15.75" customHeight="1">
      <c r="A51" s="22" t="s">
        <v>30</v>
      </c>
      <c r="B51" s="6" t="s">
        <v>33</v>
      </c>
      <c r="C51" s="26">
        <v>18</v>
      </c>
      <c r="D51" s="11">
        <f ca="1">IF(History!H$2="","",History!H40*$C$51)</f>
        <v>475.02</v>
      </c>
      <c r="E51" s="11">
        <f ca="1">IF(History!I$2="","",History!I40*$C$51)</f>
        <v>487.26</v>
      </c>
      <c r="F51" s="11">
        <f ca="1">IF(History!J$2="","",History!J40*$C$51)</f>
        <v>485.64</v>
      </c>
      <c r="G51" s="11">
        <f ca="1">IF(History!K$2="","",History!K40*$C$51)</f>
        <v>477</v>
      </c>
      <c r="H51" s="11">
        <f ca="1">IF(History!L$2="","",History!L40*$C$51)</f>
        <v>491.21999999999997</v>
      </c>
      <c r="I51" s="11">
        <f ca="1">IF(History!M$2="","",History!M40*$C$51)</f>
        <v>472.32</v>
      </c>
      <c r="J51" s="11">
        <f ca="1">IF(History!N$2="","",History!N40*$C$51)</f>
        <v>466.2</v>
      </c>
      <c r="K51" s="11">
        <f ca="1">IF(History!O$2="","",History!O40*$C$51)</f>
        <v>465.48</v>
      </c>
      <c r="L51" s="11">
        <f ca="1">IF(History!P$2="","",History!P40*$C$51)</f>
        <v>454.14</v>
      </c>
      <c r="M51" s="11">
        <f ca="1">IF(History!Q$2="","",History!Q40*$C$51)</f>
        <v>467.64</v>
      </c>
      <c r="N51" s="11">
        <f ca="1">IF(History!R$2="","",History!R40*$C$51)</f>
        <v>450.90000000000003</v>
      </c>
      <c r="O51" s="11">
        <f ca="1">IF(History!S$2="","",History!S40*$C$51)</f>
        <v>445.68</v>
      </c>
      <c r="P51" s="11">
        <f ca="1">IF(History!T$2="","",History!T40*$C$51)</f>
        <v>437.04</v>
      </c>
      <c r="Q51" s="11">
        <f ca="1">IF(History!U$2="","",History!U40*$C$51)</f>
        <v>445.86</v>
      </c>
      <c r="R51" s="11">
        <f ca="1">IF(History!V$2="","",History!V40*$C$51)</f>
        <v>457.38</v>
      </c>
      <c r="S51" s="11">
        <f ca="1">IF(History!W$2="","",History!W40*$C$51)</f>
        <v>466.38</v>
      </c>
      <c r="T51" s="11">
        <f ca="1">IF(History!X$2="","",History!X40*$C$51)</f>
        <v>470.7</v>
      </c>
      <c r="U51" s="11">
        <f ca="1">IF(History!Y$2="","",History!Y40*$C$51)</f>
        <v>470.16</v>
      </c>
      <c r="V51" s="11">
        <f ca="1">IF(History!Z$2="","",History!Z40*$C$51)</f>
        <v>478.08</v>
      </c>
      <c r="W51" s="11">
        <f ca="1">IF(History!AA$2="","",History!AA40*$C$51)</f>
        <v>478.98</v>
      </c>
      <c r="X51" s="11">
        <f ca="1">IF(History!AB$2="","",History!AB40*$C$51)</f>
        <v>494.28000000000003</v>
      </c>
      <c r="Y51" s="11">
        <f ca="1">IF(History!AC$2="","",History!AC40*$C$51)</f>
        <v>503.82</v>
      </c>
      <c r="Z51" s="11">
        <f ca="1">IF(History!AD$2="","",History!AD40*$C$51)</f>
        <v>499.5</v>
      </c>
      <c r="AA51" s="11">
        <f ca="1">IF(History!AE$2="","",History!AE40*$C$51)</f>
        <v>512.46</v>
      </c>
      <c r="AB51" s="11">
        <f ca="1">IF(History!AF$2="","",History!AF40*$C$51)</f>
        <v>511.92</v>
      </c>
      <c r="AC51" s="11">
        <f ca="1">IF(History!AG$2="","",History!AG40*$C$51)</f>
        <v>522.72</v>
      </c>
      <c r="AD51" s="11">
        <f ca="1">IF(History!AH$2="","",History!AH40*$C$51)</f>
        <v>537.30000000000007</v>
      </c>
      <c r="AE51" s="11">
        <f ca="1">IF(History!AI$2="","",History!AI40*$C$51)</f>
        <v>537.84</v>
      </c>
      <c r="AF51" s="11">
        <f ca="1">IF(History!AJ$2="","",History!AJ40*$C$51)</f>
        <v>519.30000000000007</v>
      </c>
      <c r="AG51" s="11">
        <f ca="1">IF(History!AK$2="","",History!AK40*$C$51)</f>
        <v>521.1</v>
      </c>
      <c r="AH51" s="11">
        <f ca="1">IF(History!AL$2="","",History!AL40*$C$51)</f>
        <v>519.48</v>
      </c>
      <c r="AI51" s="11">
        <f ca="1">IF(History!AM$2="","",History!AM40*$C$51)</f>
        <v>722.69999999999993</v>
      </c>
      <c r="AJ51" s="11">
        <f ca="1">IF(History!AN$2="","",History!AN40*$C$51)</f>
        <v>839.34</v>
      </c>
      <c r="AK51" s="11">
        <f ca="1">IF(History!AO$2="","",History!AO40*$C$51)</f>
        <v>860.76</v>
      </c>
      <c r="AL51" s="11">
        <f ca="1">IF(History!AP$2="","",History!AP40*$C$51)</f>
        <v>884.69999999999993</v>
      </c>
      <c r="AM51" s="11">
        <f ca="1">IF(History!AQ$2="","",History!AQ40*$C$51)</f>
        <v>943.19999999999993</v>
      </c>
      <c r="AN51" s="11">
        <f ca="1">IF(History!AR$2="","",History!AR40*$C$51)</f>
        <v>898.74</v>
      </c>
      <c r="AO51" s="11">
        <f ca="1">IF(History!AS$2="","",History!AS40*$C$51)</f>
        <v>941.4</v>
      </c>
      <c r="AP51" s="11">
        <f ca="1">IF(History!AT$2="","",History!AT40*$C$51)</f>
        <v>931.86</v>
      </c>
      <c r="AQ51" s="11">
        <f ca="1">IF(History!AU$2="","",History!AU40*$C$51)</f>
        <v>914.58</v>
      </c>
      <c r="AR51" s="11">
        <f ca="1">IF(History!AV$2="","",History!AV40*$C$51)</f>
        <v>945.18</v>
      </c>
      <c r="AS51" s="11">
        <f ca="1">IF(History!AW$2="","",History!AW40*$C$51)</f>
        <v>934.74</v>
      </c>
      <c r="AT51" s="11">
        <f ca="1">IF(History!AX$2="","",History!AX40*$C$51)</f>
        <v>932.76</v>
      </c>
      <c r="AU51" s="11">
        <f ca="1">IF(History!AY$2="","",History!AY40*$C$51)</f>
        <v>897.66</v>
      </c>
      <c r="AV51" s="11">
        <f ca="1">IF(History!AZ$2="","",History!AZ40*$C$51)</f>
        <v>946.26</v>
      </c>
      <c r="AW51" s="11">
        <f ca="1">IF(History!BA$2="","",History!BA40*$C$51)</f>
        <v>989.64</v>
      </c>
      <c r="AX51" s="11">
        <f ca="1">IF(History!BB$2="","",History!BB40*$C$51)</f>
        <v>989.1</v>
      </c>
      <c r="AY51" s="11">
        <f ca="1">IF(History!BC$2="","",History!BC40*$C$51)</f>
        <v>989.46</v>
      </c>
      <c r="AZ51" s="11">
        <f ca="1">IF(History!BD$2="","",History!BD40*$C$51)</f>
        <v>994.32</v>
      </c>
      <c r="BA51" s="11">
        <f ca="1">IF(History!BE$2="","",History!BE40*$C$51)</f>
        <v>1002.42</v>
      </c>
      <c r="BB51" s="11">
        <f ca="1">IF(History!BF$2="","",History!BF40*$C$51)</f>
        <v>999</v>
      </c>
      <c r="BC51" s="11">
        <f ca="1">IF(History!BG$2="","",History!BG40*$C$51)</f>
        <v>916.74</v>
      </c>
      <c r="BD51" s="11">
        <f ca="1">IF(History!BH$2="","",History!BH40*$C$51)</f>
        <v>898.19999999999993</v>
      </c>
      <c r="BE51" s="11">
        <f ca="1">IF(History!BI$2="","",History!BI40*$C$51)</f>
        <v>940.5</v>
      </c>
      <c r="BF51" s="11">
        <f ca="1">IF(History!BJ$2="","",History!BJ40*$C$51)</f>
        <v>1019.52</v>
      </c>
      <c r="BG51" s="11">
        <f ca="1">IF(History!BK$2="","",History!BK40*$C$51)</f>
        <v>1006.1999999999999</v>
      </c>
      <c r="BH51" s="11">
        <f ca="1">IF(History!BL$2="","",History!BL40*$C$51)</f>
        <v>995.58</v>
      </c>
      <c r="BI51" s="11">
        <f ca="1">IF(History!BM$2="","",History!BM40*$C$51)</f>
        <v>1050.48</v>
      </c>
      <c r="BJ51" s="11">
        <f ca="1">IF(History!BN$2="","",History!BN40*$C$51)</f>
        <v>1020.78</v>
      </c>
      <c r="BK51" s="11">
        <f ca="1">IF(History!BO$2="","",History!BO40*$C$51)</f>
        <v>1032.1200000000001</v>
      </c>
      <c r="BL51" s="11">
        <f ca="1">IF(History!BP$2="","",History!BP40*$C$51)</f>
        <v>1054.08</v>
      </c>
      <c r="BM51" s="11">
        <f ca="1">IF(History!BQ$2="","",History!BQ40*$C$51)</f>
        <v>1072.8</v>
      </c>
      <c r="BN51" s="11">
        <f ca="1">IF(History!BR$2="","",History!BR40*$C$51)</f>
        <v>1083.42</v>
      </c>
      <c r="BO51" s="11">
        <f ca="1">IF(History!BS$2="","",History!BS40*$C$51)</f>
        <v>1056.96</v>
      </c>
      <c r="BP51" s="11">
        <f ca="1">IF(History!BT$2="","",History!BT40*$C$51)</f>
        <v>1042.2</v>
      </c>
      <c r="BQ51" s="11">
        <f ca="1">IF(History!BU$2="","",History!BU40*$C$51)</f>
        <v>1070.6399999999999</v>
      </c>
      <c r="BR51" s="11">
        <f ca="1">IF(History!BV$2="","",History!BV40*$C$51)</f>
        <v>1085.04</v>
      </c>
      <c r="BS51" s="11">
        <f ca="1">IF(History!BW$2="","",History!BW40*$C$51)</f>
        <v>1094.04</v>
      </c>
      <c r="BT51" s="11">
        <f ca="1">IF(History!BX$2="","",History!BX40*$C$51)</f>
        <v>1105.74</v>
      </c>
      <c r="BU51" s="11">
        <f ca="1">IF(History!BY$2="","",History!BY40*$C$51)</f>
        <v>1147.68</v>
      </c>
      <c r="BV51" s="11">
        <f ca="1">IF(History!BZ$2="","",History!BZ40*$C$51)</f>
        <v>1067.94</v>
      </c>
      <c r="BW51" s="11">
        <f ca="1">IF(History!CA$2="","",History!CA40*$C$51)</f>
        <v>1049.94</v>
      </c>
      <c r="BX51" s="11">
        <f ca="1">IF(History!CB$2="","",History!CB40*$C$51)</f>
        <v>1063.6200000000001</v>
      </c>
      <c r="BY51" s="11">
        <f ca="1">IF(History!CC$2="","",History!CC40*$C$51)</f>
        <v>1043.82</v>
      </c>
      <c r="BZ51" s="11">
        <f ca="1">IF(History!CD$2="","",History!CD40*$C$51)</f>
        <v>1047.06</v>
      </c>
      <c r="CA51" s="11">
        <f ca="1">IF(History!CE$2="","",History!CE40*$C$51)</f>
        <v>1064.1599999999999</v>
      </c>
      <c r="CB51" s="11">
        <f ca="1">IF(History!CF$2="","",History!CF40*$C$51)</f>
        <v>1195.3799999999999</v>
      </c>
      <c r="CC51" s="11">
        <f ca="1">IF(History!CG$2="","",History!CG40*$C$51)</f>
        <v>1187.28</v>
      </c>
      <c r="CD51" s="11">
        <f ca="1">IF(History!CH$2="","",History!CH40*$C$51)</f>
        <v>1181.7</v>
      </c>
      <c r="CE51" s="11">
        <f ca="1">IF(History!CI$2="","",History!CI40*$C$51)</f>
        <v>1199.7</v>
      </c>
      <c r="CF51" s="11" t="str">
        <f ca="1">IF(History!CJ$2="","",History!CJ40*$C$51)</f>
        <v/>
      </c>
      <c r="CG51" s="11" t="str">
        <f ca="1">IF(History!CK$2="","",History!CK40*$C$51)</f>
        <v/>
      </c>
      <c r="CH51" s="11" t="str">
        <f ca="1">IF(History!CL$2="","",History!CL40*$C$51)</f>
        <v/>
      </c>
      <c r="CI51" s="11" t="str">
        <f ca="1">IF(History!CM$2="","",History!CM40*$C$51)</f>
        <v/>
      </c>
      <c r="CJ51" s="11" t="str">
        <f ca="1">IF(History!CN$2="","",History!CN40*$C$51)</f>
        <v/>
      </c>
      <c r="CK51" s="11" t="str">
        <f ca="1">IF(History!CO$2="","",History!CO40*$C$51)</f>
        <v/>
      </c>
      <c r="CL51" s="11" t="str">
        <f ca="1">IF(History!CP$2="","",History!CP40*$C$51)</f>
        <v/>
      </c>
      <c r="CM51" s="11" t="str">
        <f ca="1">IF(History!CQ$2="","",History!CQ40*$C$51)</f>
        <v/>
      </c>
      <c r="CN51" s="11" t="str">
        <f ca="1">IF(History!CR$2="","",History!CR40*$C$51)</f>
        <v/>
      </c>
      <c r="CO51" s="11" t="str">
        <f ca="1">IF(History!CS$2="","",History!CS40*$C$51)</f>
        <v/>
      </c>
      <c r="CP51" s="11" t="str">
        <f ca="1">IF(History!CT$2="","",History!CT40*$C$51)</f>
        <v/>
      </c>
      <c r="CQ51" s="11" t="str">
        <f ca="1">IF(History!CU$2="","",History!CU40*$C$51)</f>
        <v/>
      </c>
      <c r="CR51" s="11" t="str">
        <f ca="1">IF(History!CV$2="","",History!CV40*$C$51)</f>
        <v/>
      </c>
      <c r="CS51" s="11" t="str">
        <f ca="1">IF(History!CW$2="","",History!CW40*$C$51)</f>
        <v/>
      </c>
      <c r="CT51" s="11" t="str">
        <f ca="1">IF(History!CX$2="","",History!CX40*$C$51)</f>
        <v/>
      </c>
      <c r="CU51" s="11" t="str">
        <f ca="1">IF(History!CY$2="","",History!CY40*$C$51)</f>
        <v/>
      </c>
      <c r="CV51" s="11" t="str">
        <f ca="1">IF(History!CZ$2="","",History!CZ40*$C$51)</f>
        <v/>
      </c>
      <c r="CW51" s="11" t="str">
        <f ca="1">IF(History!DA$2="","",History!DA40*$C$51)</f>
        <v/>
      </c>
      <c r="CX51" s="11" t="str">
        <f ca="1">IF(History!DB$2="","",History!DB40*$C$51)</f>
        <v/>
      </c>
      <c r="CY51" s="11" t="str">
        <f ca="1">IF(History!DC$2="","",History!DC40*$C$51)</f>
        <v/>
      </c>
      <c r="CZ51" s="11" t="str">
        <f ca="1">IF(History!DD$2="","",History!DD40*$C$51)</f>
        <v/>
      </c>
      <c r="DA51" s="11" t="str">
        <f ca="1">IF(History!DE$2="","",History!DE40*$C$51)</f>
        <v/>
      </c>
      <c r="DB51" s="11" t="str">
        <f ca="1">IF(History!DF$2="","",History!DF40*$C$51)</f>
        <v/>
      </c>
      <c r="DC51" s="11" t="str">
        <f ca="1">IF(History!DG$2="","",History!DG40*$C$51)</f>
        <v/>
      </c>
      <c r="DD51" s="11" t="str">
        <f ca="1">IF(History!DH$2="","",History!DH40*$C$51)</f>
        <v/>
      </c>
      <c r="DE51" s="11" t="str">
        <f ca="1">IF(History!DI$2="","",History!DI40*$C$51)</f>
        <v/>
      </c>
      <c r="DF51" s="11" t="str">
        <f ca="1">IF(History!DJ$2="","",History!DJ40*$C$51)</f>
        <v/>
      </c>
      <c r="DG51" s="11" t="str">
        <f ca="1">IF(History!DK$2="","",History!DK40*$C$51)</f>
        <v/>
      </c>
      <c r="DH51" s="11" t="str">
        <f ca="1">IF(History!DL$2="","",History!DL40*$C$51)</f>
        <v/>
      </c>
      <c r="DI51" s="11" t="str">
        <f ca="1">IF(History!DM$2="","",History!DM40*$C$51)</f>
        <v/>
      </c>
      <c r="DJ51" s="11" t="str">
        <f ca="1">IF(History!DN$2="","",History!DN40*$C$51)</f>
        <v/>
      </c>
      <c r="DK51" s="11" t="str">
        <f ca="1">IF(History!DO$2="","",History!DO40*$C$51)</f>
        <v/>
      </c>
      <c r="DL51" s="11" t="str">
        <f ca="1">IF(History!DP$2="","",History!DP40*$C$51)</f>
        <v/>
      </c>
      <c r="DM51" s="11" t="str">
        <f ca="1">IF(History!DQ$2="","",History!DQ40*$C$51)</f>
        <v/>
      </c>
      <c r="DN51" s="11" t="str">
        <f ca="1">IF(History!DR$2="","",History!DR40*$C$51)</f>
        <v/>
      </c>
      <c r="DO51" s="11" t="str">
        <f ca="1">IF(History!DS$2="","",History!DS40*$C$51)</f>
        <v/>
      </c>
      <c r="DP51" s="11" t="str">
        <f ca="1">IF(History!DT$2="","",History!DT40*$C$51)</f>
        <v/>
      </c>
      <c r="DQ51" s="11" t="str">
        <f ca="1">IF(History!DU$2="","",History!DU40*$C$51)</f>
        <v/>
      </c>
      <c r="DR51" s="11" t="str">
        <f ca="1">IF(History!DV$2="","",History!DV40*$C$51)</f>
        <v/>
      </c>
      <c r="DS51" s="11" t="str">
        <f ca="1">IF(History!DW$2="","",History!DW40*$C$51)</f>
        <v/>
      </c>
      <c r="DT51" s="11" t="str">
        <f ca="1">IF(History!DX$2="","",History!DX40*$C$51)</f>
        <v/>
      </c>
      <c r="DU51" s="11" t="str">
        <f ca="1">IF(History!DY$2="","",History!DY40*$C$51)</f>
        <v/>
      </c>
      <c r="DV51" s="11" t="str">
        <f ca="1">IF(History!DZ$2="","",History!DZ40*$C$51)</f>
        <v/>
      </c>
      <c r="DW51" s="11" t="str">
        <f ca="1">IF(History!EA$2="","",History!EA40*$C$51)</f>
        <v/>
      </c>
      <c r="DX51" s="11" t="str">
        <f ca="1">IF(History!EB$2="","",History!EB40*$C$51)</f>
        <v/>
      </c>
      <c r="DY51" s="11" t="str">
        <f ca="1">IF(History!EC$2="","",History!EC40*$C$51)</f>
        <v/>
      </c>
      <c r="DZ51" s="11" t="str">
        <f ca="1">IF(History!ED$2="","",History!ED40*$C$51)</f>
        <v/>
      </c>
      <c r="EA51" s="11" t="str">
        <f ca="1">IF(History!EE$2="","",History!EE40*$C$51)</f>
        <v/>
      </c>
      <c r="EB51" s="11" t="str">
        <f ca="1">IF(History!EF$2="","",History!EF40*$C$51)</f>
        <v/>
      </c>
      <c r="EC51" s="11" t="str">
        <f ca="1">IF(History!EG$2="","",History!EG40*$C$51)</f>
        <v/>
      </c>
      <c r="ED51" s="11" t="str">
        <f ca="1">IF(History!EH$2="","",History!EH40*$C$51)</f>
        <v/>
      </c>
      <c r="EE51" s="11" t="str">
        <f ca="1">IF(History!EI$2="","",History!EI40*$C$51)</f>
        <v/>
      </c>
      <c r="EF51" s="11" t="str">
        <f ca="1">IF(History!EJ$2="","",History!EJ40*$C$51)</f>
        <v/>
      </c>
      <c r="EG51" s="11" t="str">
        <f ca="1">IF(History!EK$2="","",History!EK40*$C$51)</f>
        <v/>
      </c>
      <c r="EH51" s="11" t="str">
        <f ca="1">IF(History!EL$2="","",History!EL40*$C$51)</f>
        <v/>
      </c>
      <c r="EI51" s="11" t="str">
        <f ca="1">IF(History!EM$2="","",History!EM40*$C$51)</f>
        <v/>
      </c>
      <c r="EJ51" s="11" t="str">
        <f ca="1">IF(History!EN$2="","",History!EN40*$C$51)</f>
        <v/>
      </c>
      <c r="EK51" s="11" t="str">
        <f ca="1">IF(History!EO$2="","",History!EO40*$C$51)</f>
        <v/>
      </c>
      <c r="EL51" s="11" t="str">
        <f ca="1">IF(History!EP$2="","",History!EP40*$C$51)</f>
        <v/>
      </c>
      <c r="EM51" s="11" t="str">
        <f ca="1">IF(History!EQ$2="","",History!EQ40*$C$51)</f>
        <v/>
      </c>
      <c r="EN51" s="11" t="str">
        <f ca="1">IF(History!ER$2="","",History!ER40*$C$51)</f>
        <v/>
      </c>
      <c r="EO51" s="11" t="str">
        <f ca="1">IF(History!ES$2="","",History!ES40*$C$51)</f>
        <v/>
      </c>
      <c r="EP51" s="11" t="str">
        <f ca="1">IF(History!ET$2="","",History!ET40*$C$51)</f>
        <v/>
      </c>
      <c r="EQ51" s="11" t="str">
        <f ca="1">IF(History!EU$2="","",History!EU40*$C$51)</f>
        <v/>
      </c>
      <c r="ER51" s="11" t="str">
        <f ca="1">IF(History!EV$2="","",History!EV40*$C$51)</f>
        <v/>
      </c>
      <c r="ES51" s="11" t="str">
        <f ca="1">IF(History!EW$2="","",History!EW40*$C$51)</f>
        <v/>
      </c>
      <c r="ET51" s="11" t="str">
        <f ca="1">IF(History!EX$2="","",History!EX40*$C$51)</f>
        <v/>
      </c>
      <c r="EU51" s="11" t="str">
        <f ca="1">IF(History!EY$2="","",History!EY40*$C$51)</f>
        <v/>
      </c>
      <c r="EV51" s="11" t="str">
        <f ca="1">IF(History!EZ$2="","",History!EZ40*$C$51)</f>
        <v/>
      </c>
      <c r="EW51" s="11" t="str">
        <f ca="1">IF(History!FA$2="","",History!FA40*$C$51)</f>
        <v/>
      </c>
      <c r="EX51" s="11" t="str">
        <f ca="1">IF(History!FB$2="","",History!FB40*$C$51)</f>
        <v/>
      </c>
      <c r="EY51" s="11" t="str">
        <f ca="1">IF(History!FC$2="","",History!FC40*$C$51)</f>
        <v/>
      </c>
      <c r="EZ51" s="11" t="str">
        <f ca="1">IF(History!FD$2="","",History!FD40*$C$51)</f>
        <v/>
      </c>
      <c r="FA51" s="11" t="str">
        <f ca="1">IF(History!FE$2="","",History!FE40*$C$51)</f>
        <v/>
      </c>
      <c r="FB51" s="11" t="str">
        <f ca="1">IF(History!FF$2="","",History!FF40*$C$51)</f>
        <v/>
      </c>
      <c r="FC51" s="11" t="str">
        <f ca="1">IF(History!FG$2="","",History!FG40*$C$51)</f>
        <v/>
      </c>
      <c r="FD51" s="11" t="str">
        <f ca="1">IF(History!FH$2="","",History!FH40*$C$51)</f>
        <v/>
      </c>
      <c r="FE51" s="11" t="str">
        <f ca="1">IF(History!FI$2="","",History!FI40*$C$51)</f>
        <v/>
      </c>
      <c r="FF51" s="11" t="str">
        <f ca="1">IF(History!FJ$2="","",History!FJ40*$C$51)</f>
        <v/>
      </c>
      <c r="FG51" s="11" t="str">
        <f ca="1">IF(History!FK$2="","",History!FK40*$C$51)</f>
        <v/>
      </c>
      <c r="FH51" s="11" t="str">
        <f ca="1">IF(History!FL$2="","",History!FL40*$C$51)</f>
        <v/>
      </c>
      <c r="FI51" s="11" t="str">
        <f ca="1">IF(History!FM$2="","",History!FM40*$C$51)</f>
        <v/>
      </c>
      <c r="FJ51" s="11" t="str">
        <f ca="1">IF(History!FN$2="","",History!FN40*$C$51)</f>
        <v/>
      </c>
      <c r="FK51" s="11" t="str">
        <f ca="1">IF(History!FO$2="","",History!FO40*$C$51)</f>
        <v/>
      </c>
      <c r="FL51" s="11" t="str">
        <f ca="1">IF(History!FP$2="","",History!FP40*$C$51)</f>
        <v/>
      </c>
      <c r="FM51" s="11" t="str">
        <f ca="1">IF(History!FQ$2="","",History!FQ40*$C$51)</f>
        <v/>
      </c>
      <c r="FN51" s="11" t="str">
        <f ca="1">IF(History!FR$2="","",History!FR40*$C$51)</f>
        <v/>
      </c>
      <c r="FO51" s="11" t="str">
        <f ca="1">IF(History!FS$2="","",History!FS40*$C$51)</f>
        <v/>
      </c>
      <c r="FP51" s="11" t="str">
        <f ca="1">IF(History!FT$2="","",History!FT40*$C$51)</f>
        <v/>
      </c>
      <c r="FQ51" s="11" t="str">
        <f ca="1">IF(History!FU$2="","",History!FU40*$C$51)</f>
        <v/>
      </c>
      <c r="FR51" s="11" t="str">
        <f ca="1">IF(History!FV$2="","",History!FV40*$C$51)</f>
        <v/>
      </c>
      <c r="FS51" s="11" t="str">
        <f ca="1">IF(History!FW$2="","",History!FW40*$C$51)</f>
        <v/>
      </c>
      <c r="FT51" s="11" t="str">
        <f ca="1">IF(History!FX$2="","",History!FX40*$C$51)</f>
        <v/>
      </c>
      <c r="FU51" s="11" t="str">
        <f ca="1">IF(History!FY$2="","",History!FY40*$C$51)</f>
        <v/>
      </c>
      <c r="FV51" s="11" t="str">
        <f ca="1">IF(History!FZ$2="","",History!FZ40*$C$51)</f>
        <v/>
      </c>
      <c r="FW51" s="11" t="str">
        <f ca="1">IF(History!GA$2="","",History!GA40*$C$51)</f>
        <v/>
      </c>
      <c r="FX51" s="11" t="str">
        <f ca="1">IF(History!GB$2="","",History!GB40*$C$51)</f>
        <v/>
      </c>
      <c r="FY51" s="11" t="str">
        <f ca="1">IF(History!GC$2="","",History!GC40*$C$51)</f>
        <v/>
      </c>
      <c r="FZ51" s="11" t="str">
        <f ca="1">IF(History!GD$2="","",History!GD40*$C$51)</f>
        <v/>
      </c>
      <c r="GA51" s="11" t="str">
        <f ca="1">IF(History!GE$2="","",History!GE40*$C$51)</f>
        <v/>
      </c>
      <c r="GB51" s="11" t="str">
        <f ca="1">IF(History!GF$2="","",History!GF40*$C$51)</f>
        <v/>
      </c>
      <c r="GC51" s="11" t="str">
        <f ca="1">IF(History!GG$2="","",History!GG40*$C$51)</f>
        <v/>
      </c>
      <c r="GD51" s="11" t="str">
        <f ca="1">IF(History!GH$2="","",History!GH40*$C$51)</f>
        <v/>
      </c>
      <c r="GE51" s="11" t="str">
        <f ca="1">IF(History!GI$2="","",History!GI40*$C$51)</f>
        <v/>
      </c>
      <c r="GF51" s="11" t="str">
        <f ca="1">IF(History!GJ$2="","",History!GJ40*$C$51)</f>
        <v/>
      </c>
      <c r="GG51" s="11" t="str">
        <f ca="1">IF(History!GK$2="","",History!GK40*$C$51)</f>
        <v/>
      </c>
      <c r="GH51" s="11" t="str">
        <f ca="1">IF(History!GL$2="","",History!GL40*$C$51)</f>
        <v/>
      </c>
      <c r="GI51" s="11" t="str">
        <f ca="1">IF(History!GM$2="","",History!GM40*$C$51)</f>
        <v/>
      </c>
      <c r="GJ51" s="11" t="str">
        <f ca="1">IF(History!GN$2="","",History!GN40*$C$51)</f>
        <v/>
      </c>
      <c r="GK51" s="11" t="str">
        <f ca="1">IF(History!GO$2="","",History!GO40*$C$51)</f>
        <v/>
      </c>
      <c r="GL51" s="11" t="str">
        <f ca="1">IF(History!GP$2="","",History!GP40*$C$51)</f>
        <v/>
      </c>
      <c r="GM51" s="11" t="str">
        <f ca="1">IF(History!GQ$2="","",History!GQ40*$C$51)</f>
        <v/>
      </c>
      <c r="GN51" s="11" t="str">
        <f ca="1">IF(History!GR$2="","",History!GR40*$C$51)</f>
        <v/>
      </c>
      <c r="GO51" s="11" t="str">
        <f ca="1">IF(History!GS$2="","",History!GS40*$C$51)</f>
        <v/>
      </c>
      <c r="GP51" s="11" t="str">
        <f ca="1">IF(History!GT$2="","",History!GT40*$C$51)</f>
        <v/>
      </c>
      <c r="GQ51" s="11" t="str">
        <f ca="1">IF(History!GU$2="","",History!GU40*$C$51)</f>
        <v/>
      </c>
      <c r="GR51" s="11" t="str">
        <f ca="1">IF(History!GV$2="","",History!GV40*$C$51)</f>
        <v/>
      </c>
      <c r="GS51" s="11" t="str">
        <f ca="1">IF(History!GW$2="","",History!GW40*$C$51)</f>
        <v/>
      </c>
      <c r="GT51" s="11" t="str">
        <f ca="1">IF(History!GX$2="","",History!GX40*$C$51)</f>
        <v/>
      </c>
      <c r="GU51" s="11" t="str">
        <f ca="1">IF(History!GY$2="","",History!GY40*$C$51)</f>
        <v/>
      </c>
      <c r="GV51" s="11" t="str">
        <f ca="1">IF(History!GZ$2="","",History!GZ40*$C$51)</f>
        <v/>
      </c>
      <c r="GW51" s="11" t="str">
        <f ca="1">IF(History!HA$2="","",History!HA40*$C$51)</f>
        <v/>
      </c>
      <c r="GX51" s="11" t="str">
        <f ca="1">IF(History!HB$2="","",History!HB40*$C$51)</f>
        <v/>
      </c>
      <c r="GY51" s="11" t="str">
        <f ca="1">IF(History!HC$2="","",History!HC40*$C$51)</f>
        <v/>
      </c>
      <c r="GZ51" s="11" t="str">
        <f ca="1">IF(History!HD$2="","",History!HD40*$C$51)</f>
        <v/>
      </c>
      <c r="HA51" s="11" t="str">
        <f ca="1">IF(History!HE$2="","",History!HE40*$C$51)</f>
        <v/>
      </c>
      <c r="HB51" s="11" t="str">
        <f ca="1">IF(History!HF$2="","",History!HF40*$C$51)</f>
        <v/>
      </c>
      <c r="HC51" s="11" t="str">
        <f ca="1">IF(History!HG$2="","",History!HG40*$C$51)</f>
        <v/>
      </c>
      <c r="HD51" s="11" t="str">
        <f ca="1">IF(History!HH$2="","",History!HH40*$C$51)</f>
        <v/>
      </c>
      <c r="HE51" s="11" t="str">
        <f ca="1">IF(History!HI$2="","",History!HI40*$C$51)</f>
        <v/>
      </c>
      <c r="HF51" s="11" t="str">
        <f ca="1">IF(History!HJ$2="","",History!HJ40*$C$51)</f>
        <v/>
      </c>
      <c r="HG51" s="11" t="str">
        <f ca="1">IF(History!HK$2="","",History!HK40*$C$51)</f>
        <v/>
      </c>
      <c r="HH51" s="11" t="str">
        <f ca="1">IF(History!HL$2="","",History!HL40*$C$51)</f>
        <v/>
      </c>
      <c r="HI51" s="11" t="str">
        <f ca="1">IF(History!HM$2="","",History!HM40*$C$51)</f>
        <v/>
      </c>
      <c r="HJ51" s="11" t="str">
        <f ca="1">IF(History!HN$2="","",History!HN40*$C$51)</f>
        <v/>
      </c>
      <c r="HK51" s="11" t="str">
        <f ca="1">IF(History!HO$2="","",History!HO40*$C$51)</f>
        <v/>
      </c>
      <c r="HL51" s="11" t="str">
        <f ca="1">IF(History!HP$2="","",History!HP40*$C$51)</f>
        <v/>
      </c>
      <c r="HM51" s="11" t="str">
        <f ca="1">IF(History!HQ$2="","",History!HQ40*$C$51)</f>
        <v/>
      </c>
      <c r="HN51" s="11" t="str">
        <f ca="1">IF(History!HR$2="","",History!HR40*$C$51)</f>
        <v/>
      </c>
      <c r="HO51" s="11" t="str">
        <f ca="1">IF(History!HS$2="","",History!HS40*$C$51)</f>
        <v/>
      </c>
      <c r="HP51" s="11" t="str">
        <f ca="1">IF(History!HT$2="","",History!HT40*$C$51)</f>
        <v/>
      </c>
      <c r="HQ51" s="11" t="str">
        <f ca="1">IF(History!HU$2="","",History!HU40*$C$51)</f>
        <v/>
      </c>
      <c r="HR51" s="11" t="str">
        <f ca="1">IF(History!HV$2="","",History!HV40*$C$51)</f>
        <v/>
      </c>
      <c r="HS51" s="11" t="str">
        <f ca="1">IF(History!HW$2="","",History!HW40*$C$51)</f>
        <v/>
      </c>
      <c r="HT51" s="11" t="str">
        <f ca="1">IF(History!HX$2="","",History!HX40*$C$51)</f>
        <v/>
      </c>
      <c r="HU51" s="11" t="str">
        <f ca="1">IF(History!HY$2="","",History!HY40*$C$51)</f>
        <v/>
      </c>
      <c r="HV51" s="11" t="str">
        <f ca="1">IF(History!HZ$2="","",History!HZ40*$C$51)</f>
        <v/>
      </c>
      <c r="HW51" s="11" t="str">
        <f ca="1">IF(History!IA$2="","",History!IA40*$C$51)</f>
        <v/>
      </c>
      <c r="HX51" s="11" t="str">
        <f ca="1">IF(History!IB$2="","",History!IB40*$C$51)</f>
        <v/>
      </c>
      <c r="HY51" s="11" t="str">
        <f ca="1">IF(History!IC$2="","",History!IC40*$C$51)</f>
        <v/>
      </c>
      <c r="HZ51" s="11" t="str">
        <f ca="1">IF(History!ID$2="","",History!ID40*$C$51)</f>
        <v/>
      </c>
      <c r="IA51" s="11" t="str">
        <f ca="1">IF(History!IE$2="","",History!IE40*$C$51)</f>
        <v/>
      </c>
      <c r="IB51" s="11" t="str">
        <f ca="1">IF(History!IF$2="","",History!IF40*$C$51)</f>
        <v/>
      </c>
      <c r="IC51" s="11" t="str">
        <f ca="1">IF(History!IG$2="","",History!IG40*$C$51)</f>
        <v/>
      </c>
      <c r="ID51" s="11" t="str">
        <f ca="1">IF(History!IH$2="","",History!IH40*$C$51)</f>
        <v/>
      </c>
      <c r="IE51" s="11" t="str">
        <f ca="1">IF(History!II$2="","",History!II40*$C$51)</f>
        <v/>
      </c>
      <c r="IF51" s="11" t="str">
        <f ca="1">IF(History!IJ$2="","",History!IJ40*$C$51)</f>
        <v/>
      </c>
      <c r="IG51" s="11" t="str">
        <f ca="1">IF(History!IK$2="","",History!IK40*$C$51)</f>
        <v/>
      </c>
      <c r="IH51" s="11" t="str">
        <f ca="1">IF(History!IL$2="","",History!IL40*$C$51)</f>
        <v/>
      </c>
      <c r="II51" s="11" t="str">
        <f ca="1">IF(History!IM$2="","",History!IM40*$C$51)</f>
        <v/>
      </c>
      <c r="IJ51" s="11" t="str">
        <f ca="1">IF(History!IN$2="","",History!IN40*$C$51)</f>
        <v/>
      </c>
      <c r="IK51" s="11" t="str">
        <f ca="1">IF(History!IO$2="","",History!IO40*$C$51)</f>
        <v/>
      </c>
      <c r="IL51" s="11" t="str">
        <f ca="1">IF(History!IP$2="","",History!IP40*$C$51)</f>
        <v/>
      </c>
      <c r="IM51" s="11" t="str">
        <f ca="1">IF(History!IQ$2="","",History!IQ40*$C$51)</f>
        <v/>
      </c>
      <c r="IN51" s="11" t="str">
        <f ca="1">IF(History!IR$2="","",History!IR40*$C$51)</f>
        <v/>
      </c>
      <c r="IO51" s="11" t="str">
        <f ca="1">IF(History!IS$2="","",History!IS40*$C$51)</f>
        <v/>
      </c>
      <c r="IP51" s="11" t="str">
        <f ca="1">IF(History!IT$2="","",History!IT40*$C$51)</f>
        <v/>
      </c>
      <c r="IQ51" s="11" t="str">
        <f ca="1">IF(History!IU$2="","",History!IU40*$C$51)</f>
        <v/>
      </c>
      <c r="IR51" s="11" t="str">
        <f ca="1">IF(History!IV$2="","",History!IV40*$C$51)</f>
        <v/>
      </c>
      <c r="IS51" s="11" t="str">
        <f ca="1">IF(History!IW$2="","",History!IW40*$C$51)</f>
        <v/>
      </c>
      <c r="IT51" s="11" t="str">
        <f ca="1">IF(History!IX$2="","",History!IX40*$C$51)</f>
        <v/>
      </c>
      <c r="IU51" s="11" t="str">
        <f ca="1">IF(History!IY$2="","",History!IY40*$C$51)</f>
        <v/>
      </c>
      <c r="IV51" s="11" t="str">
        <f ca="1">IF(History!IZ$2="","",History!IZ40*$C$51)</f>
        <v/>
      </c>
      <c r="IW51" s="11" t="str">
        <f ca="1">IF(History!JA$2="","",History!JA40*$C$51)</f>
        <v/>
      </c>
      <c r="IX51" s="11" t="str">
        <f ca="1">IF(History!JB$2="","",History!JB40*$C$51)</f>
        <v/>
      </c>
      <c r="IY51" s="11" t="str">
        <f ca="1">IF(History!JC$2="","",History!JC40*$C$51)</f>
        <v/>
      </c>
      <c r="IZ51" s="11" t="str">
        <f ca="1">IF(History!JD$2="","",History!JD40*$C$51)</f>
        <v/>
      </c>
      <c r="JA51" s="11" t="str">
        <f ca="1">IF(History!JE$2="","",History!JE40*$C$51)</f>
        <v/>
      </c>
      <c r="JB51" s="11" t="str">
        <f ca="1">IF(History!JF$2="","",History!JF40*$C$51)</f>
        <v/>
      </c>
      <c r="JC51" s="11" t="str">
        <f ca="1">IF(History!JG$2="","",History!JG40*$C$51)</f>
        <v/>
      </c>
      <c r="JD51" s="11" t="str">
        <f ca="1">IF(History!JH$2="","",History!JH40*$C$51)</f>
        <v/>
      </c>
      <c r="JE51" s="11" t="str">
        <f ca="1">IF(History!JI$2="","",History!JI40*$C$51)</f>
        <v/>
      </c>
      <c r="JF51" s="11" t="str">
        <f ca="1">IF(History!JJ$2="","",History!JJ40*$C$51)</f>
        <v/>
      </c>
      <c r="JG51" s="11" t="str">
        <f ca="1">IF(History!JK$2="","",History!JK40*$C$51)</f>
        <v/>
      </c>
      <c r="JH51" s="11" t="str">
        <f ca="1">IF(History!JL$2="","",History!JL40*$C$51)</f>
        <v/>
      </c>
      <c r="JI51" s="11" t="str">
        <f ca="1">IF(History!JM$2="","",History!JM40*$C$51)</f>
        <v/>
      </c>
      <c r="JJ51" s="11" t="str">
        <f ca="1">IF(History!JN$2="","",History!JN40*$C$51)</f>
        <v/>
      </c>
      <c r="JK51" s="11" t="str">
        <f ca="1">IF(History!JO$2="","",History!JO40*$C$51)</f>
        <v/>
      </c>
      <c r="JL51" s="11" t="str">
        <f ca="1">IF(History!JP$2="","",History!JP40*$C$51)</f>
        <v/>
      </c>
      <c r="JM51" s="11" t="str">
        <f ca="1">IF(History!JQ$2="","",History!JQ40*$C$51)</f>
        <v/>
      </c>
      <c r="JN51" s="11" t="str">
        <f ca="1">IF(History!JR$2="","",History!JR40*$C$51)</f>
        <v/>
      </c>
      <c r="JO51" s="11" t="str">
        <f ca="1">IF(History!JS$2="","",History!JS40*$C$51)</f>
        <v/>
      </c>
      <c r="JP51" s="11" t="str">
        <f ca="1">IF(History!JT$2="","",History!JT40*$C$51)</f>
        <v/>
      </c>
      <c r="JQ51" s="11" t="str">
        <f ca="1">IF(History!JU$2="","",History!JU40*$C$51)</f>
        <v/>
      </c>
      <c r="JR51" s="11" t="str">
        <f ca="1">IF(History!JV$2="","",History!JV40*$C$51)</f>
        <v/>
      </c>
      <c r="JS51" s="11" t="str">
        <f ca="1">IF(History!JW$2="","",History!JW40*$C$51)</f>
        <v/>
      </c>
      <c r="JT51" s="11" t="str">
        <f ca="1">IF(History!JX$2="","",History!JX40*$C$51)</f>
        <v/>
      </c>
      <c r="JU51" s="11" t="str">
        <f ca="1">IF(History!JY$2="","",History!JY40*$C$51)</f>
        <v/>
      </c>
      <c r="JV51" s="11" t="str">
        <f ca="1">IF(History!JZ$2="","",History!JZ40*$C$51)</f>
        <v/>
      </c>
      <c r="JW51" s="11" t="str">
        <f ca="1">IF(History!KA$2="","",History!KA40*$C$51)</f>
        <v/>
      </c>
      <c r="JX51" s="11" t="str">
        <f ca="1">IF(History!KB$2="","",History!KB40*$C$51)</f>
        <v/>
      </c>
      <c r="JY51" s="11" t="str">
        <f ca="1">IF(History!KC$2="","",History!KC40*$C$51)</f>
        <v/>
      </c>
      <c r="JZ51" s="11" t="str">
        <f ca="1">IF(History!KD$2="","",History!KD40*$C$51)</f>
        <v/>
      </c>
      <c r="KA51" s="11" t="str">
        <f ca="1">IF(History!KE$2="","",History!KE40*$C$51)</f>
        <v/>
      </c>
      <c r="KB51" s="11" t="str">
        <f ca="1">IF(History!KF$2="","",History!KF40*$C$51)</f>
        <v/>
      </c>
    </row>
    <row r="52" spans="1:288" ht="15.75" customHeight="1">
      <c r="A52" s="22" t="s">
        <v>30</v>
      </c>
      <c r="B52" s="6" t="s">
        <v>83</v>
      </c>
      <c r="C52" s="26">
        <v>26</v>
      </c>
      <c r="D52" s="11">
        <f ca="1">IF(History!H$2="","",History!H41*$C$52)</f>
        <v>442.52</v>
      </c>
      <c r="E52" s="11">
        <f ca="1">IF(History!I$2="","",History!I41*$C$52)</f>
        <v>447.98</v>
      </c>
      <c r="F52" s="11">
        <f ca="1">IF(History!J$2="","",History!J41*$C$52)</f>
        <v>449.53999999999996</v>
      </c>
      <c r="G52" s="11">
        <f ca="1">IF(History!K$2="","",History!K41*$C$52)</f>
        <v>444.86</v>
      </c>
      <c r="H52" s="11">
        <f ca="1">IF(History!L$2="","",History!L41*$C$52)</f>
        <v>445.12</v>
      </c>
      <c r="I52" s="11">
        <f ca="1">IF(History!M$2="","",History!M41*$C$52)</f>
        <v>439.4</v>
      </c>
      <c r="J52" s="11">
        <f ca="1">IF(History!N$2="","",History!N41*$C$52)</f>
        <v>426.92000000000007</v>
      </c>
      <c r="K52" s="11">
        <f ca="1">IF(History!O$2="","",History!O41*$C$52)</f>
        <v>417.82</v>
      </c>
      <c r="L52" s="11">
        <f ca="1">IF(History!P$2="","",History!P41*$C$52)</f>
        <v>413.66</v>
      </c>
      <c r="M52" s="11">
        <f ca="1">IF(History!Q$2="","",History!Q41*$C$52)</f>
        <v>417.82</v>
      </c>
      <c r="N52" s="11">
        <f ca="1">IF(History!R$2="","",History!R41*$C$52)</f>
        <v>407.94</v>
      </c>
      <c r="O52" s="11">
        <f ca="1">IF(History!S$2="","",History!S41*$C$52)</f>
        <v>400.40000000000003</v>
      </c>
      <c r="P52" s="11">
        <f ca="1">IF(History!T$2="","",History!T41*$C$52)</f>
        <v>401.7</v>
      </c>
      <c r="Q52" s="11">
        <f ca="1">IF(History!U$2="","",History!U41*$C$52)</f>
        <v>410.8</v>
      </c>
      <c r="R52" s="11">
        <f ca="1">IF(History!V$2="","",History!V41*$C$52)</f>
        <v>421.71999999999997</v>
      </c>
      <c r="S52" s="11">
        <f ca="1">IF(History!W$2="","",History!W41*$C$52)</f>
        <v>426.66</v>
      </c>
      <c r="T52" s="11">
        <f ca="1">IF(History!X$2="","",History!X41*$C$52)</f>
        <v>432.9</v>
      </c>
      <c r="U52" s="11">
        <f ca="1">IF(History!Y$2="","",History!Y41*$C$52)</f>
        <v>426.92000000000007</v>
      </c>
      <c r="V52" s="11">
        <f ca="1">IF(History!Z$2="","",History!Z41*$C$52)</f>
        <v>429</v>
      </c>
      <c r="W52" s="11">
        <f ca="1">IF(History!AA$2="","",History!AA41*$C$52)</f>
        <v>429.78000000000003</v>
      </c>
      <c r="X52" s="11">
        <f ca="1">IF(History!AB$2="","",History!AB41*$C$52)</f>
        <v>438.88</v>
      </c>
      <c r="Y52" s="11">
        <f ca="1">IF(History!AC$2="","",History!AC41*$C$52)</f>
        <v>455.78000000000003</v>
      </c>
      <c r="Z52" s="11">
        <f ca="1">IF(History!AD$2="","",History!AD41*$C$52)</f>
        <v>464.88</v>
      </c>
      <c r="AA52" s="11">
        <f ca="1">IF(History!AE$2="","",History!AE41*$C$52)</f>
        <v>473.2</v>
      </c>
      <c r="AB52" s="11">
        <f ca="1">IF(History!AF$2="","",History!AF41*$C$52)</f>
        <v>472.94000000000005</v>
      </c>
      <c r="AC52" s="11">
        <f ca="1">IF(History!AG$2="","",History!AG41*$C$52)</f>
        <v>488.28000000000003</v>
      </c>
      <c r="AD52" s="11">
        <f ca="1">IF(History!AH$2="","",History!AH41*$C$52)</f>
        <v>513.5</v>
      </c>
      <c r="AE52" s="11">
        <f ca="1">IF(History!AI$2="","",History!AI41*$C$52)</f>
        <v>514.54</v>
      </c>
      <c r="AF52" s="11">
        <f ca="1">IF(History!AJ$2="","",History!AJ41*$C$52)</f>
        <v>507.78000000000003</v>
      </c>
      <c r="AG52" s="11">
        <f ca="1">IF(History!AK$2="","",History!AK41*$C$52)</f>
        <v>515.05999999999995</v>
      </c>
      <c r="AH52" s="11">
        <f ca="1">IF(History!AL$2="","",History!AL41*$C$52)</f>
        <v>497.64</v>
      </c>
      <c r="AI52" s="11">
        <f ca="1">IF(History!AM$2="","",History!AM41*$C$52)</f>
        <v>498.68</v>
      </c>
      <c r="AJ52" s="11">
        <f ca="1">IF(History!AN$2="","",History!AN41*$C$52)</f>
        <v>506.48</v>
      </c>
      <c r="AK52" s="11">
        <f ca="1">IF(History!AO$2="","",History!AO41*$C$52)</f>
        <v>517.4</v>
      </c>
      <c r="AL52" s="11">
        <f ca="1">IF(History!AP$2="","",History!AP41*$C$52)</f>
        <v>510.64</v>
      </c>
      <c r="AM52" s="11">
        <f ca="1">IF(History!AQ$2="","",History!AQ41*$C$52)</f>
        <v>516.62</v>
      </c>
      <c r="AN52" s="11">
        <f ca="1">IF(History!AR$2="","",History!AR41*$C$52)</f>
        <v>519.74</v>
      </c>
      <c r="AO52" s="11">
        <f ca="1">IF(History!AS$2="","",History!AS41*$C$52)</f>
        <v>513.24</v>
      </c>
      <c r="AP52" s="11">
        <f ca="1">IF(History!AT$2="","",History!AT41*$C$52)</f>
        <v>495.55999999999995</v>
      </c>
      <c r="AQ52" s="11">
        <f ca="1">IF(History!AU$2="","",History!AU41*$C$52)</f>
        <v>488.28000000000003</v>
      </c>
      <c r="AR52" s="11">
        <f ca="1">IF(History!AV$2="","",History!AV41*$C$52)</f>
        <v>504.4</v>
      </c>
      <c r="AS52" s="11">
        <f ca="1">IF(History!AW$2="","",History!AW41*$C$52)</f>
        <v>495.3</v>
      </c>
      <c r="AT52" s="11">
        <f ca="1">IF(History!AX$2="","",History!AX41*$C$52)</f>
        <v>475.53999999999996</v>
      </c>
      <c r="AU52" s="11">
        <f ca="1">IF(History!AY$2="","",History!AY41*$C$52)</f>
        <v>478.4</v>
      </c>
      <c r="AV52" s="11">
        <f ca="1">IF(History!AZ$2="","",History!AZ41*$C$52)</f>
        <v>479.96000000000004</v>
      </c>
      <c r="AW52" s="11">
        <f ca="1">IF(History!BA$2="","",History!BA41*$C$52)</f>
        <v>503.88</v>
      </c>
      <c r="AX52" s="11">
        <f ca="1">IF(History!BB$2="","",History!BB41*$C$52)</f>
        <v>500.5</v>
      </c>
      <c r="AY52" s="11">
        <f ca="1">IF(History!BC$2="","",History!BC41*$C$52)</f>
        <v>498.94000000000005</v>
      </c>
      <c r="AZ52" s="11">
        <f ca="1">IF(History!BD$2="","",History!BD41*$C$52)</f>
        <v>499.98</v>
      </c>
      <c r="BA52" s="11">
        <f ca="1">IF(History!BE$2="","",History!BE41*$C$52)</f>
        <v>502.05999999999995</v>
      </c>
      <c r="BB52" s="11">
        <f ca="1">IF(History!BF$2="","",History!BF41*$C$52)</f>
        <v>496.34</v>
      </c>
      <c r="BC52" s="11">
        <f ca="1">IF(History!BG$2="","",History!BG41*$C$52)</f>
        <v>507</v>
      </c>
      <c r="BD52" s="11">
        <f ca="1">IF(History!BH$2="","",History!BH41*$C$52)</f>
        <v>514.54</v>
      </c>
      <c r="BE52" s="11">
        <f ca="1">IF(History!BI$2="","",History!BI41*$C$52)</f>
        <v>511.94000000000005</v>
      </c>
      <c r="BF52" s="11">
        <f ca="1">IF(History!BJ$2="","",History!BJ41*$C$52)</f>
        <v>520.78</v>
      </c>
      <c r="BG52" s="11">
        <f ca="1">IF(History!BK$2="","",History!BK41*$C$52)</f>
        <v>514.02</v>
      </c>
      <c r="BH52" s="11">
        <f ca="1">IF(History!BL$2="","",History!BL41*$C$52)</f>
        <v>508.3</v>
      </c>
      <c r="BI52" s="11">
        <f ca="1">IF(History!BM$2="","",History!BM41*$C$52)</f>
        <v>511.42000000000007</v>
      </c>
      <c r="BJ52" s="11">
        <f ca="1">IF(History!BN$2="","",History!BN41*$C$52)</f>
        <v>519.48</v>
      </c>
      <c r="BK52" s="11">
        <f ca="1">IF(History!BO$2="","",History!BO41*$C$52)</f>
        <v>505.18</v>
      </c>
      <c r="BL52" s="11">
        <f ca="1">IF(History!BP$2="","",History!BP41*$C$52)</f>
        <v>489.32</v>
      </c>
      <c r="BM52" s="11">
        <f ca="1">IF(History!BQ$2="","",History!BQ41*$C$52)</f>
        <v>491.4</v>
      </c>
      <c r="BN52" s="11">
        <f ca="1">IF(History!BR$2="","",History!BR41*$C$52)</f>
        <v>498.94000000000005</v>
      </c>
      <c r="BO52" s="11">
        <f ca="1">IF(History!BS$2="","",History!BS41*$C$52)</f>
        <v>506.21999999999997</v>
      </c>
      <c r="BP52" s="11">
        <f ca="1">IF(History!BT$2="","",History!BT41*$C$52)</f>
        <v>514.02</v>
      </c>
      <c r="BQ52" s="11">
        <f ca="1">IF(History!BU$2="","",History!BU41*$C$52)</f>
        <v>527.28</v>
      </c>
      <c r="BR52" s="11">
        <f ca="1">IF(History!BV$2="","",History!BV41*$C$52)</f>
        <v>521.55999999999995</v>
      </c>
      <c r="BS52" s="11">
        <f ca="1">IF(History!BW$2="","",History!BW41*$C$52)</f>
        <v>525.72</v>
      </c>
      <c r="BT52" s="11">
        <f ca="1">IF(History!BX$2="","",History!BX41*$C$52)</f>
        <v>541.84</v>
      </c>
      <c r="BU52" s="11">
        <f ca="1">IF(History!BY$2="","",History!BY41*$C$52)</f>
        <v>546.52</v>
      </c>
      <c r="BV52" s="11">
        <f ca="1">IF(History!BZ$2="","",History!BZ41*$C$52)</f>
        <v>528.57999999999993</v>
      </c>
      <c r="BW52" s="11">
        <f ca="1">IF(History!CA$2="","",History!CA41*$C$52)</f>
        <v>518.69999999999993</v>
      </c>
      <c r="BX52" s="11">
        <f ca="1">IF(History!CB$2="","",History!CB41*$C$52)</f>
        <v>525.46</v>
      </c>
      <c r="BY52" s="11">
        <f ca="1">IF(History!CC$2="","",History!CC41*$C$52)</f>
        <v>520</v>
      </c>
      <c r="BZ52" s="11">
        <f ca="1">IF(History!CD$2="","",History!CD41*$C$52)</f>
        <v>525.72</v>
      </c>
      <c r="CA52" s="11">
        <f ca="1">IF(History!CE$2="","",History!CE41*$C$52)</f>
        <v>536.38</v>
      </c>
      <c r="CB52" s="11">
        <f ca="1">IF(History!CF$2="","",History!CF41*$C$52)</f>
        <v>526.5</v>
      </c>
      <c r="CC52" s="11">
        <f ca="1">IF(History!CG$2="","",History!CG41*$C$52)</f>
        <v>541.05999999999995</v>
      </c>
      <c r="CD52" s="11">
        <f ca="1">IF(History!CH$2="","",History!CH41*$C$52)</f>
        <v>540.02</v>
      </c>
      <c r="CE52" s="11">
        <f ca="1">IF(History!CI$2="","",History!CI41*$C$52)</f>
        <v>450.32</v>
      </c>
      <c r="CF52" s="11" t="str">
        <f ca="1">IF(History!CJ$2="","",History!CJ41*$C$52)</f>
        <v/>
      </c>
      <c r="CG52" s="11" t="str">
        <f ca="1">IF(History!CK$2="","",History!CK41*$C$52)</f>
        <v/>
      </c>
      <c r="CH52" s="11" t="str">
        <f ca="1">IF(History!CL$2="","",History!CL41*$C$52)</f>
        <v/>
      </c>
      <c r="CI52" s="11" t="str">
        <f ca="1">IF(History!CM$2="","",History!CM41*$C$52)</f>
        <v/>
      </c>
      <c r="CJ52" s="11" t="str">
        <f ca="1">IF(History!CN$2="","",History!CN41*$C$52)</f>
        <v/>
      </c>
      <c r="CK52" s="11" t="str">
        <f ca="1">IF(History!CO$2="","",History!CO41*$C$52)</f>
        <v/>
      </c>
      <c r="CL52" s="11" t="str">
        <f ca="1">IF(History!CP$2="","",History!CP41*$C$52)</f>
        <v/>
      </c>
      <c r="CM52" s="11" t="str">
        <f ca="1">IF(History!CQ$2="","",History!CQ41*$C$52)</f>
        <v/>
      </c>
      <c r="CN52" s="11" t="str">
        <f ca="1">IF(History!CR$2="","",History!CR41*$C$52)</f>
        <v/>
      </c>
      <c r="CO52" s="11" t="str">
        <f ca="1">IF(History!CS$2="","",History!CS41*$C$52)</f>
        <v/>
      </c>
      <c r="CP52" s="11" t="str">
        <f ca="1">IF(History!CT$2="","",History!CT41*$C$52)</f>
        <v/>
      </c>
      <c r="CQ52" s="11" t="str">
        <f ca="1">IF(History!CU$2="","",History!CU41*$C$52)</f>
        <v/>
      </c>
      <c r="CR52" s="11" t="str">
        <f ca="1">IF(History!CV$2="","",History!CV41*$C$52)</f>
        <v/>
      </c>
      <c r="CS52" s="11" t="str">
        <f ca="1">IF(History!CW$2="","",History!CW41*$C$52)</f>
        <v/>
      </c>
      <c r="CT52" s="11" t="str">
        <f ca="1">IF(History!CX$2="","",History!CX41*$C$52)</f>
        <v/>
      </c>
      <c r="CU52" s="11" t="str">
        <f ca="1">IF(History!CY$2="","",History!CY41*$C$52)</f>
        <v/>
      </c>
      <c r="CV52" s="11" t="str">
        <f ca="1">IF(History!CZ$2="","",History!CZ41*$C$52)</f>
        <v/>
      </c>
      <c r="CW52" s="11" t="str">
        <f ca="1">IF(History!DA$2="","",History!DA41*$C$52)</f>
        <v/>
      </c>
      <c r="CX52" s="11" t="str">
        <f ca="1">IF(History!DB$2="","",History!DB41*$C$52)</f>
        <v/>
      </c>
      <c r="CY52" s="11" t="str">
        <f ca="1">IF(History!DC$2="","",History!DC41*$C$52)</f>
        <v/>
      </c>
      <c r="CZ52" s="11" t="str">
        <f ca="1">IF(History!DD$2="","",History!DD41*$C$52)</f>
        <v/>
      </c>
      <c r="DA52" s="11" t="str">
        <f ca="1">IF(History!DE$2="","",History!DE41*$C$52)</f>
        <v/>
      </c>
      <c r="DB52" s="11" t="str">
        <f ca="1">IF(History!DF$2="","",History!DF41*$C$52)</f>
        <v/>
      </c>
      <c r="DC52" s="11" t="str">
        <f ca="1">IF(History!DG$2="","",History!DG41*$C$52)</f>
        <v/>
      </c>
      <c r="DD52" s="11" t="str">
        <f ca="1">IF(History!DH$2="","",History!DH41*$C$52)</f>
        <v/>
      </c>
      <c r="DE52" s="11" t="str">
        <f ca="1">IF(History!DI$2="","",History!DI41*$C$52)</f>
        <v/>
      </c>
      <c r="DF52" s="11" t="str">
        <f ca="1">IF(History!DJ$2="","",History!DJ41*$C$52)</f>
        <v/>
      </c>
      <c r="DG52" s="11" t="str">
        <f ca="1">IF(History!DK$2="","",History!DK41*$C$52)</f>
        <v/>
      </c>
      <c r="DH52" s="11" t="str">
        <f ca="1">IF(History!DL$2="","",History!DL41*$C$52)</f>
        <v/>
      </c>
      <c r="DI52" s="11" t="str">
        <f ca="1">IF(History!DM$2="","",History!DM41*$C$52)</f>
        <v/>
      </c>
      <c r="DJ52" s="11" t="str">
        <f ca="1">IF(History!DN$2="","",History!DN41*$C$52)</f>
        <v/>
      </c>
      <c r="DK52" s="11" t="str">
        <f ca="1">IF(History!DO$2="","",History!DO41*$C$52)</f>
        <v/>
      </c>
      <c r="DL52" s="11" t="str">
        <f ca="1">IF(History!DP$2="","",History!DP41*$C$52)</f>
        <v/>
      </c>
      <c r="DM52" s="11" t="str">
        <f ca="1">IF(History!DQ$2="","",History!DQ41*$C$52)</f>
        <v/>
      </c>
      <c r="DN52" s="11" t="str">
        <f ca="1">IF(History!DR$2="","",History!DR41*$C$52)</f>
        <v/>
      </c>
      <c r="DO52" s="11" t="str">
        <f ca="1">IF(History!DS$2="","",History!DS41*$C$52)</f>
        <v/>
      </c>
      <c r="DP52" s="11" t="str">
        <f ca="1">IF(History!DT$2="","",History!DT41*$C$52)</f>
        <v/>
      </c>
      <c r="DQ52" s="11" t="str">
        <f ca="1">IF(History!DU$2="","",History!DU41*$C$52)</f>
        <v/>
      </c>
      <c r="DR52" s="11" t="str">
        <f ca="1">IF(History!DV$2="","",History!DV41*$C$52)</f>
        <v/>
      </c>
      <c r="DS52" s="11" t="str">
        <f ca="1">IF(History!DW$2="","",History!DW41*$C$52)</f>
        <v/>
      </c>
      <c r="DT52" s="11" t="str">
        <f ca="1">IF(History!DX$2="","",History!DX41*$C$52)</f>
        <v/>
      </c>
      <c r="DU52" s="11" t="str">
        <f ca="1">IF(History!DY$2="","",History!DY41*$C$52)</f>
        <v/>
      </c>
      <c r="DV52" s="11" t="str">
        <f ca="1">IF(History!DZ$2="","",History!DZ41*$C$52)</f>
        <v/>
      </c>
      <c r="DW52" s="11" t="str">
        <f ca="1">IF(History!EA$2="","",History!EA41*$C$52)</f>
        <v/>
      </c>
      <c r="DX52" s="11" t="str">
        <f ca="1">IF(History!EB$2="","",History!EB41*$C$52)</f>
        <v/>
      </c>
      <c r="DY52" s="11" t="str">
        <f ca="1">IF(History!EC$2="","",History!EC41*$C$52)</f>
        <v/>
      </c>
      <c r="DZ52" s="11" t="str">
        <f ca="1">IF(History!ED$2="","",History!ED41*$C$52)</f>
        <v/>
      </c>
      <c r="EA52" s="11" t="str">
        <f ca="1">IF(History!EE$2="","",History!EE41*$C$52)</f>
        <v/>
      </c>
      <c r="EB52" s="11" t="str">
        <f ca="1">IF(History!EF$2="","",History!EF41*$C$52)</f>
        <v/>
      </c>
      <c r="EC52" s="11" t="str">
        <f ca="1">IF(History!EG$2="","",History!EG41*$C$52)</f>
        <v/>
      </c>
      <c r="ED52" s="11" t="str">
        <f ca="1">IF(History!EH$2="","",History!EH41*$C$52)</f>
        <v/>
      </c>
      <c r="EE52" s="11" t="str">
        <f ca="1">IF(History!EI$2="","",History!EI41*$C$52)</f>
        <v/>
      </c>
      <c r="EF52" s="11" t="str">
        <f ca="1">IF(History!EJ$2="","",History!EJ41*$C$52)</f>
        <v/>
      </c>
      <c r="EG52" s="11" t="str">
        <f ca="1">IF(History!EK$2="","",History!EK41*$C$52)</f>
        <v/>
      </c>
      <c r="EH52" s="11" t="str">
        <f ca="1">IF(History!EL$2="","",History!EL41*$C$52)</f>
        <v/>
      </c>
      <c r="EI52" s="11" t="str">
        <f ca="1">IF(History!EM$2="","",History!EM41*$C$52)</f>
        <v/>
      </c>
      <c r="EJ52" s="11" t="str">
        <f ca="1">IF(History!EN$2="","",History!EN41*$C$52)</f>
        <v/>
      </c>
      <c r="EK52" s="11" t="str">
        <f ca="1">IF(History!EO$2="","",History!EO41*$C$52)</f>
        <v/>
      </c>
      <c r="EL52" s="11" t="str">
        <f ca="1">IF(History!EP$2="","",History!EP41*$C$52)</f>
        <v/>
      </c>
      <c r="EM52" s="11" t="str">
        <f ca="1">IF(History!EQ$2="","",History!EQ41*$C$52)</f>
        <v/>
      </c>
      <c r="EN52" s="11" t="str">
        <f ca="1">IF(History!ER$2="","",History!ER41*$C$52)</f>
        <v/>
      </c>
      <c r="EO52" s="11" t="str">
        <f ca="1">IF(History!ES$2="","",History!ES41*$C$52)</f>
        <v/>
      </c>
      <c r="EP52" s="11" t="str">
        <f ca="1">IF(History!ET$2="","",History!ET41*$C$52)</f>
        <v/>
      </c>
      <c r="EQ52" s="11" t="str">
        <f ca="1">IF(History!EU$2="","",History!EU41*$C$52)</f>
        <v/>
      </c>
      <c r="ER52" s="11" t="str">
        <f ca="1">IF(History!EV$2="","",History!EV41*$C$52)</f>
        <v/>
      </c>
      <c r="ES52" s="11" t="str">
        <f ca="1">IF(History!EW$2="","",History!EW41*$C$52)</f>
        <v/>
      </c>
      <c r="ET52" s="11" t="str">
        <f ca="1">IF(History!EX$2="","",History!EX41*$C$52)</f>
        <v/>
      </c>
      <c r="EU52" s="11" t="str">
        <f ca="1">IF(History!EY$2="","",History!EY41*$C$52)</f>
        <v/>
      </c>
      <c r="EV52" s="11" t="str">
        <f ca="1">IF(History!EZ$2="","",History!EZ41*$C$52)</f>
        <v/>
      </c>
      <c r="EW52" s="11" t="str">
        <f ca="1">IF(History!FA$2="","",History!FA41*$C$52)</f>
        <v/>
      </c>
      <c r="EX52" s="11" t="str">
        <f ca="1">IF(History!FB$2="","",History!FB41*$C$52)</f>
        <v/>
      </c>
      <c r="EY52" s="11" t="str">
        <f ca="1">IF(History!FC$2="","",History!FC41*$C$52)</f>
        <v/>
      </c>
      <c r="EZ52" s="11" t="str">
        <f ca="1">IF(History!FD$2="","",History!FD41*$C$52)</f>
        <v/>
      </c>
      <c r="FA52" s="11" t="str">
        <f ca="1">IF(History!FE$2="","",History!FE41*$C$52)</f>
        <v/>
      </c>
      <c r="FB52" s="11" t="str">
        <f ca="1">IF(History!FF$2="","",History!FF41*$C$52)</f>
        <v/>
      </c>
      <c r="FC52" s="11" t="str">
        <f ca="1">IF(History!FG$2="","",History!FG41*$C$52)</f>
        <v/>
      </c>
      <c r="FD52" s="11" t="str">
        <f ca="1">IF(History!FH$2="","",History!FH41*$C$52)</f>
        <v/>
      </c>
      <c r="FE52" s="11" t="str">
        <f ca="1">IF(History!FI$2="","",History!FI41*$C$52)</f>
        <v/>
      </c>
      <c r="FF52" s="11" t="str">
        <f ca="1">IF(History!FJ$2="","",History!FJ41*$C$52)</f>
        <v/>
      </c>
      <c r="FG52" s="11" t="str">
        <f ca="1">IF(History!FK$2="","",History!FK41*$C$52)</f>
        <v/>
      </c>
      <c r="FH52" s="11" t="str">
        <f ca="1">IF(History!FL$2="","",History!FL41*$C$52)</f>
        <v/>
      </c>
      <c r="FI52" s="11" t="str">
        <f ca="1">IF(History!FM$2="","",History!FM41*$C$52)</f>
        <v/>
      </c>
      <c r="FJ52" s="11" t="str">
        <f ca="1">IF(History!FN$2="","",History!FN41*$C$52)</f>
        <v/>
      </c>
      <c r="FK52" s="11" t="str">
        <f ca="1">IF(History!FO$2="","",History!FO41*$C$52)</f>
        <v/>
      </c>
      <c r="FL52" s="11" t="str">
        <f ca="1">IF(History!FP$2="","",History!FP41*$C$52)</f>
        <v/>
      </c>
      <c r="FM52" s="11" t="str">
        <f ca="1">IF(History!FQ$2="","",History!FQ41*$C$52)</f>
        <v/>
      </c>
      <c r="FN52" s="11" t="str">
        <f ca="1">IF(History!FR$2="","",History!FR41*$C$52)</f>
        <v/>
      </c>
      <c r="FO52" s="11" t="str">
        <f ca="1">IF(History!FS$2="","",History!FS41*$C$52)</f>
        <v/>
      </c>
      <c r="FP52" s="11" t="str">
        <f ca="1">IF(History!FT$2="","",History!FT41*$C$52)</f>
        <v/>
      </c>
      <c r="FQ52" s="11" t="str">
        <f ca="1">IF(History!FU$2="","",History!FU41*$C$52)</f>
        <v/>
      </c>
      <c r="FR52" s="11" t="str">
        <f ca="1">IF(History!FV$2="","",History!FV41*$C$52)</f>
        <v/>
      </c>
      <c r="FS52" s="11" t="str">
        <f ca="1">IF(History!FW$2="","",History!FW41*$C$52)</f>
        <v/>
      </c>
      <c r="FT52" s="11" t="str">
        <f ca="1">IF(History!FX$2="","",History!FX41*$C$52)</f>
        <v/>
      </c>
      <c r="FU52" s="11" t="str">
        <f ca="1">IF(History!FY$2="","",History!FY41*$C$52)</f>
        <v/>
      </c>
      <c r="FV52" s="11" t="str">
        <f ca="1">IF(History!FZ$2="","",History!FZ41*$C$52)</f>
        <v/>
      </c>
      <c r="FW52" s="11" t="str">
        <f ca="1">IF(History!GA$2="","",History!GA41*$C$52)</f>
        <v/>
      </c>
      <c r="FX52" s="11" t="str">
        <f ca="1">IF(History!GB$2="","",History!GB41*$C$52)</f>
        <v/>
      </c>
      <c r="FY52" s="11" t="str">
        <f ca="1">IF(History!GC$2="","",History!GC41*$C$52)</f>
        <v/>
      </c>
      <c r="FZ52" s="11" t="str">
        <f ca="1">IF(History!GD$2="","",History!GD41*$C$52)</f>
        <v/>
      </c>
      <c r="GA52" s="11" t="str">
        <f ca="1">IF(History!GE$2="","",History!GE41*$C$52)</f>
        <v/>
      </c>
      <c r="GB52" s="11" t="str">
        <f ca="1">IF(History!GF$2="","",History!GF41*$C$52)</f>
        <v/>
      </c>
      <c r="GC52" s="11" t="str">
        <f ca="1">IF(History!GG$2="","",History!GG41*$C$52)</f>
        <v/>
      </c>
      <c r="GD52" s="11" t="str">
        <f ca="1">IF(History!GH$2="","",History!GH41*$C$52)</f>
        <v/>
      </c>
      <c r="GE52" s="11" t="str">
        <f ca="1">IF(History!GI$2="","",History!GI41*$C$52)</f>
        <v/>
      </c>
      <c r="GF52" s="11" t="str">
        <f ca="1">IF(History!GJ$2="","",History!GJ41*$C$52)</f>
        <v/>
      </c>
      <c r="GG52" s="11" t="str">
        <f ca="1">IF(History!GK$2="","",History!GK41*$C$52)</f>
        <v/>
      </c>
      <c r="GH52" s="11" t="str">
        <f ca="1">IF(History!GL$2="","",History!GL41*$C$52)</f>
        <v/>
      </c>
      <c r="GI52" s="11" t="str">
        <f ca="1">IF(History!GM$2="","",History!GM41*$C$52)</f>
        <v/>
      </c>
      <c r="GJ52" s="11" t="str">
        <f ca="1">IF(History!GN$2="","",History!GN41*$C$52)</f>
        <v/>
      </c>
      <c r="GK52" s="11" t="str">
        <f ca="1">IF(History!GO$2="","",History!GO41*$C$52)</f>
        <v/>
      </c>
      <c r="GL52" s="11" t="str">
        <f ca="1">IF(History!GP$2="","",History!GP41*$C$52)</f>
        <v/>
      </c>
      <c r="GM52" s="11" t="str">
        <f ca="1">IF(History!GQ$2="","",History!GQ41*$C$52)</f>
        <v/>
      </c>
      <c r="GN52" s="11" t="str">
        <f ca="1">IF(History!GR$2="","",History!GR41*$C$52)</f>
        <v/>
      </c>
      <c r="GO52" s="11" t="str">
        <f ca="1">IF(History!GS$2="","",History!GS41*$C$52)</f>
        <v/>
      </c>
      <c r="GP52" s="11" t="str">
        <f ca="1">IF(History!GT$2="","",History!GT41*$C$52)</f>
        <v/>
      </c>
      <c r="GQ52" s="11" t="str">
        <f ca="1">IF(History!GU$2="","",History!GU41*$C$52)</f>
        <v/>
      </c>
      <c r="GR52" s="11" t="str">
        <f ca="1">IF(History!GV$2="","",History!GV41*$C$52)</f>
        <v/>
      </c>
      <c r="GS52" s="11" t="str">
        <f ca="1">IF(History!GW$2="","",History!GW41*$C$52)</f>
        <v/>
      </c>
      <c r="GT52" s="11" t="str">
        <f ca="1">IF(History!GX$2="","",History!GX41*$C$52)</f>
        <v/>
      </c>
      <c r="GU52" s="11" t="str">
        <f ca="1">IF(History!GY$2="","",History!GY41*$C$52)</f>
        <v/>
      </c>
      <c r="GV52" s="11" t="str">
        <f ca="1">IF(History!GZ$2="","",History!GZ41*$C$52)</f>
        <v/>
      </c>
      <c r="GW52" s="11" t="str">
        <f ca="1">IF(History!HA$2="","",History!HA41*$C$52)</f>
        <v/>
      </c>
      <c r="GX52" s="11" t="str">
        <f ca="1">IF(History!HB$2="","",History!HB41*$C$52)</f>
        <v/>
      </c>
      <c r="GY52" s="11" t="str">
        <f ca="1">IF(History!HC$2="","",History!HC41*$C$52)</f>
        <v/>
      </c>
      <c r="GZ52" s="11" t="str">
        <f ca="1">IF(History!HD$2="","",History!HD41*$C$52)</f>
        <v/>
      </c>
      <c r="HA52" s="11" t="str">
        <f ca="1">IF(History!HE$2="","",History!HE41*$C$52)</f>
        <v/>
      </c>
      <c r="HB52" s="11" t="str">
        <f ca="1">IF(History!HF$2="","",History!HF41*$C$52)</f>
        <v/>
      </c>
      <c r="HC52" s="11" t="str">
        <f ca="1">IF(History!HG$2="","",History!HG41*$C$52)</f>
        <v/>
      </c>
      <c r="HD52" s="11" t="str">
        <f ca="1">IF(History!HH$2="","",History!HH41*$C$52)</f>
        <v/>
      </c>
      <c r="HE52" s="11" t="str">
        <f ca="1">IF(History!HI$2="","",History!HI41*$C$52)</f>
        <v/>
      </c>
      <c r="HF52" s="11" t="str">
        <f ca="1">IF(History!HJ$2="","",History!HJ41*$C$52)</f>
        <v/>
      </c>
      <c r="HG52" s="11" t="str">
        <f ca="1">IF(History!HK$2="","",History!HK41*$C$52)</f>
        <v/>
      </c>
      <c r="HH52" s="11" t="str">
        <f ca="1">IF(History!HL$2="","",History!HL41*$C$52)</f>
        <v/>
      </c>
      <c r="HI52" s="11" t="str">
        <f ca="1">IF(History!HM$2="","",History!HM41*$C$52)</f>
        <v/>
      </c>
      <c r="HJ52" s="11" t="str">
        <f ca="1">IF(History!HN$2="","",History!HN41*$C$52)</f>
        <v/>
      </c>
      <c r="HK52" s="11" t="str">
        <f ca="1">IF(History!HO$2="","",History!HO41*$C$52)</f>
        <v/>
      </c>
      <c r="HL52" s="11" t="str">
        <f ca="1">IF(History!HP$2="","",History!HP41*$C$52)</f>
        <v/>
      </c>
      <c r="HM52" s="11" t="str">
        <f ca="1">IF(History!HQ$2="","",History!HQ41*$C$52)</f>
        <v/>
      </c>
      <c r="HN52" s="11" t="str">
        <f ca="1">IF(History!HR$2="","",History!HR41*$C$52)</f>
        <v/>
      </c>
      <c r="HO52" s="11" t="str">
        <f ca="1">IF(History!HS$2="","",History!HS41*$C$52)</f>
        <v/>
      </c>
      <c r="HP52" s="11" t="str">
        <f ca="1">IF(History!HT$2="","",History!HT41*$C$52)</f>
        <v/>
      </c>
      <c r="HQ52" s="11" t="str">
        <f ca="1">IF(History!HU$2="","",History!HU41*$C$52)</f>
        <v/>
      </c>
      <c r="HR52" s="11" t="str">
        <f ca="1">IF(History!HV$2="","",History!HV41*$C$52)</f>
        <v/>
      </c>
      <c r="HS52" s="11" t="str">
        <f ca="1">IF(History!HW$2="","",History!HW41*$C$52)</f>
        <v/>
      </c>
      <c r="HT52" s="11" t="str">
        <f ca="1">IF(History!HX$2="","",History!HX41*$C$52)</f>
        <v/>
      </c>
      <c r="HU52" s="11" t="str">
        <f ca="1">IF(History!HY$2="","",History!HY41*$C$52)</f>
        <v/>
      </c>
      <c r="HV52" s="11" t="str">
        <f ca="1">IF(History!HZ$2="","",History!HZ41*$C$52)</f>
        <v/>
      </c>
      <c r="HW52" s="11" t="str">
        <f ca="1">IF(History!IA$2="","",History!IA41*$C$52)</f>
        <v/>
      </c>
      <c r="HX52" s="11" t="str">
        <f ca="1">IF(History!IB$2="","",History!IB41*$C$52)</f>
        <v/>
      </c>
      <c r="HY52" s="11" t="str">
        <f ca="1">IF(History!IC$2="","",History!IC41*$C$52)</f>
        <v/>
      </c>
      <c r="HZ52" s="11" t="str">
        <f ca="1">IF(History!ID$2="","",History!ID41*$C$52)</f>
        <v/>
      </c>
      <c r="IA52" s="11" t="str">
        <f ca="1">IF(History!IE$2="","",History!IE41*$C$52)</f>
        <v/>
      </c>
      <c r="IB52" s="11" t="str">
        <f ca="1">IF(History!IF$2="","",History!IF41*$C$52)</f>
        <v/>
      </c>
      <c r="IC52" s="11" t="str">
        <f ca="1">IF(History!IG$2="","",History!IG41*$C$52)</f>
        <v/>
      </c>
      <c r="ID52" s="11" t="str">
        <f ca="1">IF(History!IH$2="","",History!IH41*$C$52)</f>
        <v/>
      </c>
      <c r="IE52" s="11" t="str">
        <f ca="1">IF(History!II$2="","",History!II41*$C$52)</f>
        <v/>
      </c>
      <c r="IF52" s="11" t="str">
        <f ca="1">IF(History!IJ$2="","",History!IJ41*$C$52)</f>
        <v/>
      </c>
      <c r="IG52" s="11" t="str">
        <f ca="1">IF(History!IK$2="","",History!IK41*$C$52)</f>
        <v/>
      </c>
      <c r="IH52" s="11" t="str">
        <f ca="1">IF(History!IL$2="","",History!IL41*$C$52)</f>
        <v/>
      </c>
      <c r="II52" s="11" t="str">
        <f ca="1">IF(History!IM$2="","",History!IM41*$C$52)</f>
        <v/>
      </c>
      <c r="IJ52" s="11" t="str">
        <f ca="1">IF(History!IN$2="","",History!IN41*$C$52)</f>
        <v/>
      </c>
      <c r="IK52" s="11" t="str">
        <f ca="1">IF(History!IO$2="","",History!IO41*$C$52)</f>
        <v/>
      </c>
      <c r="IL52" s="11" t="str">
        <f ca="1">IF(History!IP$2="","",History!IP41*$C$52)</f>
        <v/>
      </c>
      <c r="IM52" s="11" t="str">
        <f ca="1">IF(History!IQ$2="","",History!IQ41*$C$52)</f>
        <v/>
      </c>
      <c r="IN52" s="11" t="str">
        <f ca="1">IF(History!IR$2="","",History!IR41*$C$52)</f>
        <v/>
      </c>
      <c r="IO52" s="11" t="str">
        <f ca="1">IF(History!IS$2="","",History!IS41*$C$52)</f>
        <v/>
      </c>
      <c r="IP52" s="11" t="str">
        <f ca="1">IF(History!IT$2="","",History!IT41*$C$52)</f>
        <v/>
      </c>
      <c r="IQ52" s="11" t="str">
        <f ca="1">IF(History!IU$2="","",History!IU41*$C$52)</f>
        <v/>
      </c>
      <c r="IR52" s="11" t="str">
        <f ca="1">IF(History!IV$2="","",History!IV41*$C$52)</f>
        <v/>
      </c>
      <c r="IS52" s="11" t="str">
        <f ca="1">IF(History!IW$2="","",History!IW41*$C$52)</f>
        <v/>
      </c>
      <c r="IT52" s="11" t="str">
        <f ca="1">IF(History!IX$2="","",History!IX41*$C$52)</f>
        <v/>
      </c>
      <c r="IU52" s="11" t="str">
        <f ca="1">IF(History!IY$2="","",History!IY41*$C$52)</f>
        <v/>
      </c>
      <c r="IV52" s="11" t="str">
        <f ca="1">IF(History!IZ$2="","",History!IZ41*$C$52)</f>
        <v/>
      </c>
      <c r="IW52" s="11" t="str">
        <f ca="1">IF(History!JA$2="","",History!JA41*$C$52)</f>
        <v/>
      </c>
      <c r="IX52" s="11" t="str">
        <f ca="1">IF(History!JB$2="","",History!JB41*$C$52)</f>
        <v/>
      </c>
      <c r="IY52" s="11" t="str">
        <f ca="1">IF(History!JC$2="","",History!JC41*$C$52)</f>
        <v/>
      </c>
      <c r="IZ52" s="11" t="str">
        <f ca="1">IF(History!JD$2="","",History!JD41*$C$52)</f>
        <v/>
      </c>
      <c r="JA52" s="11" t="str">
        <f ca="1">IF(History!JE$2="","",History!JE41*$C$52)</f>
        <v/>
      </c>
      <c r="JB52" s="11" t="str">
        <f ca="1">IF(History!JF$2="","",History!JF41*$C$52)</f>
        <v/>
      </c>
      <c r="JC52" s="11" t="str">
        <f ca="1">IF(History!JG$2="","",History!JG41*$C$52)</f>
        <v/>
      </c>
      <c r="JD52" s="11" t="str">
        <f ca="1">IF(History!JH$2="","",History!JH41*$C$52)</f>
        <v/>
      </c>
      <c r="JE52" s="11" t="str">
        <f ca="1">IF(History!JI$2="","",History!JI41*$C$52)</f>
        <v/>
      </c>
      <c r="JF52" s="11" t="str">
        <f ca="1">IF(History!JJ$2="","",History!JJ41*$C$52)</f>
        <v/>
      </c>
      <c r="JG52" s="11" t="str">
        <f ca="1">IF(History!JK$2="","",History!JK41*$C$52)</f>
        <v/>
      </c>
      <c r="JH52" s="11" t="str">
        <f ca="1">IF(History!JL$2="","",History!JL41*$C$52)</f>
        <v/>
      </c>
      <c r="JI52" s="11" t="str">
        <f ca="1">IF(History!JM$2="","",History!JM41*$C$52)</f>
        <v/>
      </c>
      <c r="JJ52" s="11" t="str">
        <f ca="1">IF(History!JN$2="","",History!JN41*$C$52)</f>
        <v/>
      </c>
      <c r="JK52" s="11" t="str">
        <f ca="1">IF(History!JO$2="","",History!JO41*$C$52)</f>
        <v/>
      </c>
      <c r="JL52" s="11" t="str">
        <f ca="1">IF(History!JP$2="","",History!JP41*$C$52)</f>
        <v/>
      </c>
      <c r="JM52" s="11" t="str">
        <f ca="1">IF(History!JQ$2="","",History!JQ41*$C$52)</f>
        <v/>
      </c>
      <c r="JN52" s="11" t="str">
        <f ca="1">IF(History!JR$2="","",History!JR41*$C$52)</f>
        <v/>
      </c>
      <c r="JO52" s="11" t="str">
        <f ca="1">IF(History!JS$2="","",History!JS41*$C$52)</f>
        <v/>
      </c>
      <c r="JP52" s="11" t="str">
        <f ca="1">IF(History!JT$2="","",History!JT41*$C$52)</f>
        <v/>
      </c>
      <c r="JQ52" s="11" t="str">
        <f ca="1">IF(History!JU$2="","",History!JU41*$C$52)</f>
        <v/>
      </c>
      <c r="JR52" s="11" t="str">
        <f ca="1">IF(History!JV$2="","",History!JV41*$C$52)</f>
        <v/>
      </c>
      <c r="JS52" s="11" t="str">
        <f ca="1">IF(History!JW$2="","",History!JW41*$C$52)</f>
        <v/>
      </c>
      <c r="JT52" s="11" t="str">
        <f ca="1">IF(History!JX$2="","",History!JX41*$C$52)</f>
        <v/>
      </c>
      <c r="JU52" s="11" t="str">
        <f ca="1">IF(History!JY$2="","",History!JY41*$C$52)</f>
        <v/>
      </c>
      <c r="JV52" s="11" t="str">
        <f ca="1">IF(History!JZ$2="","",History!JZ41*$C$52)</f>
        <v/>
      </c>
      <c r="JW52" s="11" t="str">
        <f ca="1">IF(History!KA$2="","",History!KA41*$C$52)</f>
        <v/>
      </c>
      <c r="JX52" s="11" t="str">
        <f ca="1">IF(History!KB$2="","",History!KB41*$C$52)</f>
        <v/>
      </c>
      <c r="JY52" s="11" t="str">
        <f ca="1">IF(History!KC$2="","",History!KC41*$C$52)</f>
        <v/>
      </c>
      <c r="JZ52" s="11" t="str">
        <f ca="1">IF(History!KD$2="","",History!KD41*$C$52)</f>
        <v/>
      </c>
      <c r="KA52" s="11" t="str">
        <f ca="1">IF(History!KE$2="","",History!KE41*$C$52)</f>
        <v/>
      </c>
      <c r="KB52" s="11" t="str">
        <f ca="1">IF(History!KF$2="","",History!KF41*$C$52)</f>
        <v/>
      </c>
    </row>
    <row r="53" spans="1:288" ht="15.75" customHeight="1">
      <c r="A53" s="22" t="s">
        <v>30</v>
      </c>
      <c r="B53" s="6" t="s">
        <v>84</v>
      </c>
      <c r="C53" s="26">
        <v>39</v>
      </c>
      <c r="D53" s="11">
        <f ca="1">IF(History!H$2="","",History!H42*$C$53)</f>
        <v>403.26</v>
      </c>
      <c r="E53" s="11">
        <f ca="1">IF(History!I$2="","",History!I42*$C$53)</f>
        <v>445.38</v>
      </c>
      <c r="F53" s="11">
        <f ca="1">IF(History!J$2="","",History!J42*$C$53)</f>
        <v>445.77</v>
      </c>
      <c r="G53" s="11">
        <f ca="1">IF(History!K$2="","",History!K42*$C$53)</f>
        <v>430.95000000000005</v>
      </c>
      <c r="H53" s="11">
        <f ca="1">IF(History!L$2="","",History!L42*$C$53)</f>
        <v>441.09000000000003</v>
      </c>
      <c r="I53" s="11">
        <f ca="1">IF(History!M$2="","",History!M42*$C$53)</f>
        <v>431.73</v>
      </c>
      <c r="J53" s="11">
        <f ca="1">IF(History!N$2="","",History!N42*$C$53)</f>
        <v>429.78</v>
      </c>
      <c r="K53" s="11">
        <f ca="1">IF(History!O$2="","",History!O42*$C$53)</f>
        <v>398.97</v>
      </c>
      <c r="L53" s="11">
        <f ca="1">IF(History!P$2="","",History!P42*$C$53)</f>
        <v>381.41999999999996</v>
      </c>
      <c r="M53" s="11">
        <f ca="1">IF(History!Q$2="","",History!Q42*$C$53)</f>
        <v>395.07000000000005</v>
      </c>
      <c r="N53" s="11">
        <f ca="1">IF(History!R$2="","",History!R42*$C$53)</f>
        <v>408.33000000000004</v>
      </c>
      <c r="O53" s="11">
        <f ca="1">IF(History!S$2="","",History!S42*$C$53)</f>
        <v>397.40999999999997</v>
      </c>
      <c r="P53" s="11">
        <f ca="1">IF(History!T$2="","",History!T42*$C$53)</f>
        <v>399.36</v>
      </c>
      <c r="Q53" s="11">
        <f ca="1">IF(History!U$2="","",History!U42*$C$53)</f>
        <v>401.70000000000005</v>
      </c>
      <c r="R53" s="11">
        <f ca="1">IF(History!V$2="","",History!V42*$C$53)</f>
        <v>414.96000000000004</v>
      </c>
      <c r="S53" s="11">
        <f ca="1">IF(History!W$2="","",History!W42*$C$53)</f>
        <v>440.30999999999995</v>
      </c>
      <c r="T53" s="11">
        <f ca="1">IF(History!X$2="","",History!X42*$C$53)</f>
        <v>442.65</v>
      </c>
      <c r="U53" s="11">
        <f ca="1">IF(History!Y$2="","",History!Y42*$C$53)</f>
        <v>435.63</v>
      </c>
      <c r="V53" s="11">
        <f ca="1">IF(History!Z$2="","",History!Z42*$C$53)</f>
        <v>453.57000000000005</v>
      </c>
      <c r="W53" s="11">
        <f ca="1">IF(History!AA$2="","",History!AA42*$C$53)</f>
        <v>453.57000000000005</v>
      </c>
      <c r="X53" s="11">
        <f ca="1">IF(History!AB$2="","",History!AB42*$C$53)</f>
        <v>425.49</v>
      </c>
      <c r="Y53" s="11">
        <f ca="1">IF(History!AC$2="","",History!AC42*$C$53)</f>
        <v>432.12</v>
      </c>
      <c r="Z53" s="11">
        <f ca="1">IF(History!AD$2="","",History!AD42*$C$53)</f>
        <v>449.66999999999996</v>
      </c>
      <c r="AA53" s="11">
        <f ca="1">IF(History!AE$2="","",History!AE42*$C$53)</f>
        <v>499.20000000000005</v>
      </c>
      <c r="AB53" s="11">
        <f ca="1">IF(History!AF$2="","",History!AF42*$C$53)</f>
        <v>473.85</v>
      </c>
      <c r="AC53" s="11">
        <f ca="1">IF(History!AG$2="","",History!AG42*$C$53)</f>
        <v>462.92999999999995</v>
      </c>
      <c r="AD53" s="11">
        <f ca="1">IF(History!AH$2="","",History!AH42*$C$53)</f>
        <v>485.94000000000005</v>
      </c>
      <c r="AE53" s="11">
        <f ca="1">IF(History!AI$2="","",History!AI42*$C$53)</f>
        <v>491.4</v>
      </c>
      <c r="AF53" s="11">
        <f ca="1">IF(History!AJ$2="","",History!AJ42*$C$53)</f>
        <v>474.24</v>
      </c>
      <c r="AG53" s="11">
        <f ca="1">IF(History!AK$2="","",History!AK42*$C$53)</f>
        <v>478.91999999999996</v>
      </c>
      <c r="AH53" s="11">
        <f ca="1">IF(History!AL$2="","",History!AL42*$C$53)</f>
        <v>502.32000000000005</v>
      </c>
      <c r="AI53" s="11">
        <f ca="1">IF(History!AM$2="","",History!AM42*$C$53)</f>
        <v>514.02</v>
      </c>
      <c r="AJ53" s="11">
        <f ca="1">IF(History!AN$2="","",History!AN42*$C$53)</f>
        <v>550.67999999999995</v>
      </c>
      <c r="AK53" s="11">
        <f ca="1">IF(History!AO$2="","",History!AO42*$C$53)</f>
        <v>612.69000000000005</v>
      </c>
      <c r="AL53" s="11">
        <f ca="1">IF(History!AP$2="","",History!AP42*$C$53)</f>
        <v>668.46</v>
      </c>
      <c r="AM53" s="11">
        <f ca="1">IF(History!AQ$2="","",History!AQ42*$C$53)</f>
        <v>677.04</v>
      </c>
      <c r="AN53" s="11">
        <f ca="1">IF(History!AR$2="","",History!AR42*$C$53)</f>
        <v>676.26</v>
      </c>
      <c r="AO53" s="11">
        <f ca="1">IF(History!AS$2="","",History!AS42*$C$53)</f>
        <v>705.51</v>
      </c>
      <c r="AP53" s="11">
        <f ca="1">IF(History!AT$2="","",History!AT42*$C$53)</f>
        <v>724.61999999999989</v>
      </c>
      <c r="AQ53" s="11">
        <f ca="1">IF(History!AU$2="","",History!AU42*$C$53)</f>
        <v>681.32999999999993</v>
      </c>
      <c r="AR53" s="11">
        <f ca="1">IF(History!AV$2="","",History!AV42*$C$53)</f>
        <v>653.6400000000001</v>
      </c>
      <c r="AS53" s="11">
        <f ca="1">IF(History!AW$2="","",History!AW42*$C$53)</f>
        <v>652.8599999999999</v>
      </c>
      <c r="AT53" s="11">
        <f ca="1">IF(History!AX$2="","",History!AX42*$C$53)</f>
        <v>611.91</v>
      </c>
      <c r="AU53" s="11">
        <f ca="1">IF(History!AY$2="","",History!AY42*$C$53)</f>
        <v>582.27</v>
      </c>
      <c r="AV53" s="11">
        <f ca="1">IF(History!AZ$2="","",History!AZ42*$C$53)</f>
        <v>567.45000000000005</v>
      </c>
      <c r="AW53" s="11">
        <f ca="1">IF(History!BA$2="","",History!BA42*$C$53)</f>
        <v>554.19000000000005</v>
      </c>
      <c r="AX53" s="11">
        <f ca="1">IF(History!BB$2="","",History!BB42*$C$53)</f>
        <v>597.48</v>
      </c>
      <c r="AY53" s="11">
        <f ca="1">IF(History!BC$2="","",History!BC42*$C$53)</f>
        <v>590.07000000000005</v>
      </c>
      <c r="AZ53" s="11">
        <f ca="1">IF(History!BD$2="","",History!BD42*$C$53)</f>
        <v>603.72</v>
      </c>
      <c r="BA53" s="11">
        <f ca="1">IF(History!BE$2="","",History!BE42*$C$53)</f>
        <v>606.05999999999995</v>
      </c>
      <c r="BB53" s="11">
        <f ca="1">IF(History!BF$2="","",History!BF42*$C$53)</f>
        <v>613.86</v>
      </c>
      <c r="BC53" s="11">
        <f ca="1">IF(History!BG$2="","",History!BG42*$C$53)</f>
        <v>615.41999999999996</v>
      </c>
      <c r="BD53" s="11">
        <f ca="1">IF(History!BH$2="","",History!BH42*$C$53)</f>
        <v>647.40000000000009</v>
      </c>
      <c r="BE53" s="11">
        <f ca="1">IF(History!BI$2="","",History!BI42*$C$53)</f>
        <v>620.49</v>
      </c>
      <c r="BF53" s="11">
        <f ca="1">IF(History!BJ$2="","",History!BJ42*$C$53)</f>
        <v>618.92999999999995</v>
      </c>
      <c r="BG53" s="11">
        <f ca="1">IF(History!BK$2="","",History!BK42*$C$53)</f>
        <v>643.8900000000001</v>
      </c>
      <c r="BH53" s="11">
        <f ca="1">IF(History!BL$2="","",History!BL42*$C$53)</f>
        <v>615.80999999999995</v>
      </c>
      <c r="BI53" s="11">
        <f ca="1">IF(History!BM$2="","",History!BM42*$C$53)</f>
        <v>664.95</v>
      </c>
      <c r="BJ53" s="11">
        <f ca="1">IF(History!BN$2="","",History!BN42*$C$53)</f>
        <v>671.19</v>
      </c>
      <c r="BK53" s="11">
        <f ca="1">IF(History!BO$2="","",History!BO42*$C$53)</f>
        <v>655.20000000000005</v>
      </c>
      <c r="BL53" s="11">
        <f ca="1">IF(History!BP$2="","",History!BP42*$C$53)</f>
        <v>677.43000000000006</v>
      </c>
      <c r="BM53" s="11">
        <f ca="1">IF(History!BQ$2="","",History!BQ42*$C$53)</f>
        <v>694.2</v>
      </c>
      <c r="BN53" s="11">
        <f ca="1">IF(History!BR$2="","",History!BR42*$C$53)</f>
        <v>730.47</v>
      </c>
      <c r="BO53" s="11">
        <f ca="1">IF(History!BS$2="","",History!BS42*$C$53)</f>
        <v>707.06999999999994</v>
      </c>
      <c r="BP53" s="11">
        <f ca="1">IF(History!BT$2="","",History!BT42*$C$53)</f>
        <v>725.40000000000009</v>
      </c>
      <c r="BQ53" s="11">
        <f ca="1">IF(History!BU$2="","",History!BU42*$C$53)</f>
        <v>731.6400000000001</v>
      </c>
      <c r="BR53" s="11">
        <f ca="1">IF(History!BV$2="","",History!BV42*$C$53)</f>
        <v>778.05</v>
      </c>
      <c r="BS53" s="11">
        <f ca="1">IF(History!BW$2="","",History!BW42*$C$53)</f>
        <v>780</v>
      </c>
      <c r="BT53" s="11">
        <f ca="1">IF(History!BX$2="","",History!BX42*$C$53)</f>
        <v>764.40000000000009</v>
      </c>
      <c r="BU53" s="11">
        <f ca="1">IF(History!BY$2="","",History!BY42*$C$53)</f>
        <v>785.84999999999991</v>
      </c>
      <c r="BV53" s="11">
        <f ca="1">IF(History!BZ$2="","",History!BZ42*$C$53)</f>
        <v>735.54</v>
      </c>
      <c r="BW53" s="11">
        <f ca="1">IF(History!CA$2="","",History!CA42*$C$53)</f>
        <v>702.78</v>
      </c>
      <c r="BX53" s="11">
        <f ca="1">IF(History!CB$2="","",History!CB42*$C$53)</f>
        <v>700.82999999999993</v>
      </c>
      <c r="BY53" s="11">
        <f ca="1">IF(History!CC$2="","",History!CC42*$C$53)</f>
        <v>696.54</v>
      </c>
      <c r="BZ53" s="11">
        <f ca="1">IF(History!CD$2="","",History!CD42*$C$53)</f>
        <v>709.02</v>
      </c>
      <c r="CA53" s="11">
        <f ca="1">IF(History!CE$2="","",History!CE42*$C$53)</f>
        <v>735.54</v>
      </c>
      <c r="CB53" s="11">
        <f ca="1">IF(History!CF$2="","",History!CF42*$C$53)</f>
        <v>708.63000000000011</v>
      </c>
      <c r="CC53" s="11">
        <f ca="1">IF(History!CG$2="","",History!CG42*$C$53)</f>
        <v>708.24</v>
      </c>
      <c r="CD53" s="11">
        <f ca="1">IF(History!CH$2="","",History!CH42*$C$53)</f>
        <v>762.45</v>
      </c>
      <c r="CE53" s="11">
        <f ca="1">IF(History!CI$2="","",History!CI42*$C$53)</f>
        <v>811.2</v>
      </c>
      <c r="CF53" s="11" t="str">
        <f ca="1">IF(History!CJ$2="","",History!CJ42*$C$53)</f>
        <v/>
      </c>
      <c r="CG53" s="11" t="str">
        <f ca="1">IF(History!CK$2="","",History!CK42*$C$53)</f>
        <v/>
      </c>
      <c r="CH53" s="11" t="str">
        <f ca="1">IF(History!CL$2="","",History!CL42*$C$53)</f>
        <v/>
      </c>
      <c r="CI53" s="11" t="str">
        <f ca="1">IF(History!CM$2="","",History!CM42*$C$53)</f>
        <v/>
      </c>
      <c r="CJ53" s="11" t="str">
        <f ca="1">IF(History!CN$2="","",History!CN42*$C$53)</f>
        <v/>
      </c>
      <c r="CK53" s="11" t="str">
        <f ca="1">IF(History!CO$2="","",History!CO42*$C$53)</f>
        <v/>
      </c>
      <c r="CL53" s="11" t="str">
        <f ca="1">IF(History!CP$2="","",History!CP42*$C$53)</f>
        <v/>
      </c>
      <c r="CM53" s="11" t="str">
        <f ca="1">IF(History!CQ$2="","",History!CQ42*$C$53)</f>
        <v/>
      </c>
      <c r="CN53" s="11" t="str">
        <f ca="1">IF(History!CR$2="","",History!CR42*$C$53)</f>
        <v/>
      </c>
      <c r="CO53" s="11" t="str">
        <f ca="1">IF(History!CS$2="","",History!CS42*$C$53)</f>
        <v/>
      </c>
      <c r="CP53" s="11" t="str">
        <f ca="1">IF(History!CT$2="","",History!CT42*$C$53)</f>
        <v/>
      </c>
      <c r="CQ53" s="11" t="str">
        <f ca="1">IF(History!CU$2="","",History!CU42*$C$53)</f>
        <v/>
      </c>
      <c r="CR53" s="11" t="str">
        <f ca="1">IF(History!CV$2="","",History!CV42*$C$53)</f>
        <v/>
      </c>
      <c r="CS53" s="11" t="str">
        <f ca="1">IF(History!CW$2="","",History!CW42*$C$53)</f>
        <v/>
      </c>
      <c r="CT53" s="11" t="str">
        <f ca="1">IF(History!CX$2="","",History!CX42*$C$53)</f>
        <v/>
      </c>
      <c r="CU53" s="11" t="str">
        <f ca="1">IF(History!CY$2="","",History!CY42*$C$53)</f>
        <v/>
      </c>
      <c r="CV53" s="11" t="str">
        <f ca="1">IF(History!CZ$2="","",History!CZ42*$C$53)</f>
        <v/>
      </c>
      <c r="CW53" s="11" t="str">
        <f ca="1">IF(History!DA$2="","",History!DA42*$C$53)</f>
        <v/>
      </c>
      <c r="CX53" s="11" t="str">
        <f ca="1">IF(History!DB$2="","",History!DB42*$C$53)</f>
        <v/>
      </c>
      <c r="CY53" s="11" t="str">
        <f ca="1">IF(History!DC$2="","",History!DC42*$C$53)</f>
        <v/>
      </c>
      <c r="CZ53" s="11" t="str">
        <f ca="1">IF(History!DD$2="","",History!DD42*$C$53)</f>
        <v/>
      </c>
      <c r="DA53" s="11" t="str">
        <f ca="1">IF(History!DE$2="","",History!DE42*$C$53)</f>
        <v/>
      </c>
      <c r="DB53" s="11" t="str">
        <f ca="1">IF(History!DF$2="","",History!DF42*$C$53)</f>
        <v/>
      </c>
      <c r="DC53" s="11" t="str">
        <f ca="1">IF(History!DG$2="","",History!DG42*$C$53)</f>
        <v/>
      </c>
      <c r="DD53" s="11" t="str">
        <f ca="1">IF(History!DH$2="","",History!DH42*$C$53)</f>
        <v/>
      </c>
      <c r="DE53" s="11" t="str">
        <f ca="1">IF(History!DI$2="","",History!DI42*$C$53)</f>
        <v/>
      </c>
      <c r="DF53" s="11" t="str">
        <f ca="1">IF(History!DJ$2="","",History!DJ42*$C$53)</f>
        <v/>
      </c>
      <c r="DG53" s="11" t="str">
        <f ca="1">IF(History!DK$2="","",History!DK42*$C$53)</f>
        <v/>
      </c>
      <c r="DH53" s="11" t="str">
        <f ca="1">IF(History!DL$2="","",History!DL42*$C$53)</f>
        <v/>
      </c>
      <c r="DI53" s="11" t="str">
        <f ca="1">IF(History!DM$2="","",History!DM42*$C$53)</f>
        <v/>
      </c>
      <c r="DJ53" s="11" t="str">
        <f ca="1">IF(History!DN$2="","",History!DN42*$C$53)</f>
        <v/>
      </c>
      <c r="DK53" s="11" t="str">
        <f ca="1">IF(History!DO$2="","",History!DO42*$C$53)</f>
        <v/>
      </c>
      <c r="DL53" s="11" t="str">
        <f ca="1">IF(History!DP$2="","",History!DP42*$C$53)</f>
        <v/>
      </c>
      <c r="DM53" s="11" t="str">
        <f ca="1">IF(History!DQ$2="","",History!DQ42*$C$53)</f>
        <v/>
      </c>
      <c r="DN53" s="11" t="str">
        <f ca="1">IF(History!DR$2="","",History!DR42*$C$53)</f>
        <v/>
      </c>
      <c r="DO53" s="11" t="str">
        <f ca="1">IF(History!DS$2="","",History!DS42*$C$53)</f>
        <v/>
      </c>
      <c r="DP53" s="11" t="str">
        <f ca="1">IF(History!DT$2="","",History!DT42*$C$53)</f>
        <v/>
      </c>
      <c r="DQ53" s="11" t="str">
        <f ca="1">IF(History!DU$2="","",History!DU42*$C$53)</f>
        <v/>
      </c>
      <c r="DR53" s="11" t="str">
        <f ca="1">IF(History!DV$2="","",History!DV42*$C$53)</f>
        <v/>
      </c>
      <c r="DS53" s="11" t="str">
        <f ca="1">IF(History!DW$2="","",History!DW42*$C$53)</f>
        <v/>
      </c>
      <c r="DT53" s="11" t="str">
        <f ca="1">IF(History!DX$2="","",History!DX42*$C$53)</f>
        <v/>
      </c>
      <c r="DU53" s="11" t="str">
        <f ca="1">IF(History!DY$2="","",History!DY42*$C$53)</f>
        <v/>
      </c>
      <c r="DV53" s="11" t="str">
        <f ca="1">IF(History!DZ$2="","",History!DZ42*$C$53)</f>
        <v/>
      </c>
      <c r="DW53" s="11" t="str">
        <f ca="1">IF(History!EA$2="","",History!EA42*$C$53)</f>
        <v/>
      </c>
      <c r="DX53" s="11" t="str">
        <f ca="1">IF(History!EB$2="","",History!EB42*$C$53)</f>
        <v/>
      </c>
      <c r="DY53" s="11" t="str">
        <f ca="1">IF(History!EC$2="","",History!EC42*$C$53)</f>
        <v/>
      </c>
      <c r="DZ53" s="11" t="str">
        <f ca="1">IF(History!ED$2="","",History!ED42*$C$53)</f>
        <v/>
      </c>
      <c r="EA53" s="11" t="str">
        <f ca="1">IF(History!EE$2="","",History!EE42*$C$53)</f>
        <v/>
      </c>
      <c r="EB53" s="11" t="str">
        <f ca="1">IF(History!EF$2="","",History!EF42*$C$53)</f>
        <v/>
      </c>
      <c r="EC53" s="11" t="str">
        <f ca="1">IF(History!EG$2="","",History!EG42*$C$53)</f>
        <v/>
      </c>
      <c r="ED53" s="11" t="str">
        <f ca="1">IF(History!EH$2="","",History!EH42*$C$53)</f>
        <v/>
      </c>
      <c r="EE53" s="11" t="str">
        <f ca="1">IF(History!EI$2="","",History!EI42*$C$53)</f>
        <v/>
      </c>
      <c r="EF53" s="11" t="str">
        <f ca="1">IF(History!EJ$2="","",History!EJ42*$C$53)</f>
        <v/>
      </c>
      <c r="EG53" s="11" t="str">
        <f ca="1">IF(History!EK$2="","",History!EK42*$C$53)</f>
        <v/>
      </c>
      <c r="EH53" s="11" t="str">
        <f ca="1">IF(History!EL$2="","",History!EL42*$C$53)</f>
        <v/>
      </c>
      <c r="EI53" s="11" t="str">
        <f ca="1">IF(History!EM$2="","",History!EM42*$C$53)</f>
        <v/>
      </c>
      <c r="EJ53" s="11" t="str">
        <f ca="1">IF(History!EN$2="","",History!EN42*$C$53)</f>
        <v/>
      </c>
      <c r="EK53" s="11" t="str">
        <f ca="1">IF(History!EO$2="","",History!EO42*$C$53)</f>
        <v/>
      </c>
      <c r="EL53" s="11" t="str">
        <f ca="1">IF(History!EP$2="","",History!EP42*$C$53)</f>
        <v/>
      </c>
      <c r="EM53" s="11" t="str">
        <f ca="1">IF(History!EQ$2="","",History!EQ42*$C$53)</f>
        <v/>
      </c>
      <c r="EN53" s="11" t="str">
        <f ca="1">IF(History!ER$2="","",History!ER42*$C$53)</f>
        <v/>
      </c>
      <c r="EO53" s="11" t="str">
        <f ca="1">IF(History!ES$2="","",History!ES42*$C$53)</f>
        <v/>
      </c>
      <c r="EP53" s="11" t="str">
        <f ca="1">IF(History!ET$2="","",History!ET42*$C$53)</f>
        <v/>
      </c>
      <c r="EQ53" s="11" t="str">
        <f ca="1">IF(History!EU$2="","",History!EU42*$C$53)</f>
        <v/>
      </c>
      <c r="ER53" s="11" t="str">
        <f ca="1">IF(History!EV$2="","",History!EV42*$C$53)</f>
        <v/>
      </c>
      <c r="ES53" s="11" t="str">
        <f ca="1">IF(History!EW$2="","",History!EW42*$C$53)</f>
        <v/>
      </c>
      <c r="ET53" s="11" t="str">
        <f ca="1">IF(History!EX$2="","",History!EX42*$C$53)</f>
        <v/>
      </c>
      <c r="EU53" s="11" t="str">
        <f ca="1">IF(History!EY$2="","",History!EY42*$C$53)</f>
        <v/>
      </c>
      <c r="EV53" s="11" t="str">
        <f ca="1">IF(History!EZ$2="","",History!EZ42*$C$53)</f>
        <v/>
      </c>
      <c r="EW53" s="11" t="str">
        <f ca="1">IF(History!FA$2="","",History!FA42*$C$53)</f>
        <v/>
      </c>
      <c r="EX53" s="11" t="str">
        <f ca="1">IF(History!FB$2="","",History!FB42*$C$53)</f>
        <v/>
      </c>
      <c r="EY53" s="11" t="str">
        <f ca="1">IF(History!FC$2="","",History!FC42*$C$53)</f>
        <v/>
      </c>
      <c r="EZ53" s="11" t="str">
        <f ca="1">IF(History!FD$2="","",History!FD42*$C$53)</f>
        <v/>
      </c>
      <c r="FA53" s="11" t="str">
        <f ca="1">IF(History!FE$2="","",History!FE42*$C$53)</f>
        <v/>
      </c>
      <c r="FB53" s="11" t="str">
        <f ca="1">IF(History!FF$2="","",History!FF42*$C$53)</f>
        <v/>
      </c>
      <c r="FC53" s="11" t="str">
        <f ca="1">IF(History!FG$2="","",History!FG42*$C$53)</f>
        <v/>
      </c>
      <c r="FD53" s="11" t="str">
        <f ca="1">IF(History!FH$2="","",History!FH42*$C$53)</f>
        <v/>
      </c>
      <c r="FE53" s="11" t="str">
        <f ca="1">IF(History!FI$2="","",History!FI42*$C$53)</f>
        <v/>
      </c>
      <c r="FF53" s="11" t="str">
        <f ca="1">IF(History!FJ$2="","",History!FJ42*$C$53)</f>
        <v/>
      </c>
      <c r="FG53" s="11" t="str">
        <f ca="1">IF(History!FK$2="","",History!FK42*$C$53)</f>
        <v/>
      </c>
      <c r="FH53" s="11" t="str">
        <f ca="1">IF(History!FL$2="","",History!FL42*$C$53)</f>
        <v/>
      </c>
      <c r="FI53" s="11" t="str">
        <f ca="1">IF(History!FM$2="","",History!FM42*$C$53)</f>
        <v/>
      </c>
      <c r="FJ53" s="11" t="str">
        <f ca="1">IF(History!FN$2="","",History!FN42*$C$53)</f>
        <v/>
      </c>
      <c r="FK53" s="11" t="str">
        <f ca="1">IF(History!FO$2="","",History!FO42*$C$53)</f>
        <v/>
      </c>
      <c r="FL53" s="11" t="str">
        <f ca="1">IF(History!FP$2="","",History!FP42*$C$53)</f>
        <v/>
      </c>
      <c r="FM53" s="11" t="str">
        <f ca="1">IF(History!FQ$2="","",History!FQ42*$C$53)</f>
        <v/>
      </c>
      <c r="FN53" s="11" t="str">
        <f ca="1">IF(History!FR$2="","",History!FR42*$C$53)</f>
        <v/>
      </c>
      <c r="FO53" s="11" t="str">
        <f ca="1">IF(History!FS$2="","",History!FS42*$C$53)</f>
        <v/>
      </c>
      <c r="FP53" s="11" t="str">
        <f ca="1">IF(History!FT$2="","",History!FT42*$C$53)</f>
        <v/>
      </c>
      <c r="FQ53" s="11" t="str">
        <f ca="1">IF(History!FU$2="","",History!FU42*$C$53)</f>
        <v/>
      </c>
      <c r="FR53" s="11" t="str">
        <f ca="1">IF(History!FV$2="","",History!FV42*$C$53)</f>
        <v/>
      </c>
      <c r="FS53" s="11" t="str">
        <f ca="1">IF(History!FW$2="","",History!FW42*$C$53)</f>
        <v/>
      </c>
      <c r="FT53" s="11" t="str">
        <f ca="1">IF(History!FX$2="","",History!FX42*$C$53)</f>
        <v/>
      </c>
      <c r="FU53" s="11" t="str">
        <f ca="1">IF(History!FY$2="","",History!FY42*$C$53)</f>
        <v/>
      </c>
      <c r="FV53" s="11" t="str">
        <f ca="1">IF(History!FZ$2="","",History!FZ42*$C$53)</f>
        <v/>
      </c>
      <c r="FW53" s="11" t="str">
        <f ca="1">IF(History!GA$2="","",History!GA42*$C$53)</f>
        <v/>
      </c>
      <c r="FX53" s="11" t="str">
        <f ca="1">IF(History!GB$2="","",History!GB42*$C$53)</f>
        <v/>
      </c>
      <c r="FY53" s="11" t="str">
        <f ca="1">IF(History!GC$2="","",History!GC42*$C$53)</f>
        <v/>
      </c>
      <c r="FZ53" s="11" t="str">
        <f ca="1">IF(History!GD$2="","",History!GD42*$C$53)</f>
        <v/>
      </c>
      <c r="GA53" s="11" t="str">
        <f ca="1">IF(History!GE$2="","",History!GE42*$C$53)</f>
        <v/>
      </c>
      <c r="GB53" s="11" t="str">
        <f ca="1">IF(History!GF$2="","",History!GF42*$C$53)</f>
        <v/>
      </c>
      <c r="GC53" s="11" t="str">
        <f ca="1">IF(History!GG$2="","",History!GG42*$C$53)</f>
        <v/>
      </c>
      <c r="GD53" s="11" t="str">
        <f ca="1">IF(History!GH$2="","",History!GH42*$C$53)</f>
        <v/>
      </c>
      <c r="GE53" s="11" t="str">
        <f ca="1">IF(History!GI$2="","",History!GI42*$C$53)</f>
        <v/>
      </c>
      <c r="GF53" s="11" t="str">
        <f ca="1">IF(History!GJ$2="","",History!GJ42*$C$53)</f>
        <v/>
      </c>
      <c r="GG53" s="11" t="str">
        <f ca="1">IF(History!GK$2="","",History!GK42*$C$53)</f>
        <v/>
      </c>
      <c r="GH53" s="11" t="str">
        <f ca="1">IF(History!GL$2="","",History!GL42*$C$53)</f>
        <v/>
      </c>
      <c r="GI53" s="11" t="str">
        <f ca="1">IF(History!GM$2="","",History!GM42*$C$53)</f>
        <v/>
      </c>
      <c r="GJ53" s="11" t="str">
        <f ca="1">IF(History!GN$2="","",History!GN42*$C$53)</f>
        <v/>
      </c>
      <c r="GK53" s="11" t="str">
        <f ca="1">IF(History!GO$2="","",History!GO42*$C$53)</f>
        <v/>
      </c>
      <c r="GL53" s="11" t="str">
        <f ca="1">IF(History!GP$2="","",History!GP42*$C$53)</f>
        <v/>
      </c>
      <c r="GM53" s="11" t="str">
        <f ca="1">IF(History!GQ$2="","",History!GQ42*$C$53)</f>
        <v/>
      </c>
      <c r="GN53" s="11" t="str">
        <f ca="1">IF(History!GR$2="","",History!GR42*$C$53)</f>
        <v/>
      </c>
      <c r="GO53" s="11" t="str">
        <f ca="1">IF(History!GS$2="","",History!GS42*$C$53)</f>
        <v/>
      </c>
      <c r="GP53" s="11" t="str">
        <f ca="1">IF(History!GT$2="","",History!GT42*$C$53)</f>
        <v/>
      </c>
      <c r="GQ53" s="11" t="str">
        <f ca="1">IF(History!GU$2="","",History!GU42*$C$53)</f>
        <v/>
      </c>
      <c r="GR53" s="11" t="str">
        <f ca="1">IF(History!GV$2="","",History!GV42*$C$53)</f>
        <v/>
      </c>
      <c r="GS53" s="11" t="str">
        <f ca="1">IF(History!GW$2="","",History!GW42*$C$53)</f>
        <v/>
      </c>
      <c r="GT53" s="11" t="str">
        <f ca="1">IF(History!GX$2="","",History!GX42*$C$53)</f>
        <v/>
      </c>
      <c r="GU53" s="11" t="str">
        <f ca="1">IF(History!GY$2="","",History!GY42*$C$53)</f>
        <v/>
      </c>
      <c r="GV53" s="11" t="str">
        <f ca="1">IF(History!GZ$2="","",History!GZ42*$C$53)</f>
        <v/>
      </c>
      <c r="GW53" s="11" t="str">
        <f ca="1">IF(History!HA$2="","",History!HA42*$C$53)</f>
        <v/>
      </c>
      <c r="GX53" s="11" t="str">
        <f ca="1">IF(History!HB$2="","",History!HB42*$C$53)</f>
        <v/>
      </c>
      <c r="GY53" s="11" t="str">
        <f ca="1">IF(History!HC$2="","",History!HC42*$C$53)</f>
        <v/>
      </c>
      <c r="GZ53" s="11" t="str">
        <f ca="1">IF(History!HD$2="","",History!HD42*$C$53)</f>
        <v/>
      </c>
      <c r="HA53" s="11" t="str">
        <f ca="1">IF(History!HE$2="","",History!HE42*$C$53)</f>
        <v/>
      </c>
      <c r="HB53" s="11" t="str">
        <f ca="1">IF(History!HF$2="","",History!HF42*$C$53)</f>
        <v/>
      </c>
      <c r="HC53" s="11" t="str">
        <f ca="1">IF(History!HG$2="","",History!HG42*$C$53)</f>
        <v/>
      </c>
      <c r="HD53" s="11" t="str">
        <f ca="1">IF(History!HH$2="","",History!HH42*$C$53)</f>
        <v/>
      </c>
      <c r="HE53" s="11" t="str">
        <f ca="1">IF(History!HI$2="","",History!HI42*$C$53)</f>
        <v/>
      </c>
      <c r="HF53" s="11" t="str">
        <f ca="1">IF(History!HJ$2="","",History!HJ42*$C$53)</f>
        <v/>
      </c>
      <c r="HG53" s="11" t="str">
        <f ca="1">IF(History!HK$2="","",History!HK42*$C$53)</f>
        <v/>
      </c>
      <c r="HH53" s="11" t="str">
        <f ca="1">IF(History!HL$2="","",History!HL42*$C$53)</f>
        <v/>
      </c>
      <c r="HI53" s="11" t="str">
        <f ca="1">IF(History!HM$2="","",History!HM42*$C$53)</f>
        <v/>
      </c>
      <c r="HJ53" s="11" t="str">
        <f ca="1">IF(History!HN$2="","",History!HN42*$C$53)</f>
        <v/>
      </c>
      <c r="HK53" s="11" t="str">
        <f ca="1">IF(History!HO$2="","",History!HO42*$C$53)</f>
        <v/>
      </c>
      <c r="HL53" s="11" t="str">
        <f ca="1">IF(History!HP$2="","",History!HP42*$C$53)</f>
        <v/>
      </c>
      <c r="HM53" s="11" t="str">
        <f ca="1">IF(History!HQ$2="","",History!HQ42*$C$53)</f>
        <v/>
      </c>
      <c r="HN53" s="11" t="str">
        <f ca="1">IF(History!HR$2="","",History!HR42*$C$53)</f>
        <v/>
      </c>
      <c r="HO53" s="11" t="str">
        <f ca="1">IF(History!HS$2="","",History!HS42*$C$53)</f>
        <v/>
      </c>
      <c r="HP53" s="11" t="str">
        <f ca="1">IF(History!HT$2="","",History!HT42*$C$53)</f>
        <v/>
      </c>
      <c r="HQ53" s="11" t="str">
        <f ca="1">IF(History!HU$2="","",History!HU42*$C$53)</f>
        <v/>
      </c>
      <c r="HR53" s="11" t="str">
        <f ca="1">IF(History!HV$2="","",History!HV42*$C$53)</f>
        <v/>
      </c>
      <c r="HS53" s="11" t="str">
        <f ca="1">IF(History!HW$2="","",History!HW42*$C$53)</f>
        <v/>
      </c>
      <c r="HT53" s="11" t="str">
        <f ca="1">IF(History!HX$2="","",History!HX42*$C$53)</f>
        <v/>
      </c>
      <c r="HU53" s="11" t="str">
        <f ca="1">IF(History!HY$2="","",History!HY42*$C$53)</f>
        <v/>
      </c>
      <c r="HV53" s="11" t="str">
        <f ca="1">IF(History!HZ$2="","",History!HZ42*$C$53)</f>
        <v/>
      </c>
      <c r="HW53" s="11" t="str">
        <f ca="1">IF(History!IA$2="","",History!IA42*$C$53)</f>
        <v/>
      </c>
      <c r="HX53" s="11" t="str">
        <f ca="1">IF(History!IB$2="","",History!IB42*$C$53)</f>
        <v/>
      </c>
      <c r="HY53" s="11" t="str">
        <f ca="1">IF(History!IC$2="","",History!IC42*$C$53)</f>
        <v/>
      </c>
      <c r="HZ53" s="11" t="str">
        <f ca="1">IF(History!ID$2="","",History!ID42*$C$53)</f>
        <v/>
      </c>
      <c r="IA53" s="11" t="str">
        <f ca="1">IF(History!IE$2="","",History!IE42*$C$53)</f>
        <v/>
      </c>
      <c r="IB53" s="11" t="str">
        <f ca="1">IF(History!IF$2="","",History!IF42*$C$53)</f>
        <v/>
      </c>
      <c r="IC53" s="11" t="str">
        <f ca="1">IF(History!IG$2="","",History!IG42*$C$53)</f>
        <v/>
      </c>
      <c r="ID53" s="11" t="str">
        <f ca="1">IF(History!IH$2="","",History!IH42*$C$53)</f>
        <v/>
      </c>
      <c r="IE53" s="11" t="str">
        <f ca="1">IF(History!II$2="","",History!II42*$C$53)</f>
        <v/>
      </c>
      <c r="IF53" s="11" t="str">
        <f ca="1">IF(History!IJ$2="","",History!IJ42*$C$53)</f>
        <v/>
      </c>
      <c r="IG53" s="11" t="str">
        <f ca="1">IF(History!IK$2="","",History!IK42*$C$53)</f>
        <v/>
      </c>
      <c r="IH53" s="11" t="str">
        <f ca="1">IF(History!IL$2="","",History!IL42*$C$53)</f>
        <v/>
      </c>
      <c r="II53" s="11" t="str">
        <f ca="1">IF(History!IM$2="","",History!IM42*$C$53)</f>
        <v/>
      </c>
      <c r="IJ53" s="11" t="str">
        <f ca="1">IF(History!IN$2="","",History!IN42*$C$53)</f>
        <v/>
      </c>
      <c r="IK53" s="11" t="str">
        <f ca="1">IF(History!IO$2="","",History!IO42*$C$53)</f>
        <v/>
      </c>
      <c r="IL53" s="11" t="str">
        <f ca="1">IF(History!IP$2="","",History!IP42*$C$53)</f>
        <v/>
      </c>
      <c r="IM53" s="11" t="str">
        <f ca="1">IF(History!IQ$2="","",History!IQ42*$C$53)</f>
        <v/>
      </c>
      <c r="IN53" s="11" t="str">
        <f ca="1">IF(History!IR$2="","",History!IR42*$C$53)</f>
        <v/>
      </c>
      <c r="IO53" s="11" t="str">
        <f ca="1">IF(History!IS$2="","",History!IS42*$C$53)</f>
        <v/>
      </c>
      <c r="IP53" s="11" t="str">
        <f ca="1">IF(History!IT$2="","",History!IT42*$C$53)</f>
        <v/>
      </c>
      <c r="IQ53" s="11" t="str">
        <f ca="1">IF(History!IU$2="","",History!IU42*$C$53)</f>
        <v/>
      </c>
      <c r="IR53" s="11" t="str">
        <f ca="1">IF(History!IV$2="","",History!IV42*$C$53)</f>
        <v/>
      </c>
      <c r="IS53" s="11" t="str">
        <f ca="1">IF(History!IW$2="","",History!IW42*$C$53)</f>
        <v/>
      </c>
      <c r="IT53" s="11" t="str">
        <f ca="1">IF(History!IX$2="","",History!IX42*$C$53)</f>
        <v/>
      </c>
      <c r="IU53" s="11" t="str">
        <f ca="1">IF(History!IY$2="","",History!IY42*$C$53)</f>
        <v/>
      </c>
      <c r="IV53" s="11" t="str">
        <f ca="1">IF(History!IZ$2="","",History!IZ42*$C$53)</f>
        <v/>
      </c>
      <c r="IW53" s="11" t="str">
        <f ca="1">IF(History!JA$2="","",History!JA42*$C$53)</f>
        <v/>
      </c>
      <c r="IX53" s="11" t="str">
        <f ca="1">IF(History!JB$2="","",History!JB42*$C$53)</f>
        <v/>
      </c>
      <c r="IY53" s="11" t="str">
        <f ca="1">IF(History!JC$2="","",History!JC42*$C$53)</f>
        <v/>
      </c>
      <c r="IZ53" s="11" t="str">
        <f ca="1">IF(History!JD$2="","",History!JD42*$C$53)</f>
        <v/>
      </c>
      <c r="JA53" s="11" t="str">
        <f ca="1">IF(History!JE$2="","",History!JE42*$C$53)</f>
        <v/>
      </c>
      <c r="JB53" s="11" t="str">
        <f ca="1">IF(History!JF$2="","",History!JF42*$C$53)</f>
        <v/>
      </c>
      <c r="JC53" s="11" t="str">
        <f ca="1">IF(History!JG$2="","",History!JG42*$C$53)</f>
        <v/>
      </c>
      <c r="JD53" s="11" t="str">
        <f ca="1">IF(History!JH$2="","",History!JH42*$C$53)</f>
        <v/>
      </c>
      <c r="JE53" s="11" t="str">
        <f ca="1">IF(History!JI$2="","",History!JI42*$C$53)</f>
        <v/>
      </c>
      <c r="JF53" s="11" t="str">
        <f ca="1">IF(History!JJ$2="","",History!JJ42*$C$53)</f>
        <v/>
      </c>
      <c r="JG53" s="11" t="str">
        <f ca="1">IF(History!JK$2="","",History!JK42*$C$53)</f>
        <v/>
      </c>
      <c r="JH53" s="11" t="str">
        <f ca="1">IF(History!JL$2="","",History!JL42*$C$53)</f>
        <v/>
      </c>
      <c r="JI53" s="11" t="str">
        <f ca="1">IF(History!JM$2="","",History!JM42*$C$53)</f>
        <v/>
      </c>
      <c r="JJ53" s="11" t="str">
        <f ca="1">IF(History!JN$2="","",History!JN42*$C$53)</f>
        <v/>
      </c>
      <c r="JK53" s="11" t="str">
        <f ca="1">IF(History!JO$2="","",History!JO42*$C$53)</f>
        <v/>
      </c>
      <c r="JL53" s="11" t="str">
        <f ca="1">IF(History!JP$2="","",History!JP42*$C$53)</f>
        <v/>
      </c>
      <c r="JM53" s="11" t="str">
        <f ca="1">IF(History!JQ$2="","",History!JQ42*$C$53)</f>
        <v/>
      </c>
      <c r="JN53" s="11" t="str">
        <f ca="1">IF(History!JR$2="","",History!JR42*$C$53)</f>
        <v/>
      </c>
      <c r="JO53" s="11" t="str">
        <f ca="1">IF(History!JS$2="","",History!JS42*$C$53)</f>
        <v/>
      </c>
      <c r="JP53" s="11" t="str">
        <f ca="1">IF(History!JT$2="","",History!JT42*$C$53)</f>
        <v/>
      </c>
      <c r="JQ53" s="11" t="str">
        <f ca="1">IF(History!JU$2="","",History!JU42*$C$53)</f>
        <v/>
      </c>
      <c r="JR53" s="11" t="str">
        <f ca="1">IF(History!JV$2="","",History!JV42*$C$53)</f>
        <v/>
      </c>
      <c r="JS53" s="11" t="str">
        <f ca="1">IF(History!JW$2="","",History!JW42*$C$53)</f>
        <v/>
      </c>
      <c r="JT53" s="11" t="str">
        <f ca="1">IF(History!JX$2="","",History!JX42*$C$53)</f>
        <v/>
      </c>
      <c r="JU53" s="11" t="str">
        <f ca="1">IF(History!JY$2="","",History!JY42*$C$53)</f>
        <v/>
      </c>
      <c r="JV53" s="11" t="str">
        <f ca="1">IF(History!JZ$2="","",History!JZ42*$C$53)</f>
        <v/>
      </c>
      <c r="JW53" s="11" t="str">
        <f ca="1">IF(History!KA$2="","",History!KA42*$C$53)</f>
        <v/>
      </c>
      <c r="JX53" s="11" t="str">
        <f ca="1">IF(History!KB$2="","",History!KB42*$C$53)</f>
        <v/>
      </c>
      <c r="JY53" s="11" t="str">
        <f ca="1">IF(History!KC$2="","",History!KC42*$C$53)</f>
        <v/>
      </c>
      <c r="JZ53" s="11" t="str">
        <f ca="1">IF(History!KD$2="","",History!KD42*$C$53)</f>
        <v/>
      </c>
      <c r="KA53" s="11" t="str">
        <f ca="1">IF(History!KE$2="","",History!KE42*$C$53)</f>
        <v/>
      </c>
      <c r="KB53" s="11" t="str">
        <f ca="1">IF(History!KF$2="","",History!KF42*$C$53)</f>
        <v/>
      </c>
    </row>
    <row r="54" spans="1:288" ht="15.75" customHeight="1">
      <c r="A54" s="22" t="s">
        <v>30</v>
      </c>
      <c r="B54" s="6" t="s">
        <v>85</v>
      </c>
      <c r="C54" s="26">
        <v>10</v>
      </c>
      <c r="D54" s="11">
        <f ca="1">IF(History!H$2="","",History!H43*$C$54)</f>
        <v>259.60000000000002</v>
      </c>
      <c r="E54" s="11">
        <f ca="1">IF(History!I$2="","",History!I43*$C$54)</f>
        <v>256.3</v>
      </c>
      <c r="F54" s="11">
        <f ca="1">IF(History!J$2="","",History!J43*$C$54)</f>
        <v>255.7</v>
      </c>
      <c r="G54" s="11">
        <f ca="1">IF(History!K$2="","",History!K43*$C$54)</f>
        <v>256.3</v>
      </c>
      <c r="H54" s="11">
        <f ca="1">IF(History!L$2="","",History!L43*$C$54)</f>
        <v>260.3</v>
      </c>
      <c r="I54" s="11">
        <f ca="1">IF(History!M$2="","",History!M43*$C$54)</f>
        <v>257.60000000000002</v>
      </c>
      <c r="J54" s="11">
        <f ca="1">IF(History!N$2="","",History!N43*$C$54)</f>
        <v>256.5</v>
      </c>
      <c r="K54" s="11">
        <f ca="1">IF(History!O$2="","",History!O43*$C$54)</f>
        <v>254.20000000000002</v>
      </c>
      <c r="L54" s="11">
        <f ca="1">IF(History!P$2="","",History!P43*$C$54)</f>
        <v>255.79999999999998</v>
      </c>
      <c r="M54" s="11">
        <f ca="1">IF(History!Q$2="","",History!Q43*$C$54)</f>
        <v>284.20000000000005</v>
      </c>
      <c r="N54" s="11">
        <f ca="1">IF(History!R$2="","",History!R43*$C$54)</f>
        <v>306.39999999999998</v>
      </c>
      <c r="O54" s="11">
        <f ca="1">IF(History!S$2="","",History!S43*$C$54)</f>
        <v>299.5</v>
      </c>
      <c r="P54" s="11">
        <f ca="1">IF(History!T$2="","",History!T43*$C$54)</f>
        <v>300.7</v>
      </c>
      <c r="Q54" s="11">
        <f ca="1">IF(History!U$2="","",History!U43*$C$54)</f>
        <v>300</v>
      </c>
      <c r="R54" s="11">
        <f ca="1">IF(History!V$2="","",History!V43*$C$54)</f>
        <v>285.5</v>
      </c>
      <c r="S54" s="11">
        <f ca="1">IF(History!W$2="","",History!W43*$C$54)</f>
        <v>292.7</v>
      </c>
      <c r="T54" s="11">
        <f ca="1">IF(History!X$2="","",History!X43*$C$54)</f>
        <v>287</v>
      </c>
      <c r="U54" s="11">
        <f ca="1">IF(History!Y$2="","",History!Y43*$C$54)</f>
        <v>286.39999999999998</v>
      </c>
      <c r="V54" s="11">
        <f ca="1">IF(History!Z$2="","",History!Z43*$C$54)</f>
        <v>285.10000000000002</v>
      </c>
      <c r="W54" s="11">
        <f ca="1">IF(History!AA$2="","",History!AA43*$C$54)</f>
        <v>275.5</v>
      </c>
      <c r="X54" s="11">
        <f ca="1">IF(History!AB$2="","",History!AB43*$C$54)</f>
        <v>275.89999999999998</v>
      </c>
      <c r="Y54" s="11">
        <f ca="1">IF(History!AC$2="","",History!AC43*$C$54)</f>
        <v>274.89999999999998</v>
      </c>
      <c r="Z54" s="11">
        <f ca="1">IF(History!AD$2="","",History!AD43*$C$54)</f>
        <v>275</v>
      </c>
      <c r="AA54" s="11">
        <f ca="1">IF(History!AE$2="","",History!AE43*$C$54)</f>
        <v>271</v>
      </c>
      <c r="AB54" s="11">
        <f ca="1">IF(History!AF$2="","",History!AF43*$C$54)</f>
        <v>266</v>
      </c>
      <c r="AC54" s="11">
        <f ca="1">IF(History!AG$2="","",History!AG43*$C$54)</f>
        <v>274.89999999999998</v>
      </c>
      <c r="AD54" s="11">
        <f ca="1">IF(History!AH$2="","",History!AH43*$C$54)</f>
        <v>286</v>
      </c>
      <c r="AE54" s="11">
        <f ca="1">IF(History!AI$2="","",History!AI43*$C$54)</f>
        <v>287.10000000000002</v>
      </c>
      <c r="AF54" s="11">
        <f ca="1">IF(History!AJ$2="","",History!AJ43*$C$54)</f>
        <v>288.7</v>
      </c>
      <c r="AG54" s="11">
        <f ca="1">IF(History!AK$2="","",History!AK43*$C$54)</f>
        <v>279.3</v>
      </c>
      <c r="AH54" s="11">
        <f ca="1">IF(History!AL$2="","",History!AL43*$C$54)</f>
        <v>279.60000000000002</v>
      </c>
      <c r="AI54" s="11">
        <f ca="1">IF(History!AM$2="","",History!AM43*$C$54)</f>
        <v>279.8</v>
      </c>
      <c r="AJ54" s="11">
        <f ca="1">IF(History!AN$2="","",History!AN43*$C$54)</f>
        <v>284.40000000000003</v>
      </c>
      <c r="AK54" s="11">
        <f ca="1">IF(History!AO$2="","",History!AO43*$C$54)</f>
        <v>287.10000000000002</v>
      </c>
      <c r="AL54" s="11">
        <f ca="1">IF(History!AP$2="","",History!AP43*$C$54)</f>
        <v>280.7</v>
      </c>
      <c r="AM54" s="11">
        <f ca="1">IF(History!AQ$2="","",History!AQ43*$C$54)</f>
        <v>298.2</v>
      </c>
      <c r="AN54" s="11">
        <f ca="1">IF(History!AR$2="","",History!AR43*$C$54)</f>
        <v>295.10000000000002</v>
      </c>
      <c r="AO54" s="11">
        <f ca="1">IF(History!AS$2="","",History!AS43*$C$54)</f>
        <v>297.8</v>
      </c>
      <c r="AP54" s="11">
        <f ca="1">IF(History!AT$2="","",History!AT43*$C$54)</f>
        <v>304.8</v>
      </c>
      <c r="AQ54" s="11">
        <f ca="1">IF(History!AU$2="","",History!AU43*$C$54)</f>
        <v>314.5</v>
      </c>
      <c r="AR54" s="11">
        <f ca="1">IF(History!AV$2="","",History!AV43*$C$54)</f>
        <v>309.20000000000005</v>
      </c>
      <c r="AS54" s="11">
        <f ca="1">IF(History!AW$2="","",History!AW43*$C$54)</f>
        <v>312.2</v>
      </c>
      <c r="AT54" s="11">
        <f ca="1">IF(History!AX$2="","",History!AX43*$C$54)</f>
        <v>311.5</v>
      </c>
      <c r="AU54" s="11">
        <f ca="1">IF(History!AY$2="","",History!AY43*$C$54)</f>
        <v>310.59999999999997</v>
      </c>
      <c r="AV54" s="11">
        <f ca="1">IF(History!AZ$2="","",History!AZ43*$C$54)</f>
        <v>301</v>
      </c>
      <c r="AW54" s="11">
        <f ca="1">IF(History!BA$2="","",History!BA43*$C$54)</f>
        <v>297.89999999999998</v>
      </c>
      <c r="AX54" s="11">
        <f ca="1">IF(History!BB$2="","",History!BB43*$C$54)</f>
        <v>313.60000000000002</v>
      </c>
      <c r="AY54" s="11">
        <f ca="1">IF(History!BC$2="","",History!BC43*$C$54)</f>
        <v>307.2</v>
      </c>
      <c r="AZ54" s="11">
        <f ca="1">IF(History!BD$2="","",History!BD43*$C$54)</f>
        <v>308.60000000000002</v>
      </c>
      <c r="BA54" s="11">
        <f ca="1">IF(History!BE$2="","",History!BE43*$C$54)</f>
        <v>300.39999999999998</v>
      </c>
      <c r="BB54" s="11">
        <f ca="1">IF(History!BF$2="","",History!BF43*$C$54)</f>
        <v>301</v>
      </c>
      <c r="BC54" s="11">
        <f ca="1">IF(History!BG$2="","",History!BG43*$C$54)</f>
        <v>312.8</v>
      </c>
      <c r="BD54" s="11">
        <f ca="1">IF(History!BH$2="","",History!BH43*$C$54)</f>
        <v>286.5</v>
      </c>
      <c r="BE54" s="11">
        <f ca="1">IF(History!BI$2="","",History!BI43*$C$54)</f>
        <v>271.10000000000002</v>
      </c>
      <c r="BF54" s="11">
        <f ca="1">IF(History!BJ$2="","",History!BJ43*$C$54)</f>
        <v>280</v>
      </c>
      <c r="BG54" s="11">
        <f ca="1">IF(History!BK$2="","",History!BK43*$C$54)</f>
        <v>273.2</v>
      </c>
      <c r="BH54" s="11">
        <f ca="1">IF(History!BL$2="","",History!BL43*$C$54)</f>
        <v>270.89999999999998</v>
      </c>
      <c r="BI54" s="11">
        <f ca="1">IF(History!BM$2="","",History!BM43*$C$54)</f>
        <v>275.3</v>
      </c>
      <c r="BJ54" s="11">
        <f ca="1">IF(History!BN$2="","",History!BN43*$C$54)</f>
        <v>272</v>
      </c>
      <c r="BK54" s="11">
        <f ca="1">IF(History!BO$2="","",History!BO43*$C$54)</f>
        <v>267.39999999999998</v>
      </c>
      <c r="BL54" s="11">
        <f ca="1">IF(History!BP$2="","",History!BP43*$C$54)</f>
        <v>259.7</v>
      </c>
      <c r="BM54" s="11">
        <f ca="1">IF(History!BQ$2="","",History!BQ43*$C$54)</f>
        <v>255</v>
      </c>
      <c r="BN54" s="11">
        <f ca="1">IF(History!BR$2="","",History!BR43*$C$54)</f>
        <v>250.7</v>
      </c>
      <c r="BO54" s="11">
        <f ca="1">IF(History!BS$2="","",History!BS43*$C$54)</f>
        <v>245.5</v>
      </c>
      <c r="BP54" s="11">
        <f ca="1">IF(History!BT$2="","",History!BT43*$C$54)</f>
        <v>247.2</v>
      </c>
      <c r="BQ54" s="11">
        <f ca="1">IF(History!BU$2="","",History!BU43*$C$54)</f>
        <v>253.6</v>
      </c>
      <c r="BR54" s="11">
        <f ca="1">IF(History!BV$2="","",History!BV43*$C$54)</f>
        <v>251.29999999999998</v>
      </c>
      <c r="BS54" s="11">
        <f ca="1">IF(History!BW$2="","",History!BW43*$C$54)</f>
        <v>261</v>
      </c>
      <c r="BT54" s="11">
        <f ca="1">IF(History!BX$2="","",History!BX43*$C$54)</f>
        <v>260.39999999999998</v>
      </c>
      <c r="BU54" s="11">
        <f ca="1">IF(History!BY$2="","",History!BY43*$C$54)</f>
        <v>259.8</v>
      </c>
      <c r="BV54" s="11">
        <f ca="1">IF(History!BZ$2="","",History!BZ43*$C$54)</f>
        <v>256.3</v>
      </c>
      <c r="BW54" s="11">
        <f ca="1">IF(History!CA$2="","",History!CA43*$C$54)</f>
        <v>250</v>
      </c>
      <c r="BX54" s="11">
        <f ca="1">IF(History!CB$2="","",History!CB43*$C$54)</f>
        <v>242.3</v>
      </c>
      <c r="BY54" s="11">
        <f ca="1">IF(History!CC$2="","",History!CC43*$C$54)</f>
        <v>234.1</v>
      </c>
      <c r="BZ54" s="11">
        <f ca="1">IF(History!CD$2="","",History!CD43*$C$54)</f>
        <v>231.6</v>
      </c>
      <c r="CA54" s="11">
        <f ca="1">IF(History!CE$2="","",History!CE43*$C$54)</f>
        <v>241.70000000000002</v>
      </c>
      <c r="CB54" s="11">
        <f ca="1">IF(History!CF$2="","",History!CF43*$C$54)</f>
        <v>236.29999999999998</v>
      </c>
      <c r="CC54" s="11">
        <f ca="1">IF(History!CG$2="","",History!CG43*$C$54)</f>
        <v>234.8</v>
      </c>
      <c r="CD54" s="11">
        <f ca="1">IF(History!CH$2="","",History!CH43*$C$54)</f>
        <v>236.6</v>
      </c>
      <c r="CE54" s="11">
        <f ca="1">IF(History!CI$2="","",History!CI43*$C$54)</f>
        <v>242.10000000000002</v>
      </c>
      <c r="CF54" s="11" t="str">
        <f ca="1">IF(History!CJ$2="","",History!CJ43*$C$54)</f>
        <v/>
      </c>
      <c r="CG54" s="11" t="str">
        <f ca="1">IF(History!CK$2="","",History!CK43*$C$54)</f>
        <v/>
      </c>
      <c r="CH54" s="11" t="str">
        <f ca="1">IF(History!CL$2="","",History!CL43*$C$54)</f>
        <v/>
      </c>
      <c r="CI54" s="11" t="str">
        <f ca="1">IF(History!CM$2="","",History!CM43*$C$54)</f>
        <v/>
      </c>
      <c r="CJ54" s="11" t="str">
        <f ca="1">IF(History!CN$2="","",History!CN43*$C$54)</f>
        <v/>
      </c>
      <c r="CK54" s="11" t="str">
        <f ca="1">IF(History!CO$2="","",History!CO43*$C$54)</f>
        <v/>
      </c>
      <c r="CL54" s="11" t="str">
        <f ca="1">IF(History!CP$2="","",History!CP43*$C$54)</f>
        <v/>
      </c>
      <c r="CM54" s="11" t="str">
        <f ca="1">IF(History!CQ$2="","",History!CQ43*$C$54)</f>
        <v/>
      </c>
      <c r="CN54" s="11" t="str">
        <f ca="1">IF(History!CR$2="","",History!CR43*$C$54)</f>
        <v/>
      </c>
      <c r="CO54" s="11" t="str">
        <f ca="1">IF(History!CS$2="","",History!CS43*$C$54)</f>
        <v/>
      </c>
      <c r="CP54" s="11" t="str">
        <f ca="1">IF(History!CT$2="","",History!CT43*$C$54)</f>
        <v/>
      </c>
      <c r="CQ54" s="11" t="str">
        <f ca="1">IF(History!CU$2="","",History!CU43*$C$54)</f>
        <v/>
      </c>
      <c r="CR54" s="11" t="str">
        <f ca="1">IF(History!CV$2="","",History!CV43*$C$54)</f>
        <v/>
      </c>
      <c r="CS54" s="11" t="str">
        <f ca="1">IF(History!CW$2="","",History!CW43*$C$54)</f>
        <v/>
      </c>
      <c r="CT54" s="11" t="str">
        <f ca="1">IF(History!CX$2="","",History!CX43*$C$54)</f>
        <v/>
      </c>
      <c r="CU54" s="11" t="str">
        <f ca="1">IF(History!CY$2="","",History!CY43*$C$54)</f>
        <v/>
      </c>
      <c r="CV54" s="11" t="str">
        <f ca="1">IF(History!CZ$2="","",History!CZ43*$C$54)</f>
        <v/>
      </c>
      <c r="CW54" s="11" t="str">
        <f ca="1">IF(History!DA$2="","",History!DA43*$C$54)</f>
        <v/>
      </c>
      <c r="CX54" s="11" t="str">
        <f ca="1">IF(History!DB$2="","",History!DB43*$C$54)</f>
        <v/>
      </c>
      <c r="CY54" s="11" t="str">
        <f ca="1">IF(History!DC$2="","",History!DC43*$C$54)</f>
        <v/>
      </c>
      <c r="CZ54" s="11" t="str">
        <f ca="1">IF(History!DD$2="","",History!DD43*$C$54)</f>
        <v/>
      </c>
      <c r="DA54" s="11" t="str">
        <f ca="1">IF(History!DE$2="","",History!DE43*$C$54)</f>
        <v/>
      </c>
      <c r="DB54" s="11" t="str">
        <f ca="1">IF(History!DF$2="","",History!DF43*$C$54)</f>
        <v/>
      </c>
      <c r="DC54" s="11" t="str">
        <f ca="1">IF(History!DG$2="","",History!DG43*$C$54)</f>
        <v/>
      </c>
      <c r="DD54" s="11" t="str">
        <f ca="1">IF(History!DH$2="","",History!DH43*$C$54)</f>
        <v/>
      </c>
      <c r="DE54" s="11" t="str">
        <f ca="1">IF(History!DI$2="","",History!DI43*$C$54)</f>
        <v/>
      </c>
      <c r="DF54" s="11" t="str">
        <f ca="1">IF(History!DJ$2="","",History!DJ43*$C$54)</f>
        <v/>
      </c>
      <c r="DG54" s="11" t="str">
        <f ca="1">IF(History!DK$2="","",History!DK43*$C$54)</f>
        <v/>
      </c>
      <c r="DH54" s="11" t="str">
        <f ca="1">IF(History!DL$2="","",History!DL43*$C$54)</f>
        <v/>
      </c>
      <c r="DI54" s="11" t="str">
        <f ca="1">IF(History!DM$2="","",History!DM43*$C$54)</f>
        <v/>
      </c>
      <c r="DJ54" s="11" t="str">
        <f ca="1">IF(History!DN$2="","",History!DN43*$C$54)</f>
        <v/>
      </c>
      <c r="DK54" s="11" t="str">
        <f ca="1">IF(History!DO$2="","",History!DO43*$C$54)</f>
        <v/>
      </c>
      <c r="DL54" s="11" t="str">
        <f ca="1">IF(History!DP$2="","",History!DP43*$C$54)</f>
        <v/>
      </c>
      <c r="DM54" s="11" t="str">
        <f ca="1">IF(History!DQ$2="","",History!DQ43*$C$54)</f>
        <v/>
      </c>
      <c r="DN54" s="11" t="str">
        <f ca="1">IF(History!DR$2="","",History!DR43*$C$54)</f>
        <v/>
      </c>
      <c r="DO54" s="11" t="str">
        <f ca="1">IF(History!DS$2="","",History!DS43*$C$54)</f>
        <v/>
      </c>
      <c r="DP54" s="11" t="str">
        <f ca="1">IF(History!DT$2="","",History!DT43*$C$54)</f>
        <v/>
      </c>
      <c r="DQ54" s="11" t="str">
        <f ca="1">IF(History!DU$2="","",History!DU43*$C$54)</f>
        <v/>
      </c>
      <c r="DR54" s="11" t="str">
        <f ca="1">IF(History!DV$2="","",History!DV43*$C$54)</f>
        <v/>
      </c>
      <c r="DS54" s="11" t="str">
        <f ca="1">IF(History!DW$2="","",History!DW43*$C$54)</f>
        <v/>
      </c>
      <c r="DT54" s="11" t="str">
        <f ca="1">IF(History!DX$2="","",History!DX43*$C$54)</f>
        <v/>
      </c>
      <c r="DU54" s="11" t="str">
        <f ca="1">IF(History!DY$2="","",History!DY43*$C$54)</f>
        <v/>
      </c>
      <c r="DV54" s="11" t="str">
        <f ca="1">IF(History!DZ$2="","",History!DZ43*$C$54)</f>
        <v/>
      </c>
      <c r="DW54" s="11" t="str">
        <f ca="1">IF(History!EA$2="","",History!EA43*$C$54)</f>
        <v/>
      </c>
      <c r="DX54" s="11" t="str">
        <f ca="1">IF(History!EB$2="","",History!EB43*$C$54)</f>
        <v/>
      </c>
      <c r="DY54" s="11" t="str">
        <f ca="1">IF(History!EC$2="","",History!EC43*$C$54)</f>
        <v/>
      </c>
      <c r="DZ54" s="11" t="str">
        <f ca="1">IF(History!ED$2="","",History!ED43*$C$54)</f>
        <v/>
      </c>
      <c r="EA54" s="11" t="str">
        <f ca="1">IF(History!EE$2="","",History!EE43*$C$54)</f>
        <v/>
      </c>
      <c r="EB54" s="11" t="str">
        <f ca="1">IF(History!EF$2="","",History!EF43*$C$54)</f>
        <v/>
      </c>
      <c r="EC54" s="11" t="str">
        <f ca="1">IF(History!EG$2="","",History!EG43*$C$54)</f>
        <v/>
      </c>
      <c r="ED54" s="11" t="str">
        <f ca="1">IF(History!EH$2="","",History!EH43*$C$54)</f>
        <v/>
      </c>
      <c r="EE54" s="11" t="str">
        <f ca="1">IF(History!EI$2="","",History!EI43*$C$54)</f>
        <v/>
      </c>
      <c r="EF54" s="11" t="str">
        <f ca="1">IF(History!EJ$2="","",History!EJ43*$C$54)</f>
        <v/>
      </c>
      <c r="EG54" s="11" t="str">
        <f ca="1">IF(History!EK$2="","",History!EK43*$C$54)</f>
        <v/>
      </c>
      <c r="EH54" s="11" t="str">
        <f ca="1">IF(History!EL$2="","",History!EL43*$C$54)</f>
        <v/>
      </c>
      <c r="EI54" s="11" t="str">
        <f ca="1">IF(History!EM$2="","",History!EM43*$C$54)</f>
        <v/>
      </c>
      <c r="EJ54" s="11" t="str">
        <f ca="1">IF(History!EN$2="","",History!EN43*$C$54)</f>
        <v/>
      </c>
      <c r="EK54" s="11" t="str">
        <f ca="1">IF(History!EO$2="","",History!EO43*$C$54)</f>
        <v/>
      </c>
      <c r="EL54" s="11" t="str">
        <f ca="1">IF(History!EP$2="","",History!EP43*$C$54)</f>
        <v/>
      </c>
      <c r="EM54" s="11" t="str">
        <f ca="1">IF(History!EQ$2="","",History!EQ43*$C$54)</f>
        <v/>
      </c>
      <c r="EN54" s="11" t="str">
        <f ca="1">IF(History!ER$2="","",History!ER43*$C$54)</f>
        <v/>
      </c>
      <c r="EO54" s="11" t="str">
        <f ca="1">IF(History!ES$2="","",History!ES43*$C$54)</f>
        <v/>
      </c>
      <c r="EP54" s="11" t="str">
        <f ca="1">IF(History!ET$2="","",History!ET43*$C$54)</f>
        <v/>
      </c>
      <c r="EQ54" s="11" t="str">
        <f ca="1">IF(History!EU$2="","",History!EU43*$C$54)</f>
        <v/>
      </c>
      <c r="ER54" s="11" t="str">
        <f ca="1">IF(History!EV$2="","",History!EV43*$C$54)</f>
        <v/>
      </c>
      <c r="ES54" s="11" t="str">
        <f ca="1">IF(History!EW$2="","",History!EW43*$C$54)</f>
        <v/>
      </c>
      <c r="ET54" s="11" t="str">
        <f ca="1">IF(History!EX$2="","",History!EX43*$C$54)</f>
        <v/>
      </c>
      <c r="EU54" s="11" t="str">
        <f ca="1">IF(History!EY$2="","",History!EY43*$C$54)</f>
        <v/>
      </c>
      <c r="EV54" s="11" t="str">
        <f ca="1">IF(History!EZ$2="","",History!EZ43*$C$54)</f>
        <v/>
      </c>
      <c r="EW54" s="11" t="str">
        <f ca="1">IF(History!FA$2="","",History!FA43*$C$54)</f>
        <v/>
      </c>
      <c r="EX54" s="11" t="str">
        <f ca="1">IF(History!FB$2="","",History!FB43*$C$54)</f>
        <v/>
      </c>
      <c r="EY54" s="11" t="str">
        <f ca="1">IF(History!FC$2="","",History!FC43*$C$54)</f>
        <v/>
      </c>
      <c r="EZ54" s="11" t="str">
        <f ca="1">IF(History!FD$2="","",History!FD43*$C$54)</f>
        <v/>
      </c>
      <c r="FA54" s="11" t="str">
        <f ca="1">IF(History!FE$2="","",History!FE43*$C$54)</f>
        <v/>
      </c>
      <c r="FB54" s="11" t="str">
        <f ca="1">IF(History!FF$2="","",History!FF43*$C$54)</f>
        <v/>
      </c>
      <c r="FC54" s="11" t="str">
        <f ca="1">IF(History!FG$2="","",History!FG43*$C$54)</f>
        <v/>
      </c>
      <c r="FD54" s="11" t="str">
        <f ca="1">IF(History!FH$2="","",History!FH43*$C$54)</f>
        <v/>
      </c>
      <c r="FE54" s="11" t="str">
        <f ca="1">IF(History!FI$2="","",History!FI43*$C$54)</f>
        <v/>
      </c>
      <c r="FF54" s="11" t="str">
        <f ca="1">IF(History!FJ$2="","",History!FJ43*$C$54)</f>
        <v/>
      </c>
      <c r="FG54" s="11" t="str">
        <f ca="1">IF(History!FK$2="","",History!FK43*$C$54)</f>
        <v/>
      </c>
      <c r="FH54" s="11" t="str">
        <f ca="1">IF(History!FL$2="","",History!FL43*$C$54)</f>
        <v/>
      </c>
      <c r="FI54" s="11" t="str">
        <f ca="1">IF(History!FM$2="","",History!FM43*$C$54)</f>
        <v/>
      </c>
      <c r="FJ54" s="11" t="str">
        <f ca="1">IF(History!FN$2="","",History!FN43*$C$54)</f>
        <v/>
      </c>
      <c r="FK54" s="11" t="str">
        <f ca="1">IF(History!FO$2="","",History!FO43*$C$54)</f>
        <v/>
      </c>
      <c r="FL54" s="11" t="str">
        <f ca="1">IF(History!FP$2="","",History!FP43*$C$54)</f>
        <v/>
      </c>
      <c r="FM54" s="11" t="str">
        <f ca="1">IF(History!FQ$2="","",History!FQ43*$C$54)</f>
        <v/>
      </c>
      <c r="FN54" s="11" t="str">
        <f ca="1">IF(History!FR$2="","",History!FR43*$C$54)</f>
        <v/>
      </c>
      <c r="FO54" s="11" t="str">
        <f ca="1">IF(History!FS$2="","",History!FS43*$C$54)</f>
        <v/>
      </c>
      <c r="FP54" s="11" t="str">
        <f ca="1">IF(History!FT$2="","",History!FT43*$C$54)</f>
        <v/>
      </c>
      <c r="FQ54" s="11" t="str">
        <f ca="1">IF(History!FU$2="","",History!FU43*$C$54)</f>
        <v/>
      </c>
      <c r="FR54" s="11" t="str">
        <f ca="1">IF(History!FV$2="","",History!FV43*$C$54)</f>
        <v/>
      </c>
      <c r="FS54" s="11" t="str">
        <f ca="1">IF(History!FW$2="","",History!FW43*$C$54)</f>
        <v/>
      </c>
      <c r="FT54" s="11" t="str">
        <f ca="1">IF(History!FX$2="","",History!FX43*$C$54)</f>
        <v/>
      </c>
      <c r="FU54" s="11" t="str">
        <f ca="1">IF(History!FY$2="","",History!FY43*$C$54)</f>
        <v/>
      </c>
      <c r="FV54" s="11" t="str">
        <f ca="1">IF(History!FZ$2="","",History!FZ43*$C$54)</f>
        <v/>
      </c>
      <c r="FW54" s="11" t="str">
        <f ca="1">IF(History!GA$2="","",History!GA43*$C$54)</f>
        <v/>
      </c>
      <c r="FX54" s="11" t="str">
        <f ca="1">IF(History!GB$2="","",History!GB43*$C$54)</f>
        <v/>
      </c>
      <c r="FY54" s="11" t="str">
        <f ca="1">IF(History!GC$2="","",History!GC43*$C$54)</f>
        <v/>
      </c>
      <c r="FZ54" s="11" t="str">
        <f ca="1">IF(History!GD$2="","",History!GD43*$C$54)</f>
        <v/>
      </c>
      <c r="GA54" s="11" t="str">
        <f ca="1">IF(History!GE$2="","",History!GE43*$C$54)</f>
        <v/>
      </c>
      <c r="GB54" s="11" t="str">
        <f ca="1">IF(History!GF$2="","",History!GF43*$C$54)</f>
        <v/>
      </c>
      <c r="GC54" s="11" t="str">
        <f ca="1">IF(History!GG$2="","",History!GG43*$C$54)</f>
        <v/>
      </c>
      <c r="GD54" s="11" t="str">
        <f ca="1">IF(History!GH$2="","",History!GH43*$C$54)</f>
        <v/>
      </c>
      <c r="GE54" s="11" t="str">
        <f ca="1">IF(History!GI$2="","",History!GI43*$C$54)</f>
        <v/>
      </c>
      <c r="GF54" s="11" t="str">
        <f ca="1">IF(History!GJ$2="","",History!GJ43*$C$54)</f>
        <v/>
      </c>
      <c r="GG54" s="11" t="str">
        <f ca="1">IF(History!GK$2="","",History!GK43*$C$54)</f>
        <v/>
      </c>
      <c r="GH54" s="11" t="str">
        <f ca="1">IF(History!GL$2="","",History!GL43*$C$54)</f>
        <v/>
      </c>
      <c r="GI54" s="11" t="str">
        <f ca="1">IF(History!GM$2="","",History!GM43*$C$54)</f>
        <v/>
      </c>
      <c r="GJ54" s="11" t="str">
        <f ca="1">IF(History!GN$2="","",History!GN43*$C$54)</f>
        <v/>
      </c>
      <c r="GK54" s="11" t="str">
        <f ca="1">IF(History!GO$2="","",History!GO43*$C$54)</f>
        <v/>
      </c>
      <c r="GL54" s="11" t="str">
        <f ca="1">IF(History!GP$2="","",History!GP43*$C$54)</f>
        <v/>
      </c>
      <c r="GM54" s="11" t="str">
        <f ca="1">IF(History!GQ$2="","",History!GQ43*$C$54)</f>
        <v/>
      </c>
      <c r="GN54" s="11" t="str">
        <f ca="1">IF(History!GR$2="","",History!GR43*$C$54)</f>
        <v/>
      </c>
      <c r="GO54" s="11" t="str">
        <f ca="1">IF(History!GS$2="","",History!GS43*$C$54)</f>
        <v/>
      </c>
      <c r="GP54" s="11" t="str">
        <f ca="1">IF(History!GT$2="","",History!GT43*$C$54)</f>
        <v/>
      </c>
      <c r="GQ54" s="11" t="str">
        <f ca="1">IF(History!GU$2="","",History!GU43*$C$54)</f>
        <v/>
      </c>
      <c r="GR54" s="11" t="str">
        <f ca="1">IF(History!GV$2="","",History!GV43*$C$54)</f>
        <v/>
      </c>
      <c r="GS54" s="11" t="str">
        <f ca="1">IF(History!GW$2="","",History!GW43*$C$54)</f>
        <v/>
      </c>
      <c r="GT54" s="11" t="str">
        <f ca="1">IF(History!GX$2="","",History!GX43*$C$54)</f>
        <v/>
      </c>
      <c r="GU54" s="11" t="str">
        <f ca="1">IF(History!GY$2="","",History!GY43*$C$54)</f>
        <v/>
      </c>
      <c r="GV54" s="11" t="str">
        <f ca="1">IF(History!GZ$2="","",History!GZ43*$C$54)</f>
        <v/>
      </c>
      <c r="GW54" s="11" t="str">
        <f ca="1">IF(History!HA$2="","",History!HA43*$C$54)</f>
        <v/>
      </c>
      <c r="GX54" s="11" t="str">
        <f ca="1">IF(History!HB$2="","",History!HB43*$C$54)</f>
        <v/>
      </c>
      <c r="GY54" s="11" t="str">
        <f ca="1">IF(History!HC$2="","",History!HC43*$C$54)</f>
        <v/>
      </c>
      <c r="GZ54" s="11" t="str">
        <f ca="1">IF(History!HD$2="","",History!HD43*$C$54)</f>
        <v/>
      </c>
      <c r="HA54" s="11" t="str">
        <f ca="1">IF(History!HE$2="","",History!HE43*$C$54)</f>
        <v/>
      </c>
      <c r="HB54" s="11" t="str">
        <f ca="1">IF(History!HF$2="","",History!HF43*$C$54)</f>
        <v/>
      </c>
      <c r="HC54" s="11" t="str">
        <f ca="1">IF(History!HG$2="","",History!HG43*$C$54)</f>
        <v/>
      </c>
      <c r="HD54" s="11" t="str">
        <f ca="1">IF(History!HH$2="","",History!HH43*$C$54)</f>
        <v/>
      </c>
      <c r="HE54" s="11" t="str">
        <f ca="1">IF(History!HI$2="","",History!HI43*$C$54)</f>
        <v/>
      </c>
      <c r="HF54" s="11" t="str">
        <f ca="1">IF(History!HJ$2="","",History!HJ43*$C$54)</f>
        <v/>
      </c>
      <c r="HG54" s="11" t="str">
        <f ca="1">IF(History!HK$2="","",History!HK43*$C$54)</f>
        <v/>
      </c>
      <c r="HH54" s="11" t="str">
        <f ca="1">IF(History!HL$2="","",History!HL43*$C$54)</f>
        <v/>
      </c>
      <c r="HI54" s="11" t="str">
        <f ca="1">IF(History!HM$2="","",History!HM43*$C$54)</f>
        <v/>
      </c>
      <c r="HJ54" s="11" t="str">
        <f ca="1">IF(History!HN$2="","",History!HN43*$C$54)</f>
        <v/>
      </c>
      <c r="HK54" s="11" t="str">
        <f ca="1">IF(History!HO$2="","",History!HO43*$C$54)</f>
        <v/>
      </c>
      <c r="HL54" s="11" t="str">
        <f ca="1">IF(History!HP$2="","",History!HP43*$C$54)</f>
        <v/>
      </c>
      <c r="HM54" s="11" t="str">
        <f ca="1">IF(History!HQ$2="","",History!HQ43*$C$54)</f>
        <v/>
      </c>
      <c r="HN54" s="11" t="str">
        <f ca="1">IF(History!HR$2="","",History!HR43*$C$54)</f>
        <v/>
      </c>
      <c r="HO54" s="11" t="str">
        <f ca="1">IF(History!HS$2="","",History!HS43*$C$54)</f>
        <v/>
      </c>
      <c r="HP54" s="11" t="str">
        <f ca="1">IF(History!HT$2="","",History!HT43*$C$54)</f>
        <v/>
      </c>
      <c r="HQ54" s="11" t="str">
        <f ca="1">IF(History!HU$2="","",History!HU43*$C$54)</f>
        <v/>
      </c>
      <c r="HR54" s="11" t="str">
        <f ca="1">IF(History!HV$2="","",History!HV43*$C$54)</f>
        <v/>
      </c>
      <c r="HS54" s="11" t="str">
        <f ca="1">IF(History!HW$2="","",History!HW43*$C$54)</f>
        <v/>
      </c>
      <c r="HT54" s="11" t="str">
        <f ca="1">IF(History!HX$2="","",History!HX43*$C$54)</f>
        <v/>
      </c>
      <c r="HU54" s="11" t="str">
        <f ca="1">IF(History!HY$2="","",History!HY43*$C$54)</f>
        <v/>
      </c>
      <c r="HV54" s="11" t="str">
        <f ca="1">IF(History!HZ$2="","",History!HZ43*$C$54)</f>
        <v/>
      </c>
      <c r="HW54" s="11" t="str">
        <f ca="1">IF(History!IA$2="","",History!IA43*$C$54)</f>
        <v/>
      </c>
      <c r="HX54" s="11" t="str">
        <f ca="1">IF(History!IB$2="","",History!IB43*$C$54)</f>
        <v/>
      </c>
      <c r="HY54" s="11" t="str">
        <f ca="1">IF(History!IC$2="","",History!IC43*$C$54)</f>
        <v/>
      </c>
      <c r="HZ54" s="11" t="str">
        <f ca="1">IF(History!ID$2="","",History!ID43*$C$54)</f>
        <v/>
      </c>
      <c r="IA54" s="11" t="str">
        <f ca="1">IF(History!IE$2="","",History!IE43*$C$54)</f>
        <v/>
      </c>
      <c r="IB54" s="11" t="str">
        <f ca="1">IF(History!IF$2="","",History!IF43*$C$54)</f>
        <v/>
      </c>
      <c r="IC54" s="11" t="str">
        <f ca="1">IF(History!IG$2="","",History!IG43*$C$54)</f>
        <v/>
      </c>
      <c r="ID54" s="11" t="str">
        <f ca="1">IF(History!IH$2="","",History!IH43*$C$54)</f>
        <v/>
      </c>
      <c r="IE54" s="11" t="str">
        <f ca="1">IF(History!II$2="","",History!II43*$C$54)</f>
        <v/>
      </c>
      <c r="IF54" s="11" t="str">
        <f ca="1">IF(History!IJ$2="","",History!IJ43*$C$54)</f>
        <v/>
      </c>
      <c r="IG54" s="11" t="str">
        <f ca="1">IF(History!IK$2="","",History!IK43*$C$54)</f>
        <v/>
      </c>
      <c r="IH54" s="11" t="str">
        <f ca="1">IF(History!IL$2="","",History!IL43*$C$54)</f>
        <v/>
      </c>
      <c r="II54" s="11" t="str">
        <f ca="1">IF(History!IM$2="","",History!IM43*$C$54)</f>
        <v/>
      </c>
      <c r="IJ54" s="11" t="str">
        <f ca="1">IF(History!IN$2="","",History!IN43*$C$54)</f>
        <v/>
      </c>
      <c r="IK54" s="11" t="str">
        <f ca="1">IF(History!IO$2="","",History!IO43*$C$54)</f>
        <v/>
      </c>
      <c r="IL54" s="11" t="str">
        <f ca="1">IF(History!IP$2="","",History!IP43*$C$54)</f>
        <v/>
      </c>
      <c r="IM54" s="11" t="str">
        <f ca="1">IF(History!IQ$2="","",History!IQ43*$C$54)</f>
        <v/>
      </c>
      <c r="IN54" s="11" t="str">
        <f ca="1">IF(History!IR$2="","",History!IR43*$C$54)</f>
        <v/>
      </c>
      <c r="IO54" s="11" t="str">
        <f ca="1">IF(History!IS$2="","",History!IS43*$C$54)</f>
        <v/>
      </c>
      <c r="IP54" s="11" t="str">
        <f ca="1">IF(History!IT$2="","",History!IT43*$C$54)</f>
        <v/>
      </c>
      <c r="IQ54" s="11" t="str">
        <f ca="1">IF(History!IU$2="","",History!IU43*$C$54)</f>
        <v/>
      </c>
      <c r="IR54" s="11" t="str">
        <f ca="1">IF(History!IV$2="","",History!IV43*$C$54)</f>
        <v/>
      </c>
      <c r="IS54" s="11" t="str">
        <f ca="1">IF(History!IW$2="","",History!IW43*$C$54)</f>
        <v/>
      </c>
      <c r="IT54" s="11" t="str">
        <f ca="1">IF(History!IX$2="","",History!IX43*$C$54)</f>
        <v/>
      </c>
      <c r="IU54" s="11" t="str">
        <f ca="1">IF(History!IY$2="","",History!IY43*$C$54)</f>
        <v/>
      </c>
      <c r="IV54" s="11" t="str">
        <f ca="1">IF(History!IZ$2="","",History!IZ43*$C$54)</f>
        <v/>
      </c>
      <c r="IW54" s="11" t="str">
        <f ca="1">IF(History!JA$2="","",History!JA43*$C$54)</f>
        <v/>
      </c>
      <c r="IX54" s="11" t="str">
        <f ca="1">IF(History!JB$2="","",History!JB43*$C$54)</f>
        <v/>
      </c>
      <c r="IY54" s="11" t="str">
        <f ca="1">IF(History!JC$2="","",History!JC43*$C$54)</f>
        <v/>
      </c>
      <c r="IZ54" s="11" t="str">
        <f ca="1">IF(History!JD$2="","",History!JD43*$C$54)</f>
        <v/>
      </c>
      <c r="JA54" s="11" t="str">
        <f ca="1">IF(History!JE$2="","",History!JE43*$C$54)</f>
        <v/>
      </c>
      <c r="JB54" s="11" t="str">
        <f ca="1">IF(History!JF$2="","",History!JF43*$C$54)</f>
        <v/>
      </c>
      <c r="JC54" s="11" t="str">
        <f ca="1">IF(History!JG$2="","",History!JG43*$C$54)</f>
        <v/>
      </c>
      <c r="JD54" s="11" t="str">
        <f ca="1">IF(History!JH$2="","",History!JH43*$C$54)</f>
        <v/>
      </c>
      <c r="JE54" s="11" t="str">
        <f ca="1">IF(History!JI$2="","",History!JI43*$C$54)</f>
        <v/>
      </c>
      <c r="JF54" s="11" t="str">
        <f ca="1">IF(History!JJ$2="","",History!JJ43*$C$54)</f>
        <v/>
      </c>
      <c r="JG54" s="11" t="str">
        <f ca="1">IF(History!JK$2="","",History!JK43*$C$54)</f>
        <v/>
      </c>
      <c r="JH54" s="11" t="str">
        <f ca="1">IF(History!JL$2="","",History!JL43*$C$54)</f>
        <v/>
      </c>
      <c r="JI54" s="11" t="str">
        <f ca="1">IF(History!JM$2="","",History!JM43*$C$54)</f>
        <v/>
      </c>
      <c r="JJ54" s="11" t="str">
        <f ca="1">IF(History!JN$2="","",History!JN43*$C$54)</f>
        <v/>
      </c>
      <c r="JK54" s="11" t="str">
        <f ca="1">IF(History!JO$2="","",History!JO43*$C$54)</f>
        <v/>
      </c>
      <c r="JL54" s="11" t="str">
        <f ca="1">IF(History!JP$2="","",History!JP43*$C$54)</f>
        <v/>
      </c>
      <c r="JM54" s="11" t="str">
        <f ca="1">IF(History!JQ$2="","",History!JQ43*$C$54)</f>
        <v/>
      </c>
      <c r="JN54" s="11" t="str">
        <f ca="1">IF(History!JR$2="","",History!JR43*$C$54)</f>
        <v/>
      </c>
      <c r="JO54" s="11" t="str">
        <f ca="1">IF(History!JS$2="","",History!JS43*$C$54)</f>
        <v/>
      </c>
      <c r="JP54" s="11" t="str">
        <f ca="1">IF(History!JT$2="","",History!JT43*$C$54)</f>
        <v/>
      </c>
      <c r="JQ54" s="11" t="str">
        <f ca="1">IF(History!JU$2="","",History!JU43*$C$54)</f>
        <v/>
      </c>
      <c r="JR54" s="11" t="str">
        <f ca="1">IF(History!JV$2="","",History!JV43*$C$54)</f>
        <v/>
      </c>
      <c r="JS54" s="11" t="str">
        <f ca="1">IF(History!JW$2="","",History!JW43*$C$54)</f>
        <v/>
      </c>
      <c r="JT54" s="11" t="str">
        <f ca="1">IF(History!JX$2="","",History!JX43*$C$54)</f>
        <v/>
      </c>
      <c r="JU54" s="11" t="str">
        <f ca="1">IF(History!JY$2="","",History!JY43*$C$54)</f>
        <v/>
      </c>
      <c r="JV54" s="11" t="str">
        <f ca="1">IF(History!JZ$2="","",History!JZ43*$C$54)</f>
        <v/>
      </c>
      <c r="JW54" s="11" t="str">
        <f ca="1">IF(History!KA$2="","",History!KA43*$C$54)</f>
        <v/>
      </c>
      <c r="JX54" s="11" t="str">
        <f ca="1">IF(History!KB$2="","",History!KB43*$C$54)</f>
        <v/>
      </c>
      <c r="JY54" s="11" t="str">
        <f ca="1">IF(History!KC$2="","",History!KC43*$C$54)</f>
        <v/>
      </c>
      <c r="JZ54" s="11" t="str">
        <f ca="1">IF(History!KD$2="","",History!KD43*$C$54)</f>
        <v/>
      </c>
      <c r="KA54" s="11" t="str">
        <f ca="1">IF(History!KE$2="","",History!KE43*$C$54)</f>
        <v/>
      </c>
      <c r="KB54" s="11" t="str">
        <f ca="1">IF(History!KF$2="","",History!KF43*$C$54)</f>
        <v/>
      </c>
    </row>
    <row r="55" spans="1:288" ht="15.75" customHeight="1">
      <c r="A55" s="22" t="s">
        <v>30</v>
      </c>
      <c r="B55" s="6" t="s">
        <v>86</v>
      </c>
      <c r="C55" s="26">
        <v>77</v>
      </c>
      <c r="D55" s="11">
        <f ca="1">IF(History!H$2="","",History!H44*$C$55)</f>
        <v>208.67</v>
      </c>
      <c r="E55" s="11">
        <f ca="1">IF(History!I$2="","",History!I44*$C$55)</f>
        <v>210.98000000000002</v>
      </c>
      <c r="F55" s="11">
        <f ca="1">IF(History!J$2="","",History!J44*$C$55)</f>
        <v>201.74</v>
      </c>
      <c r="G55" s="11">
        <f ca="1">IF(History!K$2="","",History!K44*$C$55)</f>
        <v>199.42999999999998</v>
      </c>
      <c r="H55" s="11">
        <f ca="1">IF(History!L$2="","",History!L44*$C$55)</f>
        <v>214.05999999999997</v>
      </c>
      <c r="I55" s="11">
        <f ca="1">IF(History!M$2="","",History!M44*$C$55)</f>
        <v>194.04</v>
      </c>
      <c r="J55" s="11">
        <f ca="1">IF(History!N$2="","",History!N44*$C$55)</f>
        <v>200.20000000000002</v>
      </c>
      <c r="K55" s="11">
        <f ca="1">IF(History!O$2="","",History!O44*$C$55)</f>
        <v>194.04</v>
      </c>
      <c r="L55" s="11">
        <f ca="1">IF(History!P$2="","",History!P44*$C$55)</f>
        <v>184.79999999999998</v>
      </c>
      <c r="M55" s="11">
        <f ca="1">IF(History!Q$2="","",History!Q44*$C$55)</f>
        <v>187.11</v>
      </c>
      <c r="N55" s="11">
        <f ca="1">IF(History!R$2="","",History!R44*$C$55)</f>
        <v>193.26999999999998</v>
      </c>
      <c r="O55" s="11">
        <f ca="1">IF(History!S$2="","",History!S44*$C$55)</f>
        <v>179.41</v>
      </c>
      <c r="P55" s="11">
        <f ca="1">IF(History!T$2="","",History!T44*$C$55)</f>
        <v>173.25</v>
      </c>
      <c r="Q55" s="11">
        <f ca="1">IF(History!U$2="","",History!U44*$C$55)</f>
        <v>175.55999999999997</v>
      </c>
      <c r="R55" s="11">
        <f ca="1">IF(History!V$2="","",History!V44*$C$55)</f>
        <v>189.42</v>
      </c>
      <c r="S55" s="11">
        <f ca="1">IF(History!W$2="","",History!W44*$C$55)</f>
        <v>200.97</v>
      </c>
      <c r="T55" s="11">
        <f ca="1">IF(History!X$2="","",History!X44*$C$55)</f>
        <v>190.96</v>
      </c>
      <c r="U55" s="11">
        <f ca="1">IF(History!Y$2="","",History!Y44*$C$55)</f>
        <v>184.79999999999998</v>
      </c>
      <c r="V55" s="11">
        <f ca="1">IF(History!Z$2="","",History!Z44*$C$55)</f>
        <v>186.34</v>
      </c>
      <c r="W55" s="11">
        <f ca="1">IF(History!AA$2="","",History!AA44*$C$55)</f>
        <v>187.11</v>
      </c>
      <c r="X55" s="11">
        <f ca="1">IF(History!AB$2="","",History!AB44*$C$55)</f>
        <v>181.72</v>
      </c>
      <c r="Y55" s="11">
        <f ca="1">IF(History!AC$2="","",History!AC44*$C$55)</f>
        <v>187.88</v>
      </c>
      <c r="Z55" s="11">
        <f ca="1">IF(History!AD$2="","",History!AD44*$C$55)</f>
        <v>180.17999999999998</v>
      </c>
      <c r="AA55" s="11">
        <f ca="1">IF(History!AE$2="","",History!AE44*$C$55)</f>
        <v>167.86</v>
      </c>
      <c r="AB55" s="11">
        <f ca="1">IF(History!AF$2="","",History!AF44*$C$55)</f>
        <v>165.54999999999998</v>
      </c>
      <c r="AC55" s="11">
        <f ca="1">IF(History!AG$2="","",History!AG44*$C$55)</f>
        <v>177.87</v>
      </c>
      <c r="AD55" s="11">
        <f ca="1">IF(History!AH$2="","",History!AH44*$C$55)</f>
        <v>177.87</v>
      </c>
      <c r="AE55" s="11">
        <f ca="1">IF(History!AI$2="","",History!AI44*$C$55)</f>
        <v>167.86</v>
      </c>
      <c r="AF55" s="11">
        <f ca="1">IF(History!AJ$2="","",History!AJ44*$C$55)</f>
        <v>169.4</v>
      </c>
      <c r="AG55" s="11">
        <f ca="1">IF(History!AK$2="","",History!AK44*$C$55)</f>
        <v>164.01</v>
      </c>
      <c r="AH55" s="11">
        <f ca="1">IF(History!AL$2="","",History!AL44*$C$55)</f>
        <v>167.09</v>
      </c>
      <c r="AI55" s="11">
        <f ca="1">IF(History!AM$2="","",History!AM44*$C$55)</f>
        <v>169.4</v>
      </c>
      <c r="AJ55" s="11">
        <f ca="1">IF(History!AN$2="","",History!AN44*$C$55)</f>
        <v>174.01999999999998</v>
      </c>
      <c r="AK55" s="11">
        <f ca="1">IF(History!AO$2="","",History!AO44*$C$55)</f>
        <v>177.1</v>
      </c>
      <c r="AL55" s="11">
        <f ca="1">IF(History!AP$2="","",History!AP44*$C$55)</f>
        <v>180.95000000000002</v>
      </c>
      <c r="AM55" s="11">
        <f ca="1">IF(History!AQ$2="","",History!AQ44*$C$55)</f>
        <v>170.94000000000003</v>
      </c>
      <c r="AN55" s="11">
        <f ca="1">IF(History!AR$2="","",History!AR44*$C$55)</f>
        <v>179.41</v>
      </c>
      <c r="AO55" s="11">
        <f ca="1">IF(History!AS$2="","",History!AS44*$C$55)</f>
        <v>194.04</v>
      </c>
      <c r="AP55" s="11">
        <f ca="1">IF(History!AT$2="","",History!AT44*$C$55)</f>
        <v>187.11</v>
      </c>
      <c r="AQ55" s="11">
        <f ca="1">IF(History!AU$2="","",History!AU44*$C$55)</f>
        <v>214.83</v>
      </c>
      <c r="AR55" s="11">
        <f ca="1">IF(History!AV$2="","",History!AV44*$C$55)</f>
        <v>228.69000000000003</v>
      </c>
      <c r="AS55" s="11">
        <f ca="1">IF(History!AW$2="","",History!AW44*$C$55)</f>
        <v>223.29999999999998</v>
      </c>
      <c r="AT55" s="11">
        <f ca="1">IF(History!AX$2="","",History!AX44*$C$55)</f>
        <v>202.51</v>
      </c>
      <c r="AU55" s="11">
        <f ca="1">IF(History!AY$2="","",History!AY44*$C$55)</f>
        <v>189.42</v>
      </c>
      <c r="AV55" s="11">
        <f ca="1">IF(History!AZ$2="","",History!AZ44*$C$55)</f>
        <v>209.44000000000003</v>
      </c>
      <c r="AW55" s="11">
        <f ca="1">IF(History!BA$2="","",History!BA44*$C$55)</f>
        <v>228.69000000000003</v>
      </c>
      <c r="AX55" s="11">
        <f ca="1">IF(History!BB$2="","",History!BB44*$C$55)</f>
        <v>244.86</v>
      </c>
      <c r="AY55" s="11">
        <f ca="1">IF(History!BC$2="","",History!BC44*$C$55)</f>
        <v>249.48000000000002</v>
      </c>
      <c r="AZ55" s="11">
        <f ca="1">IF(History!BD$2="","",History!BD44*$C$55)</f>
        <v>237.92999999999998</v>
      </c>
      <c r="BA55" s="11">
        <f ca="1">IF(History!BE$2="","",History!BE44*$C$55)</f>
        <v>242.54999999999998</v>
      </c>
      <c r="BB55" s="11">
        <f ca="1">IF(History!BF$2="","",History!BF44*$C$55)</f>
        <v>232.54</v>
      </c>
      <c r="BC55" s="11">
        <f ca="1">IF(History!BG$2="","",History!BG44*$C$55)</f>
        <v>224.07000000000002</v>
      </c>
      <c r="BD55" s="11">
        <f ca="1">IF(History!BH$2="","",History!BH44*$C$55)</f>
        <v>215.6</v>
      </c>
      <c r="BE55" s="11">
        <f ca="1">IF(History!BI$2="","",History!BI44*$C$55)</f>
        <v>210.21</v>
      </c>
      <c r="BF55" s="11">
        <f ca="1">IF(History!BJ$2="","",History!BJ44*$C$55)</f>
        <v>224.84</v>
      </c>
      <c r="BG55" s="11">
        <f ca="1">IF(History!BK$2="","",History!BK44*$C$55)</f>
        <v>219.45000000000002</v>
      </c>
      <c r="BH55" s="11">
        <f ca="1">IF(History!BL$2="","",History!BL44*$C$55)</f>
        <v>221.76</v>
      </c>
      <c r="BI55" s="11">
        <f ca="1">IF(History!BM$2="","",History!BM44*$C$55)</f>
        <v>229.46</v>
      </c>
      <c r="BJ55" s="11">
        <f ca="1">IF(History!BN$2="","",History!BN44*$C$55)</f>
        <v>244.86</v>
      </c>
      <c r="BK55" s="11">
        <f ca="1">IF(History!BO$2="","",History!BO44*$C$55)</f>
        <v>254.1</v>
      </c>
      <c r="BL55" s="11">
        <f ca="1">IF(History!BP$2="","",History!BP44*$C$55)</f>
        <v>247.17</v>
      </c>
      <c r="BM55" s="11">
        <f ca="1">IF(History!BQ$2="","",History!BQ44*$C$55)</f>
        <v>240.24</v>
      </c>
      <c r="BN55" s="11">
        <f ca="1">IF(History!BR$2="","",History!BR44*$C$55)</f>
        <v>233.30999999999997</v>
      </c>
      <c r="BO55" s="11">
        <f ca="1">IF(History!BS$2="","",History!BS44*$C$55)</f>
        <v>217.91</v>
      </c>
      <c r="BP55" s="11">
        <f ca="1">IF(History!BT$2="","",History!BT44*$C$55)</f>
        <v>208.67</v>
      </c>
      <c r="BQ55" s="11">
        <f ca="1">IF(History!BU$2="","",History!BU44*$C$55)</f>
        <v>221.76</v>
      </c>
      <c r="BR55" s="11">
        <f ca="1">IF(History!BV$2="","",History!BV44*$C$55)</f>
        <v>217.91</v>
      </c>
      <c r="BS55" s="11">
        <f ca="1">IF(History!BW$2="","",History!BW44*$C$55)</f>
        <v>215.6</v>
      </c>
      <c r="BT55" s="11">
        <f ca="1">IF(History!BX$2="","",History!BX44*$C$55)</f>
        <v>215.6</v>
      </c>
      <c r="BU55" s="11">
        <f ca="1">IF(History!BY$2="","",History!BY44*$C$55)</f>
        <v>213.29</v>
      </c>
      <c r="BV55" s="11">
        <f ca="1">IF(History!BZ$2="","",History!BZ44*$C$55)</f>
        <v>209.44000000000003</v>
      </c>
      <c r="BW55" s="11">
        <f ca="1">IF(History!CA$2="","",History!CA44*$C$55)</f>
        <v>209.44000000000003</v>
      </c>
      <c r="BX55" s="11">
        <f ca="1">IF(History!CB$2="","",History!CB44*$C$55)</f>
        <v>215.6</v>
      </c>
      <c r="BY55" s="11">
        <f ca="1">IF(History!CC$2="","",History!CC44*$C$55)</f>
        <v>204.04999999999998</v>
      </c>
      <c r="BZ55" s="11">
        <f ca="1">IF(History!CD$2="","",History!CD44*$C$55)</f>
        <v>192.5</v>
      </c>
      <c r="CA55" s="11">
        <f ca="1">IF(History!CE$2="","",History!CE44*$C$55)</f>
        <v>193.26999999999998</v>
      </c>
      <c r="CB55" s="11">
        <f ca="1">IF(History!CF$2="","",History!CF44*$C$55)</f>
        <v>181.72</v>
      </c>
      <c r="CC55" s="11">
        <f ca="1">IF(History!CG$2="","",History!CG44*$C$55)</f>
        <v>177.87</v>
      </c>
      <c r="CD55" s="11">
        <f ca="1">IF(History!CH$2="","",History!CH44*$C$55)</f>
        <v>184.79999999999998</v>
      </c>
      <c r="CE55" s="11">
        <f ca="1">IF(History!CI$2="","",History!CI44*$C$55)</f>
        <v>189.42</v>
      </c>
      <c r="CF55" s="11" t="str">
        <f ca="1">IF(History!CJ$2="","",History!CJ44*$C$55)</f>
        <v/>
      </c>
      <c r="CG55" s="11" t="str">
        <f ca="1">IF(History!CK$2="","",History!CK44*$C$55)</f>
        <v/>
      </c>
      <c r="CH55" s="11" t="str">
        <f ca="1">IF(History!CL$2="","",History!CL44*$C$55)</f>
        <v/>
      </c>
      <c r="CI55" s="11" t="str">
        <f ca="1">IF(History!CM$2="","",History!CM44*$C$55)</f>
        <v/>
      </c>
      <c r="CJ55" s="11" t="str">
        <f ca="1">IF(History!CN$2="","",History!CN44*$C$55)</f>
        <v/>
      </c>
      <c r="CK55" s="11" t="str">
        <f ca="1">IF(History!CO$2="","",History!CO44*$C$55)</f>
        <v/>
      </c>
      <c r="CL55" s="11" t="str">
        <f ca="1">IF(History!CP$2="","",History!CP44*$C$55)</f>
        <v/>
      </c>
      <c r="CM55" s="11" t="str">
        <f ca="1">IF(History!CQ$2="","",History!CQ44*$C$55)</f>
        <v/>
      </c>
      <c r="CN55" s="11" t="str">
        <f ca="1">IF(History!CR$2="","",History!CR44*$C$55)</f>
        <v/>
      </c>
      <c r="CO55" s="11" t="str">
        <f ca="1">IF(History!CS$2="","",History!CS44*$C$55)</f>
        <v/>
      </c>
      <c r="CP55" s="11" t="str">
        <f ca="1">IF(History!CT$2="","",History!CT44*$C$55)</f>
        <v/>
      </c>
      <c r="CQ55" s="11" t="str">
        <f ca="1">IF(History!CU$2="","",History!CU44*$C$55)</f>
        <v/>
      </c>
      <c r="CR55" s="11" t="str">
        <f ca="1">IF(History!CV$2="","",History!CV44*$C$55)</f>
        <v/>
      </c>
      <c r="CS55" s="11" t="str">
        <f ca="1">IF(History!CW$2="","",History!CW44*$C$55)</f>
        <v/>
      </c>
      <c r="CT55" s="11" t="str">
        <f ca="1">IF(History!CX$2="","",History!CX44*$C$55)</f>
        <v/>
      </c>
      <c r="CU55" s="11" t="str">
        <f ca="1">IF(History!CY$2="","",History!CY44*$C$55)</f>
        <v/>
      </c>
      <c r="CV55" s="11" t="str">
        <f ca="1">IF(History!CZ$2="","",History!CZ44*$C$55)</f>
        <v/>
      </c>
      <c r="CW55" s="11" t="str">
        <f ca="1">IF(History!DA$2="","",History!DA44*$C$55)</f>
        <v/>
      </c>
      <c r="CX55" s="11" t="str">
        <f ca="1">IF(History!DB$2="","",History!DB44*$C$55)</f>
        <v/>
      </c>
      <c r="CY55" s="11" t="str">
        <f ca="1">IF(History!DC$2="","",History!DC44*$C$55)</f>
        <v/>
      </c>
      <c r="CZ55" s="11" t="str">
        <f ca="1">IF(History!DD$2="","",History!DD44*$C$55)</f>
        <v/>
      </c>
      <c r="DA55" s="11" t="str">
        <f ca="1">IF(History!DE$2="","",History!DE44*$C$55)</f>
        <v/>
      </c>
      <c r="DB55" s="11" t="str">
        <f ca="1">IF(History!DF$2="","",History!DF44*$C$55)</f>
        <v/>
      </c>
      <c r="DC55" s="11" t="str">
        <f ca="1">IF(History!DG$2="","",History!DG44*$C$55)</f>
        <v/>
      </c>
      <c r="DD55" s="11" t="str">
        <f ca="1">IF(History!DH$2="","",History!DH44*$C$55)</f>
        <v/>
      </c>
      <c r="DE55" s="11" t="str">
        <f ca="1">IF(History!DI$2="","",History!DI44*$C$55)</f>
        <v/>
      </c>
      <c r="DF55" s="11" t="str">
        <f ca="1">IF(History!DJ$2="","",History!DJ44*$C$55)</f>
        <v/>
      </c>
      <c r="DG55" s="11" t="str">
        <f ca="1">IF(History!DK$2="","",History!DK44*$C$55)</f>
        <v/>
      </c>
      <c r="DH55" s="11" t="str">
        <f ca="1">IF(History!DL$2="","",History!DL44*$C$55)</f>
        <v/>
      </c>
      <c r="DI55" s="11" t="str">
        <f ca="1">IF(History!DM$2="","",History!DM44*$C$55)</f>
        <v/>
      </c>
      <c r="DJ55" s="11" t="str">
        <f ca="1">IF(History!DN$2="","",History!DN44*$C$55)</f>
        <v/>
      </c>
      <c r="DK55" s="11" t="str">
        <f ca="1">IF(History!DO$2="","",History!DO44*$C$55)</f>
        <v/>
      </c>
      <c r="DL55" s="11" t="str">
        <f ca="1">IF(History!DP$2="","",History!DP44*$C$55)</f>
        <v/>
      </c>
      <c r="DM55" s="11" t="str">
        <f ca="1">IF(History!DQ$2="","",History!DQ44*$C$55)</f>
        <v/>
      </c>
      <c r="DN55" s="11" t="str">
        <f ca="1">IF(History!DR$2="","",History!DR44*$C$55)</f>
        <v/>
      </c>
      <c r="DO55" s="11" t="str">
        <f ca="1">IF(History!DS$2="","",History!DS44*$C$55)</f>
        <v/>
      </c>
      <c r="DP55" s="11" t="str">
        <f ca="1">IF(History!DT$2="","",History!DT44*$C$55)</f>
        <v/>
      </c>
      <c r="DQ55" s="11" t="str">
        <f ca="1">IF(History!DU$2="","",History!DU44*$C$55)</f>
        <v/>
      </c>
      <c r="DR55" s="11" t="str">
        <f ca="1">IF(History!DV$2="","",History!DV44*$C$55)</f>
        <v/>
      </c>
      <c r="DS55" s="11" t="str">
        <f ca="1">IF(History!DW$2="","",History!DW44*$C$55)</f>
        <v/>
      </c>
      <c r="DT55" s="11" t="str">
        <f ca="1">IF(History!DX$2="","",History!DX44*$C$55)</f>
        <v/>
      </c>
      <c r="DU55" s="11" t="str">
        <f ca="1">IF(History!DY$2="","",History!DY44*$C$55)</f>
        <v/>
      </c>
      <c r="DV55" s="11" t="str">
        <f ca="1">IF(History!DZ$2="","",History!DZ44*$C$55)</f>
        <v/>
      </c>
      <c r="DW55" s="11" t="str">
        <f ca="1">IF(History!EA$2="","",History!EA44*$C$55)</f>
        <v/>
      </c>
      <c r="DX55" s="11" t="str">
        <f ca="1">IF(History!EB$2="","",History!EB44*$C$55)</f>
        <v/>
      </c>
      <c r="DY55" s="11" t="str">
        <f ca="1">IF(History!EC$2="","",History!EC44*$C$55)</f>
        <v/>
      </c>
      <c r="DZ55" s="11" t="str">
        <f ca="1">IF(History!ED$2="","",History!ED44*$C$55)</f>
        <v/>
      </c>
      <c r="EA55" s="11" t="str">
        <f ca="1">IF(History!EE$2="","",History!EE44*$C$55)</f>
        <v/>
      </c>
      <c r="EB55" s="11" t="str">
        <f ca="1">IF(History!EF$2="","",History!EF44*$C$55)</f>
        <v/>
      </c>
      <c r="EC55" s="11" t="str">
        <f ca="1">IF(History!EG$2="","",History!EG44*$C$55)</f>
        <v/>
      </c>
      <c r="ED55" s="11" t="str">
        <f ca="1">IF(History!EH$2="","",History!EH44*$C$55)</f>
        <v/>
      </c>
      <c r="EE55" s="11" t="str">
        <f ca="1">IF(History!EI$2="","",History!EI44*$C$55)</f>
        <v/>
      </c>
      <c r="EF55" s="11" t="str">
        <f ca="1">IF(History!EJ$2="","",History!EJ44*$C$55)</f>
        <v/>
      </c>
      <c r="EG55" s="11" t="str">
        <f ca="1">IF(History!EK$2="","",History!EK44*$C$55)</f>
        <v/>
      </c>
      <c r="EH55" s="11" t="str">
        <f ca="1">IF(History!EL$2="","",History!EL44*$C$55)</f>
        <v/>
      </c>
      <c r="EI55" s="11" t="str">
        <f ca="1">IF(History!EM$2="","",History!EM44*$C$55)</f>
        <v/>
      </c>
      <c r="EJ55" s="11" t="str">
        <f ca="1">IF(History!EN$2="","",History!EN44*$C$55)</f>
        <v/>
      </c>
      <c r="EK55" s="11" t="str">
        <f ca="1">IF(History!EO$2="","",History!EO44*$C$55)</f>
        <v/>
      </c>
      <c r="EL55" s="11" t="str">
        <f ca="1">IF(History!EP$2="","",History!EP44*$C$55)</f>
        <v/>
      </c>
      <c r="EM55" s="11" t="str">
        <f ca="1">IF(History!EQ$2="","",History!EQ44*$C$55)</f>
        <v/>
      </c>
      <c r="EN55" s="11" t="str">
        <f ca="1">IF(History!ER$2="","",History!ER44*$C$55)</f>
        <v/>
      </c>
      <c r="EO55" s="11" t="str">
        <f ca="1">IF(History!ES$2="","",History!ES44*$C$55)</f>
        <v/>
      </c>
      <c r="EP55" s="11" t="str">
        <f ca="1">IF(History!ET$2="","",History!ET44*$C$55)</f>
        <v/>
      </c>
      <c r="EQ55" s="11" t="str">
        <f ca="1">IF(History!EU$2="","",History!EU44*$C$55)</f>
        <v/>
      </c>
      <c r="ER55" s="11" t="str">
        <f ca="1">IF(History!EV$2="","",History!EV44*$C$55)</f>
        <v/>
      </c>
      <c r="ES55" s="11" t="str">
        <f ca="1">IF(History!EW$2="","",History!EW44*$C$55)</f>
        <v/>
      </c>
      <c r="ET55" s="11" t="str">
        <f ca="1">IF(History!EX$2="","",History!EX44*$C$55)</f>
        <v/>
      </c>
      <c r="EU55" s="11" t="str">
        <f ca="1">IF(History!EY$2="","",History!EY44*$C$55)</f>
        <v/>
      </c>
      <c r="EV55" s="11" t="str">
        <f ca="1">IF(History!EZ$2="","",History!EZ44*$C$55)</f>
        <v/>
      </c>
      <c r="EW55" s="11" t="str">
        <f ca="1">IF(History!FA$2="","",History!FA44*$C$55)</f>
        <v/>
      </c>
      <c r="EX55" s="11" t="str">
        <f ca="1">IF(History!FB$2="","",History!FB44*$C$55)</f>
        <v/>
      </c>
      <c r="EY55" s="11" t="str">
        <f ca="1">IF(History!FC$2="","",History!FC44*$C$55)</f>
        <v/>
      </c>
      <c r="EZ55" s="11" t="str">
        <f ca="1">IF(History!FD$2="","",History!FD44*$C$55)</f>
        <v/>
      </c>
      <c r="FA55" s="11" t="str">
        <f ca="1">IF(History!FE$2="","",History!FE44*$C$55)</f>
        <v/>
      </c>
      <c r="FB55" s="11" t="str">
        <f ca="1">IF(History!FF$2="","",History!FF44*$C$55)</f>
        <v/>
      </c>
      <c r="FC55" s="11" t="str">
        <f ca="1">IF(History!FG$2="","",History!FG44*$C$55)</f>
        <v/>
      </c>
      <c r="FD55" s="11" t="str">
        <f ca="1">IF(History!FH$2="","",History!FH44*$C$55)</f>
        <v/>
      </c>
      <c r="FE55" s="11" t="str">
        <f ca="1">IF(History!FI$2="","",History!FI44*$C$55)</f>
        <v/>
      </c>
      <c r="FF55" s="11" t="str">
        <f ca="1">IF(History!FJ$2="","",History!FJ44*$C$55)</f>
        <v/>
      </c>
      <c r="FG55" s="11" t="str">
        <f ca="1">IF(History!FK$2="","",History!FK44*$C$55)</f>
        <v/>
      </c>
      <c r="FH55" s="11" t="str">
        <f ca="1">IF(History!FL$2="","",History!FL44*$C$55)</f>
        <v/>
      </c>
      <c r="FI55" s="11" t="str">
        <f ca="1">IF(History!FM$2="","",History!FM44*$C$55)</f>
        <v/>
      </c>
      <c r="FJ55" s="11" t="str">
        <f ca="1">IF(History!FN$2="","",History!FN44*$C$55)</f>
        <v/>
      </c>
      <c r="FK55" s="11" t="str">
        <f ca="1">IF(History!FO$2="","",History!FO44*$C$55)</f>
        <v/>
      </c>
      <c r="FL55" s="11" t="str">
        <f ca="1">IF(History!FP$2="","",History!FP44*$C$55)</f>
        <v/>
      </c>
      <c r="FM55" s="11" t="str">
        <f ca="1">IF(History!FQ$2="","",History!FQ44*$C$55)</f>
        <v/>
      </c>
      <c r="FN55" s="11" t="str">
        <f ca="1">IF(History!FR$2="","",History!FR44*$C$55)</f>
        <v/>
      </c>
      <c r="FO55" s="11" t="str">
        <f ca="1">IF(History!FS$2="","",History!FS44*$C$55)</f>
        <v/>
      </c>
      <c r="FP55" s="11" t="str">
        <f ca="1">IF(History!FT$2="","",History!FT44*$C$55)</f>
        <v/>
      </c>
      <c r="FQ55" s="11" t="str">
        <f ca="1">IF(History!FU$2="","",History!FU44*$C$55)</f>
        <v/>
      </c>
      <c r="FR55" s="11" t="str">
        <f ca="1">IF(History!FV$2="","",History!FV44*$C$55)</f>
        <v/>
      </c>
      <c r="FS55" s="11" t="str">
        <f ca="1">IF(History!FW$2="","",History!FW44*$C$55)</f>
        <v/>
      </c>
      <c r="FT55" s="11" t="str">
        <f ca="1">IF(History!FX$2="","",History!FX44*$C$55)</f>
        <v/>
      </c>
      <c r="FU55" s="11" t="str">
        <f ca="1">IF(History!FY$2="","",History!FY44*$C$55)</f>
        <v/>
      </c>
      <c r="FV55" s="11" t="str">
        <f ca="1">IF(History!FZ$2="","",History!FZ44*$C$55)</f>
        <v/>
      </c>
      <c r="FW55" s="11" t="str">
        <f ca="1">IF(History!GA$2="","",History!GA44*$C$55)</f>
        <v/>
      </c>
      <c r="FX55" s="11" t="str">
        <f ca="1">IF(History!GB$2="","",History!GB44*$C$55)</f>
        <v/>
      </c>
      <c r="FY55" s="11" t="str">
        <f ca="1">IF(History!GC$2="","",History!GC44*$C$55)</f>
        <v/>
      </c>
      <c r="FZ55" s="11" t="str">
        <f ca="1">IF(History!GD$2="","",History!GD44*$C$55)</f>
        <v/>
      </c>
      <c r="GA55" s="11" t="str">
        <f ca="1">IF(History!GE$2="","",History!GE44*$C$55)</f>
        <v/>
      </c>
      <c r="GB55" s="11" t="str">
        <f ca="1">IF(History!GF$2="","",History!GF44*$C$55)</f>
        <v/>
      </c>
      <c r="GC55" s="11" t="str">
        <f ca="1">IF(History!GG$2="","",History!GG44*$C$55)</f>
        <v/>
      </c>
      <c r="GD55" s="11" t="str">
        <f ca="1">IF(History!GH$2="","",History!GH44*$C$55)</f>
        <v/>
      </c>
      <c r="GE55" s="11" t="str">
        <f ca="1">IF(History!GI$2="","",History!GI44*$C$55)</f>
        <v/>
      </c>
      <c r="GF55" s="11" t="str">
        <f ca="1">IF(History!GJ$2="","",History!GJ44*$C$55)</f>
        <v/>
      </c>
      <c r="GG55" s="11" t="str">
        <f ca="1">IF(History!GK$2="","",History!GK44*$C$55)</f>
        <v/>
      </c>
      <c r="GH55" s="11" t="str">
        <f ca="1">IF(History!GL$2="","",History!GL44*$C$55)</f>
        <v/>
      </c>
      <c r="GI55" s="11" t="str">
        <f ca="1">IF(History!GM$2="","",History!GM44*$C$55)</f>
        <v/>
      </c>
      <c r="GJ55" s="11" t="str">
        <f ca="1">IF(History!GN$2="","",History!GN44*$C$55)</f>
        <v/>
      </c>
      <c r="GK55" s="11" t="str">
        <f ca="1">IF(History!GO$2="","",History!GO44*$C$55)</f>
        <v/>
      </c>
      <c r="GL55" s="11" t="str">
        <f ca="1">IF(History!GP$2="","",History!GP44*$C$55)</f>
        <v/>
      </c>
      <c r="GM55" s="11" t="str">
        <f ca="1">IF(History!GQ$2="","",History!GQ44*$C$55)</f>
        <v/>
      </c>
      <c r="GN55" s="11" t="str">
        <f ca="1">IF(History!GR$2="","",History!GR44*$C$55)</f>
        <v/>
      </c>
      <c r="GO55" s="11" t="str">
        <f ca="1">IF(History!GS$2="","",History!GS44*$C$55)</f>
        <v/>
      </c>
      <c r="GP55" s="11" t="str">
        <f ca="1">IF(History!GT$2="","",History!GT44*$C$55)</f>
        <v/>
      </c>
      <c r="GQ55" s="11" t="str">
        <f ca="1">IF(History!GU$2="","",History!GU44*$C$55)</f>
        <v/>
      </c>
      <c r="GR55" s="11" t="str">
        <f ca="1">IF(History!GV$2="","",History!GV44*$C$55)</f>
        <v/>
      </c>
      <c r="GS55" s="11" t="str">
        <f ca="1">IF(History!GW$2="","",History!GW44*$C$55)</f>
        <v/>
      </c>
      <c r="GT55" s="11" t="str">
        <f ca="1">IF(History!GX$2="","",History!GX44*$C$55)</f>
        <v/>
      </c>
      <c r="GU55" s="11" t="str">
        <f ca="1">IF(History!GY$2="","",History!GY44*$C$55)</f>
        <v/>
      </c>
      <c r="GV55" s="11" t="str">
        <f ca="1">IF(History!GZ$2="","",History!GZ44*$C$55)</f>
        <v/>
      </c>
      <c r="GW55" s="11" t="str">
        <f ca="1">IF(History!HA$2="","",History!HA44*$C$55)</f>
        <v/>
      </c>
      <c r="GX55" s="11" t="str">
        <f ca="1">IF(History!HB$2="","",History!HB44*$C$55)</f>
        <v/>
      </c>
      <c r="GY55" s="11" t="str">
        <f ca="1">IF(History!HC$2="","",History!HC44*$C$55)</f>
        <v/>
      </c>
      <c r="GZ55" s="11" t="str">
        <f ca="1">IF(History!HD$2="","",History!HD44*$C$55)</f>
        <v/>
      </c>
      <c r="HA55" s="11" t="str">
        <f ca="1">IF(History!HE$2="","",History!HE44*$C$55)</f>
        <v/>
      </c>
      <c r="HB55" s="11" t="str">
        <f ca="1">IF(History!HF$2="","",History!HF44*$C$55)</f>
        <v/>
      </c>
      <c r="HC55" s="11" t="str">
        <f ca="1">IF(History!HG$2="","",History!HG44*$C$55)</f>
        <v/>
      </c>
      <c r="HD55" s="11" t="str">
        <f ca="1">IF(History!HH$2="","",History!HH44*$C$55)</f>
        <v/>
      </c>
      <c r="HE55" s="11" t="str">
        <f ca="1">IF(History!HI$2="","",History!HI44*$C$55)</f>
        <v/>
      </c>
      <c r="HF55" s="11" t="str">
        <f ca="1">IF(History!HJ$2="","",History!HJ44*$C$55)</f>
        <v/>
      </c>
      <c r="HG55" s="11" t="str">
        <f ca="1">IF(History!HK$2="","",History!HK44*$C$55)</f>
        <v/>
      </c>
      <c r="HH55" s="11" t="str">
        <f ca="1">IF(History!HL$2="","",History!HL44*$C$55)</f>
        <v/>
      </c>
      <c r="HI55" s="11" t="str">
        <f ca="1">IF(History!HM$2="","",History!HM44*$C$55)</f>
        <v/>
      </c>
      <c r="HJ55" s="11" t="str">
        <f ca="1">IF(History!HN$2="","",History!HN44*$C$55)</f>
        <v/>
      </c>
      <c r="HK55" s="11" t="str">
        <f ca="1">IF(History!HO$2="","",History!HO44*$C$55)</f>
        <v/>
      </c>
      <c r="HL55" s="11" t="str">
        <f ca="1">IF(History!HP$2="","",History!HP44*$C$55)</f>
        <v/>
      </c>
      <c r="HM55" s="11" t="str">
        <f ca="1">IF(History!HQ$2="","",History!HQ44*$C$55)</f>
        <v/>
      </c>
      <c r="HN55" s="11" t="str">
        <f ca="1">IF(History!HR$2="","",History!HR44*$C$55)</f>
        <v/>
      </c>
      <c r="HO55" s="11" t="str">
        <f ca="1">IF(History!HS$2="","",History!HS44*$C$55)</f>
        <v/>
      </c>
      <c r="HP55" s="11" t="str">
        <f ca="1">IF(History!HT$2="","",History!HT44*$C$55)</f>
        <v/>
      </c>
      <c r="HQ55" s="11" t="str">
        <f ca="1">IF(History!HU$2="","",History!HU44*$C$55)</f>
        <v/>
      </c>
      <c r="HR55" s="11" t="str">
        <f ca="1">IF(History!HV$2="","",History!HV44*$C$55)</f>
        <v/>
      </c>
      <c r="HS55" s="11" t="str">
        <f ca="1">IF(History!HW$2="","",History!HW44*$C$55)</f>
        <v/>
      </c>
      <c r="HT55" s="11" t="str">
        <f ca="1">IF(History!HX$2="","",History!HX44*$C$55)</f>
        <v/>
      </c>
      <c r="HU55" s="11" t="str">
        <f ca="1">IF(History!HY$2="","",History!HY44*$C$55)</f>
        <v/>
      </c>
      <c r="HV55" s="11" t="str">
        <f ca="1">IF(History!HZ$2="","",History!HZ44*$C$55)</f>
        <v/>
      </c>
      <c r="HW55" s="11" t="str">
        <f ca="1">IF(History!IA$2="","",History!IA44*$C$55)</f>
        <v/>
      </c>
      <c r="HX55" s="11" t="str">
        <f ca="1">IF(History!IB$2="","",History!IB44*$C$55)</f>
        <v/>
      </c>
      <c r="HY55" s="11" t="str">
        <f ca="1">IF(History!IC$2="","",History!IC44*$C$55)</f>
        <v/>
      </c>
      <c r="HZ55" s="11" t="str">
        <f ca="1">IF(History!ID$2="","",History!ID44*$C$55)</f>
        <v/>
      </c>
      <c r="IA55" s="11" t="str">
        <f ca="1">IF(History!IE$2="","",History!IE44*$C$55)</f>
        <v/>
      </c>
      <c r="IB55" s="11" t="str">
        <f ca="1">IF(History!IF$2="","",History!IF44*$C$55)</f>
        <v/>
      </c>
      <c r="IC55" s="11" t="str">
        <f ca="1">IF(History!IG$2="","",History!IG44*$C$55)</f>
        <v/>
      </c>
      <c r="ID55" s="11" t="str">
        <f ca="1">IF(History!IH$2="","",History!IH44*$C$55)</f>
        <v/>
      </c>
      <c r="IE55" s="11" t="str">
        <f ca="1">IF(History!II$2="","",History!II44*$C$55)</f>
        <v/>
      </c>
      <c r="IF55" s="11" t="str">
        <f ca="1">IF(History!IJ$2="","",History!IJ44*$C$55)</f>
        <v/>
      </c>
      <c r="IG55" s="11" t="str">
        <f ca="1">IF(History!IK$2="","",History!IK44*$C$55)</f>
        <v/>
      </c>
      <c r="IH55" s="11" t="str">
        <f ca="1">IF(History!IL$2="","",History!IL44*$C$55)</f>
        <v/>
      </c>
      <c r="II55" s="11" t="str">
        <f ca="1">IF(History!IM$2="","",History!IM44*$C$55)</f>
        <v/>
      </c>
      <c r="IJ55" s="11" t="str">
        <f ca="1">IF(History!IN$2="","",History!IN44*$C$55)</f>
        <v/>
      </c>
      <c r="IK55" s="11" t="str">
        <f ca="1">IF(History!IO$2="","",History!IO44*$C$55)</f>
        <v/>
      </c>
      <c r="IL55" s="11" t="str">
        <f ca="1">IF(History!IP$2="","",History!IP44*$C$55)</f>
        <v/>
      </c>
      <c r="IM55" s="11" t="str">
        <f ca="1">IF(History!IQ$2="","",History!IQ44*$C$55)</f>
        <v/>
      </c>
      <c r="IN55" s="11" t="str">
        <f ca="1">IF(History!IR$2="","",History!IR44*$C$55)</f>
        <v/>
      </c>
      <c r="IO55" s="11" t="str">
        <f ca="1">IF(History!IS$2="","",History!IS44*$C$55)</f>
        <v/>
      </c>
      <c r="IP55" s="11" t="str">
        <f ca="1">IF(History!IT$2="","",History!IT44*$C$55)</f>
        <v/>
      </c>
      <c r="IQ55" s="11" t="str">
        <f ca="1">IF(History!IU$2="","",History!IU44*$C$55)</f>
        <v/>
      </c>
      <c r="IR55" s="11" t="str">
        <f ca="1">IF(History!IV$2="","",History!IV44*$C$55)</f>
        <v/>
      </c>
      <c r="IS55" s="11" t="str">
        <f ca="1">IF(History!IW$2="","",History!IW44*$C$55)</f>
        <v/>
      </c>
      <c r="IT55" s="11" t="str">
        <f ca="1">IF(History!IX$2="","",History!IX44*$C$55)</f>
        <v/>
      </c>
      <c r="IU55" s="11" t="str">
        <f ca="1">IF(History!IY$2="","",History!IY44*$C$55)</f>
        <v/>
      </c>
      <c r="IV55" s="11" t="str">
        <f ca="1">IF(History!IZ$2="","",History!IZ44*$C$55)</f>
        <v/>
      </c>
      <c r="IW55" s="11" t="str">
        <f ca="1">IF(History!JA$2="","",History!JA44*$C$55)</f>
        <v/>
      </c>
      <c r="IX55" s="11" t="str">
        <f ca="1">IF(History!JB$2="","",History!JB44*$C$55)</f>
        <v/>
      </c>
      <c r="IY55" s="11" t="str">
        <f ca="1">IF(History!JC$2="","",History!JC44*$C$55)</f>
        <v/>
      </c>
      <c r="IZ55" s="11" t="str">
        <f ca="1">IF(History!JD$2="","",History!JD44*$C$55)</f>
        <v/>
      </c>
      <c r="JA55" s="11" t="str">
        <f ca="1">IF(History!JE$2="","",History!JE44*$C$55)</f>
        <v/>
      </c>
      <c r="JB55" s="11" t="str">
        <f ca="1">IF(History!JF$2="","",History!JF44*$C$55)</f>
        <v/>
      </c>
      <c r="JC55" s="11" t="str">
        <f ca="1">IF(History!JG$2="","",History!JG44*$C$55)</f>
        <v/>
      </c>
      <c r="JD55" s="11" t="str">
        <f ca="1">IF(History!JH$2="","",History!JH44*$C$55)</f>
        <v/>
      </c>
      <c r="JE55" s="11" t="str">
        <f ca="1">IF(History!JI$2="","",History!JI44*$C$55)</f>
        <v/>
      </c>
      <c r="JF55" s="11" t="str">
        <f ca="1">IF(History!JJ$2="","",History!JJ44*$C$55)</f>
        <v/>
      </c>
      <c r="JG55" s="11" t="str">
        <f ca="1">IF(History!JK$2="","",History!JK44*$C$55)</f>
        <v/>
      </c>
      <c r="JH55" s="11" t="str">
        <f ca="1">IF(History!JL$2="","",History!JL44*$C$55)</f>
        <v/>
      </c>
      <c r="JI55" s="11" t="str">
        <f ca="1">IF(History!JM$2="","",History!JM44*$C$55)</f>
        <v/>
      </c>
      <c r="JJ55" s="11" t="str">
        <f ca="1">IF(History!JN$2="","",History!JN44*$C$55)</f>
        <v/>
      </c>
      <c r="JK55" s="11" t="str">
        <f ca="1">IF(History!JO$2="","",History!JO44*$C$55)</f>
        <v/>
      </c>
      <c r="JL55" s="11" t="str">
        <f ca="1">IF(History!JP$2="","",History!JP44*$C$55)</f>
        <v/>
      </c>
      <c r="JM55" s="11" t="str">
        <f ca="1">IF(History!JQ$2="","",History!JQ44*$C$55)</f>
        <v/>
      </c>
      <c r="JN55" s="11" t="str">
        <f ca="1">IF(History!JR$2="","",History!JR44*$C$55)</f>
        <v/>
      </c>
      <c r="JO55" s="11" t="str">
        <f ca="1">IF(History!JS$2="","",History!JS44*$C$55)</f>
        <v/>
      </c>
      <c r="JP55" s="11" t="str">
        <f ca="1">IF(History!JT$2="","",History!JT44*$C$55)</f>
        <v/>
      </c>
      <c r="JQ55" s="11" t="str">
        <f ca="1">IF(History!JU$2="","",History!JU44*$C$55)</f>
        <v/>
      </c>
      <c r="JR55" s="11" t="str">
        <f ca="1">IF(History!JV$2="","",History!JV44*$C$55)</f>
        <v/>
      </c>
      <c r="JS55" s="11" t="str">
        <f ca="1">IF(History!JW$2="","",History!JW44*$C$55)</f>
        <v/>
      </c>
      <c r="JT55" s="11" t="str">
        <f ca="1">IF(History!JX$2="","",History!JX44*$C$55)</f>
        <v/>
      </c>
      <c r="JU55" s="11" t="str">
        <f ca="1">IF(History!JY$2="","",History!JY44*$C$55)</f>
        <v/>
      </c>
      <c r="JV55" s="11" t="str">
        <f ca="1">IF(History!JZ$2="","",History!JZ44*$C$55)</f>
        <v/>
      </c>
      <c r="JW55" s="11" t="str">
        <f ca="1">IF(History!KA$2="","",History!KA44*$C$55)</f>
        <v/>
      </c>
      <c r="JX55" s="11" t="str">
        <f ca="1">IF(History!KB$2="","",History!KB44*$C$55)</f>
        <v/>
      </c>
      <c r="JY55" s="11" t="str">
        <f ca="1">IF(History!KC$2="","",History!KC44*$C$55)</f>
        <v/>
      </c>
      <c r="JZ55" s="11" t="str">
        <f ca="1">IF(History!KD$2="","",History!KD44*$C$55)</f>
        <v/>
      </c>
      <c r="KA55" s="11" t="str">
        <f ca="1">IF(History!KE$2="","",History!KE44*$C$55)</f>
        <v/>
      </c>
      <c r="KB55" s="11" t="str">
        <f ca="1">IF(History!KF$2="","",History!KF44*$C$55)</f>
        <v/>
      </c>
    </row>
    <row r="56" spans="1:288" ht="15.75" customHeight="1">
      <c r="A56" s="22" t="s">
        <v>30</v>
      </c>
      <c r="B56" s="6" t="s">
        <v>87</v>
      </c>
      <c r="C56" s="26">
        <v>116</v>
      </c>
      <c r="D56" s="11">
        <f ca="1">IF(History!H$2="","",History!H45*$C$56)</f>
        <v>220.39999999999998</v>
      </c>
      <c r="E56" s="11">
        <f ca="1">IF(History!I$2="","",History!I45*$C$56)</f>
        <v>221.56</v>
      </c>
      <c r="F56" s="11">
        <f ca="1">IF(History!J$2="","",History!J45*$C$56)</f>
        <v>218.07999999999998</v>
      </c>
      <c r="G56" s="11">
        <f ca="1">IF(History!K$2="","",History!K45*$C$56)</f>
        <v>214.60000000000002</v>
      </c>
      <c r="H56" s="11">
        <f ca="1">IF(History!L$2="","",History!L45*$C$56)</f>
        <v>215.76000000000002</v>
      </c>
      <c r="I56" s="11">
        <f ca="1">IF(History!M$2="","",History!M45*$C$56)</f>
        <v>204.16</v>
      </c>
      <c r="J56" s="11">
        <f ca="1">IF(History!N$2="","",History!N45*$C$56)</f>
        <v>194.88</v>
      </c>
      <c r="K56" s="11">
        <f ca="1">IF(History!O$2="","",History!O45*$C$56)</f>
        <v>189.07999999999998</v>
      </c>
      <c r="L56" s="11">
        <f ca="1">IF(History!P$2="","",History!P45*$C$56)</f>
        <v>175.16</v>
      </c>
      <c r="M56" s="11">
        <f ca="1">IF(History!Q$2="","",History!Q45*$C$56)</f>
        <v>177.48</v>
      </c>
      <c r="N56" s="11">
        <f ca="1">IF(History!R$2="","",History!R45*$C$56)</f>
        <v>182.12</v>
      </c>
      <c r="O56" s="11">
        <f ca="1">IF(History!S$2="","",History!S45*$C$56)</f>
        <v>171.68</v>
      </c>
      <c r="P56" s="11">
        <f ca="1">IF(History!T$2="","",History!T45*$C$56)</f>
        <v>169.35999999999999</v>
      </c>
      <c r="Q56" s="11">
        <f ca="1">IF(History!U$2="","",History!U45*$C$56)</f>
        <v>170.52</v>
      </c>
      <c r="R56" s="11">
        <f ca="1">IF(History!V$2="","",History!V45*$C$56)</f>
        <v>185.60000000000002</v>
      </c>
      <c r="S56" s="11">
        <f ca="1">IF(History!W$2="","",History!W45*$C$56)</f>
        <v>186.76000000000002</v>
      </c>
      <c r="T56" s="11">
        <f ca="1">IF(History!X$2="","",History!X45*$C$56)</f>
        <v>179.8</v>
      </c>
      <c r="U56" s="11">
        <f ca="1">IF(History!Y$2="","",History!Y45*$C$56)</f>
        <v>169.35999999999999</v>
      </c>
      <c r="V56" s="11">
        <f ca="1">IF(History!Z$2="","",History!Z45*$C$56)</f>
        <v>174</v>
      </c>
      <c r="W56" s="11">
        <f ca="1">IF(History!AA$2="","",History!AA45*$C$56)</f>
        <v>172.84</v>
      </c>
      <c r="X56" s="11">
        <f ca="1">IF(History!AB$2="","",History!AB45*$C$56)</f>
        <v>169.35999999999999</v>
      </c>
      <c r="Y56" s="11">
        <f ca="1">IF(History!AC$2="","",History!AC45*$C$56)</f>
        <v>167.04</v>
      </c>
      <c r="Z56" s="11">
        <f ca="1">IF(History!AD$2="","",History!AD45*$C$56)</f>
        <v>157.76000000000002</v>
      </c>
      <c r="AA56" s="11">
        <f ca="1">IF(History!AE$2="","",History!AE45*$C$56)</f>
        <v>153.12</v>
      </c>
      <c r="AB56" s="11">
        <f ca="1">IF(History!AF$2="","",History!AF45*$C$56)</f>
        <v>150.80000000000001</v>
      </c>
      <c r="AC56" s="11">
        <f ca="1">IF(History!AG$2="","",History!AG45*$C$56)</f>
        <v>165.88</v>
      </c>
      <c r="AD56" s="11">
        <f ca="1">IF(History!AH$2="","",History!AH45*$C$56)</f>
        <v>170.52</v>
      </c>
      <c r="AE56" s="11">
        <f ca="1">IF(History!AI$2="","",History!AI45*$C$56)</f>
        <v>162.39999999999998</v>
      </c>
      <c r="AF56" s="11">
        <f ca="1">IF(History!AJ$2="","",History!AJ45*$C$56)</f>
        <v>161.23999999999998</v>
      </c>
      <c r="AG56" s="11">
        <f ca="1">IF(History!AK$2="","",History!AK45*$C$56)</f>
        <v>149.64000000000001</v>
      </c>
      <c r="AH56" s="11">
        <f ca="1">IF(History!AL$2="","",History!AL45*$C$56)</f>
        <v>145</v>
      </c>
      <c r="AI56" s="11">
        <f ca="1">IF(History!AM$2="","",History!AM45*$C$56)</f>
        <v>156.60000000000002</v>
      </c>
      <c r="AJ56" s="11">
        <f ca="1">IF(History!AN$2="","",History!AN45*$C$56)</f>
        <v>155.44</v>
      </c>
      <c r="AK56" s="11">
        <f ca="1">IF(History!AO$2="","",History!AO45*$C$56)</f>
        <v>164.72</v>
      </c>
      <c r="AL56" s="11">
        <f ca="1">IF(History!AP$2="","",History!AP45*$C$56)</f>
        <v>161.23999999999998</v>
      </c>
      <c r="AM56" s="11">
        <f ca="1">IF(History!AQ$2="","",History!AQ45*$C$56)</f>
        <v>169.35999999999999</v>
      </c>
      <c r="AN56" s="11">
        <f ca="1">IF(History!AR$2="","",History!AR45*$C$56)</f>
        <v>178.64000000000001</v>
      </c>
      <c r="AO56" s="11">
        <f ca="1">IF(History!AS$2="","",History!AS45*$C$56)</f>
        <v>164.72</v>
      </c>
      <c r="AP56" s="11">
        <f ca="1">IF(History!AT$2="","",History!AT45*$C$56)</f>
        <v>175.16</v>
      </c>
      <c r="AQ56" s="11">
        <f ca="1">IF(History!AU$2="","",History!AU45*$C$56)</f>
        <v>171.68</v>
      </c>
      <c r="AR56" s="11">
        <f ca="1">IF(History!AV$2="","",History!AV45*$C$56)</f>
        <v>208.8</v>
      </c>
      <c r="AS56" s="11">
        <f ca="1">IF(History!AW$2="","",History!AW45*$C$56)</f>
        <v>214.60000000000002</v>
      </c>
      <c r="AT56" s="11">
        <f ca="1">IF(History!AX$2="","",History!AX45*$C$56)</f>
        <v>206.48</v>
      </c>
      <c r="AU56" s="11">
        <f ca="1">IF(History!AY$2="","",History!AY45*$C$56)</f>
        <v>203</v>
      </c>
      <c r="AV56" s="11">
        <f ca="1">IF(History!AZ$2="","",History!AZ45*$C$56)</f>
        <v>209.96</v>
      </c>
      <c r="AW56" s="11">
        <f ca="1">IF(History!BA$2="","",History!BA45*$C$56)</f>
        <v>241.28</v>
      </c>
      <c r="AX56" s="11">
        <f ca="1">IF(History!BB$2="","",History!BB45*$C$56)</f>
        <v>252.88000000000002</v>
      </c>
      <c r="AY56" s="11">
        <f ca="1">IF(History!BC$2="","",History!BC45*$C$56)</f>
        <v>265.64</v>
      </c>
      <c r="AZ56" s="11">
        <f ca="1">IF(History!BD$2="","",History!BD45*$C$56)</f>
        <v>256.36</v>
      </c>
      <c r="BA56" s="11">
        <f ca="1">IF(History!BE$2="","",History!BE45*$C$56)</f>
        <v>255.20000000000002</v>
      </c>
      <c r="BB56" s="11">
        <f ca="1">IF(History!BF$2="","",History!BF45*$C$56)</f>
        <v>240.11999999999998</v>
      </c>
      <c r="BC56" s="11">
        <f ca="1">IF(History!BG$2="","",History!BG45*$C$56)</f>
        <v>235.48</v>
      </c>
      <c r="BD56" s="11">
        <f ca="1">IF(History!BH$2="","",History!BH45*$C$56)</f>
        <v>238.96</v>
      </c>
      <c r="BE56" s="11">
        <f ca="1">IF(History!BI$2="","",History!BI45*$C$56)</f>
        <v>249.39999999999998</v>
      </c>
      <c r="BF56" s="11">
        <f ca="1">IF(History!BJ$2="","",History!BJ45*$C$56)</f>
        <v>254.04</v>
      </c>
      <c r="BG56" s="11">
        <f ca="1">IF(History!BK$2="","",History!BK45*$C$56)</f>
        <v>242.44</v>
      </c>
      <c r="BH56" s="11">
        <f ca="1">IF(History!BL$2="","",History!BL45*$C$56)</f>
        <v>241.28</v>
      </c>
      <c r="BI56" s="11">
        <f ca="1">IF(History!BM$2="","",History!BM45*$C$56)</f>
        <v>233.15999999999997</v>
      </c>
      <c r="BJ56" s="11">
        <f ca="1">IF(History!BN$2="","",History!BN45*$C$56)</f>
        <v>235.48</v>
      </c>
      <c r="BK56" s="11">
        <f ca="1">IF(History!BO$2="","",History!BO45*$C$56)</f>
        <v>226.2</v>
      </c>
      <c r="BL56" s="11">
        <f ca="1">IF(History!BP$2="","",History!BP45*$C$56)</f>
        <v>206.48</v>
      </c>
      <c r="BM56" s="11">
        <f ca="1">IF(History!BQ$2="","",History!BQ45*$C$56)</f>
        <v>189.07999999999998</v>
      </c>
      <c r="BN56" s="11">
        <f ca="1">IF(History!BR$2="","",History!BR45*$C$56)</f>
        <v>199.52</v>
      </c>
      <c r="BO56" s="11">
        <f ca="1">IF(History!BS$2="","",History!BS45*$C$56)</f>
        <v>192.56</v>
      </c>
      <c r="BP56" s="11">
        <f ca="1">IF(History!BT$2="","",History!BT45*$C$56)</f>
        <v>192.56</v>
      </c>
      <c r="BQ56" s="11">
        <f ca="1">IF(History!BU$2="","",History!BU45*$C$56)</f>
        <v>199.52</v>
      </c>
      <c r="BR56" s="11">
        <f ca="1">IF(History!BV$2="","",History!BV45*$C$56)</f>
        <v>190.23999999999998</v>
      </c>
      <c r="BS56" s="11">
        <f ca="1">IF(History!BW$2="","",History!BW45*$C$56)</f>
        <v>179.8</v>
      </c>
      <c r="BT56" s="11">
        <f ca="1">IF(History!BX$2="","",History!BX45*$C$56)</f>
        <v>192.56</v>
      </c>
      <c r="BU56" s="11">
        <f ca="1">IF(History!BY$2="","",History!BY45*$C$56)</f>
        <v>192.56</v>
      </c>
      <c r="BV56" s="11">
        <f ca="1">IF(History!BZ$2="","",History!BZ45*$C$56)</f>
        <v>179.8</v>
      </c>
      <c r="BW56" s="11">
        <f ca="1">IF(History!CA$2="","",History!CA45*$C$56)</f>
        <v>179.8</v>
      </c>
      <c r="BX56" s="11">
        <f ca="1">IF(History!CB$2="","",History!CB45*$C$56)</f>
        <v>169.35999999999999</v>
      </c>
      <c r="BY56" s="11">
        <f ca="1">IF(History!CC$2="","",History!CC45*$C$56)</f>
        <v>158.92000000000002</v>
      </c>
      <c r="BZ56" s="11">
        <f ca="1">IF(History!CD$2="","",History!CD45*$C$56)</f>
        <v>153.12</v>
      </c>
      <c r="CA56" s="11">
        <f ca="1">IF(History!CE$2="","",History!CE45*$C$56)</f>
        <v>156.60000000000002</v>
      </c>
      <c r="CB56" s="11">
        <f ca="1">IF(History!CF$2="","",History!CF45*$C$56)</f>
        <v>155.44</v>
      </c>
      <c r="CC56" s="11">
        <f ca="1">IF(History!CG$2="","",History!CG45*$C$56)</f>
        <v>157.76000000000002</v>
      </c>
      <c r="CD56" s="11">
        <f ca="1">IF(History!CH$2="","",History!CH45*$C$56)</f>
        <v>149.64000000000001</v>
      </c>
      <c r="CE56" s="11">
        <f ca="1">IF(History!CI$2="","",History!CI45*$C$56)</f>
        <v>148.47999999999999</v>
      </c>
      <c r="CF56" s="11" t="str">
        <f ca="1">IF(History!CJ$2="","",History!CJ45*$C$56)</f>
        <v/>
      </c>
      <c r="CG56" s="11" t="str">
        <f ca="1">IF(History!CK$2="","",History!CK45*$C$56)</f>
        <v/>
      </c>
      <c r="CH56" s="11" t="str">
        <f ca="1">IF(History!CL$2="","",History!CL45*$C$56)</f>
        <v/>
      </c>
      <c r="CI56" s="11" t="str">
        <f ca="1">IF(History!CM$2="","",History!CM45*$C$56)</f>
        <v/>
      </c>
      <c r="CJ56" s="11" t="str">
        <f ca="1">IF(History!CN$2="","",History!CN45*$C$56)</f>
        <v/>
      </c>
      <c r="CK56" s="11" t="str">
        <f ca="1">IF(History!CO$2="","",History!CO45*$C$56)</f>
        <v/>
      </c>
      <c r="CL56" s="11" t="str">
        <f ca="1">IF(History!CP$2="","",History!CP45*$C$56)</f>
        <v/>
      </c>
      <c r="CM56" s="11" t="str">
        <f ca="1">IF(History!CQ$2="","",History!CQ45*$C$56)</f>
        <v/>
      </c>
      <c r="CN56" s="11" t="str">
        <f ca="1">IF(History!CR$2="","",History!CR45*$C$56)</f>
        <v/>
      </c>
      <c r="CO56" s="11" t="str">
        <f ca="1">IF(History!CS$2="","",History!CS45*$C$56)</f>
        <v/>
      </c>
      <c r="CP56" s="11" t="str">
        <f ca="1">IF(History!CT$2="","",History!CT45*$C$56)</f>
        <v/>
      </c>
      <c r="CQ56" s="11" t="str">
        <f ca="1">IF(History!CU$2="","",History!CU45*$C$56)</f>
        <v/>
      </c>
      <c r="CR56" s="11" t="str">
        <f ca="1">IF(History!CV$2="","",History!CV45*$C$56)</f>
        <v/>
      </c>
      <c r="CS56" s="11" t="str">
        <f ca="1">IF(History!CW$2="","",History!CW45*$C$56)</f>
        <v/>
      </c>
      <c r="CT56" s="11" t="str">
        <f ca="1">IF(History!CX$2="","",History!CX45*$C$56)</f>
        <v/>
      </c>
      <c r="CU56" s="11" t="str">
        <f ca="1">IF(History!CY$2="","",History!CY45*$C$56)</f>
        <v/>
      </c>
      <c r="CV56" s="11" t="str">
        <f ca="1">IF(History!CZ$2="","",History!CZ45*$C$56)</f>
        <v/>
      </c>
      <c r="CW56" s="11" t="str">
        <f ca="1">IF(History!DA$2="","",History!DA45*$C$56)</f>
        <v/>
      </c>
      <c r="CX56" s="11" t="str">
        <f ca="1">IF(History!DB$2="","",History!DB45*$C$56)</f>
        <v/>
      </c>
      <c r="CY56" s="11" t="str">
        <f ca="1">IF(History!DC$2="","",History!DC45*$C$56)</f>
        <v/>
      </c>
      <c r="CZ56" s="11" t="str">
        <f ca="1">IF(History!DD$2="","",History!DD45*$C$56)</f>
        <v/>
      </c>
      <c r="DA56" s="11" t="str">
        <f ca="1">IF(History!DE$2="","",History!DE45*$C$56)</f>
        <v/>
      </c>
      <c r="DB56" s="11" t="str">
        <f ca="1">IF(History!DF$2="","",History!DF45*$C$56)</f>
        <v/>
      </c>
      <c r="DC56" s="11" t="str">
        <f ca="1">IF(History!DG$2="","",History!DG45*$C$56)</f>
        <v/>
      </c>
      <c r="DD56" s="11" t="str">
        <f ca="1">IF(History!DH$2="","",History!DH45*$C$56)</f>
        <v/>
      </c>
      <c r="DE56" s="11" t="str">
        <f ca="1">IF(History!DI$2="","",History!DI45*$C$56)</f>
        <v/>
      </c>
      <c r="DF56" s="11" t="str">
        <f ca="1">IF(History!DJ$2="","",History!DJ45*$C$56)</f>
        <v/>
      </c>
      <c r="DG56" s="11" t="str">
        <f ca="1">IF(History!DK$2="","",History!DK45*$C$56)</f>
        <v/>
      </c>
      <c r="DH56" s="11" t="str">
        <f ca="1">IF(History!DL$2="","",History!DL45*$C$56)</f>
        <v/>
      </c>
      <c r="DI56" s="11" t="str">
        <f ca="1">IF(History!DM$2="","",History!DM45*$C$56)</f>
        <v/>
      </c>
      <c r="DJ56" s="11" t="str">
        <f ca="1">IF(History!DN$2="","",History!DN45*$C$56)</f>
        <v/>
      </c>
      <c r="DK56" s="11" t="str">
        <f ca="1">IF(History!DO$2="","",History!DO45*$C$56)</f>
        <v/>
      </c>
      <c r="DL56" s="11" t="str">
        <f ca="1">IF(History!DP$2="","",History!DP45*$C$56)</f>
        <v/>
      </c>
      <c r="DM56" s="11" t="str">
        <f ca="1">IF(History!DQ$2="","",History!DQ45*$C$56)</f>
        <v/>
      </c>
      <c r="DN56" s="11" t="str">
        <f ca="1">IF(History!DR$2="","",History!DR45*$C$56)</f>
        <v/>
      </c>
      <c r="DO56" s="11" t="str">
        <f ca="1">IF(History!DS$2="","",History!DS45*$C$56)</f>
        <v/>
      </c>
      <c r="DP56" s="11" t="str">
        <f ca="1">IF(History!DT$2="","",History!DT45*$C$56)</f>
        <v/>
      </c>
      <c r="DQ56" s="11" t="str">
        <f ca="1">IF(History!DU$2="","",History!DU45*$C$56)</f>
        <v/>
      </c>
      <c r="DR56" s="11" t="str">
        <f ca="1">IF(History!DV$2="","",History!DV45*$C$56)</f>
        <v/>
      </c>
      <c r="DS56" s="11" t="str">
        <f ca="1">IF(History!DW$2="","",History!DW45*$C$56)</f>
        <v/>
      </c>
      <c r="DT56" s="11" t="str">
        <f ca="1">IF(History!DX$2="","",History!DX45*$C$56)</f>
        <v/>
      </c>
      <c r="DU56" s="11" t="str">
        <f ca="1">IF(History!DY$2="","",History!DY45*$C$56)</f>
        <v/>
      </c>
      <c r="DV56" s="11" t="str">
        <f ca="1">IF(History!DZ$2="","",History!DZ45*$C$56)</f>
        <v/>
      </c>
      <c r="DW56" s="11" t="str">
        <f ca="1">IF(History!EA$2="","",History!EA45*$C$56)</f>
        <v/>
      </c>
      <c r="DX56" s="11" t="str">
        <f ca="1">IF(History!EB$2="","",History!EB45*$C$56)</f>
        <v/>
      </c>
      <c r="DY56" s="11" t="str">
        <f ca="1">IF(History!EC$2="","",History!EC45*$C$56)</f>
        <v/>
      </c>
      <c r="DZ56" s="11" t="str">
        <f ca="1">IF(History!ED$2="","",History!ED45*$C$56)</f>
        <v/>
      </c>
      <c r="EA56" s="11" t="str">
        <f ca="1">IF(History!EE$2="","",History!EE45*$C$56)</f>
        <v/>
      </c>
      <c r="EB56" s="11" t="str">
        <f ca="1">IF(History!EF$2="","",History!EF45*$C$56)</f>
        <v/>
      </c>
      <c r="EC56" s="11" t="str">
        <f ca="1">IF(History!EG$2="","",History!EG45*$C$56)</f>
        <v/>
      </c>
      <c r="ED56" s="11" t="str">
        <f ca="1">IF(History!EH$2="","",History!EH45*$C$56)</f>
        <v/>
      </c>
      <c r="EE56" s="11" t="str">
        <f ca="1">IF(History!EI$2="","",History!EI45*$C$56)</f>
        <v/>
      </c>
      <c r="EF56" s="11" t="str">
        <f ca="1">IF(History!EJ$2="","",History!EJ45*$C$56)</f>
        <v/>
      </c>
      <c r="EG56" s="11" t="str">
        <f ca="1">IF(History!EK$2="","",History!EK45*$C$56)</f>
        <v/>
      </c>
      <c r="EH56" s="11" t="str">
        <f ca="1">IF(History!EL$2="","",History!EL45*$C$56)</f>
        <v/>
      </c>
      <c r="EI56" s="11" t="str">
        <f ca="1">IF(History!EM$2="","",History!EM45*$C$56)</f>
        <v/>
      </c>
      <c r="EJ56" s="11" t="str">
        <f ca="1">IF(History!EN$2="","",History!EN45*$C$56)</f>
        <v/>
      </c>
      <c r="EK56" s="11" t="str">
        <f ca="1">IF(History!EO$2="","",History!EO45*$C$56)</f>
        <v/>
      </c>
      <c r="EL56" s="11" t="str">
        <f ca="1">IF(History!EP$2="","",History!EP45*$C$56)</f>
        <v/>
      </c>
      <c r="EM56" s="11" t="str">
        <f ca="1">IF(History!EQ$2="","",History!EQ45*$C$56)</f>
        <v/>
      </c>
      <c r="EN56" s="11" t="str">
        <f ca="1">IF(History!ER$2="","",History!ER45*$C$56)</f>
        <v/>
      </c>
      <c r="EO56" s="11" t="str">
        <f ca="1">IF(History!ES$2="","",History!ES45*$C$56)</f>
        <v/>
      </c>
      <c r="EP56" s="11" t="str">
        <f ca="1">IF(History!ET$2="","",History!ET45*$C$56)</f>
        <v/>
      </c>
      <c r="EQ56" s="11" t="str">
        <f ca="1">IF(History!EU$2="","",History!EU45*$C$56)</f>
        <v/>
      </c>
      <c r="ER56" s="11" t="str">
        <f ca="1">IF(History!EV$2="","",History!EV45*$C$56)</f>
        <v/>
      </c>
      <c r="ES56" s="11" t="str">
        <f ca="1">IF(History!EW$2="","",History!EW45*$C$56)</f>
        <v/>
      </c>
      <c r="ET56" s="11" t="str">
        <f ca="1">IF(History!EX$2="","",History!EX45*$C$56)</f>
        <v/>
      </c>
      <c r="EU56" s="11" t="str">
        <f ca="1">IF(History!EY$2="","",History!EY45*$C$56)</f>
        <v/>
      </c>
      <c r="EV56" s="11" t="str">
        <f ca="1">IF(History!EZ$2="","",History!EZ45*$C$56)</f>
        <v/>
      </c>
      <c r="EW56" s="11" t="str">
        <f ca="1">IF(History!FA$2="","",History!FA45*$C$56)</f>
        <v/>
      </c>
      <c r="EX56" s="11" t="str">
        <f ca="1">IF(History!FB$2="","",History!FB45*$C$56)</f>
        <v/>
      </c>
      <c r="EY56" s="11" t="str">
        <f ca="1">IF(History!FC$2="","",History!FC45*$C$56)</f>
        <v/>
      </c>
      <c r="EZ56" s="11" t="str">
        <f ca="1">IF(History!FD$2="","",History!FD45*$C$56)</f>
        <v/>
      </c>
      <c r="FA56" s="11" t="str">
        <f ca="1">IF(History!FE$2="","",History!FE45*$C$56)</f>
        <v/>
      </c>
      <c r="FB56" s="11" t="str">
        <f ca="1">IF(History!FF$2="","",History!FF45*$C$56)</f>
        <v/>
      </c>
      <c r="FC56" s="11" t="str">
        <f ca="1">IF(History!FG$2="","",History!FG45*$C$56)</f>
        <v/>
      </c>
      <c r="FD56" s="11" t="str">
        <f ca="1">IF(History!FH$2="","",History!FH45*$C$56)</f>
        <v/>
      </c>
      <c r="FE56" s="11" t="str">
        <f ca="1">IF(History!FI$2="","",History!FI45*$C$56)</f>
        <v/>
      </c>
      <c r="FF56" s="11" t="str">
        <f ca="1">IF(History!FJ$2="","",History!FJ45*$C$56)</f>
        <v/>
      </c>
      <c r="FG56" s="11" t="str">
        <f ca="1">IF(History!FK$2="","",History!FK45*$C$56)</f>
        <v/>
      </c>
      <c r="FH56" s="11" t="str">
        <f ca="1">IF(History!FL$2="","",History!FL45*$C$56)</f>
        <v/>
      </c>
      <c r="FI56" s="11" t="str">
        <f ca="1">IF(History!FM$2="","",History!FM45*$C$56)</f>
        <v/>
      </c>
      <c r="FJ56" s="11" t="str">
        <f ca="1">IF(History!FN$2="","",History!FN45*$C$56)</f>
        <v/>
      </c>
      <c r="FK56" s="11" t="str">
        <f ca="1">IF(History!FO$2="","",History!FO45*$C$56)</f>
        <v/>
      </c>
      <c r="FL56" s="11" t="str">
        <f ca="1">IF(History!FP$2="","",History!FP45*$C$56)</f>
        <v/>
      </c>
      <c r="FM56" s="11" t="str">
        <f ca="1">IF(History!FQ$2="","",History!FQ45*$C$56)</f>
        <v/>
      </c>
      <c r="FN56" s="11" t="str">
        <f ca="1">IF(History!FR$2="","",History!FR45*$C$56)</f>
        <v/>
      </c>
      <c r="FO56" s="11" t="str">
        <f ca="1">IF(History!FS$2="","",History!FS45*$C$56)</f>
        <v/>
      </c>
      <c r="FP56" s="11" t="str">
        <f ca="1">IF(History!FT$2="","",History!FT45*$C$56)</f>
        <v/>
      </c>
      <c r="FQ56" s="11" t="str">
        <f ca="1">IF(History!FU$2="","",History!FU45*$C$56)</f>
        <v/>
      </c>
      <c r="FR56" s="11" t="str">
        <f ca="1">IF(History!FV$2="","",History!FV45*$C$56)</f>
        <v/>
      </c>
      <c r="FS56" s="11" t="str">
        <f ca="1">IF(History!FW$2="","",History!FW45*$C$56)</f>
        <v/>
      </c>
      <c r="FT56" s="11" t="str">
        <f ca="1">IF(History!FX$2="","",History!FX45*$C$56)</f>
        <v/>
      </c>
      <c r="FU56" s="11" t="str">
        <f ca="1">IF(History!FY$2="","",History!FY45*$C$56)</f>
        <v/>
      </c>
      <c r="FV56" s="11" t="str">
        <f ca="1">IF(History!FZ$2="","",History!FZ45*$C$56)</f>
        <v/>
      </c>
      <c r="FW56" s="11" t="str">
        <f ca="1">IF(History!GA$2="","",History!GA45*$C$56)</f>
        <v/>
      </c>
      <c r="FX56" s="11" t="str">
        <f ca="1">IF(History!GB$2="","",History!GB45*$C$56)</f>
        <v/>
      </c>
      <c r="FY56" s="11" t="str">
        <f ca="1">IF(History!GC$2="","",History!GC45*$C$56)</f>
        <v/>
      </c>
      <c r="FZ56" s="11" t="str">
        <f ca="1">IF(History!GD$2="","",History!GD45*$C$56)</f>
        <v/>
      </c>
      <c r="GA56" s="11" t="str">
        <f ca="1">IF(History!GE$2="","",History!GE45*$C$56)</f>
        <v/>
      </c>
      <c r="GB56" s="11" t="str">
        <f ca="1">IF(History!GF$2="","",History!GF45*$C$56)</f>
        <v/>
      </c>
      <c r="GC56" s="11" t="str">
        <f ca="1">IF(History!GG$2="","",History!GG45*$C$56)</f>
        <v/>
      </c>
      <c r="GD56" s="11" t="str">
        <f ca="1">IF(History!GH$2="","",History!GH45*$C$56)</f>
        <v/>
      </c>
      <c r="GE56" s="11" t="str">
        <f ca="1">IF(History!GI$2="","",History!GI45*$C$56)</f>
        <v/>
      </c>
      <c r="GF56" s="11" t="str">
        <f ca="1">IF(History!GJ$2="","",History!GJ45*$C$56)</f>
        <v/>
      </c>
      <c r="GG56" s="11" t="str">
        <f ca="1">IF(History!GK$2="","",History!GK45*$C$56)</f>
        <v/>
      </c>
      <c r="GH56" s="11" t="str">
        <f ca="1">IF(History!GL$2="","",History!GL45*$C$56)</f>
        <v/>
      </c>
      <c r="GI56" s="11" t="str">
        <f ca="1">IF(History!GM$2="","",History!GM45*$C$56)</f>
        <v/>
      </c>
      <c r="GJ56" s="11" t="str">
        <f ca="1">IF(History!GN$2="","",History!GN45*$C$56)</f>
        <v/>
      </c>
      <c r="GK56" s="11" t="str">
        <f ca="1">IF(History!GO$2="","",History!GO45*$C$56)</f>
        <v/>
      </c>
      <c r="GL56" s="11" t="str">
        <f ca="1">IF(History!GP$2="","",History!GP45*$C$56)</f>
        <v/>
      </c>
      <c r="GM56" s="11" t="str">
        <f ca="1">IF(History!GQ$2="","",History!GQ45*$C$56)</f>
        <v/>
      </c>
      <c r="GN56" s="11" t="str">
        <f ca="1">IF(History!GR$2="","",History!GR45*$C$56)</f>
        <v/>
      </c>
      <c r="GO56" s="11" t="str">
        <f ca="1">IF(History!GS$2="","",History!GS45*$C$56)</f>
        <v/>
      </c>
      <c r="GP56" s="11" t="str">
        <f ca="1">IF(History!GT$2="","",History!GT45*$C$56)</f>
        <v/>
      </c>
      <c r="GQ56" s="11" t="str">
        <f ca="1">IF(History!GU$2="","",History!GU45*$C$56)</f>
        <v/>
      </c>
      <c r="GR56" s="11" t="str">
        <f ca="1">IF(History!GV$2="","",History!GV45*$C$56)</f>
        <v/>
      </c>
      <c r="GS56" s="11" t="str">
        <f ca="1">IF(History!GW$2="","",History!GW45*$C$56)</f>
        <v/>
      </c>
      <c r="GT56" s="11" t="str">
        <f ca="1">IF(History!GX$2="","",History!GX45*$C$56)</f>
        <v/>
      </c>
      <c r="GU56" s="11" t="str">
        <f ca="1">IF(History!GY$2="","",History!GY45*$C$56)</f>
        <v/>
      </c>
      <c r="GV56" s="11" t="str">
        <f ca="1">IF(History!GZ$2="","",History!GZ45*$C$56)</f>
        <v/>
      </c>
      <c r="GW56" s="11" t="str">
        <f ca="1">IF(History!HA$2="","",History!HA45*$C$56)</f>
        <v/>
      </c>
      <c r="GX56" s="11" t="str">
        <f ca="1">IF(History!HB$2="","",History!HB45*$C$56)</f>
        <v/>
      </c>
      <c r="GY56" s="11" t="str">
        <f ca="1">IF(History!HC$2="","",History!HC45*$C$56)</f>
        <v/>
      </c>
      <c r="GZ56" s="11" t="str">
        <f ca="1">IF(History!HD$2="","",History!HD45*$C$56)</f>
        <v/>
      </c>
      <c r="HA56" s="11" t="str">
        <f ca="1">IF(History!HE$2="","",History!HE45*$C$56)</f>
        <v/>
      </c>
      <c r="HB56" s="11" t="str">
        <f ca="1">IF(History!HF$2="","",History!HF45*$C$56)</f>
        <v/>
      </c>
      <c r="HC56" s="11" t="str">
        <f ca="1">IF(History!HG$2="","",History!HG45*$C$56)</f>
        <v/>
      </c>
      <c r="HD56" s="11" t="str">
        <f ca="1">IF(History!HH$2="","",History!HH45*$C$56)</f>
        <v/>
      </c>
      <c r="HE56" s="11" t="str">
        <f ca="1">IF(History!HI$2="","",History!HI45*$C$56)</f>
        <v/>
      </c>
      <c r="HF56" s="11" t="str">
        <f ca="1">IF(History!HJ$2="","",History!HJ45*$C$56)</f>
        <v/>
      </c>
      <c r="HG56" s="11" t="str">
        <f ca="1">IF(History!HK$2="","",History!HK45*$C$56)</f>
        <v/>
      </c>
      <c r="HH56" s="11" t="str">
        <f ca="1">IF(History!HL$2="","",History!HL45*$C$56)</f>
        <v/>
      </c>
      <c r="HI56" s="11" t="str">
        <f ca="1">IF(History!HM$2="","",History!HM45*$C$56)</f>
        <v/>
      </c>
      <c r="HJ56" s="11" t="str">
        <f ca="1">IF(History!HN$2="","",History!HN45*$C$56)</f>
        <v/>
      </c>
      <c r="HK56" s="11" t="str">
        <f ca="1">IF(History!HO$2="","",History!HO45*$C$56)</f>
        <v/>
      </c>
      <c r="HL56" s="11" t="str">
        <f ca="1">IF(History!HP$2="","",History!HP45*$C$56)</f>
        <v/>
      </c>
      <c r="HM56" s="11" t="str">
        <f ca="1">IF(History!HQ$2="","",History!HQ45*$C$56)</f>
        <v/>
      </c>
      <c r="HN56" s="11" t="str">
        <f ca="1">IF(History!HR$2="","",History!HR45*$C$56)</f>
        <v/>
      </c>
      <c r="HO56" s="11" t="str">
        <f ca="1">IF(History!HS$2="","",History!HS45*$C$56)</f>
        <v/>
      </c>
      <c r="HP56" s="11" t="str">
        <f ca="1">IF(History!HT$2="","",History!HT45*$C$56)</f>
        <v/>
      </c>
      <c r="HQ56" s="11" t="str">
        <f ca="1">IF(History!HU$2="","",History!HU45*$C$56)</f>
        <v/>
      </c>
      <c r="HR56" s="11" t="str">
        <f ca="1">IF(History!HV$2="","",History!HV45*$C$56)</f>
        <v/>
      </c>
      <c r="HS56" s="11" t="str">
        <f ca="1">IF(History!HW$2="","",History!HW45*$C$56)</f>
        <v/>
      </c>
      <c r="HT56" s="11" t="str">
        <f ca="1">IF(History!HX$2="","",History!HX45*$C$56)</f>
        <v/>
      </c>
      <c r="HU56" s="11" t="str">
        <f ca="1">IF(History!HY$2="","",History!HY45*$C$56)</f>
        <v/>
      </c>
      <c r="HV56" s="11" t="str">
        <f ca="1">IF(History!HZ$2="","",History!HZ45*$C$56)</f>
        <v/>
      </c>
      <c r="HW56" s="11" t="str">
        <f ca="1">IF(History!IA$2="","",History!IA45*$C$56)</f>
        <v/>
      </c>
      <c r="HX56" s="11" t="str">
        <f ca="1">IF(History!IB$2="","",History!IB45*$C$56)</f>
        <v/>
      </c>
      <c r="HY56" s="11" t="str">
        <f ca="1">IF(History!IC$2="","",History!IC45*$C$56)</f>
        <v/>
      </c>
      <c r="HZ56" s="11" t="str">
        <f ca="1">IF(History!ID$2="","",History!ID45*$C$56)</f>
        <v/>
      </c>
      <c r="IA56" s="11" t="str">
        <f ca="1">IF(History!IE$2="","",History!IE45*$C$56)</f>
        <v/>
      </c>
      <c r="IB56" s="11" t="str">
        <f ca="1">IF(History!IF$2="","",History!IF45*$C$56)</f>
        <v/>
      </c>
      <c r="IC56" s="11" t="str">
        <f ca="1">IF(History!IG$2="","",History!IG45*$C$56)</f>
        <v/>
      </c>
      <c r="ID56" s="11" t="str">
        <f ca="1">IF(History!IH$2="","",History!IH45*$C$56)</f>
        <v/>
      </c>
      <c r="IE56" s="11" t="str">
        <f ca="1">IF(History!II$2="","",History!II45*$C$56)</f>
        <v/>
      </c>
      <c r="IF56" s="11" t="str">
        <f ca="1">IF(History!IJ$2="","",History!IJ45*$C$56)</f>
        <v/>
      </c>
      <c r="IG56" s="11" t="str">
        <f ca="1">IF(History!IK$2="","",History!IK45*$C$56)</f>
        <v/>
      </c>
      <c r="IH56" s="11" t="str">
        <f ca="1">IF(History!IL$2="","",History!IL45*$C$56)</f>
        <v/>
      </c>
      <c r="II56" s="11" t="str">
        <f ca="1">IF(History!IM$2="","",History!IM45*$C$56)</f>
        <v/>
      </c>
      <c r="IJ56" s="11" t="str">
        <f ca="1">IF(History!IN$2="","",History!IN45*$C$56)</f>
        <v/>
      </c>
      <c r="IK56" s="11" t="str">
        <f ca="1">IF(History!IO$2="","",History!IO45*$C$56)</f>
        <v/>
      </c>
      <c r="IL56" s="11" t="str">
        <f ca="1">IF(History!IP$2="","",History!IP45*$C$56)</f>
        <v/>
      </c>
      <c r="IM56" s="11" t="str">
        <f ca="1">IF(History!IQ$2="","",History!IQ45*$C$56)</f>
        <v/>
      </c>
      <c r="IN56" s="11" t="str">
        <f ca="1">IF(History!IR$2="","",History!IR45*$C$56)</f>
        <v/>
      </c>
      <c r="IO56" s="11" t="str">
        <f ca="1">IF(History!IS$2="","",History!IS45*$C$56)</f>
        <v/>
      </c>
      <c r="IP56" s="11" t="str">
        <f ca="1">IF(History!IT$2="","",History!IT45*$C$56)</f>
        <v/>
      </c>
      <c r="IQ56" s="11" t="str">
        <f ca="1">IF(History!IU$2="","",History!IU45*$C$56)</f>
        <v/>
      </c>
      <c r="IR56" s="11" t="str">
        <f ca="1">IF(History!IV$2="","",History!IV45*$C$56)</f>
        <v/>
      </c>
      <c r="IS56" s="11" t="str">
        <f ca="1">IF(History!IW$2="","",History!IW45*$C$56)</f>
        <v/>
      </c>
      <c r="IT56" s="11" t="str">
        <f ca="1">IF(History!IX$2="","",History!IX45*$C$56)</f>
        <v/>
      </c>
      <c r="IU56" s="11" t="str">
        <f ca="1">IF(History!IY$2="","",History!IY45*$C$56)</f>
        <v/>
      </c>
      <c r="IV56" s="11" t="str">
        <f ca="1">IF(History!IZ$2="","",History!IZ45*$C$56)</f>
        <v/>
      </c>
      <c r="IW56" s="11" t="str">
        <f ca="1">IF(History!JA$2="","",History!JA45*$C$56)</f>
        <v/>
      </c>
      <c r="IX56" s="11" t="str">
        <f ca="1">IF(History!JB$2="","",History!JB45*$C$56)</f>
        <v/>
      </c>
      <c r="IY56" s="11" t="str">
        <f ca="1">IF(History!JC$2="","",History!JC45*$C$56)</f>
        <v/>
      </c>
      <c r="IZ56" s="11" t="str">
        <f ca="1">IF(History!JD$2="","",History!JD45*$C$56)</f>
        <v/>
      </c>
      <c r="JA56" s="11" t="str">
        <f ca="1">IF(History!JE$2="","",History!JE45*$C$56)</f>
        <v/>
      </c>
      <c r="JB56" s="11" t="str">
        <f ca="1">IF(History!JF$2="","",History!JF45*$C$56)</f>
        <v/>
      </c>
      <c r="JC56" s="11" t="str">
        <f ca="1">IF(History!JG$2="","",History!JG45*$C$56)</f>
        <v/>
      </c>
      <c r="JD56" s="11" t="str">
        <f ca="1">IF(History!JH$2="","",History!JH45*$C$56)</f>
        <v/>
      </c>
      <c r="JE56" s="11" t="str">
        <f ca="1">IF(History!JI$2="","",History!JI45*$C$56)</f>
        <v/>
      </c>
      <c r="JF56" s="11" t="str">
        <f ca="1">IF(History!JJ$2="","",History!JJ45*$C$56)</f>
        <v/>
      </c>
      <c r="JG56" s="11" t="str">
        <f ca="1">IF(History!JK$2="","",History!JK45*$C$56)</f>
        <v/>
      </c>
      <c r="JH56" s="11" t="str">
        <f ca="1">IF(History!JL$2="","",History!JL45*$C$56)</f>
        <v/>
      </c>
      <c r="JI56" s="11" t="str">
        <f ca="1">IF(History!JM$2="","",History!JM45*$C$56)</f>
        <v/>
      </c>
      <c r="JJ56" s="11" t="str">
        <f ca="1">IF(History!JN$2="","",History!JN45*$C$56)</f>
        <v/>
      </c>
      <c r="JK56" s="11" t="str">
        <f ca="1">IF(History!JO$2="","",History!JO45*$C$56)</f>
        <v/>
      </c>
      <c r="JL56" s="11" t="str">
        <f ca="1">IF(History!JP$2="","",History!JP45*$C$56)</f>
        <v/>
      </c>
      <c r="JM56" s="11" t="str">
        <f ca="1">IF(History!JQ$2="","",History!JQ45*$C$56)</f>
        <v/>
      </c>
      <c r="JN56" s="11" t="str">
        <f ca="1">IF(History!JR$2="","",History!JR45*$C$56)</f>
        <v/>
      </c>
      <c r="JO56" s="11" t="str">
        <f ca="1">IF(History!JS$2="","",History!JS45*$C$56)</f>
        <v/>
      </c>
      <c r="JP56" s="11" t="str">
        <f ca="1">IF(History!JT$2="","",History!JT45*$C$56)</f>
        <v/>
      </c>
      <c r="JQ56" s="11" t="str">
        <f ca="1">IF(History!JU$2="","",History!JU45*$C$56)</f>
        <v/>
      </c>
      <c r="JR56" s="11" t="str">
        <f ca="1">IF(History!JV$2="","",History!JV45*$C$56)</f>
        <v/>
      </c>
      <c r="JS56" s="11" t="str">
        <f ca="1">IF(History!JW$2="","",History!JW45*$C$56)</f>
        <v/>
      </c>
      <c r="JT56" s="11" t="str">
        <f ca="1">IF(History!JX$2="","",History!JX45*$C$56)</f>
        <v/>
      </c>
      <c r="JU56" s="11" t="str">
        <f ca="1">IF(History!JY$2="","",History!JY45*$C$56)</f>
        <v/>
      </c>
      <c r="JV56" s="11" t="str">
        <f ca="1">IF(History!JZ$2="","",History!JZ45*$C$56)</f>
        <v/>
      </c>
      <c r="JW56" s="11" t="str">
        <f ca="1">IF(History!KA$2="","",History!KA45*$C$56)</f>
        <v/>
      </c>
      <c r="JX56" s="11" t="str">
        <f ca="1">IF(History!KB$2="","",History!KB45*$C$56)</f>
        <v/>
      </c>
      <c r="JY56" s="11" t="str">
        <f ca="1">IF(History!KC$2="","",History!KC45*$C$56)</f>
        <v/>
      </c>
      <c r="JZ56" s="11" t="str">
        <f ca="1">IF(History!KD$2="","",History!KD45*$C$56)</f>
        <v/>
      </c>
      <c r="KA56" s="11" t="str">
        <f ca="1">IF(History!KE$2="","",History!KE45*$C$56)</f>
        <v/>
      </c>
      <c r="KB56" s="11" t="str">
        <f ca="1">IF(History!KF$2="","",History!KF45*$C$56)</f>
        <v/>
      </c>
    </row>
    <row r="57" spans="1:288" ht="15.75" customHeight="1">
      <c r="A57" s="22" t="s">
        <v>30</v>
      </c>
      <c r="B57" s="6" t="s">
        <v>88</v>
      </c>
      <c r="C57" s="26">
        <v>9</v>
      </c>
      <c r="D57" s="11">
        <f ca="1">IF(History!H$2="","",History!H46*$C$57)</f>
        <v>214.74</v>
      </c>
      <c r="E57" s="11">
        <f ca="1">IF(History!I$2="","",History!I46*$C$57)</f>
        <v>213.12</v>
      </c>
      <c r="F57" s="11">
        <f ca="1">IF(History!J$2="","",History!J46*$C$57)</f>
        <v>214.65</v>
      </c>
      <c r="G57" s="11">
        <f ca="1">IF(History!K$2="","",History!K46*$C$57)</f>
        <v>221.31</v>
      </c>
      <c r="H57" s="11">
        <f ca="1">IF(History!L$2="","",History!L46*$C$57)</f>
        <v>205.83</v>
      </c>
      <c r="I57" s="11">
        <f ca="1">IF(History!M$2="","",History!M46*$C$57)</f>
        <v>204.66</v>
      </c>
      <c r="J57" s="11">
        <f ca="1">IF(History!N$2="","",History!N46*$C$57)</f>
        <v>206.28000000000003</v>
      </c>
      <c r="K57" s="11">
        <f ca="1">IF(History!O$2="","",History!O46*$C$57)</f>
        <v>201.33</v>
      </c>
      <c r="L57" s="11">
        <f ca="1">IF(History!P$2="","",History!P46*$C$57)</f>
        <v>205.56</v>
      </c>
      <c r="M57" s="11">
        <f ca="1">IF(History!Q$2="","",History!Q46*$C$57)</f>
        <v>229.23</v>
      </c>
      <c r="N57" s="11">
        <f ca="1">IF(History!R$2="","",History!R46*$C$57)</f>
        <v>224.73</v>
      </c>
      <c r="O57" s="11">
        <f ca="1">IF(History!S$2="","",History!S46*$C$57)</f>
        <v>214.38</v>
      </c>
      <c r="P57" s="11">
        <f ca="1">IF(History!T$2="","",History!T46*$C$57)</f>
        <v>210.15</v>
      </c>
      <c r="Q57" s="11">
        <f ca="1">IF(History!U$2="","",History!U46*$C$57)</f>
        <v>214.65</v>
      </c>
      <c r="R57" s="11">
        <f ca="1">IF(History!V$2="","",History!V46*$C$57)</f>
        <v>218.43</v>
      </c>
      <c r="S57" s="11">
        <f ca="1">IF(History!W$2="","",History!W46*$C$57)</f>
        <v>220.68</v>
      </c>
      <c r="T57" s="11">
        <f ca="1">IF(History!X$2="","",History!X46*$C$57)</f>
        <v>214.10999999999999</v>
      </c>
      <c r="U57" s="11">
        <f ca="1">IF(History!Y$2="","",History!Y46*$C$57)</f>
        <v>207.9</v>
      </c>
      <c r="V57" s="11">
        <f ca="1">IF(History!Z$2="","",History!Z46*$C$57)</f>
        <v>203.4</v>
      </c>
      <c r="W57" s="11">
        <f ca="1">IF(History!AA$2="","",History!AA46*$C$57)</f>
        <v>206.64000000000001</v>
      </c>
      <c r="X57" s="11">
        <f ca="1">IF(History!AB$2="","",History!AB46*$C$57)</f>
        <v>214.02</v>
      </c>
      <c r="Y57" s="11">
        <f ca="1">IF(History!AC$2="","",History!AC46*$C$57)</f>
        <v>217.53000000000003</v>
      </c>
      <c r="Z57" s="11">
        <f ca="1">IF(History!AD$2="","",History!AD46*$C$57)</f>
        <v>210.33</v>
      </c>
      <c r="AA57" s="11">
        <f ca="1">IF(History!AE$2="","",History!AE46*$C$57)</f>
        <v>203.31</v>
      </c>
      <c r="AB57" s="11">
        <f ca="1">IF(History!AF$2="","",History!AF46*$C$57)</f>
        <v>203.58</v>
      </c>
      <c r="AC57" s="11">
        <f ca="1">IF(History!AG$2="","",History!AG46*$C$57)</f>
        <v>214.56</v>
      </c>
      <c r="AD57" s="11">
        <f ca="1">IF(History!AH$2="","",History!AH46*$C$57)</f>
        <v>210.78000000000003</v>
      </c>
      <c r="AE57" s="11">
        <f ca="1">IF(History!AI$2="","",History!AI46*$C$57)</f>
        <v>205.10999999999999</v>
      </c>
      <c r="AF57" s="11">
        <f ca="1">IF(History!AJ$2="","",History!AJ46*$C$57)</f>
        <v>192.87</v>
      </c>
      <c r="AG57" s="11">
        <f ca="1">IF(History!AK$2="","",History!AK46*$C$57)</f>
        <v>176.21999999999997</v>
      </c>
      <c r="AH57" s="11">
        <f ca="1">IF(History!AL$2="","",History!AL46*$C$57)</f>
        <v>172.26</v>
      </c>
      <c r="AI57" s="11">
        <f ca="1">IF(History!AM$2="","",History!AM46*$C$57)</f>
        <v>167.76</v>
      </c>
      <c r="AJ57" s="11">
        <f ca="1">IF(History!AN$2="","",History!AN46*$C$57)</f>
        <v>171.35999999999999</v>
      </c>
      <c r="AK57" s="11">
        <f ca="1">IF(History!AO$2="","",History!AO46*$C$57)</f>
        <v>165.06</v>
      </c>
      <c r="AL57" s="11">
        <f ca="1">IF(History!AP$2="","",History!AP46*$C$57)</f>
        <v>161.72999999999999</v>
      </c>
      <c r="AM57" s="11">
        <f ca="1">IF(History!AQ$2="","",History!AQ46*$C$57)</f>
        <v>174.87</v>
      </c>
      <c r="AN57" s="11">
        <f ca="1">IF(History!AR$2="","",History!AR46*$C$57)</f>
        <v>171.18</v>
      </c>
      <c r="AO57" s="11">
        <f ca="1">IF(History!AS$2="","",History!AS46*$C$57)</f>
        <v>169.92</v>
      </c>
      <c r="AP57" s="11">
        <f ca="1">IF(History!AT$2="","",History!AT46*$C$57)</f>
        <v>158.31</v>
      </c>
      <c r="AQ57" s="11">
        <f ca="1">IF(History!AU$2="","",History!AU46*$C$57)</f>
        <v>168.03000000000003</v>
      </c>
      <c r="AR57" s="11">
        <f ca="1">IF(History!AV$2="","",History!AV46*$C$57)</f>
        <v>178.65</v>
      </c>
      <c r="AS57" s="11">
        <f ca="1">IF(History!AW$2="","",History!AW46*$C$57)</f>
        <v>170.46</v>
      </c>
      <c r="AT57" s="11">
        <f ca="1">IF(History!AX$2="","",History!AX46*$C$57)</f>
        <v>166.68</v>
      </c>
      <c r="AU57" s="11">
        <f ca="1">IF(History!AY$2="","",History!AY46*$C$57)</f>
        <v>171.63</v>
      </c>
      <c r="AV57" s="11">
        <f ca="1">IF(History!AZ$2="","",History!AZ46*$C$57)</f>
        <v>170.37</v>
      </c>
      <c r="AW57" s="11">
        <f ca="1">IF(History!BA$2="","",History!BA46*$C$57)</f>
        <v>176.04</v>
      </c>
      <c r="AX57" s="11">
        <f ca="1">IF(History!BB$2="","",History!BB46*$C$57)</f>
        <v>178.92</v>
      </c>
      <c r="AY57" s="11">
        <f ca="1">IF(History!BC$2="","",History!BC46*$C$57)</f>
        <v>178.74</v>
      </c>
      <c r="AZ57" s="11">
        <f ca="1">IF(History!BD$2="","",History!BD46*$C$57)</f>
        <v>177.48</v>
      </c>
      <c r="BA57" s="11">
        <f ca="1">IF(History!BE$2="","",History!BE46*$C$57)</f>
        <v>189.54</v>
      </c>
      <c r="BB57" s="11">
        <f ca="1">IF(History!BF$2="","",History!BF46*$C$57)</f>
        <v>181.98</v>
      </c>
      <c r="BC57" s="11">
        <f ca="1">IF(History!BG$2="","",History!BG46*$C$57)</f>
        <v>181.35</v>
      </c>
      <c r="BD57" s="11">
        <f ca="1">IF(History!BH$2="","",History!BH46*$C$57)</f>
        <v>174.33</v>
      </c>
      <c r="BE57" s="11">
        <f ca="1">IF(History!BI$2="","",History!BI46*$C$57)</f>
        <v>183.69</v>
      </c>
      <c r="BF57" s="11">
        <f ca="1">IF(History!BJ$2="","",History!BJ46*$C$57)</f>
        <v>170.64000000000001</v>
      </c>
      <c r="BG57" s="11">
        <f ca="1">IF(History!BK$2="","",History!BK46*$C$57)</f>
        <v>152.72999999999999</v>
      </c>
      <c r="BH57" s="11">
        <f ca="1">IF(History!BL$2="","",History!BL46*$C$57)</f>
        <v>138.69</v>
      </c>
      <c r="BI57" s="11">
        <f ca="1">IF(History!BM$2="","",History!BM46*$C$57)</f>
        <v>135.54</v>
      </c>
      <c r="BJ57" s="11">
        <f ca="1">IF(History!BN$2="","",History!BN46*$C$57)</f>
        <v>140.31</v>
      </c>
      <c r="BK57" s="11">
        <f ca="1">IF(History!BO$2="","",History!BO46*$C$57)</f>
        <v>136.07999999999998</v>
      </c>
      <c r="BL57" s="11">
        <f ca="1">IF(History!BP$2="","",History!BP46*$C$57)</f>
        <v>135</v>
      </c>
      <c r="BM57" s="11">
        <f ca="1">IF(History!BQ$2="","",History!BQ46*$C$57)</f>
        <v>138.78</v>
      </c>
      <c r="BN57" s="11">
        <f ca="1">IF(History!BR$2="","",History!BR46*$C$57)</f>
        <v>148.95000000000002</v>
      </c>
      <c r="BO57" s="11">
        <f ca="1">IF(History!BS$2="","",History!BS46*$C$57)</f>
        <v>148.95000000000002</v>
      </c>
      <c r="BP57" s="11">
        <f ca="1">IF(History!BT$2="","",History!BT46*$C$57)</f>
        <v>147.06</v>
      </c>
      <c r="BQ57" s="11">
        <f ca="1">IF(History!BU$2="","",History!BU46*$C$57)</f>
        <v>149.04</v>
      </c>
      <c r="BR57" s="11">
        <f ca="1">IF(History!BV$2="","",History!BV46*$C$57)</f>
        <v>144.54</v>
      </c>
      <c r="BS57" s="11">
        <f ca="1">IF(History!BW$2="","",History!BW46*$C$57)</f>
        <v>142.47</v>
      </c>
      <c r="BT57" s="11">
        <f ca="1">IF(History!BX$2="","",History!BX46*$C$57)</f>
        <v>149.94</v>
      </c>
      <c r="BU57" s="11">
        <f ca="1">IF(History!BY$2="","",History!BY46*$C$57)</f>
        <v>148.85999999999999</v>
      </c>
      <c r="BV57" s="11">
        <f ca="1">IF(History!BZ$2="","",History!BZ46*$C$57)</f>
        <v>149.04</v>
      </c>
      <c r="BW57" s="11">
        <f ca="1">IF(History!CA$2="","",History!CA46*$C$57)</f>
        <v>143.37</v>
      </c>
      <c r="BX57" s="11">
        <f ca="1">IF(History!CB$2="","",History!CB46*$C$57)</f>
        <v>146.43</v>
      </c>
      <c r="BY57" s="11">
        <f ca="1">IF(History!CC$2="","",History!CC46*$C$57)</f>
        <v>141.12</v>
      </c>
      <c r="BZ57" s="11">
        <f ca="1">IF(History!CD$2="","",History!CD46*$C$57)</f>
        <v>140.76</v>
      </c>
      <c r="CA57" s="11">
        <f ca="1">IF(History!CE$2="","",History!CE46*$C$57)</f>
        <v>147.33000000000001</v>
      </c>
      <c r="CB57" s="11">
        <f ca="1">IF(History!CF$2="","",History!CF46*$C$57)</f>
        <v>140.85</v>
      </c>
      <c r="CC57" s="11">
        <f ca="1">IF(History!CG$2="","",History!CG46*$C$57)</f>
        <v>142.01999999999998</v>
      </c>
      <c r="CD57" s="11">
        <f ca="1">IF(History!CH$2="","",History!CH46*$C$57)</f>
        <v>143.19</v>
      </c>
      <c r="CE57" s="11">
        <f ca="1">IF(History!CI$2="","",History!CI46*$C$57)</f>
        <v>150.21</v>
      </c>
      <c r="CF57" s="11" t="str">
        <f ca="1">IF(History!CJ$2="","",History!CJ46*$C$57)</f>
        <v/>
      </c>
      <c r="CG57" s="11" t="str">
        <f ca="1">IF(History!CK$2="","",History!CK46*$C$57)</f>
        <v/>
      </c>
      <c r="CH57" s="11" t="str">
        <f ca="1">IF(History!CL$2="","",History!CL46*$C$57)</f>
        <v/>
      </c>
      <c r="CI57" s="11" t="str">
        <f ca="1">IF(History!CM$2="","",History!CM46*$C$57)</f>
        <v/>
      </c>
      <c r="CJ57" s="11" t="str">
        <f ca="1">IF(History!CN$2="","",History!CN46*$C$57)</f>
        <v/>
      </c>
      <c r="CK57" s="11" t="str">
        <f ca="1">IF(History!CO$2="","",History!CO46*$C$57)</f>
        <v/>
      </c>
      <c r="CL57" s="11" t="str">
        <f ca="1">IF(History!CP$2="","",History!CP46*$C$57)</f>
        <v/>
      </c>
      <c r="CM57" s="11" t="str">
        <f ca="1">IF(History!CQ$2="","",History!CQ46*$C$57)</f>
        <v/>
      </c>
      <c r="CN57" s="11" t="str">
        <f ca="1">IF(History!CR$2="","",History!CR46*$C$57)</f>
        <v/>
      </c>
      <c r="CO57" s="11" t="str">
        <f ca="1">IF(History!CS$2="","",History!CS46*$C$57)</f>
        <v/>
      </c>
      <c r="CP57" s="11" t="str">
        <f ca="1">IF(History!CT$2="","",History!CT46*$C$57)</f>
        <v/>
      </c>
      <c r="CQ57" s="11" t="str">
        <f ca="1">IF(History!CU$2="","",History!CU46*$C$57)</f>
        <v/>
      </c>
      <c r="CR57" s="11" t="str">
        <f ca="1">IF(History!CV$2="","",History!CV46*$C$57)</f>
        <v/>
      </c>
      <c r="CS57" s="11" t="str">
        <f ca="1">IF(History!CW$2="","",History!CW46*$C$57)</f>
        <v/>
      </c>
      <c r="CT57" s="11" t="str">
        <f ca="1">IF(History!CX$2="","",History!CX46*$C$57)</f>
        <v/>
      </c>
      <c r="CU57" s="11" t="str">
        <f ca="1">IF(History!CY$2="","",History!CY46*$C$57)</f>
        <v/>
      </c>
      <c r="CV57" s="11" t="str">
        <f ca="1">IF(History!CZ$2="","",History!CZ46*$C$57)</f>
        <v/>
      </c>
      <c r="CW57" s="11" t="str">
        <f ca="1">IF(History!DA$2="","",History!DA46*$C$57)</f>
        <v/>
      </c>
      <c r="CX57" s="11" t="str">
        <f ca="1">IF(History!DB$2="","",History!DB46*$C$57)</f>
        <v/>
      </c>
      <c r="CY57" s="11" t="str">
        <f ca="1">IF(History!DC$2="","",History!DC46*$C$57)</f>
        <v/>
      </c>
      <c r="CZ57" s="11" t="str">
        <f ca="1">IF(History!DD$2="","",History!DD46*$C$57)</f>
        <v/>
      </c>
      <c r="DA57" s="11" t="str">
        <f ca="1">IF(History!DE$2="","",History!DE46*$C$57)</f>
        <v/>
      </c>
      <c r="DB57" s="11" t="str">
        <f ca="1">IF(History!DF$2="","",History!DF46*$C$57)</f>
        <v/>
      </c>
      <c r="DC57" s="11" t="str">
        <f ca="1">IF(History!DG$2="","",History!DG46*$C$57)</f>
        <v/>
      </c>
      <c r="DD57" s="11" t="str">
        <f ca="1">IF(History!DH$2="","",History!DH46*$C$57)</f>
        <v/>
      </c>
      <c r="DE57" s="11" t="str">
        <f ca="1">IF(History!DI$2="","",History!DI46*$C$57)</f>
        <v/>
      </c>
      <c r="DF57" s="11" t="str">
        <f ca="1">IF(History!DJ$2="","",History!DJ46*$C$57)</f>
        <v/>
      </c>
      <c r="DG57" s="11" t="str">
        <f ca="1">IF(History!DK$2="","",History!DK46*$C$57)</f>
        <v/>
      </c>
      <c r="DH57" s="11" t="str">
        <f ca="1">IF(History!DL$2="","",History!DL46*$C$57)</f>
        <v/>
      </c>
      <c r="DI57" s="11" t="str">
        <f ca="1">IF(History!DM$2="","",History!DM46*$C$57)</f>
        <v/>
      </c>
      <c r="DJ57" s="11" t="str">
        <f ca="1">IF(History!DN$2="","",History!DN46*$C$57)</f>
        <v/>
      </c>
      <c r="DK57" s="11" t="str">
        <f ca="1">IF(History!DO$2="","",History!DO46*$C$57)</f>
        <v/>
      </c>
      <c r="DL57" s="11" t="str">
        <f ca="1">IF(History!DP$2="","",History!DP46*$C$57)</f>
        <v/>
      </c>
      <c r="DM57" s="11" t="str">
        <f ca="1">IF(History!DQ$2="","",History!DQ46*$C$57)</f>
        <v/>
      </c>
      <c r="DN57" s="11" t="str">
        <f ca="1">IF(History!DR$2="","",History!DR46*$C$57)</f>
        <v/>
      </c>
      <c r="DO57" s="11" t="str">
        <f ca="1">IF(History!DS$2="","",History!DS46*$C$57)</f>
        <v/>
      </c>
      <c r="DP57" s="11" t="str">
        <f ca="1">IF(History!DT$2="","",History!DT46*$C$57)</f>
        <v/>
      </c>
      <c r="DQ57" s="11" t="str">
        <f ca="1">IF(History!DU$2="","",History!DU46*$C$57)</f>
        <v/>
      </c>
      <c r="DR57" s="11" t="str">
        <f ca="1">IF(History!DV$2="","",History!DV46*$C$57)</f>
        <v/>
      </c>
      <c r="DS57" s="11" t="str">
        <f ca="1">IF(History!DW$2="","",History!DW46*$C$57)</f>
        <v/>
      </c>
      <c r="DT57" s="11" t="str">
        <f ca="1">IF(History!DX$2="","",History!DX46*$C$57)</f>
        <v/>
      </c>
      <c r="DU57" s="11" t="str">
        <f ca="1">IF(History!DY$2="","",History!DY46*$C$57)</f>
        <v/>
      </c>
      <c r="DV57" s="11" t="str">
        <f ca="1">IF(History!DZ$2="","",History!DZ46*$C$57)</f>
        <v/>
      </c>
      <c r="DW57" s="11" t="str">
        <f ca="1">IF(History!EA$2="","",History!EA46*$C$57)</f>
        <v/>
      </c>
      <c r="DX57" s="11" t="str">
        <f ca="1">IF(History!EB$2="","",History!EB46*$C$57)</f>
        <v/>
      </c>
      <c r="DY57" s="11" t="str">
        <f ca="1">IF(History!EC$2="","",History!EC46*$C$57)</f>
        <v/>
      </c>
      <c r="DZ57" s="11" t="str">
        <f ca="1">IF(History!ED$2="","",History!ED46*$C$57)</f>
        <v/>
      </c>
      <c r="EA57" s="11" t="str">
        <f ca="1">IF(History!EE$2="","",History!EE46*$C$57)</f>
        <v/>
      </c>
      <c r="EB57" s="11" t="str">
        <f ca="1">IF(History!EF$2="","",History!EF46*$C$57)</f>
        <v/>
      </c>
      <c r="EC57" s="11" t="str">
        <f ca="1">IF(History!EG$2="","",History!EG46*$C$57)</f>
        <v/>
      </c>
      <c r="ED57" s="11" t="str">
        <f ca="1">IF(History!EH$2="","",History!EH46*$C$57)</f>
        <v/>
      </c>
      <c r="EE57" s="11" t="str">
        <f ca="1">IF(History!EI$2="","",History!EI46*$C$57)</f>
        <v/>
      </c>
      <c r="EF57" s="11" t="str">
        <f ca="1">IF(History!EJ$2="","",History!EJ46*$C$57)</f>
        <v/>
      </c>
      <c r="EG57" s="11" t="str">
        <f ca="1">IF(History!EK$2="","",History!EK46*$C$57)</f>
        <v/>
      </c>
      <c r="EH57" s="11" t="str">
        <f ca="1">IF(History!EL$2="","",History!EL46*$C$57)</f>
        <v/>
      </c>
      <c r="EI57" s="11" t="str">
        <f ca="1">IF(History!EM$2="","",History!EM46*$C$57)</f>
        <v/>
      </c>
      <c r="EJ57" s="11" t="str">
        <f ca="1">IF(History!EN$2="","",History!EN46*$C$57)</f>
        <v/>
      </c>
      <c r="EK57" s="11" t="str">
        <f ca="1">IF(History!EO$2="","",History!EO46*$C$57)</f>
        <v/>
      </c>
      <c r="EL57" s="11" t="str">
        <f ca="1">IF(History!EP$2="","",History!EP46*$C$57)</f>
        <v/>
      </c>
      <c r="EM57" s="11" t="str">
        <f ca="1">IF(History!EQ$2="","",History!EQ46*$C$57)</f>
        <v/>
      </c>
      <c r="EN57" s="11" t="str">
        <f ca="1">IF(History!ER$2="","",History!ER46*$C$57)</f>
        <v/>
      </c>
      <c r="EO57" s="11" t="str">
        <f ca="1">IF(History!ES$2="","",History!ES46*$C$57)</f>
        <v/>
      </c>
      <c r="EP57" s="11" t="str">
        <f ca="1">IF(History!ET$2="","",History!ET46*$C$57)</f>
        <v/>
      </c>
      <c r="EQ57" s="11" t="str">
        <f ca="1">IF(History!EU$2="","",History!EU46*$C$57)</f>
        <v/>
      </c>
      <c r="ER57" s="11" t="str">
        <f ca="1">IF(History!EV$2="","",History!EV46*$C$57)</f>
        <v/>
      </c>
      <c r="ES57" s="11" t="str">
        <f ca="1">IF(History!EW$2="","",History!EW46*$C$57)</f>
        <v/>
      </c>
      <c r="ET57" s="11" t="str">
        <f ca="1">IF(History!EX$2="","",History!EX46*$C$57)</f>
        <v/>
      </c>
      <c r="EU57" s="11" t="str">
        <f ca="1">IF(History!EY$2="","",History!EY46*$C$57)</f>
        <v/>
      </c>
      <c r="EV57" s="11" t="str">
        <f ca="1">IF(History!EZ$2="","",History!EZ46*$C$57)</f>
        <v/>
      </c>
      <c r="EW57" s="11" t="str">
        <f ca="1">IF(History!FA$2="","",History!FA46*$C$57)</f>
        <v/>
      </c>
      <c r="EX57" s="11" t="str">
        <f ca="1">IF(History!FB$2="","",History!FB46*$C$57)</f>
        <v/>
      </c>
      <c r="EY57" s="11" t="str">
        <f ca="1">IF(History!FC$2="","",History!FC46*$C$57)</f>
        <v/>
      </c>
      <c r="EZ57" s="11" t="str">
        <f ca="1">IF(History!FD$2="","",History!FD46*$C$57)</f>
        <v/>
      </c>
      <c r="FA57" s="11" t="str">
        <f ca="1">IF(History!FE$2="","",History!FE46*$C$57)</f>
        <v/>
      </c>
      <c r="FB57" s="11" t="str">
        <f ca="1">IF(History!FF$2="","",History!FF46*$C$57)</f>
        <v/>
      </c>
      <c r="FC57" s="11" t="str">
        <f ca="1">IF(History!FG$2="","",History!FG46*$C$57)</f>
        <v/>
      </c>
      <c r="FD57" s="11" t="str">
        <f ca="1">IF(History!FH$2="","",History!FH46*$C$57)</f>
        <v/>
      </c>
      <c r="FE57" s="11" t="str">
        <f ca="1">IF(History!FI$2="","",History!FI46*$C$57)</f>
        <v/>
      </c>
      <c r="FF57" s="11" t="str">
        <f ca="1">IF(History!FJ$2="","",History!FJ46*$C$57)</f>
        <v/>
      </c>
      <c r="FG57" s="11" t="str">
        <f ca="1">IF(History!FK$2="","",History!FK46*$C$57)</f>
        <v/>
      </c>
      <c r="FH57" s="11" t="str">
        <f ca="1">IF(History!FL$2="","",History!FL46*$C$57)</f>
        <v/>
      </c>
      <c r="FI57" s="11" t="str">
        <f ca="1">IF(History!FM$2="","",History!FM46*$C$57)</f>
        <v/>
      </c>
      <c r="FJ57" s="11" t="str">
        <f ca="1">IF(History!FN$2="","",History!FN46*$C$57)</f>
        <v/>
      </c>
      <c r="FK57" s="11" t="str">
        <f ca="1">IF(History!FO$2="","",History!FO46*$C$57)</f>
        <v/>
      </c>
      <c r="FL57" s="11" t="str">
        <f ca="1">IF(History!FP$2="","",History!FP46*$C$57)</f>
        <v/>
      </c>
      <c r="FM57" s="11" t="str">
        <f ca="1">IF(History!FQ$2="","",History!FQ46*$C$57)</f>
        <v/>
      </c>
      <c r="FN57" s="11" t="str">
        <f ca="1">IF(History!FR$2="","",History!FR46*$C$57)</f>
        <v/>
      </c>
      <c r="FO57" s="11" t="str">
        <f ca="1">IF(History!FS$2="","",History!FS46*$C$57)</f>
        <v/>
      </c>
      <c r="FP57" s="11" t="str">
        <f ca="1">IF(History!FT$2="","",History!FT46*$C$57)</f>
        <v/>
      </c>
      <c r="FQ57" s="11" t="str">
        <f ca="1">IF(History!FU$2="","",History!FU46*$C$57)</f>
        <v/>
      </c>
      <c r="FR57" s="11" t="str">
        <f ca="1">IF(History!FV$2="","",History!FV46*$C$57)</f>
        <v/>
      </c>
      <c r="FS57" s="11" t="str">
        <f ca="1">IF(History!FW$2="","",History!FW46*$C$57)</f>
        <v/>
      </c>
      <c r="FT57" s="11" t="str">
        <f ca="1">IF(History!FX$2="","",History!FX46*$C$57)</f>
        <v/>
      </c>
      <c r="FU57" s="11" t="str">
        <f ca="1">IF(History!FY$2="","",History!FY46*$C$57)</f>
        <v/>
      </c>
      <c r="FV57" s="11" t="str">
        <f ca="1">IF(History!FZ$2="","",History!FZ46*$C$57)</f>
        <v/>
      </c>
      <c r="FW57" s="11" t="str">
        <f ca="1">IF(History!GA$2="","",History!GA46*$C$57)</f>
        <v/>
      </c>
      <c r="FX57" s="11" t="str">
        <f ca="1">IF(History!GB$2="","",History!GB46*$C$57)</f>
        <v/>
      </c>
      <c r="FY57" s="11" t="str">
        <f ca="1">IF(History!GC$2="","",History!GC46*$C$57)</f>
        <v/>
      </c>
      <c r="FZ57" s="11" t="str">
        <f ca="1">IF(History!GD$2="","",History!GD46*$C$57)</f>
        <v/>
      </c>
      <c r="GA57" s="11" t="str">
        <f ca="1">IF(History!GE$2="","",History!GE46*$C$57)</f>
        <v/>
      </c>
      <c r="GB57" s="11" t="str">
        <f ca="1">IF(History!GF$2="","",History!GF46*$C$57)</f>
        <v/>
      </c>
      <c r="GC57" s="11" t="str">
        <f ca="1">IF(History!GG$2="","",History!GG46*$C$57)</f>
        <v/>
      </c>
      <c r="GD57" s="11" t="str">
        <f ca="1">IF(History!GH$2="","",History!GH46*$C$57)</f>
        <v/>
      </c>
      <c r="GE57" s="11" t="str">
        <f ca="1">IF(History!GI$2="","",History!GI46*$C$57)</f>
        <v/>
      </c>
      <c r="GF57" s="11" t="str">
        <f ca="1">IF(History!GJ$2="","",History!GJ46*$C$57)</f>
        <v/>
      </c>
      <c r="GG57" s="11" t="str">
        <f ca="1">IF(History!GK$2="","",History!GK46*$C$57)</f>
        <v/>
      </c>
      <c r="GH57" s="11" t="str">
        <f ca="1">IF(History!GL$2="","",History!GL46*$C$57)</f>
        <v/>
      </c>
      <c r="GI57" s="11" t="str">
        <f ca="1">IF(History!GM$2="","",History!GM46*$C$57)</f>
        <v/>
      </c>
      <c r="GJ57" s="11" t="str">
        <f ca="1">IF(History!GN$2="","",History!GN46*$C$57)</f>
        <v/>
      </c>
      <c r="GK57" s="11" t="str">
        <f ca="1">IF(History!GO$2="","",History!GO46*$C$57)</f>
        <v/>
      </c>
      <c r="GL57" s="11" t="str">
        <f ca="1">IF(History!GP$2="","",History!GP46*$C$57)</f>
        <v/>
      </c>
      <c r="GM57" s="11" t="str">
        <f ca="1">IF(History!GQ$2="","",History!GQ46*$C$57)</f>
        <v/>
      </c>
      <c r="GN57" s="11" t="str">
        <f ca="1">IF(History!GR$2="","",History!GR46*$C$57)</f>
        <v/>
      </c>
      <c r="GO57" s="11" t="str">
        <f ca="1">IF(History!GS$2="","",History!GS46*$C$57)</f>
        <v/>
      </c>
      <c r="GP57" s="11" t="str">
        <f ca="1">IF(History!GT$2="","",History!GT46*$C$57)</f>
        <v/>
      </c>
      <c r="GQ57" s="11" t="str">
        <f ca="1">IF(History!GU$2="","",History!GU46*$C$57)</f>
        <v/>
      </c>
      <c r="GR57" s="11" t="str">
        <f ca="1">IF(History!GV$2="","",History!GV46*$C$57)</f>
        <v/>
      </c>
      <c r="GS57" s="11" t="str">
        <f ca="1">IF(History!GW$2="","",History!GW46*$C$57)</f>
        <v/>
      </c>
      <c r="GT57" s="11" t="str">
        <f ca="1">IF(History!GX$2="","",History!GX46*$C$57)</f>
        <v/>
      </c>
      <c r="GU57" s="11" t="str">
        <f ca="1">IF(History!GY$2="","",History!GY46*$C$57)</f>
        <v/>
      </c>
      <c r="GV57" s="11" t="str">
        <f ca="1">IF(History!GZ$2="","",History!GZ46*$C$57)</f>
        <v/>
      </c>
      <c r="GW57" s="11" t="str">
        <f ca="1">IF(History!HA$2="","",History!HA46*$C$57)</f>
        <v/>
      </c>
      <c r="GX57" s="11" t="str">
        <f ca="1">IF(History!HB$2="","",History!HB46*$C$57)</f>
        <v/>
      </c>
      <c r="GY57" s="11" t="str">
        <f ca="1">IF(History!HC$2="","",History!HC46*$C$57)</f>
        <v/>
      </c>
      <c r="GZ57" s="11" t="str">
        <f ca="1">IF(History!HD$2="","",History!HD46*$C$57)</f>
        <v/>
      </c>
      <c r="HA57" s="11" t="str">
        <f ca="1">IF(History!HE$2="","",History!HE46*$C$57)</f>
        <v/>
      </c>
      <c r="HB57" s="11" t="str">
        <f ca="1">IF(History!HF$2="","",History!HF46*$C$57)</f>
        <v/>
      </c>
      <c r="HC57" s="11" t="str">
        <f ca="1">IF(History!HG$2="","",History!HG46*$C$57)</f>
        <v/>
      </c>
      <c r="HD57" s="11" t="str">
        <f ca="1">IF(History!HH$2="","",History!HH46*$C$57)</f>
        <v/>
      </c>
      <c r="HE57" s="11" t="str">
        <f ca="1">IF(History!HI$2="","",History!HI46*$C$57)</f>
        <v/>
      </c>
      <c r="HF57" s="11" t="str">
        <f ca="1">IF(History!HJ$2="","",History!HJ46*$C$57)</f>
        <v/>
      </c>
      <c r="HG57" s="11" t="str">
        <f ca="1">IF(History!HK$2="","",History!HK46*$C$57)</f>
        <v/>
      </c>
      <c r="HH57" s="11" t="str">
        <f ca="1">IF(History!HL$2="","",History!HL46*$C$57)</f>
        <v/>
      </c>
      <c r="HI57" s="11" t="str">
        <f ca="1">IF(History!HM$2="","",History!HM46*$C$57)</f>
        <v/>
      </c>
      <c r="HJ57" s="11" t="str">
        <f ca="1">IF(History!HN$2="","",History!HN46*$C$57)</f>
        <v/>
      </c>
      <c r="HK57" s="11" t="str">
        <f ca="1">IF(History!HO$2="","",History!HO46*$C$57)</f>
        <v/>
      </c>
      <c r="HL57" s="11" t="str">
        <f ca="1">IF(History!HP$2="","",History!HP46*$C$57)</f>
        <v/>
      </c>
      <c r="HM57" s="11" t="str">
        <f ca="1">IF(History!HQ$2="","",History!HQ46*$C$57)</f>
        <v/>
      </c>
      <c r="HN57" s="11" t="str">
        <f ca="1">IF(History!HR$2="","",History!HR46*$C$57)</f>
        <v/>
      </c>
      <c r="HO57" s="11" t="str">
        <f ca="1">IF(History!HS$2="","",History!HS46*$C$57)</f>
        <v/>
      </c>
      <c r="HP57" s="11" t="str">
        <f ca="1">IF(History!HT$2="","",History!HT46*$C$57)</f>
        <v/>
      </c>
      <c r="HQ57" s="11" t="str">
        <f ca="1">IF(History!HU$2="","",History!HU46*$C$57)</f>
        <v/>
      </c>
      <c r="HR57" s="11" t="str">
        <f ca="1">IF(History!HV$2="","",History!HV46*$C$57)</f>
        <v/>
      </c>
      <c r="HS57" s="11" t="str">
        <f ca="1">IF(History!HW$2="","",History!HW46*$C$57)</f>
        <v/>
      </c>
      <c r="HT57" s="11" t="str">
        <f ca="1">IF(History!HX$2="","",History!HX46*$C$57)</f>
        <v/>
      </c>
      <c r="HU57" s="11" t="str">
        <f ca="1">IF(History!HY$2="","",History!HY46*$C$57)</f>
        <v/>
      </c>
      <c r="HV57" s="11" t="str">
        <f ca="1">IF(History!HZ$2="","",History!HZ46*$C$57)</f>
        <v/>
      </c>
      <c r="HW57" s="11" t="str">
        <f ca="1">IF(History!IA$2="","",History!IA46*$C$57)</f>
        <v/>
      </c>
      <c r="HX57" s="11" t="str">
        <f ca="1">IF(History!IB$2="","",History!IB46*$C$57)</f>
        <v/>
      </c>
      <c r="HY57" s="11" t="str">
        <f ca="1">IF(History!IC$2="","",History!IC46*$C$57)</f>
        <v/>
      </c>
      <c r="HZ57" s="11" t="str">
        <f ca="1">IF(History!ID$2="","",History!ID46*$C$57)</f>
        <v/>
      </c>
      <c r="IA57" s="11" t="str">
        <f ca="1">IF(History!IE$2="","",History!IE46*$C$57)</f>
        <v/>
      </c>
      <c r="IB57" s="11" t="str">
        <f ca="1">IF(History!IF$2="","",History!IF46*$C$57)</f>
        <v/>
      </c>
      <c r="IC57" s="11" t="str">
        <f ca="1">IF(History!IG$2="","",History!IG46*$C$57)</f>
        <v/>
      </c>
      <c r="ID57" s="11" t="str">
        <f ca="1">IF(History!IH$2="","",History!IH46*$C$57)</f>
        <v/>
      </c>
      <c r="IE57" s="11" t="str">
        <f ca="1">IF(History!II$2="","",History!II46*$C$57)</f>
        <v/>
      </c>
      <c r="IF57" s="11" t="str">
        <f ca="1">IF(History!IJ$2="","",History!IJ46*$C$57)</f>
        <v/>
      </c>
      <c r="IG57" s="11" t="str">
        <f ca="1">IF(History!IK$2="","",History!IK46*$C$57)</f>
        <v/>
      </c>
      <c r="IH57" s="11" t="str">
        <f ca="1">IF(History!IL$2="","",History!IL46*$C$57)</f>
        <v/>
      </c>
      <c r="II57" s="11" t="str">
        <f ca="1">IF(History!IM$2="","",History!IM46*$C$57)</f>
        <v/>
      </c>
      <c r="IJ57" s="11" t="str">
        <f ca="1">IF(History!IN$2="","",History!IN46*$C$57)</f>
        <v/>
      </c>
      <c r="IK57" s="11" t="str">
        <f ca="1">IF(History!IO$2="","",History!IO46*$C$57)</f>
        <v/>
      </c>
      <c r="IL57" s="11" t="str">
        <f ca="1">IF(History!IP$2="","",History!IP46*$C$57)</f>
        <v/>
      </c>
      <c r="IM57" s="11" t="str">
        <f ca="1">IF(History!IQ$2="","",History!IQ46*$C$57)</f>
        <v/>
      </c>
      <c r="IN57" s="11" t="str">
        <f ca="1">IF(History!IR$2="","",History!IR46*$C$57)</f>
        <v/>
      </c>
      <c r="IO57" s="11" t="str">
        <f ca="1">IF(History!IS$2="","",History!IS46*$C$57)</f>
        <v/>
      </c>
      <c r="IP57" s="11" t="str">
        <f ca="1">IF(History!IT$2="","",History!IT46*$C$57)</f>
        <v/>
      </c>
      <c r="IQ57" s="11" t="str">
        <f ca="1">IF(History!IU$2="","",History!IU46*$C$57)</f>
        <v/>
      </c>
      <c r="IR57" s="11" t="str">
        <f ca="1">IF(History!IV$2="","",History!IV46*$C$57)</f>
        <v/>
      </c>
      <c r="IS57" s="11" t="str">
        <f ca="1">IF(History!IW$2="","",History!IW46*$C$57)</f>
        <v/>
      </c>
      <c r="IT57" s="11" t="str">
        <f ca="1">IF(History!IX$2="","",History!IX46*$C$57)</f>
        <v/>
      </c>
      <c r="IU57" s="11" t="str">
        <f ca="1">IF(History!IY$2="","",History!IY46*$C$57)</f>
        <v/>
      </c>
      <c r="IV57" s="11" t="str">
        <f ca="1">IF(History!IZ$2="","",History!IZ46*$C$57)</f>
        <v/>
      </c>
      <c r="IW57" s="11" t="str">
        <f ca="1">IF(History!JA$2="","",History!JA46*$C$57)</f>
        <v/>
      </c>
      <c r="IX57" s="11" t="str">
        <f ca="1">IF(History!JB$2="","",History!JB46*$C$57)</f>
        <v/>
      </c>
      <c r="IY57" s="11" t="str">
        <f ca="1">IF(History!JC$2="","",History!JC46*$C$57)</f>
        <v/>
      </c>
      <c r="IZ57" s="11" t="str">
        <f ca="1">IF(History!JD$2="","",History!JD46*$C$57)</f>
        <v/>
      </c>
      <c r="JA57" s="11" t="str">
        <f ca="1">IF(History!JE$2="","",History!JE46*$C$57)</f>
        <v/>
      </c>
      <c r="JB57" s="11" t="str">
        <f ca="1">IF(History!JF$2="","",History!JF46*$C$57)</f>
        <v/>
      </c>
      <c r="JC57" s="11" t="str">
        <f ca="1">IF(History!JG$2="","",History!JG46*$C$57)</f>
        <v/>
      </c>
      <c r="JD57" s="11" t="str">
        <f ca="1">IF(History!JH$2="","",History!JH46*$C$57)</f>
        <v/>
      </c>
      <c r="JE57" s="11" t="str">
        <f ca="1">IF(History!JI$2="","",History!JI46*$C$57)</f>
        <v/>
      </c>
      <c r="JF57" s="11" t="str">
        <f ca="1">IF(History!JJ$2="","",History!JJ46*$C$57)</f>
        <v/>
      </c>
      <c r="JG57" s="11" t="str">
        <f ca="1">IF(History!JK$2="","",History!JK46*$C$57)</f>
        <v/>
      </c>
      <c r="JH57" s="11" t="str">
        <f ca="1">IF(History!JL$2="","",History!JL46*$C$57)</f>
        <v/>
      </c>
      <c r="JI57" s="11" t="str">
        <f ca="1">IF(History!JM$2="","",History!JM46*$C$57)</f>
        <v/>
      </c>
      <c r="JJ57" s="11" t="str">
        <f ca="1">IF(History!JN$2="","",History!JN46*$C$57)</f>
        <v/>
      </c>
      <c r="JK57" s="11" t="str">
        <f ca="1">IF(History!JO$2="","",History!JO46*$C$57)</f>
        <v/>
      </c>
      <c r="JL57" s="11" t="str">
        <f ca="1">IF(History!JP$2="","",History!JP46*$C$57)</f>
        <v/>
      </c>
      <c r="JM57" s="11" t="str">
        <f ca="1">IF(History!JQ$2="","",History!JQ46*$C$57)</f>
        <v/>
      </c>
      <c r="JN57" s="11" t="str">
        <f ca="1">IF(History!JR$2="","",History!JR46*$C$57)</f>
        <v/>
      </c>
      <c r="JO57" s="11" t="str">
        <f ca="1">IF(History!JS$2="","",History!JS46*$C$57)</f>
        <v/>
      </c>
      <c r="JP57" s="11" t="str">
        <f ca="1">IF(History!JT$2="","",History!JT46*$C$57)</f>
        <v/>
      </c>
      <c r="JQ57" s="11" t="str">
        <f ca="1">IF(History!JU$2="","",History!JU46*$C$57)</f>
        <v/>
      </c>
      <c r="JR57" s="11" t="str">
        <f ca="1">IF(History!JV$2="","",History!JV46*$C$57)</f>
        <v/>
      </c>
      <c r="JS57" s="11" t="str">
        <f ca="1">IF(History!JW$2="","",History!JW46*$C$57)</f>
        <v/>
      </c>
      <c r="JT57" s="11" t="str">
        <f ca="1">IF(History!JX$2="","",History!JX46*$C$57)</f>
        <v/>
      </c>
      <c r="JU57" s="11" t="str">
        <f ca="1">IF(History!JY$2="","",History!JY46*$C$57)</f>
        <v/>
      </c>
      <c r="JV57" s="11" t="str">
        <f ca="1">IF(History!JZ$2="","",History!JZ46*$C$57)</f>
        <v/>
      </c>
      <c r="JW57" s="11" t="str">
        <f ca="1">IF(History!KA$2="","",History!KA46*$C$57)</f>
        <v/>
      </c>
      <c r="JX57" s="11" t="str">
        <f ca="1">IF(History!KB$2="","",History!KB46*$C$57)</f>
        <v/>
      </c>
      <c r="JY57" s="11" t="str">
        <f ca="1">IF(History!KC$2="","",History!KC46*$C$57)</f>
        <v/>
      </c>
      <c r="JZ57" s="11" t="str">
        <f ca="1">IF(History!KD$2="","",History!KD46*$C$57)</f>
        <v/>
      </c>
      <c r="KA57" s="11" t="str">
        <f ca="1">IF(History!KE$2="","",History!KE46*$C$57)</f>
        <v/>
      </c>
      <c r="KB57" s="11" t="str">
        <f ca="1">IF(History!KF$2="","",History!KF46*$C$57)</f>
        <v/>
      </c>
    </row>
    <row r="58" spans="1:288" ht="13">
      <c r="A58" s="22" t="s">
        <v>30</v>
      </c>
      <c r="B58" s="6" t="s">
        <v>89</v>
      </c>
      <c r="C58" s="26">
        <v>65</v>
      </c>
      <c r="D58" s="11">
        <f ca="1">IF(History!H$2="","",History!H47*$C$58)</f>
        <v>175.5</v>
      </c>
      <c r="E58" s="11">
        <f ca="1">IF(History!I$2="","",History!I47*$C$58)</f>
        <v>172.9</v>
      </c>
      <c r="F58" s="11">
        <f ca="1">IF(History!J$2="","",History!J47*$C$58)</f>
        <v>181.35</v>
      </c>
      <c r="G58" s="11">
        <f ca="1">IF(History!K$2="","",History!K47*$C$58)</f>
        <v>183.29999999999998</v>
      </c>
      <c r="H58" s="11">
        <f ca="1">IF(History!L$2="","",History!L47*$C$58)</f>
        <v>179.39999999999998</v>
      </c>
      <c r="I58" s="11">
        <f ca="1">IF(History!M$2="","",History!M47*$C$58)</f>
        <v>178.10000000000002</v>
      </c>
      <c r="J58" s="11">
        <f ca="1">IF(History!N$2="","",History!N47*$C$58)</f>
        <v>176.8</v>
      </c>
      <c r="K58" s="11">
        <f ca="1">IF(History!O$2="","",History!O47*$C$58)</f>
        <v>171.6</v>
      </c>
      <c r="L58" s="11">
        <f ca="1">IF(History!P$2="","",History!P47*$C$58)</f>
        <v>169.65</v>
      </c>
      <c r="M58" s="11">
        <f ca="1">IF(History!Q$2="","",History!Q47*$C$58)</f>
        <v>172.9</v>
      </c>
      <c r="N58" s="11">
        <f ca="1">IF(History!R$2="","",History!R47*$C$58)</f>
        <v>163.80000000000001</v>
      </c>
      <c r="O58" s="11">
        <f ca="1">IF(History!S$2="","",History!S47*$C$58)</f>
        <v>158.6</v>
      </c>
      <c r="P58" s="11">
        <f ca="1">IF(History!T$2="","",History!T47*$C$58)</f>
        <v>148.19999999999999</v>
      </c>
      <c r="Q58" s="11">
        <f ca="1">IF(History!U$2="","",History!U47*$C$58)</f>
        <v>144.30000000000001</v>
      </c>
      <c r="R58" s="11">
        <f ca="1">IF(History!V$2="","",History!V47*$C$58)</f>
        <v>146.25</v>
      </c>
      <c r="S58" s="11">
        <f ca="1">IF(History!W$2="","",History!W47*$C$58)</f>
        <v>148.19999999999999</v>
      </c>
      <c r="T58" s="11">
        <f ca="1">IF(History!X$2="","",History!X47*$C$58)</f>
        <v>140.4</v>
      </c>
      <c r="U58" s="11">
        <f ca="1">IF(History!Y$2="","",History!Y47*$C$58)</f>
        <v>133.25</v>
      </c>
      <c r="V58" s="11">
        <f ca="1">IF(History!Z$2="","",History!Z47*$C$58)</f>
        <v>139.1</v>
      </c>
      <c r="W58" s="11">
        <f ca="1">IF(History!AA$2="","",History!AA47*$C$58)</f>
        <v>140.4</v>
      </c>
      <c r="X58" s="11">
        <f ca="1">IF(History!AB$2="","",History!AB47*$C$58)</f>
        <v>147.55000000000001</v>
      </c>
      <c r="Y58" s="11">
        <f ca="1">IF(History!AC$2="","",History!AC47*$C$58)</f>
        <v>155.35</v>
      </c>
      <c r="Z58" s="11">
        <f ca="1">IF(History!AD$2="","",History!AD47*$C$58)</f>
        <v>145.60000000000002</v>
      </c>
      <c r="AA58" s="11">
        <f ca="1">IF(History!AE$2="","",History!AE47*$C$58)</f>
        <v>137.80000000000001</v>
      </c>
      <c r="AB58" s="11">
        <f ca="1">IF(History!AF$2="","",History!AF47*$C$58)</f>
        <v>133.9</v>
      </c>
      <c r="AC58" s="11">
        <f ca="1">IF(History!AG$2="","",History!AG47*$C$58)</f>
        <v>144.30000000000001</v>
      </c>
      <c r="AD58" s="11">
        <f ca="1">IF(History!AH$2="","",History!AH47*$C$58)</f>
        <v>141.04999999999998</v>
      </c>
      <c r="AE58" s="11">
        <f ca="1">IF(History!AI$2="","",History!AI47*$C$58)</f>
        <v>136.5</v>
      </c>
      <c r="AF58" s="11">
        <f ca="1">IF(History!AJ$2="","",History!AJ47*$C$58)</f>
        <v>137.80000000000001</v>
      </c>
      <c r="AG58" s="11">
        <f ca="1">IF(History!AK$2="","",History!AK47*$C$58)</f>
        <v>130</v>
      </c>
      <c r="AH58" s="11">
        <f ca="1">IF(History!AL$2="","",History!AL47*$C$58)</f>
        <v>130</v>
      </c>
      <c r="AI58" s="11">
        <f ca="1">IF(History!AM$2="","",History!AM47*$C$58)</f>
        <v>130</v>
      </c>
      <c r="AJ58" s="11">
        <f ca="1">IF(History!AN$2="","",History!AN47*$C$58)</f>
        <v>137.15</v>
      </c>
      <c r="AK58" s="11">
        <f ca="1">IF(History!AO$2="","",History!AO47*$C$58)</f>
        <v>133.25</v>
      </c>
      <c r="AL58" s="11">
        <f ca="1">IF(History!AP$2="","",History!AP47*$C$58)</f>
        <v>131.30000000000001</v>
      </c>
      <c r="AM58" s="11">
        <f ca="1">IF(History!AQ$2="","",History!AQ47*$C$58)</f>
        <v>130</v>
      </c>
      <c r="AN58" s="11">
        <f ca="1">IF(History!AR$2="","",History!AR47*$C$58)</f>
        <v>135.85</v>
      </c>
      <c r="AO58" s="11">
        <f ca="1">IF(History!AS$2="","",History!AS47*$C$58)</f>
        <v>141.04999999999998</v>
      </c>
      <c r="AP58" s="11">
        <f ca="1">IF(History!AT$2="","",History!AT47*$C$58)</f>
        <v>144.94999999999999</v>
      </c>
      <c r="AQ58" s="11">
        <f ca="1">IF(History!AU$2="","",History!AU47*$C$58)</f>
        <v>152.1</v>
      </c>
      <c r="AR58" s="11">
        <f ca="1">IF(History!AV$2="","",History!AV47*$C$58)</f>
        <v>104</v>
      </c>
      <c r="AS58" s="11">
        <f ca="1">IF(History!AW$2="","",History!AW47*$C$58)</f>
        <v>98.8</v>
      </c>
      <c r="AT58" s="11">
        <f ca="1">IF(History!AX$2="","",History!AX47*$C$58)</f>
        <v>94.25</v>
      </c>
      <c r="AU58" s="11">
        <f ca="1">IF(History!AY$2="","",History!AY47*$C$58)</f>
        <v>90.35</v>
      </c>
      <c r="AV58" s="11">
        <f ca="1">IF(History!AZ$2="","",History!AZ47*$C$58)</f>
        <v>101.4</v>
      </c>
      <c r="AW58" s="11">
        <f ca="1">IF(History!BA$2="","",History!BA47*$C$58)</f>
        <v>104</v>
      </c>
      <c r="AX58" s="11">
        <f ca="1">IF(History!BB$2="","",History!BB47*$C$58)</f>
        <v>109.85</v>
      </c>
      <c r="AY58" s="11">
        <f ca="1">IF(History!BC$2="","",History!BC47*$C$58)</f>
        <v>112.45</v>
      </c>
      <c r="AZ58" s="11">
        <f ca="1">IF(History!BD$2="","",History!BD47*$C$58)</f>
        <v>103.35000000000001</v>
      </c>
      <c r="BA58" s="11">
        <f ca="1">IF(History!BE$2="","",History!BE47*$C$58)</f>
        <v>104</v>
      </c>
      <c r="BB58" s="11">
        <f ca="1">IF(History!BF$2="","",History!BF47*$C$58)</f>
        <v>104</v>
      </c>
      <c r="BC58" s="11">
        <f ca="1">IF(History!BG$2="","",History!BG47*$C$58)</f>
        <v>103.35000000000001</v>
      </c>
      <c r="BD58" s="11">
        <f ca="1">IF(History!BH$2="","",History!BH47*$C$58)</f>
        <v>102.05</v>
      </c>
      <c r="BE58" s="11">
        <f ca="1">IF(History!BI$2="","",History!BI47*$C$58)</f>
        <v>96.2</v>
      </c>
      <c r="BF58" s="11">
        <f ca="1">IF(History!BJ$2="","",History!BJ47*$C$58)</f>
        <v>95.55</v>
      </c>
      <c r="BG58" s="11">
        <f ca="1">IF(History!BK$2="","",History!BK47*$C$58)</f>
        <v>94.899999999999991</v>
      </c>
      <c r="BH58" s="11">
        <f ca="1">IF(History!BL$2="","",History!BL47*$C$58)</f>
        <v>91.649999999999991</v>
      </c>
      <c r="BI58" s="11">
        <f ca="1">IF(History!BM$2="","",History!BM47*$C$58)</f>
        <v>96.2</v>
      </c>
      <c r="BJ58" s="11">
        <f ca="1">IF(History!BN$2="","",History!BN47*$C$58)</f>
        <v>97.5</v>
      </c>
      <c r="BK58" s="11">
        <f ca="1">IF(History!BO$2="","",History!BO47*$C$58)</f>
        <v>96.85</v>
      </c>
      <c r="BL58" s="11">
        <f ca="1">IF(History!BP$2="","",History!BP47*$C$58)</f>
        <v>95.55</v>
      </c>
      <c r="BM58" s="11">
        <f ca="1">IF(History!BQ$2="","",History!BQ47*$C$58)</f>
        <v>93.6</v>
      </c>
      <c r="BN58" s="11">
        <f ca="1">IF(History!BR$2="","",History!BR47*$C$58)</f>
        <v>94.899999999999991</v>
      </c>
      <c r="BO58" s="11">
        <f ca="1">IF(History!BS$2="","",History!BS47*$C$58)</f>
        <v>91.649999999999991</v>
      </c>
      <c r="BP58" s="11">
        <f ca="1">IF(History!BT$2="","",History!BT47*$C$58)</f>
        <v>92.3</v>
      </c>
      <c r="BQ58" s="11">
        <f ca="1">IF(History!BU$2="","",History!BU47*$C$58)</f>
        <v>97.5</v>
      </c>
      <c r="BR58" s="11">
        <f ca="1">IF(History!BV$2="","",History!BV47*$C$58)</f>
        <v>94.899999999999991</v>
      </c>
      <c r="BS58" s="11">
        <f ca="1">IF(History!BW$2="","",History!BW47*$C$58)</f>
        <v>94.25</v>
      </c>
      <c r="BT58" s="11">
        <f ca="1">IF(History!BX$2="","",History!BX47*$C$58)</f>
        <v>96.85</v>
      </c>
      <c r="BU58" s="11">
        <f ca="1">IF(History!BY$2="","",History!BY47*$C$58)</f>
        <v>101.4</v>
      </c>
      <c r="BV58" s="11">
        <f ca="1">IF(History!BZ$2="","",History!BZ47*$C$58)</f>
        <v>99.45</v>
      </c>
      <c r="BW58" s="11">
        <f ca="1">IF(History!CA$2="","",History!CA47*$C$58)</f>
        <v>93.6</v>
      </c>
      <c r="BX58" s="11">
        <f ca="1">IF(History!CB$2="","",History!CB47*$C$58)</f>
        <v>96.85</v>
      </c>
      <c r="BY58" s="11">
        <f ca="1">IF(History!CC$2="","",History!CC47*$C$58)</f>
        <v>97.5</v>
      </c>
      <c r="BZ58" s="11">
        <f ca="1">IF(History!CD$2="","",History!CD47*$C$58)</f>
        <v>102.7</v>
      </c>
      <c r="CA58" s="11">
        <f ca="1">IF(History!CE$2="","",History!CE47*$C$58)</f>
        <v>104.65</v>
      </c>
      <c r="CB58" s="11">
        <f ca="1">IF(History!CF$2="","",History!CF47*$C$58)</f>
        <v>107.89999999999999</v>
      </c>
      <c r="CC58" s="11">
        <f ca="1">IF(History!CG$2="","",History!CG47*$C$58)</f>
        <v>100.75</v>
      </c>
      <c r="CD58" s="11">
        <f ca="1">IF(History!CH$2="","",History!CH47*$C$58)</f>
        <v>102.05</v>
      </c>
      <c r="CE58" s="11">
        <f ca="1">IF(History!CI$2="","",History!CI47*$C$58)</f>
        <v>105.94999999999999</v>
      </c>
      <c r="CF58" s="11" t="str">
        <f ca="1">IF(History!CJ$2="","",History!CJ47*$C$58)</f>
        <v/>
      </c>
      <c r="CG58" s="11" t="str">
        <f ca="1">IF(History!CK$2="","",History!CK47*$C$58)</f>
        <v/>
      </c>
      <c r="CH58" s="11" t="str">
        <f ca="1">IF(History!CL$2="","",History!CL47*$C$58)</f>
        <v/>
      </c>
      <c r="CI58" s="11" t="str">
        <f ca="1">IF(History!CM$2="","",History!CM47*$C$58)</f>
        <v/>
      </c>
      <c r="CJ58" s="11" t="str">
        <f ca="1">IF(History!CN$2="","",History!CN47*$C$58)</f>
        <v/>
      </c>
      <c r="CK58" s="11" t="str">
        <f ca="1">IF(History!CO$2="","",History!CO47*$C$58)</f>
        <v/>
      </c>
      <c r="CL58" s="11" t="str">
        <f ca="1">IF(History!CP$2="","",History!CP47*$C$58)</f>
        <v/>
      </c>
      <c r="CM58" s="11" t="str">
        <f ca="1">IF(History!CQ$2="","",History!CQ47*$C$58)</f>
        <v/>
      </c>
      <c r="CN58" s="11" t="str">
        <f ca="1">IF(History!CR$2="","",History!CR47*$C$58)</f>
        <v/>
      </c>
      <c r="CO58" s="11" t="str">
        <f ca="1">IF(History!CS$2="","",History!CS47*$C$58)</f>
        <v/>
      </c>
      <c r="CP58" s="11" t="str">
        <f ca="1">IF(History!CT$2="","",History!CT47*$C$58)</f>
        <v/>
      </c>
      <c r="CQ58" s="11" t="str">
        <f ca="1">IF(History!CU$2="","",History!CU47*$C$58)</f>
        <v/>
      </c>
      <c r="CR58" s="11" t="str">
        <f ca="1">IF(History!CV$2="","",History!CV47*$C$58)</f>
        <v/>
      </c>
      <c r="CS58" s="11" t="str">
        <f ca="1">IF(History!CW$2="","",History!CW47*$C$58)</f>
        <v/>
      </c>
      <c r="CT58" s="11" t="str">
        <f ca="1">IF(History!CX$2="","",History!CX47*$C$58)</f>
        <v/>
      </c>
      <c r="CU58" s="11" t="str">
        <f ca="1">IF(History!CY$2="","",History!CY47*$C$58)</f>
        <v/>
      </c>
      <c r="CV58" s="11" t="str">
        <f ca="1">IF(History!CZ$2="","",History!CZ47*$C$58)</f>
        <v/>
      </c>
      <c r="CW58" s="11" t="str">
        <f ca="1">IF(History!DA$2="","",History!DA47*$C$58)</f>
        <v/>
      </c>
      <c r="CX58" s="11" t="str">
        <f ca="1">IF(History!DB$2="","",History!DB47*$C$58)</f>
        <v/>
      </c>
      <c r="CY58" s="11" t="str">
        <f ca="1">IF(History!DC$2="","",History!DC47*$C$58)</f>
        <v/>
      </c>
      <c r="CZ58" s="11" t="str">
        <f ca="1">IF(History!DD$2="","",History!DD47*$C$58)</f>
        <v/>
      </c>
      <c r="DA58" s="11" t="str">
        <f ca="1">IF(History!DE$2="","",History!DE47*$C$58)</f>
        <v/>
      </c>
      <c r="DB58" s="11" t="str">
        <f ca="1">IF(History!DF$2="","",History!DF47*$C$58)</f>
        <v/>
      </c>
      <c r="DC58" s="11" t="str">
        <f ca="1">IF(History!DG$2="","",History!DG47*$C$58)</f>
        <v/>
      </c>
      <c r="DD58" s="11" t="str">
        <f ca="1">IF(History!DH$2="","",History!DH47*$C$58)</f>
        <v/>
      </c>
      <c r="DE58" s="11" t="str">
        <f ca="1">IF(History!DI$2="","",History!DI47*$C$58)</f>
        <v/>
      </c>
      <c r="DF58" s="11" t="str">
        <f ca="1">IF(History!DJ$2="","",History!DJ47*$C$58)</f>
        <v/>
      </c>
      <c r="DG58" s="11" t="str">
        <f ca="1">IF(History!DK$2="","",History!DK47*$C$58)</f>
        <v/>
      </c>
      <c r="DH58" s="11" t="str">
        <f ca="1">IF(History!DL$2="","",History!DL47*$C$58)</f>
        <v/>
      </c>
      <c r="DI58" s="11" t="str">
        <f ca="1">IF(History!DM$2="","",History!DM47*$C$58)</f>
        <v/>
      </c>
      <c r="DJ58" s="11" t="str">
        <f ca="1">IF(History!DN$2="","",History!DN47*$C$58)</f>
        <v/>
      </c>
      <c r="DK58" s="11" t="str">
        <f ca="1">IF(History!DO$2="","",History!DO47*$C$58)</f>
        <v/>
      </c>
      <c r="DL58" s="11" t="str">
        <f ca="1">IF(History!DP$2="","",History!DP47*$C$58)</f>
        <v/>
      </c>
      <c r="DM58" s="11" t="str">
        <f ca="1">IF(History!DQ$2="","",History!DQ47*$C$58)</f>
        <v/>
      </c>
      <c r="DN58" s="11" t="str">
        <f ca="1">IF(History!DR$2="","",History!DR47*$C$58)</f>
        <v/>
      </c>
      <c r="DO58" s="11" t="str">
        <f ca="1">IF(History!DS$2="","",History!DS47*$C$58)</f>
        <v/>
      </c>
      <c r="DP58" s="11" t="str">
        <f ca="1">IF(History!DT$2="","",History!DT47*$C$58)</f>
        <v/>
      </c>
      <c r="DQ58" s="11" t="str">
        <f ca="1">IF(History!DU$2="","",History!DU47*$C$58)</f>
        <v/>
      </c>
      <c r="DR58" s="11" t="str">
        <f ca="1">IF(History!DV$2="","",History!DV47*$C$58)</f>
        <v/>
      </c>
      <c r="DS58" s="11" t="str">
        <f ca="1">IF(History!DW$2="","",History!DW47*$C$58)</f>
        <v/>
      </c>
      <c r="DT58" s="11" t="str">
        <f ca="1">IF(History!DX$2="","",History!DX47*$C$58)</f>
        <v/>
      </c>
      <c r="DU58" s="11" t="str">
        <f ca="1">IF(History!DY$2="","",History!DY47*$C$58)</f>
        <v/>
      </c>
      <c r="DV58" s="11" t="str">
        <f ca="1">IF(History!DZ$2="","",History!DZ47*$C$58)</f>
        <v/>
      </c>
      <c r="DW58" s="11" t="str">
        <f ca="1">IF(History!EA$2="","",History!EA47*$C$58)</f>
        <v/>
      </c>
      <c r="DX58" s="11" t="str">
        <f ca="1">IF(History!EB$2="","",History!EB47*$C$58)</f>
        <v/>
      </c>
      <c r="DY58" s="11" t="str">
        <f ca="1">IF(History!EC$2="","",History!EC47*$C$58)</f>
        <v/>
      </c>
      <c r="DZ58" s="11" t="str">
        <f ca="1">IF(History!ED$2="","",History!ED47*$C$58)</f>
        <v/>
      </c>
      <c r="EA58" s="11" t="str">
        <f ca="1">IF(History!EE$2="","",History!EE47*$C$58)</f>
        <v/>
      </c>
      <c r="EB58" s="11" t="str">
        <f ca="1">IF(History!EF$2="","",History!EF47*$C$58)</f>
        <v/>
      </c>
      <c r="EC58" s="11" t="str">
        <f ca="1">IF(History!EG$2="","",History!EG47*$C$58)</f>
        <v/>
      </c>
      <c r="ED58" s="11" t="str">
        <f ca="1">IF(History!EH$2="","",History!EH47*$C$58)</f>
        <v/>
      </c>
      <c r="EE58" s="11" t="str">
        <f ca="1">IF(History!EI$2="","",History!EI47*$C$58)</f>
        <v/>
      </c>
      <c r="EF58" s="11" t="str">
        <f ca="1">IF(History!EJ$2="","",History!EJ47*$C$58)</f>
        <v/>
      </c>
      <c r="EG58" s="11" t="str">
        <f ca="1">IF(History!EK$2="","",History!EK47*$C$58)</f>
        <v/>
      </c>
      <c r="EH58" s="11" t="str">
        <f ca="1">IF(History!EL$2="","",History!EL47*$C$58)</f>
        <v/>
      </c>
      <c r="EI58" s="11" t="str">
        <f ca="1">IF(History!EM$2="","",History!EM47*$C$58)</f>
        <v/>
      </c>
      <c r="EJ58" s="11" t="str">
        <f ca="1">IF(History!EN$2="","",History!EN47*$C$58)</f>
        <v/>
      </c>
      <c r="EK58" s="11" t="str">
        <f ca="1">IF(History!EO$2="","",History!EO47*$C$58)</f>
        <v/>
      </c>
      <c r="EL58" s="11" t="str">
        <f ca="1">IF(History!EP$2="","",History!EP47*$C$58)</f>
        <v/>
      </c>
      <c r="EM58" s="11" t="str">
        <f ca="1">IF(History!EQ$2="","",History!EQ47*$C$58)</f>
        <v/>
      </c>
      <c r="EN58" s="11" t="str">
        <f ca="1">IF(History!ER$2="","",History!ER47*$C$58)</f>
        <v/>
      </c>
      <c r="EO58" s="11" t="str">
        <f ca="1">IF(History!ES$2="","",History!ES47*$C$58)</f>
        <v/>
      </c>
      <c r="EP58" s="11" t="str">
        <f ca="1">IF(History!ET$2="","",History!ET47*$C$58)</f>
        <v/>
      </c>
      <c r="EQ58" s="11" t="str">
        <f ca="1">IF(History!EU$2="","",History!EU47*$C$58)</f>
        <v/>
      </c>
      <c r="ER58" s="11" t="str">
        <f ca="1">IF(History!EV$2="","",History!EV47*$C$58)</f>
        <v/>
      </c>
      <c r="ES58" s="11" t="str">
        <f ca="1">IF(History!EW$2="","",History!EW47*$C$58)</f>
        <v/>
      </c>
      <c r="ET58" s="11" t="str">
        <f ca="1">IF(History!EX$2="","",History!EX47*$C$58)</f>
        <v/>
      </c>
      <c r="EU58" s="11" t="str">
        <f ca="1">IF(History!EY$2="","",History!EY47*$C$58)</f>
        <v/>
      </c>
      <c r="EV58" s="11" t="str">
        <f ca="1">IF(History!EZ$2="","",History!EZ47*$C$58)</f>
        <v/>
      </c>
      <c r="EW58" s="11" t="str">
        <f ca="1">IF(History!FA$2="","",History!FA47*$C$58)</f>
        <v/>
      </c>
      <c r="EX58" s="11" t="str">
        <f ca="1">IF(History!FB$2="","",History!FB47*$C$58)</f>
        <v/>
      </c>
      <c r="EY58" s="11" t="str">
        <f ca="1">IF(History!FC$2="","",History!FC47*$C$58)</f>
        <v/>
      </c>
      <c r="EZ58" s="11" t="str">
        <f ca="1">IF(History!FD$2="","",History!FD47*$C$58)</f>
        <v/>
      </c>
      <c r="FA58" s="11" t="str">
        <f ca="1">IF(History!FE$2="","",History!FE47*$C$58)</f>
        <v/>
      </c>
      <c r="FB58" s="11" t="str">
        <f ca="1">IF(History!FF$2="","",History!FF47*$C$58)</f>
        <v/>
      </c>
      <c r="FC58" s="11" t="str">
        <f ca="1">IF(History!FG$2="","",History!FG47*$C$58)</f>
        <v/>
      </c>
      <c r="FD58" s="11" t="str">
        <f ca="1">IF(History!FH$2="","",History!FH47*$C$58)</f>
        <v/>
      </c>
      <c r="FE58" s="11" t="str">
        <f ca="1">IF(History!FI$2="","",History!FI47*$C$58)</f>
        <v/>
      </c>
      <c r="FF58" s="11" t="str">
        <f ca="1">IF(History!FJ$2="","",History!FJ47*$C$58)</f>
        <v/>
      </c>
      <c r="FG58" s="11" t="str">
        <f ca="1">IF(History!FK$2="","",History!FK47*$C$58)</f>
        <v/>
      </c>
      <c r="FH58" s="11" t="str">
        <f ca="1">IF(History!FL$2="","",History!FL47*$C$58)</f>
        <v/>
      </c>
      <c r="FI58" s="11" t="str">
        <f ca="1">IF(History!FM$2="","",History!FM47*$C$58)</f>
        <v/>
      </c>
      <c r="FJ58" s="11" t="str">
        <f ca="1">IF(History!FN$2="","",History!FN47*$C$58)</f>
        <v/>
      </c>
      <c r="FK58" s="11" t="str">
        <f ca="1">IF(History!FO$2="","",History!FO47*$C$58)</f>
        <v/>
      </c>
      <c r="FL58" s="11" t="str">
        <f ca="1">IF(History!FP$2="","",History!FP47*$C$58)</f>
        <v/>
      </c>
      <c r="FM58" s="11" t="str">
        <f ca="1">IF(History!FQ$2="","",History!FQ47*$C$58)</f>
        <v/>
      </c>
      <c r="FN58" s="11" t="str">
        <f ca="1">IF(History!FR$2="","",History!FR47*$C$58)</f>
        <v/>
      </c>
      <c r="FO58" s="11" t="str">
        <f ca="1">IF(History!FS$2="","",History!FS47*$C$58)</f>
        <v/>
      </c>
      <c r="FP58" s="11" t="str">
        <f ca="1">IF(History!FT$2="","",History!FT47*$C$58)</f>
        <v/>
      </c>
      <c r="FQ58" s="11" t="str">
        <f ca="1">IF(History!FU$2="","",History!FU47*$C$58)</f>
        <v/>
      </c>
      <c r="FR58" s="11" t="str">
        <f ca="1">IF(History!FV$2="","",History!FV47*$C$58)</f>
        <v/>
      </c>
      <c r="FS58" s="11" t="str">
        <f ca="1">IF(History!FW$2="","",History!FW47*$C$58)</f>
        <v/>
      </c>
      <c r="FT58" s="11" t="str">
        <f ca="1">IF(History!FX$2="","",History!FX47*$C$58)</f>
        <v/>
      </c>
      <c r="FU58" s="11" t="str">
        <f ca="1">IF(History!FY$2="","",History!FY47*$C$58)</f>
        <v/>
      </c>
      <c r="FV58" s="11" t="str">
        <f ca="1">IF(History!FZ$2="","",History!FZ47*$C$58)</f>
        <v/>
      </c>
      <c r="FW58" s="11" t="str">
        <f ca="1">IF(History!GA$2="","",History!GA47*$C$58)</f>
        <v/>
      </c>
      <c r="FX58" s="11" t="str">
        <f ca="1">IF(History!GB$2="","",History!GB47*$C$58)</f>
        <v/>
      </c>
      <c r="FY58" s="11" t="str">
        <f ca="1">IF(History!GC$2="","",History!GC47*$C$58)</f>
        <v/>
      </c>
      <c r="FZ58" s="11" t="str">
        <f ca="1">IF(History!GD$2="","",History!GD47*$C$58)</f>
        <v/>
      </c>
      <c r="GA58" s="11" t="str">
        <f ca="1">IF(History!GE$2="","",History!GE47*$C$58)</f>
        <v/>
      </c>
      <c r="GB58" s="11" t="str">
        <f ca="1">IF(History!GF$2="","",History!GF47*$C$58)</f>
        <v/>
      </c>
      <c r="GC58" s="11" t="str">
        <f ca="1">IF(History!GG$2="","",History!GG47*$C$58)</f>
        <v/>
      </c>
      <c r="GD58" s="11" t="str">
        <f ca="1">IF(History!GH$2="","",History!GH47*$C$58)</f>
        <v/>
      </c>
      <c r="GE58" s="11" t="str">
        <f ca="1">IF(History!GI$2="","",History!GI47*$C$58)</f>
        <v/>
      </c>
      <c r="GF58" s="11" t="str">
        <f ca="1">IF(History!GJ$2="","",History!GJ47*$C$58)</f>
        <v/>
      </c>
      <c r="GG58" s="11" t="str">
        <f ca="1">IF(History!GK$2="","",History!GK47*$C$58)</f>
        <v/>
      </c>
      <c r="GH58" s="11" t="str">
        <f ca="1">IF(History!GL$2="","",History!GL47*$C$58)</f>
        <v/>
      </c>
      <c r="GI58" s="11" t="str">
        <f ca="1">IF(History!GM$2="","",History!GM47*$C$58)</f>
        <v/>
      </c>
      <c r="GJ58" s="11" t="str">
        <f ca="1">IF(History!GN$2="","",History!GN47*$C$58)</f>
        <v/>
      </c>
      <c r="GK58" s="11" t="str">
        <f ca="1">IF(History!GO$2="","",History!GO47*$C$58)</f>
        <v/>
      </c>
      <c r="GL58" s="11" t="str">
        <f ca="1">IF(History!GP$2="","",History!GP47*$C$58)</f>
        <v/>
      </c>
      <c r="GM58" s="11" t="str">
        <f ca="1">IF(History!GQ$2="","",History!GQ47*$C$58)</f>
        <v/>
      </c>
      <c r="GN58" s="11" t="str">
        <f ca="1">IF(History!GR$2="","",History!GR47*$C$58)</f>
        <v/>
      </c>
      <c r="GO58" s="11" t="str">
        <f ca="1">IF(History!GS$2="","",History!GS47*$C$58)</f>
        <v/>
      </c>
      <c r="GP58" s="11" t="str">
        <f ca="1">IF(History!GT$2="","",History!GT47*$C$58)</f>
        <v/>
      </c>
      <c r="GQ58" s="11" t="str">
        <f ca="1">IF(History!GU$2="","",History!GU47*$C$58)</f>
        <v/>
      </c>
      <c r="GR58" s="11" t="str">
        <f ca="1">IF(History!GV$2="","",History!GV47*$C$58)</f>
        <v/>
      </c>
      <c r="GS58" s="11" t="str">
        <f ca="1">IF(History!GW$2="","",History!GW47*$C$58)</f>
        <v/>
      </c>
      <c r="GT58" s="11" t="str">
        <f ca="1">IF(History!GX$2="","",History!GX47*$C$58)</f>
        <v/>
      </c>
      <c r="GU58" s="11" t="str">
        <f ca="1">IF(History!GY$2="","",History!GY47*$C$58)</f>
        <v/>
      </c>
      <c r="GV58" s="11" t="str">
        <f ca="1">IF(History!GZ$2="","",History!GZ47*$C$58)</f>
        <v/>
      </c>
      <c r="GW58" s="11" t="str">
        <f ca="1">IF(History!HA$2="","",History!HA47*$C$58)</f>
        <v/>
      </c>
      <c r="GX58" s="11" t="str">
        <f ca="1">IF(History!HB$2="","",History!HB47*$C$58)</f>
        <v/>
      </c>
      <c r="GY58" s="11" t="str">
        <f ca="1">IF(History!HC$2="","",History!HC47*$C$58)</f>
        <v/>
      </c>
      <c r="GZ58" s="11" t="str">
        <f ca="1">IF(History!HD$2="","",History!HD47*$C$58)</f>
        <v/>
      </c>
      <c r="HA58" s="11" t="str">
        <f ca="1">IF(History!HE$2="","",History!HE47*$C$58)</f>
        <v/>
      </c>
      <c r="HB58" s="11" t="str">
        <f ca="1">IF(History!HF$2="","",History!HF47*$C$58)</f>
        <v/>
      </c>
      <c r="HC58" s="11" t="str">
        <f ca="1">IF(History!HG$2="","",History!HG47*$C$58)</f>
        <v/>
      </c>
      <c r="HD58" s="11" t="str">
        <f ca="1">IF(History!HH$2="","",History!HH47*$C$58)</f>
        <v/>
      </c>
      <c r="HE58" s="11" t="str">
        <f ca="1">IF(History!HI$2="","",History!HI47*$C$58)</f>
        <v/>
      </c>
      <c r="HF58" s="11" t="str">
        <f ca="1">IF(History!HJ$2="","",History!HJ47*$C$58)</f>
        <v/>
      </c>
      <c r="HG58" s="11" t="str">
        <f ca="1">IF(History!HK$2="","",History!HK47*$C$58)</f>
        <v/>
      </c>
      <c r="HH58" s="11" t="str">
        <f ca="1">IF(History!HL$2="","",History!HL47*$C$58)</f>
        <v/>
      </c>
      <c r="HI58" s="11" t="str">
        <f ca="1">IF(History!HM$2="","",History!HM47*$C$58)</f>
        <v/>
      </c>
      <c r="HJ58" s="11" t="str">
        <f ca="1">IF(History!HN$2="","",History!HN47*$C$58)</f>
        <v/>
      </c>
      <c r="HK58" s="11" t="str">
        <f ca="1">IF(History!HO$2="","",History!HO47*$C$58)</f>
        <v/>
      </c>
      <c r="HL58" s="11" t="str">
        <f ca="1">IF(History!HP$2="","",History!HP47*$C$58)</f>
        <v/>
      </c>
      <c r="HM58" s="11" t="str">
        <f ca="1">IF(History!HQ$2="","",History!HQ47*$C$58)</f>
        <v/>
      </c>
      <c r="HN58" s="11" t="str">
        <f ca="1">IF(History!HR$2="","",History!HR47*$C$58)</f>
        <v/>
      </c>
      <c r="HO58" s="11" t="str">
        <f ca="1">IF(History!HS$2="","",History!HS47*$C$58)</f>
        <v/>
      </c>
      <c r="HP58" s="11" t="str">
        <f ca="1">IF(History!HT$2="","",History!HT47*$C$58)</f>
        <v/>
      </c>
      <c r="HQ58" s="11" t="str">
        <f ca="1">IF(History!HU$2="","",History!HU47*$C$58)</f>
        <v/>
      </c>
      <c r="HR58" s="11" t="str">
        <f ca="1">IF(History!HV$2="","",History!HV47*$C$58)</f>
        <v/>
      </c>
      <c r="HS58" s="11" t="str">
        <f ca="1">IF(History!HW$2="","",History!HW47*$C$58)</f>
        <v/>
      </c>
      <c r="HT58" s="11" t="str">
        <f ca="1">IF(History!HX$2="","",History!HX47*$C$58)</f>
        <v/>
      </c>
      <c r="HU58" s="11" t="str">
        <f ca="1">IF(History!HY$2="","",History!HY47*$C$58)</f>
        <v/>
      </c>
      <c r="HV58" s="11" t="str">
        <f ca="1">IF(History!HZ$2="","",History!HZ47*$C$58)</f>
        <v/>
      </c>
      <c r="HW58" s="11" t="str">
        <f ca="1">IF(History!IA$2="","",History!IA47*$C$58)</f>
        <v/>
      </c>
      <c r="HX58" s="11" t="str">
        <f ca="1">IF(History!IB$2="","",History!IB47*$C$58)</f>
        <v/>
      </c>
      <c r="HY58" s="11" t="str">
        <f ca="1">IF(History!IC$2="","",History!IC47*$C$58)</f>
        <v/>
      </c>
      <c r="HZ58" s="11" t="str">
        <f ca="1">IF(History!ID$2="","",History!ID47*$C$58)</f>
        <v/>
      </c>
      <c r="IA58" s="11" t="str">
        <f ca="1">IF(History!IE$2="","",History!IE47*$C$58)</f>
        <v/>
      </c>
      <c r="IB58" s="11" t="str">
        <f ca="1">IF(History!IF$2="","",History!IF47*$C$58)</f>
        <v/>
      </c>
      <c r="IC58" s="11" t="str">
        <f ca="1">IF(History!IG$2="","",History!IG47*$C$58)</f>
        <v/>
      </c>
      <c r="ID58" s="11" t="str">
        <f ca="1">IF(History!IH$2="","",History!IH47*$C$58)</f>
        <v/>
      </c>
      <c r="IE58" s="11" t="str">
        <f ca="1">IF(History!II$2="","",History!II47*$C$58)</f>
        <v/>
      </c>
      <c r="IF58" s="11" t="str">
        <f ca="1">IF(History!IJ$2="","",History!IJ47*$C$58)</f>
        <v/>
      </c>
      <c r="IG58" s="11" t="str">
        <f ca="1">IF(History!IK$2="","",History!IK47*$C$58)</f>
        <v/>
      </c>
      <c r="IH58" s="11" t="str">
        <f ca="1">IF(History!IL$2="","",History!IL47*$C$58)</f>
        <v/>
      </c>
      <c r="II58" s="11" t="str">
        <f ca="1">IF(History!IM$2="","",History!IM47*$C$58)</f>
        <v/>
      </c>
      <c r="IJ58" s="11" t="str">
        <f ca="1">IF(History!IN$2="","",History!IN47*$C$58)</f>
        <v/>
      </c>
      <c r="IK58" s="11" t="str">
        <f ca="1">IF(History!IO$2="","",History!IO47*$C$58)</f>
        <v/>
      </c>
      <c r="IL58" s="11" t="str">
        <f ca="1">IF(History!IP$2="","",History!IP47*$C$58)</f>
        <v/>
      </c>
      <c r="IM58" s="11" t="str">
        <f ca="1">IF(History!IQ$2="","",History!IQ47*$C$58)</f>
        <v/>
      </c>
      <c r="IN58" s="11" t="str">
        <f ca="1">IF(History!IR$2="","",History!IR47*$C$58)</f>
        <v/>
      </c>
      <c r="IO58" s="11" t="str">
        <f ca="1">IF(History!IS$2="","",History!IS47*$C$58)</f>
        <v/>
      </c>
      <c r="IP58" s="11" t="str">
        <f ca="1">IF(History!IT$2="","",History!IT47*$C$58)</f>
        <v/>
      </c>
      <c r="IQ58" s="11" t="str">
        <f ca="1">IF(History!IU$2="","",History!IU47*$C$58)</f>
        <v/>
      </c>
      <c r="IR58" s="11" t="str">
        <f ca="1">IF(History!IV$2="","",History!IV47*$C$58)</f>
        <v/>
      </c>
      <c r="IS58" s="11" t="str">
        <f ca="1">IF(History!IW$2="","",History!IW47*$C$58)</f>
        <v/>
      </c>
      <c r="IT58" s="11" t="str">
        <f ca="1">IF(History!IX$2="","",History!IX47*$C$58)</f>
        <v/>
      </c>
      <c r="IU58" s="11" t="str">
        <f ca="1">IF(History!IY$2="","",History!IY47*$C$58)</f>
        <v/>
      </c>
      <c r="IV58" s="11" t="str">
        <f ca="1">IF(History!IZ$2="","",History!IZ47*$C$58)</f>
        <v/>
      </c>
      <c r="IW58" s="11" t="str">
        <f ca="1">IF(History!JA$2="","",History!JA47*$C$58)</f>
        <v/>
      </c>
      <c r="IX58" s="11" t="str">
        <f ca="1">IF(History!JB$2="","",History!JB47*$C$58)</f>
        <v/>
      </c>
      <c r="IY58" s="11" t="str">
        <f ca="1">IF(History!JC$2="","",History!JC47*$C$58)</f>
        <v/>
      </c>
      <c r="IZ58" s="11" t="str">
        <f ca="1">IF(History!JD$2="","",History!JD47*$C$58)</f>
        <v/>
      </c>
      <c r="JA58" s="11" t="str">
        <f ca="1">IF(History!JE$2="","",History!JE47*$C$58)</f>
        <v/>
      </c>
      <c r="JB58" s="11" t="str">
        <f ca="1">IF(History!JF$2="","",History!JF47*$C$58)</f>
        <v/>
      </c>
      <c r="JC58" s="11" t="str">
        <f ca="1">IF(History!JG$2="","",History!JG47*$C$58)</f>
        <v/>
      </c>
      <c r="JD58" s="11" t="str">
        <f ca="1">IF(History!JH$2="","",History!JH47*$C$58)</f>
        <v/>
      </c>
      <c r="JE58" s="11" t="str">
        <f ca="1">IF(History!JI$2="","",History!JI47*$C$58)</f>
        <v/>
      </c>
      <c r="JF58" s="11" t="str">
        <f ca="1">IF(History!JJ$2="","",History!JJ47*$C$58)</f>
        <v/>
      </c>
      <c r="JG58" s="11" t="str">
        <f ca="1">IF(History!JK$2="","",History!JK47*$C$58)</f>
        <v/>
      </c>
      <c r="JH58" s="11" t="str">
        <f ca="1">IF(History!JL$2="","",History!JL47*$C$58)</f>
        <v/>
      </c>
      <c r="JI58" s="11" t="str">
        <f ca="1">IF(History!JM$2="","",History!JM47*$C$58)</f>
        <v/>
      </c>
      <c r="JJ58" s="11" t="str">
        <f ca="1">IF(History!JN$2="","",History!JN47*$C$58)</f>
        <v/>
      </c>
      <c r="JK58" s="11" t="str">
        <f ca="1">IF(History!JO$2="","",History!JO47*$C$58)</f>
        <v/>
      </c>
      <c r="JL58" s="11" t="str">
        <f ca="1">IF(History!JP$2="","",History!JP47*$C$58)</f>
        <v/>
      </c>
      <c r="JM58" s="11" t="str">
        <f ca="1">IF(History!JQ$2="","",History!JQ47*$C$58)</f>
        <v/>
      </c>
      <c r="JN58" s="11" t="str">
        <f ca="1">IF(History!JR$2="","",History!JR47*$C$58)</f>
        <v/>
      </c>
      <c r="JO58" s="11" t="str">
        <f ca="1">IF(History!JS$2="","",History!JS47*$C$58)</f>
        <v/>
      </c>
      <c r="JP58" s="11" t="str">
        <f ca="1">IF(History!JT$2="","",History!JT47*$C$58)</f>
        <v/>
      </c>
      <c r="JQ58" s="11" t="str">
        <f ca="1">IF(History!JU$2="","",History!JU47*$C$58)</f>
        <v/>
      </c>
      <c r="JR58" s="11" t="str">
        <f ca="1">IF(History!JV$2="","",History!JV47*$C$58)</f>
        <v/>
      </c>
      <c r="JS58" s="11" t="str">
        <f ca="1">IF(History!JW$2="","",History!JW47*$C$58)</f>
        <v/>
      </c>
      <c r="JT58" s="11" t="str">
        <f ca="1">IF(History!JX$2="","",History!JX47*$C$58)</f>
        <v/>
      </c>
      <c r="JU58" s="11" t="str">
        <f ca="1">IF(History!JY$2="","",History!JY47*$C$58)</f>
        <v/>
      </c>
      <c r="JV58" s="11" t="str">
        <f ca="1">IF(History!JZ$2="","",History!JZ47*$C$58)</f>
        <v/>
      </c>
      <c r="JW58" s="11" t="str">
        <f ca="1">IF(History!KA$2="","",History!KA47*$C$58)</f>
        <v/>
      </c>
      <c r="JX58" s="11" t="str">
        <f ca="1">IF(History!KB$2="","",History!KB47*$C$58)</f>
        <v/>
      </c>
      <c r="JY58" s="11" t="str">
        <f ca="1">IF(History!KC$2="","",History!KC47*$C$58)</f>
        <v/>
      </c>
      <c r="JZ58" s="11" t="str">
        <f ca="1">IF(History!KD$2="","",History!KD47*$C$58)</f>
        <v/>
      </c>
      <c r="KA58" s="11" t="str">
        <f ca="1">IF(History!KE$2="","",History!KE47*$C$58)</f>
        <v/>
      </c>
      <c r="KB58" s="11" t="str">
        <f ca="1">IF(History!KF$2="","",History!KF47*$C$58)</f>
        <v/>
      </c>
    </row>
    <row r="59" spans="1:288" ht="13">
      <c r="A59" s="22" t="s">
        <v>30</v>
      </c>
      <c r="B59" s="6" t="s">
        <v>90</v>
      </c>
      <c r="C59" s="26">
        <v>19</v>
      </c>
      <c r="D59" s="11">
        <f ca="1">IF(History!H$2="","",History!H48*$C$59)</f>
        <v>171.95000000000002</v>
      </c>
      <c r="E59" s="11">
        <f ca="1">IF(History!I$2="","",History!I48*$C$59)</f>
        <v>176.70000000000002</v>
      </c>
      <c r="F59" s="11">
        <f ca="1">IF(History!J$2="","",History!J48*$C$59)</f>
        <v>170.81</v>
      </c>
      <c r="G59" s="11">
        <f ca="1">IF(History!K$2="","",History!K48*$C$59)</f>
        <v>157.51</v>
      </c>
      <c r="H59" s="11">
        <f ca="1">IF(History!L$2="","",History!L48*$C$59)</f>
        <v>158.08000000000001</v>
      </c>
      <c r="I59" s="11">
        <f ca="1">IF(History!M$2="","",History!M48*$C$59)</f>
        <v>152.19</v>
      </c>
      <c r="J59" s="11">
        <f ca="1">IF(History!N$2="","",History!N48*$C$59)</f>
        <v>153.9</v>
      </c>
      <c r="K59" s="11">
        <f ca="1">IF(History!O$2="","",History!O48*$C$59)</f>
        <v>150.66999999999999</v>
      </c>
      <c r="L59" s="11">
        <f ca="1">IF(History!P$2="","",History!P48*$C$59)</f>
        <v>147.25</v>
      </c>
      <c r="M59" s="11">
        <f ca="1">IF(History!Q$2="","",History!Q48*$C$59)</f>
        <v>144.59</v>
      </c>
      <c r="N59" s="11">
        <f ca="1">IF(History!R$2="","",History!R48*$C$59)</f>
        <v>147.06</v>
      </c>
      <c r="O59" s="11">
        <f ca="1">IF(History!S$2="","",History!S48*$C$59)</f>
        <v>147.25</v>
      </c>
      <c r="P59" s="11">
        <f ca="1">IF(History!T$2="","",History!T48*$C$59)</f>
        <v>144.21</v>
      </c>
      <c r="Q59" s="11">
        <f ca="1">IF(History!U$2="","",History!U48*$C$59)</f>
        <v>144.59</v>
      </c>
      <c r="R59" s="11">
        <f ca="1">IF(History!V$2="","",History!V48*$C$59)</f>
        <v>155.60999999999999</v>
      </c>
      <c r="S59" s="11">
        <f ca="1">IF(History!W$2="","",History!W48*$C$59)</f>
        <v>158.65</v>
      </c>
      <c r="T59" s="11">
        <f ca="1">IF(History!X$2="","",History!X48*$C$59)</f>
        <v>158.27000000000001</v>
      </c>
      <c r="U59" s="11">
        <f ca="1">IF(History!Y$2="","",History!Y48*$C$59)</f>
        <v>149.91</v>
      </c>
      <c r="V59" s="11">
        <f ca="1">IF(History!Z$2="","",History!Z48*$C$59)</f>
        <v>148.58000000000001</v>
      </c>
      <c r="W59" s="11">
        <f ca="1">IF(History!AA$2="","",History!AA48*$C$59)</f>
        <v>148.01</v>
      </c>
      <c r="X59" s="11">
        <f ca="1">IF(History!AB$2="","",History!AB48*$C$59)</f>
        <v>150.47999999999999</v>
      </c>
      <c r="Y59" s="11">
        <f ca="1">IF(History!AC$2="","",History!AC48*$C$59)</f>
        <v>153.71</v>
      </c>
      <c r="Z59" s="11">
        <f ca="1">IF(History!AD$2="","",History!AD48*$C$59)</f>
        <v>154.66000000000003</v>
      </c>
      <c r="AA59" s="11">
        <f ca="1">IF(History!AE$2="","",History!AE48*$C$59)</f>
        <v>156.56</v>
      </c>
      <c r="AB59" s="11">
        <f ca="1">IF(History!AF$2="","",History!AF48*$C$59)</f>
        <v>156.56</v>
      </c>
      <c r="AC59" s="11">
        <f ca="1">IF(History!AG$2="","",History!AG48*$C$59)</f>
        <v>159.22000000000003</v>
      </c>
      <c r="AD59" s="11">
        <f ca="1">IF(History!AH$2="","",History!AH48*$C$59)</f>
        <v>159.79</v>
      </c>
      <c r="AE59" s="11">
        <f ca="1">IF(History!AI$2="","",History!AI48*$C$59)</f>
        <v>155.79999999999998</v>
      </c>
      <c r="AF59" s="11">
        <f ca="1">IF(History!AJ$2="","",History!AJ48*$C$59)</f>
        <v>150.1</v>
      </c>
      <c r="AG59" s="11">
        <f ca="1">IF(History!AK$2="","",History!AK48*$C$59)</f>
        <v>154.27999999999997</v>
      </c>
      <c r="AH59" s="11">
        <f ca="1">IF(History!AL$2="","",History!AL48*$C$59)</f>
        <v>153.71</v>
      </c>
      <c r="AI59" s="11">
        <f ca="1">IF(History!AM$2="","",History!AM48*$C$59)</f>
        <v>152</v>
      </c>
      <c r="AJ59" s="11">
        <f ca="1">IF(History!AN$2="","",History!AN48*$C$59)</f>
        <v>153.14000000000001</v>
      </c>
      <c r="AK59" s="11">
        <f ca="1">IF(History!AO$2="","",History!AO48*$C$59)</f>
        <v>159.22000000000003</v>
      </c>
      <c r="AL59" s="11">
        <f ca="1">IF(History!AP$2="","",History!AP48*$C$59)</f>
        <v>158.08000000000001</v>
      </c>
      <c r="AM59" s="11">
        <f ca="1">IF(History!AQ$2="","",History!AQ48*$C$59)</f>
        <v>163.21</v>
      </c>
      <c r="AN59" s="11">
        <f ca="1">IF(History!AR$2="","",History!AR48*$C$59)</f>
        <v>160.16999999999999</v>
      </c>
      <c r="AO59" s="11">
        <f ca="1">IF(History!AS$2="","",History!AS48*$C$59)</f>
        <v>154.66000000000003</v>
      </c>
      <c r="AP59" s="11">
        <f ca="1">IF(History!AT$2="","",History!AT48*$C$59)</f>
        <v>145.91999999999999</v>
      </c>
      <c r="AQ59" s="11">
        <f ca="1">IF(History!AU$2="","",History!AU48*$C$59)</f>
        <v>146.30000000000001</v>
      </c>
      <c r="AR59" s="11">
        <f ca="1">IF(History!AV$2="","",History!AV48*$C$59)</f>
        <v>151.24</v>
      </c>
      <c r="AS59" s="11">
        <f ca="1">IF(History!AW$2="","",History!AW48*$C$59)</f>
        <v>151.81</v>
      </c>
      <c r="AT59" s="11">
        <f ca="1">IF(History!AX$2="","",History!AX48*$C$59)</f>
        <v>149.72</v>
      </c>
      <c r="AU59" s="11">
        <f ca="1">IF(History!AY$2="","",History!AY48*$C$59)</f>
        <v>146.11000000000001</v>
      </c>
      <c r="AV59" s="11">
        <f ca="1">IF(History!AZ$2="","",History!AZ48*$C$59)</f>
        <v>151.43</v>
      </c>
      <c r="AW59" s="11">
        <f ca="1">IF(History!BA$2="","",History!BA48*$C$59)</f>
        <v>152.38</v>
      </c>
      <c r="AX59" s="11">
        <f ca="1">IF(History!BB$2="","",History!BB48*$C$59)</f>
        <v>159.6</v>
      </c>
      <c r="AY59" s="11">
        <f ca="1">IF(History!BC$2="","",History!BC48*$C$59)</f>
        <v>163.58999999999997</v>
      </c>
      <c r="AZ59" s="11">
        <f ca="1">IF(History!BD$2="","",History!BD48*$C$59)</f>
        <v>160.35999999999999</v>
      </c>
      <c r="BA59" s="11">
        <f ca="1">IF(History!BE$2="","",History!BE48*$C$59)</f>
        <v>159.6</v>
      </c>
      <c r="BB59" s="11">
        <f ca="1">IF(History!BF$2="","",History!BF48*$C$59)</f>
        <v>158.27000000000001</v>
      </c>
      <c r="BC59" s="11">
        <f ca="1">IF(History!BG$2="","",History!BG48*$C$59)</f>
        <v>158.27000000000001</v>
      </c>
      <c r="BD59" s="11">
        <f ca="1">IF(History!BH$2="","",History!BH48*$C$59)</f>
        <v>158.46</v>
      </c>
      <c r="BE59" s="11">
        <f ca="1">IF(History!BI$2="","",History!BI48*$C$59)</f>
        <v>157.89000000000001</v>
      </c>
      <c r="BF59" s="11">
        <f ca="1">IF(History!BJ$2="","",History!BJ48*$C$59)</f>
        <v>159.97999999999999</v>
      </c>
      <c r="BG59" s="11">
        <f ca="1">IF(History!BK$2="","",History!BK48*$C$59)</f>
        <v>155.41999999999999</v>
      </c>
      <c r="BH59" s="11">
        <f ca="1">IF(History!BL$2="","",History!BL48*$C$59)</f>
        <v>154.08999999999997</v>
      </c>
      <c r="BI59" s="11">
        <f ca="1">IF(History!BM$2="","",History!BM48*$C$59)</f>
        <v>161.12</v>
      </c>
      <c r="BJ59" s="11">
        <f ca="1">IF(History!BN$2="","",History!BN48*$C$59)</f>
        <v>164.35</v>
      </c>
      <c r="BK59" s="11">
        <f ca="1">IF(History!BO$2="","",History!BO48*$C$59)</f>
        <v>167.01</v>
      </c>
      <c r="BL59" s="11">
        <f ca="1">IF(History!BP$2="","",History!BP48*$C$59)</f>
        <v>169.67</v>
      </c>
      <c r="BM59" s="11">
        <f ca="1">IF(History!BQ$2="","",History!BQ48*$C$59)</f>
        <v>167.20000000000002</v>
      </c>
      <c r="BN59" s="11">
        <f ca="1">IF(History!BR$2="","",History!BR48*$C$59)</f>
        <v>166.82</v>
      </c>
      <c r="BO59" s="11">
        <f ca="1">IF(History!BS$2="","",History!BS48*$C$59)</f>
        <v>153.14000000000001</v>
      </c>
      <c r="BP59" s="11">
        <f ca="1">IF(History!BT$2="","",History!BT48*$C$59)</f>
        <v>148.19999999999999</v>
      </c>
      <c r="BQ59" s="11">
        <f ca="1">IF(History!BU$2="","",History!BU48*$C$59)</f>
        <v>148.96</v>
      </c>
      <c r="BR59" s="11">
        <f ca="1">IF(History!BV$2="","",History!BV48*$C$59)</f>
        <v>150.47999999999999</v>
      </c>
      <c r="BS59" s="11">
        <f ca="1">IF(History!BW$2="","",History!BW48*$C$59)</f>
        <v>143.83000000000001</v>
      </c>
      <c r="BT59" s="11">
        <f ca="1">IF(History!BX$2="","",History!BX48*$C$59)</f>
        <v>144.78</v>
      </c>
      <c r="BU59" s="11">
        <f ca="1">IF(History!BY$2="","",History!BY48*$C$59)</f>
        <v>144.21</v>
      </c>
      <c r="BV59" s="11">
        <f ca="1">IF(History!BZ$2="","",History!BZ48*$C$59)</f>
        <v>137.56</v>
      </c>
      <c r="BW59" s="11">
        <f ca="1">IF(History!CA$2="","",History!CA48*$C$59)</f>
        <v>138.69999999999999</v>
      </c>
      <c r="BX59" s="11">
        <f ca="1">IF(History!CB$2="","",History!CB48*$C$59)</f>
        <v>137.56</v>
      </c>
      <c r="BY59" s="11">
        <f ca="1">IF(History!CC$2="","",History!CC48*$C$59)</f>
        <v>129.77000000000001</v>
      </c>
      <c r="BZ59" s="11">
        <f ca="1">IF(History!CD$2="","",History!CD48*$C$59)</f>
        <v>125.97</v>
      </c>
      <c r="CA59" s="11">
        <f ca="1">IF(History!CE$2="","",History!CE48*$C$59)</f>
        <v>125.97</v>
      </c>
      <c r="CB59" s="11">
        <f ca="1">IF(History!CF$2="","",History!CF48*$C$59)</f>
        <v>124.83000000000001</v>
      </c>
      <c r="CC59" s="11">
        <f ca="1">IF(History!CG$2="","",History!CG48*$C$59)</f>
        <v>125.39999999999999</v>
      </c>
      <c r="CD59" s="11">
        <f ca="1">IF(History!CH$2="","",History!CH48*$C$59)</f>
        <v>123.69</v>
      </c>
      <c r="CE59" s="11">
        <f ca="1">IF(History!CI$2="","",History!CI48*$C$59)</f>
        <v>124.45</v>
      </c>
      <c r="CF59" s="11" t="str">
        <f ca="1">IF(History!CJ$2="","",History!CJ48*$C$59)</f>
        <v/>
      </c>
      <c r="CG59" s="11" t="str">
        <f ca="1">IF(History!CK$2="","",History!CK48*$C$59)</f>
        <v/>
      </c>
      <c r="CH59" s="11" t="str">
        <f ca="1">IF(History!CL$2="","",History!CL48*$C$59)</f>
        <v/>
      </c>
      <c r="CI59" s="11" t="str">
        <f ca="1">IF(History!CM$2="","",History!CM48*$C$59)</f>
        <v/>
      </c>
      <c r="CJ59" s="11" t="str">
        <f ca="1">IF(History!CN$2="","",History!CN48*$C$59)</f>
        <v/>
      </c>
      <c r="CK59" s="11" t="str">
        <f ca="1">IF(History!CO$2="","",History!CO48*$C$59)</f>
        <v/>
      </c>
      <c r="CL59" s="11" t="str">
        <f ca="1">IF(History!CP$2="","",History!CP48*$C$59)</f>
        <v/>
      </c>
      <c r="CM59" s="11" t="str">
        <f ca="1">IF(History!CQ$2="","",History!CQ48*$C$59)</f>
        <v/>
      </c>
      <c r="CN59" s="11" t="str">
        <f ca="1">IF(History!CR$2="","",History!CR48*$C$59)</f>
        <v/>
      </c>
      <c r="CO59" s="11" t="str">
        <f ca="1">IF(History!CS$2="","",History!CS48*$C$59)</f>
        <v/>
      </c>
      <c r="CP59" s="11" t="str">
        <f ca="1">IF(History!CT$2="","",History!CT48*$C$59)</f>
        <v/>
      </c>
      <c r="CQ59" s="11" t="str">
        <f ca="1">IF(History!CU$2="","",History!CU48*$C$59)</f>
        <v/>
      </c>
      <c r="CR59" s="11" t="str">
        <f ca="1">IF(History!CV$2="","",History!CV48*$C$59)</f>
        <v/>
      </c>
      <c r="CS59" s="11" t="str">
        <f ca="1">IF(History!CW$2="","",History!CW48*$C$59)</f>
        <v/>
      </c>
      <c r="CT59" s="11" t="str">
        <f ca="1">IF(History!CX$2="","",History!CX48*$C$59)</f>
        <v/>
      </c>
      <c r="CU59" s="11" t="str">
        <f ca="1">IF(History!CY$2="","",History!CY48*$C$59)</f>
        <v/>
      </c>
      <c r="CV59" s="11" t="str">
        <f ca="1">IF(History!CZ$2="","",History!CZ48*$C$59)</f>
        <v/>
      </c>
      <c r="CW59" s="11" t="str">
        <f ca="1">IF(History!DA$2="","",History!DA48*$C$59)</f>
        <v/>
      </c>
      <c r="CX59" s="11" t="str">
        <f ca="1">IF(History!DB$2="","",History!DB48*$C$59)</f>
        <v/>
      </c>
      <c r="CY59" s="11" t="str">
        <f ca="1">IF(History!DC$2="","",History!DC48*$C$59)</f>
        <v/>
      </c>
      <c r="CZ59" s="11" t="str">
        <f ca="1">IF(History!DD$2="","",History!DD48*$C$59)</f>
        <v/>
      </c>
      <c r="DA59" s="11" t="str">
        <f ca="1">IF(History!DE$2="","",History!DE48*$C$59)</f>
        <v/>
      </c>
      <c r="DB59" s="11" t="str">
        <f ca="1">IF(History!DF$2="","",History!DF48*$C$59)</f>
        <v/>
      </c>
      <c r="DC59" s="11" t="str">
        <f ca="1">IF(History!DG$2="","",History!DG48*$C$59)</f>
        <v/>
      </c>
      <c r="DD59" s="11" t="str">
        <f ca="1">IF(History!DH$2="","",History!DH48*$C$59)</f>
        <v/>
      </c>
      <c r="DE59" s="11" t="str">
        <f ca="1">IF(History!DI$2="","",History!DI48*$C$59)</f>
        <v/>
      </c>
      <c r="DF59" s="11" t="str">
        <f ca="1">IF(History!DJ$2="","",History!DJ48*$C$59)</f>
        <v/>
      </c>
      <c r="DG59" s="11" t="str">
        <f ca="1">IF(History!DK$2="","",History!DK48*$C$59)</f>
        <v/>
      </c>
      <c r="DH59" s="11" t="str">
        <f ca="1">IF(History!DL$2="","",History!DL48*$C$59)</f>
        <v/>
      </c>
      <c r="DI59" s="11" t="str">
        <f ca="1">IF(History!DM$2="","",History!DM48*$C$59)</f>
        <v/>
      </c>
      <c r="DJ59" s="11" t="str">
        <f ca="1">IF(History!DN$2="","",History!DN48*$C$59)</f>
        <v/>
      </c>
      <c r="DK59" s="11" t="str">
        <f ca="1">IF(History!DO$2="","",History!DO48*$C$59)</f>
        <v/>
      </c>
      <c r="DL59" s="11" t="str">
        <f ca="1">IF(History!DP$2="","",History!DP48*$C$59)</f>
        <v/>
      </c>
      <c r="DM59" s="11" t="str">
        <f ca="1">IF(History!DQ$2="","",History!DQ48*$C$59)</f>
        <v/>
      </c>
      <c r="DN59" s="11" t="str">
        <f ca="1">IF(History!DR$2="","",History!DR48*$C$59)</f>
        <v/>
      </c>
      <c r="DO59" s="11" t="str">
        <f ca="1">IF(History!DS$2="","",History!DS48*$C$59)</f>
        <v/>
      </c>
      <c r="DP59" s="11" t="str">
        <f ca="1">IF(History!DT$2="","",History!DT48*$C$59)</f>
        <v/>
      </c>
      <c r="DQ59" s="11" t="str">
        <f ca="1">IF(History!DU$2="","",History!DU48*$C$59)</f>
        <v/>
      </c>
      <c r="DR59" s="11" t="str">
        <f ca="1">IF(History!DV$2="","",History!DV48*$C$59)</f>
        <v/>
      </c>
      <c r="DS59" s="11" t="str">
        <f ca="1">IF(History!DW$2="","",History!DW48*$C$59)</f>
        <v/>
      </c>
      <c r="DT59" s="11" t="str">
        <f ca="1">IF(History!DX$2="","",History!DX48*$C$59)</f>
        <v/>
      </c>
      <c r="DU59" s="11" t="str">
        <f ca="1">IF(History!DY$2="","",History!DY48*$C$59)</f>
        <v/>
      </c>
      <c r="DV59" s="11" t="str">
        <f ca="1">IF(History!DZ$2="","",History!DZ48*$C$59)</f>
        <v/>
      </c>
      <c r="DW59" s="11" t="str">
        <f ca="1">IF(History!EA$2="","",History!EA48*$C$59)</f>
        <v/>
      </c>
      <c r="DX59" s="11" t="str">
        <f ca="1">IF(History!EB$2="","",History!EB48*$C$59)</f>
        <v/>
      </c>
      <c r="DY59" s="11" t="str">
        <f ca="1">IF(History!EC$2="","",History!EC48*$C$59)</f>
        <v/>
      </c>
      <c r="DZ59" s="11" t="str">
        <f ca="1">IF(History!ED$2="","",History!ED48*$C$59)</f>
        <v/>
      </c>
      <c r="EA59" s="11" t="str">
        <f ca="1">IF(History!EE$2="","",History!EE48*$C$59)</f>
        <v/>
      </c>
      <c r="EB59" s="11" t="str">
        <f ca="1">IF(History!EF$2="","",History!EF48*$C$59)</f>
        <v/>
      </c>
      <c r="EC59" s="11" t="str">
        <f ca="1">IF(History!EG$2="","",History!EG48*$C$59)</f>
        <v/>
      </c>
      <c r="ED59" s="11" t="str">
        <f ca="1">IF(History!EH$2="","",History!EH48*$C$59)</f>
        <v/>
      </c>
      <c r="EE59" s="11" t="str">
        <f ca="1">IF(History!EI$2="","",History!EI48*$C$59)</f>
        <v/>
      </c>
      <c r="EF59" s="11" t="str">
        <f ca="1">IF(History!EJ$2="","",History!EJ48*$C$59)</f>
        <v/>
      </c>
      <c r="EG59" s="11" t="str">
        <f ca="1">IF(History!EK$2="","",History!EK48*$C$59)</f>
        <v/>
      </c>
      <c r="EH59" s="11" t="str">
        <f ca="1">IF(History!EL$2="","",History!EL48*$C$59)</f>
        <v/>
      </c>
      <c r="EI59" s="11" t="str">
        <f ca="1">IF(History!EM$2="","",History!EM48*$C$59)</f>
        <v/>
      </c>
      <c r="EJ59" s="11" t="str">
        <f ca="1">IF(History!EN$2="","",History!EN48*$C$59)</f>
        <v/>
      </c>
      <c r="EK59" s="11" t="str">
        <f ca="1">IF(History!EO$2="","",History!EO48*$C$59)</f>
        <v/>
      </c>
      <c r="EL59" s="11" t="str">
        <f ca="1">IF(History!EP$2="","",History!EP48*$C$59)</f>
        <v/>
      </c>
      <c r="EM59" s="11" t="str">
        <f ca="1">IF(History!EQ$2="","",History!EQ48*$C$59)</f>
        <v/>
      </c>
      <c r="EN59" s="11" t="str">
        <f ca="1">IF(History!ER$2="","",History!ER48*$C$59)</f>
        <v/>
      </c>
      <c r="EO59" s="11" t="str">
        <f ca="1">IF(History!ES$2="","",History!ES48*$C$59)</f>
        <v/>
      </c>
      <c r="EP59" s="11" t="str">
        <f ca="1">IF(History!ET$2="","",History!ET48*$C$59)</f>
        <v/>
      </c>
      <c r="EQ59" s="11" t="str">
        <f ca="1">IF(History!EU$2="","",History!EU48*$C$59)</f>
        <v/>
      </c>
      <c r="ER59" s="11" t="str">
        <f ca="1">IF(History!EV$2="","",History!EV48*$C$59)</f>
        <v/>
      </c>
      <c r="ES59" s="11" t="str">
        <f ca="1">IF(History!EW$2="","",History!EW48*$C$59)</f>
        <v/>
      </c>
      <c r="ET59" s="11" t="str">
        <f ca="1">IF(History!EX$2="","",History!EX48*$C$59)</f>
        <v/>
      </c>
      <c r="EU59" s="11" t="str">
        <f ca="1">IF(History!EY$2="","",History!EY48*$C$59)</f>
        <v/>
      </c>
      <c r="EV59" s="11" t="str">
        <f ca="1">IF(History!EZ$2="","",History!EZ48*$C$59)</f>
        <v/>
      </c>
      <c r="EW59" s="11" t="str">
        <f ca="1">IF(History!FA$2="","",History!FA48*$C$59)</f>
        <v/>
      </c>
      <c r="EX59" s="11" t="str">
        <f ca="1">IF(History!FB$2="","",History!FB48*$C$59)</f>
        <v/>
      </c>
      <c r="EY59" s="11" t="str">
        <f ca="1">IF(History!FC$2="","",History!FC48*$C$59)</f>
        <v/>
      </c>
      <c r="EZ59" s="11" t="str">
        <f ca="1">IF(History!FD$2="","",History!FD48*$C$59)</f>
        <v/>
      </c>
      <c r="FA59" s="11" t="str">
        <f ca="1">IF(History!FE$2="","",History!FE48*$C$59)</f>
        <v/>
      </c>
      <c r="FB59" s="11" t="str">
        <f ca="1">IF(History!FF$2="","",History!FF48*$C$59)</f>
        <v/>
      </c>
      <c r="FC59" s="11" t="str">
        <f ca="1">IF(History!FG$2="","",History!FG48*$C$59)</f>
        <v/>
      </c>
      <c r="FD59" s="11" t="str">
        <f ca="1">IF(History!FH$2="","",History!FH48*$C$59)</f>
        <v/>
      </c>
      <c r="FE59" s="11" t="str">
        <f ca="1">IF(History!FI$2="","",History!FI48*$C$59)</f>
        <v/>
      </c>
      <c r="FF59" s="11" t="str">
        <f ca="1">IF(History!FJ$2="","",History!FJ48*$C$59)</f>
        <v/>
      </c>
      <c r="FG59" s="11" t="str">
        <f ca="1">IF(History!FK$2="","",History!FK48*$C$59)</f>
        <v/>
      </c>
      <c r="FH59" s="11" t="str">
        <f ca="1">IF(History!FL$2="","",History!FL48*$C$59)</f>
        <v/>
      </c>
      <c r="FI59" s="11" t="str">
        <f ca="1">IF(History!FM$2="","",History!FM48*$C$59)</f>
        <v/>
      </c>
      <c r="FJ59" s="11" t="str">
        <f ca="1">IF(History!FN$2="","",History!FN48*$C$59)</f>
        <v/>
      </c>
      <c r="FK59" s="11" t="str">
        <f ca="1">IF(History!FO$2="","",History!FO48*$C$59)</f>
        <v/>
      </c>
      <c r="FL59" s="11" t="str">
        <f ca="1">IF(History!FP$2="","",History!FP48*$C$59)</f>
        <v/>
      </c>
      <c r="FM59" s="11" t="str">
        <f ca="1">IF(History!FQ$2="","",History!FQ48*$C$59)</f>
        <v/>
      </c>
      <c r="FN59" s="11" t="str">
        <f ca="1">IF(History!FR$2="","",History!FR48*$C$59)</f>
        <v/>
      </c>
      <c r="FO59" s="11" t="str">
        <f ca="1">IF(History!FS$2="","",History!FS48*$C$59)</f>
        <v/>
      </c>
      <c r="FP59" s="11" t="str">
        <f ca="1">IF(History!FT$2="","",History!FT48*$C$59)</f>
        <v/>
      </c>
      <c r="FQ59" s="11" t="str">
        <f ca="1">IF(History!FU$2="","",History!FU48*$C$59)</f>
        <v/>
      </c>
      <c r="FR59" s="11" t="str">
        <f ca="1">IF(History!FV$2="","",History!FV48*$C$59)</f>
        <v/>
      </c>
      <c r="FS59" s="11" t="str">
        <f ca="1">IF(History!FW$2="","",History!FW48*$C$59)</f>
        <v/>
      </c>
      <c r="FT59" s="11" t="str">
        <f ca="1">IF(History!FX$2="","",History!FX48*$C$59)</f>
        <v/>
      </c>
      <c r="FU59" s="11" t="str">
        <f ca="1">IF(History!FY$2="","",History!FY48*$C$59)</f>
        <v/>
      </c>
      <c r="FV59" s="11" t="str">
        <f ca="1">IF(History!FZ$2="","",History!FZ48*$C$59)</f>
        <v/>
      </c>
      <c r="FW59" s="11" t="str">
        <f ca="1">IF(History!GA$2="","",History!GA48*$C$59)</f>
        <v/>
      </c>
      <c r="FX59" s="11" t="str">
        <f ca="1">IF(History!GB$2="","",History!GB48*$C$59)</f>
        <v/>
      </c>
      <c r="FY59" s="11" t="str">
        <f ca="1">IF(History!GC$2="","",History!GC48*$C$59)</f>
        <v/>
      </c>
      <c r="FZ59" s="11" t="str">
        <f ca="1">IF(History!GD$2="","",History!GD48*$C$59)</f>
        <v/>
      </c>
      <c r="GA59" s="11" t="str">
        <f ca="1">IF(History!GE$2="","",History!GE48*$C$59)</f>
        <v/>
      </c>
      <c r="GB59" s="11" t="str">
        <f ca="1">IF(History!GF$2="","",History!GF48*$C$59)</f>
        <v/>
      </c>
      <c r="GC59" s="11" t="str">
        <f ca="1">IF(History!GG$2="","",History!GG48*$C$59)</f>
        <v/>
      </c>
      <c r="GD59" s="11" t="str">
        <f ca="1">IF(History!GH$2="","",History!GH48*$C$59)</f>
        <v/>
      </c>
      <c r="GE59" s="11" t="str">
        <f ca="1">IF(History!GI$2="","",History!GI48*$C$59)</f>
        <v/>
      </c>
      <c r="GF59" s="11" t="str">
        <f ca="1">IF(History!GJ$2="","",History!GJ48*$C$59)</f>
        <v/>
      </c>
      <c r="GG59" s="11" t="str">
        <f ca="1">IF(History!GK$2="","",History!GK48*$C$59)</f>
        <v/>
      </c>
      <c r="GH59" s="11" t="str">
        <f ca="1">IF(History!GL$2="","",History!GL48*$C$59)</f>
        <v/>
      </c>
      <c r="GI59" s="11" t="str">
        <f ca="1">IF(History!GM$2="","",History!GM48*$C$59)</f>
        <v/>
      </c>
      <c r="GJ59" s="11" t="str">
        <f ca="1">IF(History!GN$2="","",History!GN48*$C$59)</f>
        <v/>
      </c>
      <c r="GK59" s="11" t="str">
        <f ca="1">IF(History!GO$2="","",History!GO48*$C$59)</f>
        <v/>
      </c>
      <c r="GL59" s="11" t="str">
        <f ca="1">IF(History!GP$2="","",History!GP48*$C$59)</f>
        <v/>
      </c>
      <c r="GM59" s="11" t="str">
        <f ca="1">IF(History!GQ$2="","",History!GQ48*$C$59)</f>
        <v/>
      </c>
      <c r="GN59" s="11" t="str">
        <f ca="1">IF(History!GR$2="","",History!GR48*$C$59)</f>
        <v/>
      </c>
      <c r="GO59" s="11" t="str">
        <f ca="1">IF(History!GS$2="","",History!GS48*$C$59)</f>
        <v/>
      </c>
      <c r="GP59" s="11" t="str">
        <f ca="1">IF(History!GT$2="","",History!GT48*$C$59)</f>
        <v/>
      </c>
      <c r="GQ59" s="11" t="str">
        <f ca="1">IF(History!GU$2="","",History!GU48*$C$59)</f>
        <v/>
      </c>
      <c r="GR59" s="11" t="str">
        <f ca="1">IF(History!GV$2="","",History!GV48*$C$59)</f>
        <v/>
      </c>
      <c r="GS59" s="11" t="str">
        <f ca="1">IF(History!GW$2="","",History!GW48*$C$59)</f>
        <v/>
      </c>
      <c r="GT59" s="11" t="str">
        <f ca="1">IF(History!GX$2="","",History!GX48*$C$59)</f>
        <v/>
      </c>
      <c r="GU59" s="11" t="str">
        <f ca="1">IF(History!GY$2="","",History!GY48*$C$59)</f>
        <v/>
      </c>
      <c r="GV59" s="11" t="str">
        <f ca="1">IF(History!GZ$2="","",History!GZ48*$C$59)</f>
        <v/>
      </c>
      <c r="GW59" s="11" t="str">
        <f ca="1">IF(History!HA$2="","",History!HA48*$C$59)</f>
        <v/>
      </c>
      <c r="GX59" s="11" t="str">
        <f ca="1">IF(History!HB$2="","",History!HB48*$C$59)</f>
        <v/>
      </c>
      <c r="GY59" s="11" t="str">
        <f ca="1">IF(History!HC$2="","",History!HC48*$C$59)</f>
        <v/>
      </c>
      <c r="GZ59" s="11" t="str">
        <f ca="1">IF(History!HD$2="","",History!HD48*$C$59)</f>
        <v/>
      </c>
      <c r="HA59" s="11" t="str">
        <f ca="1">IF(History!HE$2="","",History!HE48*$C$59)</f>
        <v/>
      </c>
      <c r="HB59" s="11" t="str">
        <f ca="1">IF(History!HF$2="","",History!HF48*$C$59)</f>
        <v/>
      </c>
      <c r="HC59" s="11" t="str">
        <f ca="1">IF(History!HG$2="","",History!HG48*$C$59)</f>
        <v/>
      </c>
      <c r="HD59" s="11" t="str">
        <f ca="1">IF(History!HH$2="","",History!HH48*$C$59)</f>
        <v/>
      </c>
      <c r="HE59" s="11" t="str">
        <f ca="1">IF(History!HI$2="","",History!HI48*$C$59)</f>
        <v/>
      </c>
      <c r="HF59" s="11" t="str">
        <f ca="1">IF(History!HJ$2="","",History!HJ48*$C$59)</f>
        <v/>
      </c>
      <c r="HG59" s="11" t="str">
        <f ca="1">IF(History!HK$2="","",History!HK48*$C$59)</f>
        <v/>
      </c>
      <c r="HH59" s="11" t="str">
        <f ca="1">IF(History!HL$2="","",History!HL48*$C$59)</f>
        <v/>
      </c>
      <c r="HI59" s="11" t="str">
        <f ca="1">IF(History!HM$2="","",History!HM48*$C$59)</f>
        <v/>
      </c>
      <c r="HJ59" s="11" t="str">
        <f ca="1">IF(History!HN$2="","",History!HN48*$C$59)</f>
        <v/>
      </c>
      <c r="HK59" s="11" t="str">
        <f ca="1">IF(History!HO$2="","",History!HO48*$C$59)</f>
        <v/>
      </c>
      <c r="HL59" s="11" t="str">
        <f ca="1">IF(History!HP$2="","",History!HP48*$C$59)</f>
        <v/>
      </c>
      <c r="HM59" s="11" t="str">
        <f ca="1">IF(History!HQ$2="","",History!HQ48*$C$59)</f>
        <v/>
      </c>
      <c r="HN59" s="11" t="str">
        <f ca="1">IF(History!HR$2="","",History!HR48*$C$59)</f>
        <v/>
      </c>
      <c r="HO59" s="11" t="str">
        <f ca="1">IF(History!HS$2="","",History!HS48*$C$59)</f>
        <v/>
      </c>
      <c r="HP59" s="11" t="str">
        <f ca="1">IF(History!HT$2="","",History!HT48*$C$59)</f>
        <v/>
      </c>
      <c r="HQ59" s="11" t="str">
        <f ca="1">IF(History!HU$2="","",History!HU48*$C$59)</f>
        <v/>
      </c>
      <c r="HR59" s="11" t="str">
        <f ca="1">IF(History!HV$2="","",History!HV48*$C$59)</f>
        <v/>
      </c>
      <c r="HS59" s="11" t="str">
        <f ca="1">IF(History!HW$2="","",History!HW48*$C$59)</f>
        <v/>
      </c>
      <c r="HT59" s="11" t="str">
        <f ca="1">IF(History!HX$2="","",History!HX48*$C$59)</f>
        <v/>
      </c>
      <c r="HU59" s="11" t="str">
        <f ca="1">IF(History!HY$2="","",History!HY48*$C$59)</f>
        <v/>
      </c>
      <c r="HV59" s="11" t="str">
        <f ca="1">IF(History!HZ$2="","",History!HZ48*$C$59)</f>
        <v/>
      </c>
      <c r="HW59" s="11" t="str">
        <f ca="1">IF(History!IA$2="","",History!IA48*$C$59)</f>
        <v/>
      </c>
      <c r="HX59" s="11" t="str">
        <f ca="1">IF(History!IB$2="","",History!IB48*$C$59)</f>
        <v/>
      </c>
      <c r="HY59" s="11" t="str">
        <f ca="1">IF(History!IC$2="","",History!IC48*$C$59)</f>
        <v/>
      </c>
      <c r="HZ59" s="11" t="str">
        <f ca="1">IF(History!ID$2="","",History!ID48*$C$59)</f>
        <v/>
      </c>
      <c r="IA59" s="11" t="str">
        <f ca="1">IF(History!IE$2="","",History!IE48*$C$59)</f>
        <v/>
      </c>
      <c r="IB59" s="11" t="str">
        <f ca="1">IF(History!IF$2="","",History!IF48*$C$59)</f>
        <v/>
      </c>
      <c r="IC59" s="11" t="str">
        <f ca="1">IF(History!IG$2="","",History!IG48*$C$59)</f>
        <v/>
      </c>
      <c r="ID59" s="11" t="str">
        <f ca="1">IF(History!IH$2="","",History!IH48*$C$59)</f>
        <v/>
      </c>
      <c r="IE59" s="11" t="str">
        <f ca="1">IF(History!II$2="","",History!II48*$C$59)</f>
        <v/>
      </c>
      <c r="IF59" s="11" t="str">
        <f ca="1">IF(History!IJ$2="","",History!IJ48*$C$59)</f>
        <v/>
      </c>
      <c r="IG59" s="11" t="str">
        <f ca="1">IF(History!IK$2="","",History!IK48*$C$59)</f>
        <v/>
      </c>
      <c r="IH59" s="11" t="str">
        <f ca="1">IF(History!IL$2="","",History!IL48*$C$59)</f>
        <v/>
      </c>
      <c r="II59" s="11" t="str">
        <f ca="1">IF(History!IM$2="","",History!IM48*$C$59)</f>
        <v/>
      </c>
      <c r="IJ59" s="11" t="str">
        <f ca="1">IF(History!IN$2="","",History!IN48*$C$59)</f>
        <v/>
      </c>
      <c r="IK59" s="11" t="str">
        <f ca="1">IF(History!IO$2="","",History!IO48*$C$59)</f>
        <v/>
      </c>
      <c r="IL59" s="11" t="str">
        <f ca="1">IF(History!IP$2="","",History!IP48*$C$59)</f>
        <v/>
      </c>
      <c r="IM59" s="11" t="str">
        <f ca="1">IF(History!IQ$2="","",History!IQ48*$C$59)</f>
        <v/>
      </c>
      <c r="IN59" s="11" t="str">
        <f ca="1">IF(History!IR$2="","",History!IR48*$C$59)</f>
        <v/>
      </c>
      <c r="IO59" s="11" t="str">
        <f ca="1">IF(History!IS$2="","",History!IS48*$C$59)</f>
        <v/>
      </c>
      <c r="IP59" s="11" t="str">
        <f ca="1">IF(History!IT$2="","",History!IT48*$C$59)</f>
        <v/>
      </c>
      <c r="IQ59" s="11" t="str">
        <f ca="1">IF(History!IU$2="","",History!IU48*$C$59)</f>
        <v/>
      </c>
      <c r="IR59" s="11" t="str">
        <f ca="1">IF(History!IV$2="","",History!IV48*$C$59)</f>
        <v/>
      </c>
      <c r="IS59" s="11" t="str">
        <f ca="1">IF(History!IW$2="","",History!IW48*$C$59)</f>
        <v/>
      </c>
      <c r="IT59" s="11" t="str">
        <f ca="1">IF(History!IX$2="","",History!IX48*$C$59)</f>
        <v/>
      </c>
      <c r="IU59" s="11" t="str">
        <f ca="1">IF(History!IY$2="","",History!IY48*$C$59)</f>
        <v/>
      </c>
      <c r="IV59" s="11" t="str">
        <f ca="1">IF(History!IZ$2="","",History!IZ48*$C$59)</f>
        <v/>
      </c>
      <c r="IW59" s="11" t="str">
        <f ca="1">IF(History!JA$2="","",History!JA48*$C$59)</f>
        <v/>
      </c>
      <c r="IX59" s="11" t="str">
        <f ca="1">IF(History!JB$2="","",History!JB48*$C$59)</f>
        <v/>
      </c>
      <c r="IY59" s="11" t="str">
        <f ca="1">IF(History!JC$2="","",History!JC48*$C$59)</f>
        <v/>
      </c>
      <c r="IZ59" s="11" t="str">
        <f ca="1">IF(History!JD$2="","",History!JD48*$C$59)</f>
        <v/>
      </c>
      <c r="JA59" s="11" t="str">
        <f ca="1">IF(History!JE$2="","",History!JE48*$C$59)</f>
        <v/>
      </c>
      <c r="JB59" s="11" t="str">
        <f ca="1">IF(History!JF$2="","",History!JF48*$C$59)</f>
        <v/>
      </c>
      <c r="JC59" s="11" t="str">
        <f ca="1">IF(History!JG$2="","",History!JG48*$C$59)</f>
        <v/>
      </c>
      <c r="JD59" s="11" t="str">
        <f ca="1">IF(History!JH$2="","",History!JH48*$C$59)</f>
        <v/>
      </c>
      <c r="JE59" s="11" t="str">
        <f ca="1">IF(History!JI$2="","",History!JI48*$C$59)</f>
        <v/>
      </c>
      <c r="JF59" s="11" t="str">
        <f ca="1">IF(History!JJ$2="","",History!JJ48*$C$59)</f>
        <v/>
      </c>
      <c r="JG59" s="11" t="str">
        <f ca="1">IF(History!JK$2="","",History!JK48*$C$59)</f>
        <v/>
      </c>
      <c r="JH59" s="11" t="str">
        <f ca="1">IF(History!JL$2="","",History!JL48*$C$59)</f>
        <v/>
      </c>
      <c r="JI59" s="11" t="str">
        <f ca="1">IF(History!JM$2="","",History!JM48*$C$59)</f>
        <v/>
      </c>
      <c r="JJ59" s="11" t="str">
        <f ca="1">IF(History!JN$2="","",History!JN48*$C$59)</f>
        <v/>
      </c>
      <c r="JK59" s="11" t="str">
        <f ca="1">IF(History!JO$2="","",History!JO48*$C$59)</f>
        <v/>
      </c>
      <c r="JL59" s="11" t="str">
        <f ca="1">IF(History!JP$2="","",History!JP48*$C$59)</f>
        <v/>
      </c>
      <c r="JM59" s="11" t="str">
        <f ca="1">IF(History!JQ$2="","",History!JQ48*$C$59)</f>
        <v/>
      </c>
      <c r="JN59" s="11" t="str">
        <f ca="1">IF(History!JR$2="","",History!JR48*$C$59)</f>
        <v/>
      </c>
      <c r="JO59" s="11" t="str">
        <f ca="1">IF(History!JS$2="","",History!JS48*$C$59)</f>
        <v/>
      </c>
      <c r="JP59" s="11" t="str">
        <f ca="1">IF(History!JT$2="","",History!JT48*$C$59)</f>
        <v/>
      </c>
      <c r="JQ59" s="11" t="str">
        <f ca="1">IF(History!JU$2="","",History!JU48*$C$59)</f>
        <v/>
      </c>
      <c r="JR59" s="11" t="str">
        <f ca="1">IF(History!JV$2="","",History!JV48*$C$59)</f>
        <v/>
      </c>
      <c r="JS59" s="11" t="str">
        <f ca="1">IF(History!JW$2="","",History!JW48*$C$59)</f>
        <v/>
      </c>
      <c r="JT59" s="11" t="str">
        <f ca="1">IF(History!JX$2="","",History!JX48*$C$59)</f>
        <v/>
      </c>
      <c r="JU59" s="11" t="str">
        <f ca="1">IF(History!JY$2="","",History!JY48*$C$59)</f>
        <v/>
      </c>
      <c r="JV59" s="11" t="str">
        <f ca="1">IF(History!JZ$2="","",History!JZ48*$C$59)</f>
        <v/>
      </c>
      <c r="JW59" s="11" t="str">
        <f ca="1">IF(History!KA$2="","",History!KA48*$C$59)</f>
        <v/>
      </c>
      <c r="JX59" s="11" t="str">
        <f ca="1">IF(History!KB$2="","",History!KB48*$C$59)</f>
        <v/>
      </c>
      <c r="JY59" s="11" t="str">
        <f ca="1">IF(History!KC$2="","",History!KC48*$C$59)</f>
        <v/>
      </c>
      <c r="JZ59" s="11" t="str">
        <f ca="1">IF(History!KD$2="","",History!KD48*$C$59)</f>
        <v/>
      </c>
      <c r="KA59" s="11" t="str">
        <f ca="1">IF(History!KE$2="","",History!KE48*$C$59)</f>
        <v/>
      </c>
      <c r="KB59" s="11" t="str">
        <f ca="1">IF(History!KF$2="","",History!KF48*$C$59)</f>
        <v/>
      </c>
    </row>
    <row r="60" spans="1:288" ht="13">
      <c r="A60" s="22" t="s">
        <v>30</v>
      </c>
      <c r="B60" s="6" t="s">
        <v>91</v>
      </c>
      <c r="C60" s="26">
        <v>5</v>
      </c>
      <c r="D60" s="11">
        <f ca="1">IF(History!H$2="","",History!H49*$C$60)</f>
        <v>111.75</v>
      </c>
      <c r="E60" s="11">
        <f ca="1">IF(History!I$2="","",History!I49*$C$60)</f>
        <v>114.55</v>
      </c>
      <c r="F60" s="11">
        <f ca="1">IF(History!J$2="","",History!J49*$C$60)</f>
        <v>115.25</v>
      </c>
      <c r="G60" s="11">
        <f ca="1">IF(History!K$2="","",History!K49*$C$60)</f>
        <v>116.7</v>
      </c>
      <c r="H60" s="11">
        <f ca="1">IF(History!L$2="","",History!L49*$C$60)</f>
        <v>115.8</v>
      </c>
      <c r="I60" s="11">
        <f ca="1">IF(History!M$2="","",History!M49*$C$60)</f>
        <v>115.7</v>
      </c>
      <c r="J60" s="11">
        <f ca="1">IF(History!N$2="","",History!N49*$C$60)</f>
        <v>114.14999999999999</v>
      </c>
      <c r="K60" s="11">
        <f ca="1">IF(History!O$2="","",History!O49*$C$60)</f>
        <v>112.65</v>
      </c>
      <c r="L60" s="11">
        <f ca="1">IF(History!P$2="","",History!P49*$C$60)</f>
        <v>110.3</v>
      </c>
      <c r="M60" s="11">
        <f ca="1">IF(History!Q$2="","",History!Q49*$C$60)</f>
        <v>114.39999999999999</v>
      </c>
      <c r="N60" s="11">
        <f ca="1">IF(History!R$2="","",History!R49*$C$60)</f>
        <v>109.75</v>
      </c>
      <c r="O60" s="11">
        <f ca="1">IF(History!S$2="","",History!S49*$C$60)</f>
        <v>109.35000000000001</v>
      </c>
      <c r="P60" s="11">
        <f ca="1">IF(History!T$2="","",History!T49*$C$60)</f>
        <v>104.85</v>
      </c>
      <c r="Q60" s="11">
        <f ca="1">IF(History!U$2="","",History!U49*$C$60)</f>
        <v>104.80000000000001</v>
      </c>
      <c r="R60" s="11">
        <f ca="1">IF(History!V$2="","",History!V49*$C$60)</f>
        <v>108.6</v>
      </c>
      <c r="S60" s="11">
        <f ca="1">IF(History!W$2="","",History!W49*$C$60)</f>
        <v>107.5</v>
      </c>
      <c r="T60" s="11">
        <f ca="1">IF(History!X$2="","",History!X49*$C$60)</f>
        <v>108.5</v>
      </c>
      <c r="U60" s="11">
        <f ca="1">IF(History!Y$2="","",History!Y49*$C$60)</f>
        <v>107.05</v>
      </c>
      <c r="V60" s="11">
        <f ca="1">IF(History!Z$2="","",History!Z49*$C$60)</f>
        <v>102.89999999999999</v>
      </c>
      <c r="W60" s="11">
        <f ca="1">IF(History!AA$2="","",History!AA49*$C$60)</f>
        <v>103.4</v>
      </c>
      <c r="X60" s="11">
        <f ca="1">IF(History!AB$2="","",History!AB49*$C$60)</f>
        <v>103.5</v>
      </c>
      <c r="Y60" s="11">
        <f ca="1">IF(History!AC$2="","",History!AC49*$C$60)</f>
        <v>106.7</v>
      </c>
      <c r="Z60" s="11">
        <f ca="1">IF(History!AD$2="","",History!AD49*$C$60)</f>
        <v>108.10000000000001</v>
      </c>
      <c r="AA60" s="11">
        <f ca="1">IF(History!AE$2="","",History!AE49*$C$60)</f>
        <v>110.1</v>
      </c>
      <c r="AB60" s="11">
        <f ca="1">IF(History!AF$2="","",History!AF49*$C$60)</f>
        <v>107.6</v>
      </c>
      <c r="AC60" s="11">
        <f ca="1">IF(History!AG$2="","",History!AG49*$C$60)</f>
        <v>107.95</v>
      </c>
      <c r="AD60" s="11">
        <f ca="1">IF(History!AH$2="","",History!AH49*$C$60)</f>
        <v>111</v>
      </c>
      <c r="AE60" s="11">
        <f ca="1">IF(History!AI$2="","",History!AI49*$C$60)</f>
        <v>112.2</v>
      </c>
      <c r="AF60" s="11">
        <f ca="1">IF(History!AJ$2="","",History!AJ49*$C$60)</f>
        <v>112.65</v>
      </c>
      <c r="AG60" s="11">
        <f ca="1">IF(History!AK$2="","",History!AK49*$C$60)</f>
        <v>106.75</v>
      </c>
      <c r="AH60" s="11">
        <f ca="1">IF(History!AL$2="","",History!AL49*$C$60)</f>
        <v>106.55</v>
      </c>
      <c r="AI60" s="11">
        <f ca="1">IF(History!AM$2="","",History!AM49*$C$60)</f>
        <v>108.55000000000001</v>
      </c>
      <c r="AJ60" s="11">
        <f ca="1">IF(History!AN$2="","",History!AN49*$C$60)</f>
        <v>112.30000000000001</v>
      </c>
      <c r="AK60" s="11">
        <f ca="1">IF(History!AO$2="","",History!AO49*$C$60)</f>
        <v>112.55000000000001</v>
      </c>
      <c r="AL60" s="11">
        <f ca="1">IF(History!AP$2="","",History!AP49*$C$60)</f>
        <v>110.1</v>
      </c>
      <c r="AM60" s="11">
        <f ca="1">IF(History!AQ$2="","",History!AQ49*$C$60)</f>
        <v>113.5</v>
      </c>
      <c r="AN60" s="11">
        <f ca="1">IF(History!AR$2="","",History!AR49*$C$60)</f>
        <v>111.35</v>
      </c>
      <c r="AO60" s="11">
        <f ca="1">IF(History!AS$2="","",History!AS49*$C$60)</f>
        <v>111.19999999999999</v>
      </c>
      <c r="AP60" s="11">
        <f ca="1">IF(History!AT$2="","",History!AT49*$C$60)</f>
        <v>108.5</v>
      </c>
      <c r="AQ60" s="11">
        <f ca="1">IF(History!AU$2="","",History!AU49*$C$60)</f>
        <v>106.05000000000001</v>
      </c>
      <c r="AR60" s="11">
        <f ca="1">IF(History!AV$2="","",History!AV49*$C$60)</f>
        <v>111.8</v>
      </c>
      <c r="AS60" s="11">
        <f ca="1">IF(History!AW$2="","",History!AW49*$C$60)</f>
        <v>111.7</v>
      </c>
      <c r="AT60" s="11">
        <f ca="1">IF(History!AX$2="","",History!AX49*$C$60)</f>
        <v>109.60000000000001</v>
      </c>
      <c r="AU60" s="11">
        <f ca="1">IF(History!AY$2="","",History!AY49*$C$60)</f>
        <v>110.05000000000001</v>
      </c>
      <c r="AV60" s="11">
        <f ca="1">IF(History!AZ$2="","",History!AZ49*$C$60)</f>
        <v>113.25</v>
      </c>
      <c r="AW60" s="11">
        <f ca="1">IF(History!BA$2="","",History!BA49*$C$60)</f>
        <v>119.7</v>
      </c>
      <c r="AX60" s="11">
        <f ca="1">IF(History!BB$2="","",History!BB49*$C$60)</f>
        <v>119.60000000000001</v>
      </c>
      <c r="AY60" s="11">
        <f ca="1">IF(History!BC$2="","",History!BC49*$C$60)</f>
        <v>120.7</v>
      </c>
      <c r="AZ60" s="11">
        <f ca="1">IF(History!BD$2="","",History!BD49*$C$60)</f>
        <v>120.85000000000001</v>
      </c>
      <c r="BA60" s="11">
        <f ca="1">IF(History!BE$2="","",History!BE49*$C$60)</f>
        <v>120.45</v>
      </c>
      <c r="BB60" s="11">
        <f ca="1">IF(History!BF$2="","",History!BF49*$C$60)</f>
        <v>116.5</v>
      </c>
      <c r="BC60" s="11">
        <f ca="1">IF(History!BG$2="","",History!BG49*$C$60)</f>
        <v>115.7</v>
      </c>
      <c r="BD60" s="11">
        <f ca="1">IF(History!BH$2="","",History!BH49*$C$60)</f>
        <v>113.55000000000001</v>
      </c>
      <c r="BE60" s="11">
        <f ca="1">IF(History!BI$2="","",History!BI49*$C$60)</f>
        <v>115</v>
      </c>
      <c r="BF60" s="11">
        <f ca="1">IF(History!BJ$2="","",History!BJ49*$C$60)</f>
        <v>116.64999999999999</v>
      </c>
      <c r="BG60" s="11">
        <f ca="1">IF(History!BK$2="","",History!BK49*$C$60)</f>
        <v>110.7</v>
      </c>
      <c r="BH60" s="11">
        <f ca="1">IF(History!BL$2="","",History!BL49*$C$60)</f>
        <v>107.65</v>
      </c>
      <c r="BI60" s="11">
        <f ca="1">IF(History!BM$2="","",History!BM49*$C$60)</f>
        <v>102.69999999999999</v>
      </c>
      <c r="BJ60" s="11">
        <f ca="1">IF(History!BN$2="","",History!BN49*$C$60)</f>
        <v>100.85000000000001</v>
      </c>
      <c r="BK60" s="11">
        <f ca="1">IF(History!BO$2="","",History!BO49*$C$60)</f>
        <v>96.4</v>
      </c>
      <c r="BL60" s="11">
        <f ca="1">IF(History!BP$2="","",History!BP49*$C$60)</f>
        <v>94.55</v>
      </c>
      <c r="BM60" s="11">
        <f ca="1">IF(History!BQ$2="","",History!BQ49*$C$60)</f>
        <v>96.7</v>
      </c>
      <c r="BN60" s="11">
        <f ca="1">IF(History!BR$2="","",History!BR49*$C$60)</f>
        <v>93</v>
      </c>
      <c r="BO60" s="11">
        <f ca="1">IF(History!BS$2="","",History!BS49*$C$60)</f>
        <v>96.199999999999989</v>
      </c>
      <c r="BP60" s="11">
        <f ca="1">IF(History!BT$2="","",History!BT49*$C$60)</f>
        <v>95.15</v>
      </c>
      <c r="BQ60" s="11">
        <f ca="1">IF(History!BU$2="","",History!BU49*$C$60)</f>
        <v>98</v>
      </c>
      <c r="BR60" s="11">
        <f ca="1">IF(History!BV$2="","",History!BV49*$C$60)</f>
        <v>90.199999999999989</v>
      </c>
      <c r="BS60" s="11">
        <f ca="1">IF(History!BW$2="","",History!BW49*$C$60)</f>
        <v>94.2</v>
      </c>
      <c r="BT60" s="11">
        <f ca="1">IF(History!BX$2="","",History!BX49*$C$60)</f>
        <v>95.7</v>
      </c>
      <c r="BU60" s="11">
        <f ca="1">IF(History!BY$2="","",History!BY49*$C$60)</f>
        <v>97.15</v>
      </c>
      <c r="BV60" s="11">
        <f ca="1">IF(History!BZ$2="","",History!BZ49*$C$60)</f>
        <v>98.3</v>
      </c>
      <c r="BW60" s="11">
        <f ca="1">IF(History!CA$2="","",History!CA49*$C$60)</f>
        <v>96.449999999999989</v>
      </c>
      <c r="BX60" s="11">
        <f ca="1">IF(History!CB$2="","",History!CB49*$C$60)</f>
        <v>98.45</v>
      </c>
      <c r="BY60" s="11">
        <f ca="1">IF(History!CC$2="","",History!CC49*$C$60)</f>
        <v>93.75</v>
      </c>
      <c r="BZ60" s="11">
        <f ca="1">IF(History!CD$2="","",History!CD49*$C$60)</f>
        <v>92.899999999999991</v>
      </c>
      <c r="CA60" s="11">
        <f ca="1">IF(History!CE$2="","",History!CE49*$C$60)</f>
        <v>101.64999999999999</v>
      </c>
      <c r="CB60" s="11">
        <f ca="1">IF(History!CF$2="","",History!CF49*$C$60)</f>
        <v>102.69999999999999</v>
      </c>
      <c r="CC60" s="11">
        <f ca="1">IF(History!CG$2="","",History!CG49*$C$60)</f>
        <v>105.64999999999999</v>
      </c>
      <c r="CD60" s="11">
        <f ca="1">IF(History!CH$2="","",History!CH49*$C$60)</f>
        <v>108.85</v>
      </c>
      <c r="CE60" s="11">
        <f ca="1">IF(History!CI$2="","",History!CI49*$C$60)</f>
        <v>113.6</v>
      </c>
      <c r="CF60" s="11" t="str">
        <f ca="1">IF(History!CJ$2="","",History!CJ49*$C$60)</f>
        <v/>
      </c>
      <c r="CG60" s="11" t="str">
        <f ca="1">IF(History!CK$2="","",History!CK49*$C$60)</f>
        <v/>
      </c>
      <c r="CH60" s="11" t="str">
        <f ca="1">IF(History!CL$2="","",History!CL49*$C$60)</f>
        <v/>
      </c>
      <c r="CI60" s="11" t="str">
        <f ca="1">IF(History!CM$2="","",History!CM49*$C$60)</f>
        <v/>
      </c>
      <c r="CJ60" s="11" t="str">
        <f ca="1">IF(History!CN$2="","",History!CN49*$C$60)</f>
        <v/>
      </c>
      <c r="CK60" s="11" t="str">
        <f ca="1">IF(History!CO$2="","",History!CO49*$C$60)</f>
        <v/>
      </c>
      <c r="CL60" s="11" t="str">
        <f ca="1">IF(History!CP$2="","",History!CP49*$C$60)</f>
        <v/>
      </c>
      <c r="CM60" s="11" t="str">
        <f ca="1">IF(History!CQ$2="","",History!CQ49*$C$60)</f>
        <v/>
      </c>
      <c r="CN60" s="11" t="str">
        <f ca="1">IF(History!CR$2="","",History!CR49*$C$60)</f>
        <v/>
      </c>
      <c r="CO60" s="11" t="str">
        <f ca="1">IF(History!CS$2="","",History!CS49*$C$60)</f>
        <v/>
      </c>
      <c r="CP60" s="11" t="str">
        <f ca="1">IF(History!CT$2="","",History!CT49*$C$60)</f>
        <v/>
      </c>
      <c r="CQ60" s="11" t="str">
        <f ca="1">IF(History!CU$2="","",History!CU49*$C$60)</f>
        <v/>
      </c>
      <c r="CR60" s="11" t="str">
        <f ca="1">IF(History!CV$2="","",History!CV49*$C$60)</f>
        <v/>
      </c>
      <c r="CS60" s="11" t="str">
        <f ca="1">IF(History!CW$2="","",History!CW49*$C$60)</f>
        <v/>
      </c>
      <c r="CT60" s="11" t="str">
        <f ca="1">IF(History!CX$2="","",History!CX49*$C$60)</f>
        <v/>
      </c>
      <c r="CU60" s="11" t="str">
        <f ca="1">IF(History!CY$2="","",History!CY49*$C$60)</f>
        <v/>
      </c>
      <c r="CV60" s="11" t="str">
        <f ca="1">IF(History!CZ$2="","",History!CZ49*$C$60)</f>
        <v/>
      </c>
      <c r="CW60" s="11" t="str">
        <f ca="1">IF(History!DA$2="","",History!DA49*$C$60)</f>
        <v/>
      </c>
      <c r="CX60" s="11" t="str">
        <f ca="1">IF(History!DB$2="","",History!DB49*$C$60)</f>
        <v/>
      </c>
      <c r="CY60" s="11" t="str">
        <f ca="1">IF(History!DC$2="","",History!DC49*$C$60)</f>
        <v/>
      </c>
      <c r="CZ60" s="11" t="str">
        <f ca="1">IF(History!DD$2="","",History!DD49*$C$60)</f>
        <v/>
      </c>
      <c r="DA60" s="11" t="str">
        <f ca="1">IF(History!DE$2="","",History!DE49*$C$60)</f>
        <v/>
      </c>
      <c r="DB60" s="11" t="str">
        <f ca="1">IF(History!DF$2="","",History!DF49*$C$60)</f>
        <v/>
      </c>
      <c r="DC60" s="11" t="str">
        <f ca="1">IF(History!DG$2="","",History!DG49*$C$60)</f>
        <v/>
      </c>
      <c r="DD60" s="11" t="str">
        <f ca="1">IF(History!DH$2="","",History!DH49*$C$60)</f>
        <v/>
      </c>
      <c r="DE60" s="11" t="str">
        <f ca="1">IF(History!DI$2="","",History!DI49*$C$60)</f>
        <v/>
      </c>
      <c r="DF60" s="11" t="str">
        <f ca="1">IF(History!DJ$2="","",History!DJ49*$C$60)</f>
        <v/>
      </c>
      <c r="DG60" s="11" t="str">
        <f ca="1">IF(History!DK$2="","",History!DK49*$C$60)</f>
        <v/>
      </c>
      <c r="DH60" s="11" t="str">
        <f ca="1">IF(History!DL$2="","",History!DL49*$C$60)</f>
        <v/>
      </c>
      <c r="DI60" s="11" t="str">
        <f ca="1">IF(History!DM$2="","",History!DM49*$C$60)</f>
        <v/>
      </c>
      <c r="DJ60" s="11" t="str">
        <f ca="1">IF(History!DN$2="","",History!DN49*$C$60)</f>
        <v/>
      </c>
      <c r="DK60" s="11" t="str">
        <f ca="1">IF(History!DO$2="","",History!DO49*$C$60)</f>
        <v/>
      </c>
      <c r="DL60" s="11" t="str">
        <f ca="1">IF(History!DP$2="","",History!DP49*$C$60)</f>
        <v/>
      </c>
      <c r="DM60" s="11" t="str">
        <f ca="1">IF(History!DQ$2="","",History!DQ49*$C$60)</f>
        <v/>
      </c>
      <c r="DN60" s="11" t="str">
        <f ca="1">IF(History!DR$2="","",History!DR49*$C$60)</f>
        <v/>
      </c>
      <c r="DO60" s="11" t="str">
        <f ca="1">IF(History!DS$2="","",History!DS49*$C$60)</f>
        <v/>
      </c>
      <c r="DP60" s="11" t="str">
        <f ca="1">IF(History!DT$2="","",History!DT49*$C$60)</f>
        <v/>
      </c>
      <c r="DQ60" s="11" t="str">
        <f ca="1">IF(History!DU$2="","",History!DU49*$C$60)</f>
        <v/>
      </c>
      <c r="DR60" s="11" t="str">
        <f ca="1">IF(History!DV$2="","",History!DV49*$C$60)</f>
        <v/>
      </c>
      <c r="DS60" s="11" t="str">
        <f ca="1">IF(History!DW$2="","",History!DW49*$C$60)</f>
        <v/>
      </c>
      <c r="DT60" s="11" t="str">
        <f ca="1">IF(History!DX$2="","",History!DX49*$C$60)</f>
        <v/>
      </c>
      <c r="DU60" s="11" t="str">
        <f ca="1">IF(History!DY$2="","",History!DY49*$C$60)</f>
        <v/>
      </c>
      <c r="DV60" s="11" t="str">
        <f ca="1">IF(History!DZ$2="","",History!DZ49*$C$60)</f>
        <v/>
      </c>
      <c r="DW60" s="11" t="str">
        <f ca="1">IF(History!EA$2="","",History!EA49*$C$60)</f>
        <v/>
      </c>
      <c r="DX60" s="11" t="str">
        <f ca="1">IF(History!EB$2="","",History!EB49*$C$60)</f>
        <v/>
      </c>
      <c r="DY60" s="11" t="str">
        <f ca="1">IF(History!EC$2="","",History!EC49*$C$60)</f>
        <v/>
      </c>
      <c r="DZ60" s="11" t="str">
        <f ca="1">IF(History!ED$2="","",History!ED49*$C$60)</f>
        <v/>
      </c>
      <c r="EA60" s="11" t="str">
        <f ca="1">IF(History!EE$2="","",History!EE49*$C$60)</f>
        <v/>
      </c>
      <c r="EB60" s="11" t="str">
        <f ca="1">IF(History!EF$2="","",History!EF49*$C$60)</f>
        <v/>
      </c>
      <c r="EC60" s="11" t="str">
        <f ca="1">IF(History!EG$2="","",History!EG49*$C$60)</f>
        <v/>
      </c>
      <c r="ED60" s="11" t="str">
        <f ca="1">IF(History!EH$2="","",History!EH49*$C$60)</f>
        <v/>
      </c>
      <c r="EE60" s="11" t="str">
        <f ca="1">IF(History!EI$2="","",History!EI49*$C$60)</f>
        <v/>
      </c>
      <c r="EF60" s="11" t="str">
        <f ca="1">IF(History!EJ$2="","",History!EJ49*$C$60)</f>
        <v/>
      </c>
      <c r="EG60" s="11" t="str">
        <f ca="1">IF(History!EK$2="","",History!EK49*$C$60)</f>
        <v/>
      </c>
      <c r="EH60" s="11" t="str">
        <f ca="1">IF(History!EL$2="","",History!EL49*$C$60)</f>
        <v/>
      </c>
      <c r="EI60" s="11" t="str">
        <f ca="1">IF(History!EM$2="","",History!EM49*$C$60)</f>
        <v/>
      </c>
      <c r="EJ60" s="11" t="str">
        <f ca="1">IF(History!EN$2="","",History!EN49*$C$60)</f>
        <v/>
      </c>
      <c r="EK60" s="11" t="str">
        <f ca="1">IF(History!EO$2="","",History!EO49*$C$60)</f>
        <v/>
      </c>
      <c r="EL60" s="11" t="str">
        <f ca="1">IF(History!EP$2="","",History!EP49*$C$60)</f>
        <v/>
      </c>
      <c r="EM60" s="11" t="str">
        <f ca="1">IF(History!EQ$2="","",History!EQ49*$C$60)</f>
        <v/>
      </c>
      <c r="EN60" s="11" t="str">
        <f ca="1">IF(History!ER$2="","",History!ER49*$C$60)</f>
        <v/>
      </c>
      <c r="EO60" s="11" t="str">
        <f ca="1">IF(History!ES$2="","",History!ES49*$C$60)</f>
        <v/>
      </c>
      <c r="EP60" s="11" t="str">
        <f ca="1">IF(History!ET$2="","",History!ET49*$C$60)</f>
        <v/>
      </c>
      <c r="EQ60" s="11" t="str">
        <f ca="1">IF(History!EU$2="","",History!EU49*$C$60)</f>
        <v/>
      </c>
      <c r="ER60" s="11" t="str">
        <f ca="1">IF(History!EV$2="","",History!EV49*$C$60)</f>
        <v/>
      </c>
      <c r="ES60" s="11" t="str">
        <f ca="1">IF(History!EW$2="","",History!EW49*$C$60)</f>
        <v/>
      </c>
      <c r="ET60" s="11" t="str">
        <f ca="1">IF(History!EX$2="","",History!EX49*$C$60)</f>
        <v/>
      </c>
      <c r="EU60" s="11" t="str">
        <f ca="1">IF(History!EY$2="","",History!EY49*$C$60)</f>
        <v/>
      </c>
      <c r="EV60" s="11" t="str">
        <f ca="1">IF(History!EZ$2="","",History!EZ49*$C$60)</f>
        <v/>
      </c>
      <c r="EW60" s="11" t="str">
        <f ca="1">IF(History!FA$2="","",History!FA49*$C$60)</f>
        <v/>
      </c>
      <c r="EX60" s="11" t="str">
        <f ca="1">IF(History!FB$2="","",History!FB49*$C$60)</f>
        <v/>
      </c>
      <c r="EY60" s="11" t="str">
        <f ca="1">IF(History!FC$2="","",History!FC49*$C$60)</f>
        <v/>
      </c>
      <c r="EZ60" s="11" t="str">
        <f ca="1">IF(History!FD$2="","",History!FD49*$C$60)</f>
        <v/>
      </c>
      <c r="FA60" s="11" t="str">
        <f ca="1">IF(History!FE$2="","",History!FE49*$C$60)</f>
        <v/>
      </c>
      <c r="FB60" s="11" t="str">
        <f ca="1">IF(History!FF$2="","",History!FF49*$C$60)</f>
        <v/>
      </c>
      <c r="FC60" s="11" t="str">
        <f ca="1">IF(History!FG$2="","",History!FG49*$C$60)</f>
        <v/>
      </c>
      <c r="FD60" s="11" t="str">
        <f ca="1">IF(History!FH$2="","",History!FH49*$C$60)</f>
        <v/>
      </c>
      <c r="FE60" s="11" t="str">
        <f ca="1">IF(History!FI$2="","",History!FI49*$C$60)</f>
        <v/>
      </c>
      <c r="FF60" s="11" t="str">
        <f ca="1">IF(History!FJ$2="","",History!FJ49*$C$60)</f>
        <v/>
      </c>
      <c r="FG60" s="11" t="str">
        <f ca="1">IF(History!FK$2="","",History!FK49*$C$60)</f>
        <v/>
      </c>
      <c r="FH60" s="11" t="str">
        <f ca="1">IF(History!FL$2="","",History!FL49*$C$60)</f>
        <v/>
      </c>
      <c r="FI60" s="11" t="str">
        <f ca="1">IF(History!FM$2="","",History!FM49*$C$60)</f>
        <v/>
      </c>
      <c r="FJ60" s="11" t="str">
        <f ca="1">IF(History!FN$2="","",History!FN49*$C$60)</f>
        <v/>
      </c>
      <c r="FK60" s="11" t="str">
        <f ca="1">IF(History!FO$2="","",History!FO49*$C$60)</f>
        <v/>
      </c>
      <c r="FL60" s="11" t="str">
        <f ca="1">IF(History!FP$2="","",History!FP49*$C$60)</f>
        <v/>
      </c>
      <c r="FM60" s="11" t="str">
        <f ca="1">IF(History!FQ$2="","",History!FQ49*$C$60)</f>
        <v/>
      </c>
      <c r="FN60" s="11" t="str">
        <f ca="1">IF(History!FR$2="","",History!FR49*$C$60)</f>
        <v/>
      </c>
      <c r="FO60" s="11" t="str">
        <f ca="1">IF(History!FS$2="","",History!FS49*$C$60)</f>
        <v/>
      </c>
      <c r="FP60" s="11" t="str">
        <f ca="1">IF(History!FT$2="","",History!FT49*$C$60)</f>
        <v/>
      </c>
      <c r="FQ60" s="11" t="str">
        <f ca="1">IF(History!FU$2="","",History!FU49*$C$60)</f>
        <v/>
      </c>
      <c r="FR60" s="11" t="str">
        <f ca="1">IF(History!FV$2="","",History!FV49*$C$60)</f>
        <v/>
      </c>
      <c r="FS60" s="11" t="str">
        <f ca="1">IF(History!FW$2="","",History!FW49*$C$60)</f>
        <v/>
      </c>
      <c r="FT60" s="11" t="str">
        <f ca="1">IF(History!FX$2="","",History!FX49*$C$60)</f>
        <v/>
      </c>
      <c r="FU60" s="11" t="str">
        <f ca="1">IF(History!FY$2="","",History!FY49*$C$60)</f>
        <v/>
      </c>
      <c r="FV60" s="11" t="str">
        <f ca="1">IF(History!FZ$2="","",History!FZ49*$C$60)</f>
        <v/>
      </c>
      <c r="FW60" s="11" t="str">
        <f ca="1">IF(History!GA$2="","",History!GA49*$C$60)</f>
        <v/>
      </c>
      <c r="FX60" s="11" t="str">
        <f ca="1">IF(History!GB$2="","",History!GB49*$C$60)</f>
        <v/>
      </c>
      <c r="FY60" s="11" t="str">
        <f ca="1">IF(History!GC$2="","",History!GC49*$C$60)</f>
        <v/>
      </c>
      <c r="FZ60" s="11" t="str">
        <f ca="1">IF(History!GD$2="","",History!GD49*$C$60)</f>
        <v/>
      </c>
      <c r="GA60" s="11" t="str">
        <f ca="1">IF(History!GE$2="","",History!GE49*$C$60)</f>
        <v/>
      </c>
      <c r="GB60" s="11" t="str">
        <f ca="1">IF(History!GF$2="","",History!GF49*$C$60)</f>
        <v/>
      </c>
      <c r="GC60" s="11" t="str">
        <f ca="1">IF(History!GG$2="","",History!GG49*$C$60)</f>
        <v/>
      </c>
      <c r="GD60" s="11" t="str">
        <f ca="1">IF(History!GH$2="","",History!GH49*$C$60)</f>
        <v/>
      </c>
      <c r="GE60" s="11" t="str">
        <f ca="1">IF(History!GI$2="","",History!GI49*$C$60)</f>
        <v/>
      </c>
      <c r="GF60" s="11" t="str">
        <f ca="1">IF(History!GJ$2="","",History!GJ49*$C$60)</f>
        <v/>
      </c>
      <c r="GG60" s="11" t="str">
        <f ca="1">IF(History!GK$2="","",History!GK49*$C$60)</f>
        <v/>
      </c>
      <c r="GH60" s="11" t="str">
        <f ca="1">IF(History!GL$2="","",History!GL49*$C$60)</f>
        <v/>
      </c>
      <c r="GI60" s="11" t="str">
        <f ca="1">IF(History!GM$2="","",History!GM49*$C$60)</f>
        <v/>
      </c>
      <c r="GJ60" s="11" t="str">
        <f ca="1">IF(History!GN$2="","",History!GN49*$C$60)</f>
        <v/>
      </c>
      <c r="GK60" s="11" t="str">
        <f ca="1">IF(History!GO$2="","",History!GO49*$C$60)</f>
        <v/>
      </c>
      <c r="GL60" s="11" t="str">
        <f ca="1">IF(History!GP$2="","",History!GP49*$C$60)</f>
        <v/>
      </c>
      <c r="GM60" s="11" t="str">
        <f ca="1">IF(History!GQ$2="","",History!GQ49*$C$60)</f>
        <v/>
      </c>
      <c r="GN60" s="11" t="str">
        <f ca="1">IF(History!GR$2="","",History!GR49*$C$60)</f>
        <v/>
      </c>
      <c r="GO60" s="11" t="str">
        <f ca="1">IF(History!GS$2="","",History!GS49*$C$60)</f>
        <v/>
      </c>
      <c r="GP60" s="11" t="str">
        <f ca="1">IF(History!GT$2="","",History!GT49*$C$60)</f>
        <v/>
      </c>
      <c r="GQ60" s="11" t="str">
        <f ca="1">IF(History!GU$2="","",History!GU49*$C$60)</f>
        <v/>
      </c>
      <c r="GR60" s="11" t="str">
        <f ca="1">IF(History!GV$2="","",History!GV49*$C$60)</f>
        <v/>
      </c>
      <c r="GS60" s="11" t="str">
        <f ca="1">IF(History!GW$2="","",History!GW49*$C$60)</f>
        <v/>
      </c>
      <c r="GT60" s="11" t="str">
        <f ca="1">IF(History!GX$2="","",History!GX49*$C$60)</f>
        <v/>
      </c>
      <c r="GU60" s="11" t="str">
        <f ca="1">IF(History!GY$2="","",History!GY49*$C$60)</f>
        <v/>
      </c>
      <c r="GV60" s="11" t="str">
        <f ca="1">IF(History!GZ$2="","",History!GZ49*$C$60)</f>
        <v/>
      </c>
      <c r="GW60" s="11" t="str">
        <f ca="1">IF(History!HA$2="","",History!HA49*$C$60)</f>
        <v/>
      </c>
      <c r="GX60" s="11" t="str">
        <f ca="1">IF(History!HB$2="","",History!HB49*$C$60)</f>
        <v/>
      </c>
      <c r="GY60" s="11" t="str">
        <f ca="1">IF(History!HC$2="","",History!HC49*$C$60)</f>
        <v/>
      </c>
      <c r="GZ60" s="11" t="str">
        <f ca="1">IF(History!HD$2="","",History!HD49*$C$60)</f>
        <v/>
      </c>
      <c r="HA60" s="11" t="str">
        <f ca="1">IF(History!HE$2="","",History!HE49*$C$60)</f>
        <v/>
      </c>
      <c r="HB60" s="11" t="str">
        <f ca="1">IF(History!HF$2="","",History!HF49*$C$60)</f>
        <v/>
      </c>
      <c r="HC60" s="11" t="str">
        <f ca="1">IF(History!HG$2="","",History!HG49*$C$60)</f>
        <v/>
      </c>
      <c r="HD60" s="11" t="str">
        <f ca="1">IF(History!HH$2="","",History!HH49*$C$60)</f>
        <v/>
      </c>
      <c r="HE60" s="11" t="str">
        <f ca="1">IF(History!HI$2="","",History!HI49*$C$60)</f>
        <v/>
      </c>
      <c r="HF60" s="11" t="str">
        <f ca="1">IF(History!HJ$2="","",History!HJ49*$C$60)</f>
        <v/>
      </c>
      <c r="HG60" s="11" t="str">
        <f ca="1">IF(History!HK$2="","",History!HK49*$C$60)</f>
        <v/>
      </c>
      <c r="HH60" s="11" t="str">
        <f ca="1">IF(History!HL$2="","",History!HL49*$C$60)</f>
        <v/>
      </c>
      <c r="HI60" s="11" t="str">
        <f ca="1">IF(History!HM$2="","",History!HM49*$C$60)</f>
        <v/>
      </c>
      <c r="HJ60" s="11" t="str">
        <f ca="1">IF(History!HN$2="","",History!HN49*$C$60)</f>
        <v/>
      </c>
      <c r="HK60" s="11" t="str">
        <f ca="1">IF(History!HO$2="","",History!HO49*$C$60)</f>
        <v/>
      </c>
      <c r="HL60" s="11" t="str">
        <f ca="1">IF(History!HP$2="","",History!HP49*$C$60)</f>
        <v/>
      </c>
      <c r="HM60" s="11" t="str">
        <f ca="1">IF(History!HQ$2="","",History!HQ49*$C$60)</f>
        <v/>
      </c>
      <c r="HN60" s="11" t="str">
        <f ca="1">IF(History!HR$2="","",History!HR49*$C$60)</f>
        <v/>
      </c>
      <c r="HO60" s="11" t="str">
        <f ca="1">IF(History!HS$2="","",History!HS49*$C$60)</f>
        <v/>
      </c>
      <c r="HP60" s="11" t="str">
        <f ca="1">IF(History!HT$2="","",History!HT49*$C$60)</f>
        <v/>
      </c>
      <c r="HQ60" s="11" t="str">
        <f ca="1">IF(History!HU$2="","",History!HU49*$C$60)</f>
        <v/>
      </c>
      <c r="HR60" s="11" t="str">
        <f ca="1">IF(History!HV$2="","",History!HV49*$C$60)</f>
        <v/>
      </c>
      <c r="HS60" s="11" t="str">
        <f ca="1">IF(History!HW$2="","",History!HW49*$C$60)</f>
        <v/>
      </c>
      <c r="HT60" s="11" t="str">
        <f ca="1">IF(History!HX$2="","",History!HX49*$C$60)</f>
        <v/>
      </c>
      <c r="HU60" s="11" t="str">
        <f ca="1">IF(History!HY$2="","",History!HY49*$C$60)</f>
        <v/>
      </c>
      <c r="HV60" s="11" t="str">
        <f ca="1">IF(History!HZ$2="","",History!HZ49*$C$60)</f>
        <v/>
      </c>
      <c r="HW60" s="11" t="str">
        <f ca="1">IF(History!IA$2="","",History!IA49*$C$60)</f>
        <v/>
      </c>
      <c r="HX60" s="11" t="str">
        <f ca="1">IF(History!IB$2="","",History!IB49*$C$60)</f>
        <v/>
      </c>
      <c r="HY60" s="11" t="str">
        <f ca="1">IF(History!IC$2="","",History!IC49*$C$60)</f>
        <v/>
      </c>
      <c r="HZ60" s="11" t="str">
        <f ca="1">IF(History!ID$2="","",History!ID49*$C$60)</f>
        <v/>
      </c>
      <c r="IA60" s="11" t="str">
        <f ca="1">IF(History!IE$2="","",History!IE49*$C$60)</f>
        <v/>
      </c>
      <c r="IB60" s="11" t="str">
        <f ca="1">IF(History!IF$2="","",History!IF49*$C$60)</f>
        <v/>
      </c>
      <c r="IC60" s="11" t="str">
        <f ca="1">IF(History!IG$2="","",History!IG49*$C$60)</f>
        <v/>
      </c>
      <c r="ID60" s="11" t="str">
        <f ca="1">IF(History!IH$2="","",History!IH49*$C$60)</f>
        <v/>
      </c>
      <c r="IE60" s="11" t="str">
        <f ca="1">IF(History!II$2="","",History!II49*$C$60)</f>
        <v/>
      </c>
      <c r="IF60" s="11" t="str">
        <f ca="1">IF(History!IJ$2="","",History!IJ49*$C$60)</f>
        <v/>
      </c>
      <c r="IG60" s="11" t="str">
        <f ca="1">IF(History!IK$2="","",History!IK49*$C$60)</f>
        <v/>
      </c>
      <c r="IH60" s="11" t="str">
        <f ca="1">IF(History!IL$2="","",History!IL49*$C$60)</f>
        <v/>
      </c>
      <c r="II60" s="11" t="str">
        <f ca="1">IF(History!IM$2="","",History!IM49*$C$60)</f>
        <v/>
      </c>
      <c r="IJ60" s="11" t="str">
        <f ca="1">IF(History!IN$2="","",History!IN49*$C$60)</f>
        <v/>
      </c>
      <c r="IK60" s="11" t="str">
        <f ca="1">IF(History!IO$2="","",History!IO49*$C$60)</f>
        <v/>
      </c>
      <c r="IL60" s="11" t="str">
        <f ca="1">IF(History!IP$2="","",History!IP49*$C$60)</f>
        <v/>
      </c>
      <c r="IM60" s="11" t="str">
        <f ca="1">IF(History!IQ$2="","",History!IQ49*$C$60)</f>
        <v/>
      </c>
      <c r="IN60" s="11" t="str">
        <f ca="1">IF(History!IR$2="","",History!IR49*$C$60)</f>
        <v/>
      </c>
      <c r="IO60" s="11" t="str">
        <f ca="1">IF(History!IS$2="","",History!IS49*$C$60)</f>
        <v/>
      </c>
      <c r="IP60" s="11" t="str">
        <f ca="1">IF(History!IT$2="","",History!IT49*$C$60)</f>
        <v/>
      </c>
      <c r="IQ60" s="11" t="str">
        <f ca="1">IF(History!IU$2="","",History!IU49*$C$60)</f>
        <v/>
      </c>
      <c r="IR60" s="11" t="str">
        <f ca="1">IF(History!IV$2="","",History!IV49*$C$60)</f>
        <v/>
      </c>
      <c r="IS60" s="11" t="str">
        <f ca="1">IF(History!IW$2="","",History!IW49*$C$60)</f>
        <v/>
      </c>
      <c r="IT60" s="11" t="str">
        <f ca="1">IF(History!IX$2="","",History!IX49*$C$60)</f>
        <v/>
      </c>
      <c r="IU60" s="11" t="str">
        <f ca="1">IF(History!IY$2="","",History!IY49*$C$60)</f>
        <v/>
      </c>
      <c r="IV60" s="11" t="str">
        <f ca="1">IF(History!IZ$2="","",History!IZ49*$C$60)</f>
        <v/>
      </c>
      <c r="IW60" s="11" t="str">
        <f ca="1">IF(History!JA$2="","",History!JA49*$C$60)</f>
        <v/>
      </c>
      <c r="IX60" s="11" t="str">
        <f ca="1">IF(History!JB$2="","",History!JB49*$C$60)</f>
        <v/>
      </c>
      <c r="IY60" s="11" t="str">
        <f ca="1">IF(History!JC$2="","",History!JC49*$C$60)</f>
        <v/>
      </c>
      <c r="IZ60" s="11" t="str">
        <f ca="1">IF(History!JD$2="","",History!JD49*$C$60)</f>
        <v/>
      </c>
      <c r="JA60" s="11" t="str">
        <f ca="1">IF(History!JE$2="","",History!JE49*$C$60)</f>
        <v/>
      </c>
      <c r="JB60" s="11" t="str">
        <f ca="1">IF(History!JF$2="","",History!JF49*$C$60)</f>
        <v/>
      </c>
      <c r="JC60" s="11" t="str">
        <f ca="1">IF(History!JG$2="","",History!JG49*$C$60)</f>
        <v/>
      </c>
      <c r="JD60" s="11" t="str">
        <f ca="1">IF(History!JH$2="","",History!JH49*$C$60)</f>
        <v/>
      </c>
      <c r="JE60" s="11" t="str">
        <f ca="1">IF(History!JI$2="","",History!JI49*$C$60)</f>
        <v/>
      </c>
      <c r="JF60" s="11" t="str">
        <f ca="1">IF(History!JJ$2="","",History!JJ49*$C$60)</f>
        <v/>
      </c>
      <c r="JG60" s="11" t="str">
        <f ca="1">IF(History!JK$2="","",History!JK49*$C$60)</f>
        <v/>
      </c>
      <c r="JH60" s="11" t="str">
        <f ca="1">IF(History!JL$2="","",History!JL49*$C$60)</f>
        <v/>
      </c>
      <c r="JI60" s="11" t="str">
        <f ca="1">IF(History!JM$2="","",History!JM49*$C$60)</f>
        <v/>
      </c>
      <c r="JJ60" s="11" t="str">
        <f ca="1">IF(History!JN$2="","",History!JN49*$C$60)</f>
        <v/>
      </c>
      <c r="JK60" s="11" t="str">
        <f ca="1">IF(History!JO$2="","",History!JO49*$C$60)</f>
        <v/>
      </c>
      <c r="JL60" s="11" t="str">
        <f ca="1">IF(History!JP$2="","",History!JP49*$C$60)</f>
        <v/>
      </c>
      <c r="JM60" s="11" t="str">
        <f ca="1">IF(History!JQ$2="","",History!JQ49*$C$60)</f>
        <v/>
      </c>
      <c r="JN60" s="11" t="str">
        <f ca="1">IF(History!JR$2="","",History!JR49*$C$60)</f>
        <v/>
      </c>
      <c r="JO60" s="11" t="str">
        <f ca="1">IF(History!JS$2="","",History!JS49*$C$60)</f>
        <v/>
      </c>
      <c r="JP60" s="11" t="str">
        <f ca="1">IF(History!JT$2="","",History!JT49*$C$60)</f>
        <v/>
      </c>
      <c r="JQ60" s="11" t="str">
        <f ca="1">IF(History!JU$2="","",History!JU49*$C$60)</f>
        <v/>
      </c>
      <c r="JR60" s="11" t="str">
        <f ca="1">IF(History!JV$2="","",History!JV49*$C$60)</f>
        <v/>
      </c>
      <c r="JS60" s="11" t="str">
        <f ca="1">IF(History!JW$2="","",History!JW49*$C$60)</f>
        <v/>
      </c>
      <c r="JT60" s="11" t="str">
        <f ca="1">IF(History!JX$2="","",History!JX49*$C$60)</f>
        <v/>
      </c>
      <c r="JU60" s="11" t="str">
        <f ca="1">IF(History!JY$2="","",History!JY49*$C$60)</f>
        <v/>
      </c>
      <c r="JV60" s="11" t="str">
        <f ca="1">IF(History!JZ$2="","",History!JZ49*$C$60)</f>
        <v/>
      </c>
      <c r="JW60" s="11" t="str">
        <f ca="1">IF(History!KA$2="","",History!KA49*$C$60)</f>
        <v/>
      </c>
      <c r="JX60" s="11" t="str">
        <f ca="1">IF(History!KB$2="","",History!KB49*$C$60)</f>
        <v/>
      </c>
      <c r="JY60" s="11" t="str">
        <f ca="1">IF(History!KC$2="","",History!KC49*$C$60)</f>
        <v/>
      </c>
      <c r="JZ60" s="11" t="str">
        <f ca="1">IF(History!KD$2="","",History!KD49*$C$60)</f>
        <v/>
      </c>
      <c r="KA60" s="11" t="str">
        <f ca="1">IF(History!KE$2="","",History!KE49*$C$60)</f>
        <v/>
      </c>
      <c r="KB60" s="11" t="str">
        <f ca="1">IF(History!KF$2="","",History!KF49*$C$60)</f>
        <v/>
      </c>
    </row>
    <row r="61" spans="1:288" ht="13">
      <c r="A61" s="22" t="s">
        <v>30</v>
      </c>
      <c r="B61" s="6" t="s">
        <v>92</v>
      </c>
      <c r="C61" s="26">
        <v>100</v>
      </c>
      <c r="D61" s="11">
        <f ca="1">IF(History!H$2="","",History!H50*$C$61)</f>
        <v>79</v>
      </c>
      <c r="E61" s="11">
        <f ca="1">IF(History!I$2="","",History!I50*$C$61)</f>
        <v>85</v>
      </c>
      <c r="F61" s="11">
        <f ca="1">IF(History!J$2="","",History!J50*$C$61)</f>
        <v>86</v>
      </c>
      <c r="G61" s="11">
        <f ca="1">IF(History!K$2="","",History!K50*$C$61)</f>
        <v>84</v>
      </c>
      <c r="H61" s="11">
        <f ca="1">IF(History!L$2="","",History!L50*$C$61)</f>
        <v>86</v>
      </c>
      <c r="I61" s="11">
        <f ca="1">IF(History!M$2="","",History!M50*$C$61)</f>
        <v>89</v>
      </c>
      <c r="J61" s="11">
        <f ca="1">IF(History!N$2="","",History!N50*$C$61)</f>
        <v>92</v>
      </c>
      <c r="K61" s="11">
        <f ca="1">IF(History!O$2="","",History!O50*$C$61)</f>
        <v>90</v>
      </c>
      <c r="L61" s="11">
        <f ca="1">IF(History!P$2="","",History!P50*$C$61)</f>
        <v>86</v>
      </c>
      <c r="M61" s="11">
        <f ca="1">IF(History!Q$2="","",History!Q50*$C$61)</f>
        <v>83</v>
      </c>
      <c r="N61" s="11">
        <f ca="1">IF(History!R$2="","",History!R50*$C$61)</f>
        <v>88</v>
      </c>
      <c r="O61" s="11">
        <f ca="1">IF(History!S$2="","",History!S50*$C$61)</f>
        <v>87</v>
      </c>
      <c r="P61" s="11">
        <f ca="1">IF(History!T$2="","",History!T50*$C$61)</f>
        <v>86</v>
      </c>
      <c r="Q61" s="11">
        <f ca="1">IF(History!U$2="","",History!U50*$C$61)</f>
        <v>88</v>
      </c>
      <c r="R61" s="11">
        <f ca="1">IF(History!V$2="","",History!V50*$C$61)</f>
        <v>91</v>
      </c>
      <c r="S61" s="11">
        <f ca="1">IF(History!W$2="","",History!W50*$C$61)</f>
        <v>96</v>
      </c>
      <c r="T61" s="11">
        <f ca="1">IF(History!X$2="","",History!X50*$C$61)</f>
        <v>102</v>
      </c>
      <c r="U61" s="11">
        <f ca="1">IF(History!Y$2="","",History!Y50*$C$61)</f>
        <v>107</v>
      </c>
      <c r="V61" s="11">
        <f ca="1">IF(History!Z$2="","",History!Z50*$C$61)</f>
        <v>106</v>
      </c>
      <c r="W61" s="11">
        <f ca="1">IF(History!AA$2="","",History!AA50*$C$61)</f>
        <v>110.00000000000001</v>
      </c>
      <c r="X61" s="11">
        <f ca="1">IF(History!AB$2="","",History!AB50*$C$61)</f>
        <v>107</v>
      </c>
      <c r="Y61" s="11">
        <f ca="1">IF(History!AC$2="","",History!AC50*$C$61)</f>
        <v>107</v>
      </c>
      <c r="Z61" s="11">
        <f ca="1">IF(History!AD$2="","",History!AD50*$C$61)</f>
        <v>110.00000000000001</v>
      </c>
      <c r="AA61" s="11">
        <f ca="1">IF(History!AE$2="","",History!AE50*$C$61)</f>
        <v>126</v>
      </c>
      <c r="AB61" s="11">
        <f ca="1">IF(History!AF$2="","",History!AF50*$C$61)</f>
        <v>130</v>
      </c>
      <c r="AC61" s="11">
        <f ca="1">IF(History!AG$2="","",History!AG50*$C$61)</f>
        <v>129</v>
      </c>
      <c r="AD61" s="11">
        <f ca="1">IF(History!AH$2="","",History!AH50*$C$61)</f>
        <v>127</v>
      </c>
      <c r="AE61" s="11">
        <f ca="1">IF(History!AI$2="","",History!AI50*$C$61)</f>
        <v>131</v>
      </c>
      <c r="AF61" s="11">
        <f ca="1">IF(History!AJ$2="","",History!AJ50*$C$61)</f>
        <v>126</v>
      </c>
      <c r="AG61" s="11">
        <f ca="1">IF(History!AK$2="","",History!AK50*$C$61)</f>
        <v>129</v>
      </c>
      <c r="AH61" s="11">
        <f ca="1">IF(History!AL$2="","",History!AL50*$C$61)</f>
        <v>132</v>
      </c>
      <c r="AI61" s="11">
        <f ca="1">IF(History!AM$2="","",History!AM50*$C$61)</f>
        <v>142</v>
      </c>
      <c r="AJ61" s="11">
        <f ca="1">IF(History!AN$2="","",History!AN50*$C$61)</f>
        <v>138</v>
      </c>
      <c r="AK61" s="11">
        <f ca="1">IF(History!AO$2="","",History!AO50*$C$61)</f>
        <v>140</v>
      </c>
      <c r="AL61" s="11">
        <f ca="1">IF(History!AP$2="","",History!AP50*$C$61)</f>
        <v>144</v>
      </c>
      <c r="AM61" s="11">
        <f ca="1">IF(History!AQ$2="","",History!AQ50*$C$61)</f>
        <v>151</v>
      </c>
      <c r="AN61" s="11">
        <f ca="1">IF(History!AR$2="","",History!AR50*$C$61)</f>
        <v>141</v>
      </c>
      <c r="AO61" s="11">
        <f ca="1">IF(History!AS$2="","",History!AS50*$C$61)</f>
        <v>153</v>
      </c>
      <c r="AP61" s="11">
        <f ca="1">IF(History!AT$2="","",History!AT50*$C$61)</f>
        <v>178</v>
      </c>
      <c r="AQ61" s="11">
        <f ca="1">IF(History!AU$2="","",History!AU50*$C$61)</f>
        <v>180</v>
      </c>
      <c r="AR61" s="11">
        <f ca="1">IF(History!AV$2="","",History!AV50*$C$61)</f>
        <v>160</v>
      </c>
      <c r="AS61" s="11">
        <f ca="1">IF(History!AW$2="","",History!AW50*$C$61)</f>
        <v>166</v>
      </c>
      <c r="AT61" s="11">
        <f ca="1">IF(History!AX$2="","",History!AX50*$C$61)</f>
        <v>158</v>
      </c>
      <c r="AU61" s="11">
        <f ca="1">IF(History!AY$2="","",History!AY50*$C$61)</f>
        <v>140</v>
      </c>
      <c r="AV61" s="11">
        <f ca="1">IF(History!AZ$2="","",History!AZ50*$C$61)</f>
        <v>139</v>
      </c>
      <c r="AW61" s="11">
        <f ca="1">IF(History!BA$2="","",History!BA50*$C$61)</f>
        <v>139</v>
      </c>
      <c r="AX61" s="11">
        <f ca="1">IF(History!BB$2="","",History!BB50*$C$61)</f>
        <v>148</v>
      </c>
      <c r="AY61" s="11">
        <f ca="1">IF(History!BC$2="","",History!BC50*$C$61)</f>
        <v>151</v>
      </c>
      <c r="AZ61" s="11">
        <f ca="1">IF(History!BD$2="","",History!BD50*$C$61)</f>
        <v>161</v>
      </c>
      <c r="BA61" s="11">
        <f ca="1">IF(History!BE$2="","",History!BE50*$C$61)</f>
        <v>156</v>
      </c>
      <c r="BB61" s="11">
        <f ca="1">IF(History!BF$2="","",History!BF50*$C$61)</f>
        <v>168</v>
      </c>
      <c r="BC61" s="11">
        <f ca="1">IF(History!BG$2="","",History!BG50*$C$61)</f>
        <v>164</v>
      </c>
      <c r="BD61" s="11">
        <f ca="1">IF(History!BH$2="","",History!BH50*$C$61)</f>
        <v>170</v>
      </c>
      <c r="BE61" s="11">
        <f ca="1">IF(History!BI$2="","",History!BI50*$C$61)</f>
        <v>161</v>
      </c>
      <c r="BF61" s="11">
        <f ca="1">IF(History!BJ$2="","",History!BJ50*$C$61)</f>
        <v>158</v>
      </c>
      <c r="BG61" s="11">
        <f ca="1">IF(History!BK$2="","",History!BK50*$C$61)</f>
        <v>164</v>
      </c>
      <c r="BH61" s="11">
        <f ca="1">IF(History!BL$2="","",History!BL50*$C$61)</f>
        <v>157</v>
      </c>
      <c r="BI61" s="11">
        <f ca="1">IF(History!BM$2="","",History!BM50*$C$61)</f>
        <v>157</v>
      </c>
      <c r="BJ61" s="11">
        <f ca="1">IF(History!BN$2="","",History!BN50*$C$61)</f>
        <v>164</v>
      </c>
      <c r="BK61" s="11">
        <f ca="1">IF(History!BO$2="","",History!BO50*$C$61)</f>
        <v>159</v>
      </c>
      <c r="BL61" s="11">
        <f ca="1">IF(History!BP$2="","",History!BP50*$C$61)</f>
        <v>156</v>
      </c>
      <c r="BM61" s="11">
        <f ca="1">IF(History!BQ$2="","",History!BQ50*$C$61)</f>
        <v>156</v>
      </c>
      <c r="BN61" s="11">
        <f ca="1">IF(History!BR$2="","",History!BR50*$C$61)</f>
        <v>164</v>
      </c>
      <c r="BO61" s="11">
        <f ca="1">IF(History!BS$2="","",History!BS50*$C$61)</f>
        <v>152</v>
      </c>
      <c r="BP61" s="11">
        <f ca="1">IF(History!BT$2="","",History!BT50*$C$61)</f>
        <v>157</v>
      </c>
      <c r="BQ61" s="11">
        <f ca="1">IF(History!BU$2="","",History!BU50*$C$61)</f>
        <v>159</v>
      </c>
      <c r="BR61" s="11">
        <f ca="1">IF(History!BV$2="","",History!BV50*$C$61)</f>
        <v>172</v>
      </c>
      <c r="BS61" s="11">
        <f ca="1">IF(History!BW$2="","",History!BW50*$C$61)</f>
        <v>178</v>
      </c>
      <c r="BT61" s="11">
        <f ca="1">IF(History!BX$2="","",History!BX50*$C$61)</f>
        <v>170</v>
      </c>
      <c r="BU61" s="11">
        <f ca="1">IF(History!BY$2="","",History!BY50*$C$61)</f>
        <v>189</v>
      </c>
      <c r="BV61" s="11">
        <f ca="1">IF(History!BZ$2="","",History!BZ50*$C$61)</f>
        <v>177</v>
      </c>
      <c r="BW61" s="11">
        <f ca="1">IF(History!CA$2="","",History!CA50*$C$61)</f>
        <v>170</v>
      </c>
      <c r="BX61" s="11">
        <f ca="1">IF(History!CB$2="","",History!CB50*$C$61)</f>
        <v>161</v>
      </c>
      <c r="BY61" s="11">
        <f ca="1">IF(History!CC$2="","",History!CC50*$C$61)</f>
        <v>162</v>
      </c>
      <c r="BZ61" s="11">
        <f ca="1">IF(History!CD$2="","",History!CD50*$C$61)</f>
        <v>161</v>
      </c>
      <c r="CA61" s="11">
        <f ca="1">IF(History!CE$2="","",History!CE50*$C$61)</f>
        <v>168</v>
      </c>
      <c r="CB61" s="11">
        <f ca="1">IF(History!CF$2="","",History!CF50*$C$61)</f>
        <v>162</v>
      </c>
      <c r="CC61" s="11">
        <f ca="1">IF(History!CG$2="","",History!CG50*$C$61)</f>
        <v>159</v>
      </c>
      <c r="CD61" s="11">
        <f ca="1">IF(History!CH$2="","",History!CH50*$C$61)</f>
        <v>173</v>
      </c>
      <c r="CE61" s="11">
        <f ca="1">IF(History!CI$2="","",History!CI50*$C$61)</f>
        <v>167</v>
      </c>
      <c r="CF61" s="11" t="str">
        <f ca="1">IF(History!CJ$2="","",History!CJ50*$C$61)</f>
        <v/>
      </c>
      <c r="CG61" s="11" t="str">
        <f ca="1">IF(History!CK$2="","",History!CK50*$C$61)</f>
        <v/>
      </c>
      <c r="CH61" s="11" t="str">
        <f ca="1">IF(History!CL$2="","",History!CL50*$C$61)</f>
        <v/>
      </c>
      <c r="CI61" s="11" t="str">
        <f ca="1">IF(History!CM$2="","",History!CM50*$C$61)</f>
        <v/>
      </c>
      <c r="CJ61" s="11" t="str">
        <f ca="1">IF(History!CN$2="","",History!CN50*$C$61)</f>
        <v/>
      </c>
      <c r="CK61" s="11" t="str">
        <f ca="1">IF(History!CO$2="","",History!CO50*$C$61)</f>
        <v/>
      </c>
      <c r="CL61" s="11" t="str">
        <f ca="1">IF(History!CP$2="","",History!CP50*$C$61)</f>
        <v/>
      </c>
      <c r="CM61" s="11" t="str">
        <f ca="1">IF(History!CQ$2="","",History!CQ50*$C$61)</f>
        <v/>
      </c>
      <c r="CN61" s="11" t="str">
        <f ca="1">IF(History!CR$2="","",History!CR50*$C$61)</f>
        <v/>
      </c>
      <c r="CO61" s="11" t="str">
        <f ca="1">IF(History!CS$2="","",History!CS50*$C$61)</f>
        <v/>
      </c>
      <c r="CP61" s="11" t="str">
        <f ca="1">IF(History!CT$2="","",History!CT50*$C$61)</f>
        <v/>
      </c>
      <c r="CQ61" s="11" t="str">
        <f ca="1">IF(History!CU$2="","",History!CU50*$C$61)</f>
        <v/>
      </c>
      <c r="CR61" s="11" t="str">
        <f ca="1">IF(History!CV$2="","",History!CV50*$C$61)</f>
        <v/>
      </c>
      <c r="CS61" s="11" t="str">
        <f ca="1">IF(History!CW$2="","",History!CW50*$C$61)</f>
        <v/>
      </c>
      <c r="CT61" s="11" t="str">
        <f ca="1">IF(History!CX$2="","",History!CX50*$C$61)</f>
        <v/>
      </c>
      <c r="CU61" s="11" t="str">
        <f ca="1">IF(History!CY$2="","",History!CY50*$C$61)</f>
        <v/>
      </c>
      <c r="CV61" s="11" t="str">
        <f ca="1">IF(History!CZ$2="","",History!CZ50*$C$61)</f>
        <v/>
      </c>
      <c r="CW61" s="11" t="str">
        <f ca="1">IF(History!DA$2="","",History!DA50*$C$61)</f>
        <v/>
      </c>
      <c r="CX61" s="11" t="str">
        <f ca="1">IF(History!DB$2="","",History!DB50*$C$61)</f>
        <v/>
      </c>
      <c r="CY61" s="11" t="str">
        <f ca="1">IF(History!DC$2="","",History!DC50*$C$61)</f>
        <v/>
      </c>
      <c r="CZ61" s="11" t="str">
        <f ca="1">IF(History!DD$2="","",History!DD50*$C$61)</f>
        <v/>
      </c>
      <c r="DA61" s="11" t="str">
        <f ca="1">IF(History!DE$2="","",History!DE50*$C$61)</f>
        <v/>
      </c>
      <c r="DB61" s="11" t="str">
        <f ca="1">IF(History!DF$2="","",History!DF50*$C$61)</f>
        <v/>
      </c>
      <c r="DC61" s="11" t="str">
        <f ca="1">IF(History!DG$2="","",History!DG50*$C$61)</f>
        <v/>
      </c>
      <c r="DD61" s="11" t="str">
        <f ca="1">IF(History!DH$2="","",History!DH50*$C$61)</f>
        <v/>
      </c>
      <c r="DE61" s="11" t="str">
        <f ca="1">IF(History!DI$2="","",History!DI50*$C$61)</f>
        <v/>
      </c>
      <c r="DF61" s="11" t="str">
        <f ca="1">IF(History!DJ$2="","",History!DJ50*$C$61)</f>
        <v/>
      </c>
      <c r="DG61" s="11" t="str">
        <f ca="1">IF(History!DK$2="","",History!DK50*$C$61)</f>
        <v/>
      </c>
      <c r="DH61" s="11" t="str">
        <f ca="1">IF(History!DL$2="","",History!DL50*$C$61)</f>
        <v/>
      </c>
      <c r="DI61" s="11" t="str">
        <f ca="1">IF(History!DM$2="","",History!DM50*$C$61)</f>
        <v/>
      </c>
      <c r="DJ61" s="11" t="str">
        <f ca="1">IF(History!DN$2="","",History!DN50*$C$61)</f>
        <v/>
      </c>
      <c r="DK61" s="11" t="str">
        <f ca="1">IF(History!DO$2="","",History!DO50*$C$61)</f>
        <v/>
      </c>
      <c r="DL61" s="11" t="str">
        <f ca="1">IF(History!DP$2="","",History!DP50*$C$61)</f>
        <v/>
      </c>
      <c r="DM61" s="11" t="str">
        <f ca="1">IF(History!DQ$2="","",History!DQ50*$C$61)</f>
        <v/>
      </c>
      <c r="DN61" s="11" t="str">
        <f ca="1">IF(History!DR$2="","",History!DR50*$C$61)</f>
        <v/>
      </c>
      <c r="DO61" s="11" t="str">
        <f ca="1">IF(History!DS$2="","",History!DS50*$C$61)</f>
        <v/>
      </c>
      <c r="DP61" s="11" t="str">
        <f ca="1">IF(History!DT$2="","",History!DT50*$C$61)</f>
        <v/>
      </c>
      <c r="DQ61" s="11" t="str">
        <f ca="1">IF(History!DU$2="","",History!DU50*$C$61)</f>
        <v/>
      </c>
      <c r="DR61" s="11" t="str">
        <f ca="1">IF(History!DV$2="","",History!DV50*$C$61)</f>
        <v/>
      </c>
      <c r="DS61" s="11" t="str">
        <f ca="1">IF(History!DW$2="","",History!DW50*$C$61)</f>
        <v/>
      </c>
      <c r="DT61" s="11" t="str">
        <f ca="1">IF(History!DX$2="","",History!DX50*$C$61)</f>
        <v/>
      </c>
      <c r="DU61" s="11" t="str">
        <f ca="1">IF(History!DY$2="","",History!DY50*$C$61)</f>
        <v/>
      </c>
      <c r="DV61" s="11" t="str">
        <f ca="1">IF(History!DZ$2="","",History!DZ50*$C$61)</f>
        <v/>
      </c>
      <c r="DW61" s="11" t="str">
        <f ca="1">IF(History!EA$2="","",History!EA50*$C$61)</f>
        <v/>
      </c>
      <c r="DX61" s="11" t="str">
        <f ca="1">IF(History!EB$2="","",History!EB50*$C$61)</f>
        <v/>
      </c>
      <c r="DY61" s="11" t="str">
        <f ca="1">IF(History!EC$2="","",History!EC50*$C$61)</f>
        <v/>
      </c>
      <c r="DZ61" s="11" t="str">
        <f ca="1">IF(History!ED$2="","",History!ED50*$C$61)</f>
        <v/>
      </c>
      <c r="EA61" s="11" t="str">
        <f ca="1">IF(History!EE$2="","",History!EE50*$C$61)</f>
        <v/>
      </c>
      <c r="EB61" s="11" t="str">
        <f ca="1">IF(History!EF$2="","",History!EF50*$C$61)</f>
        <v/>
      </c>
      <c r="EC61" s="11" t="str">
        <f ca="1">IF(History!EG$2="","",History!EG50*$C$61)</f>
        <v/>
      </c>
      <c r="ED61" s="11" t="str">
        <f ca="1">IF(History!EH$2="","",History!EH50*$C$61)</f>
        <v/>
      </c>
      <c r="EE61" s="11" t="str">
        <f ca="1">IF(History!EI$2="","",History!EI50*$C$61)</f>
        <v/>
      </c>
      <c r="EF61" s="11" t="str">
        <f ca="1">IF(History!EJ$2="","",History!EJ50*$C$61)</f>
        <v/>
      </c>
      <c r="EG61" s="11" t="str">
        <f ca="1">IF(History!EK$2="","",History!EK50*$C$61)</f>
        <v/>
      </c>
      <c r="EH61" s="11" t="str">
        <f ca="1">IF(History!EL$2="","",History!EL50*$C$61)</f>
        <v/>
      </c>
      <c r="EI61" s="11" t="str">
        <f ca="1">IF(History!EM$2="","",History!EM50*$C$61)</f>
        <v/>
      </c>
      <c r="EJ61" s="11" t="str">
        <f ca="1">IF(History!EN$2="","",History!EN50*$C$61)</f>
        <v/>
      </c>
      <c r="EK61" s="11" t="str">
        <f ca="1">IF(History!EO$2="","",History!EO50*$C$61)</f>
        <v/>
      </c>
      <c r="EL61" s="11" t="str">
        <f ca="1">IF(History!EP$2="","",History!EP50*$C$61)</f>
        <v/>
      </c>
      <c r="EM61" s="11" t="str">
        <f ca="1">IF(History!EQ$2="","",History!EQ50*$C$61)</f>
        <v/>
      </c>
      <c r="EN61" s="11" t="str">
        <f ca="1">IF(History!ER$2="","",History!ER50*$C$61)</f>
        <v/>
      </c>
      <c r="EO61" s="11" t="str">
        <f ca="1">IF(History!ES$2="","",History!ES50*$C$61)</f>
        <v/>
      </c>
      <c r="EP61" s="11" t="str">
        <f ca="1">IF(History!ET$2="","",History!ET50*$C$61)</f>
        <v/>
      </c>
      <c r="EQ61" s="11" t="str">
        <f ca="1">IF(History!EU$2="","",History!EU50*$C$61)</f>
        <v/>
      </c>
      <c r="ER61" s="11" t="str">
        <f ca="1">IF(History!EV$2="","",History!EV50*$C$61)</f>
        <v/>
      </c>
      <c r="ES61" s="11" t="str">
        <f ca="1">IF(History!EW$2="","",History!EW50*$C$61)</f>
        <v/>
      </c>
      <c r="ET61" s="11" t="str">
        <f ca="1">IF(History!EX$2="","",History!EX50*$C$61)</f>
        <v/>
      </c>
      <c r="EU61" s="11" t="str">
        <f ca="1">IF(History!EY$2="","",History!EY50*$C$61)</f>
        <v/>
      </c>
      <c r="EV61" s="11" t="str">
        <f ca="1">IF(History!EZ$2="","",History!EZ50*$C$61)</f>
        <v/>
      </c>
      <c r="EW61" s="11" t="str">
        <f ca="1">IF(History!FA$2="","",History!FA50*$C$61)</f>
        <v/>
      </c>
      <c r="EX61" s="11" t="str">
        <f ca="1">IF(History!FB$2="","",History!FB50*$C$61)</f>
        <v/>
      </c>
      <c r="EY61" s="11" t="str">
        <f ca="1">IF(History!FC$2="","",History!FC50*$C$61)</f>
        <v/>
      </c>
      <c r="EZ61" s="11" t="str">
        <f ca="1">IF(History!FD$2="","",History!FD50*$C$61)</f>
        <v/>
      </c>
      <c r="FA61" s="11" t="str">
        <f ca="1">IF(History!FE$2="","",History!FE50*$C$61)</f>
        <v/>
      </c>
      <c r="FB61" s="11" t="str">
        <f ca="1">IF(History!FF$2="","",History!FF50*$C$61)</f>
        <v/>
      </c>
      <c r="FC61" s="11" t="str">
        <f ca="1">IF(History!FG$2="","",History!FG50*$C$61)</f>
        <v/>
      </c>
      <c r="FD61" s="11" t="str">
        <f ca="1">IF(History!FH$2="","",History!FH50*$C$61)</f>
        <v/>
      </c>
      <c r="FE61" s="11" t="str">
        <f ca="1">IF(History!FI$2="","",History!FI50*$C$61)</f>
        <v/>
      </c>
      <c r="FF61" s="11" t="str">
        <f ca="1">IF(History!FJ$2="","",History!FJ50*$C$61)</f>
        <v/>
      </c>
      <c r="FG61" s="11" t="str">
        <f ca="1">IF(History!FK$2="","",History!FK50*$C$61)</f>
        <v/>
      </c>
      <c r="FH61" s="11" t="str">
        <f ca="1">IF(History!FL$2="","",History!FL50*$C$61)</f>
        <v/>
      </c>
      <c r="FI61" s="11" t="str">
        <f ca="1">IF(History!FM$2="","",History!FM50*$C$61)</f>
        <v/>
      </c>
      <c r="FJ61" s="11" t="str">
        <f ca="1">IF(History!FN$2="","",History!FN50*$C$61)</f>
        <v/>
      </c>
      <c r="FK61" s="11" t="str">
        <f ca="1">IF(History!FO$2="","",History!FO50*$C$61)</f>
        <v/>
      </c>
      <c r="FL61" s="11" t="str">
        <f ca="1">IF(History!FP$2="","",History!FP50*$C$61)</f>
        <v/>
      </c>
      <c r="FM61" s="11" t="str">
        <f ca="1">IF(History!FQ$2="","",History!FQ50*$C$61)</f>
        <v/>
      </c>
      <c r="FN61" s="11" t="str">
        <f ca="1">IF(History!FR$2="","",History!FR50*$C$61)</f>
        <v/>
      </c>
      <c r="FO61" s="11" t="str">
        <f ca="1">IF(History!FS$2="","",History!FS50*$C$61)</f>
        <v/>
      </c>
      <c r="FP61" s="11" t="str">
        <f ca="1">IF(History!FT$2="","",History!FT50*$C$61)</f>
        <v/>
      </c>
      <c r="FQ61" s="11" t="str">
        <f ca="1">IF(History!FU$2="","",History!FU50*$C$61)</f>
        <v/>
      </c>
      <c r="FR61" s="11" t="str">
        <f ca="1">IF(History!FV$2="","",History!FV50*$C$61)</f>
        <v/>
      </c>
      <c r="FS61" s="11" t="str">
        <f ca="1">IF(History!FW$2="","",History!FW50*$C$61)</f>
        <v/>
      </c>
      <c r="FT61" s="11" t="str">
        <f ca="1">IF(History!FX$2="","",History!FX50*$C$61)</f>
        <v/>
      </c>
      <c r="FU61" s="11" t="str">
        <f ca="1">IF(History!FY$2="","",History!FY50*$C$61)</f>
        <v/>
      </c>
      <c r="FV61" s="11" t="str">
        <f ca="1">IF(History!FZ$2="","",History!FZ50*$C$61)</f>
        <v/>
      </c>
      <c r="FW61" s="11" t="str">
        <f ca="1">IF(History!GA$2="","",History!GA50*$C$61)</f>
        <v/>
      </c>
      <c r="FX61" s="11" t="str">
        <f ca="1">IF(History!GB$2="","",History!GB50*$C$61)</f>
        <v/>
      </c>
      <c r="FY61" s="11" t="str">
        <f ca="1">IF(History!GC$2="","",History!GC50*$C$61)</f>
        <v/>
      </c>
      <c r="FZ61" s="11" t="str">
        <f ca="1">IF(History!GD$2="","",History!GD50*$C$61)</f>
        <v/>
      </c>
      <c r="GA61" s="11" t="str">
        <f ca="1">IF(History!GE$2="","",History!GE50*$C$61)</f>
        <v/>
      </c>
      <c r="GB61" s="11" t="str">
        <f ca="1">IF(History!GF$2="","",History!GF50*$C$61)</f>
        <v/>
      </c>
      <c r="GC61" s="11" t="str">
        <f ca="1">IF(History!GG$2="","",History!GG50*$C$61)</f>
        <v/>
      </c>
      <c r="GD61" s="11" t="str">
        <f ca="1">IF(History!GH$2="","",History!GH50*$C$61)</f>
        <v/>
      </c>
      <c r="GE61" s="11" t="str">
        <f ca="1">IF(History!GI$2="","",History!GI50*$C$61)</f>
        <v/>
      </c>
      <c r="GF61" s="11" t="str">
        <f ca="1">IF(History!GJ$2="","",History!GJ50*$C$61)</f>
        <v/>
      </c>
      <c r="GG61" s="11" t="str">
        <f ca="1">IF(History!GK$2="","",History!GK50*$C$61)</f>
        <v/>
      </c>
      <c r="GH61" s="11" t="str">
        <f ca="1">IF(History!GL$2="","",History!GL50*$C$61)</f>
        <v/>
      </c>
      <c r="GI61" s="11" t="str">
        <f ca="1">IF(History!GM$2="","",History!GM50*$C$61)</f>
        <v/>
      </c>
      <c r="GJ61" s="11" t="str">
        <f ca="1">IF(History!GN$2="","",History!GN50*$C$61)</f>
        <v/>
      </c>
      <c r="GK61" s="11" t="str">
        <f ca="1">IF(History!GO$2="","",History!GO50*$C$61)</f>
        <v/>
      </c>
      <c r="GL61" s="11" t="str">
        <f ca="1">IF(History!GP$2="","",History!GP50*$C$61)</f>
        <v/>
      </c>
      <c r="GM61" s="11" t="str">
        <f ca="1">IF(History!GQ$2="","",History!GQ50*$C$61)</f>
        <v/>
      </c>
      <c r="GN61" s="11" t="str">
        <f ca="1">IF(History!GR$2="","",History!GR50*$C$61)</f>
        <v/>
      </c>
      <c r="GO61" s="11" t="str">
        <f ca="1">IF(History!GS$2="","",History!GS50*$C$61)</f>
        <v/>
      </c>
      <c r="GP61" s="11" t="str">
        <f ca="1">IF(History!GT$2="","",History!GT50*$C$61)</f>
        <v/>
      </c>
      <c r="GQ61" s="11" t="str">
        <f ca="1">IF(History!GU$2="","",History!GU50*$C$61)</f>
        <v/>
      </c>
      <c r="GR61" s="11" t="str">
        <f ca="1">IF(History!GV$2="","",History!GV50*$C$61)</f>
        <v/>
      </c>
      <c r="GS61" s="11" t="str">
        <f ca="1">IF(History!GW$2="","",History!GW50*$C$61)</f>
        <v/>
      </c>
      <c r="GT61" s="11" t="str">
        <f ca="1">IF(History!GX$2="","",History!GX50*$C$61)</f>
        <v/>
      </c>
      <c r="GU61" s="11" t="str">
        <f ca="1">IF(History!GY$2="","",History!GY50*$C$61)</f>
        <v/>
      </c>
      <c r="GV61" s="11" t="str">
        <f ca="1">IF(History!GZ$2="","",History!GZ50*$C$61)</f>
        <v/>
      </c>
      <c r="GW61" s="11" t="str">
        <f ca="1">IF(History!HA$2="","",History!HA50*$C$61)</f>
        <v/>
      </c>
      <c r="GX61" s="11" t="str">
        <f ca="1">IF(History!HB$2="","",History!HB50*$C$61)</f>
        <v/>
      </c>
      <c r="GY61" s="11" t="str">
        <f ca="1">IF(History!HC$2="","",History!HC50*$C$61)</f>
        <v/>
      </c>
      <c r="GZ61" s="11" t="str">
        <f ca="1">IF(History!HD$2="","",History!HD50*$C$61)</f>
        <v/>
      </c>
      <c r="HA61" s="11" t="str">
        <f ca="1">IF(History!HE$2="","",History!HE50*$C$61)</f>
        <v/>
      </c>
      <c r="HB61" s="11" t="str">
        <f ca="1">IF(History!HF$2="","",History!HF50*$C$61)</f>
        <v/>
      </c>
      <c r="HC61" s="11" t="str">
        <f ca="1">IF(History!HG$2="","",History!HG50*$C$61)</f>
        <v/>
      </c>
      <c r="HD61" s="11" t="str">
        <f ca="1">IF(History!HH$2="","",History!HH50*$C$61)</f>
        <v/>
      </c>
      <c r="HE61" s="11" t="str">
        <f ca="1">IF(History!HI$2="","",History!HI50*$C$61)</f>
        <v/>
      </c>
      <c r="HF61" s="11" t="str">
        <f ca="1">IF(History!HJ$2="","",History!HJ50*$C$61)</f>
        <v/>
      </c>
      <c r="HG61" s="11" t="str">
        <f ca="1">IF(History!HK$2="","",History!HK50*$C$61)</f>
        <v/>
      </c>
      <c r="HH61" s="11" t="str">
        <f ca="1">IF(History!HL$2="","",History!HL50*$C$61)</f>
        <v/>
      </c>
      <c r="HI61" s="11" t="str">
        <f ca="1">IF(History!HM$2="","",History!HM50*$C$61)</f>
        <v/>
      </c>
      <c r="HJ61" s="11" t="str">
        <f ca="1">IF(History!HN$2="","",History!HN50*$C$61)</f>
        <v/>
      </c>
      <c r="HK61" s="11" t="str">
        <f ca="1">IF(History!HO$2="","",History!HO50*$C$61)</f>
        <v/>
      </c>
      <c r="HL61" s="11" t="str">
        <f ca="1">IF(History!HP$2="","",History!HP50*$C$61)</f>
        <v/>
      </c>
      <c r="HM61" s="11" t="str">
        <f ca="1">IF(History!HQ$2="","",History!HQ50*$C$61)</f>
        <v/>
      </c>
      <c r="HN61" s="11" t="str">
        <f ca="1">IF(History!HR$2="","",History!HR50*$C$61)</f>
        <v/>
      </c>
      <c r="HO61" s="11" t="str">
        <f ca="1">IF(History!HS$2="","",History!HS50*$C$61)</f>
        <v/>
      </c>
      <c r="HP61" s="11" t="str">
        <f ca="1">IF(History!HT$2="","",History!HT50*$C$61)</f>
        <v/>
      </c>
      <c r="HQ61" s="11" t="str">
        <f ca="1">IF(History!HU$2="","",History!HU50*$C$61)</f>
        <v/>
      </c>
      <c r="HR61" s="11" t="str">
        <f ca="1">IF(History!HV$2="","",History!HV50*$C$61)</f>
        <v/>
      </c>
      <c r="HS61" s="11" t="str">
        <f ca="1">IF(History!HW$2="","",History!HW50*$C$61)</f>
        <v/>
      </c>
      <c r="HT61" s="11" t="str">
        <f ca="1">IF(History!HX$2="","",History!HX50*$C$61)</f>
        <v/>
      </c>
      <c r="HU61" s="11" t="str">
        <f ca="1">IF(History!HY$2="","",History!HY50*$C$61)</f>
        <v/>
      </c>
      <c r="HV61" s="11" t="str">
        <f ca="1">IF(History!HZ$2="","",History!HZ50*$C$61)</f>
        <v/>
      </c>
      <c r="HW61" s="11" t="str">
        <f ca="1">IF(History!IA$2="","",History!IA50*$C$61)</f>
        <v/>
      </c>
      <c r="HX61" s="11" t="str">
        <f ca="1">IF(History!IB$2="","",History!IB50*$C$61)</f>
        <v/>
      </c>
      <c r="HY61" s="11" t="str">
        <f ca="1">IF(History!IC$2="","",History!IC50*$C$61)</f>
        <v/>
      </c>
      <c r="HZ61" s="11" t="str">
        <f ca="1">IF(History!ID$2="","",History!ID50*$C$61)</f>
        <v/>
      </c>
      <c r="IA61" s="11" t="str">
        <f ca="1">IF(History!IE$2="","",History!IE50*$C$61)</f>
        <v/>
      </c>
      <c r="IB61" s="11" t="str">
        <f ca="1">IF(History!IF$2="","",History!IF50*$C$61)</f>
        <v/>
      </c>
      <c r="IC61" s="11" t="str">
        <f ca="1">IF(History!IG$2="","",History!IG50*$C$61)</f>
        <v/>
      </c>
      <c r="ID61" s="11" t="str">
        <f ca="1">IF(History!IH$2="","",History!IH50*$C$61)</f>
        <v/>
      </c>
      <c r="IE61" s="11" t="str">
        <f ca="1">IF(History!II$2="","",History!II50*$C$61)</f>
        <v/>
      </c>
      <c r="IF61" s="11" t="str">
        <f ca="1">IF(History!IJ$2="","",History!IJ50*$C$61)</f>
        <v/>
      </c>
      <c r="IG61" s="11" t="str">
        <f ca="1">IF(History!IK$2="","",History!IK50*$C$61)</f>
        <v/>
      </c>
      <c r="IH61" s="11" t="str">
        <f ca="1">IF(History!IL$2="","",History!IL50*$C$61)</f>
        <v/>
      </c>
      <c r="II61" s="11" t="str">
        <f ca="1">IF(History!IM$2="","",History!IM50*$C$61)</f>
        <v/>
      </c>
      <c r="IJ61" s="11" t="str">
        <f ca="1">IF(History!IN$2="","",History!IN50*$C$61)</f>
        <v/>
      </c>
      <c r="IK61" s="11" t="str">
        <f ca="1">IF(History!IO$2="","",History!IO50*$C$61)</f>
        <v/>
      </c>
      <c r="IL61" s="11" t="str">
        <f ca="1">IF(History!IP$2="","",History!IP50*$C$61)</f>
        <v/>
      </c>
      <c r="IM61" s="11" t="str">
        <f ca="1">IF(History!IQ$2="","",History!IQ50*$C$61)</f>
        <v/>
      </c>
      <c r="IN61" s="11" t="str">
        <f ca="1">IF(History!IR$2="","",History!IR50*$C$61)</f>
        <v/>
      </c>
      <c r="IO61" s="11" t="str">
        <f ca="1">IF(History!IS$2="","",History!IS50*$C$61)</f>
        <v/>
      </c>
      <c r="IP61" s="11" t="str">
        <f ca="1">IF(History!IT$2="","",History!IT50*$C$61)</f>
        <v/>
      </c>
      <c r="IQ61" s="11" t="str">
        <f ca="1">IF(History!IU$2="","",History!IU50*$C$61)</f>
        <v/>
      </c>
      <c r="IR61" s="11" t="str">
        <f ca="1">IF(History!IV$2="","",History!IV50*$C$61)</f>
        <v/>
      </c>
      <c r="IS61" s="11" t="str">
        <f ca="1">IF(History!IW$2="","",History!IW50*$C$61)</f>
        <v/>
      </c>
      <c r="IT61" s="11" t="str">
        <f ca="1">IF(History!IX$2="","",History!IX50*$C$61)</f>
        <v/>
      </c>
      <c r="IU61" s="11" t="str">
        <f ca="1">IF(History!IY$2="","",History!IY50*$C$61)</f>
        <v/>
      </c>
      <c r="IV61" s="11" t="str">
        <f ca="1">IF(History!IZ$2="","",History!IZ50*$C$61)</f>
        <v/>
      </c>
      <c r="IW61" s="11" t="str">
        <f ca="1">IF(History!JA$2="","",History!JA50*$C$61)</f>
        <v/>
      </c>
      <c r="IX61" s="11" t="str">
        <f ca="1">IF(History!JB$2="","",History!JB50*$C$61)</f>
        <v/>
      </c>
      <c r="IY61" s="11" t="str">
        <f ca="1">IF(History!JC$2="","",History!JC50*$C$61)</f>
        <v/>
      </c>
      <c r="IZ61" s="11" t="str">
        <f ca="1">IF(History!JD$2="","",History!JD50*$C$61)</f>
        <v/>
      </c>
      <c r="JA61" s="11" t="str">
        <f ca="1">IF(History!JE$2="","",History!JE50*$C$61)</f>
        <v/>
      </c>
      <c r="JB61" s="11" t="str">
        <f ca="1">IF(History!JF$2="","",History!JF50*$C$61)</f>
        <v/>
      </c>
      <c r="JC61" s="11" t="str">
        <f ca="1">IF(History!JG$2="","",History!JG50*$C$61)</f>
        <v/>
      </c>
      <c r="JD61" s="11" t="str">
        <f ca="1">IF(History!JH$2="","",History!JH50*$C$61)</f>
        <v/>
      </c>
      <c r="JE61" s="11" t="str">
        <f ca="1">IF(History!JI$2="","",History!JI50*$C$61)</f>
        <v/>
      </c>
      <c r="JF61" s="11" t="str">
        <f ca="1">IF(History!JJ$2="","",History!JJ50*$C$61)</f>
        <v/>
      </c>
      <c r="JG61" s="11" t="str">
        <f ca="1">IF(History!JK$2="","",History!JK50*$C$61)</f>
        <v/>
      </c>
      <c r="JH61" s="11" t="str">
        <f ca="1">IF(History!JL$2="","",History!JL50*$C$61)</f>
        <v/>
      </c>
      <c r="JI61" s="11" t="str">
        <f ca="1">IF(History!JM$2="","",History!JM50*$C$61)</f>
        <v/>
      </c>
      <c r="JJ61" s="11" t="str">
        <f ca="1">IF(History!JN$2="","",History!JN50*$C$61)</f>
        <v/>
      </c>
      <c r="JK61" s="11" t="str">
        <f ca="1">IF(History!JO$2="","",History!JO50*$C$61)</f>
        <v/>
      </c>
      <c r="JL61" s="11" t="str">
        <f ca="1">IF(History!JP$2="","",History!JP50*$C$61)</f>
        <v/>
      </c>
      <c r="JM61" s="11" t="str">
        <f ca="1">IF(History!JQ$2="","",History!JQ50*$C$61)</f>
        <v/>
      </c>
      <c r="JN61" s="11" t="str">
        <f ca="1">IF(History!JR$2="","",History!JR50*$C$61)</f>
        <v/>
      </c>
      <c r="JO61" s="11" t="str">
        <f ca="1">IF(History!JS$2="","",History!JS50*$C$61)</f>
        <v/>
      </c>
      <c r="JP61" s="11" t="str">
        <f ca="1">IF(History!JT$2="","",History!JT50*$C$61)</f>
        <v/>
      </c>
      <c r="JQ61" s="11" t="str">
        <f ca="1">IF(History!JU$2="","",History!JU50*$C$61)</f>
        <v/>
      </c>
      <c r="JR61" s="11" t="str">
        <f ca="1">IF(History!JV$2="","",History!JV50*$C$61)</f>
        <v/>
      </c>
      <c r="JS61" s="11" t="str">
        <f ca="1">IF(History!JW$2="","",History!JW50*$C$61)</f>
        <v/>
      </c>
      <c r="JT61" s="11" t="str">
        <f ca="1">IF(History!JX$2="","",History!JX50*$C$61)</f>
        <v/>
      </c>
      <c r="JU61" s="11" t="str">
        <f ca="1">IF(History!JY$2="","",History!JY50*$C$61)</f>
        <v/>
      </c>
      <c r="JV61" s="11" t="str">
        <f ca="1">IF(History!JZ$2="","",History!JZ50*$C$61)</f>
        <v/>
      </c>
      <c r="JW61" s="11" t="str">
        <f ca="1">IF(History!KA$2="","",History!KA50*$C$61)</f>
        <v/>
      </c>
      <c r="JX61" s="11" t="str">
        <f ca="1">IF(History!KB$2="","",History!KB50*$C$61)</f>
        <v/>
      </c>
      <c r="JY61" s="11" t="str">
        <f ca="1">IF(History!KC$2="","",History!KC50*$C$61)</f>
        <v/>
      </c>
      <c r="JZ61" s="11" t="str">
        <f ca="1">IF(History!KD$2="","",History!KD50*$C$61)</f>
        <v/>
      </c>
      <c r="KA61" s="11" t="str">
        <f ca="1">IF(History!KE$2="","",History!KE50*$C$61)</f>
        <v/>
      </c>
      <c r="KB61" s="11" t="str">
        <f ca="1">IF(History!KF$2="","",History!KF50*$C$61)</f>
        <v/>
      </c>
    </row>
    <row r="62" spans="1:288" ht="13">
      <c r="A62" s="18" t="s">
        <v>140</v>
      </c>
      <c r="B62" s="6" t="s">
        <v>141</v>
      </c>
      <c r="C62" s="26">
        <v>1033</v>
      </c>
      <c r="D62" s="11" t="e">
        <f ca="1">IF(History!H$2="","",#REF!*$C$62)</f>
        <v>#REF!</v>
      </c>
      <c r="E62" s="11" t="e">
        <f ca="1">IF(History!I$2="","",#REF!*$C$62)</f>
        <v>#REF!</v>
      </c>
      <c r="F62" s="11" t="e">
        <f ca="1">IF(History!J$2="","",#REF!*$C$62)</f>
        <v>#REF!</v>
      </c>
      <c r="G62" s="11" t="e">
        <f ca="1">IF(History!K$2="","",#REF!*$C$62)</f>
        <v>#REF!</v>
      </c>
      <c r="H62" s="11" t="e">
        <f ca="1">IF(History!L$2="","",#REF!*$C$62)</f>
        <v>#REF!</v>
      </c>
      <c r="I62" s="11" t="e">
        <f ca="1">IF(History!M$2="","",#REF!*$C$62)</f>
        <v>#REF!</v>
      </c>
      <c r="J62" s="11" t="e">
        <f ca="1">IF(History!N$2="","",#REF!*$C$62)</f>
        <v>#REF!</v>
      </c>
      <c r="K62" s="11" t="e">
        <f ca="1">IF(History!O$2="","",#REF!*$C$62)</f>
        <v>#REF!</v>
      </c>
      <c r="L62" s="11" t="e">
        <f ca="1">IF(History!P$2="","",#REF!*$C$62)</f>
        <v>#REF!</v>
      </c>
      <c r="M62" s="11" t="e">
        <f ca="1">IF(History!Q$2="","",#REF!*$C$62)</f>
        <v>#REF!</v>
      </c>
      <c r="N62" s="11" t="e">
        <f ca="1">IF(History!R$2="","",#REF!*$C$62)</f>
        <v>#REF!</v>
      </c>
      <c r="O62" s="11" t="e">
        <f ca="1">IF(History!S$2="","",#REF!*$C$62)</f>
        <v>#REF!</v>
      </c>
      <c r="P62" s="11" t="e">
        <f ca="1">IF(History!T$2="","",#REF!*$C$62)</f>
        <v>#REF!</v>
      </c>
      <c r="Q62" s="11" t="e">
        <f ca="1">IF(History!U$2="","",#REF!*$C$62)</f>
        <v>#REF!</v>
      </c>
      <c r="R62" s="11" t="e">
        <f ca="1">IF(History!V$2="","",#REF!*$C$62)</f>
        <v>#REF!</v>
      </c>
      <c r="S62" s="11" t="e">
        <f ca="1">IF(History!W$2="","",#REF!*$C$62)</f>
        <v>#REF!</v>
      </c>
      <c r="T62" s="11" t="e">
        <f ca="1">IF(History!X$2="","",#REF!*$C$62)</f>
        <v>#REF!</v>
      </c>
      <c r="U62" s="11" t="e">
        <f ca="1">IF(History!Y$2="","",#REF!*$C$62)</f>
        <v>#REF!</v>
      </c>
      <c r="V62" s="11" t="e">
        <f ca="1">IF(History!Z$2="","",#REF!*$C$62)</f>
        <v>#REF!</v>
      </c>
      <c r="W62" s="11" t="e">
        <f ca="1">IF(History!AA$2="","",#REF!*$C$62)</f>
        <v>#REF!</v>
      </c>
      <c r="X62" s="11" t="e">
        <f ca="1">IF(History!AB$2="","",#REF!*$C$62)</f>
        <v>#REF!</v>
      </c>
      <c r="Y62" s="11" t="e">
        <f ca="1">IF(History!AC$2="","",#REF!*$C$62)</f>
        <v>#REF!</v>
      </c>
      <c r="Z62" s="11" t="e">
        <f ca="1">IF(History!AD$2="","",#REF!*$C$62)</f>
        <v>#REF!</v>
      </c>
      <c r="AA62" s="11" t="e">
        <f ca="1">IF(History!AE$2="","",#REF!*$C$62)</f>
        <v>#REF!</v>
      </c>
      <c r="AB62" s="11" t="e">
        <f ca="1">IF(History!AF$2="","",#REF!*$C$62)</f>
        <v>#REF!</v>
      </c>
      <c r="AC62" s="11" t="e">
        <f ca="1">IF(History!AG$2="","",#REF!*$C$62)</f>
        <v>#REF!</v>
      </c>
      <c r="AD62" s="11" t="e">
        <f ca="1">IF(History!AH$2="","",#REF!*$C$62)</f>
        <v>#REF!</v>
      </c>
      <c r="AE62" s="11" t="e">
        <f ca="1">IF(History!AI$2="","",#REF!*$C$62)</f>
        <v>#REF!</v>
      </c>
      <c r="AF62" s="11" t="e">
        <f ca="1">IF(History!AJ$2="","",#REF!*$C$62)</f>
        <v>#REF!</v>
      </c>
      <c r="AG62" s="11" t="e">
        <f ca="1">IF(History!AK$2="","",#REF!*$C$62)</f>
        <v>#REF!</v>
      </c>
      <c r="AH62" s="11" t="e">
        <f ca="1">IF(History!AL$2="","",#REF!*$C$62)</f>
        <v>#REF!</v>
      </c>
      <c r="AI62" s="11" t="e">
        <f ca="1">IF(History!AM$2="","",#REF!*$C$62)</f>
        <v>#REF!</v>
      </c>
      <c r="AJ62" s="11" t="e">
        <f ca="1">IF(History!AN$2="","",#REF!*$C$62)</f>
        <v>#REF!</v>
      </c>
      <c r="AK62" s="11" t="e">
        <f ca="1">IF(History!AO$2="","",#REF!*$C$62)</f>
        <v>#REF!</v>
      </c>
      <c r="AL62" s="11" t="e">
        <f ca="1">IF(History!AP$2="","",#REF!*$C$62)</f>
        <v>#REF!</v>
      </c>
      <c r="AM62" s="11" t="e">
        <f ca="1">IF(History!AQ$2="","",#REF!*$C$62)</f>
        <v>#REF!</v>
      </c>
      <c r="AN62" s="11" t="e">
        <f ca="1">IF(History!AR$2="","",#REF!*$C$62)</f>
        <v>#REF!</v>
      </c>
      <c r="AO62" s="11" t="e">
        <f ca="1">IF(History!AS$2="","",#REF!*$C$62)</f>
        <v>#REF!</v>
      </c>
      <c r="AP62" s="11" t="e">
        <f ca="1">IF(History!AT$2="","",#REF!*$C$62)</f>
        <v>#REF!</v>
      </c>
      <c r="AQ62" s="11" t="e">
        <f ca="1">IF(History!AU$2="","",#REF!*$C$62)</f>
        <v>#REF!</v>
      </c>
      <c r="AR62" s="11" t="e">
        <f ca="1">IF(History!AV$2="","",#REF!*$C$62)</f>
        <v>#REF!</v>
      </c>
      <c r="AS62" s="11" t="e">
        <f ca="1">IF(History!AW$2="","",#REF!*$C$62)</f>
        <v>#REF!</v>
      </c>
      <c r="AT62" s="11" t="e">
        <f ca="1">IF(History!AX$2="","",#REF!*$C$62)</f>
        <v>#REF!</v>
      </c>
      <c r="AU62" s="11" t="e">
        <f ca="1">IF(History!AY$2="","",#REF!*$C$62)</f>
        <v>#REF!</v>
      </c>
      <c r="AV62" s="11" t="e">
        <f ca="1">IF(History!AZ$2="","",#REF!*$C$62)</f>
        <v>#REF!</v>
      </c>
      <c r="AW62" s="11" t="e">
        <f ca="1">IF(History!BA$2="","",#REF!*$C$62)</f>
        <v>#REF!</v>
      </c>
      <c r="AX62" s="11" t="e">
        <f ca="1">IF(History!BB$2="","",#REF!*$C$62)</f>
        <v>#REF!</v>
      </c>
      <c r="AY62" s="11" t="e">
        <f ca="1">IF(History!BC$2="","",#REF!*$C$62)</f>
        <v>#REF!</v>
      </c>
      <c r="AZ62" s="11" t="e">
        <f ca="1">IF(History!BD$2="","",#REF!*$C$62)</f>
        <v>#REF!</v>
      </c>
      <c r="BA62" s="11" t="e">
        <f ca="1">IF(History!BE$2="","",#REF!*$C$62)</f>
        <v>#REF!</v>
      </c>
      <c r="BB62" s="11" t="e">
        <f ca="1">IF(History!BF$2="","",#REF!*$C$62)</f>
        <v>#REF!</v>
      </c>
      <c r="BC62" s="11" t="e">
        <f ca="1">IF(History!BG$2="","",#REF!*$C$62)</f>
        <v>#REF!</v>
      </c>
      <c r="BD62" s="11" t="e">
        <f ca="1">IF(History!BH$2="","",#REF!*$C$62)</f>
        <v>#REF!</v>
      </c>
      <c r="BE62" s="11" t="e">
        <f ca="1">IF(History!BI$2="","",#REF!*$C$62)</f>
        <v>#REF!</v>
      </c>
      <c r="BF62" s="11" t="e">
        <f ca="1">IF(History!BJ$2="","",#REF!*$C$62)</f>
        <v>#REF!</v>
      </c>
      <c r="BG62" s="11" t="e">
        <f ca="1">IF(History!BK$2="","",#REF!*$C$62)</f>
        <v>#REF!</v>
      </c>
      <c r="BH62" s="11" t="e">
        <f ca="1">IF(History!BL$2="","",#REF!*$C$62)</f>
        <v>#REF!</v>
      </c>
      <c r="BI62" s="11" t="e">
        <f ca="1">IF(History!BM$2="","",#REF!*$C$62)</f>
        <v>#REF!</v>
      </c>
      <c r="BJ62" s="11" t="e">
        <f ca="1">IF(History!BN$2="","",#REF!*$C$62)</f>
        <v>#REF!</v>
      </c>
      <c r="BK62" s="11" t="e">
        <f ca="1">IF(History!BO$2="","",#REF!*$C$62)</f>
        <v>#REF!</v>
      </c>
      <c r="BL62" s="11" t="e">
        <f ca="1">IF(History!BP$2="","",#REF!*$C$62)</f>
        <v>#REF!</v>
      </c>
      <c r="BM62" s="11" t="e">
        <f ca="1">IF(History!BQ$2="","",#REF!*$C$62)</f>
        <v>#REF!</v>
      </c>
      <c r="BN62" s="11" t="e">
        <f ca="1">IF(History!BR$2="","",#REF!*$C$62)</f>
        <v>#REF!</v>
      </c>
      <c r="BO62" s="11" t="e">
        <f ca="1">IF(History!BS$2="","",#REF!*$C$62)</f>
        <v>#REF!</v>
      </c>
      <c r="BP62" s="11" t="e">
        <f ca="1">IF(History!BT$2="","",#REF!*$C$62)</f>
        <v>#REF!</v>
      </c>
      <c r="BQ62" s="11" t="e">
        <f ca="1">IF(History!BU$2="","",#REF!*$C$62)</f>
        <v>#REF!</v>
      </c>
      <c r="BR62" s="11" t="e">
        <f ca="1">IF(History!BV$2="","",#REF!*$C$62)</f>
        <v>#REF!</v>
      </c>
      <c r="BS62" s="11" t="e">
        <f ca="1">IF(History!BW$2="","",#REF!*$C$62)</f>
        <v>#REF!</v>
      </c>
      <c r="BT62" s="11" t="e">
        <f ca="1">IF(History!BX$2="","",#REF!*$C$62)</f>
        <v>#REF!</v>
      </c>
      <c r="BU62" s="11" t="e">
        <f ca="1">IF(History!BY$2="","",#REF!*$C$62)</f>
        <v>#REF!</v>
      </c>
      <c r="BV62" s="11" t="e">
        <f ca="1">IF(History!BZ$2="","",#REF!*$C$62)</f>
        <v>#REF!</v>
      </c>
      <c r="BW62" s="11" t="e">
        <f ca="1">IF(History!CA$2="","",#REF!*$C$62)</f>
        <v>#REF!</v>
      </c>
      <c r="BX62" s="11" t="e">
        <f ca="1">IF(History!CB$2="","",#REF!*$C$62)</f>
        <v>#REF!</v>
      </c>
      <c r="BY62" s="11" t="e">
        <f ca="1">IF(History!CC$2="","",#REF!*$C$62)</f>
        <v>#REF!</v>
      </c>
      <c r="BZ62" s="11" t="e">
        <f ca="1">IF(History!CD$2="","",#REF!*$C$62)</f>
        <v>#REF!</v>
      </c>
      <c r="CA62" s="11" t="e">
        <f ca="1">IF(History!CE$2="","",#REF!*$C$62)</f>
        <v>#REF!</v>
      </c>
      <c r="CB62" s="11" t="e">
        <f ca="1">IF(History!CF$2="","",#REF!*$C$62)</f>
        <v>#REF!</v>
      </c>
      <c r="CC62" s="11" t="e">
        <f ca="1">IF(History!CG$2="","",#REF!*$C$62)</f>
        <v>#REF!</v>
      </c>
      <c r="CD62" s="11" t="e">
        <f ca="1">IF(History!CH$2="","",#REF!*$C$62)</f>
        <v>#REF!</v>
      </c>
      <c r="CE62" s="11" t="e">
        <f ca="1">IF(History!CI$2="","",#REF!*$C$62)</f>
        <v>#REF!</v>
      </c>
      <c r="CF62" s="11" t="str">
        <f ca="1">IF(History!CJ$2="","",#REF!*$C$62)</f>
        <v/>
      </c>
      <c r="CG62" s="11" t="str">
        <f ca="1">IF(History!CK$2="","",#REF!*$C$62)</f>
        <v/>
      </c>
      <c r="CH62" s="11" t="str">
        <f ca="1">IF(History!CL$2="","",#REF!*$C$62)</f>
        <v/>
      </c>
      <c r="CI62" s="11" t="str">
        <f ca="1">IF(History!CM$2="","",#REF!*$C$62)</f>
        <v/>
      </c>
      <c r="CJ62" s="11" t="str">
        <f ca="1">IF(History!CN$2="","",#REF!*$C$62)</f>
        <v/>
      </c>
      <c r="CK62" s="11" t="str">
        <f ca="1">IF(History!CO$2="","",#REF!*$C$62)</f>
        <v/>
      </c>
      <c r="CL62" s="11" t="str">
        <f ca="1">IF(History!CP$2="","",#REF!*$C$62)</f>
        <v/>
      </c>
      <c r="CM62" s="11" t="str">
        <f ca="1">IF(History!CQ$2="","",#REF!*$C$62)</f>
        <v/>
      </c>
      <c r="CN62" s="11" t="str">
        <f ca="1">IF(History!CR$2="","",#REF!*$C$62)</f>
        <v/>
      </c>
      <c r="CO62" s="11" t="str">
        <f ca="1">IF(History!CS$2="","",#REF!*$C$62)</f>
        <v/>
      </c>
      <c r="CP62" s="11" t="str">
        <f ca="1">IF(History!CT$2="","",#REF!*$C$62)</f>
        <v/>
      </c>
      <c r="CQ62" s="11" t="str">
        <f ca="1">IF(History!CU$2="","",#REF!*$C$62)</f>
        <v/>
      </c>
      <c r="CR62" s="11" t="str">
        <f ca="1">IF(History!CV$2="","",#REF!*$C$62)</f>
        <v/>
      </c>
      <c r="CS62" s="11" t="str">
        <f ca="1">IF(History!CW$2="","",#REF!*$C$62)</f>
        <v/>
      </c>
      <c r="CT62" s="11" t="str">
        <f ca="1">IF(History!CX$2="","",#REF!*$C$62)</f>
        <v/>
      </c>
      <c r="CU62" s="11" t="str">
        <f ca="1">IF(History!CY$2="","",#REF!*$C$62)</f>
        <v/>
      </c>
      <c r="CV62" s="11" t="str">
        <f ca="1">IF(History!CZ$2="","",#REF!*$C$62)</f>
        <v/>
      </c>
      <c r="CW62" s="11" t="str">
        <f ca="1">IF(History!DA$2="","",#REF!*$C$62)</f>
        <v/>
      </c>
      <c r="CX62" s="11" t="str">
        <f ca="1">IF(History!DB$2="","",#REF!*$C$62)</f>
        <v/>
      </c>
      <c r="CY62" s="11" t="str">
        <f ca="1">IF(History!DC$2="","",#REF!*$C$62)</f>
        <v/>
      </c>
      <c r="CZ62" s="11" t="str">
        <f ca="1">IF(History!DD$2="","",#REF!*$C$62)</f>
        <v/>
      </c>
      <c r="DA62" s="11" t="str">
        <f ca="1">IF(History!DE$2="","",#REF!*$C$62)</f>
        <v/>
      </c>
      <c r="DB62" s="11" t="str">
        <f ca="1">IF(History!DF$2="","",#REF!*$C$62)</f>
        <v/>
      </c>
      <c r="DC62" s="11" t="str">
        <f ca="1">IF(History!DG$2="","",#REF!*$C$62)</f>
        <v/>
      </c>
      <c r="DD62" s="11" t="str">
        <f ca="1">IF(History!DH$2="","",#REF!*$C$62)</f>
        <v/>
      </c>
      <c r="DE62" s="11" t="str">
        <f ca="1">IF(History!DI$2="","",#REF!*$C$62)</f>
        <v/>
      </c>
      <c r="DF62" s="11" t="str">
        <f ca="1">IF(History!DJ$2="","",#REF!*$C$62)</f>
        <v/>
      </c>
      <c r="DG62" s="11" t="str">
        <f ca="1">IF(History!DK$2="","",#REF!*$C$62)</f>
        <v/>
      </c>
      <c r="DH62" s="11" t="str">
        <f ca="1">IF(History!DL$2="","",#REF!*$C$62)</f>
        <v/>
      </c>
      <c r="DI62" s="11" t="str">
        <f ca="1">IF(History!DM$2="","",#REF!*$C$62)</f>
        <v/>
      </c>
      <c r="DJ62" s="11" t="str">
        <f ca="1">IF(History!DN$2="","",#REF!*$C$62)</f>
        <v/>
      </c>
      <c r="DK62" s="11" t="str">
        <f ca="1">IF(History!DO$2="","",#REF!*$C$62)</f>
        <v/>
      </c>
      <c r="DL62" s="11" t="str">
        <f ca="1">IF(History!DP$2="","",#REF!*$C$62)</f>
        <v/>
      </c>
      <c r="DM62" s="11" t="str">
        <f ca="1">IF(History!DQ$2="","",#REF!*$C$62)</f>
        <v/>
      </c>
      <c r="DN62" s="11" t="str">
        <f ca="1">IF(History!DR$2="","",#REF!*$C$62)</f>
        <v/>
      </c>
      <c r="DO62" s="11" t="str">
        <f ca="1">IF(History!DS$2="","",#REF!*$C$62)</f>
        <v/>
      </c>
      <c r="DP62" s="11" t="str">
        <f ca="1">IF(History!DT$2="","",#REF!*$C$62)</f>
        <v/>
      </c>
      <c r="DQ62" s="11" t="str">
        <f ca="1">IF(History!DU$2="","",#REF!*$C$62)</f>
        <v/>
      </c>
      <c r="DR62" s="11" t="str">
        <f ca="1">IF(History!DV$2="","",#REF!*$C$62)</f>
        <v/>
      </c>
      <c r="DS62" s="11" t="str">
        <f ca="1">IF(History!DW$2="","",#REF!*$C$62)</f>
        <v/>
      </c>
      <c r="DT62" s="11" t="str">
        <f ca="1">IF(History!DX$2="","",#REF!*$C$62)</f>
        <v/>
      </c>
      <c r="DU62" s="11" t="str">
        <f ca="1">IF(History!DY$2="","",#REF!*$C$62)</f>
        <v/>
      </c>
      <c r="DV62" s="11" t="str">
        <f ca="1">IF(History!DZ$2="","",#REF!*$C$62)</f>
        <v/>
      </c>
      <c r="DW62" s="11" t="str">
        <f ca="1">IF(History!EA$2="","",#REF!*$C$62)</f>
        <v/>
      </c>
      <c r="DX62" s="11" t="str">
        <f ca="1">IF(History!EB$2="","",#REF!*$C$62)</f>
        <v/>
      </c>
      <c r="DY62" s="11" t="str">
        <f ca="1">IF(History!EC$2="","",#REF!*$C$62)</f>
        <v/>
      </c>
      <c r="DZ62" s="11" t="str">
        <f ca="1">IF(History!ED$2="","",#REF!*$C$62)</f>
        <v/>
      </c>
      <c r="EA62" s="11" t="str">
        <f ca="1">IF(History!EE$2="","",#REF!*$C$62)</f>
        <v/>
      </c>
      <c r="EB62" s="11" t="str">
        <f ca="1">IF(History!EF$2="","",#REF!*$C$62)</f>
        <v/>
      </c>
      <c r="EC62" s="11" t="str">
        <f ca="1">IF(History!EG$2="","",#REF!*$C$62)</f>
        <v/>
      </c>
      <c r="ED62" s="11" t="str">
        <f ca="1">IF(History!EH$2="","",#REF!*$C$62)</f>
        <v/>
      </c>
      <c r="EE62" s="11" t="str">
        <f ca="1">IF(History!EI$2="","",#REF!*$C$62)</f>
        <v/>
      </c>
      <c r="EF62" s="11" t="str">
        <f ca="1">IF(History!EJ$2="","",#REF!*$C$62)</f>
        <v/>
      </c>
      <c r="EG62" s="11" t="str">
        <f ca="1">IF(History!EK$2="","",#REF!*$C$62)</f>
        <v/>
      </c>
      <c r="EH62" s="11" t="str">
        <f ca="1">IF(History!EL$2="","",#REF!*$C$62)</f>
        <v/>
      </c>
      <c r="EI62" s="11" t="str">
        <f ca="1">IF(History!EM$2="","",#REF!*$C$62)</f>
        <v/>
      </c>
      <c r="EJ62" s="11" t="str">
        <f ca="1">IF(History!EN$2="","",#REF!*$C$62)</f>
        <v/>
      </c>
      <c r="EK62" s="11" t="str">
        <f ca="1">IF(History!EO$2="","",#REF!*$C$62)</f>
        <v/>
      </c>
      <c r="EL62" s="11" t="str">
        <f ca="1">IF(History!EP$2="","",#REF!*$C$62)</f>
        <v/>
      </c>
      <c r="EM62" s="11" t="str">
        <f ca="1">IF(History!EQ$2="","",#REF!*$C$62)</f>
        <v/>
      </c>
      <c r="EN62" s="11" t="str">
        <f ca="1">IF(History!ER$2="","",#REF!*$C$62)</f>
        <v/>
      </c>
      <c r="EO62" s="11" t="str">
        <f ca="1">IF(History!ES$2="","",#REF!*$C$62)</f>
        <v/>
      </c>
      <c r="EP62" s="11" t="str">
        <f ca="1">IF(History!ET$2="","",#REF!*$C$62)</f>
        <v/>
      </c>
      <c r="EQ62" s="11" t="str">
        <f ca="1">IF(History!EU$2="","",#REF!*$C$62)</f>
        <v/>
      </c>
      <c r="ER62" s="11" t="str">
        <f ca="1">IF(History!EV$2="","",#REF!*$C$62)</f>
        <v/>
      </c>
      <c r="ES62" s="11" t="str">
        <f ca="1">IF(History!EW$2="","",#REF!*$C$62)</f>
        <v/>
      </c>
      <c r="ET62" s="11" t="str">
        <f ca="1">IF(History!EX$2="","",#REF!*$C$62)</f>
        <v/>
      </c>
      <c r="EU62" s="11" t="str">
        <f ca="1">IF(History!EY$2="","",#REF!*$C$62)</f>
        <v/>
      </c>
      <c r="EV62" s="11" t="str">
        <f ca="1">IF(History!EZ$2="","",#REF!*$C$62)</f>
        <v/>
      </c>
      <c r="EW62" s="11" t="str">
        <f ca="1">IF(History!FA$2="","",#REF!*$C$62)</f>
        <v/>
      </c>
      <c r="EX62" s="11" t="str">
        <f ca="1">IF(History!FB$2="","",#REF!*$C$62)</f>
        <v/>
      </c>
      <c r="EY62" s="11" t="str">
        <f ca="1">IF(History!FC$2="","",#REF!*$C$62)</f>
        <v/>
      </c>
      <c r="EZ62" s="11" t="str">
        <f ca="1">IF(History!FD$2="","",#REF!*$C$62)</f>
        <v/>
      </c>
      <c r="FA62" s="11" t="str">
        <f ca="1">IF(History!FE$2="","",#REF!*$C$62)</f>
        <v/>
      </c>
      <c r="FB62" s="11" t="str">
        <f ca="1">IF(History!FF$2="","",#REF!*$C$62)</f>
        <v/>
      </c>
      <c r="FC62" s="11" t="str">
        <f ca="1">IF(History!FG$2="","",#REF!*$C$62)</f>
        <v/>
      </c>
      <c r="FD62" s="11" t="str">
        <f ca="1">IF(History!FH$2="","",#REF!*$C$62)</f>
        <v/>
      </c>
      <c r="FE62" s="11" t="str">
        <f ca="1">IF(History!FI$2="","",#REF!*$C$62)</f>
        <v/>
      </c>
      <c r="FF62" s="11" t="str">
        <f ca="1">IF(History!FJ$2="","",#REF!*$C$62)</f>
        <v/>
      </c>
      <c r="FG62" s="11" t="str">
        <f ca="1">IF(History!FK$2="","",#REF!*$C$62)</f>
        <v/>
      </c>
      <c r="FH62" s="11" t="str">
        <f ca="1">IF(History!FL$2="","",#REF!*$C$62)</f>
        <v/>
      </c>
      <c r="FI62" s="11" t="str">
        <f ca="1">IF(History!FM$2="","",#REF!*$C$62)</f>
        <v/>
      </c>
      <c r="FJ62" s="11" t="str">
        <f ca="1">IF(History!FN$2="","",#REF!*$C$62)</f>
        <v/>
      </c>
      <c r="FK62" s="11" t="str">
        <f ca="1">IF(History!FO$2="","",#REF!*$C$62)</f>
        <v/>
      </c>
      <c r="FL62" s="11" t="str">
        <f ca="1">IF(History!FP$2="","",#REF!*$C$62)</f>
        <v/>
      </c>
      <c r="FM62" s="11" t="str">
        <f ca="1">IF(History!FQ$2="","",#REF!*$C$62)</f>
        <v/>
      </c>
      <c r="FN62" s="11" t="str">
        <f ca="1">IF(History!FR$2="","",#REF!*$C$62)</f>
        <v/>
      </c>
      <c r="FO62" s="11" t="str">
        <f ca="1">IF(History!FS$2="","",#REF!*$C$62)</f>
        <v/>
      </c>
      <c r="FP62" s="11" t="str">
        <f ca="1">IF(History!FT$2="","",#REF!*$C$62)</f>
        <v/>
      </c>
      <c r="FQ62" s="11" t="str">
        <f ca="1">IF(History!FU$2="","",#REF!*$C$62)</f>
        <v/>
      </c>
      <c r="FR62" s="11" t="str">
        <f ca="1">IF(History!FV$2="","",#REF!*$C$62)</f>
        <v/>
      </c>
      <c r="FS62" s="11" t="str">
        <f ca="1">IF(History!FW$2="","",#REF!*$C$62)</f>
        <v/>
      </c>
      <c r="FT62" s="11" t="str">
        <f ca="1">IF(History!FX$2="","",#REF!*$C$62)</f>
        <v/>
      </c>
      <c r="FU62" s="11" t="str">
        <f ca="1">IF(History!FY$2="","",#REF!*$C$62)</f>
        <v/>
      </c>
      <c r="FV62" s="11" t="str">
        <f ca="1">IF(History!FZ$2="","",#REF!*$C$62)</f>
        <v/>
      </c>
      <c r="FW62" s="11" t="str">
        <f ca="1">IF(History!GA$2="","",#REF!*$C$62)</f>
        <v/>
      </c>
      <c r="FX62" s="11" t="str">
        <f ca="1">IF(History!GB$2="","",#REF!*$C$62)</f>
        <v/>
      </c>
      <c r="FY62" s="11" t="str">
        <f ca="1">IF(History!GC$2="","",#REF!*$C$62)</f>
        <v/>
      </c>
      <c r="FZ62" s="11" t="str">
        <f ca="1">IF(History!GD$2="","",#REF!*$C$62)</f>
        <v/>
      </c>
      <c r="GA62" s="11" t="str">
        <f ca="1">IF(History!GE$2="","",#REF!*$C$62)</f>
        <v/>
      </c>
      <c r="GB62" s="11" t="str">
        <f ca="1">IF(History!GF$2="","",#REF!*$C$62)</f>
        <v/>
      </c>
      <c r="GC62" s="11" t="str">
        <f ca="1">IF(History!GG$2="","",#REF!*$C$62)</f>
        <v/>
      </c>
      <c r="GD62" s="11" t="str">
        <f ca="1">IF(History!GH$2="","",#REF!*$C$62)</f>
        <v/>
      </c>
      <c r="GE62" s="11" t="str">
        <f ca="1">IF(History!GI$2="","",#REF!*$C$62)</f>
        <v/>
      </c>
      <c r="GF62" s="11" t="str">
        <f ca="1">IF(History!GJ$2="","",#REF!*$C$62)</f>
        <v/>
      </c>
      <c r="GG62" s="11" t="str">
        <f ca="1">IF(History!GK$2="","",#REF!*$C$62)</f>
        <v/>
      </c>
      <c r="GH62" s="11" t="str">
        <f ca="1">IF(History!GL$2="","",#REF!*$C$62)</f>
        <v/>
      </c>
      <c r="GI62" s="11" t="str">
        <f ca="1">IF(History!GM$2="","",#REF!*$C$62)</f>
        <v/>
      </c>
      <c r="GJ62" s="11" t="str">
        <f ca="1">IF(History!GN$2="","",#REF!*$C$62)</f>
        <v/>
      </c>
      <c r="GK62" s="11" t="str">
        <f ca="1">IF(History!GO$2="","",#REF!*$C$62)</f>
        <v/>
      </c>
      <c r="GL62" s="11" t="str">
        <f ca="1">IF(History!GP$2="","",#REF!*$C$62)</f>
        <v/>
      </c>
      <c r="GM62" s="11" t="str">
        <f ca="1">IF(History!GQ$2="","",#REF!*$C$62)</f>
        <v/>
      </c>
      <c r="GN62" s="11" t="str">
        <f ca="1">IF(History!GR$2="","",#REF!*$C$62)</f>
        <v/>
      </c>
      <c r="GO62" s="11" t="str">
        <f ca="1">IF(History!GS$2="","",#REF!*$C$62)</f>
        <v/>
      </c>
      <c r="GP62" s="11" t="str">
        <f ca="1">IF(History!GT$2="","",#REF!*$C$62)</f>
        <v/>
      </c>
      <c r="GQ62" s="11" t="str">
        <f ca="1">IF(History!GU$2="","",#REF!*$C$62)</f>
        <v/>
      </c>
      <c r="GR62" s="11" t="str">
        <f ca="1">IF(History!GV$2="","",#REF!*$C$62)</f>
        <v/>
      </c>
      <c r="GS62" s="11" t="str">
        <f ca="1">IF(History!GW$2="","",#REF!*$C$62)</f>
        <v/>
      </c>
      <c r="GT62" s="11" t="str">
        <f ca="1">IF(History!GX$2="","",#REF!*$C$62)</f>
        <v/>
      </c>
      <c r="GU62" s="11" t="str">
        <f ca="1">IF(History!GY$2="","",#REF!*$C$62)</f>
        <v/>
      </c>
      <c r="GV62" s="11" t="str">
        <f ca="1">IF(History!GZ$2="","",#REF!*$C$62)</f>
        <v/>
      </c>
      <c r="GW62" s="11" t="str">
        <f ca="1">IF(History!HA$2="","",#REF!*$C$62)</f>
        <v/>
      </c>
      <c r="GX62" s="11" t="str">
        <f ca="1">IF(History!HB$2="","",#REF!*$C$62)</f>
        <v/>
      </c>
      <c r="GY62" s="11" t="str">
        <f ca="1">IF(History!HC$2="","",#REF!*$C$62)</f>
        <v/>
      </c>
      <c r="GZ62" s="11" t="str">
        <f ca="1">IF(History!HD$2="","",#REF!*$C$62)</f>
        <v/>
      </c>
      <c r="HA62" s="11" t="str">
        <f ca="1">IF(History!HE$2="","",#REF!*$C$62)</f>
        <v/>
      </c>
      <c r="HB62" s="11" t="str">
        <f ca="1">IF(History!HF$2="","",#REF!*$C$62)</f>
        <v/>
      </c>
      <c r="HC62" s="11" t="str">
        <f ca="1">IF(History!HG$2="","",#REF!*$C$62)</f>
        <v/>
      </c>
      <c r="HD62" s="11" t="str">
        <f ca="1">IF(History!HH$2="","",#REF!*$C$62)</f>
        <v/>
      </c>
      <c r="HE62" s="11" t="str">
        <f ca="1">IF(History!HI$2="","",#REF!*$C$62)</f>
        <v/>
      </c>
      <c r="HF62" s="11" t="str">
        <f ca="1">IF(History!HJ$2="","",#REF!*$C$62)</f>
        <v/>
      </c>
      <c r="HG62" s="11" t="str">
        <f ca="1">IF(History!HK$2="","",#REF!*$C$62)</f>
        <v/>
      </c>
      <c r="HH62" s="11" t="str">
        <f ca="1">IF(History!HL$2="","",#REF!*$C$62)</f>
        <v/>
      </c>
      <c r="HI62" s="11" t="str">
        <f ca="1">IF(History!HM$2="","",#REF!*$C$62)</f>
        <v/>
      </c>
      <c r="HJ62" s="11" t="str">
        <f ca="1">IF(History!HN$2="","",#REF!*$C$62)</f>
        <v/>
      </c>
      <c r="HK62" s="11" t="str">
        <f ca="1">IF(History!HO$2="","",#REF!*$C$62)</f>
        <v/>
      </c>
      <c r="HL62" s="11" t="str">
        <f ca="1">IF(History!HP$2="","",#REF!*$C$62)</f>
        <v/>
      </c>
      <c r="HM62" s="11" t="str">
        <f ca="1">IF(History!HQ$2="","",#REF!*$C$62)</f>
        <v/>
      </c>
      <c r="HN62" s="11" t="str">
        <f ca="1">IF(History!HR$2="","",#REF!*$C$62)</f>
        <v/>
      </c>
      <c r="HO62" s="11" t="str">
        <f ca="1">IF(History!HS$2="","",#REF!*$C$62)</f>
        <v/>
      </c>
      <c r="HP62" s="11" t="str">
        <f ca="1">IF(History!HT$2="","",#REF!*$C$62)</f>
        <v/>
      </c>
      <c r="HQ62" s="11" t="str">
        <f ca="1">IF(History!HU$2="","",#REF!*$C$62)</f>
        <v/>
      </c>
      <c r="HR62" s="11" t="str">
        <f ca="1">IF(History!HV$2="","",#REF!*$C$62)</f>
        <v/>
      </c>
      <c r="HS62" s="11" t="str">
        <f ca="1">IF(History!HW$2="","",#REF!*$C$62)</f>
        <v/>
      </c>
      <c r="HT62" s="11" t="str">
        <f ca="1">IF(History!HX$2="","",#REF!*$C$62)</f>
        <v/>
      </c>
      <c r="HU62" s="11" t="str">
        <f ca="1">IF(History!HY$2="","",#REF!*$C$62)</f>
        <v/>
      </c>
      <c r="HV62" s="11" t="str">
        <f ca="1">IF(History!HZ$2="","",#REF!*$C$62)</f>
        <v/>
      </c>
      <c r="HW62" s="11" t="str">
        <f ca="1">IF(History!IA$2="","",#REF!*$C$62)</f>
        <v/>
      </c>
      <c r="HX62" s="11" t="str">
        <f ca="1">IF(History!IB$2="","",#REF!*$C$62)</f>
        <v/>
      </c>
      <c r="HY62" s="11" t="str">
        <f ca="1">IF(History!IC$2="","",#REF!*$C$62)</f>
        <v/>
      </c>
      <c r="HZ62" s="11" t="str">
        <f ca="1">IF(History!ID$2="","",#REF!*$C$62)</f>
        <v/>
      </c>
      <c r="IA62" s="11" t="str">
        <f ca="1">IF(History!IE$2="","",#REF!*$C$62)</f>
        <v/>
      </c>
      <c r="IB62" s="11" t="str">
        <f ca="1">IF(History!IF$2="","",#REF!*$C$62)</f>
        <v/>
      </c>
      <c r="IC62" s="11" t="str">
        <f ca="1">IF(History!IG$2="","",#REF!*$C$62)</f>
        <v/>
      </c>
      <c r="ID62" s="11" t="str">
        <f ca="1">IF(History!IH$2="","",#REF!*$C$62)</f>
        <v/>
      </c>
      <c r="IE62" s="11" t="str">
        <f ca="1">IF(History!II$2="","",#REF!*$C$62)</f>
        <v/>
      </c>
      <c r="IF62" s="11" t="str">
        <f ca="1">IF(History!IJ$2="","",#REF!*$C$62)</f>
        <v/>
      </c>
      <c r="IG62" s="11" t="str">
        <f ca="1">IF(History!IK$2="","",#REF!*$C$62)</f>
        <v/>
      </c>
      <c r="IH62" s="11" t="str">
        <f ca="1">IF(History!IL$2="","",#REF!*$C$62)</f>
        <v/>
      </c>
      <c r="II62" s="11" t="str">
        <f ca="1">IF(History!IM$2="","",#REF!*$C$62)</f>
        <v/>
      </c>
      <c r="IJ62" s="11" t="str">
        <f ca="1">IF(History!IN$2="","",#REF!*$C$62)</f>
        <v/>
      </c>
      <c r="IK62" s="11" t="str">
        <f ca="1">IF(History!IO$2="","",#REF!*$C$62)</f>
        <v/>
      </c>
      <c r="IL62" s="11" t="str">
        <f ca="1">IF(History!IP$2="","",#REF!*$C$62)</f>
        <v/>
      </c>
      <c r="IM62" s="11" t="str">
        <f ca="1">IF(History!IQ$2="","",#REF!*$C$62)</f>
        <v/>
      </c>
      <c r="IN62" s="11" t="str">
        <f ca="1">IF(History!IR$2="","",#REF!*$C$62)</f>
        <v/>
      </c>
      <c r="IO62" s="11" t="str">
        <f ca="1">IF(History!IS$2="","",#REF!*$C$62)</f>
        <v/>
      </c>
      <c r="IP62" s="11" t="str">
        <f ca="1">IF(History!IT$2="","",#REF!*$C$62)</f>
        <v/>
      </c>
      <c r="IQ62" s="11" t="str">
        <f ca="1">IF(History!IU$2="","",#REF!*$C$62)</f>
        <v/>
      </c>
      <c r="IR62" s="11" t="str">
        <f ca="1">IF(History!IV$2="","",#REF!*$C$62)</f>
        <v/>
      </c>
      <c r="IS62" s="11" t="str">
        <f ca="1">IF(History!IW$2="","",#REF!*$C$62)</f>
        <v/>
      </c>
      <c r="IT62" s="11" t="str">
        <f ca="1">IF(History!IX$2="","",#REF!*$C$62)</f>
        <v/>
      </c>
      <c r="IU62" s="11" t="str">
        <f ca="1">IF(History!IY$2="","",#REF!*$C$62)</f>
        <v/>
      </c>
      <c r="IV62" s="11" t="str">
        <f ca="1">IF(History!IZ$2="","",#REF!*$C$62)</f>
        <v/>
      </c>
      <c r="IW62" s="11" t="str">
        <f ca="1">IF(History!JA$2="","",#REF!*$C$62)</f>
        <v/>
      </c>
      <c r="IX62" s="11" t="str">
        <f ca="1">IF(History!JB$2="","",#REF!*$C$62)</f>
        <v/>
      </c>
      <c r="IY62" s="11" t="str">
        <f ca="1">IF(History!JC$2="","",#REF!*$C$62)</f>
        <v/>
      </c>
      <c r="IZ62" s="11" t="str">
        <f ca="1">IF(History!JD$2="","",#REF!*$C$62)</f>
        <v/>
      </c>
      <c r="JA62" s="11" t="str">
        <f ca="1">IF(History!JE$2="","",#REF!*$C$62)</f>
        <v/>
      </c>
      <c r="JB62" s="11" t="str">
        <f ca="1">IF(History!JF$2="","",#REF!*$C$62)</f>
        <v/>
      </c>
      <c r="JC62" s="11" t="str">
        <f ca="1">IF(History!JG$2="","",#REF!*$C$62)</f>
        <v/>
      </c>
      <c r="JD62" s="11" t="str">
        <f ca="1">IF(History!JH$2="","",#REF!*$C$62)</f>
        <v/>
      </c>
      <c r="JE62" s="11" t="str">
        <f ca="1">IF(History!JI$2="","",#REF!*$C$62)</f>
        <v/>
      </c>
      <c r="JF62" s="11" t="str">
        <f ca="1">IF(History!JJ$2="","",#REF!*$C$62)</f>
        <v/>
      </c>
      <c r="JG62" s="11" t="str">
        <f ca="1">IF(History!JK$2="","",#REF!*$C$62)</f>
        <v/>
      </c>
      <c r="JH62" s="11" t="str">
        <f ca="1">IF(History!JL$2="","",#REF!*$C$62)</f>
        <v/>
      </c>
      <c r="JI62" s="11" t="str">
        <f ca="1">IF(History!JM$2="","",#REF!*$C$62)</f>
        <v/>
      </c>
      <c r="JJ62" s="11" t="str">
        <f ca="1">IF(History!JN$2="","",#REF!*$C$62)</f>
        <v/>
      </c>
      <c r="JK62" s="11" t="str">
        <f ca="1">IF(History!JO$2="","",#REF!*$C$62)</f>
        <v/>
      </c>
      <c r="JL62" s="11" t="str">
        <f ca="1">IF(History!JP$2="","",#REF!*$C$62)</f>
        <v/>
      </c>
      <c r="JM62" s="11" t="str">
        <f ca="1">IF(History!JQ$2="","",#REF!*$C$62)</f>
        <v/>
      </c>
      <c r="JN62" s="11" t="str">
        <f ca="1">IF(History!JR$2="","",#REF!*$C$62)</f>
        <v/>
      </c>
      <c r="JO62" s="11" t="str">
        <f ca="1">IF(History!JS$2="","",#REF!*$C$62)</f>
        <v/>
      </c>
      <c r="JP62" s="11" t="str">
        <f ca="1">IF(History!JT$2="","",#REF!*$C$62)</f>
        <v/>
      </c>
      <c r="JQ62" s="11" t="str">
        <f ca="1">IF(History!JU$2="","",#REF!*$C$62)</f>
        <v/>
      </c>
      <c r="JR62" s="11" t="str">
        <f ca="1">IF(History!JV$2="","",#REF!*$C$62)</f>
        <v/>
      </c>
      <c r="JS62" s="11" t="str">
        <f ca="1">IF(History!JW$2="","",#REF!*$C$62)</f>
        <v/>
      </c>
      <c r="JT62" s="11" t="str">
        <f ca="1">IF(History!JX$2="","",#REF!*$C$62)</f>
        <v/>
      </c>
      <c r="JU62" s="11" t="str">
        <f ca="1">IF(History!JY$2="","",#REF!*$C$62)</f>
        <v/>
      </c>
      <c r="JV62" s="11" t="str">
        <f ca="1">IF(History!JZ$2="","",#REF!*$C$62)</f>
        <v/>
      </c>
      <c r="JW62" s="11" t="str">
        <f ca="1">IF(History!KA$2="","",#REF!*$C$62)</f>
        <v/>
      </c>
      <c r="JX62" s="11" t="str">
        <f ca="1">IF(History!KB$2="","",#REF!*$C$62)</f>
        <v/>
      </c>
      <c r="JY62" s="11" t="str">
        <f ca="1">IF(History!KC$2="","",#REF!*$C$62)</f>
        <v/>
      </c>
      <c r="JZ62" s="11" t="str">
        <f ca="1">IF(History!KD$2="","",#REF!*$C$62)</f>
        <v/>
      </c>
      <c r="KA62" s="11" t="str">
        <f ca="1">IF(History!KE$2="","",#REF!*$C$62)</f>
        <v/>
      </c>
      <c r="KB62" s="11" t="str">
        <f ca="1">IF(History!KF$2="","",#REF!*$C$62)</f>
        <v/>
      </c>
    </row>
    <row r="63" spans="1:288" ht="13">
      <c r="A63" s="18" t="s">
        <v>140</v>
      </c>
      <c r="B63" s="6" t="s">
        <v>142</v>
      </c>
      <c r="C63" s="26">
        <v>630</v>
      </c>
      <c r="D63" s="11" t="e">
        <f ca="1">IF(History!H$2="","",#REF!*$C$63)</f>
        <v>#REF!</v>
      </c>
      <c r="E63" s="11" t="e">
        <f ca="1">IF(History!I$2="","",#REF!*$C$63)</f>
        <v>#REF!</v>
      </c>
      <c r="F63" s="11" t="e">
        <f ca="1">IF(History!J$2="","",#REF!*$C$63)</f>
        <v>#REF!</v>
      </c>
      <c r="G63" s="11" t="e">
        <f ca="1">IF(History!K$2="","",#REF!*$C$63)</f>
        <v>#REF!</v>
      </c>
      <c r="H63" s="11" t="e">
        <f ca="1">IF(History!L$2="","",#REF!*$C$63)</f>
        <v>#REF!</v>
      </c>
      <c r="I63" s="11" t="e">
        <f ca="1">IF(History!M$2="","",#REF!*$C$63)</f>
        <v>#REF!</v>
      </c>
      <c r="J63" s="11" t="e">
        <f ca="1">IF(History!N$2="","",#REF!*$C$63)</f>
        <v>#REF!</v>
      </c>
      <c r="K63" s="11" t="e">
        <f ca="1">IF(History!O$2="","",#REF!*$C$63)</f>
        <v>#REF!</v>
      </c>
      <c r="L63" s="11" t="e">
        <f ca="1">IF(History!P$2="","",#REF!*$C$63)</f>
        <v>#REF!</v>
      </c>
      <c r="M63" s="11" t="e">
        <f ca="1">IF(History!Q$2="","",#REF!*$C$63)</f>
        <v>#REF!</v>
      </c>
      <c r="N63" s="11" t="e">
        <f ca="1">IF(History!R$2="","",#REF!*$C$63)</f>
        <v>#REF!</v>
      </c>
      <c r="O63" s="11" t="e">
        <f ca="1">IF(History!S$2="","",#REF!*$C$63)</f>
        <v>#REF!</v>
      </c>
      <c r="P63" s="11" t="e">
        <f ca="1">IF(History!T$2="","",#REF!*$C$63)</f>
        <v>#REF!</v>
      </c>
      <c r="Q63" s="11" t="e">
        <f ca="1">IF(History!U$2="","",#REF!*$C$63)</f>
        <v>#REF!</v>
      </c>
      <c r="R63" s="11" t="e">
        <f ca="1">IF(History!V$2="","",#REF!*$C$63)</f>
        <v>#REF!</v>
      </c>
      <c r="S63" s="11" t="e">
        <f ca="1">IF(History!W$2="","",#REF!*$C$63)</f>
        <v>#REF!</v>
      </c>
      <c r="T63" s="11" t="e">
        <f ca="1">IF(History!X$2="","",#REF!*$C$63)</f>
        <v>#REF!</v>
      </c>
      <c r="U63" s="11" t="e">
        <f ca="1">IF(History!Y$2="","",#REF!*$C$63)</f>
        <v>#REF!</v>
      </c>
      <c r="V63" s="11" t="e">
        <f ca="1">IF(History!Z$2="","",#REF!*$C$63)</f>
        <v>#REF!</v>
      </c>
      <c r="W63" s="11" t="e">
        <f ca="1">IF(History!AA$2="","",#REF!*$C$63)</f>
        <v>#REF!</v>
      </c>
      <c r="X63" s="11" t="e">
        <f ca="1">IF(History!AB$2="","",#REF!*$C$63)</f>
        <v>#REF!</v>
      </c>
      <c r="Y63" s="11" t="e">
        <f ca="1">IF(History!AC$2="","",#REF!*$C$63)</f>
        <v>#REF!</v>
      </c>
      <c r="Z63" s="11" t="e">
        <f ca="1">IF(History!AD$2="","",#REF!*$C$63)</f>
        <v>#REF!</v>
      </c>
      <c r="AA63" s="11" t="e">
        <f ca="1">IF(History!AE$2="","",#REF!*$C$63)</f>
        <v>#REF!</v>
      </c>
      <c r="AB63" s="11" t="e">
        <f ca="1">IF(History!AF$2="","",#REF!*$C$63)</f>
        <v>#REF!</v>
      </c>
      <c r="AC63" s="11" t="e">
        <f ca="1">IF(History!AG$2="","",#REF!*$C$63)</f>
        <v>#REF!</v>
      </c>
      <c r="AD63" s="11" t="e">
        <f ca="1">IF(History!AH$2="","",#REF!*$C$63)</f>
        <v>#REF!</v>
      </c>
      <c r="AE63" s="11" t="e">
        <f ca="1">IF(History!AI$2="","",#REF!*$C$63)</f>
        <v>#REF!</v>
      </c>
      <c r="AF63" s="11" t="e">
        <f ca="1">IF(History!AJ$2="","",#REF!*$C$63)</f>
        <v>#REF!</v>
      </c>
      <c r="AG63" s="11" t="e">
        <f ca="1">IF(History!AK$2="","",#REF!*$C$63)</f>
        <v>#REF!</v>
      </c>
      <c r="AH63" s="11" t="e">
        <f ca="1">IF(History!AL$2="","",#REF!*$C$63)</f>
        <v>#REF!</v>
      </c>
      <c r="AI63" s="11" t="e">
        <f ca="1">IF(History!AM$2="","",#REF!*$C$63)</f>
        <v>#REF!</v>
      </c>
      <c r="AJ63" s="11" t="e">
        <f ca="1">IF(History!AN$2="","",#REF!*$C$63)</f>
        <v>#REF!</v>
      </c>
      <c r="AK63" s="11" t="e">
        <f ca="1">IF(History!AO$2="","",#REF!*$C$63)</f>
        <v>#REF!</v>
      </c>
      <c r="AL63" s="11" t="e">
        <f ca="1">IF(History!AP$2="","",#REF!*$C$63)</f>
        <v>#REF!</v>
      </c>
      <c r="AM63" s="11" t="e">
        <f ca="1">IF(History!AQ$2="","",#REF!*$C$63)</f>
        <v>#REF!</v>
      </c>
      <c r="AN63" s="11" t="e">
        <f ca="1">IF(History!AR$2="","",#REF!*$C$63)</f>
        <v>#REF!</v>
      </c>
      <c r="AO63" s="11" t="e">
        <f ca="1">IF(History!AS$2="","",#REF!*$C$63)</f>
        <v>#REF!</v>
      </c>
      <c r="AP63" s="11" t="e">
        <f ca="1">IF(History!AT$2="","",#REF!*$C$63)</f>
        <v>#REF!</v>
      </c>
      <c r="AQ63" s="11" t="e">
        <f ca="1">IF(History!AU$2="","",#REF!*$C$63)</f>
        <v>#REF!</v>
      </c>
      <c r="AR63" s="11" t="e">
        <f ca="1">IF(History!AV$2="","",#REF!*$C$63)</f>
        <v>#REF!</v>
      </c>
      <c r="AS63" s="11" t="e">
        <f ca="1">IF(History!AW$2="","",#REF!*$C$63)</f>
        <v>#REF!</v>
      </c>
      <c r="AT63" s="11" t="e">
        <f ca="1">IF(History!AX$2="","",#REF!*$C$63)</f>
        <v>#REF!</v>
      </c>
      <c r="AU63" s="11" t="e">
        <f ca="1">IF(History!AY$2="","",#REF!*$C$63)</f>
        <v>#REF!</v>
      </c>
      <c r="AV63" s="11" t="e">
        <f ca="1">IF(History!AZ$2="","",#REF!*$C$63)</f>
        <v>#REF!</v>
      </c>
      <c r="AW63" s="11" t="e">
        <f ca="1">IF(History!BA$2="","",#REF!*$C$63)</f>
        <v>#REF!</v>
      </c>
      <c r="AX63" s="11" t="e">
        <f ca="1">IF(History!BB$2="","",#REF!*$C$63)</f>
        <v>#REF!</v>
      </c>
      <c r="AY63" s="11" t="e">
        <f ca="1">IF(History!BC$2="","",#REF!*$C$63)</f>
        <v>#REF!</v>
      </c>
      <c r="AZ63" s="11" t="e">
        <f ca="1">IF(History!BD$2="","",#REF!*$C$63)</f>
        <v>#REF!</v>
      </c>
      <c r="BA63" s="11" t="e">
        <f ca="1">IF(History!BE$2="","",#REF!*$C$63)</f>
        <v>#REF!</v>
      </c>
      <c r="BB63" s="11" t="e">
        <f ca="1">IF(History!BF$2="","",#REF!*$C$63)</f>
        <v>#REF!</v>
      </c>
      <c r="BC63" s="11" t="e">
        <f ca="1">IF(History!BG$2="","",#REF!*$C$63)</f>
        <v>#REF!</v>
      </c>
      <c r="BD63" s="11" t="e">
        <f ca="1">IF(History!BH$2="","",#REF!*$C$63)</f>
        <v>#REF!</v>
      </c>
      <c r="BE63" s="11" t="e">
        <f ca="1">IF(History!BI$2="","",#REF!*$C$63)</f>
        <v>#REF!</v>
      </c>
      <c r="BF63" s="11" t="e">
        <f ca="1">IF(History!BJ$2="","",#REF!*$C$63)</f>
        <v>#REF!</v>
      </c>
      <c r="BG63" s="11" t="e">
        <f ca="1">IF(History!BK$2="","",#REF!*$C$63)</f>
        <v>#REF!</v>
      </c>
      <c r="BH63" s="11" t="e">
        <f ca="1">IF(History!BL$2="","",#REF!*$C$63)</f>
        <v>#REF!</v>
      </c>
      <c r="BI63" s="11" t="e">
        <f ca="1">IF(History!BM$2="","",#REF!*$C$63)</f>
        <v>#REF!</v>
      </c>
      <c r="BJ63" s="11" t="e">
        <f ca="1">IF(History!BN$2="","",#REF!*$C$63)</f>
        <v>#REF!</v>
      </c>
      <c r="BK63" s="11" t="e">
        <f ca="1">IF(History!BO$2="","",#REF!*$C$63)</f>
        <v>#REF!</v>
      </c>
      <c r="BL63" s="11" t="e">
        <f ca="1">IF(History!BP$2="","",#REF!*$C$63)</f>
        <v>#REF!</v>
      </c>
      <c r="BM63" s="11" t="e">
        <f ca="1">IF(History!BQ$2="","",#REF!*$C$63)</f>
        <v>#REF!</v>
      </c>
      <c r="BN63" s="11" t="e">
        <f ca="1">IF(History!BR$2="","",#REF!*$C$63)</f>
        <v>#REF!</v>
      </c>
      <c r="BO63" s="11" t="e">
        <f ca="1">IF(History!BS$2="","",#REF!*$C$63)</f>
        <v>#REF!</v>
      </c>
      <c r="BP63" s="11" t="e">
        <f ca="1">IF(History!BT$2="","",#REF!*$C$63)</f>
        <v>#REF!</v>
      </c>
      <c r="BQ63" s="11" t="e">
        <f ca="1">IF(History!BU$2="","",#REF!*$C$63)</f>
        <v>#REF!</v>
      </c>
      <c r="BR63" s="11" t="e">
        <f ca="1">IF(History!BV$2="","",#REF!*$C$63)</f>
        <v>#REF!</v>
      </c>
      <c r="BS63" s="11" t="e">
        <f ca="1">IF(History!BW$2="","",#REF!*$C$63)</f>
        <v>#REF!</v>
      </c>
      <c r="BT63" s="11" t="e">
        <f ca="1">IF(History!BX$2="","",#REF!*$C$63)</f>
        <v>#REF!</v>
      </c>
      <c r="BU63" s="11" t="e">
        <f ca="1">IF(History!BY$2="","",#REF!*$C$63)</f>
        <v>#REF!</v>
      </c>
      <c r="BV63" s="11" t="e">
        <f ca="1">IF(History!BZ$2="","",#REF!*$C$63)</f>
        <v>#REF!</v>
      </c>
      <c r="BW63" s="11" t="e">
        <f ca="1">IF(History!CA$2="","",#REF!*$C$63)</f>
        <v>#REF!</v>
      </c>
      <c r="BX63" s="11" t="e">
        <f ca="1">IF(History!CB$2="","",#REF!*$C$63)</f>
        <v>#REF!</v>
      </c>
      <c r="BY63" s="11" t="e">
        <f ca="1">IF(History!CC$2="","",#REF!*$C$63)</f>
        <v>#REF!</v>
      </c>
      <c r="BZ63" s="11" t="e">
        <f ca="1">IF(History!CD$2="","",#REF!*$C$63)</f>
        <v>#REF!</v>
      </c>
      <c r="CA63" s="11" t="e">
        <f ca="1">IF(History!CE$2="","",#REF!*$C$63)</f>
        <v>#REF!</v>
      </c>
      <c r="CB63" s="11" t="e">
        <f ca="1">IF(History!CF$2="","",#REF!*$C$63)</f>
        <v>#REF!</v>
      </c>
      <c r="CC63" s="11" t="e">
        <f ca="1">IF(History!CG$2="","",#REF!*$C$63)</f>
        <v>#REF!</v>
      </c>
      <c r="CD63" s="11" t="e">
        <f ca="1">IF(History!CH$2="","",#REF!*$C$63)</f>
        <v>#REF!</v>
      </c>
      <c r="CE63" s="11" t="e">
        <f ca="1">IF(History!CI$2="","",#REF!*$C$63)</f>
        <v>#REF!</v>
      </c>
      <c r="CF63" s="11" t="str">
        <f ca="1">IF(History!CJ$2="","",#REF!*$C$63)</f>
        <v/>
      </c>
      <c r="CG63" s="11" t="str">
        <f ca="1">IF(History!CK$2="","",#REF!*$C$63)</f>
        <v/>
      </c>
      <c r="CH63" s="11" t="str">
        <f ca="1">IF(History!CL$2="","",#REF!*$C$63)</f>
        <v/>
      </c>
      <c r="CI63" s="11" t="str">
        <f ca="1">IF(History!CM$2="","",#REF!*$C$63)</f>
        <v/>
      </c>
      <c r="CJ63" s="11" t="str">
        <f ca="1">IF(History!CN$2="","",#REF!*$C$63)</f>
        <v/>
      </c>
      <c r="CK63" s="11" t="str">
        <f ca="1">IF(History!CO$2="","",#REF!*$C$63)</f>
        <v/>
      </c>
      <c r="CL63" s="11" t="str">
        <f ca="1">IF(History!CP$2="","",#REF!*$C$63)</f>
        <v/>
      </c>
      <c r="CM63" s="11" t="str">
        <f ca="1">IF(History!CQ$2="","",#REF!*$C$63)</f>
        <v/>
      </c>
      <c r="CN63" s="11" t="str">
        <f ca="1">IF(History!CR$2="","",#REF!*$C$63)</f>
        <v/>
      </c>
      <c r="CO63" s="11" t="str">
        <f ca="1">IF(History!CS$2="","",#REF!*$C$63)</f>
        <v/>
      </c>
      <c r="CP63" s="11" t="str">
        <f ca="1">IF(History!CT$2="","",#REF!*$C$63)</f>
        <v/>
      </c>
      <c r="CQ63" s="11" t="str">
        <f ca="1">IF(History!CU$2="","",#REF!*$C$63)</f>
        <v/>
      </c>
      <c r="CR63" s="11" t="str">
        <f ca="1">IF(History!CV$2="","",#REF!*$C$63)</f>
        <v/>
      </c>
      <c r="CS63" s="11" t="str">
        <f ca="1">IF(History!CW$2="","",#REF!*$C$63)</f>
        <v/>
      </c>
      <c r="CT63" s="11" t="str">
        <f ca="1">IF(History!CX$2="","",#REF!*$C$63)</f>
        <v/>
      </c>
      <c r="CU63" s="11" t="str">
        <f ca="1">IF(History!CY$2="","",#REF!*$C$63)</f>
        <v/>
      </c>
      <c r="CV63" s="11" t="str">
        <f ca="1">IF(History!CZ$2="","",#REF!*$C$63)</f>
        <v/>
      </c>
      <c r="CW63" s="11" t="str">
        <f ca="1">IF(History!DA$2="","",#REF!*$C$63)</f>
        <v/>
      </c>
      <c r="CX63" s="11" t="str">
        <f ca="1">IF(History!DB$2="","",#REF!*$C$63)</f>
        <v/>
      </c>
      <c r="CY63" s="11" t="str">
        <f ca="1">IF(History!DC$2="","",#REF!*$C$63)</f>
        <v/>
      </c>
      <c r="CZ63" s="11" t="str">
        <f ca="1">IF(History!DD$2="","",#REF!*$C$63)</f>
        <v/>
      </c>
      <c r="DA63" s="11" t="str">
        <f ca="1">IF(History!DE$2="","",#REF!*$C$63)</f>
        <v/>
      </c>
      <c r="DB63" s="11" t="str">
        <f ca="1">IF(History!DF$2="","",#REF!*$C$63)</f>
        <v/>
      </c>
      <c r="DC63" s="11" t="str">
        <f ca="1">IF(History!DG$2="","",#REF!*$C$63)</f>
        <v/>
      </c>
      <c r="DD63" s="11" t="str">
        <f ca="1">IF(History!DH$2="","",#REF!*$C$63)</f>
        <v/>
      </c>
      <c r="DE63" s="11" t="str">
        <f ca="1">IF(History!DI$2="","",#REF!*$C$63)</f>
        <v/>
      </c>
      <c r="DF63" s="11" t="str">
        <f ca="1">IF(History!DJ$2="","",#REF!*$C$63)</f>
        <v/>
      </c>
      <c r="DG63" s="11" t="str">
        <f ca="1">IF(History!DK$2="","",#REF!*$C$63)</f>
        <v/>
      </c>
      <c r="DH63" s="11" t="str">
        <f ca="1">IF(History!DL$2="","",#REF!*$C$63)</f>
        <v/>
      </c>
      <c r="DI63" s="11" t="str">
        <f ca="1">IF(History!DM$2="","",#REF!*$C$63)</f>
        <v/>
      </c>
      <c r="DJ63" s="11" t="str">
        <f ca="1">IF(History!DN$2="","",#REF!*$C$63)</f>
        <v/>
      </c>
      <c r="DK63" s="11" t="str">
        <f ca="1">IF(History!DO$2="","",#REF!*$C$63)</f>
        <v/>
      </c>
      <c r="DL63" s="11" t="str">
        <f ca="1">IF(History!DP$2="","",#REF!*$C$63)</f>
        <v/>
      </c>
      <c r="DM63" s="11" t="str">
        <f ca="1">IF(History!DQ$2="","",#REF!*$C$63)</f>
        <v/>
      </c>
      <c r="DN63" s="11" t="str">
        <f ca="1">IF(History!DR$2="","",#REF!*$C$63)</f>
        <v/>
      </c>
      <c r="DO63" s="11" t="str">
        <f ca="1">IF(History!DS$2="","",#REF!*$C$63)</f>
        <v/>
      </c>
      <c r="DP63" s="11" t="str">
        <f ca="1">IF(History!DT$2="","",#REF!*$C$63)</f>
        <v/>
      </c>
      <c r="DQ63" s="11" t="str">
        <f ca="1">IF(History!DU$2="","",#REF!*$C$63)</f>
        <v/>
      </c>
      <c r="DR63" s="11" t="str">
        <f ca="1">IF(History!DV$2="","",#REF!*$C$63)</f>
        <v/>
      </c>
      <c r="DS63" s="11" t="str">
        <f ca="1">IF(History!DW$2="","",#REF!*$C$63)</f>
        <v/>
      </c>
      <c r="DT63" s="11" t="str">
        <f ca="1">IF(History!DX$2="","",#REF!*$C$63)</f>
        <v/>
      </c>
      <c r="DU63" s="11" t="str">
        <f ca="1">IF(History!DY$2="","",#REF!*$C$63)</f>
        <v/>
      </c>
      <c r="DV63" s="11" t="str">
        <f ca="1">IF(History!DZ$2="","",#REF!*$C$63)</f>
        <v/>
      </c>
      <c r="DW63" s="11" t="str">
        <f ca="1">IF(History!EA$2="","",#REF!*$C$63)</f>
        <v/>
      </c>
      <c r="DX63" s="11" t="str">
        <f ca="1">IF(History!EB$2="","",#REF!*$C$63)</f>
        <v/>
      </c>
      <c r="DY63" s="11" t="str">
        <f ca="1">IF(History!EC$2="","",#REF!*$C$63)</f>
        <v/>
      </c>
      <c r="DZ63" s="11" t="str">
        <f ca="1">IF(History!ED$2="","",#REF!*$C$63)</f>
        <v/>
      </c>
      <c r="EA63" s="11" t="str">
        <f ca="1">IF(History!EE$2="","",#REF!*$C$63)</f>
        <v/>
      </c>
      <c r="EB63" s="11" t="str">
        <f ca="1">IF(History!EF$2="","",#REF!*$C$63)</f>
        <v/>
      </c>
      <c r="EC63" s="11" t="str">
        <f ca="1">IF(History!EG$2="","",#REF!*$C$63)</f>
        <v/>
      </c>
      <c r="ED63" s="11" t="str">
        <f ca="1">IF(History!EH$2="","",#REF!*$C$63)</f>
        <v/>
      </c>
      <c r="EE63" s="11" t="str">
        <f ca="1">IF(History!EI$2="","",#REF!*$C$63)</f>
        <v/>
      </c>
      <c r="EF63" s="11" t="str">
        <f ca="1">IF(History!EJ$2="","",#REF!*$C$63)</f>
        <v/>
      </c>
      <c r="EG63" s="11" t="str">
        <f ca="1">IF(History!EK$2="","",#REF!*$C$63)</f>
        <v/>
      </c>
      <c r="EH63" s="11" t="str">
        <f ca="1">IF(History!EL$2="","",#REF!*$C$63)</f>
        <v/>
      </c>
      <c r="EI63" s="11" t="str">
        <f ca="1">IF(History!EM$2="","",#REF!*$C$63)</f>
        <v/>
      </c>
      <c r="EJ63" s="11" t="str">
        <f ca="1">IF(History!EN$2="","",#REF!*$C$63)</f>
        <v/>
      </c>
      <c r="EK63" s="11" t="str">
        <f ca="1">IF(History!EO$2="","",#REF!*$C$63)</f>
        <v/>
      </c>
      <c r="EL63" s="11" t="str">
        <f ca="1">IF(History!EP$2="","",#REF!*$C$63)</f>
        <v/>
      </c>
      <c r="EM63" s="11" t="str">
        <f ca="1">IF(History!EQ$2="","",#REF!*$C$63)</f>
        <v/>
      </c>
      <c r="EN63" s="11" t="str">
        <f ca="1">IF(History!ER$2="","",#REF!*$C$63)</f>
        <v/>
      </c>
      <c r="EO63" s="11" t="str">
        <f ca="1">IF(History!ES$2="","",#REF!*$C$63)</f>
        <v/>
      </c>
      <c r="EP63" s="11" t="str">
        <f ca="1">IF(History!ET$2="","",#REF!*$C$63)</f>
        <v/>
      </c>
      <c r="EQ63" s="11" t="str">
        <f ca="1">IF(History!EU$2="","",#REF!*$C$63)</f>
        <v/>
      </c>
      <c r="ER63" s="11" t="str">
        <f ca="1">IF(History!EV$2="","",#REF!*$C$63)</f>
        <v/>
      </c>
      <c r="ES63" s="11" t="str">
        <f ca="1">IF(History!EW$2="","",#REF!*$C$63)</f>
        <v/>
      </c>
      <c r="ET63" s="11" t="str">
        <f ca="1">IF(History!EX$2="","",#REF!*$C$63)</f>
        <v/>
      </c>
      <c r="EU63" s="11" t="str">
        <f ca="1">IF(History!EY$2="","",#REF!*$C$63)</f>
        <v/>
      </c>
      <c r="EV63" s="11" t="str">
        <f ca="1">IF(History!EZ$2="","",#REF!*$C$63)</f>
        <v/>
      </c>
      <c r="EW63" s="11" t="str">
        <f ca="1">IF(History!FA$2="","",#REF!*$C$63)</f>
        <v/>
      </c>
      <c r="EX63" s="11" t="str">
        <f ca="1">IF(History!FB$2="","",#REF!*$C$63)</f>
        <v/>
      </c>
      <c r="EY63" s="11" t="str">
        <f ca="1">IF(History!FC$2="","",#REF!*$C$63)</f>
        <v/>
      </c>
      <c r="EZ63" s="11" t="str">
        <f ca="1">IF(History!FD$2="","",#REF!*$C$63)</f>
        <v/>
      </c>
      <c r="FA63" s="11" t="str">
        <f ca="1">IF(History!FE$2="","",#REF!*$C$63)</f>
        <v/>
      </c>
      <c r="FB63" s="11" t="str">
        <f ca="1">IF(History!FF$2="","",#REF!*$C$63)</f>
        <v/>
      </c>
      <c r="FC63" s="11" t="str">
        <f ca="1">IF(History!FG$2="","",#REF!*$C$63)</f>
        <v/>
      </c>
      <c r="FD63" s="11" t="str">
        <f ca="1">IF(History!FH$2="","",#REF!*$C$63)</f>
        <v/>
      </c>
      <c r="FE63" s="11" t="str">
        <f ca="1">IF(History!FI$2="","",#REF!*$C$63)</f>
        <v/>
      </c>
      <c r="FF63" s="11" t="str">
        <f ca="1">IF(History!FJ$2="","",#REF!*$C$63)</f>
        <v/>
      </c>
      <c r="FG63" s="11" t="str">
        <f ca="1">IF(History!FK$2="","",#REF!*$C$63)</f>
        <v/>
      </c>
      <c r="FH63" s="11" t="str">
        <f ca="1">IF(History!FL$2="","",#REF!*$C$63)</f>
        <v/>
      </c>
      <c r="FI63" s="11" t="str">
        <f ca="1">IF(History!FM$2="","",#REF!*$C$63)</f>
        <v/>
      </c>
      <c r="FJ63" s="11" t="str">
        <f ca="1">IF(History!FN$2="","",#REF!*$C$63)</f>
        <v/>
      </c>
      <c r="FK63" s="11" t="str">
        <f ca="1">IF(History!FO$2="","",#REF!*$C$63)</f>
        <v/>
      </c>
      <c r="FL63" s="11" t="str">
        <f ca="1">IF(History!FP$2="","",#REF!*$C$63)</f>
        <v/>
      </c>
      <c r="FM63" s="11" t="str">
        <f ca="1">IF(History!FQ$2="","",#REF!*$C$63)</f>
        <v/>
      </c>
      <c r="FN63" s="11" t="str">
        <f ca="1">IF(History!FR$2="","",#REF!*$C$63)</f>
        <v/>
      </c>
      <c r="FO63" s="11" t="str">
        <f ca="1">IF(History!FS$2="","",#REF!*$C$63)</f>
        <v/>
      </c>
      <c r="FP63" s="11" t="str">
        <f ca="1">IF(History!FT$2="","",#REF!*$C$63)</f>
        <v/>
      </c>
      <c r="FQ63" s="11" t="str">
        <f ca="1">IF(History!FU$2="","",#REF!*$C$63)</f>
        <v/>
      </c>
      <c r="FR63" s="11" t="str">
        <f ca="1">IF(History!FV$2="","",#REF!*$C$63)</f>
        <v/>
      </c>
      <c r="FS63" s="11" t="str">
        <f ca="1">IF(History!FW$2="","",#REF!*$C$63)</f>
        <v/>
      </c>
      <c r="FT63" s="11" t="str">
        <f ca="1">IF(History!FX$2="","",#REF!*$C$63)</f>
        <v/>
      </c>
      <c r="FU63" s="11" t="str">
        <f ca="1">IF(History!FY$2="","",#REF!*$C$63)</f>
        <v/>
      </c>
      <c r="FV63" s="11" t="str">
        <f ca="1">IF(History!FZ$2="","",#REF!*$C$63)</f>
        <v/>
      </c>
      <c r="FW63" s="11" t="str">
        <f ca="1">IF(History!GA$2="","",#REF!*$C$63)</f>
        <v/>
      </c>
      <c r="FX63" s="11" t="str">
        <f ca="1">IF(History!GB$2="","",#REF!*$C$63)</f>
        <v/>
      </c>
      <c r="FY63" s="11" t="str">
        <f ca="1">IF(History!GC$2="","",#REF!*$C$63)</f>
        <v/>
      </c>
      <c r="FZ63" s="11" t="str">
        <f ca="1">IF(History!GD$2="","",#REF!*$C$63)</f>
        <v/>
      </c>
      <c r="GA63" s="11" t="str">
        <f ca="1">IF(History!GE$2="","",#REF!*$C$63)</f>
        <v/>
      </c>
      <c r="GB63" s="11" t="str">
        <f ca="1">IF(History!GF$2="","",#REF!*$C$63)</f>
        <v/>
      </c>
      <c r="GC63" s="11" t="str">
        <f ca="1">IF(History!GG$2="","",#REF!*$C$63)</f>
        <v/>
      </c>
      <c r="GD63" s="11" t="str">
        <f ca="1">IF(History!GH$2="","",#REF!*$C$63)</f>
        <v/>
      </c>
      <c r="GE63" s="11" t="str">
        <f ca="1">IF(History!GI$2="","",#REF!*$C$63)</f>
        <v/>
      </c>
      <c r="GF63" s="11" t="str">
        <f ca="1">IF(History!GJ$2="","",#REF!*$C$63)</f>
        <v/>
      </c>
      <c r="GG63" s="11" t="str">
        <f ca="1">IF(History!GK$2="","",#REF!*$C$63)</f>
        <v/>
      </c>
      <c r="GH63" s="11" t="str">
        <f ca="1">IF(History!GL$2="","",#REF!*$C$63)</f>
        <v/>
      </c>
      <c r="GI63" s="11" t="str">
        <f ca="1">IF(History!GM$2="","",#REF!*$C$63)</f>
        <v/>
      </c>
      <c r="GJ63" s="11" t="str">
        <f ca="1">IF(History!GN$2="","",#REF!*$C$63)</f>
        <v/>
      </c>
      <c r="GK63" s="11" t="str">
        <f ca="1">IF(History!GO$2="","",#REF!*$C$63)</f>
        <v/>
      </c>
      <c r="GL63" s="11" t="str">
        <f ca="1">IF(History!GP$2="","",#REF!*$C$63)</f>
        <v/>
      </c>
      <c r="GM63" s="11" t="str">
        <f ca="1">IF(History!GQ$2="","",#REF!*$C$63)</f>
        <v/>
      </c>
      <c r="GN63" s="11" t="str">
        <f ca="1">IF(History!GR$2="","",#REF!*$C$63)</f>
        <v/>
      </c>
      <c r="GO63" s="11" t="str">
        <f ca="1">IF(History!GS$2="","",#REF!*$C$63)</f>
        <v/>
      </c>
      <c r="GP63" s="11" t="str">
        <f ca="1">IF(History!GT$2="","",#REF!*$C$63)</f>
        <v/>
      </c>
      <c r="GQ63" s="11" t="str">
        <f ca="1">IF(History!GU$2="","",#REF!*$C$63)</f>
        <v/>
      </c>
      <c r="GR63" s="11" t="str">
        <f ca="1">IF(History!GV$2="","",#REF!*$C$63)</f>
        <v/>
      </c>
      <c r="GS63" s="11" t="str">
        <f ca="1">IF(History!GW$2="","",#REF!*$C$63)</f>
        <v/>
      </c>
      <c r="GT63" s="11" t="str">
        <f ca="1">IF(History!GX$2="","",#REF!*$C$63)</f>
        <v/>
      </c>
      <c r="GU63" s="11" t="str">
        <f ca="1">IF(History!GY$2="","",#REF!*$C$63)</f>
        <v/>
      </c>
      <c r="GV63" s="11" t="str">
        <f ca="1">IF(History!GZ$2="","",#REF!*$C$63)</f>
        <v/>
      </c>
      <c r="GW63" s="11" t="str">
        <f ca="1">IF(History!HA$2="","",#REF!*$C$63)</f>
        <v/>
      </c>
      <c r="GX63" s="11" t="str">
        <f ca="1">IF(History!HB$2="","",#REF!*$C$63)</f>
        <v/>
      </c>
      <c r="GY63" s="11" t="str">
        <f ca="1">IF(History!HC$2="","",#REF!*$C$63)</f>
        <v/>
      </c>
      <c r="GZ63" s="11" t="str">
        <f ca="1">IF(History!HD$2="","",#REF!*$C$63)</f>
        <v/>
      </c>
      <c r="HA63" s="11" t="str">
        <f ca="1">IF(History!HE$2="","",#REF!*$C$63)</f>
        <v/>
      </c>
      <c r="HB63" s="11" t="str">
        <f ca="1">IF(History!HF$2="","",#REF!*$C$63)</f>
        <v/>
      </c>
      <c r="HC63" s="11" t="str">
        <f ca="1">IF(History!HG$2="","",#REF!*$C$63)</f>
        <v/>
      </c>
      <c r="HD63" s="11" t="str">
        <f ca="1">IF(History!HH$2="","",#REF!*$C$63)</f>
        <v/>
      </c>
      <c r="HE63" s="11" t="str">
        <f ca="1">IF(History!HI$2="","",#REF!*$C$63)</f>
        <v/>
      </c>
      <c r="HF63" s="11" t="str">
        <f ca="1">IF(History!HJ$2="","",#REF!*$C$63)</f>
        <v/>
      </c>
      <c r="HG63" s="11" t="str">
        <f ca="1">IF(History!HK$2="","",#REF!*$C$63)</f>
        <v/>
      </c>
      <c r="HH63" s="11" t="str">
        <f ca="1">IF(History!HL$2="","",#REF!*$C$63)</f>
        <v/>
      </c>
      <c r="HI63" s="11" t="str">
        <f ca="1">IF(History!HM$2="","",#REF!*$C$63)</f>
        <v/>
      </c>
      <c r="HJ63" s="11" t="str">
        <f ca="1">IF(History!HN$2="","",#REF!*$C$63)</f>
        <v/>
      </c>
      <c r="HK63" s="11" t="str">
        <f ca="1">IF(History!HO$2="","",#REF!*$C$63)</f>
        <v/>
      </c>
      <c r="HL63" s="11" t="str">
        <f ca="1">IF(History!HP$2="","",#REF!*$C$63)</f>
        <v/>
      </c>
      <c r="HM63" s="11" t="str">
        <f ca="1">IF(History!HQ$2="","",#REF!*$C$63)</f>
        <v/>
      </c>
      <c r="HN63" s="11" t="str">
        <f ca="1">IF(History!HR$2="","",#REF!*$C$63)</f>
        <v/>
      </c>
      <c r="HO63" s="11" t="str">
        <f ca="1">IF(History!HS$2="","",#REF!*$C$63)</f>
        <v/>
      </c>
      <c r="HP63" s="11" t="str">
        <f ca="1">IF(History!HT$2="","",#REF!*$C$63)</f>
        <v/>
      </c>
      <c r="HQ63" s="11" t="str">
        <f ca="1">IF(History!HU$2="","",#REF!*$C$63)</f>
        <v/>
      </c>
      <c r="HR63" s="11" t="str">
        <f ca="1">IF(History!HV$2="","",#REF!*$C$63)</f>
        <v/>
      </c>
      <c r="HS63" s="11" t="str">
        <f ca="1">IF(History!HW$2="","",#REF!*$C$63)</f>
        <v/>
      </c>
      <c r="HT63" s="11" t="str">
        <f ca="1">IF(History!HX$2="","",#REF!*$C$63)</f>
        <v/>
      </c>
      <c r="HU63" s="11" t="str">
        <f ca="1">IF(History!HY$2="","",#REF!*$C$63)</f>
        <v/>
      </c>
      <c r="HV63" s="11" t="str">
        <f ca="1">IF(History!HZ$2="","",#REF!*$C$63)</f>
        <v/>
      </c>
      <c r="HW63" s="11" t="str">
        <f ca="1">IF(History!IA$2="","",#REF!*$C$63)</f>
        <v/>
      </c>
      <c r="HX63" s="11" t="str">
        <f ca="1">IF(History!IB$2="","",#REF!*$C$63)</f>
        <v/>
      </c>
      <c r="HY63" s="11" t="str">
        <f ca="1">IF(History!IC$2="","",#REF!*$C$63)</f>
        <v/>
      </c>
      <c r="HZ63" s="11" t="str">
        <f ca="1">IF(History!ID$2="","",#REF!*$C$63)</f>
        <v/>
      </c>
      <c r="IA63" s="11" t="str">
        <f ca="1">IF(History!IE$2="","",#REF!*$C$63)</f>
        <v/>
      </c>
      <c r="IB63" s="11" t="str">
        <f ca="1">IF(History!IF$2="","",#REF!*$C$63)</f>
        <v/>
      </c>
      <c r="IC63" s="11" t="str">
        <f ca="1">IF(History!IG$2="","",#REF!*$C$63)</f>
        <v/>
      </c>
      <c r="ID63" s="11" t="str">
        <f ca="1">IF(History!IH$2="","",#REF!*$C$63)</f>
        <v/>
      </c>
      <c r="IE63" s="11" t="str">
        <f ca="1">IF(History!II$2="","",#REF!*$C$63)</f>
        <v/>
      </c>
      <c r="IF63" s="11" t="str">
        <f ca="1">IF(History!IJ$2="","",#REF!*$C$63)</f>
        <v/>
      </c>
      <c r="IG63" s="11" t="str">
        <f ca="1">IF(History!IK$2="","",#REF!*$C$63)</f>
        <v/>
      </c>
      <c r="IH63" s="11" t="str">
        <f ca="1">IF(History!IL$2="","",#REF!*$C$63)</f>
        <v/>
      </c>
      <c r="II63" s="11" t="str">
        <f ca="1">IF(History!IM$2="","",#REF!*$C$63)</f>
        <v/>
      </c>
      <c r="IJ63" s="11" t="str">
        <f ca="1">IF(History!IN$2="","",#REF!*$C$63)</f>
        <v/>
      </c>
      <c r="IK63" s="11" t="str">
        <f ca="1">IF(History!IO$2="","",#REF!*$C$63)</f>
        <v/>
      </c>
      <c r="IL63" s="11" t="str">
        <f ca="1">IF(History!IP$2="","",#REF!*$C$63)</f>
        <v/>
      </c>
      <c r="IM63" s="11" t="str">
        <f ca="1">IF(History!IQ$2="","",#REF!*$C$63)</f>
        <v/>
      </c>
      <c r="IN63" s="11" t="str">
        <f ca="1">IF(History!IR$2="","",#REF!*$C$63)</f>
        <v/>
      </c>
      <c r="IO63" s="11" t="str">
        <f ca="1">IF(History!IS$2="","",#REF!*$C$63)</f>
        <v/>
      </c>
      <c r="IP63" s="11" t="str">
        <f ca="1">IF(History!IT$2="","",#REF!*$C$63)</f>
        <v/>
      </c>
      <c r="IQ63" s="11" t="str">
        <f ca="1">IF(History!IU$2="","",#REF!*$C$63)</f>
        <v/>
      </c>
      <c r="IR63" s="11" t="str">
        <f ca="1">IF(History!IV$2="","",#REF!*$C$63)</f>
        <v/>
      </c>
      <c r="IS63" s="11" t="str">
        <f ca="1">IF(History!IW$2="","",#REF!*$C$63)</f>
        <v/>
      </c>
      <c r="IT63" s="11" t="str">
        <f ca="1">IF(History!IX$2="","",#REF!*$C$63)</f>
        <v/>
      </c>
      <c r="IU63" s="11" t="str">
        <f ca="1">IF(History!IY$2="","",#REF!*$C$63)</f>
        <v/>
      </c>
      <c r="IV63" s="11" t="str">
        <f ca="1">IF(History!IZ$2="","",#REF!*$C$63)</f>
        <v/>
      </c>
      <c r="IW63" s="11" t="str">
        <f ca="1">IF(History!JA$2="","",#REF!*$C$63)</f>
        <v/>
      </c>
      <c r="IX63" s="11" t="str">
        <f ca="1">IF(History!JB$2="","",#REF!*$C$63)</f>
        <v/>
      </c>
      <c r="IY63" s="11" t="str">
        <f ca="1">IF(History!JC$2="","",#REF!*$C$63)</f>
        <v/>
      </c>
      <c r="IZ63" s="11" t="str">
        <f ca="1">IF(History!JD$2="","",#REF!*$C$63)</f>
        <v/>
      </c>
      <c r="JA63" s="11" t="str">
        <f ca="1">IF(History!JE$2="","",#REF!*$C$63)</f>
        <v/>
      </c>
      <c r="JB63" s="11" t="str">
        <f ca="1">IF(History!JF$2="","",#REF!*$C$63)</f>
        <v/>
      </c>
      <c r="JC63" s="11" t="str">
        <f ca="1">IF(History!JG$2="","",#REF!*$C$63)</f>
        <v/>
      </c>
      <c r="JD63" s="11" t="str">
        <f ca="1">IF(History!JH$2="","",#REF!*$C$63)</f>
        <v/>
      </c>
      <c r="JE63" s="11" t="str">
        <f ca="1">IF(History!JI$2="","",#REF!*$C$63)</f>
        <v/>
      </c>
      <c r="JF63" s="11" t="str">
        <f ca="1">IF(History!JJ$2="","",#REF!*$C$63)</f>
        <v/>
      </c>
      <c r="JG63" s="11" t="str">
        <f ca="1">IF(History!JK$2="","",#REF!*$C$63)</f>
        <v/>
      </c>
      <c r="JH63" s="11" t="str">
        <f ca="1">IF(History!JL$2="","",#REF!*$C$63)</f>
        <v/>
      </c>
      <c r="JI63" s="11" t="str">
        <f ca="1">IF(History!JM$2="","",#REF!*$C$63)</f>
        <v/>
      </c>
      <c r="JJ63" s="11" t="str">
        <f ca="1">IF(History!JN$2="","",#REF!*$C$63)</f>
        <v/>
      </c>
      <c r="JK63" s="11" t="str">
        <f ca="1">IF(History!JO$2="","",#REF!*$C$63)</f>
        <v/>
      </c>
      <c r="JL63" s="11" t="str">
        <f ca="1">IF(History!JP$2="","",#REF!*$C$63)</f>
        <v/>
      </c>
      <c r="JM63" s="11" t="str">
        <f ca="1">IF(History!JQ$2="","",#REF!*$C$63)</f>
        <v/>
      </c>
      <c r="JN63" s="11" t="str">
        <f ca="1">IF(History!JR$2="","",#REF!*$C$63)</f>
        <v/>
      </c>
      <c r="JO63" s="11" t="str">
        <f ca="1">IF(History!JS$2="","",#REF!*$C$63)</f>
        <v/>
      </c>
      <c r="JP63" s="11" t="str">
        <f ca="1">IF(History!JT$2="","",#REF!*$C$63)</f>
        <v/>
      </c>
      <c r="JQ63" s="11" t="str">
        <f ca="1">IF(History!JU$2="","",#REF!*$C$63)</f>
        <v/>
      </c>
      <c r="JR63" s="11" t="str">
        <f ca="1">IF(History!JV$2="","",#REF!*$C$63)</f>
        <v/>
      </c>
      <c r="JS63" s="11" t="str">
        <f ca="1">IF(History!JW$2="","",#REF!*$C$63)</f>
        <v/>
      </c>
      <c r="JT63" s="11" t="str">
        <f ca="1">IF(History!JX$2="","",#REF!*$C$63)</f>
        <v/>
      </c>
      <c r="JU63" s="11" t="str">
        <f ca="1">IF(History!JY$2="","",#REF!*$C$63)</f>
        <v/>
      </c>
      <c r="JV63" s="11" t="str">
        <f ca="1">IF(History!JZ$2="","",#REF!*$C$63)</f>
        <v/>
      </c>
      <c r="JW63" s="11" t="str">
        <f ca="1">IF(History!KA$2="","",#REF!*$C$63)</f>
        <v/>
      </c>
      <c r="JX63" s="11" t="str">
        <f ca="1">IF(History!KB$2="","",#REF!*$C$63)</f>
        <v/>
      </c>
      <c r="JY63" s="11" t="str">
        <f ca="1">IF(History!KC$2="","",#REF!*$C$63)</f>
        <v/>
      </c>
      <c r="JZ63" s="11" t="str">
        <f ca="1">IF(History!KD$2="","",#REF!*$C$63)</f>
        <v/>
      </c>
      <c r="KA63" s="11" t="str">
        <f ca="1">IF(History!KE$2="","",#REF!*$C$63)</f>
        <v/>
      </c>
      <c r="KB63" s="11" t="str">
        <f ca="1">IF(History!KF$2="","",#REF!*$C$63)</f>
        <v/>
      </c>
    </row>
    <row r="64" spans="1:288" ht="13">
      <c r="A64" s="18" t="s">
        <v>140</v>
      </c>
      <c r="B64" s="6" t="s">
        <v>143</v>
      </c>
      <c r="C64" s="26">
        <v>192</v>
      </c>
      <c r="D64" s="11" t="e">
        <f ca="1">IF(History!H$2="","",#REF!*$C$64)</f>
        <v>#REF!</v>
      </c>
      <c r="E64" s="11" t="e">
        <f ca="1">IF(History!I$2="","",#REF!*$C$64)</f>
        <v>#REF!</v>
      </c>
      <c r="F64" s="11" t="e">
        <f ca="1">IF(History!J$2="","",#REF!*$C$64)</f>
        <v>#REF!</v>
      </c>
      <c r="G64" s="11" t="e">
        <f ca="1">IF(History!K$2="","",#REF!*$C$64)</f>
        <v>#REF!</v>
      </c>
      <c r="H64" s="11" t="e">
        <f ca="1">IF(History!L$2="","",#REF!*$C$64)</f>
        <v>#REF!</v>
      </c>
      <c r="I64" s="11" t="e">
        <f ca="1">IF(History!M$2="","",#REF!*$C$64)</f>
        <v>#REF!</v>
      </c>
      <c r="J64" s="11" t="e">
        <f ca="1">IF(History!N$2="","",#REF!*$C$64)</f>
        <v>#REF!</v>
      </c>
      <c r="K64" s="11" t="e">
        <f ca="1">IF(History!O$2="","",#REF!*$C$64)</f>
        <v>#REF!</v>
      </c>
      <c r="L64" s="11" t="e">
        <f ca="1">IF(History!P$2="","",#REF!*$C$64)</f>
        <v>#REF!</v>
      </c>
      <c r="M64" s="11" t="e">
        <f ca="1">IF(History!Q$2="","",#REF!*$C$64)</f>
        <v>#REF!</v>
      </c>
      <c r="N64" s="11" t="e">
        <f ca="1">IF(History!R$2="","",#REF!*$C$64)</f>
        <v>#REF!</v>
      </c>
      <c r="O64" s="11" t="e">
        <f ca="1">IF(History!S$2="","",#REF!*$C$64)</f>
        <v>#REF!</v>
      </c>
      <c r="P64" s="11" t="e">
        <f ca="1">IF(History!T$2="","",#REF!*$C$64)</f>
        <v>#REF!</v>
      </c>
      <c r="Q64" s="11" t="e">
        <f ca="1">IF(History!U$2="","",#REF!*$C$64)</f>
        <v>#REF!</v>
      </c>
      <c r="R64" s="11" t="e">
        <f ca="1">IF(History!V$2="","",#REF!*$C$64)</f>
        <v>#REF!</v>
      </c>
      <c r="S64" s="11" t="e">
        <f ca="1">IF(History!W$2="","",#REF!*$C$64)</f>
        <v>#REF!</v>
      </c>
      <c r="T64" s="11" t="e">
        <f ca="1">IF(History!X$2="","",#REF!*$C$64)</f>
        <v>#REF!</v>
      </c>
      <c r="U64" s="11" t="e">
        <f ca="1">IF(History!Y$2="","",#REF!*$C$64)</f>
        <v>#REF!</v>
      </c>
      <c r="V64" s="11" t="e">
        <f ca="1">IF(History!Z$2="","",#REF!*$C$64)</f>
        <v>#REF!</v>
      </c>
      <c r="W64" s="11" t="e">
        <f ca="1">IF(History!AA$2="","",#REF!*$C$64)</f>
        <v>#REF!</v>
      </c>
      <c r="X64" s="11" t="e">
        <f ca="1">IF(History!AB$2="","",#REF!*$C$64)</f>
        <v>#REF!</v>
      </c>
      <c r="Y64" s="11" t="e">
        <f ca="1">IF(History!AC$2="","",#REF!*$C$64)</f>
        <v>#REF!</v>
      </c>
      <c r="Z64" s="11" t="e">
        <f ca="1">IF(History!AD$2="","",#REF!*$C$64)</f>
        <v>#REF!</v>
      </c>
      <c r="AA64" s="11" t="e">
        <f ca="1">IF(History!AE$2="","",#REF!*$C$64)</f>
        <v>#REF!</v>
      </c>
      <c r="AB64" s="11" t="e">
        <f ca="1">IF(History!AF$2="","",#REF!*$C$64)</f>
        <v>#REF!</v>
      </c>
      <c r="AC64" s="11" t="e">
        <f ca="1">IF(History!AG$2="","",#REF!*$C$64)</f>
        <v>#REF!</v>
      </c>
      <c r="AD64" s="11" t="e">
        <f ca="1">IF(History!AH$2="","",#REF!*$C$64)</f>
        <v>#REF!</v>
      </c>
      <c r="AE64" s="11" t="e">
        <f ca="1">IF(History!AI$2="","",#REF!*$C$64)</f>
        <v>#REF!</v>
      </c>
      <c r="AF64" s="11" t="e">
        <f ca="1">IF(History!AJ$2="","",#REF!*$C$64)</f>
        <v>#REF!</v>
      </c>
      <c r="AG64" s="11" t="e">
        <f ca="1">IF(History!AK$2="","",#REF!*$C$64)</f>
        <v>#REF!</v>
      </c>
      <c r="AH64" s="11" t="e">
        <f ca="1">IF(History!AL$2="","",#REF!*$C$64)</f>
        <v>#REF!</v>
      </c>
      <c r="AI64" s="11" t="e">
        <f ca="1">IF(History!AM$2="","",#REF!*$C$64)</f>
        <v>#REF!</v>
      </c>
      <c r="AJ64" s="11" t="e">
        <f ca="1">IF(History!AN$2="","",#REF!*$C$64)</f>
        <v>#REF!</v>
      </c>
      <c r="AK64" s="11" t="e">
        <f ca="1">IF(History!AO$2="","",#REF!*$C$64)</f>
        <v>#REF!</v>
      </c>
      <c r="AL64" s="11" t="e">
        <f ca="1">IF(History!AP$2="","",#REF!*$C$64)</f>
        <v>#REF!</v>
      </c>
      <c r="AM64" s="11" t="e">
        <f ca="1">IF(History!AQ$2="","",#REF!*$C$64)</f>
        <v>#REF!</v>
      </c>
      <c r="AN64" s="11" t="e">
        <f ca="1">IF(History!AR$2="","",#REF!*$C$64)</f>
        <v>#REF!</v>
      </c>
      <c r="AO64" s="11" t="e">
        <f ca="1">IF(History!AS$2="","",#REF!*$C$64)</f>
        <v>#REF!</v>
      </c>
      <c r="AP64" s="11" t="e">
        <f ca="1">IF(History!AT$2="","",#REF!*$C$64)</f>
        <v>#REF!</v>
      </c>
      <c r="AQ64" s="11" t="e">
        <f ca="1">IF(History!AU$2="","",#REF!*$C$64)</f>
        <v>#REF!</v>
      </c>
      <c r="AR64" s="11" t="e">
        <f ca="1">IF(History!AV$2="","",#REF!*$C$64)</f>
        <v>#REF!</v>
      </c>
      <c r="AS64" s="11" t="e">
        <f ca="1">IF(History!AW$2="","",#REF!*$C$64)</f>
        <v>#REF!</v>
      </c>
      <c r="AT64" s="11" t="e">
        <f ca="1">IF(History!AX$2="","",#REF!*$C$64)</f>
        <v>#REF!</v>
      </c>
      <c r="AU64" s="11" t="e">
        <f ca="1">IF(History!AY$2="","",#REF!*$C$64)</f>
        <v>#REF!</v>
      </c>
      <c r="AV64" s="11" t="e">
        <f ca="1">IF(History!AZ$2="","",#REF!*$C$64)</f>
        <v>#REF!</v>
      </c>
      <c r="AW64" s="11" t="e">
        <f ca="1">IF(History!BA$2="","",#REF!*$C$64)</f>
        <v>#REF!</v>
      </c>
      <c r="AX64" s="11" t="e">
        <f ca="1">IF(History!BB$2="","",#REF!*$C$64)</f>
        <v>#REF!</v>
      </c>
      <c r="AY64" s="11" t="e">
        <f ca="1">IF(History!BC$2="","",#REF!*$C$64)</f>
        <v>#REF!</v>
      </c>
      <c r="AZ64" s="11" t="e">
        <f ca="1">IF(History!BD$2="","",#REF!*$C$64)</f>
        <v>#REF!</v>
      </c>
      <c r="BA64" s="11" t="e">
        <f ca="1">IF(History!BE$2="","",#REF!*$C$64)</f>
        <v>#REF!</v>
      </c>
      <c r="BB64" s="11" t="e">
        <f ca="1">IF(History!BF$2="","",#REF!*$C$64)</f>
        <v>#REF!</v>
      </c>
      <c r="BC64" s="11" t="e">
        <f ca="1">IF(History!BG$2="","",#REF!*$C$64)</f>
        <v>#REF!</v>
      </c>
      <c r="BD64" s="11" t="e">
        <f ca="1">IF(History!BH$2="","",#REF!*$C$64)</f>
        <v>#REF!</v>
      </c>
      <c r="BE64" s="11" t="e">
        <f ca="1">IF(History!BI$2="","",#REF!*$C$64)</f>
        <v>#REF!</v>
      </c>
      <c r="BF64" s="11" t="e">
        <f ca="1">IF(History!BJ$2="","",#REF!*$C$64)</f>
        <v>#REF!</v>
      </c>
      <c r="BG64" s="11" t="e">
        <f ca="1">IF(History!BK$2="","",#REF!*$C$64)</f>
        <v>#REF!</v>
      </c>
      <c r="BH64" s="11" t="e">
        <f ca="1">IF(History!BL$2="","",#REF!*$C$64)</f>
        <v>#REF!</v>
      </c>
      <c r="BI64" s="11" t="e">
        <f ca="1">IF(History!BM$2="","",#REF!*$C$64)</f>
        <v>#REF!</v>
      </c>
      <c r="BJ64" s="11" t="e">
        <f ca="1">IF(History!BN$2="","",#REF!*$C$64)</f>
        <v>#REF!</v>
      </c>
      <c r="BK64" s="11" t="e">
        <f ca="1">IF(History!BO$2="","",#REF!*$C$64)</f>
        <v>#REF!</v>
      </c>
      <c r="BL64" s="11" t="e">
        <f ca="1">IF(History!BP$2="","",#REF!*$C$64)</f>
        <v>#REF!</v>
      </c>
      <c r="BM64" s="11" t="e">
        <f ca="1">IF(History!BQ$2="","",#REF!*$C$64)</f>
        <v>#REF!</v>
      </c>
      <c r="BN64" s="11" t="e">
        <f ca="1">IF(History!BR$2="","",#REF!*$C$64)</f>
        <v>#REF!</v>
      </c>
      <c r="BO64" s="11" t="e">
        <f ca="1">IF(History!BS$2="","",#REF!*$C$64)</f>
        <v>#REF!</v>
      </c>
      <c r="BP64" s="11" t="e">
        <f ca="1">IF(History!BT$2="","",#REF!*$C$64)</f>
        <v>#REF!</v>
      </c>
      <c r="BQ64" s="11" t="e">
        <f ca="1">IF(History!BU$2="","",#REF!*$C$64)</f>
        <v>#REF!</v>
      </c>
      <c r="BR64" s="11" t="e">
        <f ca="1">IF(History!BV$2="","",#REF!*$C$64)</f>
        <v>#REF!</v>
      </c>
      <c r="BS64" s="11" t="e">
        <f ca="1">IF(History!BW$2="","",#REF!*$C$64)</f>
        <v>#REF!</v>
      </c>
      <c r="BT64" s="11" t="e">
        <f ca="1">IF(History!BX$2="","",#REF!*$C$64)</f>
        <v>#REF!</v>
      </c>
      <c r="BU64" s="11" t="e">
        <f ca="1">IF(History!BY$2="","",#REF!*$C$64)</f>
        <v>#REF!</v>
      </c>
      <c r="BV64" s="11" t="e">
        <f ca="1">IF(History!BZ$2="","",#REF!*$C$64)</f>
        <v>#REF!</v>
      </c>
      <c r="BW64" s="11" t="e">
        <f ca="1">IF(History!CA$2="","",#REF!*$C$64)</f>
        <v>#REF!</v>
      </c>
      <c r="BX64" s="11" t="e">
        <f ca="1">IF(History!CB$2="","",#REF!*$C$64)</f>
        <v>#REF!</v>
      </c>
      <c r="BY64" s="11" t="e">
        <f ca="1">IF(History!CC$2="","",#REF!*$C$64)</f>
        <v>#REF!</v>
      </c>
      <c r="BZ64" s="11" t="e">
        <f ca="1">IF(History!CD$2="","",#REF!*$C$64)</f>
        <v>#REF!</v>
      </c>
      <c r="CA64" s="11" t="e">
        <f ca="1">IF(History!CE$2="","",#REF!*$C$64)</f>
        <v>#REF!</v>
      </c>
      <c r="CB64" s="11" t="e">
        <f ca="1">IF(History!CF$2="","",#REF!*$C$64)</f>
        <v>#REF!</v>
      </c>
      <c r="CC64" s="11" t="e">
        <f ca="1">IF(History!CG$2="","",#REF!*$C$64)</f>
        <v>#REF!</v>
      </c>
      <c r="CD64" s="11" t="e">
        <f ca="1">IF(History!CH$2="","",#REF!*$C$64)</f>
        <v>#REF!</v>
      </c>
      <c r="CE64" s="11" t="e">
        <f ca="1">IF(History!CI$2="","",#REF!*$C$64)</f>
        <v>#REF!</v>
      </c>
      <c r="CF64" s="11" t="str">
        <f ca="1">IF(History!CJ$2="","",#REF!*$C$64)</f>
        <v/>
      </c>
      <c r="CG64" s="11" t="str">
        <f ca="1">IF(History!CK$2="","",#REF!*$C$64)</f>
        <v/>
      </c>
      <c r="CH64" s="11" t="str">
        <f ca="1">IF(History!CL$2="","",#REF!*$C$64)</f>
        <v/>
      </c>
      <c r="CI64" s="11" t="str">
        <f ca="1">IF(History!CM$2="","",#REF!*$C$64)</f>
        <v/>
      </c>
      <c r="CJ64" s="11" t="str">
        <f ca="1">IF(History!CN$2="","",#REF!*$C$64)</f>
        <v/>
      </c>
      <c r="CK64" s="11" t="str">
        <f ca="1">IF(History!CO$2="","",#REF!*$C$64)</f>
        <v/>
      </c>
      <c r="CL64" s="11" t="str">
        <f ca="1">IF(History!CP$2="","",#REF!*$C$64)</f>
        <v/>
      </c>
      <c r="CM64" s="11" t="str">
        <f ca="1">IF(History!CQ$2="","",#REF!*$C$64)</f>
        <v/>
      </c>
      <c r="CN64" s="11" t="str">
        <f ca="1">IF(History!CR$2="","",#REF!*$C$64)</f>
        <v/>
      </c>
      <c r="CO64" s="11" t="str">
        <f ca="1">IF(History!CS$2="","",#REF!*$C$64)</f>
        <v/>
      </c>
      <c r="CP64" s="11" t="str">
        <f ca="1">IF(History!CT$2="","",#REF!*$C$64)</f>
        <v/>
      </c>
      <c r="CQ64" s="11" t="str">
        <f ca="1">IF(History!CU$2="","",#REF!*$C$64)</f>
        <v/>
      </c>
      <c r="CR64" s="11" t="str">
        <f ca="1">IF(History!CV$2="","",#REF!*$C$64)</f>
        <v/>
      </c>
      <c r="CS64" s="11" t="str">
        <f ca="1">IF(History!CW$2="","",#REF!*$C$64)</f>
        <v/>
      </c>
      <c r="CT64" s="11" t="str">
        <f ca="1">IF(History!CX$2="","",#REF!*$C$64)</f>
        <v/>
      </c>
      <c r="CU64" s="11" t="str">
        <f ca="1">IF(History!CY$2="","",#REF!*$C$64)</f>
        <v/>
      </c>
      <c r="CV64" s="11" t="str">
        <f ca="1">IF(History!CZ$2="","",#REF!*$C$64)</f>
        <v/>
      </c>
      <c r="CW64" s="11" t="str">
        <f ca="1">IF(History!DA$2="","",#REF!*$C$64)</f>
        <v/>
      </c>
      <c r="CX64" s="11" t="str">
        <f ca="1">IF(History!DB$2="","",#REF!*$C$64)</f>
        <v/>
      </c>
      <c r="CY64" s="11" t="str">
        <f ca="1">IF(History!DC$2="","",#REF!*$C$64)</f>
        <v/>
      </c>
      <c r="CZ64" s="11" t="str">
        <f ca="1">IF(History!DD$2="","",#REF!*$C$64)</f>
        <v/>
      </c>
      <c r="DA64" s="11" t="str">
        <f ca="1">IF(History!DE$2="","",#REF!*$C$64)</f>
        <v/>
      </c>
      <c r="DB64" s="11" t="str">
        <f ca="1">IF(History!DF$2="","",#REF!*$C$64)</f>
        <v/>
      </c>
      <c r="DC64" s="11" t="str">
        <f ca="1">IF(History!DG$2="","",#REF!*$C$64)</f>
        <v/>
      </c>
      <c r="DD64" s="11" t="str">
        <f ca="1">IF(History!DH$2="","",#REF!*$C$64)</f>
        <v/>
      </c>
      <c r="DE64" s="11" t="str">
        <f ca="1">IF(History!DI$2="","",#REF!*$C$64)</f>
        <v/>
      </c>
      <c r="DF64" s="11" t="str">
        <f ca="1">IF(History!DJ$2="","",#REF!*$C$64)</f>
        <v/>
      </c>
      <c r="DG64" s="11" t="str">
        <f ca="1">IF(History!DK$2="","",#REF!*$C$64)</f>
        <v/>
      </c>
      <c r="DH64" s="11" t="str">
        <f ca="1">IF(History!DL$2="","",#REF!*$C$64)</f>
        <v/>
      </c>
      <c r="DI64" s="11" t="str">
        <f ca="1">IF(History!DM$2="","",#REF!*$C$64)</f>
        <v/>
      </c>
      <c r="DJ64" s="11" t="str">
        <f ca="1">IF(History!DN$2="","",#REF!*$C$64)</f>
        <v/>
      </c>
      <c r="DK64" s="11" t="str">
        <f ca="1">IF(History!DO$2="","",#REF!*$C$64)</f>
        <v/>
      </c>
      <c r="DL64" s="11" t="str">
        <f ca="1">IF(History!DP$2="","",#REF!*$C$64)</f>
        <v/>
      </c>
      <c r="DM64" s="11" t="str">
        <f ca="1">IF(History!DQ$2="","",#REF!*$C$64)</f>
        <v/>
      </c>
      <c r="DN64" s="11" t="str">
        <f ca="1">IF(History!DR$2="","",#REF!*$C$64)</f>
        <v/>
      </c>
      <c r="DO64" s="11" t="str">
        <f ca="1">IF(History!DS$2="","",#REF!*$C$64)</f>
        <v/>
      </c>
      <c r="DP64" s="11" t="str">
        <f ca="1">IF(History!DT$2="","",#REF!*$C$64)</f>
        <v/>
      </c>
      <c r="DQ64" s="11" t="str">
        <f ca="1">IF(History!DU$2="","",#REF!*$C$64)</f>
        <v/>
      </c>
      <c r="DR64" s="11" t="str">
        <f ca="1">IF(History!DV$2="","",#REF!*$C$64)</f>
        <v/>
      </c>
      <c r="DS64" s="11" t="str">
        <f ca="1">IF(History!DW$2="","",#REF!*$C$64)</f>
        <v/>
      </c>
      <c r="DT64" s="11" t="str">
        <f ca="1">IF(History!DX$2="","",#REF!*$C$64)</f>
        <v/>
      </c>
      <c r="DU64" s="11" t="str">
        <f ca="1">IF(History!DY$2="","",#REF!*$C$64)</f>
        <v/>
      </c>
      <c r="DV64" s="11" t="str">
        <f ca="1">IF(History!DZ$2="","",#REF!*$C$64)</f>
        <v/>
      </c>
      <c r="DW64" s="11" t="str">
        <f ca="1">IF(History!EA$2="","",#REF!*$C$64)</f>
        <v/>
      </c>
      <c r="DX64" s="11" t="str">
        <f ca="1">IF(History!EB$2="","",#REF!*$C$64)</f>
        <v/>
      </c>
      <c r="DY64" s="11" t="str">
        <f ca="1">IF(History!EC$2="","",#REF!*$C$64)</f>
        <v/>
      </c>
      <c r="DZ64" s="11" t="str">
        <f ca="1">IF(History!ED$2="","",#REF!*$C$64)</f>
        <v/>
      </c>
      <c r="EA64" s="11" t="str">
        <f ca="1">IF(History!EE$2="","",#REF!*$C$64)</f>
        <v/>
      </c>
      <c r="EB64" s="11" t="str">
        <f ca="1">IF(History!EF$2="","",#REF!*$C$64)</f>
        <v/>
      </c>
      <c r="EC64" s="11" t="str">
        <f ca="1">IF(History!EG$2="","",#REF!*$C$64)</f>
        <v/>
      </c>
      <c r="ED64" s="11" t="str">
        <f ca="1">IF(History!EH$2="","",#REF!*$C$64)</f>
        <v/>
      </c>
      <c r="EE64" s="11" t="str">
        <f ca="1">IF(History!EI$2="","",#REF!*$C$64)</f>
        <v/>
      </c>
      <c r="EF64" s="11" t="str">
        <f ca="1">IF(History!EJ$2="","",#REF!*$C$64)</f>
        <v/>
      </c>
      <c r="EG64" s="11" t="str">
        <f ca="1">IF(History!EK$2="","",#REF!*$C$64)</f>
        <v/>
      </c>
      <c r="EH64" s="11" t="str">
        <f ca="1">IF(History!EL$2="","",#REF!*$C$64)</f>
        <v/>
      </c>
      <c r="EI64" s="11" t="str">
        <f ca="1">IF(History!EM$2="","",#REF!*$C$64)</f>
        <v/>
      </c>
      <c r="EJ64" s="11" t="str">
        <f ca="1">IF(History!EN$2="","",#REF!*$C$64)</f>
        <v/>
      </c>
      <c r="EK64" s="11" t="str">
        <f ca="1">IF(History!EO$2="","",#REF!*$C$64)</f>
        <v/>
      </c>
      <c r="EL64" s="11" t="str">
        <f ca="1">IF(History!EP$2="","",#REF!*$C$64)</f>
        <v/>
      </c>
      <c r="EM64" s="11" t="str">
        <f ca="1">IF(History!EQ$2="","",#REF!*$C$64)</f>
        <v/>
      </c>
      <c r="EN64" s="11" t="str">
        <f ca="1">IF(History!ER$2="","",#REF!*$C$64)</f>
        <v/>
      </c>
      <c r="EO64" s="11" t="str">
        <f ca="1">IF(History!ES$2="","",#REF!*$C$64)</f>
        <v/>
      </c>
      <c r="EP64" s="11" t="str">
        <f ca="1">IF(History!ET$2="","",#REF!*$C$64)</f>
        <v/>
      </c>
      <c r="EQ64" s="11" t="str">
        <f ca="1">IF(History!EU$2="","",#REF!*$C$64)</f>
        <v/>
      </c>
      <c r="ER64" s="11" t="str">
        <f ca="1">IF(History!EV$2="","",#REF!*$C$64)</f>
        <v/>
      </c>
      <c r="ES64" s="11" t="str">
        <f ca="1">IF(History!EW$2="","",#REF!*$C$64)</f>
        <v/>
      </c>
      <c r="ET64" s="11" t="str">
        <f ca="1">IF(History!EX$2="","",#REF!*$C$64)</f>
        <v/>
      </c>
      <c r="EU64" s="11" t="str">
        <f ca="1">IF(History!EY$2="","",#REF!*$C$64)</f>
        <v/>
      </c>
      <c r="EV64" s="11" t="str">
        <f ca="1">IF(History!EZ$2="","",#REF!*$C$64)</f>
        <v/>
      </c>
      <c r="EW64" s="11" t="str">
        <f ca="1">IF(History!FA$2="","",#REF!*$C$64)</f>
        <v/>
      </c>
      <c r="EX64" s="11" t="str">
        <f ca="1">IF(History!FB$2="","",#REF!*$C$64)</f>
        <v/>
      </c>
      <c r="EY64" s="11" t="str">
        <f ca="1">IF(History!FC$2="","",#REF!*$C$64)</f>
        <v/>
      </c>
      <c r="EZ64" s="11" t="str">
        <f ca="1">IF(History!FD$2="","",#REF!*$C$64)</f>
        <v/>
      </c>
      <c r="FA64" s="11" t="str">
        <f ca="1">IF(History!FE$2="","",#REF!*$C$64)</f>
        <v/>
      </c>
      <c r="FB64" s="11" t="str">
        <f ca="1">IF(History!FF$2="","",#REF!*$C$64)</f>
        <v/>
      </c>
      <c r="FC64" s="11" t="str">
        <f ca="1">IF(History!FG$2="","",#REF!*$C$64)</f>
        <v/>
      </c>
      <c r="FD64" s="11" t="str">
        <f ca="1">IF(History!FH$2="","",#REF!*$C$64)</f>
        <v/>
      </c>
      <c r="FE64" s="11" t="str">
        <f ca="1">IF(History!FI$2="","",#REF!*$C$64)</f>
        <v/>
      </c>
      <c r="FF64" s="11" t="str">
        <f ca="1">IF(History!FJ$2="","",#REF!*$C$64)</f>
        <v/>
      </c>
      <c r="FG64" s="11" t="str">
        <f ca="1">IF(History!FK$2="","",#REF!*$C$64)</f>
        <v/>
      </c>
      <c r="FH64" s="11" t="str">
        <f ca="1">IF(History!FL$2="","",#REF!*$C$64)</f>
        <v/>
      </c>
      <c r="FI64" s="11" t="str">
        <f ca="1">IF(History!FM$2="","",#REF!*$C$64)</f>
        <v/>
      </c>
      <c r="FJ64" s="11" t="str">
        <f ca="1">IF(History!FN$2="","",#REF!*$C$64)</f>
        <v/>
      </c>
      <c r="FK64" s="11" t="str">
        <f ca="1">IF(History!FO$2="","",#REF!*$C$64)</f>
        <v/>
      </c>
      <c r="FL64" s="11" t="str">
        <f ca="1">IF(History!FP$2="","",#REF!*$C$64)</f>
        <v/>
      </c>
      <c r="FM64" s="11" t="str">
        <f ca="1">IF(History!FQ$2="","",#REF!*$C$64)</f>
        <v/>
      </c>
      <c r="FN64" s="11" t="str">
        <f ca="1">IF(History!FR$2="","",#REF!*$C$64)</f>
        <v/>
      </c>
      <c r="FO64" s="11" t="str">
        <f ca="1">IF(History!FS$2="","",#REF!*$C$64)</f>
        <v/>
      </c>
      <c r="FP64" s="11" t="str">
        <f ca="1">IF(History!FT$2="","",#REF!*$C$64)</f>
        <v/>
      </c>
      <c r="FQ64" s="11" t="str">
        <f ca="1">IF(History!FU$2="","",#REF!*$C$64)</f>
        <v/>
      </c>
      <c r="FR64" s="11" t="str">
        <f ca="1">IF(History!FV$2="","",#REF!*$C$64)</f>
        <v/>
      </c>
      <c r="FS64" s="11" t="str">
        <f ca="1">IF(History!FW$2="","",#REF!*$C$64)</f>
        <v/>
      </c>
      <c r="FT64" s="11" t="str">
        <f ca="1">IF(History!FX$2="","",#REF!*$C$64)</f>
        <v/>
      </c>
      <c r="FU64" s="11" t="str">
        <f ca="1">IF(History!FY$2="","",#REF!*$C$64)</f>
        <v/>
      </c>
      <c r="FV64" s="11" t="str">
        <f ca="1">IF(History!FZ$2="","",#REF!*$C$64)</f>
        <v/>
      </c>
      <c r="FW64" s="11" t="str">
        <f ca="1">IF(History!GA$2="","",#REF!*$C$64)</f>
        <v/>
      </c>
      <c r="FX64" s="11" t="str">
        <f ca="1">IF(History!GB$2="","",#REF!*$C$64)</f>
        <v/>
      </c>
      <c r="FY64" s="11" t="str">
        <f ca="1">IF(History!GC$2="","",#REF!*$C$64)</f>
        <v/>
      </c>
      <c r="FZ64" s="11" t="str">
        <f ca="1">IF(History!GD$2="","",#REF!*$C$64)</f>
        <v/>
      </c>
      <c r="GA64" s="11" t="str">
        <f ca="1">IF(History!GE$2="","",#REF!*$C$64)</f>
        <v/>
      </c>
      <c r="GB64" s="11" t="str">
        <f ca="1">IF(History!GF$2="","",#REF!*$C$64)</f>
        <v/>
      </c>
      <c r="GC64" s="11" t="str">
        <f ca="1">IF(History!GG$2="","",#REF!*$C$64)</f>
        <v/>
      </c>
      <c r="GD64" s="11" t="str">
        <f ca="1">IF(History!GH$2="","",#REF!*$C$64)</f>
        <v/>
      </c>
      <c r="GE64" s="11" t="str">
        <f ca="1">IF(History!GI$2="","",#REF!*$C$64)</f>
        <v/>
      </c>
      <c r="GF64" s="11" t="str">
        <f ca="1">IF(History!GJ$2="","",#REF!*$C$64)</f>
        <v/>
      </c>
      <c r="GG64" s="11" t="str">
        <f ca="1">IF(History!GK$2="","",#REF!*$C$64)</f>
        <v/>
      </c>
      <c r="GH64" s="11" t="str">
        <f ca="1">IF(History!GL$2="","",#REF!*$C$64)</f>
        <v/>
      </c>
      <c r="GI64" s="11" t="str">
        <f ca="1">IF(History!GM$2="","",#REF!*$C$64)</f>
        <v/>
      </c>
      <c r="GJ64" s="11" t="str">
        <f ca="1">IF(History!GN$2="","",#REF!*$C$64)</f>
        <v/>
      </c>
      <c r="GK64" s="11" t="str">
        <f ca="1">IF(History!GO$2="","",#REF!*$C$64)</f>
        <v/>
      </c>
      <c r="GL64" s="11" t="str">
        <f ca="1">IF(History!GP$2="","",#REF!*$C$64)</f>
        <v/>
      </c>
      <c r="GM64" s="11" t="str">
        <f ca="1">IF(History!GQ$2="","",#REF!*$C$64)</f>
        <v/>
      </c>
      <c r="GN64" s="11" t="str">
        <f ca="1">IF(History!GR$2="","",#REF!*$C$64)</f>
        <v/>
      </c>
      <c r="GO64" s="11" t="str">
        <f ca="1">IF(History!GS$2="","",#REF!*$C$64)</f>
        <v/>
      </c>
      <c r="GP64" s="11" t="str">
        <f ca="1">IF(History!GT$2="","",#REF!*$C$64)</f>
        <v/>
      </c>
      <c r="GQ64" s="11" t="str">
        <f ca="1">IF(History!GU$2="","",#REF!*$C$64)</f>
        <v/>
      </c>
      <c r="GR64" s="11" t="str">
        <f ca="1">IF(History!GV$2="","",#REF!*$C$64)</f>
        <v/>
      </c>
      <c r="GS64" s="11" t="str">
        <f ca="1">IF(History!GW$2="","",#REF!*$C$64)</f>
        <v/>
      </c>
      <c r="GT64" s="11" t="str">
        <f ca="1">IF(History!GX$2="","",#REF!*$C$64)</f>
        <v/>
      </c>
      <c r="GU64" s="11" t="str">
        <f ca="1">IF(History!GY$2="","",#REF!*$C$64)</f>
        <v/>
      </c>
      <c r="GV64" s="11" t="str">
        <f ca="1">IF(History!GZ$2="","",#REF!*$C$64)</f>
        <v/>
      </c>
      <c r="GW64" s="11" t="str">
        <f ca="1">IF(History!HA$2="","",#REF!*$C$64)</f>
        <v/>
      </c>
      <c r="GX64" s="11" t="str">
        <f ca="1">IF(History!HB$2="","",#REF!*$C$64)</f>
        <v/>
      </c>
      <c r="GY64" s="11" t="str">
        <f ca="1">IF(History!HC$2="","",#REF!*$C$64)</f>
        <v/>
      </c>
      <c r="GZ64" s="11" t="str">
        <f ca="1">IF(History!HD$2="","",#REF!*$C$64)</f>
        <v/>
      </c>
      <c r="HA64" s="11" t="str">
        <f ca="1">IF(History!HE$2="","",#REF!*$C$64)</f>
        <v/>
      </c>
      <c r="HB64" s="11" t="str">
        <f ca="1">IF(History!HF$2="","",#REF!*$C$64)</f>
        <v/>
      </c>
      <c r="HC64" s="11" t="str">
        <f ca="1">IF(History!HG$2="","",#REF!*$C$64)</f>
        <v/>
      </c>
      <c r="HD64" s="11" t="str">
        <f ca="1">IF(History!HH$2="","",#REF!*$C$64)</f>
        <v/>
      </c>
      <c r="HE64" s="11" t="str">
        <f ca="1">IF(History!HI$2="","",#REF!*$C$64)</f>
        <v/>
      </c>
      <c r="HF64" s="11" t="str">
        <f ca="1">IF(History!HJ$2="","",#REF!*$C$64)</f>
        <v/>
      </c>
      <c r="HG64" s="11" t="str">
        <f ca="1">IF(History!HK$2="","",#REF!*$C$64)</f>
        <v/>
      </c>
      <c r="HH64" s="11" t="str">
        <f ca="1">IF(History!HL$2="","",#REF!*$C$64)</f>
        <v/>
      </c>
      <c r="HI64" s="11" t="str">
        <f ca="1">IF(History!HM$2="","",#REF!*$C$64)</f>
        <v/>
      </c>
      <c r="HJ64" s="11" t="str">
        <f ca="1">IF(History!HN$2="","",#REF!*$C$64)</f>
        <v/>
      </c>
      <c r="HK64" s="11" t="str">
        <f ca="1">IF(History!HO$2="","",#REF!*$C$64)</f>
        <v/>
      </c>
      <c r="HL64" s="11" t="str">
        <f ca="1">IF(History!HP$2="","",#REF!*$C$64)</f>
        <v/>
      </c>
      <c r="HM64" s="11" t="str">
        <f ca="1">IF(History!HQ$2="","",#REF!*$C$64)</f>
        <v/>
      </c>
      <c r="HN64" s="11" t="str">
        <f ca="1">IF(History!HR$2="","",#REF!*$C$64)</f>
        <v/>
      </c>
      <c r="HO64" s="11" t="str">
        <f ca="1">IF(History!HS$2="","",#REF!*$C$64)</f>
        <v/>
      </c>
      <c r="HP64" s="11" t="str">
        <f ca="1">IF(History!HT$2="","",#REF!*$C$64)</f>
        <v/>
      </c>
      <c r="HQ64" s="11" t="str">
        <f ca="1">IF(History!HU$2="","",#REF!*$C$64)</f>
        <v/>
      </c>
      <c r="HR64" s="11" t="str">
        <f ca="1">IF(History!HV$2="","",#REF!*$C$64)</f>
        <v/>
      </c>
      <c r="HS64" s="11" t="str">
        <f ca="1">IF(History!HW$2="","",#REF!*$C$64)</f>
        <v/>
      </c>
      <c r="HT64" s="11" t="str">
        <f ca="1">IF(History!HX$2="","",#REF!*$C$64)</f>
        <v/>
      </c>
      <c r="HU64" s="11" t="str">
        <f ca="1">IF(History!HY$2="","",#REF!*$C$64)</f>
        <v/>
      </c>
      <c r="HV64" s="11" t="str">
        <f ca="1">IF(History!HZ$2="","",#REF!*$C$64)</f>
        <v/>
      </c>
      <c r="HW64" s="11" t="str">
        <f ca="1">IF(History!IA$2="","",#REF!*$C$64)</f>
        <v/>
      </c>
      <c r="HX64" s="11" t="str">
        <f ca="1">IF(History!IB$2="","",#REF!*$C$64)</f>
        <v/>
      </c>
      <c r="HY64" s="11" t="str">
        <f ca="1">IF(History!IC$2="","",#REF!*$C$64)</f>
        <v/>
      </c>
      <c r="HZ64" s="11" t="str">
        <f ca="1">IF(History!ID$2="","",#REF!*$C$64)</f>
        <v/>
      </c>
      <c r="IA64" s="11" t="str">
        <f ca="1">IF(History!IE$2="","",#REF!*$C$64)</f>
        <v/>
      </c>
      <c r="IB64" s="11" t="str">
        <f ca="1">IF(History!IF$2="","",#REF!*$C$64)</f>
        <v/>
      </c>
      <c r="IC64" s="11" t="str">
        <f ca="1">IF(History!IG$2="","",#REF!*$C$64)</f>
        <v/>
      </c>
      <c r="ID64" s="11" t="str">
        <f ca="1">IF(History!IH$2="","",#REF!*$C$64)</f>
        <v/>
      </c>
      <c r="IE64" s="11" t="str">
        <f ca="1">IF(History!II$2="","",#REF!*$C$64)</f>
        <v/>
      </c>
      <c r="IF64" s="11" t="str">
        <f ca="1">IF(History!IJ$2="","",#REF!*$C$64)</f>
        <v/>
      </c>
      <c r="IG64" s="11" t="str">
        <f ca="1">IF(History!IK$2="","",#REF!*$C$64)</f>
        <v/>
      </c>
      <c r="IH64" s="11" t="str">
        <f ca="1">IF(History!IL$2="","",#REF!*$C$64)</f>
        <v/>
      </c>
      <c r="II64" s="11" t="str">
        <f ca="1">IF(History!IM$2="","",#REF!*$C$64)</f>
        <v/>
      </c>
      <c r="IJ64" s="11" t="str">
        <f ca="1">IF(History!IN$2="","",#REF!*$C$64)</f>
        <v/>
      </c>
      <c r="IK64" s="11" t="str">
        <f ca="1">IF(History!IO$2="","",#REF!*$C$64)</f>
        <v/>
      </c>
      <c r="IL64" s="11" t="str">
        <f ca="1">IF(History!IP$2="","",#REF!*$C$64)</f>
        <v/>
      </c>
      <c r="IM64" s="11" t="str">
        <f ca="1">IF(History!IQ$2="","",#REF!*$C$64)</f>
        <v/>
      </c>
      <c r="IN64" s="11" t="str">
        <f ca="1">IF(History!IR$2="","",#REF!*$C$64)</f>
        <v/>
      </c>
      <c r="IO64" s="11" t="str">
        <f ca="1">IF(History!IS$2="","",#REF!*$C$64)</f>
        <v/>
      </c>
      <c r="IP64" s="11" t="str">
        <f ca="1">IF(History!IT$2="","",#REF!*$C$64)</f>
        <v/>
      </c>
      <c r="IQ64" s="11" t="str">
        <f ca="1">IF(History!IU$2="","",#REF!*$C$64)</f>
        <v/>
      </c>
      <c r="IR64" s="11" t="str">
        <f ca="1">IF(History!IV$2="","",#REF!*$C$64)</f>
        <v/>
      </c>
      <c r="IS64" s="11" t="str">
        <f ca="1">IF(History!IW$2="","",#REF!*$C$64)</f>
        <v/>
      </c>
      <c r="IT64" s="11" t="str">
        <f ca="1">IF(History!IX$2="","",#REF!*$C$64)</f>
        <v/>
      </c>
      <c r="IU64" s="11" t="str">
        <f ca="1">IF(History!IY$2="","",#REF!*$C$64)</f>
        <v/>
      </c>
      <c r="IV64" s="11" t="str">
        <f ca="1">IF(History!IZ$2="","",#REF!*$C$64)</f>
        <v/>
      </c>
      <c r="IW64" s="11" t="str">
        <f ca="1">IF(History!JA$2="","",#REF!*$C$64)</f>
        <v/>
      </c>
      <c r="IX64" s="11" t="str">
        <f ca="1">IF(History!JB$2="","",#REF!*$C$64)</f>
        <v/>
      </c>
      <c r="IY64" s="11" t="str">
        <f ca="1">IF(History!JC$2="","",#REF!*$C$64)</f>
        <v/>
      </c>
      <c r="IZ64" s="11" t="str">
        <f ca="1">IF(History!JD$2="","",#REF!*$C$64)</f>
        <v/>
      </c>
      <c r="JA64" s="11" t="str">
        <f ca="1">IF(History!JE$2="","",#REF!*$C$64)</f>
        <v/>
      </c>
      <c r="JB64" s="11" t="str">
        <f ca="1">IF(History!JF$2="","",#REF!*$C$64)</f>
        <v/>
      </c>
      <c r="JC64" s="11" t="str">
        <f ca="1">IF(History!JG$2="","",#REF!*$C$64)</f>
        <v/>
      </c>
      <c r="JD64" s="11" t="str">
        <f ca="1">IF(History!JH$2="","",#REF!*$C$64)</f>
        <v/>
      </c>
      <c r="JE64" s="11" t="str">
        <f ca="1">IF(History!JI$2="","",#REF!*$C$64)</f>
        <v/>
      </c>
      <c r="JF64" s="11" t="str">
        <f ca="1">IF(History!JJ$2="","",#REF!*$C$64)</f>
        <v/>
      </c>
      <c r="JG64" s="11" t="str">
        <f ca="1">IF(History!JK$2="","",#REF!*$C$64)</f>
        <v/>
      </c>
      <c r="JH64" s="11" t="str">
        <f ca="1">IF(History!JL$2="","",#REF!*$C$64)</f>
        <v/>
      </c>
      <c r="JI64" s="11" t="str">
        <f ca="1">IF(History!JM$2="","",#REF!*$C$64)</f>
        <v/>
      </c>
      <c r="JJ64" s="11" t="str">
        <f ca="1">IF(History!JN$2="","",#REF!*$C$64)</f>
        <v/>
      </c>
      <c r="JK64" s="11" t="str">
        <f ca="1">IF(History!JO$2="","",#REF!*$C$64)</f>
        <v/>
      </c>
      <c r="JL64" s="11" t="str">
        <f ca="1">IF(History!JP$2="","",#REF!*$C$64)</f>
        <v/>
      </c>
      <c r="JM64" s="11" t="str">
        <f ca="1">IF(History!JQ$2="","",#REF!*$C$64)</f>
        <v/>
      </c>
      <c r="JN64" s="11" t="str">
        <f ca="1">IF(History!JR$2="","",#REF!*$C$64)</f>
        <v/>
      </c>
      <c r="JO64" s="11" t="str">
        <f ca="1">IF(History!JS$2="","",#REF!*$C$64)</f>
        <v/>
      </c>
      <c r="JP64" s="11" t="str">
        <f ca="1">IF(History!JT$2="","",#REF!*$C$64)</f>
        <v/>
      </c>
      <c r="JQ64" s="11" t="str">
        <f ca="1">IF(History!JU$2="","",#REF!*$C$64)</f>
        <v/>
      </c>
      <c r="JR64" s="11" t="str">
        <f ca="1">IF(History!JV$2="","",#REF!*$C$64)</f>
        <v/>
      </c>
      <c r="JS64" s="11" t="str">
        <f ca="1">IF(History!JW$2="","",#REF!*$C$64)</f>
        <v/>
      </c>
      <c r="JT64" s="11" t="str">
        <f ca="1">IF(History!JX$2="","",#REF!*$C$64)</f>
        <v/>
      </c>
      <c r="JU64" s="11" t="str">
        <f ca="1">IF(History!JY$2="","",#REF!*$C$64)</f>
        <v/>
      </c>
      <c r="JV64" s="11" t="str">
        <f ca="1">IF(History!JZ$2="","",#REF!*$C$64)</f>
        <v/>
      </c>
      <c r="JW64" s="11" t="str">
        <f ca="1">IF(History!KA$2="","",#REF!*$C$64)</f>
        <v/>
      </c>
      <c r="JX64" s="11" t="str">
        <f ca="1">IF(History!KB$2="","",#REF!*$C$64)</f>
        <v/>
      </c>
      <c r="JY64" s="11" t="str">
        <f ca="1">IF(History!KC$2="","",#REF!*$C$64)</f>
        <v/>
      </c>
      <c r="JZ64" s="11" t="str">
        <f ca="1">IF(History!KD$2="","",#REF!*$C$64)</f>
        <v/>
      </c>
      <c r="KA64" s="11" t="str">
        <f ca="1">IF(History!KE$2="","",#REF!*$C$64)</f>
        <v/>
      </c>
      <c r="KB64" s="11" t="str">
        <f ca="1">IF(History!KF$2="","",#REF!*$C$64)</f>
        <v/>
      </c>
    </row>
    <row r="65" spans="1:288" ht="13">
      <c r="A65" s="18" t="s">
        <v>140</v>
      </c>
      <c r="B65" s="6" t="s">
        <v>144</v>
      </c>
      <c r="C65" s="26">
        <v>71</v>
      </c>
      <c r="D65" s="11" t="e">
        <f ca="1">IF(History!H$2="","",#REF!*$C$65)</f>
        <v>#REF!</v>
      </c>
      <c r="E65" s="11" t="e">
        <f ca="1">IF(History!I$2="","",#REF!*$C$65)</f>
        <v>#REF!</v>
      </c>
      <c r="F65" s="11" t="e">
        <f ca="1">IF(History!J$2="","",#REF!*$C$65)</f>
        <v>#REF!</v>
      </c>
      <c r="G65" s="11" t="e">
        <f ca="1">IF(History!K$2="","",#REF!*$C$65)</f>
        <v>#REF!</v>
      </c>
      <c r="H65" s="11" t="e">
        <f ca="1">IF(History!L$2="","",#REF!*$C$65)</f>
        <v>#REF!</v>
      </c>
      <c r="I65" s="11" t="e">
        <f ca="1">IF(History!M$2="","",#REF!*$C$65)</f>
        <v>#REF!</v>
      </c>
      <c r="J65" s="11" t="e">
        <f ca="1">IF(History!N$2="","",#REF!*$C$65)</f>
        <v>#REF!</v>
      </c>
      <c r="K65" s="11" t="e">
        <f ca="1">IF(History!O$2="","",#REF!*$C$65)</f>
        <v>#REF!</v>
      </c>
      <c r="L65" s="11" t="e">
        <f ca="1">IF(History!P$2="","",#REF!*$C$65)</f>
        <v>#REF!</v>
      </c>
      <c r="M65" s="11" t="e">
        <f ca="1">IF(History!Q$2="","",#REF!*$C$65)</f>
        <v>#REF!</v>
      </c>
      <c r="N65" s="11" t="e">
        <f ca="1">IF(History!R$2="","",#REF!*$C$65)</f>
        <v>#REF!</v>
      </c>
      <c r="O65" s="11" t="e">
        <f ca="1">IF(History!S$2="","",#REF!*$C$65)</f>
        <v>#REF!</v>
      </c>
      <c r="P65" s="11" t="e">
        <f ca="1">IF(History!T$2="","",#REF!*$C$65)</f>
        <v>#REF!</v>
      </c>
      <c r="Q65" s="11" t="e">
        <f ca="1">IF(History!U$2="","",#REF!*$C$65)</f>
        <v>#REF!</v>
      </c>
      <c r="R65" s="11" t="e">
        <f ca="1">IF(History!V$2="","",#REF!*$C$65)</f>
        <v>#REF!</v>
      </c>
      <c r="S65" s="11" t="e">
        <f ca="1">IF(History!W$2="","",#REF!*$C$65)</f>
        <v>#REF!</v>
      </c>
      <c r="T65" s="11" t="e">
        <f ca="1">IF(History!X$2="","",#REF!*$C$65)</f>
        <v>#REF!</v>
      </c>
      <c r="U65" s="11" t="e">
        <f ca="1">IF(History!Y$2="","",#REF!*$C$65)</f>
        <v>#REF!</v>
      </c>
      <c r="V65" s="11" t="e">
        <f ca="1">IF(History!Z$2="","",#REF!*$C$65)</f>
        <v>#REF!</v>
      </c>
      <c r="W65" s="11" t="e">
        <f ca="1">IF(History!AA$2="","",#REF!*$C$65)</f>
        <v>#REF!</v>
      </c>
      <c r="X65" s="11" t="e">
        <f ca="1">IF(History!AB$2="","",#REF!*$C$65)</f>
        <v>#REF!</v>
      </c>
      <c r="Y65" s="11" t="e">
        <f ca="1">IF(History!AC$2="","",#REF!*$C$65)</f>
        <v>#REF!</v>
      </c>
      <c r="Z65" s="11" t="e">
        <f ca="1">IF(History!AD$2="","",#REF!*$C$65)</f>
        <v>#REF!</v>
      </c>
      <c r="AA65" s="11" t="e">
        <f ca="1">IF(History!AE$2="","",#REF!*$C$65)</f>
        <v>#REF!</v>
      </c>
      <c r="AB65" s="11" t="e">
        <f ca="1">IF(History!AF$2="","",#REF!*$C$65)</f>
        <v>#REF!</v>
      </c>
      <c r="AC65" s="11" t="e">
        <f ca="1">IF(History!AG$2="","",#REF!*$C$65)</f>
        <v>#REF!</v>
      </c>
      <c r="AD65" s="11" t="e">
        <f ca="1">IF(History!AH$2="","",#REF!*$C$65)</f>
        <v>#REF!</v>
      </c>
      <c r="AE65" s="11" t="e">
        <f ca="1">IF(History!AI$2="","",#REF!*$C$65)</f>
        <v>#REF!</v>
      </c>
      <c r="AF65" s="11" t="e">
        <f ca="1">IF(History!AJ$2="","",#REF!*$C$65)</f>
        <v>#REF!</v>
      </c>
      <c r="AG65" s="11" t="e">
        <f ca="1">IF(History!AK$2="","",#REF!*$C$65)</f>
        <v>#REF!</v>
      </c>
      <c r="AH65" s="11" t="e">
        <f ca="1">IF(History!AL$2="","",#REF!*$C$65)</f>
        <v>#REF!</v>
      </c>
      <c r="AI65" s="11" t="e">
        <f ca="1">IF(History!AM$2="","",#REF!*$C$65)</f>
        <v>#REF!</v>
      </c>
      <c r="AJ65" s="11" t="e">
        <f ca="1">IF(History!AN$2="","",#REF!*$C$65)</f>
        <v>#REF!</v>
      </c>
      <c r="AK65" s="11" t="e">
        <f ca="1">IF(History!AO$2="","",#REF!*$C$65)</f>
        <v>#REF!</v>
      </c>
      <c r="AL65" s="11" t="e">
        <f ca="1">IF(History!AP$2="","",#REF!*$C$65)</f>
        <v>#REF!</v>
      </c>
      <c r="AM65" s="11" t="e">
        <f ca="1">IF(History!AQ$2="","",#REF!*$C$65)</f>
        <v>#REF!</v>
      </c>
      <c r="AN65" s="11" t="e">
        <f ca="1">IF(History!AR$2="","",#REF!*$C$65)</f>
        <v>#REF!</v>
      </c>
      <c r="AO65" s="11" t="e">
        <f ca="1">IF(History!AS$2="","",#REF!*$C$65)</f>
        <v>#REF!</v>
      </c>
      <c r="AP65" s="11" t="e">
        <f ca="1">IF(History!AT$2="","",#REF!*$C$65)</f>
        <v>#REF!</v>
      </c>
      <c r="AQ65" s="11" t="e">
        <f ca="1">IF(History!AU$2="","",#REF!*$C$65)</f>
        <v>#REF!</v>
      </c>
      <c r="AR65" s="11" t="e">
        <f ca="1">IF(History!AV$2="","",#REF!*$C$65)</f>
        <v>#REF!</v>
      </c>
      <c r="AS65" s="11" t="e">
        <f ca="1">IF(History!AW$2="","",#REF!*$C$65)</f>
        <v>#REF!</v>
      </c>
      <c r="AT65" s="11" t="e">
        <f ca="1">IF(History!AX$2="","",#REF!*$C$65)</f>
        <v>#REF!</v>
      </c>
      <c r="AU65" s="11" t="e">
        <f ca="1">IF(History!AY$2="","",#REF!*$C$65)</f>
        <v>#REF!</v>
      </c>
      <c r="AV65" s="11" t="e">
        <f ca="1">IF(History!AZ$2="","",#REF!*$C$65)</f>
        <v>#REF!</v>
      </c>
      <c r="AW65" s="11" t="e">
        <f ca="1">IF(History!BA$2="","",#REF!*$C$65)</f>
        <v>#REF!</v>
      </c>
      <c r="AX65" s="11" t="e">
        <f ca="1">IF(History!BB$2="","",#REF!*$C$65)</f>
        <v>#REF!</v>
      </c>
      <c r="AY65" s="11" t="e">
        <f ca="1">IF(History!BC$2="","",#REF!*$C$65)</f>
        <v>#REF!</v>
      </c>
      <c r="AZ65" s="11" t="e">
        <f ca="1">IF(History!BD$2="","",#REF!*$C$65)</f>
        <v>#REF!</v>
      </c>
      <c r="BA65" s="11" t="e">
        <f ca="1">IF(History!BE$2="","",#REF!*$C$65)</f>
        <v>#REF!</v>
      </c>
      <c r="BB65" s="11" t="e">
        <f ca="1">IF(History!BF$2="","",#REF!*$C$65)</f>
        <v>#REF!</v>
      </c>
      <c r="BC65" s="11" t="e">
        <f ca="1">IF(History!BG$2="","",#REF!*$C$65)</f>
        <v>#REF!</v>
      </c>
      <c r="BD65" s="11" t="e">
        <f ca="1">IF(History!BH$2="","",#REF!*$C$65)</f>
        <v>#REF!</v>
      </c>
      <c r="BE65" s="11" t="e">
        <f ca="1">IF(History!BI$2="","",#REF!*$C$65)</f>
        <v>#REF!</v>
      </c>
      <c r="BF65" s="11" t="e">
        <f ca="1">IF(History!BJ$2="","",#REF!*$C$65)</f>
        <v>#REF!</v>
      </c>
      <c r="BG65" s="11" t="e">
        <f ca="1">IF(History!BK$2="","",#REF!*$C$65)</f>
        <v>#REF!</v>
      </c>
      <c r="BH65" s="11" t="e">
        <f ca="1">IF(History!BL$2="","",#REF!*$C$65)</f>
        <v>#REF!</v>
      </c>
      <c r="BI65" s="11" t="e">
        <f ca="1">IF(History!BM$2="","",#REF!*$C$65)</f>
        <v>#REF!</v>
      </c>
      <c r="BJ65" s="11" t="e">
        <f ca="1">IF(History!BN$2="","",#REF!*$C$65)</f>
        <v>#REF!</v>
      </c>
      <c r="BK65" s="11" t="e">
        <f ca="1">IF(History!BO$2="","",#REF!*$C$65)</f>
        <v>#REF!</v>
      </c>
      <c r="BL65" s="11" t="e">
        <f ca="1">IF(History!BP$2="","",#REF!*$C$65)</f>
        <v>#REF!</v>
      </c>
      <c r="BM65" s="11" t="e">
        <f ca="1">IF(History!BQ$2="","",#REF!*$C$65)</f>
        <v>#REF!</v>
      </c>
      <c r="BN65" s="11" t="e">
        <f ca="1">IF(History!BR$2="","",#REF!*$C$65)</f>
        <v>#REF!</v>
      </c>
      <c r="BO65" s="11" t="e">
        <f ca="1">IF(History!BS$2="","",#REF!*$C$65)</f>
        <v>#REF!</v>
      </c>
      <c r="BP65" s="11" t="e">
        <f ca="1">IF(History!BT$2="","",#REF!*$C$65)</f>
        <v>#REF!</v>
      </c>
      <c r="BQ65" s="11" t="e">
        <f ca="1">IF(History!BU$2="","",#REF!*$C$65)</f>
        <v>#REF!</v>
      </c>
      <c r="BR65" s="11" t="e">
        <f ca="1">IF(History!BV$2="","",#REF!*$C$65)</f>
        <v>#REF!</v>
      </c>
      <c r="BS65" s="11" t="e">
        <f ca="1">IF(History!BW$2="","",#REF!*$C$65)</f>
        <v>#REF!</v>
      </c>
      <c r="BT65" s="11" t="e">
        <f ca="1">IF(History!BX$2="","",#REF!*$C$65)</f>
        <v>#REF!</v>
      </c>
      <c r="BU65" s="11" t="e">
        <f ca="1">IF(History!BY$2="","",#REF!*$C$65)</f>
        <v>#REF!</v>
      </c>
      <c r="BV65" s="11" t="e">
        <f ca="1">IF(History!BZ$2="","",#REF!*$C$65)</f>
        <v>#REF!</v>
      </c>
      <c r="BW65" s="11" t="e">
        <f ca="1">IF(History!CA$2="","",#REF!*$C$65)</f>
        <v>#REF!</v>
      </c>
      <c r="BX65" s="11" t="e">
        <f ca="1">IF(History!CB$2="","",#REF!*$C$65)</f>
        <v>#REF!</v>
      </c>
      <c r="BY65" s="11" t="e">
        <f ca="1">IF(History!CC$2="","",#REF!*$C$65)</f>
        <v>#REF!</v>
      </c>
      <c r="BZ65" s="11" t="e">
        <f ca="1">IF(History!CD$2="","",#REF!*$C$65)</f>
        <v>#REF!</v>
      </c>
      <c r="CA65" s="11" t="e">
        <f ca="1">IF(History!CE$2="","",#REF!*$C$65)</f>
        <v>#REF!</v>
      </c>
      <c r="CB65" s="11" t="e">
        <f ca="1">IF(History!CF$2="","",#REF!*$C$65)</f>
        <v>#REF!</v>
      </c>
      <c r="CC65" s="11" t="e">
        <f ca="1">IF(History!CG$2="","",#REF!*$C$65)</f>
        <v>#REF!</v>
      </c>
      <c r="CD65" s="11" t="e">
        <f ca="1">IF(History!CH$2="","",#REF!*$C$65)</f>
        <v>#REF!</v>
      </c>
      <c r="CE65" s="11" t="e">
        <f ca="1">IF(History!CI$2="","",#REF!*$C$65)</f>
        <v>#REF!</v>
      </c>
      <c r="CF65" s="11" t="str">
        <f ca="1">IF(History!CJ$2="","",#REF!*$C$65)</f>
        <v/>
      </c>
      <c r="CG65" s="11" t="str">
        <f ca="1">IF(History!CK$2="","",#REF!*$C$65)</f>
        <v/>
      </c>
      <c r="CH65" s="11" t="str">
        <f ca="1">IF(History!CL$2="","",#REF!*$C$65)</f>
        <v/>
      </c>
      <c r="CI65" s="11" t="str">
        <f ca="1">IF(History!CM$2="","",#REF!*$C$65)</f>
        <v/>
      </c>
      <c r="CJ65" s="11" t="str">
        <f ca="1">IF(History!CN$2="","",#REF!*$C$65)</f>
        <v/>
      </c>
      <c r="CK65" s="11" t="str">
        <f ca="1">IF(History!CO$2="","",#REF!*$C$65)</f>
        <v/>
      </c>
      <c r="CL65" s="11" t="str">
        <f ca="1">IF(History!CP$2="","",#REF!*$C$65)</f>
        <v/>
      </c>
      <c r="CM65" s="11" t="str">
        <f ca="1">IF(History!CQ$2="","",#REF!*$C$65)</f>
        <v/>
      </c>
      <c r="CN65" s="11" t="str">
        <f ca="1">IF(History!CR$2="","",#REF!*$C$65)</f>
        <v/>
      </c>
      <c r="CO65" s="11" t="str">
        <f ca="1">IF(History!CS$2="","",#REF!*$C$65)</f>
        <v/>
      </c>
      <c r="CP65" s="11" t="str">
        <f ca="1">IF(History!CT$2="","",#REF!*$C$65)</f>
        <v/>
      </c>
      <c r="CQ65" s="11" t="str">
        <f ca="1">IF(History!CU$2="","",#REF!*$C$65)</f>
        <v/>
      </c>
      <c r="CR65" s="11" t="str">
        <f ca="1">IF(History!CV$2="","",#REF!*$C$65)</f>
        <v/>
      </c>
      <c r="CS65" s="11" t="str">
        <f ca="1">IF(History!CW$2="","",#REF!*$C$65)</f>
        <v/>
      </c>
      <c r="CT65" s="11" t="str">
        <f ca="1">IF(History!CX$2="","",#REF!*$C$65)</f>
        <v/>
      </c>
      <c r="CU65" s="11" t="str">
        <f ca="1">IF(History!CY$2="","",#REF!*$C$65)</f>
        <v/>
      </c>
      <c r="CV65" s="11" t="str">
        <f ca="1">IF(History!CZ$2="","",#REF!*$C$65)</f>
        <v/>
      </c>
      <c r="CW65" s="11" t="str">
        <f ca="1">IF(History!DA$2="","",#REF!*$C$65)</f>
        <v/>
      </c>
      <c r="CX65" s="11" t="str">
        <f ca="1">IF(History!DB$2="","",#REF!*$C$65)</f>
        <v/>
      </c>
      <c r="CY65" s="11" t="str">
        <f ca="1">IF(History!DC$2="","",#REF!*$C$65)</f>
        <v/>
      </c>
      <c r="CZ65" s="11" t="str">
        <f ca="1">IF(History!DD$2="","",#REF!*$C$65)</f>
        <v/>
      </c>
      <c r="DA65" s="11" t="str">
        <f ca="1">IF(History!DE$2="","",#REF!*$C$65)</f>
        <v/>
      </c>
      <c r="DB65" s="11" t="str">
        <f ca="1">IF(History!DF$2="","",#REF!*$C$65)</f>
        <v/>
      </c>
      <c r="DC65" s="11" t="str">
        <f ca="1">IF(History!DG$2="","",#REF!*$C$65)</f>
        <v/>
      </c>
      <c r="DD65" s="11" t="str">
        <f ca="1">IF(History!DH$2="","",#REF!*$C$65)</f>
        <v/>
      </c>
      <c r="DE65" s="11" t="str">
        <f ca="1">IF(History!DI$2="","",#REF!*$C$65)</f>
        <v/>
      </c>
      <c r="DF65" s="11" t="str">
        <f ca="1">IF(History!DJ$2="","",#REF!*$C$65)</f>
        <v/>
      </c>
      <c r="DG65" s="11" t="str">
        <f ca="1">IF(History!DK$2="","",#REF!*$C$65)</f>
        <v/>
      </c>
      <c r="DH65" s="11" t="str">
        <f ca="1">IF(History!DL$2="","",#REF!*$C$65)</f>
        <v/>
      </c>
      <c r="DI65" s="11" t="str">
        <f ca="1">IF(History!DM$2="","",#REF!*$C$65)</f>
        <v/>
      </c>
      <c r="DJ65" s="11" t="str">
        <f ca="1">IF(History!DN$2="","",#REF!*$C$65)</f>
        <v/>
      </c>
      <c r="DK65" s="11" t="str">
        <f ca="1">IF(History!DO$2="","",#REF!*$C$65)</f>
        <v/>
      </c>
      <c r="DL65" s="11" t="str">
        <f ca="1">IF(History!DP$2="","",#REF!*$C$65)</f>
        <v/>
      </c>
      <c r="DM65" s="11" t="str">
        <f ca="1">IF(History!DQ$2="","",#REF!*$C$65)</f>
        <v/>
      </c>
      <c r="DN65" s="11" t="str">
        <f ca="1">IF(History!DR$2="","",#REF!*$C$65)</f>
        <v/>
      </c>
      <c r="DO65" s="11" t="str">
        <f ca="1">IF(History!DS$2="","",#REF!*$C$65)</f>
        <v/>
      </c>
      <c r="DP65" s="11" t="str">
        <f ca="1">IF(History!DT$2="","",#REF!*$C$65)</f>
        <v/>
      </c>
      <c r="DQ65" s="11" t="str">
        <f ca="1">IF(History!DU$2="","",#REF!*$C$65)</f>
        <v/>
      </c>
      <c r="DR65" s="11" t="str">
        <f ca="1">IF(History!DV$2="","",#REF!*$C$65)</f>
        <v/>
      </c>
      <c r="DS65" s="11" t="str">
        <f ca="1">IF(History!DW$2="","",#REF!*$C$65)</f>
        <v/>
      </c>
      <c r="DT65" s="11" t="str">
        <f ca="1">IF(History!DX$2="","",#REF!*$C$65)</f>
        <v/>
      </c>
      <c r="DU65" s="11" t="str">
        <f ca="1">IF(History!DY$2="","",#REF!*$C$65)</f>
        <v/>
      </c>
      <c r="DV65" s="11" t="str">
        <f ca="1">IF(History!DZ$2="","",#REF!*$C$65)</f>
        <v/>
      </c>
      <c r="DW65" s="11" t="str">
        <f ca="1">IF(History!EA$2="","",#REF!*$C$65)</f>
        <v/>
      </c>
      <c r="DX65" s="11" t="str">
        <f ca="1">IF(History!EB$2="","",#REF!*$C$65)</f>
        <v/>
      </c>
      <c r="DY65" s="11" t="str">
        <f ca="1">IF(History!EC$2="","",#REF!*$C$65)</f>
        <v/>
      </c>
      <c r="DZ65" s="11" t="str">
        <f ca="1">IF(History!ED$2="","",#REF!*$C$65)</f>
        <v/>
      </c>
      <c r="EA65" s="11" t="str">
        <f ca="1">IF(History!EE$2="","",#REF!*$C$65)</f>
        <v/>
      </c>
      <c r="EB65" s="11" t="str">
        <f ca="1">IF(History!EF$2="","",#REF!*$C$65)</f>
        <v/>
      </c>
      <c r="EC65" s="11" t="str">
        <f ca="1">IF(History!EG$2="","",#REF!*$C$65)</f>
        <v/>
      </c>
      <c r="ED65" s="11" t="str">
        <f ca="1">IF(History!EH$2="","",#REF!*$C$65)</f>
        <v/>
      </c>
      <c r="EE65" s="11" t="str">
        <f ca="1">IF(History!EI$2="","",#REF!*$C$65)</f>
        <v/>
      </c>
      <c r="EF65" s="11" t="str">
        <f ca="1">IF(History!EJ$2="","",#REF!*$C$65)</f>
        <v/>
      </c>
      <c r="EG65" s="11" t="str">
        <f ca="1">IF(History!EK$2="","",#REF!*$C$65)</f>
        <v/>
      </c>
      <c r="EH65" s="11" t="str">
        <f ca="1">IF(History!EL$2="","",#REF!*$C$65)</f>
        <v/>
      </c>
      <c r="EI65" s="11" t="str">
        <f ca="1">IF(History!EM$2="","",#REF!*$C$65)</f>
        <v/>
      </c>
      <c r="EJ65" s="11" t="str">
        <f ca="1">IF(History!EN$2="","",#REF!*$C$65)</f>
        <v/>
      </c>
      <c r="EK65" s="11" t="str">
        <f ca="1">IF(History!EO$2="","",#REF!*$C$65)</f>
        <v/>
      </c>
      <c r="EL65" s="11" t="str">
        <f ca="1">IF(History!EP$2="","",#REF!*$C$65)</f>
        <v/>
      </c>
      <c r="EM65" s="11" t="str">
        <f ca="1">IF(History!EQ$2="","",#REF!*$C$65)</f>
        <v/>
      </c>
      <c r="EN65" s="11" t="str">
        <f ca="1">IF(History!ER$2="","",#REF!*$C$65)</f>
        <v/>
      </c>
      <c r="EO65" s="11" t="str">
        <f ca="1">IF(History!ES$2="","",#REF!*$C$65)</f>
        <v/>
      </c>
      <c r="EP65" s="11" t="str">
        <f ca="1">IF(History!ET$2="","",#REF!*$C$65)</f>
        <v/>
      </c>
      <c r="EQ65" s="11" t="str">
        <f ca="1">IF(History!EU$2="","",#REF!*$C$65)</f>
        <v/>
      </c>
      <c r="ER65" s="11" t="str">
        <f ca="1">IF(History!EV$2="","",#REF!*$C$65)</f>
        <v/>
      </c>
      <c r="ES65" s="11" t="str">
        <f ca="1">IF(History!EW$2="","",#REF!*$C$65)</f>
        <v/>
      </c>
      <c r="ET65" s="11" t="str">
        <f ca="1">IF(History!EX$2="","",#REF!*$C$65)</f>
        <v/>
      </c>
      <c r="EU65" s="11" t="str">
        <f ca="1">IF(History!EY$2="","",#REF!*$C$65)</f>
        <v/>
      </c>
      <c r="EV65" s="11" t="str">
        <f ca="1">IF(History!EZ$2="","",#REF!*$C$65)</f>
        <v/>
      </c>
      <c r="EW65" s="11" t="str">
        <f ca="1">IF(History!FA$2="","",#REF!*$C$65)</f>
        <v/>
      </c>
      <c r="EX65" s="11" t="str">
        <f ca="1">IF(History!FB$2="","",#REF!*$C$65)</f>
        <v/>
      </c>
      <c r="EY65" s="11" t="str">
        <f ca="1">IF(History!FC$2="","",#REF!*$C$65)</f>
        <v/>
      </c>
      <c r="EZ65" s="11" t="str">
        <f ca="1">IF(History!FD$2="","",#REF!*$C$65)</f>
        <v/>
      </c>
      <c r="FA65" s="11" t="str">
        <f ca="1">IF(History!FE$2="","",#REF!*$C$65)</f>
        <v/>
      </c>
      <c r="FB65" s="11" t="str">
        <f ca="1">IF(History!FF$2="","",#REF!*$C$65)</f>
        <v/>
      </c>
      <c r="FC65" s="11" t="str">
        <f ca="1">IF(History!FG$2="","",#REF!*$C$65)</f>
        <v/>
      </c>
      <c r="FD65" s="11" t="str">
        <f ca="1">IF(History!FH$2="","",#REF!*$C$65)</f>
        <v/>
      </c>
      <c r="FE65" s="11" t="str">
        <f ca="1">IF(History!FI$2="","",#REF!*$C$65)</f>
        <v/>
      </c>
      <c r="FF65" s="11" t="str">
        <f ca="1">IF(History!FJ$2="","",#REF!*$C$65)</f>
        <v/>
      </c>
      <c r="FG65" s="11" t="str">
        <f ca="1">IF(History!FK$2="","",#REF!*$C$65)</f>
        <v/>
      </c>
      <c r="FH65" s="11" t="str">
        <f ca="1">IF(History!FL$2="","",#REF!*$C$65)</f>
        <v/>
      </c>
      <c r="FI65" s="11" t="str">
        <f ca="1">IF(History!FM$2="","",#REF!*$C$65)</f>
        <v/>
      </c>
      <c r="FJ65" s="11" t="str">
        <f ca="1">IF(History!FN$2="","",#REF!*$C$65)</f>
        <v/>
      </c>
      <c r="FK65" s="11" t="str">
        <f ca="1">IF(History!FO$2="","",#REF!*$C$65)</f>
        <v/>
      </c>
      <c r="FL65" s="11" t="str">
        <f ca="1">IF(History!FP$2="","",#REF!*$C$65)</f>
        <v/>
      </c>
      <c r="FM65" s="11" t="str">
        <f ca="1">IF(History!FQ$2="","",#REF!*$C$65)</f>
        <v/>
      </c>
      <c r="FN65" s="11" t="str">
        <f ca="1">IF(History!FR$2="","",#REF!*$C$65)</f>
        <v/>
      </c>
      <c r="FO65" s="11" t="str">
        <f ca="1">IF(History!FS$2="","",#REF!*$C$65)</f>
        <v/>
      </c>
      <c r="FP65" s="11" t="str">
        <f ca="1">IF(History!FT$2="","",#REF!*$C$65)</f>
        <v/>
      </c>
      <c r="FQ65" s="11" t="str">
        <f ca="1">IF(History!FU$2="","",#REF!*$C$65)</f>
        <v/>
      </c>
      <c r="FR65" s="11" t="str">
        <f ca="1">IF(History!FV$2="","",#REF!*$C$65)</f>
        <v/>
      </c>
      <c r="FS65" s="11" t="str">
        <f ca="1">IF(History!FW$2="","",#REF!*$C$65)</f>
        <v/>
      </c>
      <c r="FT65" s="11" t="str">
        <f ca="1">IF(History!FX$2="","",#REF!*$C$65)</f>
        <v/>
      </c>
      <c r="FU65" s="11" t="str">
        <f ca="1">IF(History!FY$2="","",#REF!*$C$65)</f>
        <v/>
      </c>
      <c r="FV65" s="11" t="str">
        <f ca="1">IF(History!FZ$2="","",#REF!*$C$65)</f>
        <v/>
      </c>
      <c r="FW65" s="11" t="str">
        <f ca="1">IF(History!GA$2="","",#REF!*$C$65)</f>
        <v/>
      </c>
      <c r="FX65" s="11" t="str">
        <f ca="1">IF(History!GB$2="","",#REF!*$C$65)</f>
        <v/>
      </c>
      <c r="FY65" s="11" t="str">
        <f ca="1">IF(History!GC$2="","",#REF!*$C$65)</f>
        <v/>
      </c>
      <c r="FZ65" s="11" t="str">
        <f ca="1">IF(History!GD$2="","",#REF!*$C$65)</f>
        <v/>
      </c>
      <c r="GA65" s="11" t="str">
        <f ca="1">IF(History!GE$2="","",#REF!*$C$65)</f>
        <v/>
      </c>
      <c r="GB65" s="11" t="str">
        <f ca="1">IF(History!GF$2="","",#REF!*$C$65)</f>
        <v/>
      </c>
      <c r="GC65" s="11" t="str">
        <f ca="1">IF(History!GG$2="","",#REF!*$C$65)</f>
        <v/>
      </c>
      <c r="GD65" s="11" t="str">
        <f ca="1">IF(History!GH$2="","",#REF!*$C$65)</f>
        <v/>
      </c>
      <c r="GE65" s="11" t="str">
        <f ca="1">IF(History!GI$2="","",#REF!*$C$65)</f>
        <v/>
      </c>
      <c r="GF65" s="11" t="str">
        <f ca="1">IF(History!GJ$2="","",#REF!*$C$65)</f>
        <v/>
      </c>
      <c r="GG65" s="11" t="str">
        <f ca="1">IF(History!GK$2="","",#REF!*$C$65)</f>
        <v/>
      </c>
      <c r="GH65" s="11" t="str">
        <f ca="1">IF(History!GL$2="","",#REF!*$C$65)</f>
        <v/>
      </c>
      <c r="GI65" s="11" t="str">
        <f ca="1">IF(History!GM$2="","",#REF!*$C$65)</f>
        <v/>
      </c>
      <c r="GJ65" s="11" t="str">
        <f ca="1">IF(History!GN$2="","",#REF!*$C$65)</f>
        <v/>
      </c>
      <c r="GK65" s="11" t="str">
        <f ca="1">IF(History!GO$2="","",#REF!*$C$65)</f>
        <v/>
      </c>
      <c r="GL65" s="11" t="str">
        <f ca="1">IF(History!GP$2="","",#REF!*$C$65)</f>
        <v/>
      </c>
      <c r="GM65" s="11" t="str">
        <f ca="1">IF(History!GQ$2="","",#REF!*$C$65)</f>
        <v/>
      </c>
      <c r="GN65" s="11" t="str">
        <f ca="1">IF(History!GR$2="","",#REF!*$C$65)</f>
        <v/>
      </c>
      <c r="GO65" s="11" t="str">
        <f ca="1">IF(History!GS$2="","",#REF!*$C$65)</f>
        <v/>
      </c>
      <c r="GP65" s="11" t="str">
        <f ca="1">IF(History!GT$2="","",#REF!*$C$65)</f>
        <v/>
      </c>
      <c r="GQ65" s="11" t="str">
        <f ca="1">IF(History!GU$2="","",#REF!*$C$65)</f>
        <v/>
      </c>
      <c r="GR65" s="11" t="str">
        <f ca="1">IF(History!GV$2="","",#REF!*$C$65)</f>
        <v/>
      </c>
      <c r="GS65" s="11" t="str">
        <f ca="1">IF(History!GW$2="","",#REF!*$C$65)</f>
        <v/>
      </c>
      <c r="GT65" s="11" t="str">
        <f ca="1">IF(History!GX$2="","",#REF!*$C$65)</f>
        <v/>
      </c>
      <c r="GU65" s="11" t="str">
        <f ca="1">IF(History!GY$2="","",#REF!*$C$65)</f>
        <v/>
      </c>
      <c r="GV65" s="11" t="str">
        <f ca="1">IF(History!GZ$2="","",#REF!*$C$65)</f>
        <v/>
      </c>
      <c r="GW65" s="11" t="str">
        <f ca="1">IF(History!HA$2="","",#REF!*$C$65)</f>
        <v/>
      </c>
      <c r="GX65" s="11" t="str">
        <f ca="1">IF(History!HB$2="","",#REF!*$C$65)</f>
        <v/>
      </c>
      <c r="GY65" s="11" t="str">
        <f ca="1">IF(History!HC$2="","",#REF!*$C$65)</f>
        <v/>
      </c>
      <c r="GZ65" s="11" t="str">
        <f ca="1">IF(History!HD$2="","",#REF!*$C$65)</f>
        <v/>
      </c>
      <c r="HA65" s="11" t="str">
        <f ca="1">IF(History!HE$2="","",#REF!*$C$65)</f>
        <v/>
      </c>
      <c r="HB65" s="11" t="str">
        <f ca="1">IF(History!HF$2="","",#REF!*$C$65)</f>
        <v/>
      </c>
      <c r="HC65" s="11" t="str">
        <f ca="1">IF(History!HG$2="","",#REF!*$C$65)</f>
        <v/>
      </c>
      <c r="HD65" s="11" t="str">
        <f ca="1">IF(History!HH$2="","",#REF!*$C$65)</f>
        <v/>
      </c>
      <c r="HE65" s="11" t="str">
        <f ca="1">IF(History!HI$2="","",#REF!*$C$65)</f>
        <v/>
      </c>
      <c r="HF65" s="11" t="str">
        <f ca="1">IF(History!HJ$2="","",#REF!*$C$65)</f>
        <v/>
      </c>
      <c r="HG65" s="11" t="str">
        <f ca="1">IF(History!HK$2="","",#REF!*$C$65)</f>
        <v/>
      </c>
      <c r="HH65" s="11" t="str">
        <f ca="1">IF(History!HL$2="","",#REF!*$C$65)</f>
        <v/>
      </c>
      <c r="HI65" s="11" t="str">
        <f ca="1">IF(History!HM$2="","",#REF!*$C$65)</f>
        <v/>
      </c>
      <c r="HJ65" s="11" t="str">
        <f ca="1">IF(History!HN$2="","",#REF!*$C$65)</f>
        <v/>
      </c>
      <c r="HK65" s="11" t="str">
        <f ca="1">IF(History!HO$2="","",#REF!*$C$65)</f>
        <v/>
      </c>
      <c r="HL65" s="11" t="str">
        <f ca="1">IF(History!HP$2="","",#REF!*$C$65)</f>
        <v/>
      </c>
      <c r="HM65" s="11" t="str">
        <f ca="1">IF(History!HQ$2="","",#REF!*$C$65)</f>
        <v/>
      </c>
      <c r="HN65" s="11" t="str">
        <f ca="1">IF(History!HR$2="","",#REF!*$C$65)</f>
        <v/>
      </c>
      <c r="HO65" s="11" t="str">
        <f ca="1">IF(History!HS$2="","",#REF!*$C$65)</f>
        <v/>
      </c>
      <c r="HP65" s="11" t="str">
        <f ca="1">IF(History!HT$2="","",#REF!*$C$65)</f>
        <v/>
      </c>
      <c r="HQ65" s="11" t="str">
        <f ca="1">IF(History!HU$2="","",#REF!*$C$65)</f>
        <v/>
      </c>
      <c r="HR65" s="11" t="str">
        <f ca="1">IF(History!HV$2="","",#REF!*$C$65)</f>
        <v/>
      </c>
      <c r="HS65" s="11" t="str">
        <f ca="1">IF(History!HW$2="","",#REF!*$C$65)</f>
        <v/>
      </c>
      <c r="HT65" s="11" t="str">
        <f ca="1">IF(History!HX$2="","",#REF!*$C$65)</f>
        <v/>
      </c>
      <c r="HU65" s="11" t="str">
        <f ca="1">IF(History!HY$2="","",#REF!*$C$65)</f>
        <v/>
      </c>
      <c r="HV65" s="11" t="str">
        <f ca="1">IF(History!HZ$2="","",#REF!*$C$65)</f>
        <v/>
      </c>
      <c r="HW65" s="11" t="str">
        <f ca="1">IF(History!IA$2="","",#REF!*$C$65)</f>
        <v/>
      </c>
      <c r="HX65" s="11" t="str">
        <f ca="1">IF(History!IB$2="","",#REF!*$C$65)</f>
        <v/>
      </c>
      <c r="HY65" s="11" t="str">
        <f ca="1">IF(History!IC$2="","",#REF!*$C$65)</f>
        <v/>
      </c>
      <c r="HZ65" s="11" t="str">
        <f ca="1">IF(History!ID$2="","",#REF!*$C$65)</f>
        <v/>
      </c>
      <c r="IA65" s="11" t="str">
        <f ca="1">IF(History!IE$2="","",#REF!*$C$65)</f>
        <v/>
      </c>
      <c r="IB65" s="11" t="str">
        <f ca="1">IF(History!IF$2="","",#REF!*$C$65)</f>
        <v/>
      </c>
      <c r="IC65" s="11" t="str">
        <f ca="1">IF(History!IG$2="","",#REF!*$C$65)</f>
        <v/>
      </c>
      <c r="ID65" s="11" t="str">
        <f ca="1">IF(History!IH$2="","",#REF!*$C$65)</f>
        <v/>
      </c>
      <c r="IE65" s="11" t="str">
        <f ca="1">IF(History!II$2="","",#REF!*$C$65)</f>
        <v/>
      </c>
      <c r="IF65" s="11" t="str">
        <f ca="1">IF(History!IJ$2="","",#REF!*$C$65)</f>
        <v/>
      </c>
      <c r="IG65" s="11" t="str">
        <f ca="1">IF(History!IK$2="","",#REF!*$C$65)</f>
        <v/>
      </c>
      <c r="IH65" s="11" t="str">
        <f ca="1">IF(History!IL$2="","",#REF!*$C$65)</f>
        <v/>
      </c>
      <c r="II65" s="11" t="str">
        <f ca="1">IF(History!IM$2="","",#REF!*$C$65)</f>
        <v/>
      </c>
      <c r="IJ65" s="11" t="str">
        <f ca="1">IF(History!IN$2="","",#REF!*$C$65)</f>
        <v/>
      </c>
      <c r="IK65" s="11" t="str">
        <f ca="1">IF(History!IO$2="","",#REF!*$C$65)</f>
        <v/>
      </c>
      <c r="IL65" s="11" t="str">
        <f ca="1">IF(History!IP$2="","",#REF!*$C$65)</f>
        <v/>
      </c>
      <c r="IM65" s="11" t="str">
        <f ca="1">IF(History!IQ$2="","",#REF!*$C$65)</f>
        <v/>
      </c>
      <c r="IN65" s="11" t="str">
        <f ca="1">IF(History!IR$2="","",#REF!*$C$65)</f>
        <v/>
      </c>
      <c r="IO65" s="11" t="str">
        <f ca="1">IF(History!IS$2="","",#REF!*$C$65)</f>
        <v/>
      </c>
      <c r="IP65" s="11" t="str">
        <f ca="1">IF(History!IT$2="","",#REF!*$C$65)</f>
        <v/>
      </c>
      <c r="IQ65" s="11" t="str">
        <f ca="1">IF(History!IU$2="","",#REF!*$C$65)</f>
        <v/>
      </c>
      <c r="IR65" s="11" t="str">
        <f ca="1">IF(History!IV$2="","",#REF!*$C$65)</f>
        <v/>
      </c>
      <c r="IS65" s="11" t="str">
        <f ca="1">IF(History!IW$2="","",#REF!*$C$65)</f>
        <v/>
      </c>
      <c r="IT65" s="11" t="str">
        <f ca="1">IF(History!IX$2="","",#REF!*$C$65)</f>
        <v/>
      </c>
      <c r="IU65" s="11" t="str">
        <f ca="1">IF(History!IY$2="","",#REF!*$C$65)</f>
        <v/>
      </c>
      <c r="IV65" s="11" t="str">
        <f ca="1">IF(History!IZ$2="","",#REF!*$C$65)</f>
        <v/>
      </c>
      <c r="IW65" s="11" t="str">
        <f ca="1">IF(History!JA$2="","",#REF!*$C$65)</f>
        <v/>
      </c>
      <c r="IX65" s="11" t="str">
        <f ca="1">IF(History!JB$2="","",#REF!*$C$65)</f>
        <v/>
      </c>
      <c r="IY65" s="11" t="str">
        <f ca="1">IF(History!JC$2="","",#REF!*$C$65)</f>
        <v/>
      </c>
      <c r="IZ65" s="11" t="str">
        <f ca="1">IF(History!JD$2="","",#REF!*$C$65)</f>
        <v/>
      </c>
      <c r="JA65" s="11" t="str">
        <f ca="1">IF(History!JE$2="","",#REF!*$C$65)</f>
        <v/>
      </c>
      <c r="JB65" s="11" t="str">
        <f ca="1">IF(History!JF$2="","",#REF!*$C$65)</f>
        <v/>
      </c>
      <c r="JC65" s="11" t="str">
        <f ca="1">IF(History!JG$2="","",#REF!*$C$65)</f>
        <v/>
      </c>
      <c r="JD65" s="11" t="str">
        <f ca="1">IF(History!JH$2="","",#REF!*$C$65)</f>
        <v/>
      </c>
      <c r="JE65" s="11" t="str">
        <f ca="1">IF(History!JI$2="","",#REF!*$C$65)</f>
        <v/>
      </c>
      <c r="JF65" s="11" t="str">
        <f ca="1">IF(History!JJ$2="","",#REF!*$C$65)</f>
        <v/>
      </c>
      <c r="JG65" s="11" t="str">
        <f ca="1">IF(History!JK$2="","",#REF!*$C$65)</f>
        <v/>
      </c>
      <c r="JH65" s="11" t="str">
        <f ca="1">IF(History!JL$2="","",#REF!*$C$65)</f>
        <v/>
      </c>
      <c r="JI65" s="11" t="str">
        <f ca="1">IF(History!JM$2="","",#REF!*$C$65)</f>
        <v/>
      </c>
      <c r="JJ65" s="11" t="str">
        <f ca="1">IF(History!JN$2="","",#REF!*$C$65)</f>
        <v/>
      </c>
      <c r="JK65" s="11" t="str">
        <f ca="1">IF(History!JO$2="","",#REF!*$C$65)</f>
        <v/>
      </c>
      <c r="JL65" s="11" t="str">
        <f ca="1">IF(History!JP$2="","",#REF!*$C$65)</f>
        <v/>
      </c>
      <c r="JM65" s="11" t="str">
        <f ca="1">IF(History!JQ$2="","",#REF!*$C$65)</f>
        <v/>
      </c>
      <c r="JN65" s="11" t="str">
        <f ca="1">IF(History!JR$2="","",#REF!*$C$65)</f>
        <v/>
      </c>
      <c r="JO65" s="11" t="str">
        <f ca="1">IF(History!JS$2="","",#REF!*$C$65)</f>
        <v/>
      </c>
      <c r="JP65" s="11" t="str">
        <f ca="1">IF(History!JT$2="","",#REF!*$C$65)</f>
        <v/>
      </c>
      <c r="JQ65" s="11" t="str">
        <f ca="1">IF(History!JU$2="","",#REF!*$C$65)</f>
        <v/>
      </c>
      <c r="JR65" s="11" t="str">
        <f ca="1">IF(History!JV$2="","",#REF!*$C$65)</f>
        <v/>
      </c>
      <c r="JS65" s="11" t="str">
        <f ca="1">IF(History!JW$2="","",#REF!*$C$65)</f>
        <v/>
      </c>
      <c r="JT65" s="11" t="str">
        <f ca="1">IF(History!JX$2="","",#REF!*$C$65)</f>
        <v/>
      </c>
      <c r="JU65" s="11" t="str">
        <f ca="1">IF(History!JY$2="","",#REF!*$C$65)</f>
        <v/>
      </c>
      <c r="JV65" s="11" t="str">
        <f ca="1">IF(History!JZ$2="","",#REF!*$C$65)</f>
        <v/>
      </c>
      <c r="JW65" s="11" t="str">
        <f ca="1">IF(History!KA$2="","",#REF!*$C$65)</f>
        <v/>
      </c>
      <c r="JX65" s="11" t="str">
        <f ca="1">IF(History!KB$2="","",#REF!*$C$65)</f>
        <v/>
      </c>
      <c r="JY65" s="11" t="str">
        <f ca="1">IF(History!KC$2="","",#REF!*$C$65)</f>
        <v/>
      </c>
      <c r="JZ65" s="11" t="str">
        <f ca="1">IF(History!KD$2="","",#REF!*$C$65)</f>
        <v/>
      </c>
      <c r="KA65" s="11" t="str">
        <f ca="1">IF(History!KE$2="","",#REF!*$C$65)</f>
        <v/>
      </c>
      <c r="KB65" s="11" t="str">
        <f ca="1">IF(History!KF$2="","",#REF!*$C$65)</f>
        <v/>
      </c>
    </row>
    <row r="66" spans="1:288" ht="13">
      <c r="A66" s="18" t="s">
        <v>140</v>
      </c>
      <c r="B66" s="6" t="s">
        <v>145</v>
      </c>
      <c r="C66" s="26">
        <v>210</v>
      </c>
      <c r="D66" s="11" t="e">
        <f ca="1">IF(History!H$2="","",#REF!*$C$66)</f>
        <v>#REF!</v>
      </c>
      <c r="E66" s="11" t="e">
        <f ca="1">IF(History!I$2="","",#REF!*$C$66)</f>
        <v>#REF!</v>
      </c>
      <c r="F66" s="11" t="e">
        <f ca="1">IF(History!J$2="","",#REF!*$C$66)</f>
        <v>#REF!</v>
      </c>
      <c r="G66" s="11" t="e">
        <f ca="1">IF(History!K$2="","",#REF!*$C$66)</f>
        <v>#REF!</v>
      </c>
      <c r="H66" s="11" t="e">
        <f ca="1">IF(History!L$2="","",#REF!*$C$66)</f>
        <v>#REF!</v>
      </c>
      <c r="I66" s="11" t="e">
        <f ca="1">IF(History!M$2="","",#REF!*$C$66)</f>
        <v>#REF!</v>
      </c>
      <c r="J66" s="11" t="e">
        <f ca="1">IF(History!N$2="","",#REF!*$C$66)</f>
        <v>#REF!</v>
      </c>
      <c r="K66" s="11" t="e">
        <f ca="1">IF(History!O$2="","",#REF!*$C$66)</f>
        <v>#REF!</v>
      </c>
      <c r="L66" s="11" t="e">
        <f ca="1">IF(History!P$2="","",#REF!*$C$66)</f>
        <v>#REF!</v>
      </c>
      <c r="M66" s="11" t="e">
        <f ca="1">IF(History!Q$2="","",#REF!*$C$66)</f>
        <v>#REF!</v>
      </c>
      <c r="N66" s="11" t="e">
        <f ca="1">IF(History!R$2="","",#REF!*$C$66)</f>
        <v>#REF!</v>
      </c>
      <c r="O66" s="11" t="e">
        <f ca="1">IF(History!S$2="","",#REF!*$C$66)</f>
        <v>#REF!</v>
      </c>
      <c r="P66" s="11" t="e">
        <f ca="1">IF(History!T$2="","",#REF!*$C$66)</f>
        <v>#REF!</v>
      </c>
      <c r="Q66" s="11" t="e">
        <f ca="1">IF(History!U$2="","",#REF!*$C$66)</f>
        <v>#REF!</v>
      </c>
      <c r="R66" s="11" t="e">
        <f ca="1">IF(History!V$2="","",#REF!*$C$66)</f>
        <v>#REF!</v>
      </c>
      <c r="S66" s="11" t="e">
        <f ca="1">IF(History!W$2="","",#REF!*$C$66)</f>
        <v>#REF!</v>
      </c>
      <c r="T66" s="11" t="e">
        <f ca="1">IF(History!X$2="","",#REF!*$C$66)</f>
        <v>#REF!</v>
      </c>
      <c r="U66" s="11" t="e">
        <f ca="1">IF(History!Y$2="","",#REF!*$C$66)</f>
        <v>#REF!</v>
      </c>
      <c r="V66" s="11" t="e">
        <f ca="1">IF(History!Z$2="","",#REF!*$C$66)</f>
        <v>#REF!</v>
      </c>
      <c r="W66" s="11" t="e">
        <f ca="1">IF(History!AA$2="","",#REF!*$C$66)</f>
        <v>#REF!</v>
      </c>
      <c r="X66" s="11" t="e">
        <f ca="1">IF(History!AB$2="","",#REF!*$C$66)</f>
        <v>#REF!</v>
      </c>
      <c r="Y66" s="11" t="e">
        <f ca="1">IF(History!AC$2="","",#REF!*$C$66)</f>
        <v>#REF!</v>
      </c>
      <c r="Z66" s="11" t="e">
        <f ca="1">IF(History!AD$2="","",#REF!*$C$66)</f>
        <v>#REF!</v>
      </c>
      <c r="AA66" s="11" t="e">
        <f ca="1">IF(History!AE$2="","",#REF!*$C$66)</f>
        <v>#REF!</v>
      </c>
      <c r="AB66" s="11" t="e">
        <f ca="1">IF(History!AF$2="","",#REF!*$C$66)</f>
        <v>#REF!</v>
      </c>
      <c r="AC66" s="11" t="e">
        <f ca="1">IF(History!AG$2="","",#REF!*$C$66)</f>
        <v>#REF!</v>
      </c>
      <c r="AD66" s="11" t="e">
        <f ca="1">IF(History!AH$2="","",#REF!*$C$66)</f>
        <v>#REF!</v>
      </c>
      <c r="AE66" s="11" t="e">
        <f ca="1">IF(History!AI$2="","",#REF!*$C$66)</f>
        <v>#REF!</v>
      </c>
      <c r="AF66" s="11" t="e">
        <f ca="1">IF(History!AJ$2="","",#REF!*$C$66)</f>
        <v>#REF!</v>
      </c>
      <c r="AG66" s="11" t="e">
        <f ca="1">IF(History!AK$2="","",#REF!*$C$66)</f>
        <v>#REF!</v>
      </c>
      <c r="AH66" s="11" t="e">
        <f ca="1">IF(History!AL$2="","",#REF!*$C$66)</f>
        <v>#REF!</v>
      </c>
      <c r="AI66" s="11" t="e">
        <f ca="1">IF(History!AM$2="","",#REF!*$C$66)</f>
        <v>#REF!</v>
      </c>
      <c r="AJ66" s="11" t="e">
        <f ca="1">IF(History!AN$2="","",#REF!*$C$66)</f>
        <v>#REF!</v>
      </c>
      <c r="AK66" s="11" t="e">
        <f ca="1">IF(History!AO$2="","",#REF!*$C$66)</f>
        <v>#REF!</v>
      </c>
      <c r="AL66" s="11" t="e">
        <f ca="1">IF(History!AP$2="","",#REF!*$C$66)</f>
        <v>#REF!</v>
      </c>
      <c r="AM66" s="11" t="e">
        <f ca="1">IF(History!AQ$2="","",#REF!*$C$66)</f>
        <v>#REF!</v>
      </c>
      <c r="AN66" s="11" t="e">
        <f ca="1">IF(History!AR$2="","",#REF!*$C$66)</f>
        <v>#REF!</v>
      </c>
      <c r="AO66" s="11" t="e">
        <f ca="1">IF(History!AS$2="","",#REF!*$C$66)</f>
        <v>#REF!</v>
      </c>
      <c r="AP66" s="11" t="e">
        <f ca="1">IF(History!AT$2="","",#REF!*$C$66)</f>
        <v>#REF!</v>
      </c>
      <c r="AQ66" s="11" t="e">
        <f ca="1">IF(History!AU$2="","",#REF!*$C$66)</f>
        <v>#REF!</v>
      </c>
      <c r="AR66" s="11" t="e">
        <f ca="1">IF(History!AV$2="","",#REF!*$C$66)</f>
        <v>#REF!</v>
      </c>
      <c r="AS66" s="11" t="e">
        <f ca="1">IF(History!AW$2="","",#REF!*$C$66)</f>
        <v>#REF!</v>
      </c>
      <c r="AT66" s="11" t="e">
        <f ca="1">IF(History!AX$2="","",#REF!*$C$66)</f>
        <v>#REF!</v>
      </c>
      <c r="AU66" s="11" t="e">
        <f ca="1">IF(History!AY$2="","",#REF!*$C$66)</f>
        <v>#REF!</v>
      </c>
      <c r="AV66" s="11" t="e">
        <f ca="1">IF(History!AZ$2="","",#REF!*$C$66)</f>
        <v>#REF!</v>
      </c>
      <c r="AW66" s="11" t="e">
        <f ca="1">IF(History!BA$2="","",#REF!*$C$66)</f>
        <v>#REF!</v>
      </c>
      <c r="AX66" s="11" t="e">
        <f ca="1">IF(History!BB$2="","",#REF!*$C$66)</f>
        <v>#REF!</v>
      </c>
      <c r="AY66" s="11" t="e">
        <f ca="1">IF(History!BC$2="","",#REF!*$C$66)</f>
        <v>#REF!</v>
      </c>
      <c r="AZ66" s="11" t="e">
        <f ca="1">IF(History!BD$2="","",#REF!*$C$66)</f>
        <v>#REF!</v>
      </c>
      <c r="BA66" s="11" t="e">
        <f ca="1">IF(History!BE$2="","",#REF!*$C$66)</f>
        <v>#REF!</v>
      </c>
      <c r="BB66" s="11" t="e">
        <f ca="1">IF(History!BF$2="","",#REF!*$C$66)</f>
        <v>#REF!</v>
      </c>
      <c r="BC66" s="11" t="e">
        <f ca="1">IF(History!BG$2="","",#REF!*$C$66)</f>
        <v>#REF!</v>
      </c>
      <c r="BD66" s="11" t="e">
        <f ca="1">IF(History!BH$2="","",#REF!*$C$66)</f>
        <v>#REF!</v>
      </c>
      <c r="BE66" s="11" t="e">
        <f ca="1">IF(History!BI$2="","",#REF!*$C$66)</f>
        <v>#REF!</v>
      </c>
      <c r="BF66" s="11" t="e">
        <f ca="1">IF(History!BJ$2="","",#REF!*$C$66)</f>
        <v>#REF!</v>
      </c>
      <c r="BG66" s="11" t="e">
        <f ca="1">IF(History!BK$2="","",#REF!*$C$66)</f>
        <v>#REF!</v>
      </c>
      <c r="BH66" s="11" t="e">
        <f ca="1">IF(History!BL$2="","",#REF!*$C$66)</f>
        <v>#REF!</v>
      </c>
      <c r="BI66" s="11" t="e">
        <f ca="1">IF(History!BM$2="","",#REF!*$C$66)</f>
        <v>#REF!</v>
      </c>
      <c r="BJ66" s="11" t="e">
        <f ca="1">IF(History!BN$2="","",#REF!*$C$66)</f>
        <v>#REF!</v>
      </c>
      <c r="BK66" s="11" t="e">
        <f ca="1">IF(History!BO$2="","",#REF!*$C$66)</f>
        <v>#REF!</v>
      </c>
      <c r="BL66" s="11" t="e">
        <f ca="1">IF(History!BP$2="","",#REF!*$C$66)</f>
        <v>#REF!</v>
      </c>
      <c r="BM66" s="11" t="e">
        <f ca="1">IF(History!BQ$2="","",#REF!*$C$66)</f>
        <v>#REF!</v>
      </c>
      <c r="BN66" s="11" t="e">
        <f ca="1">IF(History!BR$2="","",#REF!*$C$66)</f>
        <v>#REF!</v>
      </c>
      <c r="BO66" s="11" t="e">
        <f ca="1">IF(History!BS$2="","",#REF!*$C$66)</f>
        <v>#REF!</v>
      </c>
      <c r="BP66" s="11" t="e">
        <f ca="1">IF(History!BT$2="","",#REF!*$C$66)</f>
        <v>#REF!</v>
      </c>
      <c r="BQ66" s="11" t="e">
        <f ca="1">IF(History!BU$2="","",#REF!*$C$66)</f>
        <v>#REF!</v>
      </c>
      <c r="BR66" s="11" t="e">
        <f ca="1">IF(History!BV$2="","",#REF!*$C$66)</f>
        <v>#REF!</v>
      </c>
      <c r="BS66" s="11" t="e">
        <f ca="1">IF(History!BW$2="","",#REF!*$C$66)</f>
        <v>#REF!</v>
      </c>
      <c r="BT66" s="11" t="e">
        <f ca="1">IF(History!BX$2="","",#REF!*$C$66)</f>
        <v>#REF!</v>
      </c>
      <c r="BU66" s="11" t="e">
        <f ca="1">IF(History!BY$2="","",#REF!*$C$66)</f>
        <v>#REF!</v>
      </c>
      <c r="BV66" s="11" t="e">
        <f ca="1">IF(History!BZ$2="","",#REF!*$C$66)</f>
        <v>#REF!</v>
      </c>
      <c r="BW66" s="11" t="e">
        <f ca="1">IF(History!CA$2="","",#REF!*$C$66)</f>
        <v>#REF!</v>
      </c>
      <c r="BX66" s="11" t="e">
        <f ca="1">IF(History!CB$2="","",#REF!*$C$66)</f>
        <v>#REF!</v>
      </c>
      <c r="BY66" s="11" t="e">
        <f ca="1">IF(History!CC$2="","",#REF!*$C$66)</f>
        <v>#REF!</v>
      </c>
      <c r="BZ66" s="11" t="e">
        <f ca="1">IF(History!CD$2="","",#REF!*$C$66)</f>
        <v>#REF!</v>
      </c>
      <c r="CA66" s="11" t="e">
        <f ca="1">IF(History!CE$2="","",#REF!*$C$66)</f>
        <v>#REF!</v>
      </c>
      <c r="CB66" s="11" t="e">
        <f ca="1">IF(History!CF$2="","",#REF!*$C$66)</f>
        <v>#REF!</v>
      </c>
      <c r="CC66" s="11" t="e">
        <f ca="1">IF(History!CG$2="","",#REF!*$C$66)</f>
        <v>#REF!</v>
      </c>
      <c r="CD66" s="11" t="e">
        <f ca="1">IF(History!CH$2="","",#REF!*$C$66)</f>
        <v>#REF!</v>
      </c>
      <c r="CE66" s="11" t="e">
        <f ca="1">IF(History!CI$2="","",#REF!*$C$66)</f>
        <v>#REF!</v>
      </c>
      <c r="CF66" s="11" t="str">
        <f ca="1">IF(History!CJ$2="","",#REF!*$C$66)</f>
        <v/>
      </c>
      <c r="CG66" s="11" t="str">
        <f ca="1">IF(History!CK$2="","",#REF!*$C$66)</f>
        <v/>
      </c>
      <c r="CH66" s="11" t="str">
        <f ca="1">IF(History!CL$2="","",#REF!*$C$66)</f>
        <v/>
      </c>
      <c r="CI66" s="11" t="str">
        <f ca="1">IF(History!CM$2="","",#REF!*$C$66)</f>
        <v/>
      </c>
      <c r="CJ66" s="11" t="str">
        <f ca="1">IF(History!CN$2="","",#REF!*$C$66)</f>
        <v/>
      </c>
      <c r="CK66" s="11" t="str">
        <f ca="1">IF(History!CO$2="","",#REF!*$C$66)</f>
        <v/>
      </c>
      <c r="CL66" s="11" t="str">
        <f ca="1">IF(History!CP$2="","",#REF!*$C$66)</f>
        <v/>
      </c>
      <c r="CM66" s="11" t="str">
        <f ca="1">IF(History!CQ$2="","",#REF!*$C$66)</f>
        <v/>
      </c>
      <c r="CN66" s="11" t="str">
        <f ca="1">IF(History!CR$2="","",#REF!*$C$66)</f>
        <v/>
      </c>
      <c r="CO66" s="11" t="str">
        <f ca="1">IF(History!CS$2="","",#REF!*$C$66)</f>
        <v/>
      </c>
      <c r="CP66" s="11" t="str">
        <f ca="1">IF(History!CT$2="","",#REF!*$C$66)</f>
        <v/>
      </c>
      <c r="CQ66" s="11" t="str">
        <f ca="1">IF(History!CU$2="","",#REF!*$C$66)</f>
        <v/>
      </c>
      <c r="CR66" s="11" t="str">
        <f ca="1">IF(History!CV$2="","",#REF!*$C$66)</f>
        <v/>
      </c>
      <c r="CS66" s="11" t="str">
        <f ca="1">IF(History!CW$2="","",#REF!*$C$66)</f>
        <v/>
      </c>
      <c r="CT66" s="11" t="str">
        <f ca="1">IF(History!CX$2="","",#REF!*$C$66)</f>
        <v/>
      </c>
      <c r="CU66" s="11" t="str">
        <f ca="1">IF(History!CY$2="","",#REF!*$C$66)</f>
        <v/>
      </c>
      <c r="CV66" s="11" t="str">
        <f ca="1">IF(History!CZ$2="","",#REF!*$C$66)</f>
        <v/>
      </c>
      <c r="CW66" s="11" t="str">
        <f ca="1">IF(History!DA$2="","",#REF!*$C$66)</f>
        <v/>
      </c>
      <c r="CX66" s="11" t="str">
        <f ca="1">IF(History!DB$2="","",#REF!*$C$66)</f>
        <v/>
      </c>
      <c r="CY66" s="11" t="str">
        <f ca="1">IF(History!DC$2="","",#REF!*$C$66)</f>
        <v/>
      </c>
      <c r="CZ66" s="11" t="str">
        <f ca="1">IF(History!DD$2="","",#REF!*$C$66)</f>
        <v/>
      </c>
      <c r="DA66" s="11" t="str">
        <f ca="1">IF(History!DE$2="","",#REF!*$C$66)</f>
        <v/>
      </c>
      <c r="DB66" s="11" t="str">
        <f ca="1">IF(History!DF$2="","",#REF!*$C$66)</f>
        <v/>
      </c>
      <c r="DC66" s="11" t="str">
        <f ca="1">IF(History!DG$2="","",#REF!*$C$66)</f>
        <v/>
      </c>
      <c r="DD66" s="11" t="str">
        <f ca="1">IF(History!DH$2="","",#REF!*$C$66)</f>
        <v/>
      </c>
      <c r="DE66" s="11" t="str">
        <f ca="1">IF(History!DI$2="","",#REF!*$C$66)</f>
        <v/>
      </c>
      <c r="DF66" s="11" t="str">
        <f ca="1">IF(History!DJ$2="","",#REF!*$C$66)</f>
        <v/>
      </c>
      <c r="DG66" s="11" t="str">
        <f ca="1">IF(History!DK$2="","",#REF!*$C$66)</f>
        <v/>
      </c>
      <c r="DH66" s="11" t="str">
        <f ca="1">IF(History!DL$2="","",#REF!*$C$66)</f>
        <v/>
      </c>
      <c r="DI66" s="11" t="str">
        <f ca="1">IF(History!DM$2="","",#REF!*$C$66)</f>
        <v/>
      </c>
      <c r="DJ66" s="11" t="str">
        <f ca="1">IF(History!DN$2="","",#REF!*$C$66)</f>
        <v/>
      </c>
      <c r="DK66" s="11" t="str">
        <f ca="1">IF(History!DO$2="","",#REF!*$C$66)</f>
        <v/>
      </c>
      <c r="DL66" s="11" t="str">
        <f ca="1">IF(History!DP$2="","",#REF!*$C$66)</f>
        <v/>
      </c>
      <c r="DM66" s="11" t="str">
        <f ca="1">IF(History!DQ$2="","",#REF!*$C$66)</f>
        <v/>
      </c>
      <c r="DN66" s="11" t="str">
        <f ca="1">IF(History!DR$2="","",#REF!*$C$66)</f>
        <v/>
      </c>
      <c r="DO66" s="11" t="str">
        <f ca="1">IF(History!DS$2="","",#REF!*$C$66)</f>
        <v/>
      </c>
      <c r="DP66" s="11" t="str">
        <f ca="1">IF(History!DT$2="","",#REF!*$C$66)</f>
        <v/>
      </c>
      <c r="DQ66" s="11" t="str">
        <f ca="1">IF(History!DU$2="","",#REF!*$C$66)</f>
        <v/>
      </c>
      <c r="DR66" s="11" t="str">
        <f ca="1">IF(History!DV$2="","",#REF!*$C$66)</f>
        <v/>
      </c>
      <c r="DS66" s="11" t="str">
        <f ca="1">IF(History!DW$2="","",#REF!*$C$66)</f>
        <v/>
      </c>
      <c r="DT66" s="11" t="str">
        <f ca="1">IF(History!DX$2="","",#REF!*$C$66)</f>
        <v/>
      </c>
      <c r="DU66" s="11" t="str">
        <f ca="1">IF(History!DY$2="","",#REF!*$C$66)</f>
        <v/>
      </c>
      <c r="DV66" s="11" t="str">
        <f ca="1">IF(History!DZ$2="","",#REF!*$C$66)</f>
        <v/>
      </c>
      <c r="DW66" s="11" t="str">
        <f ca="1">IF(History!EA$2="","",#REF!*$C$66)</f>
        <v/>
      </c>
      <c r="DX66" s="11" t="str">
        <f ca="1">IF(History!EB$2="","",#REF!*$C$66)</f>
        <v/>
      </c>
      <c r="DY66" s="11" t="str">
        <f ca="1">IF(History!EC$2="","",#REF!*$C$66)</f>
        <v/>
      </c>
      <c r="DZ66" s="11" t="str">
        <f ca="1">IF(History!ED$2="","",#REF!*$C$66)</f>
        <v/>
      </c>
      <c r="EA66" s="11" t="str">
        <f ca="1">IF(History!EE$2="","",#REF!*$C$66)</f>
        <v/>
      </c>
      <c r="EB66" s="11" t="str">
        <f ca="1">IF(History!EF$2="","",#REF!*$C$66)</f>
        <v/>
      </c>
      <c r="EC66" s="11" t="str">
        <f ca="1">IF(History!EG$2="","",#REF!*$C$66)</f>
        <v/>
      </c>
      <c r="ED66" s="11" t="str">
        <f ca="1">IF(History!EH$2="","",#REF!*$C$66)</f>
        <v/>
      </c>
      <c r="EE66" s="11" t="str">
        <f ca="1">IF(History!EI$2="","",#REF!*$C$66)</f>
        <v/>
      </c>
      <c r="EF66" s="11" t="str">
        <f ca="1">IF(History!EJ$2="","",#REF!*$C$66)</f>
        <v/>
      </c>
      <c r="EG66" s="11" t="str">
        <f ca="1">IF(History!EK$2="","",#REF!*$C$66)</f>
        <v/>
      </c>
      <c r="EH66" s="11" t="str">
        <f ca="1">IF(History!EL$2="","",#REF!*$C$66)</f>
        <v/>
      </c>
      <c r="EI66" s="11" t="str">
        <f ca="1">IF(History!EM$2="","",#REF!*$C$66)</f>
        <v/>
      </c>
      <c r="EJ66" s="11" t="str">
        <f ca="1">IF(History!EN$2="","",#REF!*$C$66)</f>
        <v/>
      </c>
      <c r="EK66" s="11" t="str">
        <f ca="1">IF(History!EO$2="","",#REF!*$C$66)</f>
        <v/>
      </c>
      <c r="EL66" s="11" t="str">
        <f ca="1">IF(History!EP$2="","",#REF!*$C$66)</f>
        <v/>
      </c>
      <c r="EM66" s="11" t="str">
        <f ca="1">IF(History!EQ$2="","",#REF!*$C$66)</f>
        <v/>
      </c>
      <c r="EN66" s="11" t="str">
        <f ca="1">IF(History!ER$2="","",#REF!*$C$66)</f>
        <v/>
      </c>
      <c r="EO66" s="11" t="str">
        <f ca="1">IF(History!ES$2="","",#REF!*$C$66)</f>
        <v/>
      </c>
      <c r="EP66" s="11" t="str">
        <f ca="1">IF(History!ET$2="","",#REF!*$C$66)</f>
        <v/>
      </c>
      <c r="EQ66" s="11" t="str">
        <f ca="1">IF(History!EU$2="","",#REF!*$C$66)</f>
        <v/>
      </c>
      <c r="ER66" s="11" t="str">
        <f ca="1">IF(History!EV$2="","",#REF!*$C$66)</f>
        <v/>
      </c>
      <c r="ES66" s="11" t="str">
        <f ca="1">IF(History!EW$2="","",#REF!*$C$66)</f>
        <v/>
      </c>
      <c r="ET66" s="11" t="str">
        <f ca="1">IF(History!EX$2="","",#REF!*$C$66)</f>
        <v/>
      </c>
      <c r="EU66" s="11" t="str">
        <f ca="1">IF(History!EY$2="","",#REF!*$C$66)</f>
        <v/>
      </c>
      <c r="EV66" s="11" t="str">
        <f ca="1">IF(History!EZ$2="","",#REF!*$C$66)</f>
        <v/>
      </c>
      <c r="EW66" s="11" t="str">
        <f ca="1">IF(History!FA$2="","",#REF!*$C$66)</f>
        <v/>
      </c>
      <c r="EX66" s="11" t="str">
        <f ca="1">IF(History!FB$2="","",#REF!*$C$66)</f>
        <v/>
      </c>
      <c r="EY66" s="11" t="str">
        <f ca="1">IF(History!FC$2="","",#REF!*$C$66)</f>
        <v/>
      </c>
      <c r="EZ66" s="11" t="str">
        <f ca="1">IF(History!FD$2="","",#REF!*$C$66)</f>
        <v/>
      </c>
      <c r="FA66" s="11" t="str">
        <f ca="1">IF(History!FE$2="","",#REF!*$C$66)</f>
        <v/>
      </c>
      <c r="FB66" s="11" t="str">
        <f ca="1">IF(History!FF$2="","",#REF!*$C$66)</f>
        <v/>
      </c>
      <c r="FC66" s="11" t="str">
        <f ca="1">IF(History!FG$2="","",#REF!*$C$66)</f>
        <v/>
      </c>
      <c r="FD66" s="11" t="str">
        <f ca="1">IF(History!FH$2="","",#REF!*$C$66)</f>
        <v/>
      </c>
      <c r="FE66" s="11" t="str">
        <f ca="1">IF(History!FI$2="","",#REF!*$C$66)</f>
        <v/>
      </c>
      <c r="FF66" s="11" t="str">
        <f ca="1">IF(History!FJ$2="","",#REF!*$C$66)</f>
        <v/>
      </c>
      <c r="FG66" s="11" t="str">
        <f ca="1">IF(History!FK$2="","",#REF!*$C$66)</f>
        <v/>
      </c>
      <c r="FH66" s="11" t="str">
        <f ca="1">IF(History!FL$2="","",#REF!*$C$66)</f>
        <v/>
      </c>
      <c r="FI66" s="11" t="str">
        <f ca="1">IF(History!FM$2="","",#REF!*$C$66)</f>
        <v/>
      </c>
      <c r="FJ66" s="11" t="str">
        <f ca="1">IF(History!FN$2="","",#REF!*$C$66)</f>
        <v/>
      </c>
      <c r="FK66" s="11" t="str">
        <f ca="1">IF(History!FO$2="","",#REF!*$C$66)</f>
        <v/>
      </c>
      <c r="FL66" s="11" t="str">
        <f ca="1">IF(History!FP$2="","",#REF!*$C$66)</f>
        <v/>
      </c>
      <c r="FM66" s="11" t="str">
        <f ca="1">IF(History!FQ$2="","",#REF!*$C$66)</f>
        <v/>
      </c>
      <c r="FN66" s="11" t="str">
        <f ca="1">IF(History!FR$2="","",#REF!*$C$66)</f>
        <v/>
      </c>
      <c r="FO66" s="11" t="str">
        <f ca="1">IF(History!FS$2="","",#REF!*$C$66)</f>
        <v/>
      </c>
      <c r="FP66" s="11" t="str">
        <f ca="1">IF(History!FT$2="","",#REF!*$C$66)</f>
        <v/>
      </c>
      <c r="FQ66" s="11" t="str">
        <f ca="1">IF(History!FU$2="","",#REF!*$C$66)</f>
        <v/>
      </c>
      <c r="FR66" s="11" t="str">
        <f ca="1">IF(History!FV$2="","",#REF!*$C$66)</f>
        <v/>
      </c>
      <c r="FS66" s="11" t="str">
        <f ca="1">IF(History!FW$2="","",#REF!*$C$66)</f>
        <v/>
      </c>
      <c r="FT66" s="11" t="str">
        <f ca="1">IF(History!FX$2="","",#REF!*$C$66)</f>
        <v/>
      </c>
      <c r="FU66" s="11" t="str">
        <f ca="1">IF(History!FY$2="","",#REF!*$C$66)</f>
        <v/>
      </c>
      <c r="FV66" s="11" t="str">
        <f ca="1">IF(History!FZ$2="","",#REF!*$C$66)</f>
        <v/>
      </c>
      <c r="FW66" s="11" t="str">
        <f ca="1">IF(History!GA$2="","",#REF!*$C$66)</f>
        <v/>
      </c>
      <c r="FX66" s="11" t="str">
        <f ca="1">IF(History!GB$2="","",#REF!*$C$66)</f>
        <v/>
      </c>
      <c r="FY66" s="11" t="str">
        <f ca="1">IF(History!GC$2="","",#REF!*$C$66)</f>
        <v/>
      </c>
      <c r="FZ66" s="11" t="str">
        <f ca="1">IF(History!GD$2="","",#REF!*$C$66)</f>
        <v/>
      </c>
      <c r="GA66" s="11" t="str">
        <f ca="1">IF(History!GE$2="","",#REF!*$C$66)</f>
        <v/>
      </c>
      <c r="GB66" s="11" t="str">
        <f ca="1">IF(History!GF$2="","",#REF!*$C$66)</f>
        <v/>
      </c>
      <c r="GC66" s="11" t="str">
        <f ca="1">IF(History!GG$2="","",#REF!*$C$66)</f>
        <v/>
      </c>
      <c r="GD66" s="11" t="str">
        <f ca="1">IF(History!GH$2="","",#REF!*$C$66)</f>
        <v/>
      </c>
      <c r="GE66" s="11" t="str">
        <f ca="1">IF(History!GI$2="","",#REF!*$C$66)</f>
        <v/>
      </c>
      <c r="GF66" s="11" t="str">
        <f ca="1">IF(History!GJ$2="","",#REF!*$C$66)</f>
        <v/>
      </c>
      <c r="GG66" s="11" t="str">
        <f ca="1">IF(History!GK$2="","",#REF!*$C$66)</f>
        <v/>
      </c>
      <c r="GH66" s="11" t="str">
        <f ca="1">IF(History!GL$2="","",#REF!*$C$66)</f>
        <v/>
      </c>
      <c r="GI66" s="11" t="str">
        <f ca="1">IF(History!GM$2="","",#REF!*$C$66)</f>
        <v/>
      </c>
      <c r="GJ66" s="11" t="str">
        <f ca="1">IF(History!GN$2="","",#REF!*$C$66)</f>
        <v/>
      </c>
      <c r="GK66" s="11" t="str">
        <f ca="1">IF(History!GO$2="","",#REF!*$C$66)</f>
        <v/>
      </c>
      <c r="GL66" s="11" t="str">
        <f ca="1">IF(History!GP$2="","",#REF!*$C$66)</f>
        <v/>
      </c>
      <c r="GM66" s="11" t="str">
        <f ca="1">IF(History!GQ$2="","",#REF!*$C$66)</f>
        <v/>
      </c>
      <c r="GN66" s="11" t="str">
        <f ca="1">IF(History!GR$2="","",#REF!*$C$66)</f>
        <v/>
      </c>
      <c r="GO66" s="11" t="str">
        <f ca="1">IF(History!GS$2="","",#REF!*$C$66)</f>
        <v/>
      </c>
      <c r="GP66" s="11" t="str">
        <f ca="1">IF(History!GT$2="","",#REF!*$C$66)</f>
        <v/>
      </c>
      <c r="GQ66" s="11" t="str">
        <f ca="1">IF(History!GU$2="","",#REF!*$C$66)</f>
        <v/>
      </c>
      <c r="GR66" s="11" t="str">
        <f ca="1">IF(History!GV$2="","",#REF!*$C$66)</f>
        <v/>
      </c>
      <c r="GS66" s="11" t="str">
        <f ca="1">IF(History!GW$2="","",#REF!*$C$66)</f>
        <v/>
      </c>
      <c r="GT66" s="11" t="str">
        <f ca="1">IF(History!GX$2="","",#REF!*$C$66)</f>
        <v/>
      </c>
      <c r="GU66" s="11" t="str">
        <f ca="1">IF(History!GY$2="","",#REF!*$C$66)</f>
        <v/>
      </c>
      <c r="GV66" s="11" t="str">
        <f ca="1">IF(History!GZ$2="","",#REF!*$C$66)</f>
        <v/>
      </c>
      <c r="GW66" s="11" t="str">
        <f ca="1">IF(History!HA$2="","",#REF!*$C$66)</f>
        <v/>
      </c>
      <c r="GX66" s="11" t="str">
        <f ca="1">IF(History!HB$2="","",#REF!*$C$66)</f>
        <v/>
      </c>
      <c r="GY66" s="11" t="str">
        <f ca="1">IF(History!HC$2="","",#REF!*$C$66)</f>
        <v/>
      </c>
      <c r="GZ66" s="11" t="str">
        <f ca="1">IF(History!HD$2="","",#REF!*$C$66)</f>
        <v/>
      </c>
      <c r="HA66" s="11" t="str">
        <f ca="1">IF(History!HE$2="","",#REF!*$C$66)</f>
        <v/>
      </c>
      <c r="HB66" s="11" t="str">
        <f ca="1">IF(History!HF$2="","",#REF!*$C$66)</f>
        <v/>
      </c>
      <c r="HC66" s="11" t="str">
        <f ca="1">IF(History!HG$2="","",#REF!*$C$66)</f>
        <v/>
      </c>
      <c r="HD66" s="11" t="str">
        <f ca="1">IF(History!HH$2="","",#REF!*$C$66)</f>
        <v/>
      </c>
      <c r="HE66" s="11" t="str">
        <f ca="1">IF(History!HI$2="","",#REF!*$C$66)</f>
        <v/>
      </c>
      <c r="HF66" s="11" t="str">
        <f ca="1">IF(History!HJ$2="","",#REF!*$C$66)</f>
        <v/>
      </c>
      <c r="HG66" s="11" t="str">
        <f ca="1">IF(History!HK$2="","",#REF!*$C$66)</f>
        <v/>
      </c>
      <c r="HH66" s="11" t="str">
        <f ca="1">IF(History!HL$2="","",#REF!*$C$66)</f>
        <v/>
      </c>
      <c r="HI66" s="11" t="str">
        <f ca="1">IF(History!HM$2="","",#REF!*$C$66)</f>
        <v/>
      </c>
      <c r="HJ66" s="11" t="str">
        <f ca="1">IF(History!HN$2="","",#REF!*$C$66)</f>
        <v/>
      </c>
      <c r="HK66" s="11" t="str">
        <f ca="1">IF(History!HO$2="","",#REF!*$C$66)</f>
        <v/>
      </c>
      <c r="HL66" s="11" t="str">
        <f ca="1">IF(History!HP$2="","",#REF!*$C$66)</f>
        <v/>
      </c>
      <c r="HM66" s="11" t="str">
        <f ca="1">IF(History!HQ$2="","",#REF!*$C$66)</f>
        <v/>
      </c>
      <c r="HN66" s="11" t="str">
        <f ca="1">IF(History!HR$2="","",#REF!*$C$66)</f>
        <v/>
      </c>
      <c r="HO66" s="11" t="str">
        <f ca="1">IF(History!HS$2="","",#REF!*$C$66)</f>
        <v/>
      </c>
      <c r="HP66" s="11" t="str">
        <f ca="1">IF(History!HT$2="","",#REF!*$C$66)</f>
        <v/>
      </c>
      <c r="HQ66" s="11" t="str">
        <f ca="1">IF(History!HU$2="","",#REF!*$C$66)</f>
        <v/>
      </c>
      <c r="HR66" s="11" t="str">
        <f ca="1">IF(History!HV$2="","",#REF!*$C$66)</f>
        <v/>
      </c>
      <c r="HS66" s="11" t="str">
        <f ca="1">IF(History!HW$2="","",#REF!*$C$66)</f>
        <v/>
      </c>
      <c r="HT66" s="11" t="str">
        <f ca="1">IF(History!HX$2="","",#REF!*$C$66)</f>
        <v/>
      </c>
      <c r="HU66" s="11" t="str">
        <f ca="1">IF(History!HY$2="","",#REF!*$C$66)</f>
        <v/>
      </c>
      <c r="HV66" s="11" t="str">
        <f ca="1">IF(History!HZ$2="","",#REF!*$C$66)</f>
        <v/>
      </c>
      <c r="HW66" s="11" t="str">
        <f ca="1">IF(History!IA$2="","",#REF!*$C$66)</f>
        <v/>
      </c>
      <c r="HX66" s="11" t="str">
        <f ca="1">IF(History!IB$2="","",#REF!*$C$66)</f>
        <v/>
      </c>
      <c r="HY66" s="11" t="str">
        <f ca="1">IF(History!IC$2="","",#REF!*$C$66)</f>
        <v/>
      </c>
      <c r="HZ66" s="11" t="str">
        <f ca="1">IF(History!ID$2="","",#REF!*$C$66)</f>
        <v/>
      </c>
      <c r="IA66" s="11" t="str">
        <f ca="1">IF(History!IE$2="","",#REF!*$C$66)</f>
        <v/>
      </c>
      <c r="IB66" s="11" t="str">
        <f ca="1">IF(History!IF$2="","",#REF!*$C$66)</f>
        <v/>
      </c>
      <c r="IC66" s="11" t="str">
        <f ca="1">IF(History!IG$2="","",#REF!*$C$66)</f>
        <v/>
      </c>
      <c r="ID66" s="11" t="str">
        <f ca="1">IF(History!IH$2="","",#REF!*$C$66)</f>
        <v/>
      </c>
      <c r="IE66" s="11" t="str">
        <f ca="1">IF(History!II$2="","",#REF!*$C$66)</f>
        <v/>
      </c>
      <c r="IF66" s="11" t="str">
        <f ca="1">IF(History!IJ$2="","",#REF!*$C$66)</f>
        <v/>
      </c>
      <c r="IG66" s="11" t="str">
        <f ca="1">IF(History!IK$2="","",#REF!*$C$66)</f>
        <v/>
      </c>
      <c r="IH66" s="11" t="str">
        <f ca="1">IF(History!IL$2="","",#REF!*$C$66)</f>
        <v/>
      </c>
      <c r="II66" s="11" t="str">
        <f ca="1">IF(History!IM$2="","",#REF!*$C$66)</f>
        <v/>
      </c>
      <c r="IJ66" s="11" t="str">
        <f ca="1">IF(History!IN$2="","",#REF!*$C$66)</f>
        <v/>
      </c>
      <c r="IK66" s="11" t="str">
        <f ca="1">IF(History!IO$2="","",#REF!*$C$66)</f>
        <v/>
      </c>
      <c r="IL66" s="11" t="str">
        <f ca="1">IF(History!IP$2="","",#REF!*$C$66)</f>
        <v/>
      </c>
      <c r="IM66" s="11" t="str">
        <f ca="1">IF(History!IQ$2="","",#REF!*$C$66)</f>
        <v/>
      </c>
      <c r="IN66" s="11" t="str">
        <f ca="1">IF(History!IR$2="","",#REF!*$C$66)</f>
        <v/>
      </c>
      <c r="IO66" s="11" t="str">
        <f ca="1">IF(History!IS$2="","",#REF!*$C$66)</f>
        <v/>
      </c>
      <c r="IP66" s="11" t="str">
        <f ca="1">IF(History!IT$2="","",#REF!*$C$66)</f>
        <v/>
      </c>
      <c r="IQ66" s="11" t="str">
        <f ca="1">IF(History!IU$2="","",#REF!*$C$66)</f>
        <v/>
      </c>
      <c r="IR66" s="11" t="str">
        <f ca="1">IF(History!IV$2="","",#REF!*$C$66)</f>
        <v/>
      </c>
      <c r="IS66" s="11" t="str">
        <f ca="1">IF(History!IW$2="","",#REF!*$C$66)</f>
        <v/>
      </c>
      <c r="IT66" s="11" t="str">
        <f ca="1">IF(History!IX$2="","",#REF!*$C$66)</f>
        <v/>
      </c>
      <c r="IU66" s="11" t="str">
        <f ca="1">IF(History!IY$2="","",#REF!*$C$66)</f>
        <v/>
      </c>
      <c r="IV66" s="11" t="str">
        <f ca="1">IF(History!IZ$2="","",#REF!*$C$66)</f>
        <v/>
      </c>
      <c r="IW66" s="11" t="str">
        <f ca="1">IF(History!JA$2="","",#REF!*$C$66)</f>
        <v/>
      </c>
      <c r="IX66" s="11" t="str">
        <f ca="1">IF(History!JB$2="","",#REF!*$C$66)</f>
        <v/>
      </c>
      <c r="IY66" s="11" t="str">
        <f ca="1">IF(History!JC$2="","",#REF!*$C$66)</f>
        <v/>
      </c>
      <c r="IZ66" s="11" t="str">
        <f ca="1">IF(History!JD$2="","",#REF!*$C$66)</f>
        <v/>
      </c>
      <c r="JA66" s="11" t="str">
        <f ca="1">IF(History!JE$2="","",#REF!*$C$66)</f>
        <v/>
      </c>
      <c r="JB66" s="11" t="str">
        <f ca="1">IF(History!JF$2="","",#REF!*$C$66)</f>
        <v/>
      </c>
      <c r="JC66" s="11" t="str">
        <f ca="1">IF(History!JG$2="","",#REF!*$C$66)</f>
        <v/>
      </c>
      <c r="JD66" s="11" t="str">
        <f ca="1">IF(History!JH$2="","",#REF!*$C$66)</f>
        <v/>
      </c>
      <c r="JE66" s="11" t="str">
        <f ca="1">IF(History!JI$2="","",#REF!*$C$66)</f>
        <v/>
      </c>
      <c r="JF66" s="11" t="str">
        <f ca="1">IF(History!JJ$2="","",#REF!*$C$66)</f>
        <v/>
      </c>
      <c r="JG66" s="11" t="str">
        <f ca="1">IF(History!JK$2="","",#REF!*$C$66)</f>
        <v/>
      </c>
      <c r="JH66" s="11" t="str">
        <f ca="1">IF(History!JL$2="","",#REF!*$C$66)</f>
        <v/>
      </c>
      <c r="JI66" s="11" t="str">
        <f ca="1">IF(History!JM$2="","",#REF!*$C$66)</f>
        <v/>
      </c>
      <c r="JJ66" s="11" t="str">
        <f ca="1">IF(History!JN$2="","",#REF!*$C$66)</f>
        <v/>
      </c>
      <c r="JK66" s="11" t="str">
        <f ca="1">IF(History!JO$2="","",#REF!*$C$66)</f>
        <v/>
      </c>
      <c r="JL66" s="11" t="str">
        <f ca="1">IF(History!JP$2="","",#REF!*$C$66)</f>
        <v/>
      </c>
      <c r="JM66" s="11" t="str">
        <f ca="1">IF(History!JQ$2="","",#REF!*$C$66)</f>
        <v/>
      </c>
      <c r="JN66" s="11" t="str">
        <f ca="1">IF(History!JR$2="","",#REF!*$C$66)</f>
        <v/>
      </c>
      <c r="JO66" s="11" t="str">
        <f ca="1">IF(History!JS$2="","",#REF!*$C$66)</f>
        <v/>
      </c>
      <c r="JP66" s="11" t="str">
        <f ca="1">IF(History!JT$2="","",#REF!*$C$66)</f>
        <v/>
      </c>
      <c r="JQ66" s="11" t="str">
        <f ca="1">IF(History!JU$2="","",#REF!*$C$66)</f>
        <v/>
      </c>
      <c r="JR66" s="11" t="str">
        <f ca="1">IF(History!JV$2="","",#REF!*$C$66)</f>
        <v/>
      </c>
      <c r="JS66" s="11" t="str">
        <f ca="1">IF(History!JW$2="","",#REF!*$C$66)</f>
        <v/>
      </c>
      <c r="JT66" s="11" t="str">
        <f ca="1">IF(History!JX$2="","",#REF!*$C$66)</f>
        <v/>
      </c>
      <c r="JU66" s="11" t="str">
        <f ca="1">IF(History!JY$2="","",#REF!*$C$66)</f>
        <v/>
      </c>
      <c r="JV66" s="11" t="str">
        <f ca="1">IF(History!JZ$2="","",#REF!*$C$66)</f>
        <v/>
      </c>
      <c r="JW66" s="11" t="str">
        <f ca="1">IF(History!KA$2="","",#REF!*$C$66)</f>
        <v/>
      </c>
      <c r="JX66" s="11" t="str">
        <f ca="1">IF(History!KB$2="","",#REF!*$C$66)</f>
        <v/>
      </c>
      <c r="JY66" s="11" t="str">
        <f ca="1">IF(History!KC$2="","",#REF!*$C$66)</f>
        <v/>
      </c>
      <c r="JZ66" s="11" t="str">
        <f ca="1">IF(History!KD$2="","",#REF!*$C$66)</f>
        <v/>
      </c>
      <c r="KA66" s="11" t="str">
        <f ca="1">IF(History!KE$2="","",#REF!*$C$66)</f>
        <v/>
      </c>
      <c r="KB66" s="11" t="str">
        <f ca="1">IF(History!KF$2="","",#REF!*$C$66)</f>
        <v/>
      </c>
    </row>
    <row r="67" spans="1:288" ht="13">
      <c r="A67" s="18" t="s">
        <v>140</v>
      </c>
      <c r="B67" s="6" t="s">
        <v>146</v>
      </c>
      <c r="C67" s="26">
        <v>202</v>
      </c>
      <c r="D67" s="11" t="e">
        <f ca="1">IF(History!H$2="","",#REF!*$C$67)</f>
        <v>#REF!</v>
      </c>
      <c r="E67" s="11" t="e">
        <f ca="1">IF(History!I$2="","",#REF!*$C$67)</f>
        <v>#REF!</v>
      </c>
      <c r="F67" s="11" t="e">
        <f ca="1">IF(History!J$2="","",#REF!*$C$67)</f>
        <v>#REF!</v>
      </c>
      <c r="G67" s="11" t="e">
        <f ca="1">IF(History!K$2="","",#REF!*$C$67)</f>
        <v>#REF!</v>
      </c>
      <c r="H67" s="11" t="e">
        <f ca="1">IF(History!L$2="","",#REF!*$C$67)</f>
        <v>#REF!</v>
      </c>
      <c r="I67" s="11" t="e">
        <f ca="1">IF(History!M$2="","",#REF!*$C$67)</f>
        <v>#REF!</v>
      </c>
      <c r="J67" s="11" t="e">
        <f ca="1">IF(History!N$2="","",#REF!*$C$67)</f>
        <v>#REF!</v>
      </c>
      <c r="K67" s="11" t="e">
        <f ca="1">IF(History!O$2="","",#REF!*$C$67)</f>
        <v>#REF!</v>
      </c>
      <c r="L67" s="11" t="e">
        <f ca="1">IF(History!P$2="","",#REF!*$C$67)</f>
        <v>#REF!</v>
      </c>
      <c r="M67" s="11" t="e">
        <f ca="1">IF(History!Q$2="","",#REF!*$C$67)</f>
        <v>#REF!</v>
      </c>
      <c r="N67" s="11" t="e">
        <f ca="1">IF(History!R$2="","",#REF!*$C$67)</f>
        <v>#REF!</v>
      </c>
      <c r="O67" s="11" t="e">
        <f ca="1">IF(History!S$2="","",#REF!*$C$67)</f>
        <v>#REF!</v>
      </c>
      <c r="P67" s="11" t="e">
        <f ca="1">IF(History!T$2="","",#REF!*$C$67)</f>
        <v>#REF!</v>
      </c>
      <c r="Q67" s="11" t="e">
        <f ca="1">IF(History!U$2="","",#REF!*$C$67)</f>
        <v>#REF!</v>
      </c>
      <c r="R67" s="11" t="e">
        <f ca="1">IF(History!V$2="","",#REF!*$C$67)</f>
        <v>#REF!</v>
      </c>
      <c r="S67" s="11" t="e">
        <f ca="1">IF(History!W$2="","",#REF!*$C$67)</f>
        <v>#REF!</v>
      </c>
      <c r="T67" s="11" t="e">
        <f ca="1">IF(History!X$2="","",#REF!*$C$67)</f>
        <v>#REF!</v>
      </c>
      <c r="U67" s="11" t="e">
        <f ca="1">IF(History!Y$2="","",#REF!*$C$67)</f>
        <v>#REF!</v>
      </c>
      <c r="V67" s="11" t="e">
        <f ca="1">IF(History!Z$2="","",#REF!*$C$67)</f>
        <v>#REF!</v>
      </c>
      <c r="W67" s="11" t="e">
        <f ca="1">IF(History!AA$2="","",#REF!*$C$67)</f>
        <v>#REF!</v>
      </c>
      <c r="X67" s="11" t="e">
        <f ca="1">IF(History!AB$2="","",#REF!*$C$67)</f>
        <v>#REF!</v>
      </c>
      <c r="Y67" s="11" t="e">
        <f ca="1">IF(History!AC$2="","",#REF!*$C$67)</f>
        <v>#REF!</v>
      </c>
      <c r="Z67" s="11" t="e">
        <f ca="1">IF(History!AD$2="","",#REF!*$C$67)</f>
        <v>#REF!</v>
      </c>
      <c r="AA67" s="11" t="e">
        <f ca="1">IF(History!AE$2="","",#REF!*$C$67)</f>
        <v>#REF!</v>
      </c>
      <c r="AB67" s="11" t="e">
        <f ca="1">IF(History!AF$2="","",#REF!*$C$67)</f>
        <v>#REF!</v>
      </c>
      <c r="AC67" s="11" t="e">
        <f ca="1">IF(History!AG$2="","",#REF!*$C$67)</f>
        <v>#REF!</v>
      </c>
      <c r="AD67" s="11" t="e">
        <f ca="1">IF(History!AH$2="","",#REF!*$C$67)</f>
        <v>#REF!</v>
      </c>
      <c r="AE67" s="11" t="e">
        <f ca="1">IF(History!AI$2="","",#REF!*$C$67)</f>
        <v>#REF!</v>
      </c>
      <c r="AF67" s="11" t="e">
        <f ca="1">IF(History!AJ$2="","",#REF!*$C$67)</f>
        <v>#REF!</v>
      </c>
      <c r="AG67" s="11" t="e">
        <f ca="1">IF(History!AK$2="","",#REF!*$C$67)</f>
        <v>#REF!</v>
      </c>
      <c r="AH67" s="11" t="e">
        <f ca="1">IF(History!AL$2="","",#REF!*$C$67)</f>
        <v>#REF!</v>
      </c>
      <c r="AI67" s="11" t="e">
        <f ca="1">IF(History!AM$2="","",#REF!*$C$67)</f>
        <v>#REF!</v>
      </c>
      <c r="AJ67" s="11" t="e">
        <f ca="1">IF(History!AN$2="","",#REF!*$C$67)</f>
        <v>#REF!</v>
      </c>
      <c r="AK67" s="11" t="e">
        <f ca="1">IF(History!AO$2="","",#REF!*$C$67)</f>
        <v>#REF!</v>
      </c>
      <c r="AL67" s="11" t="e">
        <f ca="1">IF(History!AP$2="","",#REF!*$C$67)</f>
        <v>#REF!</v>
      </c>
      <c r="AM67" s="11" t="e">
        <f ca="1">IF(History!AQ$2="","",#REF!*$C$67)</f>
        <v>#REF!</v>
      </c>
      <c r="AN67" s="11" t="e">
        <f ca="1">IF(History!AR$2="","",#REF!*$C$67)</f>
        <v>#REF!</v>
      </c>
      <c r="AO67" s="11" t="e">
        <f ca="1">IF(History!AS$2="","",#REF!*$C$67)</f>
        <v>#REF!</v>
      </c>
      <c r="AP67" s="11" t="e">
        <f ca="1">IF(History!AT$2="","",#REF!*$C$67)</f>
        <v>#REF!</v>
      </c>
      <c r="AQ67" s="11" t="e">
        <f ca="1">IF(History!AU$2="","",#REF!*$C$67)</f>
        <v>#REF!</v>
      </c>
      <c r="AR67" s="11" t="e">
        <f ca="1">IF(History!AV$2="","",#REF!*$C$67)</f>
        <v>#REF!</v>
      </c>
      <c r="AS67" s="11" t="e">
        <f ca="1">IF(History!AW$2="","",#REF!*$C$67)</f>
        <v>#REF!</v>
      </c>
      <c r="AT67" s="11" t="e">
        <f ca="1">IF(History!AX$2="","",#REF!*$C$67)</f>
        <v>#REF!</v>
      </c>
      <c r="AU67" s="11" t="e">
        <f ca="1">IF(History!AY$2="","",#REF!*$C$67)</f>
        <v>#REF!</v>
      </c>
      <c r="AV67" s="11" t="e">
        <f ca="1">IF(History!AZ$2="","",#REF!*$C$67)</f>
        <v>#REF!</v>
      </c>
      <c r="AW67" s="11" t="e">
        <f ca="1">IF(History!BA$2="","",#REF!*$C$67)</f>
        <v>#REF!</v>
      </c>
      <c r="AX67" s="11" t="e">
        <f ca="1">IF(History!BB$2="","",#REF!*$C$67)</f>
        <v>#REF!</v>
      </c>
      <c r="AY67" s="11" t="e">
        <f ca="1">IF(History!BC$2="","",#REF!*$C$67)</f>
        <v>#REF!</v>
      </c>
      <c r="AZ67" s="11" t="e">
        <f ca="1">IF(History!BD$2="","",#REF!*$C$67)</f>
        <v>#REF!</v>
      </c>
      <c r="BA67" s="11" t="e">
        <f ca="1">IF(History!BE$2="","",#REF!*$C$67)</f>
        <v>#REF!</v>
      </c>
      <c r="BB67" s="11" t="e">
        <f ca="1">IF(History!BF$2="","",#REF!*$C$67)</f>
        <v>#REF!</v>
      </c>
      <c r="BC67" s="11" t="e">
        <f ca="1">IF(History!BG$2="","",#REF!*$C$67)</f>
        <v>#REF!</v>
      </c>
      <c r="BD67" s="11" t="e">
        <f ca="1">IF(History!BH$2="","",#REF!*$C$67)</f>
        <v>#REF!</v>
      </c>
      <c r="BE67" s="11" t="e">
        <f ca="1">IF(History!BI$2="","",#REF!*$C$67)</f>
        <v>#REF!</v>
      </c>
      <c r="BF67" s="11" t="e">
        <f ca="1">IF(History!BJ$2="","",#REF!*$C$67)</f>
        <v>#REF!</v>
      </c>
      <c r="BG67" s="11" t="e">
        <f ca="1">IF(History!BK$2="","",#REF!*$C$67)</f>
        <v>#REF!</v>
      </c>
      <c r="BH67" s="11" t="e">
        <f ca="1">IF(History!BL$2="","",#REF!*$C$67)</f>
        <v>#REF!</v>
      </c>
      <c r="BI67" s="11" t="e">
        <f ca="1">IF(History!BM$2="","",#REF!*$C$67)</f>
        <v>#REF!</v>
      </c>
      <c r="BJ67" s="11" t="e">
        <f ca="1">IF(History!BN$2="","",#REF!*$C$67)</f>
        <v>#REF!</v>
      </c>
      <c r="BK67" s="11" t="e">
        <f ca="1">IF(History!BO$2="","",#REF!*$C$67)</f>
        <v>#REF!</v>
      </c>
      <c r="BL67" s="11" t="e">
        <f ca="1">IF(History!BP$2="","",#REF!*$C$67)</f>
        <v>#REF!</v>
      </c>
      <c r="BM67" s="11" t="e">
        <f ca="1">IF(History!BQ$2="","",#REF!*$C$67)</f>
        <v>#REF!</v>
      </c>
      <c r="BN67" s="11" t="e">
        <f ca="1">IF(History!BR$2="","",#REF!*$C$67)</f>
        <v>#REF!</v>
      </c>
      <c r="BO67" s="11" t="e">
        <f ca="1">IF(History!BS$2="","",#REF!*$C$67)</f>
        <v>#REF!</v>
      </c>
      <c r="BP67" s="11" t="e">
        <f ca="1">IF(History!BT$2="","",#REF!*$C$67)</f>
        <v>#REF!</v>
      </c>
      <c r="BQ67" s="11" t="e">
        <f ca="1">IF(History!BU$2="","",#REF!*$C$67)</f>
        <v>#REF!</v>
      </c>
      <c r="BR67" s="11" t="e">
        <f ca="1">IF(History!BV$2="","",#REF!*$C$67)</f>
        <v>#REF!</v>
      </c>
      <c r="BS67" s="11" t="e">
        <f ca="1">IF(History!BW$2="","",#REF!*$C$67)</f>
        <v>#REF!</v>
      </c>
      <c r="BT67" s="11" t="e">
        <f ca="1">IF(History!BX$2="","",#REF!*$C$67)</f>
        <v>#REF!</v>
      </c>
      <c r="BU67" s="11" t="e">
        <f ca="1">IF(History!BY$2="","",#REF!*$C$67)</f>
        <v>#REF!</v>
      </c>
      <c r="BV67" s="11" t="e">
        <f ca="1">IF(History!BZ$2="","",#REF!*$C$67)</f>
        <v>#REF!</v>
      </c>
      <c r="BW67" s="11" t="e">
        <f ca="1">IF(History!CA$2="","",#REF!*$C$67)</f>
        <v>#REF!</v>
      </c>
      <c r="BX67" s="11" t="e">
        <f ca="1">IF(History!CB$2="","",#REF!*$C$67)</f>
        <v>#REF!</v>
      </c>
      <c r="BY67" s="11" t="e">
        <f ca="1">IF(History!CC$2="","",#REF!*$C$67)</f>
        <v>#REF!</v>
      </c>
      <c r="BZ67" s="11" t="e">
        <f ca="1">IF(History!CD$2="","",#REF!*$C$67)</f>
        <v>#REF!</v>
      </c>
      <c r="CA67" s="11" t="e">
        <f ca="1">IF(History!CE$2="","",#REF!*$C$67)</f>
        <v>#REF!</v>
      </c>
      <c r="CB67" s="11" t="e">
        <f ca="1">IF(History!CF$2="","",#REF!*$C$67)</f>
        <v>#REF!</v>
      </c>
      <c r="CC67" s="11" t="e">
        <f ca="1">IF(History!CG$2="","",#REF!*$C$67)</f>
        <v>#REF!</v>
      </c>
      <c r="CD67" s="11" t="e">
        <f ca="1">IF(History!CH$2="","",#REF!*$C$67)</f>
        <v>#REF!</v>
      </c>
      <c r="CE67" s="11" t="e">
        <f ca="1">IF(History!CI$2="","",#REF!*$C$67)</f>
        <v>#REF!</v>
      </c>
      <c r="CF67" s="11" t="str">
        <f ca="1">IF(History!CJ$2="","",#REF!*$C$67)</f>
        <v/>
      </c>
      <c r="CG67" s="11" t="str">
        <f ca="1">IF(History!CK$2="","",#REF!*$C$67)</f>
        <v/>
      </c>
      <c r="CH67" s="11" t="str">
        <f ca="1">IF(History!CL$2="","",#REF!*$C$67)</f>
        <v/>
      </c>
      <c r="CI67" s="11" t="str">
        <f ca="1">IF(History!CM$2="","",#REF!*$C$67)</f>
        <v/>
      </c>
      <c r="CJ67" s="11" t="str">
        <f ca="1">IF(History!CN$2="","",#REF!*$C$67)</f>
        <v/>
      </c>
      <c r="CK67" s="11" t="str">
        <f ca="1">IF(History!CO$2="","",#REF!*$C$67)</f>
        <v/>
      </c>
      <c r="CL67" s="11" t="str">
        <f ca="1">IF(History!CP$2="","",#REF!*$C$67)</f>
        <v/>
      </c>
      <c r="CM67" s="11" t="str">
        <f ca="1">IF(History!CQ$2="","",#REF!*$C$67)</f>
        <v/>
      </c>
      <c r="CN67" s="11" t="str">
        <f ca="1">IF(History!CR$2="","",#REF!*$C$67)</f>
        <v/>
      </c>
      <c r="CO67" s="11" t="str">
        <f ca="1">IF(History!CS$2="","",#REF!*$C$67)</f>
        <v/>
      </c>
      <c r="CP67" s="11" t="str">
        <f ca="1">IF(History!CT$2="","",#REF!*$C$67)</f>
        <v/>
      </c>
      <c r="CQ67" s="11" t="str">
        <f ca="1">IF(History!CU$2="","",#REF!*$C$67)</f>
        <v/>
      </c>
      <c r="CR67" s="11" t="str">
        <f ca="1">IF(History!CV$2="","",#REF!*$C$67)</f>
        <v/>
      </c>
      <c r="CS67" s="11" t="str">
        <f ca="1">IF(History!CW$2="","",#REF!*$C$67)</f>
        <v/>
      </c>
      <c r="CT67" s="11" t="str">
        <f ca="1">IF(History!CX$2="","",#REF!*$C$67)</f>
        <v/>
      </c>
      <c r="CU67" s="11" t="str">
        <f ca="1">IF(History!CY$2="","",#REF!*$C$67)</f>
        <v/>
      </c>
      <c r="CV67" s="11" t="str">
        <f ca="1">IF(History!CZ$2="","",#REF!*$C$67)</f>
        <v/>
      </c>
      <c r="CW67" s="11" t="str">
        <f ca="1">IF(History!DA$2="","",#REF!*$C$67)</f>
        <v/>
      </c>
      <c r="CX67" s="11" t="str">
        <f ca="1">IF(History!DB$2="","",#REF!*$C$67)</f>
        <v/>
      </c>
      <c r="CY67" s="11" t="str">
        <f ca="1">IF(History!DC$2="","",#REF!*$C$67)</f>
        <v/>
      </c>
      <c r="CZ67" s="11" t="str">
        <f ca="1">IF(History!DD$2="","",#REF!*$C$67)</f>
        <v/>
      </c>
      <c r="DA67" s="11" t="str">
        <f ca="1">IF(History!DE$2="","",#REF!*$C$67)</f>
        <v/>
      </c>
      <c r="DB67" s="11" t="str">
        <f ca="1">IF(History!DF$2="","",#REF!*$C$67)</f>
        <v/>
      </c>
      <c r="DC67" s="11" t="str">
        <f ca="1">IF(History!DG$2="","",#REF!*$C$67)</f>
        <v/>
      </c>
      <c r="DD67" s="11" t="str">
        <f ca="1">IF(History!DH$2="","",#REF!*$C$67)</f>
        <v/>
      </c>
      <c r="DE67" s="11" t="str">
        <f ca="1">IF(History!DI$2="","",#REF!*$C$67)</f>
        <v/>
      </c>
      <c r="DF67" s="11" t="str">
        <f ca="1">IF(History!DJ$2="","",#REF!*$C$67)</f>
        <v/>
      </c>
      <c r="DG67" s="11" t="str">
        <f ca="1">IF(History!DK$2="","",#REF!*$C$67)</f>
        <v/>
      </c>
      <c r="DH67" s="11" t="str">
        <f ca="1">IF(History!DL$2="","",#REF!*$C$67)</f>
        <v/>
      </c>
      <c r="DI67" s="11" t="str">
        <f ca="1">IF(History!DM$2="","",#REF!*$C$67)</f>
        <v/>
      </c>
      <c r="DJ67" s="11" t="str">
        <f ca="1">IF(History!DN$2="","",#REF!*$C$67)</f>
        <v/>
      </c>
      <c r="DK67" s="11" t="str">
        <f ca="1">IF(History!DO$2="","",#REF!*$C$67)</f>
        <v/>
      </c>
      <c r="DL67" s="11" t="str">
        <f ca="1">IF(History!DP$2="","",#REF!*$C$67)</f>
        <v/>
      </c>
      <c r="DM67" s="11" t="str">
        <f ca="1">IF(History!DQ$2="","",#REF!*$C$67)</f>
        <v/>
      </c>
      <c r="DN67" s="11" t="str">
        <f ca="1">IF(History!DR$2="","",#REF!*$C$67)</f>
        <v/>
      </c>
      <c r="DO67" s="11" t="str">
        <f ca="1">IF(History!DS$2="","",#REF!*$C$67)</f>
        <v/>
      </c>
      <c r="DP67" s="11" t="str">
        <f ca="1">IF(History!DT$2="","",#REF!*$C$67)</f>
        <v/>
      </c>
      <c r="DQ67" s="11" t="str">
        <f ca="1">IF(History!DU$2="","",#REF!*$C$67)</f>
        <v/>
      </c>
      <c r="DR67" s="11" t="str">
        <f ca="1">IF(History!DV$2="","",#REF!*$C$67)</f>
        <v/>
      </c>
      <c r="DS67" s="11" t="str">
        <f ca="1">IF(History!DW$2="","",#REF!*$C$67)</f>
        <v/>
      </c>
      <c r="DT67" s="11" t="str">
        <f ca="1">IF(History!DX$2="","",#REF!*$C$67)</f>
        <v/>
      </c>
      <c r="DU67" s="11" t="str">
        <f ca="1">IF(History!DY$2="","",#REF!*$C$67)</f>
        <v/>
      </c>
      <c r="DV67" s="11" t="str">
        <f ca="1">IF(History!DZ$2="","",#REF!*$C$67)</f>
        <v/>
      </c>
      <c r="DW67" s="11" t="str">
        <f ca="1">IF(History!EA$2="","",#REF!*$C$67)</f>
        <v/>
      </c>
      <c r="DX67" s="11" t="str">
        <f ca="1">IF(History!EB$2="","",#REF!*$C$67)</f>
        <v/>
      </c>
      <c r="DY67" s="11" t="str">
        <f ca="1">IF(History!EC$2="","",#REF!*$C$67)</f>
        <v/>
      </c>
      <c r="DZ67" s="11" t="str">
        <f ca="1">IF(History!ED$2="","",#REF!*$C$67)</f>
        <v/>
      </c>
      <c r="EA67" s="11" t="str">
        <f ca="1">IF(History!EE$2="","",#REF!*$C$67)</f>
        <v/>
      </c>
      <c r="EB67" s="11" t="str">
        <f ca="1">IF(History!EF$2="","",#REF!*$C$67)</f>
        <v/>
      </c>
      <c r="EC67" s="11" t="str">
        <f ca="1">IF(History!EG$2="","",#REF!*$C$67)</f>
        <v/>
      </c>
      <c r="ED67" s="11" t="str">
        <f ca="1">IF(History!EH$2="","",#REF!*$C$67)</f>
        <v/>
      </c>
      <c r="EE67" s="11" t="str">
        <f ca="1">IF(History!EI$2="","",#REF!*$C$67)</f>
        <v/>
      </c>
      <c r="EF67" s="11" t="str">
        <f ca="1">IF(History!EJ$2="","",#REF!*$C$67)</f>
        <v/>
      </c>
      <c r="EG67" s="11" t="str">
        <f ca="1">IF(History!EK$2="","",#REF!*$C$67)</f>
        <v/>
      </c>
      <c r="EH67" s="11" t="str">
        <f ca="1">IF(History!EL$2="","",#REF!*$C$67)</f>
        <v/>
      </c>
      <c r="EI67" s="11" t="str">
        <f ca="1">IF(History!EM$2="","",#REF!*$C$67)</f>
        <v/>
      </c>
      <c r="EJ67" s="11" t="str">
        <f ca="1">IF(History!EN$2="","",#REF!*$C$67)</f>
        <v/>
      </c>
      <c r="EK67" s="11" t="str">
        <f ca="1">IF(History!EO$2="","",#REF!*$C$67)</f>
        <v/>
      </c>
      <c r="EL67" s="11" t="str">
        <f ca="1">IF(History!EP$2="","",#REF!*$C$67)</f>
        <v/>
      </c>
      <c r="EM67" s="11" t="str">
        <f ca="1">IF(History!EQ$2="","",#REF!*$C$67)</f>
        <v/>
      </c>
      <c r="EN67" s="11" t="str">
        <f ca="1">IF(History!ER$2="","",#REF!*$C$67)</f>
        <v/>
      </c>
      <c r="EO67" s="11" t="str">
        <f ca="1">IF(History!ES$2="","",#REF!*$C$67)</f>
        <v/>
      </c>
      <c r="EP67" s="11" t="str">
        <f ca="1">IF(History!ET$2="","",#REF!*$C$67)</f>
        <v/>
      </c>
      <c r="EQ67" s="11" t="str">
        <f ca="1">IF(History!EU$2="","",#REF!*$C$67)</f>
        <v/>
      </c>
      <c r="ER67" s="11" t="str">
        <f ca="1">IF(History!EV$2="","",#REF!*$C$67)</f>
        <v/>
      </c>
      <c r="ES67" s="11" t="str">
        <f ca="1">IF(History!EW$2="","",#REF!*$C$67)</f>
        <v/>
      </c>
      <c r="ET67" s="11" t="str">
        <f ca="1">IF(History!EX$2="","",#REF!*$C$67)</f>
        <v/>
      </c>
      <c r="EU67" s="11" t="str">
        <f ca="1">IF(History!EY$2="","",#REF!*$C$67)</f>
        <v/>
      </c>
      <c r="EV67" s="11" t="str">
        <f ca="1">IF(History!EZ$2="","",#REF!*$C$67)</f>
        <v/>
      </c>
      <c r="EW67" s="11" t="str">
        <f ca="1">IF(History!FA$2="","",#REF!*$C$67)</f>
        <v/>
      </c>
      <c r="EX67" s="11" t="str">
        <f ca="1">IF(History!FB$2="","",#REF!*$C$67)</f>
        <v/>
      </c>
      <c r="EY67" s="11" t="str">
        <f ca="1">IF(History!FC$2="","",#REF!*$C$67)</f>
        <v/>
      </c>
      <c r="EZ67" s="11" t="str">
        <f ca="1">IF(History!FD$2="","",#REF!*$C$67)</f>
        <v/>
      </c>
      <c r="FA67" s="11" t="str">
        <f ca="1">IF(History!FE$2="","",#REF!*$C$67)</f>
        <v/>
      </c>
      <c r="FB67" s="11" t="str">
        <f ca="1">IF(History!FF$2="","",#REF!*$C$67)</f>
        <v/>
      </c>
      <c r="FC67" s="11" t="str">
        <f ca="1">IF(History!FG$2="","",#REF!*$C$67)</f>
        <v/>
      </c>
      <c r="FD67" s="11" t="str">
        <f ca="1">IF(History!FH$2="","",#REF!*$C$67)</f>
        <v/>
      </c>
      <c r="FE67" s="11" t="str">
        <f ca="1">IF(History!FI$2="","",#REF!*$C$67)</f>
        <v/>
      </c>
      <c r="FF67" s="11" t="str">
        <f ca="1">IF(History!FJ$2="","",#REF!*$C$67)</f>
        <v/>
      </c>
      <c r="FG67" s="11" t="str">
        <f ca="1">IF(History!FK$2="","",#REF!*$C$67)</f>
        <v/>
      </c>
      <c r="FH67" s="11" t="str">
        <f ca="1">IF(History!FL$2="","",#REF!*$C$67)</f>
        <v/>
      </c>
      <c r="FI67" s="11" t="str">
        <f ca="1">IF(History!FM$2="","",#REF!*$C$67)</f>
        <v/>
      </c>
      <c r="FJ67" s="11" t="str">
        <f ca="1">IF(History!FN$2="","",#REF!*$C$67)</f>
        <v/>
      </c>
      <c r="FK67" s="11" t="str">
        <f ca="1">IF(History!FO$2="","",#REF!*$C$67)</f>
        <v/>
      </c>
      <c r="FL67" s="11" t="str">
        <f ca="1">IF(History!FP$2="","",#REF!*$C$67)</f>
        <v/>
      </c>
      <c r="FM67" s="11" t="str">
        <f ca="1">IF(History!FQ$2="","",#REF!*$C$67)</f>
        <v/>
      </c>
      <c r="FN67" s="11" t="str">
        <f ca="1">IF(History!FR$2="","",#REF!*$C$67)</f>
        <v/>
      </c>
      <c r="FO67" s="11" t="str">
        <f ca="1">IF(History!FS$2="","",#REF!*$C$67)</f>
        <v/>
      </c>
      <c r="FP67" s="11" t="str">
        <f ca="1">IF(History!FT$2="","",#REF!*$C$67)</f>
        <v/>
      </c>
      <c r="FQ67" s="11" t="str">
        <f ca="1">IF(History!FU$2="","",#REF!*$C$67)</f>
        <v/>
      </c>
      <c r="FR67" s="11" t="str">
        <f ca="1">IF(History!FV$2="","",#REF!*$C$67)</f>
        <v/>
      </c>
      <c r="FS67" s="11" t="str">
        <f ca="1">IF(History!FW$2="","",#REF!*$C$67)</f>
        <v/>
      </c>
      <c r="FT67" s="11" t="str">
        <f ca="1">IF(History!FX$2="","",#REF!*$C$67)</f>
        <v/>
      </c>
      <c r="FU67" s="11" t="str">
        <f ca="1">IF(History!FY$2="","",#REF!*$C$67)</f>
        <v/>
      </c>
      <c r="FV67" s="11" t="str">
        <f ca="1">IF(History!FZ$2="","",#REF!*$C$67)</f>
        <v/>
      </c>
      <c r="FW67" s="11" t="str">
        <f ca="1">IF(History!GA$2="","",#REF!*$C$67)</f>
        <v/>
      </c>
      <c r="FX67" s="11" t="str">
        <f ca="1">IF(History!GB$2="","",#REF!*$C$67)</f>
        <v/>
      </c>
      <c r="FY67" s="11" t="str">
        <f ca="1">IF(History!GC$2="","",#REF!*$C$67)</f>
        <v/>
      </c>
      <c r="FZ67" s="11" t="str">
        <f ca="1">IF(History!GD$2="","",#REF!*$C$67)</f>
        <v/>
      </c>
      <c r="GA67" s="11" t="str">
        <f ca="1">IF(History!GE$2="","",#REF!*$C$67)</f>
        <v/>
      </c>
      <c r="GB67" s="11" t="str">
        <f ca="1">IF(History!GF$2="","",#REF!*$C$67)</f>
        <v/>
      </c>
      <c r="GC67" s="11" t="str">
        <f ca="1">IF(History!GG$2="","",#REF!*$C$67)</f>
        <v/>
      </c>
      <c r="GD67" s="11" t="str">
        <f ca="1">IF(History!GH$2="","",#REF!*$C$67)</f>
        <v/>
      </c>
      <c r="GE67" s="11" t="str">
        <f ca="1">IF(History!GI$2="","",#REF!*$C$67)</f>
        <v/>
      </c>
      <c r="GF67" s="11" t="str">
        <f ca="1">IF(History!GJ$2="","",#REF!*$C$67)</f>
        <v/>
      </c>
      <c r="GG67" s="11" t="str">
        <f ca="1">IF(History!GK$2="","",#REF!*$C$67)</f>
        <v/>
      </c>
      <c r="GH67" s="11" t="str">
        <f ca="1">IF(History!GL$2="","",#REF!*$C$67)</f>
        <v/>
      </c>
      <c r="GI67" s="11" t="str">
        <f ca="1">IF(History!GM$2="","",#REF!*$C$67)</f>
        <v/>
      </c>
      <c r="GJ67" s="11" t="str">
        <f ca="1">IF(History!GN$2="","",#REF!*$C$67)</f>
        <v/>
      </c>
      <c r="GK67" s="11" t="str">
        <f ca="1">IF(History!GO$2="","",#REF!*$C$67)</f>
        <v/>
      </c>
      <c r="GL67" s="11" t="str">
        <f ca="1">IF(History!GP$2="","",#REF!*$C$67)</f>
        <v/>
      </c>
      <c r="GM67" s="11" t="str">
        <f ca="1">IF(History!GQ$2="","",#REF!*$C$67)</f>
        <v/>
      </c>
      <c r="GN67" s="11" t="str">
        <f ca="1">IF(History!GR$2="","",#REF!*$C$67)</f>
        <v/>
      </c>
      <c r="GO67" s="11" t="str">
        <f ca="1">IF(History!GS$2="","",#REF!*$C$67)</f>
        <v/>
      </c>
      <c r="GP67" s="11" t="str">
        <f ca="1">IF(History!GT$2="","",#REF!*$C$67)</f>
        <v/>
      </c>
      <c r="GQ67" s="11" t="str">
        <f ca="1">IF(History!GU$2="","",#REF!*$C$67)</f>
        <v/>
      </c>
      <c r="GR67" s="11" t="str">
        <f ca="1">IF(History!GV$2="","",#REF!*$C$67)</f>
        <v/>
      </c>
      <c r="GS67" s="11" t="str">
        <f ca="1">IF(History!GW$2="","",#REF!*$C$67)</f>
        <v/>
      </c>
      <c r="GT67" s="11" t="str">
        <f ca="1">IF(History!GX$2="","",#REF!*$C$67)</f>
        <v/>
      </c>
      <c r="GU67" s="11" t="str">
        <f ca="1">IF(History!GY$2="","",#REF!*$C$67)</f>
        <v/>
      </c>
      <c r="GV67" s="11" t="str">
        <f ca="1">IF(History!GZ$2="","",#REF!*$C$67)</f>
        <v/>
      </c>
      <c r="GW67" s="11" t="str">
        <f ca="1">IF(History!HA$2="","",#REF!*$C$67)</f>
        <v/>
      </c>
      <c r="GX67" s="11" t="str">
        <f ca="1">IF(History!HB$2="","",#REF!*$C$67)</f>
        <v/>
      </c>
      <c r="GY67" s="11" t="str">
        <f ca="1">IF(History!HC$2="","",#REF!*$C$67)</f>
        <v/>
      </c>
      <c r="GZ67" s="11" t="str">
        <f ca="1">IF(History!HD$2="","",#REF!*$C$67)</f>
        <v/>
      </c>
      <c r="HA67" s="11" t="str">
        <f ca="1">IF(History!HE$2="","",#REF!*$C$67)</f>
        <v/>
      </c>
      <c r="HB67" s="11" t="str">
        <f ca="1">IF(History!HF$2="","",#REF!*$C$67)</f>
        <v/>
      </c>
      <c r="HC67" s="11" t="str">
        <f ca="1">IF(History!HG$2="","",#REF!*$C$67)</f>
        <v/>
      </c>
      <c r="HD67" s="11" t="str">
        <f ca="1">IF(History!HH$2="","",#REF!*$C$67)</f>
        <v/>
      </c>
      <c r="HE67" s="11" t="str">
        <f ca="1">IF(History!HI$2="","",#REF!*$C$67)</f>
        <v/>
      </c>
      <c r="HF67" s="11" t="str">
        <f ca="1">IF(History!HJ$2="","",#REF!*$C$67)</f>
        <v/>
      </c>
      <c r="HG67" s="11" t="str">
        <f ca="1">IF(History!HK$2="","",#REF!*$C$67)</f>
        <v/>
      </c>
      <c r="HH67" s="11" t="str">
        <f ca="1">IF(History!HL$2="","",#REF!*$C$67)</f>
        <v/>
      </c>
      <c r="HI67" s="11" t="str">
        <f ca="1">IF(History!HM$2="","",#REF!*$C$67)</f>
        <v/>
      </c>
      <c r="HJ67" s="11" t="str">
        <f ca="1">IF(History!HN$2="","",#REF!*$C$67)</f>
        <v/>
      </c>
      <c r="HK67" s="11" t="str">
        <f ca="1">IF(History!HO$2="","",#REF!*$C$67)</f>
        <v/>
      </c>
      <c r="HL67" s="11" t="str">
        <f ca="1">IF(History!HP$2="","",#REF!*$C$67)</f>
        <v/>
      </c>
      <c r="HM67" s="11" t="str">
        <f ca="1">IF(History!HQ$2="","",#REF!*$C$67)</f>
        <v/>
      </c>
      <c r="HN67" s="11" t="str">
        <f ca="1">IF(History!HR$2="","",#REF!*$C$67)</f>
        <v/>
      </c>
      <c r="HO67" s="11" t="str">
        <f ca="1">IF(History!HS$2="","",#REF!*$C$67)</f>
        <v/>
      </c>
      <c r="HP67" s="11" t="str">
        <f ca="1">IF(History!HT$2="","",#REF!*$C$67)</f>
        <v/>
      </c>
      <c r="HQ67" s="11" t="str">
        <f ca="1">IF(History!HU$2="","",#REF!*$C$67)</f>
        <v/>
      </c>
      <c r="HR67" s="11" t="str">
        <f ca="1">IF(History!HV$2="","",#REF!*$C$67)</f>
        <v/>
      </c>
      <c r="HS67" s="11" t="str">
        <f ca="1">IF(History!HW$2="","",#REF!*$C$67)</f>
        <v/>
      </c>
      <c r="HT67" s="11" t="str">
        <f ca="1">IF(History!HX$2="","",#REF!*$C$67)</f>
        <v/>
      </c>
      <c r="HU67" s="11" t="str">
        <f ca="1">IF(History!HY$2="","",#REF!*$C$67)</f>
        <v/>
      </c>
      <c r="HV67" s="11" t="str">
        <f ca="1">IF(History!HZ$2="","",#REF!*$C$67)</f>
        <v/>
      </c>
      <c r="HW67" s="11" t="str">
        <f ca="1">IF(History!IA$2="","",#REF!*$C$67)</f>
        <v/>
      </c>
      <c r="HX67" s="11" t="str">
        <f ca="1">IF(History!IB$2="","",#REF!*$C$67)</f>
        <v/>
      </c>
      <c r="HY67" s="11" t="str">
        <f ca="1">IF(History!IC$2="","",#REF!*$C$67)</f>
        <v/>
      </c>
      <c r="HZ67" s="11" t="str">
        <f ca="1">IF(History!ID$2="","",#REF!*$C$67)</f>
        <v/>
      </c>
      <c r="IA67" s="11" t="str">
        <f ca="1">IF(History!IE$2="","",#REF!*$C$67)</f>
        <v/>
      </c>
      <c r="IB67" s="11" t="str">
        <f ca="1">IF(History!IF$2="","",#REF!*$C$67)</f>
        <v/>
      </c>
      <c r="IC67" s="11" t="str">
        <f ca="1">IF(History!IG$2="","",#REF!*$C$67)</f>
        <v/>
      </c>
      <c r="ID67" s="11" t="str">
        <f ca="1">IF(History!IH$2="","",#REF!*$C$67)</f>
        <v/>
      </c>
      <c r="IE67" s="11" t="str">
        <f ca="1">IF(History!II$2="","",#REF!*$C$67)</f>
        <v/>
      </c>
      <c r="IF67" s="11" t="str">
        <f ca="1">IF(History!IJ$2="","",#REF!*$C$67)</f>
        <v/>
      </c>
      <c r="IG67" s="11" t="str">
        <f ca="1">IF(History!IK$2="","",#REF!*$C$67)</f>
        <v/>
      </c>
      <c r="IH67" s="11" t="str">
        <f ca="1">IF(History!IL$2="","",#REF!*$C$67)</f>
        <v/>
      </c>
      <c r="II67" s="11" t="str">
        <f ca="1">IF(History!IM$2="","",#REF!*$C$67)</f>
        <v/>
      </c>
      <c r="IJ67" s="11" t="str">
        <f ca="1">IF(History!IN$2="","",#REF!*$C$67)</f>
        <v/>
      </c>
      <c r="IK67" s="11" t="str">
        <f ca="1">IF(History!IO$2="","",#REF!*$C$67)</f>
        <v/>
      </c>
      <c r="IL67" s="11" t="str">
        <f ca="1">IF(History!IP$2="","",#REF!*$C$67)</f>
        <v/>
      </c>
      <c r="IM67" s="11" t="str">
        <f ca="1">IF(History!IQ$2="","",#REF!*$C$67)</f>
        <v/>
      </c>
      <c r="IN67" s="11" t="str">
        <f ca="1">IF(History!IR$2="","",#REF!*$C$67)</f>
        <v/>
      </c>
      <c r="IO67" s="11" t="str">
        <f ca="1">IF(History!IS$2="","",#REF!*$C$67)</f>
        <v/>
      </c>
      <c r="IP67" s="11" t="str">
        <f ca="1">IF(History!IT$2="","",#REF!*$C$67)</f>
        <v/>
      </c>
      <c r="IQ67" s="11" t="str">
        <f ca="1">IF(History!IU$2="","",#REF!*$C$67)</f>
        <v/>
      </c>
      <c r="IR67" s="11" t="str">
        <f ca="1">IF(History!IV$2="","",#REF!*$C$67)</f>
        <v/>
      </c>
      <c r="IS67" s="11" t="str">
        <f ca="1">IF(History!IW$2="","",#REF!*$C$67)</f>
        <v/>
      </c>
      <c r="IT67" s="11" t="str">
        <f ca="1">IF(History!IX$2="","",#REF!*$C$67)</f>
        <v/>
      </c>
      <c r="IU67" s="11" t="str">
        <f ca="1">IF(History!IY$2="","",#REF!*$C$67)</f>
        <v/>
      </c>
      <c r="IV67" s="11" t="str">
        <f ca="1">IF(History!IZ$2="","",#REF!*$C$67)</f>
        <v/>
      </c>
      <c r="IW67" s="11" t="str">
        <f ca="1">IF(History!JA$2="","",#REF!*$C$67)</f>
        <v/>
      </c>
      <c r="IX67" s="11" t="str">
        <f ca="1">IF(History!JB$2="","",#REF!*$C$67)</f>
        <v/>
      </c>
      <c r="IY67" s="11" t="str">
        <f ca="1">IF(History!JC$2="","",#REF!*$C$67)</f>
        <v/>
      </c>
      <c r="IZ67" s="11" t="str">
        <f ca="1">IF(History!JD$2="","",#REF!*$C$67)</f>
        <v/>
      </c>
      <c r="JA67" s="11" t="str">
        <f ca="1">IF(History!JE$2="","",#REF!*$C$67)</f>
        <v/>
      </c>
      <c r="JB67" s="11" t="str">
        <f ca="1">IF(History!JF$2="","",#REF!*$C$67)</f>
        <v/>
      </c>
      <c r="JC67" s="11" t="str">
        <f ca="1">IF(History!JG$2="","",#REF!*$C$67)</f>
        <v/>
      </c>
      <c r="JD67" s="11" t="str">
        <f ca="1">IF(History!JH$2="","",#REF!*$C$67)</f>
        <v/>
      </c>
      <c r="JE67" s="11" t="str">
        <f ca="1">IF(History!JI$2="","",#REF!*$C$67)</f>
        <v/>
      </c>
      <c r="JF67" s="11" t="str">
        <f ca="1">IF(History!JJ$2="","",#REF!*$C$67)</f>
        <v/>
      </c>
      <c r="JG67" s="11" t="str">
        <f ca="1">IF(History!JK$2="","",#REF!*$C$67)</f>
        <v/>
      </c>
      <c r="JH67" s="11" t="str">
        <f ca="1">IF(History!JL$2="","",#REF!*$C$67)</f>
        <v/>
      </c>
      <c r="JI67" s="11" t="str">
        <f ca="1">IF(History!JM$2="","",#REF!*$C$67)</f>
        <v/>
      </c>
      <c r="JJ67" s="11" t="str">
        <f ca="1">IF(History!JN$2="","",#REF!*$C$67)</f>
        <v/>
      </c>
      <c r="JK67" s="11" t="str">
        <f ca="1">IF(History!JO$2="","",#REF!*$C$67)</f>
        <v/>
      </c>
      <c r="JL67" s="11" t="str">
        <f ca="1">IF(History!JP$2="","",#REF!*$C$67)</f>
        <v/>
      </c>
      <c r="JM67" s="11" t="str">
        <f ca="1">IF(History!JQ$2="","",#REF!*$C$67)</f>
        <v/>
      </c>
      <c r="JN67" s="11" t="str">
        <f ca="1">IF(History!JR$2="","",#REF!*$C$67)</f>
        <v/>
      </c>
      <c r="JO67" s="11" t="str">
        <f ca="1">IF(History!JS$2="","",#REF!*$C$67)</f>
        <v/>
      </c>
      <c r="JP67" s="11" t="str">
        <f ca="1">IF(History!JT$2="","",#REF!*$C$67)</f>
        <v/>
      </c>
      <c r="JQ67" s="11" t="str">
        <f ca="1">IF(History!JU$2="","",#REF!*$C$67)</f>
        <v/>
      </c>
      <c r="JR67" s="11" t="str">
        <f ca="1">IF(History!JV$2="","",#REF!*$C$67)</f>
        <v/>
      </c>
      <c r="JS67" s="11" t="str">
        <f ca="1">IF(History!JW$2="","",#REF!*$C$67)</f>
        <v/>
      </c>
      <c r="JT67" s="11" t="str">
        <f ca="1">IF(History!JX$2="","",#REF!*$C$67)</f>
        <v/>
      </c>
      <c r="JU67" s="11" t="str">
        <f ca="1">IF(History!JY$2="","",#REF!*$C$67)</f>
        <v/>
      </c>
      <c r="JV67" s="11" t="str">
        <f ca="1">IF(History!JZ$2="","",#REF!*$C$67)</f>
        <v/>
      </c>
      <c r="JW67" s="11" t="str">
        <f ca="1">IF(History!KA$2="","",#REF!*$C$67)</f>
        <v/>
      </c>
      <c r="JX67" s="11" t="str">
        <f ca="1">IF(History!KB$2="","",#REF!*$C$67)</f>
        <v/>
      </c>
      <c r="JY67" s="11" t="str">
        <f ca="1">IF(History!KC$2="","",#REF!*$C$67)</f>
        <v/>
      </c>
      <c r="JZ67" s="11" t="str">
        <f ca="1">IF(History!KD$2="","",#REF!*$C$67)</f>
        <v/>
      </c>
      <c r="KA67" s="11" t="str">
        <f ca="1">IF(History!KE$2="","",#REF!*$C$67)</f>
        <v/>
      </c>
      <c r="KB67" s="11" t="str">
        <f ca="1">IF(History!KF$2="","",#REF!*$C$67)</f>
        <v/>
      </c>
    </row>
    <row r="68" spans="1:288" ht="13">
      <c r="A68" s="18" t="s">
        <v>140</v>
      </c>
      <c r="B68" s="6" t="s">
        <v>147</v>
      </c>
      <c r="C68" s="26">
        <v>84</v>
      </c>
      <c r="D68" s="11" t="e">
        <f ca="1">IF(History!H$2="","",#REF!*$C$68)</f>
        <v>#REF!</v>
      </c>
      <c r="E68" s="11" t="e">
        <f ca="1">IF(History!I$2="","",#REF!*$C$68)</f>
        <v>#REF!</v>
      </c>
      <c r="F68" s="11" t="e">
        <f ca="1">IF(History!J$2="","",#REF!*$C$68)</f>
        <v>#REF!</v>
      </c>
      <c r="G68" s="11" t="e">
        <f ca="1">IF(History!K$2="","",#REF!*$C$68)</f>
        <v>#REF!</v>
      </c>
      <c r="H68" s="11" t="e">
        <f ca="1">IF(History!L$2="","",#REF!*$C$68)</f>
        <v>#REF!</v>
      </c>
      <c r="I68" s="11" t="e">
        <f ca="1">IF(History!M$2="","",#REF!*$C$68)</f>
        <v>#REF!</v>
      </c>
      <c r="J68" s="11" t="e">
        <f ca="1">IF(History!N$2="","",#REF!*$C$68)</f>
        <v>#REF!</v>
      </c>
      <c r="K68" s="11" t="e">
        <f ca="1">IF(History!O$2="","",#REF!*$C$68)</f>
        <v>#REF!</v>
      </c>
      <c r="L68" s="11" t="e">
        <f ca="1">IF(History!P$2="","",#REF!*$C$68)</f>
        <v>#REF!</v>
      </c>
      <c r="M68" s="11" t="e">
        <f ca="1">IF(History!Q$2="","",#REF!*$C$68)</f>
        <v>#REF!</v>
      </c>
      <c r="N68" s="11" t="e">
        <f ca="1">IF(History!R$2="","",#REF!*$C$68)</f>
        <v>#REF!</v>
      </c>
      <c r="O68" s="11" t="e">
        <f ca="1">IF(History!S$2="","",#REF!*$C$68)</f>
        <v>#REF!</v>
      </c>
      <c r="P68" s="11" t="e">
        <f ca="1">IF(History!T$2="","",#REF!*$C$68)</f>
        <v>#REF!</v>
      </c>
      <c r="Q68" s="11" t="e">
        <f ca="1">IF(History!U$2="","",#REF!*$C$68)</f>
        <v>#REF!</v>
      </c>
      <c r="R68" s="11" t="e">
        <f ca="1">IF(History!V$2="","",#REF!*$C$68)</f>
        <v>#REF!</v>
      </c>
      <c r="S68" s="11" t="e">
        <f ca="1">IF(History!W$2="","",#REF!*$C$68)</f>
        <v>#REF!</v>
      </c>
      <c r="T68" s="11" t="e">
        <f ca="1">IF(History!X$2="","",#REF!*$C$68)</f>
        <v>#REF!</v>
      </c>
      <c r="U68" s="11" t="e">
        <f ca="1">IF(History!Y$2="","",#REF!*$C$68)</f>
        <v>#REF!</v>
      </c>
      <c r="V68" s="11" t="e">
        <f ca="1">IF(History!Z$2="","",#REF!*$C$68)</f>
        <v>#REF!</v>
      </c>
      <c r="W68" s="11" t="e">
        <f ca="1">IF(History!AA$2="","",#REF!*$C$68)</f>
        <v>#REF!</v>
      </c>
      <c r="X68" s="11" t="e">
        <f ca="1">IF(History!AB$2="","",#REF!*$C$68)</f>
        <v>#REF!</v>
      </c>
      <c r="Y68" s="11" t="e">
        <f ca="1">IF(History!AC$2="","",#REF!*$C$68)</f>
        <v>#REF!</v>
      </c>
      <c r="Z68" s="11" t="e">
        <f ca="1">IF(History!AD$2="","",#REF!*$C$68)</f>
        <v>#REF!</v>
      </c>
      <c r="AA68" s="11" t="e">
        <f ca="1">IF(History!AE$2="","",#REF!*$C$68)</f>
        <v>#REF!</v>
      </c>
      <c r="AB68" s="11" t="e">
        <f ca="1">IF(History!AF$2="","",#REF!*$C$68)</f>
        <v>#REF!</v>
      </c>
      <c r="AC68" s="11" t="e">
        <f ca="1">IF(History!AG$2="","",#REF!*$C$68)</f>
        <v>#REF!</v>
      </c>
      <c r="AD68" s="11" t="e">
        <f ca="1">IF(History!AH$2="","",#REF!*$C$68)</f>
        <v>#REF!</v>
      </c>
      <c r="AE68" s="11" t="e">
        <f ca="1">IF(History!AI$2="","",#REF!*$C$68)</f>
        <v>#REF!</v>
      </c>
      <c r="AF68" s="11" t="e">
        <f ca="1">IF(History!AJ$2="","",#REF!*$C$68)</f>
        <v>#REF!</v>
      </c>
      <c r="AG68" s="11" t="e">
        <f ca="1">IF(History!AK$2="","",#REF!*$C$68)</f>
        <v>#REF!</v>
      </c>
      <c r="AH68" s="11" t="e">
        <f ca="1">IF(History!AL$2="","",#REF!*$C$68)</f>
        <v>#REF!</v>
      </c>
      <c r="AI68" s="11" t="e">
        <f ca="1">IF(History!AM$2="","",#REF!*$C$68)</f>
        <v>#REF!</v>
      </c>
      <c r="AJ68" s="11" t="e">
        <f ca="1">IF(History!AN$2="","",#REF!*$C$68)</f>
        <v>#REF!</v>
      </c>
      <c r="AK68" s="11" t="e">
        <f ca="1">IF(History!AO$2="","",#REF!*$C$68)</f>
        <v>#REF!</v>
      </c>
      <c r="AL68" s="11" t="e">
        <f ca="1">IF(History!AP$2="","",#REF!*$C$68)</f>
        <v>#REF!</v>
      </c>
      <c r="AM68" s="11" t="e">
        <f ca="1">IF(History!AQ$2="","",#REF!*$C$68)</f>
        <v>#REF!</v>
      </c>
      <c r="AN68" s="11" t="e">
        <f ca="1">IF(History!AR$2="","",#REF!*$C$68)</f>
        <v>#REF!</v>
      </c>
      <c r="AO68" s="11" t="e">
        <f ca="1">IF(History!AS$2="","",#REF!*$C$68)</f>
        <v>#REF!</v>
      </c>
      <c r="AP68" s="11" t="e">
        <f ca="1">IF(History!AT$2="","",#REF!*$C$68)</f>
        <v>#REF!</v>
      </c>
      <c r="AQ68" s="11" t="e">
        <f ca="1">IF(History!AU$2="","",#REF!*$C$68)</f>
        <v>#REF!</v>
      </c>
      <c r="AR68" s="11" t="e">
        <f ca="1">IF(History!AV$2="","",#REF!*$C$68)</f>
        <v>#REF!</v>
      </c>
      <c r="AS68" s="11" t="e">
        <f ca="1">IF(History!AW$2="","",#REF!*$C$68)</f>
        <v>#REF!</v>
      </c>
      <c r="AT68" s="11" t="e">
        <f ca="1">IF(History!AX$2="","",#REF!*$C$68)</f>
        <v>#REF!</v>
      </c>
      <c r="AU68" s="11" t="e">
        <f ca="1">IF(History!AY$2="","",#REF!*$C$68)</f>
        <v>#REF!</v>
      </c>
      <c r="AV68" s="11" t="e">
        <f ca="1">IF(History!AZ$2="","",#REF!*$C$68)</f>
        <v>#REF!</v>
      </c>
      <c r="AW68" s="11" t="e">
        <f ca="1">IF(History!BA$2="","",#REF!*$C$68)</f>
        <v>#REF!</v>
      </c>
      <c r="AX68" s="11" t="e">
        <f ca="1">IF(History!BB$2="","",#REF!*$C$68)</f>
        <v>#REF!</v>
      </c>
      <c r="AY68" s="11" t="e">
        <f ca="1">IF(History!BC$2="","",#REF!*$C$68)</f>
        <v>#REF!</v>
      </c>
      <c r="AZ68" s="11" t="e">
        <f ca="1">IF(History!BD$2="","",#REF!*$C$68)</f>
        <v>#REF!</v>
      </c>
      <c r="BA68" s="11" t="e">
        <f ca="1">IF(History!BE$2="","",#REF!*$C$68)</f>
        <v>#REF!</v>
      </c>
      <c r="BB68" s="11" t="e">
        <f ca="1">IF(History!BF$2="","",#REF!*$C$68)</f>
        <v>#REF!</v>
      </c>
      <c r="BC68" s="11" t="e">
        <f ca="1">IF(History!BG$2="","",#REF!*$C$68)</f>
        <v>#REF!</v>
      </c>
      <c r="BD68" s="11" t="e">
        <f ca="1">IF(History!BH$2="","",#REF!*$C$68)</f>
        <v>#REF!</v>
      </c>
      <c r="BE68" s="11" t="e">
        <f ca="1">IF(History!BI$2="","",#REF!*$C$68)</f>
        <v>#REF!</v>
      </c>
      <c r="BF68" s="11" t="e">
        <f ca="1">IF(History!BJ$2="","",#REF!*$C$68)</f>
        <v>#REF!</v>
      </c>
      <c r="BG68" s="11" t="e">
        <f ca="1">IF(History!BK$2="","",#REF!*$C$68)</f>
        <v>#REF!</v>
      </c>
      <c r="BH68" s="11" t="e">
        <f ca="1">IF(History!BL$2="","",#REF!*$C$68)</f>
        <v>#REF!</v>
      </c>
      <c r="BI68" s="11" t="e">
        <f ca="1">IF(History!BM$2="","",#REF!*$C$68)</f>
        <v>#REF!</v>
      </c>
      <c r="BJ68" s="11" t="e">
        <f ca="1">IF(History!BN$2="","",#REF!*$C$68)</f>
        <v>#REF!</v>
      </c>
      <c r="BK68" s="11" t="e">
        <f ca="1">IF(History!BO$2="","",#REF!*$C$68)</f>
        <v>#REF!</v>
      </c>
      <c r="BL68" s="11" t="e">
        <f ca="1">IF(History!BP$2="","",#REF!*$C$68)</f>
        <v>#REF!</v>
      </c>
      <c r="BM68" s="11" t="e">
        <f ca="1">IF(History!BQ$2="","",#REF!*$C$68)</f>
        <v>#REF!</v>
      </c>
      <c r="BN68" s="11" t="e">
        <f ca="1">IF(History!BR$2="","",#REF!*$C$68)</f>
        <v>#REF!</v>
      </c>
      <c r="BO68" s="11" t="e">
        <f ca="1">IF(History!BS$2="","",#REF!*$C$68)</f>
        <v>#REF!</v>
      </c>
      <c r="BP68" s="11" t="e">
        <f ca="1">IF(History!BT$2="","",#REF!*$C$68)</f>
        <v>#REF!</v>
      </c>
      <c r="BQ68" s="11" t="e">
        <f ca="1">IF(History!BU$2="","",#REF!*$C$68)</f>
        <v>#REF!</v>
      </c>
      <c r="BR68" s="11" t="e">
        <f ca="1">IF(History!BV$2="","",#REF!*$C$68)</f>
        <v>#REF!</v>
      </c>
      <c r="BS68" s="11" t="e">
        <f ca="1">IF(History!BW$2="","",#REF!*$C$68)</f>
        <v>#REF!</v>
      </c>
      <c r="BT68" s="11" t="e">
        <f ca="1">IF(History!BX$2="","",#REF!*$C$68)</f>
        <v>#REF!</v>
      </c>
      <c r="BU68" s="11" t="e">
        <f ca="1">IF(History!BY$2="","",#REF!*$C$68)</f>
        <v>#REF!</v>
      </c>
      <c r="BV68" s="11" t="e">
        <f ca="1">IF(History!BZ$2="","",#REF!*$C$68)</f>
        <v>#REF!</v>
      </c>
      <c r="BW68" s="11" t="e">
        <f ca="1">IF(History!CA$2="","",#REF!*$C$68)</f>
        <v>#REF!</v>
      </c>
      <c r="BX68" s="11" t="e">
        <f ca="1">IF(History!CB$2="","",#REF!*$C$68)</f>
        <v>#REF!</v>
      </c>
      <c r="BY68" s="11" t="e">
        <f ca="1">IF(History!CC$2="","",#REF!*$C$68)</f>
        <v>#REF!</v>
      </c>
      <c r="BZ68" s="11" t="e">
        <f ca="1">IF(History!CD$2="","",#REF!*$C$68)</f>
        <v>#REF!</v>
      </c>
      <c r="CA68" s="11" t="e">
        <f ca="1">IF(History!CE$2="","",#REF!*$C$68)</f>
        <v>#REF!</v>
      </c>
      <c r="CB68" s="11" t="e">
        <f ca="1">IF(History!CF$2="","",#REF!*$C$68)</f>
        <v>#REF!</v>
      </c>
      <c r="CC68" s="11" t="e">
        <f ca="1">IF(History!CG$2="","",#REF!*$C$68)</f>
        <v>#REF!</v>
      </c>
      <c r="CD68" s="11" t="e">
        <f ca="1">IF(History!CH$2="","",#REF!*$C$68)</f>
        <v>#REF!</v>
      </c>
      <c r="CE68" s="11" t="e">
        <f ca="1">IF(History!CI$2="","",#REF!*$C$68)</f>
        <v>#REF!</v>
      </c>
      <c r="CF68" s="11" t="str">
        <f ca="1">IF(History!CJ$2="","",#REF!*$C$68)</f>
        <v/>
      </c>
      <c r="CG68" s="11" t="str">
        <f ca="1">IF(History!CK$2="","",#REF!*$C$68)</f>
        <v/>
      </c>
      <c r="CH68" s="11" t="str">
        <f ca="1">IF(History!CL$2="","",#REF!*$C$68)</f>
        <v/>
      </c>
      <c r="CI68" s="11" t="str">
        <f ca="1">IF(History!CM$2="","",#REF!*$C$68)</f>
        <v/>
      </c>
      <c r="CJ68" s="11" t="str">
        <f ca="1">IF(History!CN$2="","",#REF!*$C$68)</f>
        <v/>
      </c>
      <c r="CK68" s="11" t="str">
        <f ca="1">IF(History!CO$2="","",#REF!*$C$68)</f>
        <v/>
      </c>
      <c r="CL68" s="11" t="str">
        <f ca="1">IF(History!CP$2="","",#REF!*$C$68)</f>
        <v/>
      </c>
      <c r="CM68" s="11" t="str">
        <f ca="1">IF(History!CQ$2="","",#REF!*$C$68)</f>
        <v/>
      </c>
      <c r="CN68" s="11" t="str">
        <f ca="1">IF(History!CR$2="","",#REF!*$C$68)</f>
        <v/>
      </c>
      <c r="CO68" s="11" t="str">
        <f ca="1">IF(History!CS$2="","",#REF!*$C$68)</f>
        <v/>
      </c>
      <c r="CP68" s="11" t="str">
        <f ca="1">IF(History!CT$2="","",#REF!*$C$68)</f>
        <v/>
      </c>
      <c r="CQ68" s="11" t="str">
        <f ca="1">IF(History!CU$2="","",#REF!*$C$68)</f>
        <v/>
      </c>
      <c r="CR68" s="11" t="str">
        <f ca="1">IF(History!CV$2="","",#REF!*$C$68)</f>
        <v/>
      </c>
      <c r="CS68" s="11" t="str">
        <f ca="1">IF(History!CW$2="","",#REF!*$C$68)</f>
        <v/>
      </c>
      <c r="CT68" s="11" t="str">
        <f ca="1">IF(History!CX$2="","",#REF!*$C$68)</f>
        <v/>
      </c>
      <c r="CU68" s="11" t="str">
        <f ca="1">IF(History!CY$2="","",#REF!*$C$68)</f>
        <v/>
      </c>
      <c r="CV68" s="11" t="str">
        <f ca="1">IF(History!CZ$2="","",#REF!*$C$68)</f>
        <v/>
      </c>
      <c r="CW68" s="11" t="str">
        <f ca="1">IF(History!DA$2="","",#REF!*$C$68)</f>
        <v/>
      </c>
      <c r="CX68" s="11" t="str">
        <f ca="1">IF(History!DB$2="","",#REF!*$C$68)</f>
        <v/>
      </c>
      <c r="CY68" s="11" t="str">
        <f ca="1">IF(History!DC$2="","",#REF!*$C$68)</f>
        <v/>
      </c>
      <c r="CZ68" s="11" t="str">
        <f ca="1">IF(History!DD$2="","",#REF!*$C$68)</f>
        <v/>
      </c>
      <c r="DA68" s="11" t="str">
        <f ca="1">IF(History!DE$2="","",#REF!*$C$68)</f>
        <v/>
      </c>
      <c r="DB68" s="11" t="str">
        <f ca="1">IF(History!DF$2="","",#REF!*$C$68)</f>
        <v/>
      </c>
      <c r="DC68" s="11" t="str">
        <f ca="1">IF(History!DG$2="","",#REF!*$C$68)</f>
        <v/>
      </c>
      <c r="DD68" s="11" t="str">
        <f ca="1">IF(History!DH$2="","",#REF!*$C$68)</f>
        <v/>
      </c>
      <c r="DE68" s="11" t="str">
        <f ca="1">IF(History!DI$2="","",#REF!*$C$68)</f>
        <v/>
      </c>
      <c r="DF68" s="11" t="str">
        <f ca="1">IF(History!DJ$2="","",#REF!*$C$68)</f>
        <v/>
      </c>
      <c r="DG68" s="11" t="str">
        <f ca="1">IF(History!DK$2="","",#REF!*$C$68)</f>
        <v/>
      </c>
      <c r="DH68" s="11" t="str">
        <f ca="1">IF(History!DL$2="","",#REF!*$C$68)</f>
        <v/>
      </c>
      <c r="DI68" s="11" t="str">
        <f ca="1">IF(History!DM$2="","",#REF!*$C$68)</f>
        <v/>
      </c>
      <c r="DJ68" s="11" t="str">
        <f ca="1">IF(History!DN$2="","",#REF!*$C$68)</f>
        <v/>
      </c>
      <c r="DK68" s="11" t="str">
        <f ca="1">IF(History!DO$2="","",#REF!*$C$68)</f>
        <v/>
      </c>
      <c r="DL68" s="11" t="str">
        <f ca="1">IF(History!DP$2="","",#REF!*$C$68)</f>
        <v/>
      </c>
      <c r="DM68" s="11" t="str">
        <f ca="1">IF(History!DQ$2="","",#REF!*$C$68)</f>
        <v/>
      </c>
      <c r="DN68" s="11" t="str">
        <f ca="1">IF(History!DR$2="","",#REF!*$C$68)</f>
        <v/>
      </c>
      <c r="DO68" s="11" t="str">
        <f ca="1">IF(History!DS$2="","",#REF!*$C$68)</f>
        <v/>
      </c>
      <c r="DP68" s="11" t="str">
        <f ca="1">IF(History!DT$2="","",#REF!*$C$68)</f>
        <v/>
      </c>
      <c r="DQ68" s="11" t="str">
        <f ca="1">IF(History!DU$2="","",#REF!*$C$68)</f>
        <v/>
      </c>
      <c r="DR68" s="11" t="str">
        <f ca="1">IF(History!DV$2="","",#REF!*$C$68)</f>
        <v/>
      </c>
      <c r="DS68" s="11" t="str">
        <f ca="1">IF(History!DW$2="","",#REF!*$C$68)</f>
        <v/>
      </c>
      <c r="DT68" s="11" t="str">
        <f ca="1">IF(History!DX$2="","",#REF!*$C$68)</f>
        <v/>
      </c>
      <c r="DU68" s="11" t="str">
        <f ca="1">IF(History!DY$2="","",#REF!*$C$68)</f>
        <v/>
      </c>
      <c r="DV68" s="11" t="str">
        <f ca="1">IF(History!DZ$2="","",#REF!*$C$68)</f>
        <v/>
      </c>
      <c r="DW68" s="11" t="str">
        <f ca="1">IF(History!EA$2="","",#REF!*$C$68)</f>
        <v/>
      </c>
      <c r="DX68" s="11" t="str">
        <f ca="1">IF(History!EB$2="","",#REF!*$C$68)</f>
        <v/>
      </c>
      <c r="DY68" s="11" t="str">
        <f ca="1">IF(History!EC$2="","",#REF!*$C$68)</f>
        <v/>
      </c>
      <c r="DZ68" s="11" t="str">
        <f ca="1">IF(History!ED$2="","",#REF!*$C$68)</f>
        <v/>
      </c>
      <c r="EA68" s="11" t="str">
        <f ca="1">IF(History!EE$2="","",#REF!*$C$68)</f>
        <v/>
      </c>
      <c r="EB68" s="11" t="str">
        <f ca="1">IF(History!EF$2="","",#REF!*$C$68)</f>
        <v/>
      </c>
      <c r="EC68" s="11" t="str">
        <f ca="1">IF(History!EG$2="","",#REF!*$C$68)</f>
        <v/>
      </c>
      <c r="ED68" s="11" t="str">
        <f ca="1">IF(History!EH$2="","",#REF!*$C$68)</f>
        <v/>
      </c>
      <c r="EE68" s="11" t="str">
        <f ca="1">IF(History!EI$2="","",#REF!*$C$68)</f>
        <v/>
      </c>
      <c r="EF68" s="11" t="str">
        <f ca="1">IF(History!EJ$2="","",#REF!*$C$68)</f>
        <v/>
      </c>
      <c r="EG68" s="11" t="str">
        <f ca="1">IF(History!EK$2="","",#REF!*$C$68)</f>
        <v/>
      </c>
      <c r="EH68" s="11" t="str">
        <f ca="1">IF(History!EL$2="","",#REF!*$C$68)</f>
        <v/>
      </c>
      <c r="EI68" s="11" t="str">
        <f ca="1">IF(History!EM$2="","",#REF!*$C$68)</f>
        <v/>
      </c>
      <c r="EJ68" s="11" t="str">
        <f ca="1">IF(History!EN$2="","",#REF!*$C$68)</f>
        <v/>
      </c>
      <c r="EK68" s="11" t="str">
        <f ca="1">IF(History!EO$2="","",#REF!*$C$68)</f>
        <v/>
      </c>
      <c r="EL68" s="11" t="str">
        <f ca="1">IF(History!EP$2="","",#REF!*$C$68)</f>
        <v/>
      </c>
      <c r="EM68" s="11" t="str">
        <f ca="1">IF(History!EQ$2="","",#REF!*$C$68)</f>
        <v/>
      </c>
      <c r="EN68" s="11" t="str">
        <f ca="1">IF(History!ER$2="","",#REF!*$C$68)</f>
        <v/>
      </c>
      <c r="EO68" s="11" t="str">
        <f ca="1">IF(History!ES$2="","",#REF!*$C$68)</f>
        <v/>
      </c>
      <c r="EP68" s="11" t="str">
        <f ca="1">IF(History!ET$2="","",#REF!*$C$68)</f>
        <v/>
      </c>
      <c r="EQ68" s="11" t="str">
        <f ca="1">IF(History!EU$2="","",#REF!*$C$68)</f>
        <v/>
      </c>
      <c r="ER68" s="11" t="str">
        <f ca="1">IF(History!EV$2="","",#REF!*$C$68)</f>
        <v/>
      </c>
      <c r="ES68" s="11" t="str">
        <f ca="1">IF(History!EW$2="","",#REF!*$C$68)</f>
        <v/>
      </c>
      <c r="ET68" s="11" t="str">
        <f ca="1">IF(History!EX$2="","",#REF!*$C$68)</f>
        <v/>
      </c>
      <c r="EU68" s="11" t="str">
        <f ca="1">IF(History!EY$2="","",#REF!*$C$68)</f>
        <v/>
      </c>
      <c r="EV68" s="11" t="str">
        <f ca="1">IF(History!EZ$2="","",#REF!*$C$68)</f>
        <v/>
      </c>
      <c r="EW68" s="11" t="str">
        <f ca="1">IF(History!FA$2="","",#REF!*$C$68)</f>
        <v/>
      </c>
      <c r="EX68" s="11" t="str">
        <f ca="1">IF(History!FB$2="","",#REF!*$C$68)</f>
        <v/>
      </c>
      <c r="EY68" s="11" t="str">
        <f ca="1">IF(History!FC$2="","",#REF!*$C$68)</f>
        <v/>
      </c>
      <c r="EZ68" s="11" t="str">
        <f ca="1">IF(History!FD$2="","",#REF!*$C$68)</f>
        <v/>
      </c>
      <c r="FA68" s="11" t="str">
        <f ca="1">IF(History!FE$2="","",#REF!*$C$68)</f>
        <v/>
      </c>
      <c r="FB68" s="11" t="str">
        <f ca="1">IF(History!FF$2="","",#REF!*$C$68)</f>
        <v/>
      </c>
      <c r="FC68" s="11" t="str">
        <f ca="1">IF(History!FG$2="","",#REF!*$C$68)</f>
        <v/>
      </c>
      <c r="FD68" s="11" t="str">
        <f ca="1">IF(History!FH$2="","",#REF!*$C$68)</f>
        <v/>
      </c>
      <c r="FE68" s="11" t="str">
        <f ca="1">IF(History!FI$2="","",#REF!*$C$68)</f>
        <v/>
      </c>
      <c r="FF68" s="11" t="str">
        <f ca="1">IF(History!FJ$2="","",#REF!*$C$68)</f>
        <v/>
      </c>
      <c r="FG68" s="11" t="str">
        <f ca="1">IF(History!FK$2="","",#REF!*$C$68)</f>
        <v/>
      </c>
      <c r="FH68" s="11" t="str">
        <f ca="1">IF(History!FL$2="","",#REF!*$C$68)</f>
        <v/>
      </c>
      <c r="FI68" s="11" t="str">
        <f ca="1">IF(History!FM$2="","",#REF!*$C$68)</f>
        <v/>
      </c>
      <c r="FJ68" s="11" t="str">
        <f ca="1">IF(History!FN$2="","",#REF!*$C$68)</f>
        <v/>
      </c>
      <c r="FK68" s="11" t="str">
        <f ca="1">IF(History!FO$2="","",#REF!*$C$68)</f>
        <v/>
      </c>
      <c r="FL68" s="11" t="str">
        <f ca="1">IF(History!FP$2="","",#REF!*$C$68)</f>
        <v/>
      </c>
      <c r="FM68" s="11" t="str">
        <f ca="1">IF(History!FQ$2="","",#REF!*$C$68)</f>
        <v/>
      </c>
      <c r="FN68" s="11" t="str">
        <f ca="1">IF(History!FR$2="","",#REF!*$C$68)</f>
        <v/>
      </c>
      <c r="FO68" s="11" t="str">
        <f ca="1">IF(History!FS$2="","",#REF!*$C$68)</f>
        <v/>
      </c>
      <c r="FP68" s="11" t="str">
        <f ca="1">IF(History!FT$2="","",#REF!*$C$68)</f>
        <v/>
      </c>
      <c r="FQ68" s="11" t="str">
        <f ca="1">IF(History!FU$2="","",#REF!*$C$68)</f>
        <v/>
      </c>
      <c r="FR68" s="11" t="str">
        <f ca="1">IF(History!FV$2="","",#REF!*$C$68)</f>
        <v/>
      </c>
      <c r="FS68" s="11" t="str">
        <f ca="1">IF(History!FW$2="","",#REF!*$C$68)</f>
        <v/>
      </c>
      <c r="FT68" s="11" t="str">
        <f ca="1">IF(History!FX$2="","",#REF!*$C$68)</f>
        <v/>
      </c>
      <c r="FU68" s="11" t="str">
        <f ca="1">IF(History!FY$2="","",#REF!*$C$68)</f>
        <v/>
      </c>
      <c r="FV68" s="11" t="str">
        <f ca="1">IF(History!FZ$2="","",#REF!*$C$68)</f>
        <v/>
      </c>
      <c r="FW68" s="11" t="str">
        <f ca="1">IF(History!GA$2="","",#REF!*$C$68)</f>
        <v/>
      </c>
      <c r="FX68" s="11" t="str">
        <f ca="1">IF(History!GB$2="","",#REF!*$C$68)</f>
        <v/>
      </c>
      <c r="FY68" s="11" t="str">
        <f ca="1">IF(History!GC$2="","",#REF!*$C$68)</f>
        <v/>
      </c>
      <c r="FZ68" s="11" t="str">
        <f ca="1">IF(History!GD$2="","",#REF!*$C$68)</f>
        <v/>
      </c>
      <c r="GA68" s="11" t="str">
        <f ca="1">IF(History!GE$2="","",#REF!*$C$68)</f>
        <v/>
      </c>
      <c r="GB68" s="11" t="str">
        <f ca="1">IF(History!GF$2="","",#REF!*$C$68)</f>
        <v/>
      </c>
      <c r="GC68" s="11" t="str">
        <f ca="1">IF(History!GG$2="","",#REF!*$C$68)</f>
        <v/>
      </c>
      <c r="GD68" s="11" t="str">
        <f ca="1">IF(History!GH$2="","",#REF!*$C$68)</f>
        <v/>
      </c>
      <c r="GE68" s="11" t="str">
        <f ca="1">IF(History!GI$2="","",#REF!*$C$68)</f>
        <v/>
      </c>
      <c r="GF68" s="11" t="str">
        <f ca="1">IF(History!GJ$2="","",#REF!*$C$68)</f>
        <v/>
      </c>
      <c r="GG68" s="11" t="str">
        <f ca="1">IF(History!GK$2="","",#REF!*$C$68)</f>
        <v/>
      </c>
      <c r="GH68" s="11" t="str">
        <f ca="1">IF(History!GL$2="","",#REF!*$C$68)</f>
        <v/>
      </c>
      <c r="GI68" s="11" t="str">
        <f ca="1">IF(History!GM$2="","",#REF!*$C$68)</f>
        <v/>
      </c>
      <c r="GJ68" s="11" t="str">
        <f ca="1">IF(History!GN$2="","",#REF!*$C$68)</f>
        <v/>
      </c>
      <c r="GK68" s="11" t="str">
        <f ca="1">IF(History!GO$2="","",#REF!*$C$68)</f>
        <v/>
      </c>
      <c r="GL68" s="11" t="str">
        <f ca="1">IF(History!GP$2="","",#REF!*$C$68)</f>
        <v/>
      </c>
      <c r="GM68" s="11" t="str">
        <f ca="1">IF(History!GQ$2="","",#REF!*$C$68)</f>
        <v/>
      </c>
      <c r="GN68" s="11" t="str">
        <f ca="1">IF(History!GR$2="","",#REF!*$C$68)</f>
        <v/>
      </c>
      <c r="GO68" s="11" t="str">
        <f ca="1">IF(History!GS$2="","",#REF!*$C$68)</f>
        <v/>
      </c>
      <c r="GP68" s="11" t="str">
        <f ca="1">IF(History!GT$2="","",#REF!*$C$68)</f>
        <v/>
      </c>
      <c r="GQ68" s="11" t="str">
        <f ca="1">IF(History!GU$2="","",#REF!*$C$68)</f>
        <v/>
      </c>
      <c r="GR68" s="11" t="str">
        <f ca="1">IF(History!GV$2="","",#REF!*$C$68)</f>
        <v/>
      </c>
      <c r="GS68" s="11" t="str">
        <f ca="1">IF(History!GW$2="","",#REF!*$C$68)</f>
        <v/>
      </c>
      <c r="GT68" s="11" t="str">
        <f ca="1">IF(History!GX$2="","",#REF!*$C$68)</f>
        <v/>
      </c>
      <c r="GU68" s="11" t="str">
        <f ca="1">IF(History!GY$2="","",#REF!*$C$68)</f>
        <v/>
      </c>
      <c r="GV68" s="11" t="str">
        <f ca="1">IF(History!GZ$2="","",#REF!*$C$68)</f>
        <v/>
      </c>
      <c r="GW68" s="11" t="str">
        <f ca="1">IF(History!HA$2="","",#REF!*$C$68)</f>
        <v/>
      </c>
      <c r="GX68" s="11" t="str">
        <f ca="1">IF(History!HB$2="","",#REF!*$C$68)</f>
        <v/>
      </c>
      <c r="GY68" s="11" t="str">
        <f ca="1">IF(History!HC$2="","",#REF!*$C$68)</f>
        <v/>
      </c>
      <c r="GZ68" s="11" t="str">
        <f ca="1">IF(History!HD$2="","",#REF!*$C$68)</f>
        <v/>
      </c>
      <c r="HA68" s="11" t="str">
        <f ca="1">IF(History!HE$2="","",#REF!*$C$68)</f>
        <v/>
      </c>
      <c r="HB68" s="11" t="str">
        <f ca="1">IF(History!HF$2="","",#REF!*$C$68)</f>
        <v/>
      </c>
      <c r="HC68" s="11" t="str">
        <f ca="1">IF(History!HG$2="","",#REF!*$C$68)</f>
        <v/>
      </c>
      <c r="HD68" s="11" t="str">
        <f ca="1">IF(History!HH$2="","",#REF!*$C$68)</f>
        <v/>
      </c>
      <c r="HE68" s="11" t="str">
        <f ca="1">IF(History!HI$2="","",#REF!*$C$68)</f>
        <v/>
      </c>
      <c r="HF68" s="11" t="str">
        <f ca="1">IF(History!HJ$2="","",#REF!*$C$68)</f>
        <v/>
      </c>
      <c r="HG68" s="11" t="str">
        <f ca="1">IF(History!HK$2="","",#REF!*$C$68)</f>
        <v/>
      </c>
      <c r="HH68" s="11" t="str">
        <f ca="1">IF(History!HL$2="","",#REF!*$C$68)</f>
        <v/>
      </c>
      <c r="HI68" s="11" t="str">
        <f ca="1">IF(History!HM$2="","",#REF!*$C$68)</f>
        <v/>
      </c>
      <c r="HJ68" s="11" t="str">
        <f ca="1">IF(History!HN$2="","",#REF!*$C$68)</f>
        <v/>
      </c>
      <c r="HK68" s="11" t="str">
        <f ca="1">IF(History!HO$2="","",#REF!*$C$68)</f>
        <v/>
      </c>
      <c r="HL68" s="11" t="str">
        <f ca="1">IF(History!HP$2="","",#REF!*$C$68)</f>
        <v/>
      </c>
      <c r="HM68" s="11" t="str">
        <f ca="1">IF(History!HQ$2="","",#REF!*$C$68)</f>
        <v/>
      </c>
      <c r="HN68" s="11" t="str">
        <f ca="1">IF(History!HR$2="","",#REF!*$C$68)</f>
        <v/>
      </c>
      <c r="HO68" s="11" t="str">
        <f ca="1">IF(History!HS$2="","",#REF!*$C$68)</f>
        <v/>
      </c>
      <c r="HP68" s="11" t="str">
        <f ca="1">IF(History!HT$2="","",#REF!*$C$68)</f>
        <v/>
      </c>
      <c r="HQ68" s="11" t="str">
        <f ca="1">IF(History!HU$2="","",#REF!*$C$68)</f>
        <v/>
      </c>
      <c r="HR68" s="11" t="str">
        <f ca="1">IF(History!HV$2="","",#REF!*$C$68)</f>
        <v/>
      </c>
      <c r="HS68" s="11" t="str">
        <f ca="1">IF(History!HW$2="","",#REF!*$C$68)</f>
        <v/>
      </c>
      <c r="HT68" s="11" t="str">
        <f ca="1">IF(History!HX$2="","",#REF!*$C$68)</f>
        <v/>
      </c>
      <c r="HU68" s="11" t="str">
        <f ca="1">IF(History!HY$2="","",#REF!*$C$68)</f>
        <v/>
      </c>
      <c r="HV68" s="11" t="str">
        <f ca="1">IF(History!HZ$2="","",#REF!*$C$68)</f>
        <v/>
      </c>
      <c r="HW68" s="11" t="str">
        <f ca="1">IF(History!IA$2="","",#REF!*$C$68)</f>
        <v/>
      </c>
      <c r="HX68" s="11" t="str">
        <f ca="1">IF(History!IB$2="","",#REF!*$C$68)</f>
        <v/>
      </c>
      <c r="HY68" s="11" t="str">
        <f ca="1">IF(History!IC$2="","",#REF!*$C$68)</f>
        <v/>
      </c>
      <c r="HZ68" s="11" t="str">
        <f ca="1">IF(History!ID$2="","",#REF!*$C$68)</f>
        <v/>
      </c>
      <c r="IA68" s="11" t="str">
        <f ca="1">IF(History!IE$2="","",#REF!*$C$68)</f>
        <v/>
      </c>
      <c r="IB68" s="11" t="str">
        <f ca="1">IF(History!IF$2="","",#REF!*$C$68)</f>
        <v/>
      </c>
      <c r="IC68" s="11" t="str">
        <f ca="1">IF(History!IG$2="","",#REF!*$C$68)</f>
        <v/>
      </c>
      <c r="ID68" s="11" t="str">
        <f ca="1">IF(History!IH$2="","",#REF!*$C$68)</f>
        <v/>
      </c>
      <c r="IE68" s="11" t="str">
        <f ca="1">IF(History!II$2="","",#REF!*$C$68)</f>
        <v/>
      </c>
      <c r="IF68" s="11" t="str">
        <f ca="1">IF(History!IJ$2="","",#REF!*$C$68)</f>
        <v/>
      </c>
      <c r="IG68" s="11" t="str">
        <f ca="1">IF(History!IK$2="","",#REF!*$C$68)</f>
        <v/>
      </c>
      <c r="IH68" s="11" t="str">
        <f ca="1">IF(History!IL$2="","",#REF!*$C$68)</f>
        <v/>
      </c>
      <c r="II68" s="11" t="str">
        <f ca="1">IF(History!IM$2="","",#REF!*$C$68)</f>
        <v/>
      </c>
      <c r="IJ68" s="11" t="str">
        <f ca="1">IF(History!IN$2="","",#REF!*$C$68)</f>
        <v/>
      </c>
      <c r="IK68" s="11" t="str">
        <f ca="1">IF(History!IO$2="","",#REF!*$C$68)</f>
        <v/>
      </c>
      <c r="IL68" s="11" t="str">
        <f ca="1">IF(History!IP$2="","",#REF!*$C$68)</f>
        <v/>
      </c>
      <c r="IM68" s="11" t="str">
        <f ca="1">IF(History!IQ$2="","",#REF!*$C$68)</f>
        <v/>
      </c>
      <c r="IN68" s="11" t="str">
        <f ca="1">IF(History!IR$2="","",#REF!*$C$68)</f>
        <v/>
      </c>
      <c r="IO68" s="11" t="str">
        <f ca="1">IF(History!IS$2="","",#REF!*$C$68)</f>
        <v/>
      </c>
      <c r="IP68" s="11" t="str">
        <f ca="1">IF(History!IT$2="","",#REF!*$C$68)</f>
        <v/>
      </c>
      <c r="IQ68" s="11" t="str">
        <f ca="1">IF(History!IU$2="","",#REF!*$C$68)</f>
        <v/>
      </c>
      <c r="IR68" s="11" t="str">
        <f ca="1">IF(History!IV$2="","",#REF!*$C$68)</f>
        <v/>
      </c>
      <c r="IS68" s="11" t="str">
        <f ca="1">IF(History!IW$2="","",#REF!*$C$68)</f>
        <v/>
      </c>
      <c r="IT68" s="11" t="str">
        <f ca="1">IF(History!IX$2="","",#REF!*$C$68)</f>
        <v/>
      </c>
      <c r="IU68" s="11" t="str">
        <f ca="1">IF(History!IY$2="","",#REF!*$C$68)</f>
        <v/>
      </c>
      <c r="IV68" s="11" t="str">
        <f ca="1">IF(History!IZ$2="","",#REF!*$C$68)</f>
        <v/>
      </c>
      <c r="IW68" s="11" t="str">
        <f ca="1">IF(History!JA$2="","",#REF!*$C$68)</f>
        <v/>
      </c>
      <c r="IX68" s="11" t="str">
        <f ca="1">IF(History!JB$2="","",#REF!*$C$68)</f>
        <v/>
      </c>
      <c r="IY68" s="11" t="str">
        <f ca="1">IF(History!JC$2="","",#REF!*$C$68)</f>
        <v/>
      </c>
      <c r="IZ68" s="11" t="str">
        <f ca="1">IF(History!JD$2="","",#REF!*$C$68)</f>
        <v/>
      </c>
      <c r="JA68" s="11" t="str">
        <f ca="1">IF(History!JE$2="","",#REF!*$C$68)</f>
        <v/>
      </c>
      <c r="JB68" s="11" t="str">
        <f ca="1">IF(History!JF$2="","",#REF!*$C$68)</f>
        <v/>
      </c>
      <c r="JC68" s="11" t="str">
        <f ca="1">IF(History!JG$2="","",#REF!*$C$68)</f>
        <v/>
      </c>
      <c r="JD68" s="11" t="str">
        <f ca="1">IF(History!JH$2="","",#REF!*$C$68)</f>
        <v/>
      </c>
      <c r="JE68" s="11" t="str">
        <f ca="1">IF(History!JI$2="","",#REF!*$C$68)</f>
        <v/>
      </c>
      <c r="JF68" s="11" t="str">
        <f ca="1">IF(History!JJ$2="","",#REF!*$C$68)</f>
        <v/>
      </c>
      <c r="JG68" s="11" t="str">
        <f ca="1">IF(History!JK$2="","",#REF!*$C$68)</f>
        <v/>
      </c>
      <c r="JH68" s="11" t="str">
        <f ca="1">IF(History!JL$2="","",#REF!*$C$68)</f>
        <v/>
      </c>
      <c r="JI68" s="11" t="str">
        <f ca="1">IF(History!JM$2="","",#REF!*$C$68)</f>
        <v/>
      </c>
      <c r="JJ68" s="11" t="str">
        <f ca="1">IF(History!JN$2="","",#REF!*$C$68)</f>
        <v/>
      </c>
      <c r="JK68" s="11" t="str">
        <f ca="1">IF(History!JO$2="","",#REF!*$C$68)</f>
        <v/>
      </c>
      <c r="JL68" s="11" t="str">
        <f ca="1">IF(History!JP$2="","",#REF!*$C$68)</f>
        <v/>
      </c>
      <c r="JM68" s="11" t="str">
        <f ca="1">IF(History!JQ$2="","",#REF!*$C$68)</f>
        <v/>
      </c>
      <c r="JN68" s="11" t="str">
        <f ca="1">IF(History!JR$2="","",#REF!*$C$68)</f>
        <v/>
      </c>
      <c r="JO68" s="11" t="str">
        <f ca="1">IF(History!JS$2="","",#REF!*$C$68)</f>
        <v/>
      </c>
      <c r="JP68" s="11" t="str">
        <f ca="1">IF(History!JT$2="","",#REF!*$C$68)</f>
        <v/>
      </c>
      <c r="JQ68" s="11" t="str">
        <f ca="1">IF(History!JU$2="","",#REF!*$C$68)</f>
        <v/>
      </c>
      <c r="JR68" s="11" t="str">
        <f ca="1">IF(History!JV$2="","",#REF!*$C$68)</f>
        <v/>
      </c>
      <c r="JS68" s="11" t="str">
        <f ca="1">IF(History!JW$2="","",#REF!*$C$68)</f>
        <v/>
      </c>
      <c r="JT68" s="11" t="str">
        <f ca="1">IF(History!JX$2="","",#REF!*$C$68)</f>
        <v/>
      </c>
      <c r="JU68" s="11" t="str">
        <f ca="1">IF(History!JY$2="","",#REF!*$C$68)</f>
        <v/>
      </c>
      <c r="JV68" s="11" t="str">
        <f ca="1">IF(History!JZ$2="","",#REF!*$C$68)</f>
        <v/>
      </c>
      <c r="JW68" s="11" t="str">
        <f ca="1">IF(History!KA$2="","",#REF!*$C$68)</f>
        <v/>
      </c>
      <c r="JX68" s="11" t="str">
        <f ca="1">IF(History!KB$2="","",#REF!*$C$68)</f>
        <v/>
      </c>
      <c r="JY68" s="11" t="str">
        <f ca="1">IF(History!KC$2="","",#REF!*$C$68)</f>
        <v/>
      </c>
      <c r="JZ68" s="11" t="str">
        <f ca="1">IF(History!KD$2="","",#REF!*$C$68)</f>
        <v/>
      </c>
      <c r="KA68" s="11" t="str">
        <f ca="1">IF(History!KE$2="","",#REF!*$C$68)</f>
        <v/>
      </c>
      <c r="KB68" s="11" t="str">
        <f ca="1">IF(History!KF$2="","",#REF!*$C$68)</f>
        <v/>
      </c>
    </row>
    <row r="69" spans="1:288" ht="13">
      <c r="A69" s="18" t="s">
        <v>140</v>
      </c>
      <c r="B69" s="6" t="s">
        <v>148</v>
      </c>
      <c r="C69" s="26">
        <v>146</v>
      </c>
      <c r="D69" s="11" t="e">
        <f ca="1">IF(History!H$2="","",#REF!*$C$69)</f>
        <v>#REF!</v>
      </c>
      <c r="E69" s="11" t="e">
        <f ca="1">IF(History!I$2="","",#REF!*$C$69)</f>
        <v>#REF!</v>
      </c>
      <c r="F69" s="11" t="e">
        <f ca="1">IF(History!J$2="","",#REF!*$C$69)</f>
        <v>#REF!</v>
      </c>
      <c r="G69" s="11" t="e">
        <f ca="1">IF(History!K$2="","",#REF!*$C$69)</f>
        <v>#REF!</v>
      </c>
      <c r="H69" s="11" t="e">
        <f ca="1">IF(History!L$2="","",#REF!*$C$69)</f>
        <v>#REF!</v>
      </c>
      <c r="I69" s="11" t="e">
        <f ca="1">IF(History!M$2="","",#REF!*$C$69)</f>
        <v>#REF!</v>
      </c>
      <c r="J69" s="11" t="e">
        <f ca="1">IF(History!N$2="","",#REF!*$C$69)</f>
        <v>#REF!</v>
      </c>
      <c r="K69" s="11" t="e">
        <f ca="1">IF(History!O$2="","",#REF!*$C$69)</f>
        <v>#REF!</v>
      </c>
      <c r="L69" s="11" t="e">
        <f ca="1">IF(History!P$2="","",#REF!*$C$69)</f>
        <v>#REF!</v>
      </c>
      <c r="M69" s="11" t="e">
        <f ca="1">IF(History!Q$2="","",#REF!*$C$69)</f>
        <v>#REF!</v>
      </c>
      <c r="N69" s="11" t="e">
        <f ca="1">IF(History!R$2="","",#REF!*$C$69)</f>
        <v>#REF!</v>
      </c>
      <c r="O69" s="11" t="e">
        <f ca="1">IF(History!S$2="","",#REF!*$C$69)</f>
        <v>#REF!</v>
      </c>
      <c r="P69" s="11" t="e">
        <f ca="1">IF(History!T$2="","",#REF!*$C$69)</f>
        <v>#REF!</v>
      </c>
      <c r="Q69" s="11" t="e">
        <f ca="1">IF(History!U$2="","",#REF!*$C$69)</f>
        <v>#REF!</v>
      </c>
      <c r="R69" s="11" t="e">
        <f ca="1">IF(History!V$2="","",#REF!*$C$69)</f>
        <v>#REF!</v>
      </c>
      <c r="S69" s="11" t="e">
        <f ca="1">IF(History!W$2="","",#REF!*$C$69)</f>
        <v>#REF!</v>
      </c>
      <c r="T69" s="11" t="e">
        <f ca="1">IF(History!X$2="","",#REF!*$C$69)</f>
        <v>#REF!</v>
      </c>
      <c r="U69" s="11" t="e">
        <f ca="1">IF(History!Y$2="","",#REF!*$C$69)</f>
        <v>#REF!</v>
      </c>
      <c r="V69" s="11" t="e">
        <f ca="1">IF(History!Z$2="","",#REF!*$C$69)</f>
        <v>#REF!</v>
      </c>
      <c r="W69" s="11" t="e">
        <f ca="1">IF(History!AA$2="","",#REF!*$C$69)</f>
        <v>#REF!</v>
      </c>
      <c r="X69" s="11" t="e">
        <f ca="1">IF(History!AB$2="","",#REF!*$C$69)</f>
        <v>#REF!</v>
      </c>
      <c r="Y69" s="11" t="e">
        <f ca="1">IF(History!AC$2="","",#REF!*$C$69)</f>
        <v>#REF!</v>
      </c>
      <c r="Z69" s="11" t="e">
        <f ca="1">IF(History!AD$2="","",#REF!*$C$69)</f>
        <v>#REF!</v>
      </c>
      <c r="AA69" s="11" t="e">
        <f ca="1">IF(History!AE$2="","",#REF!*$C$69)</f>
        <v>#REF!</v>
      </c>
      <c r="AB69" s="11" t="e">
        <f ca="1">IF(History!AF$2="","",#REF!*$C$69)</f>
        <v>#REF!</v>
      </c>
      <c r="AC69" s="11" t="e">
        <f ca="1">IF(History!AG$2="","",#REF!*$C$69)</f>
        <v>#REF!</v>
      </c>
      <c r="AD69" s="11" t="e">
        <f ca="1">IF(History!AH$2="","",#REF!*$C$69)</f>
        <v>#REF!</v>
      </c>
      <c r="AE69" s="11" t="e">
        <f ca="1">IF(History!AI$2="","",#REF!*$C$69)</f>
        <v>#REF!</v>
      </c>
      <c r="AF69" s="11" t="e">
        <f ca="1">IF(History!AJ$2="","",#REF!*$C$69)</f>
        <v>#REF!</v>
      </c>
      <c r="AG69" s="11" t="e">
        <f ca="1">IF(History!AK$2="","",#REF!*$C$69)</f>
        <v>#REF!</v>
      </c>
      <c r="AH69" s="11" t="e">
        <f ca="1">IF(History!AL$2="","",#REF!*$C$69)</f>
        <v>#REF!</v>
      </c>
      <c r="AI69" s="11" t="e">
        <f ca="1">IF(History!AM$2="","",#REF!*$C$69)</f>
        <v>#REF!</v>
      </c>
      <c r="AJ69" s="11" t="e">
        <f ca="1">IF(History!AN$2="","",#REF!*$C$69)</f>
        <v>#REF!</v>
      </c>
      <c r="AK69" s="11" t="e">
        <f ca="1">IF(History!AO$2="","",#REF!*$C$69)</f>
        <v>#REF!</v>
      </c>
      <c r="AL69" s="11" t="e">
        <f ca="1">IF(History!AP$2="","",#REF!*$C$69)</f>
        <v>#REF!</v>
      </c>
      <c r="AM69" s="11" t="e">
        <f ca="1">IF(History!AQ$2="","",#REF!*$C$69)</f>
        <v>#REF!</v>
      </c>
      <c r="AN69" s="11" t="e">
        <f ca="1">IF(History!AR$2="","",#REF!*$C$69)</f>
        <v>#REF!</v>
      </c>
      <c r="AO69" s="11" t="e">
        <f ca="1">IF(History!AS$2="","",#REF!*$C$69)</f>
        <v>#REF!</v>
      </c>
      <c r="AP69" s="11" t="e">
        <f ca="1">IF(History!AT$2="","",#REF!*$C$69)</f>
        <v>#REF!</v>
      </c>
      <c r="AQ69" s="11" t="e">
        <f ca="1">IF(History!AU$2="","",#REF!*$C$69)</f>
        <v>#REF!</v>
      </c>
      <c r="AR69" s="11" t="e">
        <f ca="1">IF(History!AV$2="","",#REF!*$C$69)</f>
        <v>#REF!</v>
      </c>
      <c r="AS69" s="11" t="e">
        <f ca="1">IF(History!AW$2="","",#REF!*$C$69)</f>
        <v>#REF!</v>
      </c>
      <c r="AT69" s="11" t="e">
        <f ca="1">IF(History!AX$2="","",#REF!*$C$69)</f>
        <v>#REF!</v>
      </c>
      <c r="AU69" s="11" t="e">
        <f ca="1">IF(History!AY$2="","",#REF!*$C$69)</f>
        <v>#REF!</v>
      </c>
      <c r="AV69" s="11" t="e">
        <f ca="1">IF(History!AZ$2="","",#REF!*$C$69)</f>
        <v>#REF!</v>
      </c>
      <c r="AW69" s="11" t="e">
        <f ca="1">IF(History!BA$2="","",#REF!*$C$69)</f>
        <v>#REF!</v>
      </c>
      <c r="AX69" s="11" t="e">
        <f ca="1">IF(History!BB$2="","",#REF!*$C$69)</f>
        <v>#REF!</v>
      </c>
      <c r="AY69" s="11" t="e">
        <f ca="1">IF(History!BC$2="","",#REF!*$C$69)</f>
        <v>#REF!</v>
      </c>
      <c r="AZ69" s="11" t="e">
        <f ca="1">IF(History!BD$2="","",#REF!*$C$69)</f>
        <v>#REF!</v>
      </c>
      <c r="BA69" s="11" t="e">
        <f ca="1">IF(History!BE$2="","",#REF!*$C$69)</f>
        <v>#REF!</v>
      </c>
      <c r="BB69" s="11" t="e">
        <f ca="1">IF(History!BF$2="","",#REF!*$C$69)</f>
        <v>#REF!</v>
      </c>
      <c r="BC69" s="11" t="e">
        <f ca="1">IF(History!BG$2="","",#REF!*$C$69)</f>
        <v>#REF!</v>
      </c>
      <c r="BD69" s="11" t="e">
        <f ca="1">IF(History!BH$2="","",#REF!*$C$69)</f>
        <v>#REF!</v>
      </c>
      <c r="BE69" s="11" t="e">
        <f ca="1">IF(History!BI$2="","",#REF!*$C$69)</f>
        <v>#REF!</v>
      </c>
      <c r="BF69" s="11" t="e">
        <f ca="1">IF(History!BJ$2="","",#REF!*$C$69)</f>
        <v>#REF!</v>
      </c>
      <c r="BG69" s="11" t="e">
        <f ca="1">IF(History!BK$2="","",#REF!*$C$69)</f>
        <v>#REF!</v>
      </c>
      <c r="BH69" s="11" t="e">
        <f ca="1">IF(History!BL$2="","",#REF!*$C$69)</f>
        <v>#REF!</v>
      </c>
      <c r="BI69" s="11" t="e">
        <f ca="1">IF(History!BM$2="","",#REF!*$C$69)</f>
        <v>#REF!</v>
      </c>
      <c r="BJ69" s="11" t="e">
        <f ca="1">IF(History!BN$2="","",#REF!*$C$69)</f>
        <v>#REF!</v>
      </c>
      <c r="BK69" s="11" t="e">
        <f ca="1">IF(History!BO$2="","",#REF!*$C$69)</f>
        <v>#REF!</v>
      </c>
      <c r="BL69" s="11" t="e">
        <f ca="1">IF(History!BP$2="","",#REF!*$C$69)</f>
        <v>#REF!</v>
      </c>
      <c r="BM69" s="11" t="e">
        <f ca="1">IF(History!BQ$2="","",#REF!*$C$69)</f>
        <v>#REF!</v>
      </c>
      <c r="BN69" s="11" t="e">
        <f ca="1">IF(History!BR$2="","",#REF!*$C$69)</f>
        <v>#REF!</v>
      </c>
      <c r="BO69" s="11" t="e">
        <f ca="1">IF(History!BS$2="","",#REF!*$C$69)</f>
        <v>#REF!</v>
      </c>
      <c r="BP69" s="11" t="e">
        <f ca="1">IF(History!BT$2="","",#REF!*$C$69)</f>
        <v>#REF!</v>
      </c>
      <c r="BQ69" s="11" t="e">
        <f ca="1">IF(History!BU$2="","",#REF!*$C$69)</f>
        <v>#REF!</v>
      </c>
      <c r="BR69" s="11" t="e">
        <f ca="1">IF(History!BV$2="","",#REF!*$C$69)</f>
        <v>#REF!</v>
      </c>
      <c r="BS69" s="11" t="e">
        <f ca="1">IF(History!BW$2="","",#REF!*$C$69)</f>
        <v>#REF!</v>
      </c>
      <c r="BT69" s="11" t="e">
        <f ca="1">IF(History!BX$2="","",#REF!*$C$69)</f>
        <v>#REF!</v>
      </c>
      <c r="BU69" s="11" t="e">
        <f ca="1">IF(History!BY$2="","",#REF!*$C$69)</f>
        <v>#REF!</v>
      </c>
      <c r="BV69" s="11" t="e">
        <f ca="1">IF(History!BZ$2="","",#REF!*$C$69)</f>
        <v>#REF!</v>
      </c>
      <c r="BW69" s="11" t="e">
        <f ca="1">IF(History!CA$2="","",#REF!*$C$69)</f>
        <v>#REF!</v>
      </c>
      <c r="BX69" s="11" t="e">
        <f ca="1">IF(History!CB$2="","",#REF!*$C$69)</f>
        <v>#REF!</v>
      </c>
      <c r="BY69" s="11" t="e">
        <f ca="1">IF(History!CC$2="","",#REF!*$C$69)</f>
        <v>#REF!</v>
      </c>
      <c r="BZ69" s="11" t="e">
        <f ca="1">IF(History!CD$2="","",#REF!*$C$69)</f>
        <v>#REF!</v>
      </c>
      <c r="CA69" s="11" t="e">
        <f ca="1">IF(History!CE$2="","",#REF!*$C$69)</f>
        <v>#REF!</v>
      </c>
      <c r="CB69" s="11" t="e">
        <f ca="1">IF(History!CF$2="","",#REF!*$C$69)</f>
        <v>#REF!</v>
      </c>
      <c r="CC69" s="11" t="e">
        <f ca="1">IF(History!CG$2="","",#REF!*$C$69)</f>
        <v>#REF!</v>
      </c>
      <c r="CD69" s="11" t="e">
        <f ca="1">IF(History!CH$2="","",#REF!*$C$69)</f>
        <v>#REF!</v>
      </c>
      <c r="CE69" s="11" t="e">
        <f ca="1">IF(History!CI$2="","",#REF!*$C$69)</f>
        <v>#REF!</v>
      </c>
      <c r="CF69" s="11" t="str">
        <f ca="1">IF(History!CJ$2="","",#REF!*$C$69)</f>
        <v/>
      </c>
      <c r="CG69" s="11" t="str">
        <f ca="1">IF(History!CK$2="","",#REF!*$C$69)</f>
        <v/>
      </c>
      <c r="CH69" s="11" t="str">
        <f ca="1">IF(History!CL$2="","",#REF!*$C$69)</f>
        <v/>
      </c>
      <c r="CI69" s="11" t="str">
        <f ca="1">IF(History!CM$2="","",#REF!*$C$69)</f>
        <v/>
      </c>
      <c r="CJ69" s="11" t="str">
        <f ca="1">IF(History!CN$2="","",#REF!*$C$69)</f>
        <v/>
      </c>
      <c r="CK69" s="11" t="str">
        <f ca="1">IF(History!CO$2="","",#REF!*$C$69)</f>
        <v/>
      </c>
      <c r="CL69" s="11" t="str">
        <f ca="1">IF(History!CP$2="","",#REF!*$C$69)</f>
        <v/>
      </c>
      <c r="CM69" s="11" t="str">
        <f ca="1">IF(History!CQ$2="","",#REF!*$C$69)</f>
        <v/>
      </c>
      <c r="CN69" s="11" t="str">
        <f ca="1">IF(History!CR$2="","",#REF!*$C$69)</f>
        <v/>
      </c>
      <c r="CO69" s="11" t="str">
        <f ca="1">IF(History!CS$2="","",#REF!*$C$69)</f>
        <v/>
      </c>
      <c r="CP69" s="11" t="str">
        <f ca="1">IF(History!CT$2="","",#REF!*$C$69)</f>
        <v/>
      </c>
      <c r="CQ69" s="11" t="str">
        <f ca="1">IF(History!CU$2="","",#REF!*$C$69)</f>
        <v/>
      </c>
      <c r="CR69" s="11" t="str">
        <f ca="1">IF(History!CV$2="","",#REF!*$C$69)</f>
        <v/>
      </c>
      <c r="CS69" s="11" t="str">
        <f ca="1">IF(History!CW$2="","",#REF!*$C$69)</f>
        <v/>
      </c>
      <c r="CT69" s="11" t="str">
        <f ca="1">IF(History!CX$2="","",#REF!*$C$69)</f>
        <v/>
      </c>
      <c r="CU69" s="11" t="str">
        <f ca="1">IF(History!CY$2="","",#REF!*$C$69)</f>
        <v/>
      </c>
      <c r="CV69" s="11" t="str">
        <f ca="1">IF(History!CZ$2="","",#REF!*$C$69)</f>
        <v/>
      </c>
      <c r="CW69" s="11" t="str">
        <f ca="1">IF(History!DA$2="","",#REF!*$C$69)</f>
        <v/>
      </c>
      <c r="CX69" s="11" t="str">
        <f ca="1">IF(History!DB$2="","",#REF!*$C$69)</f>
        <v/>
      </c>
      <c r="CY69" s="11" t="str">
        <f ca="1">IF(History!DC$2="","",#REF!*$C$69)</f>
        <v/>
      </c>
      <c r="CZ69" s="11" t="str">
        <f ca="1">IF(History!DD$2="","",#REF!*$C$69)</f>
        <v/>
      </c>
      <c r="DA69" s="11" t="str">
        <f ca="1">IF(History!DE$2="","",#REF!*$C$69)</f>
        <v/>
      </c>
      <c r="DB69" s="11" t="str">
        <f ca="1">IF(History!DF$2="","",#REF!*$C$69)</f>
        <v/>
      </c>
      <c r="DC69" s="11" t="str">
        <f ca="1">IF(History!DG$2="","",#REF!*$C$69)</f>
        <v/>
      </c>
      <c r="DD69" s="11" t="str">
        <f ca="1">IF(History!DH$2="","",#REF!*$C$69)</f>
        <v/>
      </c>
      <c r="DE69" s="11" t="str">
        <f ca="1">IF(History!DI$2="","",#REF!*$C$69)</f>
        <v/>
      </c>
      <c r="DF69" s="11" t="str">
        <f ca="1">IF(History!DJ$2="","",#REF!*$C$69)</f>
        <v/>
      </c>
      <c r="DG69" s="11" t="str">
        <f ca="1">IF(History!DK$2="","",#REF!*$C$69)</f>
        <v/>
      </c>
      <c r="DH69" s="11" t="str">
        <f ca="1">IF(History!DL$2="","",#REF!*$C$69)</f>
        <v/>
      </c>
      <c r="DI69" s="11" t="str">
        <f ca="1">IF(History!DM$2="","",#REF!*$C$69)</f>
        <v/>
      </c>
      <c r="DJ69" s="11" t="str">
        <f ca="1">IF(History!DN$2="","",#REF!*$C$69)</f>
        <v/>
      </c>
      <c r="DK69" s="11" t="str">
        <f ca="1">IF(History!DO$2="","",#REF!*$C$69)</f>
        <v/>
      </c>
      <c r="DL69" s="11" t="str">
        <f ca="1">IF(History!DP$2="","",#REF!*$C$69)</f>
        <v/>
      </c>
      <c r="DM69" s="11" t="str">
        <f ca="1">IF(History!DQ$2="","",#REF!*$C$69)</f>
        <v/>
      </c>
      <c r="DN69" s="11" t="str">
        <f ca="1">IF(History!DR$2="","",#REF!*$C$69)</f>
        <v/>
      </c>
      <c r="DO69" s="11" t="str">
        <f ca="1">IF(History!DS$2="","",#REF!*$C$69)</f>
        <v/>
      </c>
      <c r="DP69" s="11" t="str">
        <f ca="1">IF(History!DT$2="","",#REF!*$C$69)</f>
        <v/>
      </c>
      <c r="DQ69" s="11" t="str">
        <f ca="1">IF(History!DU$2="","",#REF!*$C$69)</f>
        <v/>
      </c>
      <c r="DR69" s="11" t="str">
        <f ca="1">IF(History!DV$2="","",#REF!*$C$69)</f>
        <v/>
      </c>
      <c r="DS69" s="11" t="str">
        <f ca="1">IF(History!DW$2="","",#REF!*$C$69)</f>
        <v/>
      </c>
      <c r="DT69" s="11" t="str">
        <f ca="1">IF(History!DX$2="","",#REF!*$C$69)</f>
        <v/>
      </c>
      <c r="DU69" s="11" t="str">
        <f ca="1">IF(History!DY$2="","",#REF!*$C$69)</f>
        <v/>
      </c>
      <c r="DV69" s="11" t="str">
        <f ca="1">IF(History!DZ$2="","",#REF!*$C$69)</f>
        <v/>
      </c>
      <c r="DW69" s="11" t="str">
        <f ca="1">IF(History!EA$2="","",#REF!*$C$69)</f>
        <v/>
      </c>
      <c r="DX69" s="11" t="str">
        <f ca="1">IF(History!EB$2="","",#REF!*$C$69)</f>
        <v/>
      </c>
      <c r="DY69" s="11" t="str">
        <f ca="1">IF(History!EC$2="","",#REF!*$C$69)</f>
        <v/>
      </c>
      <c r="DZ69" s="11" t="str">
        <f ca="1">IF(History!ED$2="","",#REF!*$C$69)</f>
        <v/>
      </c>
      <c r="EA69" s="11" t="str">
        <f ca="1">IF(History!EE$2="","",#REF!*$C$69)</f>
        <v/>
      </c>
      <c r="EB69" s="11" t="str">
        <f ca="1">IF(History!EF$2="","",#REF!*$C$69)</f>
        <v/>
      </c>
      <c r="EC69" s="11" t="str">
        <f ca="1">IF(History!EG$2="","",#REF!*$C$69)</f>
        <v/>
      </c>
      <c r="ED69" s="11" t="str">
        <f ca="1">IF(History!EH$2="","",#REF!*$C$69)</f>
        <v/>
      </c>
      <c r="EE69" s="11" t="str">
        <f ca="1">IF(History!EI$2="","",#REF!*$C$69)</f>
        <v/>
      </c>
      <c r="EF69" s="11" t="str">
        <f ca="1">IF(History!EJ$2="","",#REF!*$C$69)</f>
        <v/>
      </c>
      <c r="EG69" s="11" t="str">
        <f ca="1">IF(History!EK$2="","",#REF!*$C$69)</f>
        <v/>
      </c>
      <c r="EH69" s="11" t="str">
        <f ca="1">IF(History!EL$2="","",#REF!*$C$69)</f>
        <v/>
      </c>
      <c r="EI69" s="11" t="str">
        <f ca="1">IF(History!EM$2="","",#REF!*$C$69)</f>
        <v/>
      </c>
      <c r="EJ69" s="11" t="str">
        <f ca="1">IF(History!EN$2="","",#REF!*$C$69)</f>
        <v/>
      </c>
      <c r="EK69" s="11" t="str">
        <f ca="1">IF(History!EO$2="","",#REF!*$C$69)</f>
        <v/>
      </c>
      <c r="EL69" s="11" t="str">
        <f ca="1">IF(History!EP$2="","",#REF!*$C$69)</f>
        <v/>
      </c>
      <c r="EM69" s="11" t="str">
        <f ca="1">IF(History!EQ$2="","",#REF!*$C$69)</f>
        <v/>
      </c>
      <c r="EN69" s="11" t="str">
        <f ca="1">IF(History!ER$2="","",#REF!*$C$69)</f>
        <v/>
      </c>
      <c r="EO69" s="11" t="str">
        <f ca="1">IF(History!ES$2="","",#REF!*$C$69)</f>
        <v/>
      </c>
      <c r="EP69" s="11" t="str">
        <f ca="1">IF(History!ET$2="","",#REF!*$C$69)</f>
        <v/>
      </c>
      <c r="EQ69" s="11" t="str">
        <f ca="1">IF(History!EU$2="","",#REF!*$C$69)</f>
        <v/>
      </c>
      <c r="ER69" s="11" t="str">
        <f ca="1">IF(History!EV$2="","",#REF!*$C$69)</f>
        <v/>
      </c>
      <c r="ES69" s="11" t="str">
        <f ca="1">IF(History!EW$2="","",#REF!*$C$69)</f>
        <v/>
      </c>
      <c r="ET69" s="11" t="str">
        <f ca="1">IF(History!EX$2="","",#REF!*$C$69)</f>
        <v/>
      </c>
      <c r="EU69" s="11" t="str">
        <f ca="1">IF(History!EY$2="","",#REF!*$C$69)</f>
        <v/>
      </c>
      <c r="EV69" s="11" t="str">
        <f ca="1">IF(History!EZ$2="","",#REF!*$C$69)</f>
        <v/>
      </c>
      <c r="EW69" s="11" t="str">
        <f ca="1">IF(History!FA$2="","",#REF!*$C$69)</f>
        <v/>
      </c>
      <c r="EX69" s="11" t="str">
        <f ca="1">IF(History!FB$2="","",#REF!*$C$69)</f>
        <v/>
      </c>
      <c r="EY69" s="11" t="str">
        <f ca="1">IF(History!FC$2="","",#REF!*$C$69)</f>
        <v/>
      </c>
      <c r="EZ69" s="11" t="str">
        <f ca="1">IF(History!FD$2="","",#REF!*$C$69)</f>
        <v/>
      </c>
      <c r="FA69" s="11" t="str">
        <f ca="1">IF(History!FE$2="","",#REF!*$C$69)</f>
        <v/>
      </c>
      <c r="FB69" s="11" t="str">
        <f ca="1">IF(History!FF$2="","",#REF!*$C$69)</f>
        <v/>
      </c>
      <c r="FC69" s="11" t="str">
        <f ca="1">IF(History!FG$2="","",#REF!*$C$69)</f>
        <v/>
      </c>
      <c r="FD69" s="11" t="str">
        <f ca="1">IF(History!FH$2="","",#REF!*$C$69)</f>
        <v/>
      </c>
      <c r="FE69" s="11" t="str">
        <f ca="1">IF(History!FI$2="","",#REF!*$C$69)</f>
        <v/>
      </c>
      <c r="FF69" s="11" t="str">
        <f ca="1">IF(History!FJ$2="","",#REF!*$C$69)</f>
        <v/>
      </c>
      <c r="FG69" s="11" t="str">
        <f ca="1">IF(History!FK$2="","",#REF!*$C$69)</f>
        <v/>
      </c>
      <c r="FH69" s="11" t="str">
        <f ca="1">IF(History!FL$2="","",#REF!*$C$69)</f>
        <v/>
      </c>
      <c r="FI69" s="11" t="str">
        <f ca="1">IF(History!FM$2="","",#REF!*$C$69)</f>
        <v/>
      </c>
      <c r="FJ69" s="11" t="str">
        <f ca="1">IF(History!FN$2="","",#REF!*$C$69)</f>
        <v/>
      </c>
      <c r="FK69" s="11" t="str">
        <f ca="1">IF(History!FO$2="","",#REF!*$C$69)</f>
        <v/>
      </c>
      <c r="FL69" s="11" t="str">
        <f ca="1">IF(History!FP$2="","",#REF!*$C$69)</f>
        <v/>
      </c>
      <c r="FM69" s="11" t="str">
        <f ca="1">IF(History!FQ$2="","",#REF!*$C$69)</f>
        <v/>
      </c>
      <c r="FN69" s="11" t="str">
        <f ca="1">IF(History!FR$2="","",#REF!*$C$69)</f>
        <v/>
      </c>
      <c r="FO69" s="11" t="str">
        <f ca="1">IF(History!FS$2="","",#REF!*$C$69)</f>
        <v/>
      </c>
      <c r="FP69" s="11" t="str">
        <f ca="1">IF(History!FT$2="","",#REF!*$C$69)</f>
        <v/>
      </c>
      <c r="FQ69" s="11" t="str">
        <f ca="1">IF(History!FU$2="","",#REF!*$C$69)</f>
        <v/>
      </c>
      <c r="FR69" s="11" t="str">
        <f ca="1">IF(History!FV$2="","",#REF!*$C$69)</f>
        <v/>
      </c>
      <c r="FS69" s="11" t="str">
        <f ca="1">IF(History!FW$2="","",#REF!*$C$69)</f>
        <v/>
      </c>
      <c r="FT69" s="11" t="str">
        <f ca="1">IF(History!FX$2="","",#REF!*$C$69)</f>
        <v/>
      </c>
      <c r="FU69" s="11" t="str">
        <f ca="1">IF(History!FY$2="","",#REF!*$C$69)</f>
        <v/>
      </c>
      <c r="FV69" s="11" t="str">
        <f ca="1">IF(History!FZ$2="","",#REF!*$C$69)</f>
        <v/>
      </c>
      <c r="FW69" s="11" t="str">
        <f ca="1">IF(History!GA$2="","",#REF!*$C$69)</f>
        <v/>
      </c>
      <c r="FX69" s="11" t="str">
        <f ca="1">IF(History!GB$2="","",#REF!*$C$69)</f>
        <v/>
      </c>
      <c r="FY69" s="11" t="str">
        <f ca="1">IF(History!GC$2="","",#REF!*$C$69)</f>
        <v/>
      </c>
      <c r="FZ69" s="11" t="str">
        <f ca="1">IF(History!GD$2="","",#REF!*$C$69)</f>
        <v/>
      </c>
      <c r="GA69" s="11" t="str">
        <f ca="1">IF(History!GE$2="","",#REF!*$C$69)</f>
        <v/>
      </c>
      <c r="GB69" s="11" t="str">
        <f ca="1">IF(History!GF$2="","",#REF!*$C$69)</f>
        <v/>
      </c>
      <c r="GC69" s="11" t="str">
        <f ca="1">IF(History!GG$2="","",#REF!*$C$69)</f>
        <v/>
      </c>
      <c r="GD69" s="11" t="str">
        <f ca="1">IF(History!GH$2="","",#REF!*$C$69)</f>
        <v/>
      </c>
      <c r="GE69" s="11" t="str">
        <f ca="1">IF(History!GI$2="","",#REF!*$C$69)</f>
        <v/>
      </c>
      <c r="GF69" s="11" t="str">
        <f ca="1">IF(History!GJ$2="","",#REF!*$C$69)</f>
        <v/>
      </c>
      <c r="GG69" s="11" t="str">
        <f ca="1">IF(History!GK$2="","",#REF!*$C$69)</f>
        <v/>
      </c>
      <c r="GH69" s="11" t="str">
        <f ca="1">IF(History!GL$2="","",#REF!*$C$69)</f>
        <v/>
      </c>
      <c r="GI69" s="11" t="str">
        <f ca="1">IF(History!GM$2="","",#REF!*$C$69)</f>
        <v/>
      </c>
      <c r="GJ69" s="11" t="str">
        <f ca="1">IF(History!GN$2="","",#REF!*$C$69)</f>
        <v/>
      </c>
      <c r="GK69" s="11" t="str">
        <f ca="1">IF(History!GO$2="","",#REF!*$C$69)</f>
        <v/>
      </c>
      <c r="GL69" s="11" t="str">
        <f ca="1">IF(History!GP$2="","",#REF!*$C$69)</f>
        <v/>
      </c>
      <c r="GM69" s="11" t="str">
        <f ca="1">IF(History!GQ$2="","",#REF!*$C$69)</f>
        <v/>
      </c>
      <c r="GN69" s="11" t="str">
        <f ca="1">IF(History!GR$2="","",#REF!*$C$69)</f>
        <v/>
      </c>
      <c r="GO69" s="11" t="str">
        <f ca="1">IF(History!GS$2="","",#REF!*$C$69)</f>
        <v/>
      </c>
      <c r="GP69" s="11" t="str">
        <f ca="1">IF(History!GT$2="","",#REF!*$C$69)</f>
        <v/>
      </c>
      <c r="GQ69" s="11" t="str">
        <f ca="1">IF(History!GU$2="","",#REF!*$C$69)</f>
        <v/>
      </c>
      <c r="GR69" s="11" t="str">
        <f ca="1">IF(History!GV$2="","",#REF!*$C$69)</f>
        <v/>
      </c>
      <c r="GS69" s="11" t="str">
        <f ca="1">IF(History!GW$2="","",#REF!*$C$69)</f>
        <v/>
      </c>
      <c r="GT69" s="11" t="str">
        <f ca="1">IF(History!GX$2="","",#REF!*$C$69)</f>
        <v/>
      </c>
      <c r="GU69" s="11" t="str">
        <f ca="1">IF(History!GY$2="","",#REF!*$C$69)</f>
        <v/>
      </c>
      <c r="GV69" s="11" t="str">
        <f ca="1">IF(History!GZ$2="","",#REF!*$C$69)</f>
        <v/>
      </c>
      <c r="GW69" s="11" t="str">
        <f ca="1">IF(History!HA$2="","",#REF!*$C$69)</f>
        <v/>
      </c>
      <c r="GX69" s="11" t="str">
        <f ca="1">IF(History!HB$2="","",#REF!*$C$69)</f>
        <v/>
      </c>
      <c r="GY69" s="11" t="str">
        <f ca="1">IF(History!HC$2="","",#REF!*$C$69)</f>
        <v/>
      </c>
      <c r="GZ69" s="11" t="str">
        <f ca="1">IF(History!HD$2="","",#REF!*$C$69)</f>
        <v/>
      </c>
      <c r="HA69" s="11" t="str">
        <f ca="1">IF(History!HE$2="","",#REF!*$C$69)</f>
        <v/>
      </c>
      <c r="HB69" s="11" t="str">
        <f ca="1">IF(History!HF$2="","",#REF!*$C$69)</f>
        <v/>
      </c>
      <c r="HC69" s="11" t="str">
        <f ca="1">IF(History!HG$2="","",#REF!*$C$69)</f>
        <v/>
      </c>
      <c r="HD69" s="11" t="str">
        <f ca="1">IF(History!HH$2="","",#REF!*$C$69)</f>
        <v/>
      </c>
      <c r="HE69" s="11" t="str">
        <f ca="1">IF(History!HI$2="","",#REF!*$C$69)</f>
        <v/>
      </c>
      <c r="HF69" s="11" t="str">
        <f ca="1">IF(History!HJ$2="","",#REF!*$C$69)</f>
        <v/>
      </c>
      <c r="HG69" s="11" t="str">
        <f ca="1">IF(History!HK$2="","",#REF!*$C$69)</f>
        <v/>
      </c>
      <c r="HH69" s="11" t="str">
        <f ca="1">IF(History!HL$2="","",#REF!*$C$69)</f>
        <v/>
      </c>
      <c r="HI69" s="11" t="str">
        <f ca="1">IF(History!HM$2="","",#REF!*$C$69)</f>
        <v/>
      </c>
      <c r="HJ69" s="11" t="str">
        <f ca="1">IF(History!HN$2="","",#REF!*$C$69)</f>
        <v/>
      </c>
      <c r="HK69" s="11" t="str">
        <f ca="1">IF(History!HO$2="","",#REF!*$C$69)</f>
        <v/>
      </c>
      <c r="HL69" s="11" t="str">
        <f ca="1">IF(History!HP$2="","",#REF!*$C$69)</f>
        <v/>
      </c>
      <c r="HM69" s="11" t="str">
        <f ca="1">IF(History!HQ$2="","",#REF!*$C$69)</f>
        <v/>
      </c>
      <c r="HN69" s="11" t="str">
        <f ca="1">IF(History!HR$2="","",#REF!*$C$69)</f>
        <v/>
      </c>
      <c r="HO69" s="11" t="str">
        <f ca="1">IF(History!HS$2="","",#REF!*$C$69)</f>
        <v/>
      </c>
      <c r="HP69" s="11" t="str">
        <f ca="1">IF(History!HT$2="","",#REF!*$C$69)</f>
        <v/>
      </c>
      <c r="HQ69" s="11" t="str">
        <f ca="1">IF(History!HU$2="","",#REF!*$C$69)</f>
        <v/>
      </c>
      <c r="HR69" s="11" t="str">
        <f ca="1">IF(History!HV$2="","",#REF!*$C$69)</f>
        <v/>
      </c>
      <c r="HS69" s="11" t="str">
        <f ca="1">IF(History!HW$2="","",#REF!*$C$69)</f>
        <v/>
      </c>
      <c r="HT69" s="11" t="str">
        <f ca="1">IF(History!HX$2="","",#REF!*$C$69)</f>
        <v/>
      </c>
      <c r="HU69" s="11" t="str">
        <f ca="1">IF(History!HY$2="","",#REF!*$C$69)</f>
        <v/>
      </c>
      <c r="HV69" s="11" t="str">
        <f ca="1">IF(History!HZ$2="","",#REF!*$C$69)</f>
        <v/>
      </c>
      <c r="HW69" s="11" t="str">
        <f ca="1">IF(History!IA$2="","",#REF!*$C$69)</f>
        <v/>
      </c>
      <c r="HX69" s="11" t="str">
        <f ca="1">IF(History!IB$2="","",#REF!*$C$69)</f>
        <v/>
      </c>
      <c r="HY69" s="11" t="str">
        <f ca="1">IF(History!IC$2="","",#REF!*$C$69)</f>
        <v/>
      </c>
      <c r="HZ69" s="11" t="str">
        <f ca="1">IF(History!ID$2="","",#REF!*$C$69)</f>
        <v/>
      </c>
      <c r="IA69" s="11" t="str">
        <f ca="1">IF(History!IE$2="","",#REF!*$C$69)</f>
        <v/>
      </c>
      <c r="IB69" s="11" t="str">
        <f ca="1">IF(History!IF$2="","",#REF!*$C$69)</f>
        <v/>
      </c>
      <c r="IC69" s="11" t="str">
        <f ca="1">IF(History!IG$2="","",#REF!*$C$69)</f>
        <v/>
      </c>
      <c r="ID69" s="11" t="str">
        <f ca="1">IF(History!IH$2="","",#REF!*$C$69)</f>
        <v/>
      </c>
      <c r="IE69" s="11" t="str">
        <f ca="1">IF(History!II$2="","",#REF!*$C$69)</f>
        <v/>
      </c>
      <c r="IF69" s="11" t="str">
        <f ca="1">IF(History!IJ$2="","",#REF!*$C$69)</f>
        <v/>
      </c>
      <c r="IG69" s="11" t="str">
        <f ca="1">IF(History!IK$2="","",#REF!*$C$69)</f>
        <v/>
      </c>
      <c r="IH69" s="11" t="str">
        <f ca="1">IF(History!IL$2="","",#REF!*$C$69)</f>
        <v/>
      </c>
      <c r="II69" s="11" t="str">
        <f ca="1">IF(History!IM$2="","",#REF!*$C$69)</f>
        <v/>
      </c>
      <c r="IJ69" s="11" t="str">
        <f ca="1">IF(History!IN$2="","",#REF!*$C$69)</f>
        <v/>
      </c>
      <c r="IK69" s="11" t="str">
        <f ca="1">IF(History!IO$2="","",#REF!*$C$69)</f>
        <v/>
      </c>
      <c r="IL69" s="11" t="str">
        <f ca="1">IF(History!IP$2="","",#REF!*$C$69)</f>
        <v/>
      </c>
      <c r="IM69" s="11" t="str">
        <f ca="1">IF(History!IQ$2="","",#REF!*$C$69)</f>
        <v/>
      </c>
      <c r="IN69" s="11" t="str">
        <f ca="1">IF(History!IR$2="","",#REF!*$C$69)</f>
        <v/>
      </c>
      <c r="IO69" s="11" t="str">
        <f ca="1">IF(History!IS$2="","",#REF!*$C$69)</f>
        <v/>
      </c>
      <c r="IP69" s="11" t="str">
        <f ca="1">IF(History!IT$2="","",#REF!*$C$69)</f>
        <v/>
      </c>
      <c r="IQ69" s="11" t="str">
        <f ca="1">IF(History!IU$2="","",#REF!*$C$69)</f>
        <v/>
      </c>
      <c r="IR69" s="11" t="str">
        <f ca="1">IF(History!IV$2="","",#REF!*$C$69)</f>
        <v/>
      </c>
      <c r="IS69" s="11" t="str">
        <f ca="1">IF(History!IW$2="","",#REF!*$C$69)</f>
        <v/>
      </c>
      <c r="IT69" s="11" t="str">
        <f ca="1">IF(History!IX$2="","",#REF!*$C$69)</f>
        <v/>
      </c>
      <c r="IU69" s="11" t="str">
        <f ca="1">IF(History!IY$2="","",#REF!*$C$69)</f>
        <v/>
      </c>
      <c r="IV69" s="11" t="str">
        <f ca="1">IF(History!IZ$2="","",#REF!*$C$69)</f>
        <v/>
      </c>
      <c r="IW69" s="11" t="str">
        <f ca="1">IF(History!JA$2="","",#REF!*$C$69)</f>
        <v/>
      </c>
      <c r="IX69" s="11" t="str">
        <f ca="1">IF(History!JB$2="","",#REF!*$C$69)</f>
        <v/>
      </c>
      <c r="IY69" s="11" t="str">
        <f ca="1">IF(History!JC$2="","",#REF!*$C$69)</f>
        <v/>
      </c>
      <c r="IZ69" s="11" t="str">
        <f ca="1">IF(History!JD$2="","",#REF!*$C$69)</f>
        <v/>
      </c>
      <c r="JA69" s="11" t="str">
        <f ca="1">IF(History!JE$2="","",#REF!*$C$69)</f>
        <v/>
      </c>
      <c r="JB69" s="11" t="str">
        <f ca="1">IF(History!JF$2="","",#REF!*$C$69)</f>
        <v/>
      </c>
      <c r="JC69" s="11" t="str">
        <f ca="1">IF(History!JG$2="","",#REF!*$C$69)</f>
        <v/>
      </c>
      <c r="JD69" s="11" t="str">
        <f ca="1">IF(History!JH$2="","",#REF!*$C$69)</f>
        <v/>
      </c>
      <c r="JE69" s="11" t="str">
        <f ca="1">IF(History!JI$2="","",#REF!*$C$69)</f>
        <v/>
      </c>
      <c r="JF69" s="11" t="str">
        <f ca="1">IF(History!JJ$2="","",#REF!*$C$69)</f>
        <v/>
      </c>
      <c r="JG69" s="11" t="str">
        <f ca="1">IF(History!JK$2="","",#REF!*$C$69)</f>
        <v/>
      </c>
      <c r="JH69" s="11" t="str">
        <f ca="1">IF(History!JL$2="","",#REF!*$C$69)</f>
        <v/>
      </c>
      <c r="JI69" s="11" t="str">
        <f ca="1">IF(History!JM$2="","",#REF!*$C$69)</f>
        <v/>
      </c>
      <c r="JJ69" s="11" t="str">
        <f ca="1">IF(History!JN$2="","",#REF!*$C$69)</f>
        <v/>
      </c>
      <c r="JK69" s="11" t="str">
        <f ca="1">IF(History!JO$2="","",#REF!*$C$69)</f>
        <v/>
      </c>
      <c r="JL69" s="11" t="str">
        <f ca="1">IF(History!JP$2="","",#REF!*$C$69)</f>
        <v/>
      </c>
      <c r="JM69" s="11" t="str">
        <f ca="1">IF(History!JQ$2="","",#REF!*$C$69)</f>
        <v/>
      </c>
      <c r="JN69" s="11" t="str">
        <f ca="1">IF(History!JR$2="","",#REF!*$C$69)</f>
        <v/>
      </c>
      <c r="JO69" s="11" t="str">
        <f ca="1">IF(History!JS$2="","",#REF!*$C$69)</f>
        <v/>
      </c>
      <c r="JP69" s="11" t="str">
        <f ca="1">IF(History!JT$2="","",#REF!*$C$69)</f>
        <v/>
      </c>
      <c r="JQ69" s="11" t="str">
        <f ca="1">IF(History!JU$2="","",#REF!*$C$69)</f>
        <v/>
      </c>
      <c r="JR69" s="11" t="str">
        <f ca="1">IF(History!JV$2="","",#REF!*$C$69)</f>
        <v/>
      </c>
      <c r="JS69" s="11" t="str">
        <f ca="1">IF(History!JW$2="","",#REF!*$C$69)</f>
        <v/>
      </c>
      <c r="JT69" s="11" t="str">
        <f ca="1">IF(History!JX$2="","",#REF!*$C$69)</f>
        <v/>
      </c>
      <c r="JU69" s="11" t="str">
        <f ca="1">IF(History!JY$2="","",#REF!*$C$69)</f>
        <v/>
      </c>
      <c r="JV69" s="11" t="str">
        <f ca="1">IF(History!JZ$2="","",#REF!*$C$69)</f>
        <v/>
      </c>
      <c r="JW69" s="11" t="str">
        <f ca="1">IF(History!KA$2="","",#REF!*$C$69)</f>
        <v/>
      </c>
      <c r="JX69" s="11" t="str">
        <f ca="1">IF(History!KB$2="","",#REF!*$C$69)</f>
        <v/>
      </c>
      <c r="JY69" s="11" t="str">
        <f ca="1">IF(History!KC$2="","",#REF!*$C$69)</f>
        <v/>
      </c>
      <c r="JZ69" s="11" t="str">
        <f ca="1">IF(History!KD$2="","",#REF!*$C$69)</f>
        <v/>
      </c>
      <c r="KA69" s="11" t="str">
        <f ca="1">IF(History!KE$2="","",#REF!*$C$69)</f>
        <v/>
      </c>
      <c r="KB69" s="11" t="str">
        <f ca="1">IF(History!KF$2="","",#REF!*$C$69)</f>
        <v/>
      </c>
    </row>
    <row r="70" spans="1:288" ht="13">
      <c r="A70" s="18" t="s">
        <v>140</v>
      </c>
      <c r="B70" s="6" t="s">
        <v>149</v>
      </c>
      <c r="C70" s="26">
        <v>126</v>
      </c>
      <c r="D70" s="11" t="e">
        <f ca="1">IF(History!H$2="","",#REF!*$C$70)</f>
        <v>#REF!</v>
      </c>
      <c r="E70" s="11" t="e">
        <f ca="1">IF(History!I$2="","",#REF!*$C$70)</f>
        <v>#REF!</v>
      </c>
      <c r="F70" s="11" t="e">
        <f ca="1">IF(History!J$2="","",#REF!*$C$70)</f>
        <v>#REF!</v>
      </c>
      <c r="G70" s="11" t="e">
        <f ca="1">IF(History!K$2="","",#REF!*$C$70)</f>
        <v>#REF!</v>
      </c>
      <c r="H70" s="11" t="e">
        <f ca="1">IF(History!L$2="","",#REF!*$C$70)</f>
        <v>#REF!</v>
      </c>
      <c r="I70" s="11" t="e">
        <f ca="1">IF(History!M$2="","",#REF!*$C$70)</f>
        <v>#REF!</v>
      </c>
      <c r="J70" s="11" t="e">
        <f ca="1">IF(History!N$2="","",#REF!*$C$70)</f>
        <v>#REF!</v>
      </c>
      <c r="K70" s="11" t="e">
        <f ca="1">IF(History!O$2="","",#REF!*$C$70)</f>
        <v>#REF!</v>
      </c>
      <c r="L70" s="11" t="e">
        <f ca="1">IF(History!P$2="","",#REF!*$C$70)</f>
        <v>#REF!</v>
      </c>
      <c r="M70" s="11" t="e">
        <f ca="1">IF(History!Q$2="","",#REF!*$C$70)</f>
        <v>#REF!</v>
      </c>
      <c r="N70" s="11" t="e">
        <f ca="1">IF(History!R$2="","",#REF!*$C$70)</f>
        <v>#REF!</v>
      </c>
      <c r="O70" s="11" t="e">
        <f ca="1">IF(History!S$2="","",#REF!*$C$70)</f>
        <v>#REF!</v>
      </c>
      <c r="P70" s="11" t="e">
        <f ca="1">IF(History!T$2="","",#REF!*$C$70)</f>
        <v>#REF!</v>
      </c>
      <c r="Q70" s="11" t="e">
        <f ca="1">IF(History!U$2="","",#REF!*$C$70)</f>
        <v>#REF!</v>
      </c>
      <c r="R70" s="11" t="e">
        <f ca="1">IF(History!V$2="","",#REF!*$C$70)</f>
        <v>#REF!</v>
      </c>
      <c r="S70" s="11" t="e">
        <f ca="1">IF(History!W$2="","",#REF!*$C$70)</f>
        <v>#REF!</v>
      </c>
      <c r="T70" s="11" t="e">
        <f ca="1">IF(History!X$2="","",#REF!*$C$70)</f>
        <v>#REF!</v>
      </c>
      <c r="U70" s="11" t="e">
        <f ca="1">IF(History!Y$2="","",#REF!*$C$70)</f>
        <v>#REF!</v>
      </c>
      <c r="V70" s="11" t="e">
        <f ca="1">IF(History!Z$2="","",#REF!*$C$70)</f>
        <v>#REF!</v>
      </c>
      <c r="W70" s="11" t="e">
        <f ca="1">IF(History!AA$2="","",#REF!*$C$70)</f>
        <v>#REF!</v>
      </c>
      <c r="X70" s="11" t="e">
        <f ca="1">IF(History!AB$2="","",#REF!*$C$70)</f>
        <v>#REF!</v>
      </c>
      <c r="Y70" s="11" t="e">
        <f ca="1">IF(History!AC$2="","",#REF!*$C$70)</f>
        <v>#REF!</v>
      </c>
      <c r="Z70" s="11" t="e">
        <f ca="1">IF(History!AD$2="","",#REF!*$C$70)</f>
        <v>#REF!</v>
      </c>
      <c r="AA70" s="11" t="e">
        <f ca="1">IF(History!AE$2="","",#REF!*$C$70)</f>
        <v>#REF!</v>
      </c>
      <c r="AB70" s="11" t="e">
        <f ca="1">IF(History!AF$2="","",#REF!*$C$70)</f>
        <v>#REF!</v>
      </c>
      <c r="AC70" s="11" t="e">
        <f ca="1">IF(History!AG$2="","",#REF!*$C$70)</f>
        <v>#REF!</v>
      </c>
      <c r="AD70" s="11" t="e">
        <f ca="1">IF(History!AH$2="","",#REF!*$C$70)</f>
        <v>#REF!</v>
      </c>
      <c r="AE70" s="11" t="e">
        <f ca="1">IF(History!AI$2="","",#REF!*$C$70)</f>
        <v>#REF!</v>
      </c>
      <c r="AF70" s="11" t="e">
        <f ca="1">IF(History!AJ$2="","",#REF!*$C$70)</f>
        <v>#REF!</v>
      </c>
      <c r="AG70" s="11" t="e">
        <f ca="1">IF(History!AK$2="","",#REF!*$C$70)</f>
        <v>#REF!</v>
      </c>
      <c r="AH70" s="11" t="e">
        <f ca="1">IF(History!AL$2="","",#REF!*$C$70)</f>
        <v>#REF!</v>
      </c>
      <c r="AI70" s="11" t="e">
        <f ca="1">IF(History!AM$2="","",#REF!*$C$70)</f>
        <v>#REF!</v>
      </c>
      <c r="AJ70" s="11" t="e">
        <f ca="1">IF(History!AN$2="","",#REF!*$C$70)</f>
        <v>#REF!</v>
      </c>
      <c r="AK70" s="11" t="e">
        <f ca="1">IF(History!AO$2="","",#REF!*$C$70)</f>
        <v>#REF!</v>
      </c>
      <c r="AL70" s="11" t="e">
        <f ca="1">IF(History!AP$2="","",#REF!*$C$70)</f>
        <v>#REF!</v>
      </c>
      <c r="AM70" s="11" t="e">
        <f ca="1">IF(History!AQ$2="","",#REF!*$C$70)</f>
        <v>#REF!</v>
      </c>
      <c r="AN70" s="11" t="e">
        <f ca="1">IF(History!AR$2="","",#REF!*$C$70)</f>
        <v>#REF!</v>
      </c>
      <c r="AO70" s="11" t="e">
        <f ca="1">IF(History!AS$2="","",#REF!*$C$70)</f>
        <v>#REF!</v>
      </c>
      <c r="AP70" s="11" t="e">
        <f ca="1">IF(History!AT$2="","",#REF!*$C$70)</f>
        <v>#REF!</v>
      </c>
      <c r="AQ70" s="11" t="e">
        <f ca="1">IF(History!AU$2="","",#REF!*$C$70)</f>
        <v>#REF!</v>
      </c>
      <c r="AR70" s="11" t="e">
        <f ca="1">IF(History!AV$2="","",#REF!*$C$70)</f>
        <v>#REF!</v>
      </c>
      <c r="AS70" s="11" t="e">
        <f ca="1">IF(History!AW$2="","",#REF!*$C$70)</f>
        <v>#REF!</v>
      </c>
      <c r="AT70" s="11" t="e">
        <f ca="1">IF(History!AX$2="","",#REF!*$C$70)</f>
        <v>#REF!</v>
      </c>
      <c r="AU70" s="11" t="e">
        <f ca="1">IF(History!AY$2="","",#REF!*$C$70)</f>
        <v>#REF!</v>
      </c>
      <c r="AV70" s="11" t="e">
        <f ca="1">IF(History!AZ$2="","",#REF!*$C$70)</f>
        <v>#REF!</v>
      </c>
      <c r="AW70" s="11" t="e">
        <f ca="1">IF(History!BA$2="","",#REF!*$C$70)</f>
        <v>#REF!</v>
      </c>
      <c r="AX70" s="11" t="e">
        <f ca="1">IF(History!BB$2="","",#REF!*$C$70)</f>
        <v>#REF!</v>
      </c>
      <c r="AY70" s="11" t="e">
        <f ca="1">IF(History!BC$2="","",#REF!*$C$70)</f>
        <v>#REF!</v>
      </c>
      <c r="AZ70" s="11" t="e">
        <f ca="1">IF(History!BD$2="","",#REF!*$C$70)</f>
        <v>#REF!</v>
      </c>
      <c r="BA70" s="11" t="e">
        <f ca="1">IF(History!BE$2="","",#REF!*$C$70)</f>
        <v>#REF!</v>
      </c>
      <c r="BB70" s="11" t="e">
        <f ca="1">IF(History!BF$2="","",#REF!*$C$70)</f>
        <v>#REF!</v>
      </c>
      <c r="BC70" s="11" t="e">
        <f ca="1">IF(History!BG$2="","",#REF!*$C$70)</f>
        <v>#REF!</v>
      </c>
      <c r="BD70" s="11" t="e">
        <f ca="1">IF(History!BH$2="","",#REF!*$C$70)</f>
        <v>#REF!</v>
      </c>
      <c r="BE70" s="11" t="e">
        <f ca="1">IF(History!BI$2="","",#REF!*$C$70)</f>
        <v>#REF!</v>
      </c>
      <c r="BF70" s="11" t="e">
        <f ca="1">IF(History!BJ$2="","",#REF!*$C$70)</f>
        <v>#REF!</v>
      </c>
      <c r="BG70" s="11" t="e">
        <f ca="1">IF(History!BK$2="","",#REF!*$C$70)</f>
        <v>#REF!</v>
      </c>
      <c r="BH70" s="11" t="e">
        <f ca="1">IF(History!BL$2="","",#REF!*$C$70)</f>
        <v>#REF!</v>
      </c>
      <c r="BI70" s="11" t="e">
        <f ca="1">IF(History!BM$2="","",#REF!*$C$70)</f>
        <v>#REF!</v>
      </c>
      <c r="BJ70" s="11" t="e">
        <f ca="1">IF(History!BN$2="","",#REF!*$C$70)</f>
        <v>#REF!</v>
      </c>
      <c r="BK70" s="11" t="e">
        <f ca="1">IF(History!BO$2="","",#REF!*$C$70)</f>
        <v>#REF!</v>
      </c>
      <c r="BL70" s="11" t="e">
        <f ca="1">IF(History!BP$2="","",#REF!*$C$70)</f>
        <v>#REF!</v>
      </c>
      <c r="BM70" s="11" t="e">
        <f ca="1">IF(History!BQ$2="","",#REF!*$C$70)</f>
        <v>#REF!</v>
      </c>
      <c r="BN70" s="11" t="e">
        <f ca="1">IF(History!BR$2="","",#REF!*$C$70)</f>
        <v>#REF!</v>
      </c>
      <c r="BO70" s="11" t="e">
        <f ca="1">IF(History!BS$2="","",#REF!*$C$70)</f>
        <v>#REF!</v>
      </c>
      <c r="BP70" s="11" t="e">
        <f ca="1">IF(History!BT$2="","",#REF!*$C$70)</f>
        <v>#REF!</v>
      </c>
      <c r="BQ70" s="11" t="e">
        <f ca="1">IF(History!BU$2="","",#REF!*$C$70)</f>
        <v>#REF!</v>
      </c>
      <c r="BR70" s="11" t="e">
        <f ca="1">IF(History!BV$2="","",#REF!*$C$70)</f>
        <v>#REF!</v>
      </c>
      <c r="BS70" s="11" t="e">
        <f ca="1">IF(History!BW$2="","",#REF!*$C$70)</f>
        <v>#REF!</v>
      </c>
      <c r="BT70" s="11" t="e">
        <f ca="1">IF(History!BX$2="","",#REF!*$C$70)</f>
        <v>#REF!</v>
      </c>
      <c r="BU70" s="11" t="e">
        <f ca="1">IF(History!BY$2="","",#REF!*$C$70)</f>
        <v>#REF!</v>
      </c>
      <c r="BV70" s="11" t="e">
        <f ca="1">IF(History!BZ$2="","",#REF!*$C$70)</f>
        <v>#REF!</v>
      </c>
      <c r="BW70" s="11" t="e">
        <f ca="1">IF(History!CA$2="","",#REF!*$C$70)</f>
        <v>#REF!</v>
      </c>
      <c r="BX70" s="11" t="e">
        <f ca="1">IF(History!CB$2="","",#REF!*$C$70)</f>
        <v>#REF!</v>
      </c>
      <c r="BY70" s="11" t="e">
        <f ca="1">IF(History!CC$2="","",#REF!*$C$70)</f>
        <v>#REF!</v>
      </c>
      <c r="BZ70" s="11" t="e">
        <f ca="1">IF(History!CD$2="","",#REF!*$C$70)</f>
        <v>#REF!</v>
      </c>
      <c r="CA70" s="11" t="e">
        <f ca="1">IF(History!CE$2="","",#REF!*$C$70)</f>
        <v>#REF!</v>
      </c>
      <c r="CB70" s="11" t="e">
        <f ca="1">IF(History!CF$2="","",#REF!*$C$70)</f>
        <v>#REF!</v>
      </c>
      <c r="CC70" s="11" t="e">
        <f ca="1">IF(History!CG$2="","",#REF!*$C$70)</f>
        <v>#REF!</v>
      </c>
      <c r="CD70" s="11" t="e">
        <f ca="1">IF(History!CH$2="","",#REF!*$C$70)</f>
        <v>#REF!</v>
      </c>
      <c r="CE70" s="11" t="e">
        <f ca="1">IF(History!CI$2="","",#REF!*$C$70)</f>
        <v>#REF!</v>
      </c>
      <c r="CF70" s="11" t="str">
        <f ca="1">IF(History!CJ$2="","",#REF!*$C$70)</f>
        <v/>
      </c>
      <c r="CG70" s="11" t="str">
        <f ca="1">IF(History!CK$2="","",#REF!*$C$70)</f>
        <v/>
      </c>
      <c r="CH70" s="11" t="str">
        <f ca="1">IF(History!CL$2="","",#REF!*$C$70)</f>
        <v/>
      </c>
      <c r="CI70" s="11" t="str">
        <f ca="1">IF(History!CM$2="","",#REF!*$C$70)</f>
        <v/>
      </c>
      <c r="CJ70" s="11" t="str">
        <f ca="1">IF(History!CN$2="","",#REF!*$C$70)</f>
        <v/>
      </c>
      <c r="CK70" s="11" t="str">
        <f ca="1">IF(History!CO$2="","",#REF!*$C$70)</f>
        <v/>
      </c>
      <c r="CL70" s="11" t="str">
        <f ca="1">IF(History!CP$2="","",#REF!*$C$70)</f>
        <v/>
      </c>
      <c r="CM70" s="11" t="str">
        <f ca="1">IF(History!CQ$2="","",#REF!*$C$70)</f>
        <v/>
      </c>
      <c r="CN70" s="11" t="str">
        <f ca="1">IF(History!CR$2="","",#REF!*$C$70)</f>
        <v/>
      </c>
      <c r="CO70" s="11" t="str">
        <f ca="1">IF(History!CS$2="","",#REF!*$C$70)</f>
        <v/>
      </c>
      <c r="CP70" s="11" t="str">
        <f ca="1">IF(History!CT$2="","",#REF!*$C$70)</f>
        <v/>
      </c>
      <c r="CQ70" s="11" t="str">
        <f ca="1">IF(History!CU$2="","",#REF!*$C$70)</f>
        <v/>
      </c>
      <c r="CR70" s="11" t="str">
        <f ca="1">IF(History!CV$2="","",#REF!*$C$70)</f>
        <v/>
      </c>
      <c r="CS70" s="11" t="str">
        <f ca="1">IF(History!CW$2="","",#REF!*$C$70)</f>
        <v/>
      </c>
      <c r="CT70" s="11" t="str">
        <f ca="1">IF(History!CX$2="","",#REF!*$C$70)</f>
        <v/>
      </c>
      <c r="CU70" s="11" t="str">
        <f ca="1">IF(History!CY$2="","",#REF!*$C$70)</f>
        <v/>
      </c>
      <c r="CV70" s="11" t="str">
        <f ca="1">IF(History!CZ$2="","",#REF!*$C$70)</f>
        <v/>
      </c>
      <c r="CW70" s="11" t="str">
        <f ca="1">IF(History!DA$2="","",#REF!*$C$70)</f>
        <v/>
      </c>
      <c r="CX70" s="11" t="str">
        <f ca="1">IF(History!DB$2="","",#REF!*$C$70)</f>
        <v/>
      </c>
      <c r="CY70" s="11" t="str">
        <f ca="1">IF(History!DC$2="","",#REF!*$C$70)</f>
        <v/>
      </c>
      <c r="CZ70" s="11" t="str">
        <f ca="1">IF(History!DD$2="","",#REF!*$C$70)</f>
        <v/>
      </c>
      <c r="DA70" s="11" t="str">
        <f ca="1">IF(History!DE$2="","",#REF!*$C$70)</f>
        <v/>
      </c>
      <c r="DB70" s="11" t="str">
        <f ca="1">IF(History!DF$2="","",#REF!*$C$70)</f>
        <v/>
      </c>
      <c r="DC70" s="11" t="str">
        <f ca="1">IF(History!DG$2="","",#REF!*$C$70)</f>
        <v/>
      </c>
      <c r="DD70" s="11" t="str">
        <f ca="1">IF(History!DH$2="","",#REF!*$C$70)</f>
        <v/>
      </c>
      <c r="DE70" s="11" t="str">
        <f ca="1">IF(History!DI$2="","",#REF!*$C$70)</f>
        <v/>
      </c>
      <c r="DF70" s="11" t="str">
        <f ca="1">IF(History!DJ$2="","",#REF!*$C$70)</f>
        <v/>
      </c>
      <c r="DG70" s="11" t="str">
        <f ca="1">IF(History!DK$2="","",#REF!*$C$70)</f>
        <v/>
      </c>
      <c r="DH70" s="11" t="str">
        <f ca="1">IF(History!DL$2="","",#REF!*$C$70)</f>
        <v/>
      </c>
      <c r="DI70" s="11" t="str">
        <f ca="1">IF(History!DM$2="","",#REF!*$C$70)</f>
        <v/>
      </c>
      <c r="DJ70" s="11" t="str">
        <f ca="1">IF(History!DN$2="","",#REF!*$C$70)</f>
        <v/>
      </c>
      <c r="DK70" s="11" t="str">
        <f ca="1">IF(History!DO$2="","",#REF!*$C$70)</f>
        <v/>
      </c>
      <c r="DL70" s="11" t="str">
        <f ca="1">IF(History!DP$2="","",#REF!*$C$70)</f>
        <v/>
      </c>
      <c r="DM70" s="11" t="str">
        <f ca="1">IF(History!DQ$2="","",#REF!*$C$70)</f>
        <v/>
      </c>
      <c r="DN70" s="11" t="str">
        <f ca="1">IF(History!DR$2="","",#REF!*$C$70)</f>
        <v/>
      </c>
      <c r="DO70" s="11" t="str">
        <f ca="1">IF(History!DS$2="","",#REF!*$C$70)</f>
        <v/>
      </c>
      <c r="DP70" s="11" t="str">
        <f ca="1">IF(History!DT$2="","",#REF!*$C$70)</f>
        <v/>
      </c>
      <c r="DQ70" s="11" t="str">
        <f ca="1">IF(History!DU$2="","",#REF!*$C$70)</f>
        <v/>
      </c>
      <c r="DR70" s="11" t="str">
        <f ca="1">IF(History!DV$2="","",#REF!*$C$70)</f>
        <v/>
      </c>
      <c r="DS70" s="11" t="str">
        <f ca="1">IF(History!DW$2="","",#REF!*$C$70)</f>
        <v/>
      </c>
      <c r="DT70" s="11" t="str">
        <f ca="1">IF(History!DX$2="","",#REF!*$C$70)</f>
        <v/>
      </c>
      <c r="DU70" s="11" t="str">
        <f ca="1">IF(History!DY$2="","",#REF!*$C$70)</f>
        <v/>
      </c>
      <c r="DV70" s="11" t="str">
        <f ca="1">IF(History!DZ$2="","",#REF!*$C$70)</f>
        <v/>
      </c>
      <c r="DW70" s="11" t="str">
        <f ca="1">IF(History!EA$2="","",#REF!*$C$70)</f>
        <v/>
      </c>
      <c r="DX70" s="11" t="str">
        <f ca="1">IF(History!EB$2="","",#REF!*$C$70)</f>
        <v/>
      </c>
      <c r="DY70" s="11" t="str">
        <f ca="1">IF(History!EC$2="","",#REF!*$C$70)</f>
        <v/>
      </c>
      <c r="DZ70" s="11" t="str">
        <f ca="1">IF(History!ED$2="","",#REF!*$C$70)</f>
        <v/>
      </c>
      <c r="EA70" s="11" t="str">
        <f ca="1">IF(History!EE$2="","",#REF!*$C$70)</f>
        <v/>
      </c>
      <c r="EB70" s="11" t="str">
        <f ca="1">IF(History!EF$2="","",#REF!*$C$70)</f>
        <v/>
      </c>
      <c r="EC70" s="11" t="str">
        <f ca="1">IF(History!EG$2="","",#REF!*$C$70)</f>
        <v/>
      </c>
      <c r="ED70" s="11" t="str">
        <f ca="1">IF(History!EH$2="","",#REF!*$C$70)</f>
        <v/>
      </c>
      <c r="EE70" s="11" t="str">
        <f ca="1">IF(History!EI$2="","",#REF!*$C$70)</f>
        <v/>
      </c>
      <c r="EF70" s="11" t="str">
        <f ca="1">IF(History!EJ$2="","",#REF!*$C$70)</f>
        <v/>
      </c>
      <c r="EG70" s="11" t="str">
        <f ca="1">IF(History!EK$2="","",#REF!*$C$70)</f>
        <v/>
      </c>
      <c r="EH70" s="11" t="str">
        <f ca="1">IF(History!EL$2="","",#REF!*$C$70)</f>
        <v/>
      </c>
      <c r="EI70" s="11" t="str">
        <f ca="1">IF(History!EM$2="","",#REF!*$C$70)</f>
        <v/>
      </c>
      <c r="EJ70" s="11" t="str">
        <f ca="1">IF(History!EN$2="","",#REF!*$C$70)</f>
        <v/>
      </c>
      <c r="EK70" s="11" t="str">
        <f ca="1">IF(History!EO$2="","",#REF!*$C$70)</f>
        <v/>
      </c>
      <c r="EL70" s="11" t="str">
        <f ca="1">IF(History!EP$2="","",#REF!*$C$70)</f>
        <v/>
      </c>
      <c r="EM70" s="11" t="str">
        <f ca="1">IF(History!EQ$2="","",#REF!*$C$70)</f>
        <v/>
      </c>
      <c r="EN70" s="11" t="str">
        <f ca="1">IF(History!ER$2="","",#REF!*$C$70)</f>
        <v/>
      </c>
      <c r="EO70" s="11" t="str">
        <f ca="1">IF(History!ES$2="","",#REF!*$C$70)</f>
        <v/>
      </c>
      <c r="EP70" s="11" t="str">
        <f ca="1">IF(History!ET$2="","",#REF!*$C$70)</f>
        <v/>
      </c>
      <c r="EQ70" s="11" t="str">
        <f ca="1">IF(History!EU$2="","",#REF!*$C$70)</f>
        <v/>
      </c>
      <c r="ER70" s="11" t="str">
        <f ca="1">IF(History!EV$2="","",#REF!*$C$70)</f>
        <v/>
      </c>
      <c r="ES70" s="11" t="str">
        <f ca="1">IF(History!EW$2="","",#REF!*$C$70)</f>
        <v/>
      </c>
      <c r="ET70" s="11" t="str">
        <f ca="1">IF(History!EX$2="","",#REF!*$C$70)</f>
        <v/>
      </c>
      <c r="EU70" s="11" t="str">
        <f ca="1">IF(History!EY$2="","",#REF!*$C$70)</f>
        <v/>
      </c>
      <c r="EV70" s="11" t="str">
        <f ca="1">IF(History!EZ$2="","",#REF!*$C$70)</f>
        <v/>
      </c>
      <c r="EW70" s="11" t="str">
        <f ca="1">IF(History!FA$2="","",#REF!*$C$70)</f>
        <v/>
      </c>
      <c r="EX70" s="11" t="str">
        <f ca="1">IF(History!FB$2="","",#REF!*$C$70)</f>
        <v/>
      </c>
      <c r="EY70" s="11" t="str">
        <f ca="1">IF(History!FC$2="","",#REF!*$C$70)</f>
        <v/>
      </c>
      <c r="EZ70" s="11" t="str">
        <f ca="1">IF(History!FD$2="","",#REF!*$C$70)</f>
        <v/>
      </c>
      <c r="FA70" s="11" t="str">
        <f ca="1">IF(History!FE$2="","",#REF!*$C$70)</f>
        <v/>
      </c>
      <c r="FB70" s="11" t="str">
        <f ca="1">IF(History!FF$2="","",#REF!*$C$70)</f>
        <v/>
      </c>
      <c r="FC70" s="11" t="str">
        <f ca="1">IF(History!FG$2="","",#REF!*$C$70)</f>
        <v/>
      </c>
      <c r="FD70" s="11" t="str">
        <f ca="1">IF(History!FH$2="","",#REF!*$C$70)</f>
        <v/>
      </c>
      <c r="FE70" s="11" t="str">
        <f ca="1">IF(History!FI$2="","",#REF!*$C$70)</f>
        <v/>
      </c>
      <c r="FF70" s="11" t="str">
        <f ca="1">IF(History!FJ$2="","",#REF!*$C$70)</f>
        <v/>
      </c>
      <c r="FG70" s="11" t="str">
        <f ca="1">IF(History!FK$2="","",#REF!*$C$70)</f>
        <v/>
      </c>
      <c r="FH70" s="11" t="str">
        <f ca="1">IF(History!FL$2="","",#REF!*$C$70)</f>
        <v/>
      </c>
      <c r="FI70" s="11" t="str">
        <f ca="1">IF(History!FM$2="","",#REF!*$C$70)</f>
        <v/>
      </c>
      <c r="FJ70" s="11" t="str">
        <f ca="1">IF(History!FN$2="","",#REF!*$C$70)</f>
        <v/>
      </c>
      <c r="FK70" s="11" t="str">
        <f ca="1">IF(History!FO$2="","",#REF!*$C$70)</f>
        <v/>
      </c>
      <c r="FL70" s="11" t="str">
        <f ca="1">IF(History!FP$2="","",#REF!*$C$70)</f>
        <v/>
      </c>
      <c r="FM70" s="11" t="str">
        <f ca="1">IF(History!FQ$2="","",#REF!*$C$70)</f>
        <v/>
      </c>
      <c r="FN70" s="11" t="str">
        <f ca="1">IF(History!FR$2="","",#REF!*$C$70)</f>
        <v/>
      </c>
      <c r="FO70" s="11" t="str">
        <f ca="1">IF(History!FS$2="","",#REF!*$C$70)</f>
        <v/>
      </c>
      <c r="FP70" s="11" t="str">
        <f ca="1">IF(History!FT$2="","",#REF!*$C$70)</f>
        <v/>
      </c>
      <c r="FQ70" s="11" t="str">
        <f ca="1">IF(History!FU$2="","",#REF!*$C$70)</f>
        <v/>
      </c>
      <c r="FR70" s="11" t="str">
        <f ca="1">IF(History!FV$2="","",#REF!*$C$70)</f>
        <v/>
      </c>
      <c r="FS70" s="11" t="str">
        <f ca="1">IF(History!FW$2="","",#REF!*$C$70)</f>
        <v/>
      </c>
      <c r="FT70" s="11" t="str">
        <f ca="1">IF(History!FX$2="","",#REF!*$C$70)</f>
        <v/>
      </c>
      <c r="FU70" s="11" t="str">
        <f ca="1">IF(History!FY$2="","",#REF!*$C$70)</f>
        <v/>
      </c>
      <c r="FV70" s="11" t="str">
        <f ca="1">IF(History!FZ$2="","",#REF!*$C$70)</f>
        <v/>
      </c>
      <c r="FW70" s="11" t="str">
        <f ca="1">IF(History!GA$2="","",#REF!*$C$70)</f>
        <v/>
      </c>
      <c r="FX70" s="11" t="str">
        <f ca="1">IF(History!GB$2="","",#REF!*$C$70)</f>
        <v/>
      </c>
      <c r="FY70" s="11" t="str">
        <f ca="1">IF(History!GC$2="","",#REF!*$C$70)</f>
        <v/>
      </c>
      <c r="FZ70" s="11" t="str">
        <f ca="1">IF(History!GD$2="","",#REF!*$C$70)</f>
        <v/>
      </c>
      <c r="GA70" s="11" t="str">
        <f ca="1">IF(History!GE$2="","",#REF!*$C$70)</f>
        <v/>
      </c>
      <c r="GB70" s="11" t="str">
        <f ca="1">IF(History!GF$2="","",#REF!*$C$70)</f>
        <v/>
      </c>
      <c r="GC70" s="11" t="str">
        <f ca="1">IF(History!GG$2="","",#REF!*$C$70)</f>
        <v/>
      </c>
      <c r="GD70" s="11" t="str">
        <f ca="1">IF(History!GH$2="","",#REF!*$C$70)</f>
        <v/>
      </c>
      <c r="GE70" s="11" t="str">
        <f ca="1">IF(History!GI$2="","",#REF!*$C$70)</f>
        <v/>
      </c>
      <c r="GF70" s="11" t="str">
        <f ca="1">IF(History!GJ$2="","",#REF!*$C$70)</f>
        <v/>
      </c>
      <c r="GG70" s="11" t="str">
        <f ca="1">IF(History!GK$2="","",#REF!*$C$70)</f>
        <v/>
      </c>
      <c r="GH70" s="11" t="str">
        <f ca="1">IF(History!GL$2="","",#REF!*$C$70)</f>
        <v/>
      </c>
      <c r="GI70" s="11" t="str">
        <f ca="1">IF(History!GM$2="","",#REF!*$C$70)</f>
        <v/>
      </c>
      <c r="GJ70" s="11" t="str">
        <f ca="1">IF(History!GN$2="","",#REF!*$C$70)</f>
        <v/>
      </c>
      <c r="GK70" s="11" t="str">
        <f ca="1">IF(History!GO$2="","",#REF!*$C$70)</f>
        <v/>
      </c>
      <c r="GL70" s="11" t="str">
        <f ca="1">IF(History!GP$2="","",#REF!*$C$70)</f>
        <v/>
      </c>
      <c r="GM70" s="11" t="str">
        <f ca="1">IF(History!GQ$2="","",#REF!*$C$70)</f>
        <v/>
      </c>
      <c r="GN70" s="11" t="str">
        <f ca="1">IF(History!GR$2="","",#REF!*$C$70)</f>
        <v/>
      </c>
      <c r="GO70" s="11" t="str">
        <f ca="1">IF(History!GS$2="","",#REF!*$C$70)</f>
        <v/>
      </c>
      <c r="GP70" s="11" t="str">
        <f ca="1">IF(History!GT$2="","",#REF!*$C$70)</f>
        <v/>
      </c>
      <c r="GQ70" s="11" t="str">
        <f ca="1">IF(History!GU$2="","",#REF!*$C$70)</f>
        <v/>
      </c>
      <c r="GR70" s="11" t="str">
        <f ca="1">IF(History!GV$2="","",#REF!*$C$70)</f>
        <v/>
      </c>
      <c r="GS70" s="11" t="str">
        <f ca="1">IF(History!GW$2="","",#REF!*$C$70)</f>
        <v/>
      </c>
      <c r="GT70" s="11" t="str">
        <f ca="1">IF(History!GX$2="","",#REF!*$C$70)</f>
        <v/>
      </c>
      <c r="GU70" s="11" t="str">
        <f ca="1">IF(History!GY$2="","",#REF!*$C$70)</f>
        <v/>
      </c>
      <c r="GV70" s="11" t="str">
        <f ca="1">IF(History!GZ$2="","",#REF!*$C$70)</f>
        <v/>
      </c>
      <c r="GW70" s="11" t="str">
        <f ca="1">IF(History!HA$2="","",#REF!*$C$70)</f>
        <v/>
      </c>
      <c r="GX70" s="11" t="str">
        <f ca="1">IF(History!HB$2="","",#REF!*$C$70)</f>
        <v/>
      </c>
      <c r="GY70" s="11" t="str">
        <f ca="1">IF(History!HC$2="","",#REF!*$C$70)</f>
        <v/>
      </c>
      <c r="GZ70" s="11" t="str">
        <f ca="1">IF(History!HD$2="","",#REF!*$C$70)</f>
        <v/>
      </c>
      <c r="HA70" s="11" t="str">
        <f ca="1">IF(History!HE$2="","",#REF!*$C$70)</f>
        <v/>
      </c>
      <c r="HB70" s="11" t="str">
        <f ca="1">IF(History!HF$2="","",#REF!*$C$70)</f>
        <v/>
      </c>
      <c r="HC70" s="11" t="str">
        <f ca="1">IF(History!HG$2="","",#REF!*$C$70)</f>
        <v/>
      </c>
      <c r="HD70" s="11" t="str">
        <f ca="1">IF(History!HH$2="","",#REF!*$C$70)</f>
        <v/>
      </c>
      <c r="HE70" s="11" t="str">
        <f ca="1">IF(History!HI$2="","",#REF!*$C$70)</f>
        <v/>
      </c>
      <c r="HF70" s="11" t="str">
        <f ca="1">IF(History!HJ$2="","",#REF!*$C$70)</f>
        <v/>
      </c>
      <c r="HG70" s="11" t="str">
        <f ca="1">IF(History!HK$2="","",#REF!*$C$70)</f>
        <v/>
      </c>
      <c r="HH70" s="11" t="str">
        <f ca="1">IF(History!HL$2="","",#REF!*$C$70)</f>
        <v/>
      </c>
      <c r="HI70" s="11" t="str">
        <f ca="1">IF(History!HM$2="","",#REF!*$C$70)</f>
        <v/>
      </c>
      <c r="HJ70" s="11" t="str">
        <f ca="1">IF(History!HN$2="","",#REF!*$C$70)</f>
        <v/>
      </c>
      <c r="HK70" s="11" t="str">
        <f ca="1">IF(History!HO$2="","",#REF!*$C$70)</f>
        <v/>
      </c>
      <c r="HL70" s="11" t="str">
        <f ca="1">IF(History!HP$2="","",#REF!*$C$70)</f>
        <v/>
      </c>
      <c r="HM70" s="11" t="str">
        <f ca="1">IF(History!HQ$2="","",#REF!*$C$70)</f>
        <v/>
      </c>
      <c r="HN70" s="11" t="str">
        <f ca="1">IF(History!HR$2="","",#REF!*$C$70)</f>
        <v/>
      </c>
      <c r="HO70" s="11" t="str">
        <f ca="1">IF(History!HS$2="","",#REF!*$C$70)</f>
        <v/>
      </c>
      <c r="HP70" s="11" t="str">
        <f ca="1">IF(History!HT$2="","",#REF!*$C$70)</f>
        <v/>
      </c>
      <c r="HQ70" s="11" t="str">
        <f ca="1">IF(History!HU$2="","",#REF!*$C$70)</f>
        <v/>
      </c>
      <c r="HR70" s="11" t="str">
        <f ca="1">IF(History!HV$2="","",#REF!*$C$70)</f>
        <v/>
      </c>
      <c r="HS70" s="11" t="str">
        <f ca="1">IF(History!HW$2="","",#REF!*$C$70)</f>
        <v/>
      </c>
      <c r="HT70" s="11" t="str">
        <f ca="1">IF(History!HX$2="","",#REF!*$C$70)</f>
        <v/>
      </c>
      <c r="HU70" s="11" t="str">
        <f ca="1">IF(History!HY$2="","",#REF!*$C$70)</f>
        <v/>
      </c>
      <c r="HV70" s="11" t="str">
        <f ca="1">IF(History!HZ$2="","",#REF!*$C$70)</f>
        <v/>
      </c>
      <c r="HW70" s="11" t="str">
        <f ca="1">IF(History!IA$2="","",#REF!*$C$70)</f>
        <v/>
      </c>
      <c r="HX70" s="11" t="str">
        <f ca="1">IF(History!IB$2="","",#REF!*$C$70)</f>
        <v/>
      </c>
      <c r="HY70" s="11" t="str">
        <f ca="1">IF(History!IC$2="","",#REF!*$C$70)</f>
        <v/>
      </c>
      <c r="HZ70" s="11" t="str">
        <f ca="1">IF(History!ID$2="","",#REF!*$C$70)</f>
        <v/>
      </c>
      <c r="IA70" s="11" t="str">
        <f ca="1">IF(History!IE$2="","",#REF!*$C$70)</f>
        <v/>
      </c>
      <c r="IB70" s="11" t="str">
        <f ca="1">IF(History!IF$2="","",#REF!*$C$70)</f>
        <v/>
      </c>
      <c r="IC70" s="11" t="str">
        <f ca="1">IF(History!IG$2="","",#REF!*$C$70)</f>
        <v/>
      </c>
      <c r="ID70" s="11" t="str">
        <f ca="1">IF(History!IH$2="","",#REF!*$C$70)</f>
        <v/>
      </c>
      <c r="IE70" s="11" t="str">
        <f ca="1">IF(History!II$2="","",#REF!*$C$70)</f>
        <v/>
      </c>
      <c r="IF70" s="11" t="str">
        <f ca="1">IF(History!IJ$2="","",#REF!*$C$70)</f>
        <v/>
      </c>
      <c r="IG70" s="11" t="str">
        <f ca="1">IF(History!IK$2="","",#REF!*$C$70)</f>
        <v/>
      </c>
      <c r="IH70" s="11" t="str">
        <f ca="1">IF(History!IL$2="","",#REF!*$C$70)</f>
        <v/>
      </c>
      <c r="II70" s="11" t="str">
        <f ca="1">IF(History!IM$2="","",#REF!*$C$70)</f>
        <v/>
      </c>
      <c r="IJ70" s="11" t="str">
        <f ca="1">IF(History!IN$2="","",#REF!*$C$70)</f>
        <v/>
      </c>
      <c r="IK70" s="11" t="str">
        <f ca="1">IF(History!IO$2="","",#REF!*$C$70)</f>
        <v/>
      </c>
      <c r="IL70" s="11" t="str">
        <f ca="1">IF(History!IP$2="","",#REF!*$C$70)</f>
        <v/>
      </c>
      <c r="IM70" s="11" t="str">
        <f ca="1">IF(History!IQ$2="","",#REF!*$C$70)</f>
        <v/>
      </c>
      <c r="IN70" s="11" t="str">
        <f ca="1">IF(History!IR$2="","",#REF!*$C$70)</f>
        <v/>
      </c>
      <c r="IO70" s="11" t="str">
        <f ca="1">IF(History!IS$2="","",#REF!*$C$70)</f>
        <v/>
      </c>
      <c r="IP70" s="11" t="str">
        <f ca="1">IF(History!IT$2="","",#REF!*$C$70)</f>
        <v/>
      </c>
      <c r="IQ70" s="11" t="str">
        <f ca="1">IF(History!IU$2="","",#REF!*$C$70)</f>
        <v/>
      </c>
      <c r="IR70" s="11" t="str">
        <f ca="1">IF(History!IV$2="","",#REF!*$C$70)</f>
        <v/>
      </c>
      <c r="IS70" s="11" t="str">
        <f ca="1">IF(History!IW$2="","",#REF!*$C$70)</f>
        <v/>
      </c>
      <c r="IT70" s="11" t="str">
        <f ca="1">IF(History!IX$2="","",#REF!*$C$70)</f>
        <v/>
      </c>
      <c r="IU70" s="11" t="str">
        <f ca="1">IF(History!IY$2="","",#REF!*$C$70)</f>
        <v/>
      </c>
      <c r="IV70" s="11" t="str">
        <f ca="1">IF(History!IZ$2="","",#REF!*$C$70)</f>
        <v/>
      </c>
      <c r="IW70" s="11" t="str">
        <f ca="1">IF(History!JA$2="","",#REF!*$C$70)</f>
        <v/>
      </c>
      <c r="IX70" s="11" t="str">
        <f ca="1">IF(History!JB$2="","",#REF!*$C$70)</f>
        <v/>
      </c>
      <c r="IY70" s="11" t="str">
        <f ca="1">IF(History!JC$2="","",#REF!*$C$70)</f>
        <v/>
      </c>
      <c r="IZ70" s="11" t="str">
        <f ca="1">IF(History!JD$2="","",#REF!*$C$70)</f>
        <v/>
      </c>
      <c r="JA70" s="11" t="str">
        <f ca="1">IF(History!JE$2="","",#REF!*$C$70)</f>
        <v/>
      </c>
      <c r="JB70" s="11" t="str">
        <f ca="1">IF(History!JF$2="","",#REF!*$C$70)</f>
        <v/>
      </c>
      <c r="JC70" s="11" t="str">
        <f ca="1">IF(History!JG$2="","",#REF!*$C$70)</f>
        <v/>
      </c>
      <c r="JD70" s="11" t="str">
        <f ca="1">IF(History!JH$2="","",#REF!*$C$70)</f>
        <v/>
      </c>
      <c r="JE70" s="11" t="str">
        <f ca="1">IF(History!JI$2="","",#REF!*$C$70)</f>
        <v/>
      </c>
      <c r="JF70" s="11" t="str">
        <f ca="1">IF(History!JJ$2="","",#REF!*$C$70)</f>
        <v/>
      </c>
      <c r="JG70" s="11" t="str">
        <f ca="1">IF(History!JK$2="","",#REF!*$C$70)</f>
        <v/>
      </c>
      <c r="JH70" s="11" t="str">
        <f ca="1">IF(History!JL$2="","",#REF!*$C$70)</f>
        <v/>
      </c>
      <c r="JI70" s="11" t="str">
        <f ca="1">IF(History!JM$2="","",#REF!*$C$70)</f>
        <v/>
      </c>
      <c r="JJ70" s="11" t="str">
        <f ca="1">IF(History!JN$2="","",#REF!*$C$70)</f>
        <v/>
      </c>
      <c r="JK70" s="11" t="str">
        <f ca="1">IF(History!JO$2="","",#REF!*$C$70)</f>
        <v/>
      </c>
      <c r="JL70" s="11" t="str">
        <f ca="1">IF(History!JP$2="","",#REF!*$C$70)</f>
        <v/>
      </c>
      <c r="JM70" s="11" t="str">
        <f ca="1">IF(History!JQ$2="","",#REF!*$C$70)</f>
        <v/>
      </c>
      <c r="JN70" s="11" t="str">
        <f ca="1">IF(History!JR$2="","",#REF!*$C$70)</f>
        <v/>
      </c>
      <c r="JO70" s="11" t="str">
        <f ca="1">IF(History!JS$2="","",#REF!*$C$70)</f>
        <v/>
      </c>
      <c r="JP70" s="11" t="str">
        <f ca="1">IF(History!JT$2="","",#REF!*$C$70)</f>
        <v/>
      </c>
      <c r="JQ70" s="11" t="str">
        <f ca="1">IF(History!JU$2="","",#REF!*$C$70)</f>
        <v/>
      </c>
      <c r="JR70" s="11" t="str">
        <f ca="1">IF(History!JV$2="","",#REF!*$C$70)</f>
        <v/>
      </c>
      <c r="JS70" s="11" t="str">
        <f ca="1">IF(History!JW$2="","",#REF!*$C$70)</f>
        <v/>
      </c>
      <c r="JT70" s="11" t="str">
        <f ca="1">IF(History!JX$2="","",#REF!*$C$70)</f>
        <v/>
      </c>
      <c r="JU70" s="11" t="str">
        <f ca="1">IF(History!JY$2="","",#REF!*$C$70)</f>
        <v/>
      </c>
      <c r="JV70" s="11" t="str">
        <f ca="1">IF(History!JZ$2="","",#REF!*$C$70)</f>
        <v/>
      </c>
      <c r="JW70" s="11" t="str">
        <f ca="1">IF(History!KA$2="","",#REF!*$C$70)</f>
        <v/>
      </c>
      <c r="JX70" s="11" t="str">
        <f ca="1">IF(History!KB$2="","",#REF!*$C$70)</f>
        <v/>
      </c>
      <c r="JY70" s="11" t="str">
        <f ca="1">IF(History!KC$2="","",#REF!*$C$70)</f>
        <v/>
      </c>
      <c r="JZ70" s="11" t="str">
        <f ca="1">IF(History!KD$2="","",#REF!*$C$70)</f>
        <v/>
      </c>
      <c r="KA70" s="11" t="str">
        <f ca="1">IF(History!KE$2="","",#REF!*$C$70)</f>
        <v/>
      </c>
      <c r="KB70" s="11" t="str">
        <f ca="1">IF(History!KF$2="","",#REF!*$C$70)</f>
        <v/>
      </c>
    </row>
    <row r="71" spans="1:288" ht="13">
      <c r="A71" s="18" t="s">
        <v>140</v>
      </c>
      <c r="B71" s="6" t="s">
        <v>150</v>
      </c>
      <c r="C71" s="26">
        <v>125</v>
      </c>
      <c r="D71" s="11" t="e">
        <f ca="1">IF(History!H$2="","",#REF!*$C$71)</f>
        <v>#REF!</v>
      </c>
      <c r="E71" s="11" t="e">
        <f ca="1">IF(History!I$2="","",#REF!*$C$71)</f>
        <v>#REF!</v>
      </c>
      <c r="F71" s="11" t="e">
        <f ca="1">IF(History!J$2="","",#REF!*$C$71)</f>
        <v>#REF!</v>
      </c>
      <c r="G71" s="11" t="e">
        <f ca="1">IF(History!K$2="","",#REF!*$C$71)</f>
        <v>#REF!</v>
      </c>
      <c r="H71" s="11" t="e">
        <f ca="1">IF(History!L$2="","",#REF!*$C$71)</f>
        <v>#REF!</v>
      </c>
      <c r="I71" s="11" t="e">
        <f ca="1">IF(History!M$2="","",#REF!*$C$71)</f>
        <v>#REF!</v>
      </c>
      <c r="J71" s="11" t="e">
        <f ca="1">IF(History!N$2="","",#REF!*$C$71)</f>
        <v>#REF!</v>
      </c>
      <c r="K71" s="11" t="e">
        <f ca="1">IF(History!O$2="","",#REF!*$C$71)</f>
        <v>#REF!</v>
      </c>
      <c r="L71" s="11" t="e">
        <f ca="1">IF(History!P$2="","",#REF!*$C$71)</f>
        <v>#REF!</v>
      </c>
      <c r="M71" s="11" t="e">
        <f ca="1">IF(History!Q$2="","",#REF!*$C$71)</f>
        <v>#REF!</v>
      </c>
      <c r="N71" s="11" t="e">
        <f ca="1">IF(History!R$2="","",#REF!*$C$71)</f>
        <v>#REF!</v>
      </c>
      <c r="O71" s="11" t="e">
        <f ca="1">IF(History!S$2="","",#REF!*$C$71)</f>
        <v>#REF!</v>
      </c>
      <c r="P71" s="11" t="e">
        <f ca="1">IF(History!T$2="","",#REF!*$C$71)</f>
        <v>#REF!</v>
      </c>
      <c r="Q71" s="11" t="e">
        <f ca="1">IF(History!U$2="","",#REF!*$C$71)</f>
        <v>#REF!</v>
      </c>
      <c r="R71" s="11" t="e">
        <f ca="1">IF(History!V$2="","",#REF!*$C$71)</f>
        <v>#REF!</v>
      </c>
      <c r="S71" s="11" t="e">
        <f ca="1">IF(History!W$2="","",#REF!*$C$71)</f>
        <v>#REF!</v>
      </c>
      <c r="T71" s="11" t="e">
        <f ca="1">IF(History!X$2="","",#REF!*$C$71)</f>
        <v>#REF!</v>
      </c>
      <c r="U71" s="11" t="e">
        <f ca="1">IF(History!Y$2="","",#REF!*$C$71)</f>
        <v>#REF!</v>
      </c>
      <c r="V71" s="11" t="e">
        <f ca="1">IF(History!Z$2="","",#REF!*$C$71)</f>
        <v>#REF!</v>
      </c>
      <c r="W71" s="11" t="e">
        <f ca="1">IF(History!AA$2="","",#REF!*$C$71)</f>
        <v>#REF!</v>
      </c>
      <c r="X71" s="11" t="e">
        <f ca="1">IF(History!AB$2="","",#REF!*$C$71)</f>
        <v>#REF!</v>
      </c>
      <c r="Y71" s="11" t="e">
        <f ca="1">IF(History!AC$2="","",#REF!*$C$71)</f>
        <v>#REF!</v>
      </c>
      <c r="Z71" s="11" t="e">
        <f ca="1">IF(History!AD$2="","",#REF!*$C$71)</f>
        <v>#REF!</v>
      </c>
      <c r="AA71" s="11" t="e">
        <f ca="1">IF(History!AE$2="","",#REF!*$C$71)</f>
        <v>#REF!</v>
      </c>
      <c r="AB71" s="11" t="e">
        <f ca="1">IF(History!AF$2="","",#REF!*$C$71)</f>
        <v>#REF!</v>
      </c>
      <c r="AC71" s="11" t="e">
        <f ca="1">IF(History!AG$2="","",#REF!*$C$71)</f>
        <v>#REF!</v>
      </c>
      <c r="AD71" s="11" t="e">
        <f ca="1">IF(History!AH$2="","",#REF!*$C$71)</f>
        <v>#REF!</v>
      </c>
      <c r="AE71" s="11" t="e">
        <f ca="1">IF(History!AI$2="","",#REF!*$C$71)</f>
        <v>#REF!</v>
      </c>
      <c r="AF71" s="11" t="e">
        <f ca="1">IF(History!AJ$2="","",#REF!*$C$71)</f>
        <v>#REF!</v>
      </c>
      <c r="AG71" s="11" t="e">
        <f ca="1">IF(History!AK$2="","",#REF!*$C$71)</f>
        <v>#REF!</v>
      </c>
      <c r="AH71" s="11" t="e">
        <f ca="1">IF(History!AL$2="","",#REF!*$C$71)</f>
        <v>#REF!</v>
      </c>
      <c r="AI71" s="11" t="e">
        <f ca="1">IF(History!AM$2="","",#REF!*$C$71)</f>
        <v>#REF!</v>
      </c>
      <c r="AJ71" s="11" t="e">
        <f ca="1">IF(History!AN$2="","",#REF!*$C$71)</f>
        <v>#REF!</v>
      </c>
      <c r="AK71" s="11" t="e">
        <f ca="1">IF(History!AO$2="","",#REF!*$C$71)</f>
        <v>#REF!</v>
      </c>
      <c r="AL71" s="11" t="e">
        <f ca="1">IF(History!AP$2="","",#REF!*$C$71)</f>
        <v>#REF!</v>
      </c>
      <c r="AM71" s="11" t="e">
        <f ca="1">IF(History!AQ$2="","",#REF!*$C$71)</f>
        <v>#REF!</v>
      </c>
      <c r="AN71" s="11" t="e">
        <f ca="1">IF(History!AR$2="","",#REF!*$C$71)</f>
        <v>#REF!</v>
      </c>
      <c r="AO71" s="11" t="e">
        <f ca="1">IF(History!AS$2="","",#REF!*$C$71)</f>
        <v>#REF!</v>
      </c>
      <c r="AP71" s="11" t="e">
        <f ca="1">IF(History!AT$2="","",#REF!*$C$71)</f>
        <v>#REF!</v>
      </c>
      <c r="AQ71" s="11" t="e">
        <f ca="1">IF(History!AU$2="","",#REF!*$C$71)</f>
        <v>#REF!</v>
      </c>
      <c r="AR71" s="11" t="e">
        <f ca="1">IF(History!AV$2="","",#REF!*$C$71)</f>
        <v>#REF!</v>
      </c>
      <c r="AS71" s="11" t="e">
        <f ca="1">IF(History!AW$2="","",#REF!*$C$71)</f>
        <v>#REF!</v>
      </c>
      <c r="AT71" s="11" t="e">
        <f ca="1">IF(History!AX$2="","",#REF!*$C$71)</f>
        <v>#REF!</v>
      </c>
      <c r="AU71" s="11" t="e">
        <f ca="1">IF(History!AY$2="","",#REF!*$C$71)</f>
        <v>#REF!</v>
      </c>
      <c r="AV71" s="11" t="e">
        <f ca="1">IF(History!AZ$2="","",#REF!*$C$71)</f>
        <v>#REF!</v>
      </c>
      <c r="AW71" s="11" t="e">
        <f ca="1">IF(History!BA$2="","",#REF!*$C$71)</f>
        <v>#REF!</v>
      </c>
      <c r="AX71" s="11" t="e">
        <f ca="1">IF(History!BB$2="","",#REF!*$C$71)</f>
        <v>#REF!</v>
      </c>
      <c r="AY71" s="11" t="e">
        <f ca="1">IF(History!BC$2="","",#REF!*$C$71)</f>
        <v>#REF!</v>
      </c>
      <c r="AZ71" s="11" t="e">
        <f ca="1">IF(History!BD$2="","",#REF!*$C$71)</f>
        <v>#REF!</v>
      </c>
      <c r="BA71" s="11" t="e">
        <f ca="1">IF(History!BE$2="","",#REF!*$C$71)</f>
        <v>#REF!</v>
      </c>
      <c r="BB71" s="11" t="e">
        <f ca="1">IF(History!BF$2="","",#REF!*$C$71)</f>
        <v>#REF!</v>
      </c>
      <c r="BC71" s="11" t="e">
        <f ca="1">IF(History!BG$2="","",#REF!*$C$71)</f>
        <v>#REF!</v>
      </c>
      <c r="BD71" s="11" t="e">
        <f ca="1">IF(History!BH$2="","",#REF!*$C$71)</f>
        <v>#REF!</v>
      </c>
      <c r="BE71" s="11" t="e">
        <f ca="1">IF(History!BI$2="","",#REF!*$C$71)</f>
        <v>#REF!</v>
      </c>
      <c r="BF71" s="11" t="e">
        <f ca="1">IF(History!BJ$2="","",#REF!*$C$71)</f>
        <v>#REF!</v>
      </c>
      <c r="BG71" s="11" t="e">
        <f ca="1">IF(History!BK$2="","",#REF!*$C$71)</f>
        <v>#REF!</v>
      </c>
      <c r="BH71" s="11" t="e">
        <f ca="1">IF(History!BL$2="","",#REF!*$C$71)</f>
        <v>#REF!</v>
      </c>
      <c r="BI71" s="11" t="e">
        <f ca="1">IF(History!BM$2="","",#REF!*$C$71)</f>
        <v>#REF!</v>
      </c>
      <c r="BJ71" s="11" t="e">
        <f ca="1">IF(History!BN$2="","",#REF!*$C$71)</f>
        <v>#REF!</v>
      </c>
      <c r="BK71" s="11" t="e">
        <f ca="1">IF(History!BO$2="","",#REF!*$C$71)</f>
        <v>#REF!</v>
      </c>
      <c r="BL71" s="11" t="e">
        <f ca="1">IF(History!BP$2="","",#REF!*$C$71)</f>
        <v>#REF!</v>
      </c>
      <c r="BM71" s="11" t="e">
        <f ca="1">IF(History!BQ$2="","",#REF!*$C$71)</f>
        <v>#REF!</v>
      </c>
      <c r="BN71" s="11" t="e">
        <f ca="1">IF(History!BR$2="","",#REF!*$C$71)</f>
        <v>#REF!</v>
      </c>
      <c r="BO71" s="11" t="e">
        <f ca="1">IF(History!BS$2="","",#REF!*$C$71)</f>
        <v>#REF!</v>
      </c>
      <c r="BP71" s="11" t="e">
        <f ca="1">IF(History!BT$2="","",#REF!*$C$71)</f>
        <v>#REF!</v>
      </c>
      <c r="BQ71" s="11" t="e">
        <f ca="1">IF(History!BU$2="","",#REF!*$C$71)</f>
        <v>#REF!</v>
      </c>
      <c r="BR71" s="11" t="e">
        <f ca="1">IF(History!BV$2="","",#REF!*$C$71)</f>
        <v>#REF!</v>
      </c>
      <c r="BS71" s="11" t="e">
        <f ca="1">IF(History!BW$2="","",#REF!*$C$71)</f>
        <v>#REF!</v>
      </c>
      <c r="BT71" s="11" t="e">
        <f ca="1">IF(History!BX$2="","",#REF!*$C$71)</f>
        <v>#REF!</v>
      </c>
      <c r="BU71" s="11" t="e">
        <f ca="1">IF(History!BY$2="","",#REF!*$C$71)</f>
        <v>#REF!</v>
      </c>
      <c r="BV71" s="11" t="e">
        <f ca="1">IF(History!BZ$2="","",#REF!*$C$71)</f>
        <v>#REF!</v>
      </c>
      <c r="BW71" s="11" t="e">
        <f ca="1">IF(History!CA$2="","",#REF!*$C$71)</f>
        <v>#REF!</v>
      </c>
      <c r="BX71" s="11" t="e">
        <f ca="1">IF(History!CB$2="","",#REF!*$C$71)</f>
        <v>#REF!</v>
      </c>
      <c r="BY71" s="11" t="e">
        <f ca="1">IF(History!CC$2="","",#REF!*$C$71)</f>
        <v>#REF!</v>
      </c>
      <c r="BZ71" s="11" t="e">
        <f ca="1">IF(History!CD$2="","",#REF!*$C$71)</f>
        <v>#REF!</v>
      </c>
      <c r="CA71" s="11" t="e">
        <f ca="1">IF(History!CE$2="","",#REF!*$C$71)</f>
        <v>#REF!</v>
      </c>
      <c r="CB71" s="11" t="e">
        <f ca="1">IF(History!CF$2="","",#REF!*$C$71)</f>
        <v>#REF!</v>
      </c>
      <c r="CC71" s="11" t="e">
        <f ca="1">IF(History!CG$2="","",#REF!*$C$71)</f>
        <v>#REF!</v>
      </c>
      <c r="CD71" s="11" t="e">
        <f ca="1">IF(History!CH$2="","",#REF!*$C$71)</f>
        <v>#REF!</v>
      </c>
      <c r="CE71" s="11" t="e">
        <f ca="1">IF(History!CI$2="","",#REF!*$C$71)</f>
        <v>#REF!</v>
      </c>
      <c r="CF71" s="11" t="str">
        <f ca="1">IF(History!CJ$2="","",#REF!*$C$71)</f>
        <v/>
      </c>
      <c r="CG71" s="11" t="str">
        <f ca="1">IF(History!CK$2="","",#REF!*$C$71)</f>
        <v/>
      </c>
      <c r="CH71" s="11" t="str">
        <f ca="1">IF(History!CL$2="","",#REF!*$C$71)</f>
        <v/>
      </c>
      <c r="CI71" s="11" t="str">
        <f ca="1">IF(History!CM$2="","",#REF!*$C$71)</f>
        <v/>
      </c>
      <c r="CJ71" s="11" t="str">
        <f ca="1">IF(History!CN$2="","",#REF!*$C$71)</f>
        <v/>
      </c>
      <c r="CK71" s="11" t="str">
        <f ca="1">IF(History!CO$2="","",#REF!*$C$71)</f>
        <v/>
      </c>
      <c r="CL71" s="11" t="str">
        <f ca="1">IF(History!CP$2="","",#REF!*$C$71)</f>
        <v/>
      </c>
      <c r="CM71" s="11" t="str">
        <f ca="1">IF(History!CQ$2="","",#REF!*$C$71)</f>
        <v/>
      </c>
      <c r="CN71" s="11" t="str">
        <f ca="1">IF(History!CR$2="","",#REF!*$C$71)</f>
        <v/>
      </c>
      <c r="CO71" s="11" t="str">
        <f ca="1">IF(History!CS$2="","",#REF!*$C$71)</f>
        <v/>
      </c>
      <c r="CP71" s="11" t="str">
        <f ca="1">IF(History!CT$2="","",#REF!*$C$71)</f>
        <v/>
      </c>
      <c r="CQ71" s="11" t="str">
        <f ca="1">IF(History!CU$2="","",#REF!*$C$71)</f>
        <v/>
      </c>
      <c r="CR71" s="11" t="str">
        <f ca="1">IF(History!CV$2="","",#REF!*$C$71)</f>
        <v/>
      </c>
      <c r="CS71" s="11" t="str">
        <f ca="1">IF(History!CW$2="","",#REF!*$C$71)</f>
        <v/>
      </c>
      <c r="CT71" s="11" t="str">
        <f ca="1">IF(History!CX$2="","",#REF!*$C$71)</f>
        <v/>
      </c>
      <c r="CU71" s="11" t="str">
        <f ca="1">IF(History!CY$2="","",#REF!*$C$71)</f>
        <v/>
      </c>
      <c r="CV71" s="11" t="str">
        <f ca="1">IF(History!CZ$2="","",#REF!*$C$71)</f>
        <v/>
      </c>
      <c r="CW71" s="11" t="str">
        <f ca="1">IF(History!DA$2="","",#REF!*$C$71)</f>
        <v/>
      </c>
      <c r="CX71" s="11" t="str">
        <f ca="1">IF(History!DB$2="","",#REF!*$C$71)</f>
        <v/>
      </c>
      <c r="CY71" s="11" t="str">
        <f ca="1">IF(History!DC$2="","",#REF!*$C$71)</f>
        <v/>
      </c>
      <c r="CZ71" s="11" t="str">
        <f ca="1">IF(History!DD$2="","",#REF!*$C$71)</f>
        <v/>
      </c>
      <c r="DA71" s="11" t="str">
        <f ca="1">IF(History!DE$2="","",#REF!*$C$71)</f>
        <v/>
      </c>
      <c r="DB71" s="11" t="str">
        <f ca="1">IF(History!DF$2="","",#REF!*$C$71)</f>
        <v/>
      </c>
      <c r="DC71" s="11" t="str">
        <f ca="1">IF(History!DG$2="","",#REF!*$C$71)</f>
        <v/>
      </c>
      <c r="DD71" s="11" t="str">
        <f ca="1">IF(History!DH$2="","",#REF!*$C$71)</f>
        <v/>
      </c>
      <c r="DE71" s="11" t="str">
        <f ca="1">IF(History!DI$2="","",#REF!*$C$71)</f>
        <v/>
      </c>
      <c r="DF71" s="11" t="str">
        <f ca="1">IF(History!DJ$2="","",#REF!*$C$71)</f>
        <v/>
      </c>
      <c r="DG71" s="11" t="str">
        <f ca="1">IF(History!DK$2="","",#REF!*$C$71)</f>
        <v/>
      </c>
      <c r="DH71" s="11" t="str">
        <f ca="1">IF(History!DL$2="","",#REF!*$C$71)</f>
        <v/>
      </c>
      <c r="DI71" s="11" t="str">
        <f ca="1">IF(History!DM$2="","",#REF!*$C$71)</f>
        <v/>
      </c>
      <c r="DJ71" s="11" t="str">
        <f ca="1">IF(History!DN$2="","",#REF!*$C$71)</f>
        <v/>
      </c>
      <c r="DK71" s="11" t="str">
        <f ca="1">IF(History!DO$2="","",#REF!*$C$71)</f>
        <v/>
      </c>
      <c r="DL71" s="11" t="str">
        <f ca="1">IF(History!DP$2="","",#REF!*$C$71)</f>
        <v/>
      </c>
      <c r="DM71" s="11" t="str">
        <f ca="1">IF(History!DQ$2="","",#REF!*$C$71)</f>
        <v/>
      </c>
      <c r="DN71" s="11" t="str">
        <f ca="1">IF(History!DR$2="","",#REF!*$C$71)</f>
        <v/>
      </c>
      <c r="DO71" s="11" t="str">
        <f ca="1">IF(History!DS$2="","",#REF!*$C$71)</f>
        <v/>
      </c>
      <c r="DP71" s="11" t="str">
        <f ca="1">IF(History!DT$2="","",#REF!*$C$71)</f>
        <v/>
      </c>
      <c r="DQ71" s="11" t="str">
        <f ca="1">IF(History!DU$2="","",#REF!*$C$71)</f>
        <v/>
      </c>
      <c r="DR71" s="11" t="str">
        <f ca="1">IF(History!DV$2="","",#REF!*$C$71)</f>
        <v/>
      </c>
      <c r="DS71" s="11" t="str">
        <f ca="1">IF(History!DW$2="","",#REF!*$C$71)</f>
        <v/>
      </c>
      <c r="DT71" s="11" t="str">
        <f ca="1">IF(History!DX$2="","",#REF!*$C$71)</f>
        <v/>
      </c>
      <c r="DU71" s="11" t="str">
        <f ca="1">IF(History!DY$2="","",#REF!*$C$71)</f>
        <v/>
      </c>
      <c r="DV71" s="11" t="str">
        <f ca="1">IF(History!DZ$2="","",#REF!*$C$71)</f>
        <v/>
      </c>
      <c r="DW71" s="11" t="str">
        <f ca="1">IF(History!EA$2="","",#REF!*$C$71)</f>
        <v/>
      </c>
      <c r="DX71" s="11" t="str">
        <f ca="1">IF(History!EB$2="","",#REF!*$C$71)</f>
        <v/>
      </c>
      <c r="DY71" s="11" t="str">
        <f ca="1">IF(History!EC$2="","",#REF!*$C$71)</f>
        <v/>
      </c>
      <c r="DZ71" s="11" t="str">
        <f ca="1">IF(History!ED$2="","",#REF!*$C$71)</f>
        <v/>
      </c>
      <c r="EA71" s="11" t="str">
        <f ca="1">IF(History!EE$2="","",#REF!*$C$71)</f>
        <v/>
      </c>
      <c r="EB71" s="11" t="str">
        <f ca="1">IF(History!EF$2="","",#REF!*$C$71)</f>
        <v/>
      </c>
      <c r="EC71" s="11" t="str">
        <f ca="1">IF(History!EG$2="","",#REF!*$C$71)</f>
        <v/>
      </c>
      <c r="ED71" s="11" t="str">
        <f ca="1">IF(History!EH$2="","",#REF!*$C$71)</f>
        <v/>
      </c>
      <c r="EE71" s="11" t="str">
        <f ca="1">IF(History!EI$2="","",#REF!*$C$71)</f>
        <v/>
      </c>
      <c r="EF71" s="11" t="str">
        <f ca="1">IF(History!EJ$2="","",#REF!*$C$71)</f>
        <v/>
      </c>
      <c r="EG71" s="11" t="str">
        <f ca="1">IF(History!EK$2="","",#REF!*$C$71)</f>
        <v/>
      </c>
      <c r="EH71" s="11" t="str">
        <f ca="1">IF(History!EL$2="","",#REF!*$C$71)</f>
        <v/>
      </c>
      <c r="EI71" s="11" t="str">
        <f ca="1">IF(History!EM$2="","",#REF!*$C$71)</f>
        <v/>
      </c>
      <c r="EJ71" s="11" t="str">
        <f ca="1">IF(History!EN$2="","",#REF!*$C$71)</f>
        <v/>
      </c>
      <c r="EK71" s="11" t="str">
        <f ca="1">IF(History!EO$2="","",#REF!*$C$71)</f>
        <v/>
      </c>
      <c r="EL71" s="11" t="str">
        <f ca="1">IF(History!EP$2="","",#REF!*$C$71)</f>
        <v/>
      </c>
      <c r="EM71" s="11" t="str">
        <f ca="1">IF(History!EQ$2="","",#REF!*$C$71)</f>
        <v/>
      </c>
      <c r="EN71" s="11" t="str">
        <f ca="1">IF(History!ER$2="","",#REF!*$C$71)</f>
        <v/>
      </c>
      <c r="EO71" s="11" t="str">
        <f ca="1">IF(History!ES$2="","",#REF!*$C$71)</f>
        <v/>
      </c>
      <c r="EP71" s="11" t="str">
        <f ca="1">IF(History!ET$2="","",#REF!*$C$71)</f>
        <v/>
      </c>
      <c r="EQ71" s="11" t="str">
        <f ca="1">IF(History!EU$2="","",#REF!*$C$71)</f>
        <v/>
      </c>
      <c r="ER71" s="11" t="str">
        <f ca="1">IF(History!EV$2="","",#REF!*$C$71)</f>
        <v/>
      </c>
      <c r="ES71" s="11" t="str">
        <f ca="1">IF(History!EW$2="","",#REF!*$C$71)</f>
        <v/>
      </c>
      <c r="ET71" s="11" t="str">
        <f ca="1">IF(History!EX$2="","",#REF!*$C$71)</f>
        <v/>
      </c>
      <c r="EU71" s="11" t="str">
        <f ca="1">IF(History!EY$2="","",#REF!*$C$71)</f>
        <v/>
      </c>
      <c r="EV71" s="11" t="str">
        <f ca="1">IF(History!EZ$2="","",#REF!*$C$71)</f>
        <v/>
      </c>
      <c r="EW71" s="11" t="str">
        <f ca="1">IF(History!FA$2="","",#REF!*$C$71)</f>
        <v/>
      </c>
      <c r="EX71" s="11" t="str">
        <f ca="1">IF(History!FB$2="","",#REF!*$C$71)</f>
        <v/>
      </c>
      <c r="EY71" s="11" t="str">
        <f ca="1">IF(History!FC$2="","",#REF!*$C$71)</f>
        <v/>
      </c>
      <c r="EZ71" s="11" t="str">
        <f ca="1">IF(History!FD$2="","",#REF!*$C$71)</f>
        <v/>
      </c>
      <c r="FA71" s="11" t="str">
        <f ca="1">IF(History!FE$2="","",#REF!*$C$71)</f>
        <v/>
      </c>
      <c r="FB71" s="11" t="str">
        <f ca="1">IF(History!FF$2="","",#REF!*$C$71)</f>
        <v/>
      </c>
      <c r="FC71" s="11" t="str">
        <f ca="1">IF(History!FG$2="","",#REF!*$C$71)</f>
        <v/>
      </c>
      <c r="FD71" s="11" t="str">
        <f ca="1">IF(History!FH$2="","",#REF!*$C$71)</f>
        <v/>
      </c>
      <c r="FE71" s="11" t="str">
        <f ca="1">IF(History!FI$2="","",#REF!*$C$71)</f>
        <v/>
      </c>
      <c r="FF71" s="11" t="str">
        <f ca="1">IF(History!FJ$2="","",#REF!*$C$71)</f>
        <v/>
      </c>
      <c r="FG71" s="11" t="str">
        <f ca="1">IF(History!FK$2="","",#REF!*$C$71)</f>
        <v/>
      </c>
      <c r="FH71" s="11" t="str">
        <f ca="1">IF(History!FL$2="","",#REF!*$C$71)</f>
        <v/>
      </c>
      <c r="FI71" s="11" t="str">
        <f ca="1">IF(History!FM$2="","",#REF!*$C$71)</f>
        <v/>
      </c>
      <c r="FJ71" s="11" t="str">
        <f ca="1">IF(History!FN$2="","",#REF!*$C$71)</f>
        <v/>
      </c>
      <c r="FK71" s="11" t="str">
        <f ca="1">IF(History!FO$2="","",#REF!*$C$71)</f>
        <v/>
      </c>
      <c r="FL71" s="11" t="str">
        <f ca="1">IF(History!FP$2="","",#REF!*$C$71)</f>
        <v/>
      </c>
      <c r="FM71" s="11" t="str">
        <f ca="1">IF(History!FQ$2="","",#REF!*$C$71)</f>
        <v/>
      </c>
      <c r="FN71" s="11" t="str">
        <f ca="1">IF(History!FR$2="","",#REF!*$C$71)</f>
        <v/>
      </c>
      <c r="FO71" s="11" t="str">
        <f ca="1">IF(History!FS$2="","",#REF!*$C$71)</f>
        <v/>
      </c>
      <c r="FP71" s="11" t="str">
        <f ca="1">IF(History!FT$2="","",#REF!*$C$71)</f>
        <v/>
      </c>
      <c r="FQ71" s="11" t="str">
        <f ca="1">IF(History!FU$2="","",#REF!*$C$71)</f>
        <v/>
      </c>
      <c r="FR71" s="11" t="str">
        <f ca="1">IF(History!FV$2="","",#REF!*$C$71)</f>
        <v/>
      </c>
      <c r="FS71" s="11" t="str">
        <f ca="1">IF(History!FW$2="","",#REF!*$C$71)</f>
        <v/>
      </c>
      <c r="FT71" s="11" t="str">
        <f ca="1">IF(History!FX$2="","",#REF!*$C$71)</f>
        <v/>
      </c>
      <c r="FU71" s="11" t="str">
        <f ca="1">IF(History!FY$2="","",#REF!*$C$71)</f>
        <v/>
      </c>
      <c r="FV71" s="11" t="str">
        <f ca="1">IF(History!FZ$2="","",#REF!*$C$71)</f>
        <v/>
      </c>
      <c r="FW71" s="11" t="str">
        <f ca="1">IF(History!GA$2="","",#REF!*$C$71)</f>
        <v/>
      </c>
      <c r="FX71" s="11" t="str">
        <f ca="1">IF(History!GB$2="","",#REF!*$C$71)</f>
        <v/>
      </c>
      <c r="FY71" s="11" t="str">
        <f ca="1">IF(History!GC$2="","",#REF!*$C$71)</f>
        <v/>
      </c>
      <c r="FZ71" s="11" t="str">
        <f ca="1">IF(History!GD$2="","",#REF!*$C$71)</f>
        <v/>
      </c>
      <c r="GA71" s="11" t="str">
        <f ca="1">IF(History!GE$2="","",#REF!*$C$71)</f>
        <v/>
      </c>
      <c r="GB71" s="11" t="str">
        <f ca="1">IF(History!GF$2="","",#REF!*$C$71)</f>
        <v/>
      </c>
      <c r="GC71" s="11" t="str">
        <f ca="1">IF(History!GG$2="","",#REF!*$C$71)</f>
        <v/>
      </c>
      <c r="GD71" s="11" t="str">
        <f ca="1">IF(History!GH$2="","",#REF!*$C$71)</f>
        <v/>
      </c>
      <c r="GE71" s="11" t="str">
        <f ca="1">IF(History!GI$2="","",#REF!*$C$71)</f>
        <v/>
      </c>
      <c r="GF71" s="11" t="str">
        <f ca="1">IF(History!GJ$2="","",#REF!*$C$71)</f>
        <v/>
      </c>
      <c r="GG71" s="11" t="str">
        <f ca="1">IF(History!GK$2="","",#REF!*$C$71)</f>
        <v/>
      </c>
      <c r="GH71" s="11" t="str">
        <f ca="1">IF(History!GL$2="","",#REF!*$C$71)</f>
        <v/>
      </c>
      <c r="GI71" s="11" t="str">
        <f ca="1">IF(History!GM$2="","",#REF!*$C$71)</f>
        <v/>
      </c>
      <c r="GJ71" s="11" t="str">
        <f ca="1">IF(History!GN$2="","",#REF!*$C$71)</f>
        <v/>
      </c>
      <c r="GK71" s="11" t="str">
        <f ca="1">IF(History!GO$2="","",#REF!*$C$71)</f>
        <v/>
      </c>
      <c r="GL71" s="11" t="str">
        <f ca="1">IF(History!GP$2="","",#REF!*$C$71)</f>
        <v/>
      </c>
      <c r="GM71" s="11" t="str">
        <f ca="1">IF(History!GQ$2="","",#REF!*$C$71)</f>
        <v/>
      </c>
      <c r="GN71" s="11" t="str">
        <f ca="1">IF(History!GR$2="","",#REF!*$C$71)</f>
        <v/>
      </c>
      <c r="GO71" s="11" t="str">
        <f ca="1">IF(History!GS$2="","",#REF!*$C$71)</f>
        <v/>
      </c>
      <c r="GP71" s="11" t="str">
        <f ca="1">IF(History!GT$2="","",#REF!*$C$71)</f>
        <v/>
      </c>
      <c r="GQ71" s="11" t="str">
        <f ca="1">IF(History!GU$2="","",#REF!*$C$71)</f>
        <v/>
      </c>
      <c r="GR71" s="11" t="str">
        <f ca="1">IF(History!GV$2="","",#REF!*$C$71)</f>
        <v/>
      </c>
      <c r="GS71" s="11" t="str">
        <f ca="1">IF(History!GW$2="","",#REF!*$C$71)</f>
        <v/>
      </c>
      <c r="GT71" s="11" t="str">
        <f ca="1">IF(History!GX$2="","",#REF!*$C$71)</f>
        <v/>
      </c>
      <c r="GU71" s="11" t="str">
        <f ca="1">IF(History!GY$2="","",#REF!*$C$71)</f>
        <v/>
      </c>
      <c r="GV71" s="11" t="str">
        <f ca="1">IF(History!GZ$2="","",#REF!*$C$71)</f>
        <v/>
      </c>
      <c r="GW71" s="11" t="str">
        <f ca="1">IF(History!HA$2="","",#REF!*$C$71)</f>
        <v/>
      </c>
      <c r="GX71" s="11" t="str">
        <f ca="1">IF(History!HB$2="","",#REF!*$C$71)</f>
        <v/>
      </c>
      <c r="GY71" s="11" t="str">
        <f ca="1">IF(History!HC$2="","",#REF!*$C$71)</f>
        <v/>
      </c>
      <c r="GZ71" s="11" t="str">
        <f ca="1">IF(History!HD$2="","",#REF!*$C$71)</f>
        <v/>
      </c>
      <c r="HA71" s="11" t="str">
        <f ca="1">IF(History!HE$2="","",#REF!*$C$71)</f>
        <v/>
      </c>
      <c r="HB71" s="11" t="str">
        <f ca="1">IF(History!HF$2="","",#REF!*$C$71)</f>
        <v/>
      </c>
      <c r="HC71" s="11" t="str">
        <f ca="1">IF(History!HG$2="","",#REF!*$C$71)</f>
        <v/>
      </c>
      <c r="HD71" s="11" t="str">
        <f ca="1">IF(History!HH$2="","",#REF!*$C$71)</f>
        <v/>
      </c>
      <c r="HE71" s="11" t="str">
        <f ca="1">IF(History!HI$2="","",#REF!*$C$71)</f>
        <v/>
      </c>
      <c r="HF71" s="11" t="str">
        <f ca="1">IF(History!HJ$2="","",#REF!*$C$71)</f>
        <v/>
      </c>
      <c r="HG71" s="11" t="str">
        <f ca="1">IF(History!HK$2="","",#REF!*$C$71)</f>
        <v/>
      </c>
      <c r="HH71" s="11" t="str">
        <f ca="1">IF(History!HL$2="","",#REF!*$C$71)</f>
        <v/>
      </c>
      <c r="HI71" s="11" t="str">
        <f ca="1">IF(History!HM$2="","",#REF!*$C$71)</f>
        <v/>
      </c>
      <c r="HJ71" s="11" t="str">
        <f ca="1">IF(History!HN$2="","",#REF!*$C$71)</f>
        <v/>
      </c>
      <c r="HK71" s="11" t="str">
        <f ca="1">IF(History!HO$2="","",#REF!*$C$71)</f>
        <v/>
      </c>
      <c r="HL71" s="11" t="str">
        <f ca="1">IF(History!HP$2="","",#REF!*$C$71)</f>
        <v/>
      </c>
      <c r="HM71" s="11" t="str">
        <f ca="1">IF(History!HQ$2="","",#REF!*$C$71)</f>
        <v/>
      </c>
      <c r="HN71" s="11" t="str">
        <f ca="1">IF(History!HR$2="","",#REF!*$C$71)</f>
        <v/>
      </c>
      <c r="HO71" s="11" t="str">
        <f ca="1">IF(History!HS$2="","",#REF!*$C$71)</f>
        <v/>
      </c>
      <c r="HP71" s="11" t="str">
        <f ca="1">IF(History!HT$2="","",#REF!*$C$71)</f>
        <v/>
      </c>
      <c r="HQ71" s="11" t="str">
        <f ca="1">IF(History!HU$2="","",#REF!*$C$71)</f>
        <v/>
      </c>
      <c r="HR71" s="11" t="str">
        <f ca="1">IF(History!HV$2="","",#REF!*$C$71)</f>
        <v/>
      </c>
      <c r="HS71" s="11" t="str">
        <f ca="1">IF(History!HW$2="","",#REF!*$C$71)</f>
        <v/>
      </c>
      <c r="HT71" s="11" t="str">
        <f ca="1">IF(History!HX$2="","",#REF!*$C$71)</f>
        <v/>
      </c>
      <c r="HU71" s="11" t="str">
        <f ca="1">IF(History!HY$2="","",#REF!*$C$71)</f>
        <v/>
      </c>
      <c r="HV71" s="11" t="str">
        <f ca="1">IF(History!HZ$2="","",#REF!*$C$71)</f>
        <v/>
      </c>
      <c r="HW71" s="11" t="str">
        <f ca="1">IF(History!IA$2="","",#REF!*$C$71)</f>
        <v/>
      </c>
      <c r="HX71" s="11" t="str">
        <f ca="1">IF(History!IB$2="","",#REF!*$C$71)</f>
        <v/>
      </c>
      <c r="HY71" s="11" t="str">
        <f ca="1">IF(History!IC$2="","",#REF!*$C$71)</f>
        <v/>
      </c>
      <c r="HZ71" s="11" t="str">
        <f ca="1">IF(History!ID$2="","",#REF!*$C$71)</f>
        <v/>
      </c>
      <c r="IA71" s="11" t="str">
        <f ca="1">IF(History!IE$2="","",#REF!*$C$71)</f>
        <v/>
      </c>
      <c r="IB71" s="11" t="str">
        <f ca="1">IF(History!IF$2="","",#REF!*$C$71)</f>
        <v/>
      </c>
      <c r="IC71" s="11" t="str">
        <f ca="1">IF(History!IG$2="","",#REF!*$C$71)</f>
        <v/>
      </c>
      <c r="ID71" s="11" t="str">
        <f ca="1">IF(History!IH$2="","",#REF!*$C$71)</f>
        <v/>
      </c>
      <c r="IE71" s="11" t="str">
        <f ca="1">IF(History!II$2="","",#REF!*$C$71)</f>
        <v/>
      </c>
      <c r="IF71" s="11" t="str">
        <f ca="1">IF(History!IJ$2="","",#REF!*$C$71)</f>
        <v/>
      </c>
      <c r="IG71" s="11" t="str">
        <f ca="1">IF(History!IK$2="","",#REF!*$C$71)</f>
        <v/>
      </c>
      <c r="IH71" s="11" t="str">
        <f ca="1">IF(History!IL$2="","",#REF!*$C$71)</f>
        <v/>
      </c>
      <c r="II71" s="11" t="str">
        <f ca="1">IF(History!IM$2="","",#REF!*$C$71)</f>
        <v/>
      </c>
      <c r="IJ71" s="11" t="str">
        <f ca="1">IF(History!IN$2="","",#REF!*$C$71)</f>
        <v/>
      </c>
      <c r="IK71" s="11" t="str">
        <f ca="1">IF(History!IO$2="","",#REF!*$C$71)</f>
        <v/>
      </c>
      <c r="IL71" s="11" t="str">
        <f ca="1">IF(History!IP$2="","",#REF!*$C$71)</f>
        <v/>
      </c>
      <c r="IM71" s="11" t="str">
        <f ca="1">IF(History!IQ$2="","",#REF!*$C$71)</f>
        <v/>
      </c>
      <c r="IN71" s="11" t="str">
        <f ca="1">IF(History!IR$2="","",#REF!*$C$71)</f>
        <v/>
      </c>
      <c r="IO71" s="11" t="str">
        <f ca="1">IF(History!IS$2="","",#REF!*$C$71)</f>
        <v/>
      </c>
      <c r="IP71" s="11" t="str">
        <f ca="1">IF(History!IT$2="","",#REF!*$C$71)</f>
        <v/>
      </c>
      <c r="IQ71" s="11" t="str">
        <f ca="1">IF(History!IU$2="","",#REF!*$C$71)</f>
        <v/>
      </c>
      <c r="IR71" s="11" t="str">
        <f ca="1">IF(History!IV$2="","",#REF!*$C$71)</f>
        <v/>
      </c>
      <c r="IS71" s="11" t="str">
        <f ca="1">IF(History!IW$2="","",#REF!*$C$71)</f>
        <v/>
      </c>
      <c r="IT71" s="11" t="str">
        <f ca="1">IF(History!IX$2="","",#REF!*$C$71)</f>
        <v/>
      </c>
      <c r="IU71" s="11" t="str">
        <f ca="1">IF(History!IY$2="","",#REF!*$C$71)</f>
        <v/>
      </c>
      <c r="IV71" s="11" t="str">
        <f ca="1">IF(History!IZ$2="","",#REF!*$C$71)</f>
        <v/>
      </c>
      <c r="IW71" s="11" t="str">
        <f ca="1">IF(History!JA$2="","",#REF!*$C$71)</f>
        <v/>
      </c>
      <c r="IX71" s="11" t="str">
        <f ca="1">IF(History!JB$2="","",#REF!*$C$71)</f>
        <v/>
      </c>
      <c r="IY71" s="11" t="str">
        <f ca="1">IF(History!JC$2="","",#REF!*$C$71)</f>
        <v/>
      </c>
      <c r="IZ71" s="11" t="str">
        <f ca="1">IF(History!JD$2="","",#REF!*$C$71)</f>
        <v/>
      </c>
      <c r="JA71" s="11" t="str">
        <f ca="1">IF(History!JE$2="","",#REF!*$C$71)</f>
        <v/>
      </c>
      <c r="JB71" s="11" t="str">
        <f ca="1">IF(History!JF$2="","",#REF!*$C$71)</f>
        <v/>
      </c>
      <c r="JC71" s="11" t="str">
        <f ca="1">IF(History!JG$2="","",#REF!*$C$71)</f>
        <v/>
      </c>
      <c r="JD71" s="11" t="str">
        <f ca="1">IF(History!JH$2="","",#REF!*$C$71)</f>
        <v/>
      </c>
      <c r="JE71" s="11" t="str">
        <f ca="1">IF(History!JI$2="","",#REF!*$C$71)</f>
        <v/>
      </c>
      <c r="JF71" s="11" t="str">
        <f ca="1">IF(History!JJ$2="","",#REF!*$C$71)</f>
        <v/>
      </c>
      <c r="JG71" s="11" t="str">
        <f ca="1">IF(History!JK$2="","",#REF!*$C$71)</f>
        <v/>
      </c>
      <c r="JH71" s="11" t="str">
        <f ca="1">IF(History!JL$2="","",#REF!*$C$71)</f>
        <v/>
      </c>
      <c r="JI71" s="11" t="str">
        <f ca="1">IF(History!JM$2="","",#REF!*$C$71)</f>
        <v/>
      </c>
      <c r="JJ71" s="11" t="str">
        <f ca="1">IF(History!JN$2="","",#REF!*$C$71)</f>
        <v/>
      </c>
      <c r="JK71" s="11" t="str">
        <f ca="1">IF(History!JO$2="","",#REF!*$C$71)</f>
        <v/>
      </c>
      <c r="JL71" s="11" t="str">
        <f ca="1">IF(History!JP$2="","",#REF!*$C$71)</f>
        <v/>
      </c>
      <c r="JM71" s="11" t="str">
        <f ca="1">IF(History!JQ$2="","",#REF!*$C$71)</f>
        <v/>
      </c>
      <c r="JN71" s="11" t="str">
        <f ca="1">IF(History!JR$2="","",#REF!*$C$71)</f>
        <v/>
      </c>
      <c r="JO71" s="11" t="str">
        <f ca="1">IF(History!JS$2="","",#REF!*$C$71)</f>
        <v/>
      </c>
      <c r="JP71" s="11" t="str">
        <f ca="1">IF(History!JT$2="","",#REF!*$C$71)</f>
        <v/>
      </c>
      <c r="JQ71" s="11" t="str">
        <f ca="1">IF(History!JU$2="","",#REF!*$C$71)</f>
        <v/>
      </c>
      <c r="JR71" s="11" t="str">
        <f ca="1">IF(History!JV$2="","",#REF!*$C$71)</f>
        <v/>
      </c>
      <c r="JS71" s="11" t="str">
        <f ca="1">IF(History!JW$2="","",#REF!*$C$71)</f>
        <v/>
      </c>
      <c r="JT71" s="11" t="str">
        <f ca="1">IF(History!JX$2="","",#REF!*$C$71)</f>
        <v/>
      </c>
      <c r="JU71" s="11" t="str">
        <f ca="1">IF(History!JY$2="","",#REF!*$C$71)</f>
        <v/>
      </c>
      <c r="JV71" s="11" t="str">
        <f ca="1">IF(History!JZ$2="","",#REF!*$C$71)</f>
        <v/>
      </c>
      <c r="JW71" s="11" t="str">
        <f ca="1">IF(History!KA$2="","",#REF!*$C$71)</f>
        <v/>
      </c>
      <c r="JX71" s="11" t="str">
        <f ca="1">IF(History!KB$2="","",#REF!*$C$71)</f>
        <v/>
      </c>
      <c r="JY71" s="11" t="str">
        <f ca="1">IF(History!KC$2="","",#REF!*$C$71)</f>
        <v/>
      </c>
      <c r="JZ71" s="11" t="str">
        <f ca="1">IF(History!KD$2="","",#REF!*$C$71)</f>
        <v/>
      </c>
      <c r="KA71" s="11" t="str">
        <f ca="1">IF(History!KE$2="","",#REF!*$C$71)</f>
        <v/>
      </c>
      <c r="KB71" s="11" t="str">
        <f ca="1">IF(History!KF$2="","",#REF!*$C$71)</f>
        <v/>
      </c>
    </row>
    <row r="72" spans="1:288" ht="13">
      <c r="A72" s="18" t="s">
        <v>140</v>
      </c>
      <c r="B72" s="6" t="s">
        <v>151</v>
      </c>
      <c r="C72" s="26">
        <v>151</v>
      </c>
      <c r="D72" s="11" t="e">
        <f ca="1">IF(History!H$2="","",#REF!*$C$72)</f>
        <v>#REF!</v>
      </c>
      <c r="E72" s="11" t="e">
        <f ca="1">IF(History!I$2="","",#REF!*$C$72)</f>
        <v>#REF!</v>
      </c>
      <c r="F72" s="11" t="e">
        <f ca="1">IF(History!J$2="","",#REF!*$C$72)</f>
        <v>#REF!</v>
      </c>
      <c r="G72" s="11" t="e">
        <f ca="1">IF(History!K$2="","",#REF!*$C$72)</f>
        <v>#REF!</v>
      </c>
      <c r="H72" s="11" t="e">
        <f ca="1">IF(History!L$2="","",#REF!*$C$72)</f>
        <v>#REF!</v>
      </c>
      <c r="I72" s="11" t="e">
        <f ca="1">IF(History!M$2="","",#REF!*$C$72)</f>
        <v>#REF!</v>
      </c>
      <c r="J72" s="11" t="e">
        <f ca="1">IF(History!N$2="","",#REF!*$C$72)</f>
        <v>#REF!</v>
      </c>
      <c r="K72" s="11" t="e">
        <f ca="1">IF(History!O$2="","",#REF!*$C$72)</f>
        <v>#REF!</v>
      </c>
      <c r="L72" s="11" t="e">
        <f ca="1">IF(History!P$2="","",#REF!*$C$72)</f>
        <v>#REF!</v>
      </c>
      <c r="M72" s="11" t="e">
        <f ca="1">IF(History!Q$2="","",#REF!*$C$72)</f>
        <v>#REF!</v>
      </c>
      <c r="N72" s="11" t="e">
        <f ca="1">IF(History!R$2="","",#REF!*$C$72)</f>
        <v>#REF!</v>
      </c>
      <c r="O72" s="11" t="e">
        <f ca="1">IF(History!S$2="","",#REF!*$C$72)</f>
        <v>#REF!</v>
      </c>
      <c r="P72" s="11" t="e">
        <f ca="1">IF(History!T$2="","",#REF!*$C$72)</f>
        <v>#REF!</v>
      </c>
      <c r="Q72" s="11" t="e">
        <f ca="1">IF(History!U$2="","",#REF!*$C$72)</f>
        <v>#REF!</v>
      </c>
      <c r="R72" s="11" t="e">
        <f ca="1">IF(History!V$2="","",#REF!*$C$72)</f>
        <v>#REF!</v>
      </c>
      <c r="S72" s="11" t="e">
        <f ca="1">IF(History!W$2="","",#REF!*$C$72)</f>
        <v>#REF!</v>
      </c>
      <c r="T72" s="11" t="e">
        <f ca="1">IF(History!X$2="","",#REF!*$C$72)</f>
        <v>#REF!</v>
      </c>
      <c r="U72" s="11" t="e">
        <f ca="1">IF(History!Y$2="","",#REF!*$C$72)</f>
        <v>#REF!</v>
      </c>
      <c r="V72" s="11" t="e">
        <f ca="1">IF(History!Z$2="","",#REF!*$C$72)</f>
        <v>#REF!</v>
      </c>
      <c r="W72" s="11" t="e">
        <f ca="1">IF(History!AA$2="","",#REF!*$C$72)</f>
        <v>#REF!</v>
      </c>
      <c r="X72" s="11" t="e">
        <f ca="1">IF(History!AB$2="","",#REF!*$C$72)</f>
        <v>#REF!</v>
      </c>
      <c r="Y72" s="11" t="e">
        <f ca="1">IF(History!AC$2="","",#REF!*$C$72)</f>
        <v>#REF!</v>
      </c>
      <c r="Z72" s="11" t="e">
        <f ca="1">IF(History!AD$2="","",#REF!*$C$72)</f>
        <v>#REF!</v>
      </c>
      <c r="AA72" s="11" t="e">
        <f ca="1">IF(History!AE$2="","",#REF!*$C$72)</f>
        <v>#REF!</v>
      </c>
      <c r="AB72" s="11" t="e">
        <f ca="1">IF(History!AF$2="","",#REF!*$C$72)</f>
        <v>#REF!</v>
      </c>
      <c r="AC72" s="11" t="e">
        <f ca="1">IF(History!AG$2="","",#REF!*$C$72)</f>
        <v>#REF!</v>
      </c>
      <c r="AD72" s="11" t="e">
        <f ca="1">IF(History!AH$2="","",#REF!*$C$72)</f>
        <v>#REF!</v>
      </c>
      <c r="AE72" s="11" t="e">
        <f ca="1">IF(History!AI$2="","",#REF!*$C$72)</f>
        <v>#REF!</v>
      </c>
      <c r="AF72" s="11" t="e">
        <f ca="1">IF(History!AJ$2="","",#REF!*$C$72)</f>
        <v>#REF!</v>
      </c>
      <c r="AG72" s="11" t="e">
        <f ca="1">IF(History!AK$2="","",#REF!*$C$72)</f>
        <v>#REF!</v>
      </c>
      <c r="AH72" s="11" t="e">
        <f ca="1">IF(History!AL$2="","",#REF!*$C$72)</f>
        <v>#REF!</v>
      </c>
      <c r="AI72" s="11" t="e">
        <f ca="1">IF(History!AM$2="","",#REF!*$C$72)</f>
        <v>#REF!</v>
      </c>
      <c r="AJ72" s="11" t="e">
        <f ca="1">IF(History!AN$2="","",#REF!*$C$72)</f>
        <v>#REF!</v>
      </c>
      <c r="AK72" s="11" t="e">
        <f ca="1">IF(History!AO$2="","",#REF!*$C$72)</f>
        <v>#REF!</v>
      </c>
      <c r="AL72" s="11" t="e">
        <f ca="1">IF(History!AP$2="","",#REF!*$C$72)</f>
        <v>#REF!</v>
      </c>
      <c r="AM72" s="11" t="e">
        <f ca="1">IF(History!AQ$2="","",#REF!*$C$72)</f>
        <v>#REF!</v>
      </c>
      <c r="AN72" s="11" t="e">
        <f ca="1">IF(History!AR$2="","",#REF!*$C$72)</f>
        <v>#REF!</v>
      </c>
      <c r="AO72" s="11" t="e">
        <f ca="1">IF(History!AS$2="","",#REF!*$C$72)</f>
        <v>#REF!</v>
      </c>
      <c r="AP72" s="11" t="e">
        <f ca="1">IF(History!AT$2="","",#REF!*$C$72)</f>
        <v>#REF!</v>
      </c>
      <c r="AQ72" s="11" t="e">
        <f ca="1">IF(History!AU$2="","",#REF!*$C$72)</f>
        <v>#REF!</v>
      </c>
      <c r="AR72" s="11" t="e">
        <f ca="1">IF(History!AV$2="","",#REF!*$C$72)</f>
        <v>#REF!</v>
      </c>
      <c r="AS72" s="11" t="e">
        <f ca="1">IF(History!AW$2="","",#REF!*$C$72)</f>
        <v>#REF!</v>
      </c>
      <c r="AT72" s="11" t="e">
        <f ca="1">IF(History!AX$2="","",#REF!*$C$72)</f>
        <v>#REF!</v>
      </c>
      <c r="AU72" s="11" t="e">
        <f ca="1">IF(History!AY$2="","",#REF!*$C$72)</f>
        <v>#REF!</v>
      </c>
      <c r="AV72" s="11" t="e">
        <f ca="1">IF(History!AZ$2="","",#REF!*$C$72)</f>
        <v>#REF!</v>
      </c>
      <c r="AW72" s="11" t="e">
        <f ca="1">IF(History!BA$2="","",#REF!*$C$72)</f>
        <v>#REF!</v>
      </c>
      <c r="AX72" s="11" t="e">
        <f ca="1">IF(History!BB$2="","",#REF!*$C$72)</f>
        <v>#REF!</v>
      </c>
      <c r="AY72" s="11" t="e">
        <f ca="1">IF(History!BC$2="","",#REF!*$C$72)</f>
        <v>#REF!</v>
      </c>
      <c r="AZ72" s="11" t="e">
        <f ca="1">IF(History!BD$2="","",#REF!*$C$72)</f>
        <v>#REF!</v>
      </c>
      <c r="BA72" s="11" t="e">
        <f ca="1">IF(History!BE$2="","",#REF!*$C$72)</f>
        <v>#REF!</v>
      </c>
      <c r="BB72" s="11" t="e">
        <f ca="1">IF(History!BF$2="","",#REF!*$C$72)</f>
        <v>#REF!</v>
      </c>
      <c r="BC72" s="11" t="e">
        <f ca="1">IF(History!BG$2="","",#REF!*$C$72)</f>
        <v>#REF!</v>
      </c>
      <c r="BD72" s="11" t="e">
        <f ca="1">IF(History!BH$2="","",#REF!*$C$72)</f>
        <v>#REF!</v>
      </c>
      <c r="BE72" s="11" t="e">
        <f ca="1">IF(History!BI$2="","",#REF!*$C$72)</f>
        <v>#REF!</v>
      </c>
      <c r="BF72" s="11" t="e">
        <f ca="1">IF(History!BJ$2="","",#REF!*$C$72)</f>
        <v>#REF!</v>
      </c>
      <c r="BG72" s="11" t="e">
        <f ca="1">IF(History!BK$2="","",#REF!*$C$72)</f>
        <v>#REF!</v>
      </c>
      <c r="BH72" s="11" t="e">
        <f ca="1">IF(History!BL$2="","",#REF!*$C$72)</f>
        <v>#REF!</v>
      </c>
      <c r="BI72" s="11" t="e">
        <f ca="1">IF(History!BM$2="","",#REF!*$C$72)</f>
        <v>#REF!</v>
      </c>
      <c r="BJ72" s="11" t="e">
        <f ca="1">IF(History!BN$2="","",#REF!*$C$72)</f>
        <v>#REF!</v>
      </c>
      <c r="BK72" s="11" t="e">
        <f ca="1">IF(History!BO$2="","",#REF!*$C$72)</f>
        <v>#REF!</v>
      </c>
      <c r="BL72" s="11" t="e">
        <f ca="1">IF(History!BP$2="","",#REF!*$C$72)</f>
        <v>#REF!</v>
      </c>
      <c r="BM72" s="11" t="e">
        <f ca="1">IF(History!BQ$2="","",#REF!*$C$72)</f>
        <v>#REF!</v>
      </c>
      <c r="BN72" s="11" t="e">
        <f ca="1">IF(History!BR$2="","",#REF!*$C$72)</f>
        <v>#REF!</v>
      </c>
      <c r="BO72" s="11" t="e">
        <f ca="1">IF(History!BS$2="","",#REF!*$C$72)</f>
        <v>#REF!</v>
      </c>
      <c r="BP72" s="11" t="e">
        <f ca="1">IF(History!BT$2="","",#REF!*$C$72)</f>
        <v>#REF!</v>
      </c>
      <c r="BQ72" s="11" t="e">
        <f ca="1">IF(History!BU$2="","",#REF!*$C$72)</f>
        <v>#REF!</v>
      </c>
      <c r="BR72" s="11" t="e">
        <f ca="1">IF(History!BV$2="","",#REF!*$C$72)</f>
        <v>#REF!</v>
      </c>
      <c r="BS72" s="11" t="e">
        <f ca="1">IF(History!BW$2="","",#REF!*$C$72)</f>
        <v>#REF!</v>
      </c>
      <c r="BT72" s="11" t="e">
        <f ca="1">IF(History!BX$2="","",#REF!*$C$72)</f>
        <v>#REF!</v>
      </c>
      <c r="BU72" s="11" t="e">
        <f ca="1">IF(History!BY$2="","",#REF!*$C$72)</f>
        <v>#REF!</v>
      </c>
      <c r="BV72" s="11" t="e">
        <f ca="1">IF(History!BZ$2="","",#REF!*$C$72)</f>
        <v>#REF!</v>
      </c>
      <c r="BW72" s="11" t="e">
        <f ca="1">IF(History!CA$2="","",#REF!*$C$72)</f>
        <v>#REF!</v>
      </c>
      <c r="BX72" s="11" t="e">
        <f ca="1">IF(History!CB$2="","",#REF!*$C$72)</f>
        <v>#REF!</v>
      </c>
      <c r="BY72" s="11" t="e">
        <f ca="1">IF(History!CC$2="","",#REF!*$C$72)</f>
        <v>#REF!</v>
      </c>
      <c r="BZ72" s="11" t="e">
        <f ca="1">IF(History!CD$2="","",#REF!*$C$72)</f>
        <v>#REF!</v>
      </c>
      <c r="CA72" s="11" t="e">
        <f ca="1">IF(History!CE$2="","",#REF!*$C$72)</f>
        <v>#REF!</v>
      </c>
      <c r="CB72" s="11" t="e">
        <f ca="1">IF(History!CF$2="","",#REF!*$C$72)</f>
        <v>#REF!</v>
      </c>
      <c r="CC72" s="11" t="e">
        <f ca="1">IF(History!CG$2="","",#REF!*$C$72)</f>
        <v>#REF!</v>
      </c>
      <c r="CD72" s="11" t="e">
        <f ca="1">IF(History!CH$2="","",#REF!*$C$72)</f>
        <v>#REF!</v>
      </c>
      <c r="CE72" s="11" t="e">
        <f ca="1">IF(History!CI$2="","",#REF!*$C$72)</f>
        <v>#REF!</v>
      </c>
      <c r="CF72" s="11" t="str">
        <f ca="1">IF(History!CJ$2="","",#REF!*$C$72)</f>
        <v/>
      </c>
      <c r="CG72" s="11" t="str">
        <f ca="1">IF(History!CK$2="","",#REF!*$C$72)</f>
        <v/>
      </c>
      <c r="CH72" s="11" t="str">
        <f ca="1">IF(History!CL$2="","",#REF!*$C$72)</f>
        <v/>
      </c>
      <c r="CI72" s="11" t="str">
        <f ca="1">IF(History!CM$2="","",#REF!*$C$72)</f>
        <v/>
      </c>
      <c r="CJ72" s="11" t="str">
        <f ca="1">IF(History!CN$2="","",#REF!*$C$72)</f>
        <v/>
      </c>
      <c r="CK72" s="11" t="str">
        <f ca="1">IF(History!CO$2="","",#REF!*$C$72)</f>
        <v/>
      </c>
      <c r="CL72" s="11" t="str">
        <f ca="1">IF(History!CP$2="","",#REF!*$C$72)</f>
        <v/>
      </c>
      <c r="CM72" s="11" t="str">
        <f ca="1">IF(History!CQ$2="","",#REF!*$C$72)</f>
        <v/>
      </c>
      <c r="CN72" s="11" t="str">
        <f ca="1">IF(History!CR$2="","",#REF!*$C$72)</f>
        <v/>
      </c>
      <c r="CO72" s="11" t="str">
        <f ca="1">IF(History!CS$2="","",#REF!*$C$72)</f>
        <v/>
      </c>
      <c r="CP72" s="11" t="str">
        <f ca="1">IF(History!CT$2="","",#REF!*$C$72)</f>
        <v/>
      </c>
      <c r="CQ72" s="11" t="str">
        <f ca="1">IF(History!CU$2="","",#REF!*$C$72)</f>
        <v/>
      </c>
      <c r="CR72" s="11" t="str">
        <f ca="1">IF(History!CV$2="","",#REF!*$C$72)</f>
        <v/>
      </c>
      <c r="CS72" s="11" t="str">
        <f ca="1">IF(History!CW$2="","",#REF!*$C$72)</f>
        <v/>
      </c>
      <c r="CT72" s="11" t="str">
        <f ca="1">IF(History!CX$2="","",#REF!*$C$72)</f>
        <v/>
      </c>
      <c r="CU72" s="11" t="str">
        <f ca="1">IF(History!CY$2="","",#REF!*$C$72)</f>
        <v/>
      </c>
      <c r="CV72" s="11" t="str">
        <f ca="1">IF(History!CZ$2="","",#REF!*$C$72)</f>
        <v/>
      </c>
      <c r="CW72" s="11" t="str">
        <f ca="1">IF(History!DA$2="","",#REF!*$C$72)</f>
        <v/>
      </c>
      <c r="CX72" s="11" t="str">
        <f ca="1">IF(History!DB$2="","",#REF!*$C$72)</f>
        <v/>
      </c>
      <c r="CY72" s="11" t="str">
        <f ca="1">IF(History!DC$2="","",#REF!*$C$72)</f>
        <v/>
      </c>
      <c r="CZ72" s="11" t="str">
        <f ca="1">IF(History!DD$2="","",#REF!*$C$72)</f>
        <v/>
      </c>
      <c r="DA72" s="11" t="str">
        <f ca="1">IF(History!DE$2="","",#REF!*$C$72)</f>
        <v/>
      </c>
      <c r="DB72" s="11" t="str">
        <f ca="1">IF(History!DF$2="","",#REF!*$C$72)</f>
        <v/>
      </c>
      <c r="DC72" s="11" t="str">
        <f ca="1">IF(History!DG$2="","",#REF!*$C$72)</f>
        <v/>
      </c>
      <c r="DD72" s="11" t="str">
        <f ca="1">IF(History!DH$2="","",#REF!*$C$72)</f>
        <v/>
      </c>
      <c r="DE72" s="11" t="str">
        <f ca="1">IF(History!DI$2="","",#REF!*$C$72)</f>
        <v/>
      </c>
      <c r="DF72" s="11" t="str">
        <f ca="1">IF(History!DJ$2="","",#REF!*$C$72)</f>
        <v/>
      </c>
      <c r="DG72" s="11" t="str">
        <f ca="1">IF(History!DK$2="","",#REF!*$C$72)</f>
        <v/>
      </c>
      <c r="DH72" s="11" t="str">
        <f ca="1">IF(History!DL$2="","",#REF!*$C$72)</f>
        <v/>
      </c>
      <c r="DI72" s="11" t="str">
        <f ca="1">IF(History!DM$2="","",#REF!*$C$72)</f>
        <v/>
      </c>
      <c r="DJ72" s="11" t="str">
        <f ca="1">IF(History!DN$2="","",#REF!*$C$72)</f>
        <v/>
      </c>
      <c r="DK72" s="11" t="str">
        <f ca="1">IF(History!DO$2="","",#REF!*$C$72)</f>
        <v/>
      </c>
      <c r="DL72" s="11" t="str">
        <f ca="1">IF(History!DP$2="","",#REF!*$C$72)</f>
        <v/>
      </c>
      <c r="DM72" s="11" t="str">
        <f ca="1">IF(History!DQ$2="","",#REF!*$C$72)</f>
        <v/>
      </c>
      <c r="DN72" s="11" t="str">
        <f ca="1">IF(History!DR$2="","",#REF!*$C$72)</f>
        <v/>
      </c>
      <c r="DO72" s="11" t="str">
        <f ca="1">IF(History!DS$2="","",#REF!*$C$72)</f>
        <v/>
      </c>
      <c r="DP72" s="11" t="str">
        <f ca="1">IF(History!DT$2="","",#REF!*$C$72)</f>
        <v/>
      </c>
      <c r="DQ72" s="11" t="str">
        <f ca="1">IF(History!DU$2="","",#REF!*$C$72)</f>
        <v/>
      </c>
      <c r="DR72" s="11" t="str">
        <f ca="1">IF(History!DV$2="","",#REF!*$C$72)</f>
        <v/>
      </c>
      <c r="DS72" s="11" t="str">
        <f ca="1">IF(History!DW$2="","",#REF!*$C$72)</f>
        <v/>
      </c>
      <c r="DT72" s="11" t="str">
        <f ca="1">IF(History!DX$2="","",#REF!*$C$72)</f>
        <v/>
      </c>
      <c r="DU72" s="11" t="str">
        <f ca="1">IF(History!DY$2="","",#REF!*$C$72)</f>
        <v/>
      </c>
      <c r="DV72" s="11" t="str">
        <f ca="1">IF(History!DZ$2="","",#REF!*$C$72)</f>
        <v/>
      </c>
      <c r="DW72" s="11" t="str">
        <f ca="1">IF(History!EA$2="","",#REF!*$C$72)</f>
        <v/>
      </c>
      <c r="DX72" s="11" t="str">
        <f ca="1">IF(History!EB$2="","",#REF!*$C$72)</f>
        <v/>
      </c>
      <c r="DY72" s="11" t="str">
        <f ca="1">IF(History!EC$2="","",#REF!*$C$72)</f>
        <v/>
      </c>
      <c r="DZ72" s="11" t="str">
        <f ca="1">IF(History!ED$2="","",#REF!*$C$72)</f>
        <v/>
      </c>
      <c r="EA72" s="11" t="str">
        <f ca="1">IF(History!EE$2="","",#REF!*$C$72)</f>
        <v/>
      </c>
      <c r="EB72" s="11" t="str">
        <f ca="1">IF(History!EF$2="","",#REF!*$C$72)</f>
        <v/>
      </c>
      <c r="EC72" s="11" t="str">
        <f ca="1">IF(History!EG$2="","",#REF!*$C$72)</f>
        <v/>
      </c>
      <c r="ED72" s="11" t="str">
        <f ca="1">IF(History!EH$2="","",#REF!*$C$72)</f>
        <v/>
      </c>
      <c r="EE72" s="11" t="str">
        <f ca="1">IF(History!EI$2="","",#REF!*$C$72)</f>
        <v/>
      </c>
      <c r="EF72" s="11" t="str">
        <f ca="1">IF(History!EJ$2="","",#REF!*$C$72)</f>
        <v/>
      </c>
      <c r="EG72" s="11" t="str">
        <f ca="1">IF(History!EK$2="","",#REF!*$C$72)</f>
        <v/>
      </c>
      <c r="EH72" s="11" t="str">
        <f ca="1">IF(History!EL$2="","",#REF!*$C$72)</f>
        <v/>
      </c>
      <c r="EI72" s="11" t="str">
        <f ca="1">IF(History!EM$2="","",#REF!*$C$72)</f>
        <v/>
      </c>
      <c r="EJ72" s="11" t="str">
        <f ca="1">IF(History!EN$2="","",#REF!*$C$72)</f>
        <v/>
      </c>
      <c r="EK72" s="11" t="str">
        <f ca="1">IF(History!EO$2="","",#REF!*$C$72)</f>
        <v/>
      </c>
      <c r="EL72" s="11" t="str">
        <f ca="1">IF(History!EP$2="","",#REF!*$C$72)</f>
        <v/>
      </c>
      <c r="EM72" s="11" t="str">
        <f ca="1">IF(History!EQ$2="","",#REF!*$C$72)</f>
        <v/>
      </c>
      <c r="EN72" s="11" t="str">
        <f ca="1">IF(History!ER$2="","",#REF!*$C$72)</f>
        <v/>
      </c>
      <c r="EO72" s="11" t="str">
        <f ca="1">IF(History!ES$2="","",#REF!*$C$72)</f>
        <v/>
      </c>
      <c r="EP72" s="11" t="str">
        <f ca="1">IF(History!ET$2="","",#REF!*$C$72)</f>
        <v/>
      </c>
      <c r="EQ72" s="11" t="str">
        <f ca="1">IF(History!EU$2="","",#REF!*$C$72)</f>
        <v/>
      </c>
      <c r="ER72" s="11" t="str">
        <f ca="1">IF(History!EV$2="","",#REF!*$C$72)</f>
        <v/>
      </c>
      <c r="ES72" s="11" t="str">
        <f ca="1">IF(History!EW$2="","",#REF!*$C$72)</f>
        <v/>
      </c>
      <c r="ET72" s="11" t="str">
        <f ca="1">IF(History!EX$2="","",#REF!*$C$72)</f>
        <v/>
      </c>
      <c r="EU72" s="11" t="str">
        <f ca="1">IF(History!EY$2="","",#REF!*$C$72)</f>
        <v/>
      </c>
      <c r="EV72" s="11" t="str">
        <f ca="1">IF(History!EZ$2="","",#REF!*$C$72)</f>
        <v/>
      </c>
      <c r="EW72" s="11" t="str">
        <f ca="1">IF(History!FA$2="","",#REF!*$C$72)</f>
        <v/>
      </c>
      <c r="EX72" s="11" t="str">
        <f ca="1">IF(History!FB$2="","",#REF!*$C$72)</f>
        <v/>
      </c>
      <c r="EY72" s="11" t="str">
        <f ca="1">IF(History!FC$2="","",#REF!*$C$72)</f>
        <v/>
      </c>
      <c r="EZ72" s="11" t="str">
        <f ca="1">IF(History!FD$2="","",#REF!*$C$72)</f>
        <v/>
      </c>
      <c r="FA72" s="11" t="str">
        <f ca="1">IF(History!FE$2="","",#REF!*$C$72)</f>
        <v/>
      </c>
      <c r="FB72" s="11" t="str">
        <f ca="1">IF(History!FF$2="","",#REF!*$C$72)</f>
        <v/>
      </c>
      <c r="FC72" s="11" t="str">
        <f ca="1">IF(History!FG$2="","",#REF!*$C$72)</f>
        <v/>
      </c>
      <c r="FD72" s="11" t="str">
        <f ca="1">IF(History!FH$2="","",#REF!*$C$72)</f>
        <v/>
      </c>
      <c r="FE72" s="11" t="str">
        <f ca="1">IF(History!FI$2="","",#REF!*$C$72)</f>
        <v/>
      </c>
      <c r="FF72" s="11" t="str">
        <f ca="1">IF(History!FJ$2="","",#REF!*$C$72)</f>
        <v/>
      </c>
      <c r="FG72" s="11" t="str">
        <f ca="1">IF(History!FK$2="","",#REF!*$C$72)</f>
        <v/>
      </c>
      <c r="FH72" s="11" t="str">
        <f ca="1">IF(History!FL$2="","",#REF!*$C$72)</f>
        <v/>
      </c>
      <c r="FI72" s="11" t="str">
        <f ca="1">IF(History!FM$2="","",#REF!*$C$72)</f>
        <v/>
      </c>
      <c r="FJ72" s="11" t="str">
        <f ca="1">IF(History!FN$2="","",#REF!*$C$72)</f>
        <v/>
      </c>
      <c r="FK72" s="11" t="str">
        <f ca="1">IF(History!FO$2="","",#REF!*$C$72)</f>
        <v/>
      </c>
      <c r="FL72" s="11" t="str">
        <f ca="1">IF(History!FP$2="","",#REF!*$C$72)</f>
        <v/>
      </c>
      <c r="FM72" s="11" t="str">
        <f ca="1">IF(History!FQ$2="","",#REF!*$C$72)</f>
        <v/>
      </c>
      <c r="FN72" s="11" t="str">
        <f ca="1">IF(History!FR$2="","",#REF!*$C$72)</f>
        <v/>
      </c>
      <c r="FO72" s="11" t="str">
        <f ca="1">IF(History!FS$2="","",#REF!*$C$72)</f>
        <v/>
      </c>
      <c r="FP72" s="11" t="str">
        <f ca="1">IF(History!FT$2="","",#REF!*$C$72)</f>
        <v/>
      </c>
      <c r="FQ72" s="11" t="str">
        <f ca="1">IF(History!FU$2="","",#REF!*$C$72)</f>
        <v/>
      </c>
      <c r="FR72" s="11" t="str">
        <f ca="1">IF(History!FV$2="","",#REF!*$C$72)</f>
        <v/>
      </c>
      <c r="FS72" s="11" t="str">
        <f ca="1">IF(History!FW$2="","",#REF!*$C$72)</f>
        <v/>
      </c>
      <c r="FT72" s="11" t="str">
        <f ca="1">IF(History!FX$2="","",#REF!*$C$72)</f>
        <v/>
      </c>
      <c r="FU72" s="11" t="str">
        <f ca="1">IF(History!FY$2="","",#REF!*$C$72)</f>
        <v/>
      </c>
      <c r="FV72" s="11" t="str">
        <f ca="1">IF(History!FZ$2="","",#REF!*$C$72)</f>
        <v/>
      </c>
      <c r="FW72" s="11" t="str">
        <f ca="1">IF(History!GA$2="","",#REF!*$C$72)</f>
        <v/>
      </c>
      <c r="FX72" s="11" t="str">
        <f ca="1">IF(History!GB$2="","",#REF!*$C$72)</f>
        <v/>
      </c>
      <c r="FY72" s="11" t="str">
        <f ca="1">IF(History!GC$2="","",#REF!*$C$72)</f>
        <v/>
      </c>
      <c r="FZ72" s="11" t="str">
        <f ca="1">IF(History!GD$2="","",#REF!*$C$72)</f>
        <v/>
      </c>
      <c r="GA72" s="11" t="str">
        <f ca="1">IF(History!GE$2="","",#REF!*$C$72)</f>
        <v/>
      </c>
      <c r="GB72" s="11" t="str">
        <f ca="1">IF(History!GF$2="","",#REF!*$C$72)</f>
        <v/>
      </c>
      <c r="GC72" s="11" t="str">
        <f ca="1">IF(History!GG$2="","",#REF!*$C$72)</f>
        <v/>
      </c>
      <c r="GD72" s="11" t="str">
        <f ca="1">IF(History!GH$2="","",#REF!*$C$72)</f>
        <v/>
      </c>
      <c r="GE72" s="11" t="str">
        <f ca="1">IF(History!GI$2="","",#REF!*$C$72)</f>
        <v/>
      </c>
      <c r="GF72" s="11" t="str">
        <f ca="1">IF(History!GJ$2="","",#REF!*$C$72)</f>
        <v/>
      </c>
      <c r="GG72" s="11" t="str">
        <f ca="1">IF(History!GK$2="","",#REF!*$C$72)</f>
        <v/>
      </c>
      <c r="GH72" s="11" t="str">
        <f ca="1">IF(History!GL$2="","",#REF!*$C$72)</f>
        <v/>
      </c>
      <c r="GI72" s="11" t="str">
        <f ca="1">IF(History!GM$2="","",#REF!*$C$72)</f>
        <v/>
      </c>
      <c r="GJ72" s="11" t="str">
        <f ca="1">IF(History!GN$2="","",#REF!*$C$72)</f>
        <v/>
      </c>
      <c r="GK72" s="11" t="str">
        <f ca="1">IF(History!GO$2="","",#REF!*$C$72)</f>
        <v/>
      </c>
      <c r="GL72" s="11" t="str">
        <f ca="1">IF(History!GP$2="","",#REF!*$C$72)</f>
        <v/>
      </c>
      <c r="GM72" s="11" t="str">
        <f ca="1">IF(History!GQ$2="","",#REF!*$C$72)</f>
        <v/>
      </c>
      <c r="GN72" s="11" t="str">
        <f ca="1">IF(History!GR$2="","",#REF!*$C$72)</f>
        <v/>
      </c>
      <c r="GO72" s="11" t="str">
        <f ca="1">IF(History!GS$2="","",#REF!*$C$72)</f>
        <v/>
      </c>
      <c r="GP72" s="11" t="str">
        <f ca="1">IF(History!GT$2="","",#REF!*$C$72)</f>
        <v/>
      </c>
      <c r="GQ72" s="11" t="str">
        <f ca="1">IF(History!GU$2="","",#REF!*$C$72)</f>
        <v/>
      </c>
      <c r="GR72" s="11" t="str">
        <f ca="1">IF(History!GV$2="","",#REF!*$C$72)</f>
        <v/>
      </c>
      <c r="GS72" s="11" t="str">
        <f ca="1">IF(History!GW$2="","",#REF!*$C$72)</f>
        <v/>
      </c>
      <c r="GT72" s="11" t="str">
        <f ca="1">IF(History!GX$2="","",#REF!*$C$72)</f>
        <v/>
      </c>
      <c r="GU72" s="11" t="str">
        <f ca="1">IF(History!GY$2="","",#REF!*$C$72)</f>
        <v/>
      </c>
      <c r="GV72" s="11" t="str">
        <f ca="1">IF(History!GZ$2="","",#REF!*$C$72)</f>
        <v/>
      </c>
      <c r="GW72" s="11" t="str">
        <f ca="1">IF(History!HA$2="","",#REF!*$C$72)</f>
        <v/>
      </c>
      <c r="GX72" s="11" t="str">
        <f ca="1">IF(History!HB$2="","",#REF!*$C$72)</f>
        <v/>
      </c>
      <c r="GY72" s="11" t="str">
        <f ca="1">IF(History!HC$2="","",#REF!*$C$72)</f>
        <v/>
      </c>
      <c r="GZ72" s="11" t="str">
        <f ca="1">IF(History!HD$2="","",#REF!*$C$72)</f>
        <v/>
      </c>
      <c r="HA72" s="11" t="str">
        <f ca="1">IF(History!HE$2="","",#REF!*$C$72)</f>
        <v/>
      </c>
      <c r="HB72" s="11" t="str">
        <f ca="1">IF(History!HF$2="","",#REF!*$C$72)</f>
        <v/>
      </c>
      <c r="HC72" s="11" t="str">
        <f ca="1">IF(History!HG$2="","",#REF!*$C$72)</f>
        <v/>
      </c>
      <c r="HD72" s="11" t="str">
        <f ca="1">IF(History!HH$2="","",#REF!*$C$72)</f>
        <v/>
      </c>
      <c r="HE72" s="11" t="str">
        <f ca="1">IF(History!HI$2="","",#REF!*$C$72)</f>
        <v/>
      </c>
      <c r="HF72" s="11" t="str">
        <f ca="1">IF(History!HJ$2="","",#REF!*$C$72)</f>
        <v/>
      </c>
      <c r="HG72" s="11" t="str">
        <f ca="1">IF(History!HK$2="","",#REF!*$C$72)</f>
        <v/>
      </c>
      <c r="HH72" s="11" t="str">
        <f ca="1">IF(History!HL$2="","",#REF!*$C$72)</f>
        <v/>
      </c>
      <c r="HI72" s="11" t="str">
        <f ca="1">IF(History!HM$2="","",#REF!*$C$72)</f>
        <v/>
      </c>
      <c r="HJ72" s="11" t="str">
        <f ca="1">IF(History!HN$2="","",#REF!*$C$72)</f>
        <v/>
      </c>
      <c r="HK72" s="11" t="str">
        <f ca="1">IF(History!HO$2="","",#REF!*$C$72)</f>
        <v/>
      </c>
      <c r="HL72" s="11" t="str">
        <f ca="1">IF(History!HP$2="","",#REF!*$C$72)</f>
        <v/>
      </c>
      <c r="HM72" s="11" t="str">
        <f ca="1">IF(History!HQ$2="","",#REF!*$C$72)</f>
        <v/>
      </c>
      <c r="HN72" s="11" t="str">
        <f ca="1">IF(History!HR$2="","",#REF!*$C$72)</f>
        <v/>
      </c>
      <c r="HO72" s="11" t="str">
        <f ca="1">IF(History!HS$2="","",#REF!*$C$72)</f>
        <v/>
      </c>
      <c r="HP72" s="11" t="str">
        <f ca="1">IF(History!HT$2="","",#REF!*$C$72)</f>
        <v/>
      </c>
      <c r="HQ72" s="11" t="str">
        <f ca="1">IF(History!HU$2="","",#REF!*$C$72)</f>
        <v/>
      </c>
      <c r="HR72" s="11" t="str">
        <f ca="1">IF(History!HV$2="","",#REF!*$C$72)</f>
        <v/>
      </c>
      <c r="HS72" s="11" t="str">
        <f ca="1">IF(History!HW$2="","",#REF!*$C$72)</f>
        <v/>
      </c>
      <c r="HT72" s="11" t="str">
        <f ca="1">IF(History!HX$2="","",#REF!*$C$72)</f>
        <v/>
      </c>
      <c r="HU72" s="11" t="str">
        <f ca="1">IF(History!HY$2="","",#REF!*$C$72)</f>
        <v/>
      </c>
      <c r="HV72" s="11" t="str">
        <f ca="1">IF(History!HZ$2="","",#REF!*$C$72)</f>
        <v/>
      </c>
      <c r="HW72" s="11" t="str">
        <f ca="1">IF(History!IA$2="","",#REF!*$C$72)</f>
        <v/>
      </c>
      <c r="HX72" s="11" t="str">
        <f ca="1">IF(History!IB$2="","",#REF!*$C$72)</f>
        <v/>
      </c>
      <c r="HY72" s="11" t="str">
        <f ca="1">IF(History!IC$2="","",#REF!*$C$72)</f>
        <v/>
      </c>
      <c r="HZ72" s="11" t="str">
        <f ca="1">IF(History!ID$2="","",#REF!*$C$72)</f>
        <v/>
      </c>
      <c r="IA72" s="11" t="str">
        <f ca="1">IF(History!IE$2="","",#REF!*$C$72)</f>
        <v/>
      </c>
      <c r="IB72" s="11" t="str">
        <f ca="1">IF(History!IF$2="","",#REF!*$C$72)</f>
        <v/>
      </c>
      <c r="IC72" s="11" t="str">
        <f ca="1">IF(History!IG$2="","",#REF!*$C$72)</f>
        <v/>
      </c>
      <c r="ID72" s="11" t="str">
        <f ca="1">IF(History!IH$2="","",#REF!*$C$72)</f>
        <v/>
      </c>
      <c r="IE72" s="11" t="str">
        <f ca="1">IF(History!II$2="","",#REF!*$C$72)</f>
        <v/>
      </c>
      <c r="IF72" s="11" t="str">
        <f ca="1">IF(History!IJ$2="","",#REF!*$C$72)</f>
        <v/>
      </c>
      <c r="IG72" s="11" t="str">
        <f ca="1">IF(History!IK$2="","",#REF!*$C$72)</f>
        <v/>
      </c>
      <c r="IH72" s="11" t="str">
        <f ca="1">IF(History!IL$2="","",#REF!*$C$72)</f>
        <v/>
      </c>
      <c r="II72" s="11" t="str">
        <f ca="1">IF(History!IM$2="","",#REF!*$C$72)</f>
        <v/>
      </c>
      <c r="IJ72" s="11" t="str">
        <f ca="1">IF(History!IN$2="","",#REF!*$C$72)</f>
        <v/>
      </c>
      <c r="IK72" s="11" t="str">
        <f ca="1">IF(History!IO$2="","",#REF!*$C$72)</f>
        <v/>
      </c>
      <c r="IL72" s="11" t="str">
        <f ca="1">IF(History!IP$2="","",#REF!*$C$72)</f>
        <v/>
      </c>
      <c r="IM72" s="11" t="str">
        <f ca="1">IF(History!IQ$2="","",#REF!*$C$72)</f>
        <v/>
      </c>
      <c r="IN72" s="11" t="str">
        <f ca="1">IF(History!IR$2="","",#REF!*$C$72)</f>
        <v/>
      </c>
      <c r="IO72" s="11" t="str">
        <f ca="1">IF(History!IS$2="","",#REF!*$C$72)</f>
        <v/>
      </c>
      <c r="IP72" s="11" t="str">
        <f ca="1">IF(History!IT$2="","",#REF!*$C$72)</f>
        <v/>
      </c>
      <c r="IQ72" s="11" t="str">
        <f ca="1">IF(History!IU$2="","",#REF!*$C$72)</f>
        <v/>
      </c>
      <c r="IR72" s="11" t="str">
        <f ca="1">IF(History!IV$2="","",#REF!*$C$72)</f>
        <v/>
      </c>
      <c r="IS72" s="11" t="str">
        <f ca="1">IF(History!IW$2="","",#REF!*$C$72)</f>
        <v/>
      </c>
      <c r="IT72" s="11" t="str">
        <f ca="1">IF(History!IX$2="","",#REF!*$C$72)</f>
        <v/>
      </c>
      <c r="IU72" s="11" t="str">
        <f ca="1">IF(History!IY$2="","",#REF!*$C$72)</f>
        <v/>
      </c>
      <c r="IV72" s="11" t="str">
        <f ca="1">IF(History!IZ$2="","",#REF!*$C$72)</f>
        <v/>
      </c>
      <c r="IW72" s="11" t="str">
        <f ca="1">IF(History!JA$2="","",#REF!*$C$72)</f>
        <v/>
      </c>
      <c r="IX72" s="11" t="str">
        <f ca="1">IF(History!JB$2="","",#REF!*$C$72)</f>
        <v/>
      </c>
      <c r="IY72" s="11" t="str">
        <f ca="1">IF(History!JC$2="","",#REF!*$C$72)</f>
        <v/>
      </c>
      <c r="IZ72" s="11" t="str">
        <f ca="1">IF(History!JD$2="","",#REF!*$C$72)</f>
        <v/>
      </c>
      <c r="JA72" s="11" t="str">
        <f ca="1">IF(History!JE$2="","",#REF!*$C$72)</f>
        <v/>
      </c>
      <c r="JB72" s="11" t="str">
        <f ca="1">IF(History!JF$2="","",#REF!*$C$72)</f>
        <v/>
      </c>
      <c r="JC72" s="11" t="str">
        <f ca="1">IF(History!JG$2="","",#REF!*$C$72)</f>
        <v/>
      </c>
      <c r="JD72" s="11" t="str">
        <f ca="1">IF(History!JH$2="","",#REF!*$C$72)</f>
        <v/>
      </c>
      <c r="JE72" s="11" t="str">
        <f ca="1">IF(History!JI$2="","",#REF!*$C$72)</f>
        <v/>
      </c>
      <c r="JF72" s="11" t="str">
        <f ca="1">IF(History!JJ$2="","",#REF!*$C$72)</f>
        <v/>
      </c>
      <c r="JG72" s="11" t="str">
        <f ca="1">IF(History!JK$2="","",#REF!*$C$72)</f>
        <v/>
      </c>
      <c r="JH72" s="11" t="str">
        <f ca="1">IF(History!JL$2="","",#REF!*$C$72)</f>
        <v/>
      </c>
      <c r="JI72" s="11" t="str">
        <f ca="1">IF(History!JM$2="","",#REF!*$C$72)</f>
        <v/>
      </c>
      <c r="JJ72" s="11" t="str">
        <f ca="1">IF(History!JN$2="","",#REF!*$C$72)</f>
        <v/>
      </c>
      <c r="JK72" s="11" t="str">
        <f ca="1">IF(History!JO$2="","",#REF!*$C$72)</f>
        <v/>
      </c>
      <c r="JL72" s="11" t="str">
        <f ca="1">IF(History!JP$2="","",#REF!*$C$72)</f>
        <v/>
      </c>
      <c r="JM72" s="11" t="str">
        <f ca="1">IF(History!JQ$2="","",#REF!*$C$72)</f>
        <v/>
      </c>
      <c r="JN72" s="11" t="str">
        <f ca="1">IF(History!JR$2="","",#REF!*$C$72)</f>
        <v/>
      </c>
      <c r="JO72" s="11" t="str">
        <f ca="1">IF(History!JS$2="","",#REF!*$C$72)</f>
        <v/>
      </c>
      <c r="JP72" s="11" t="str">
        <f ca="1">IF(History!JT$2="","",#REF!*$C$72)</f>
        <v/>
      </c>
      <c r="JQ72" s="11" t="str">
        <f ca="1">IF(History!JU$2="","",#REF!*$C$72)</f>
        <v/>
      </c>
      <c r="JR72" s="11" t="str">
        <f ca="1">IF(History!JV$2="","",#REF!*$C$72)</f>
        <v/>
      </c>
      <c r="JS72" s="11" t="str">
        <f ca="1">IF(History!JW$2="","",#REF!*$C$72)</f>
        <v/>
      </c>
      <c r="JT72" s="11" t="str">
        <f ca="1">IF(History!JX$2="","",#REF!*$C$72)</f>
        <v/>
      </c>
      <c r="JU72" s="11" t="str">
        <f ca="1">IF(History!JY$2="","",#REF!*$C$72)</f>
        <v/>
      </c>
      <c r="JV72" s="11" t="str">
        <f ca="1">IF(History!JZ$2="","",#REF!*$C$72)</f>
        <v/>
      </c>
      <c r="JW72" s="11" t="str">
        <f ca="1">IF(History!KA$2="","",#REF!*$C$72)</f>
        <v/>
      </c>
      <c r="JX72" s="11" t="str">
        <f ca="1">IF(History!KB$2="","",#REF!*$C$72)</f>
        <v/>
      </c>
      <c r="JY72" s="11" t="str">
        <f ca="1">IF(History!KC$2="","",#REF!*$C$72)</f>
        <v/>
      </c>
      <c r="JZ72" s="11" t="str">
        <f ca="1">IF(History!KD$2="","",#REF!*$C$72)</f>
        <v/>
      </c>
      <c r="KA72" s="11" t="str">
        <f ca="1">IF(History!KE$2="","",#REF!*$C$72)</f>
        <v/>
      </c>
      <c r="KB72" s="11" t="str">
        <f ca="1">IF(History!KF$2="","",#REF!*$C$72)</f>
        <v/>
      </c>
    </row>
    <row r="73" spans="1:288" ht="13">
      <c r="A73" s="18" t="s">
        <v>140</v>
      </c>
      <c r="B73" s="6" t="s">
        <v>152</v>
      </c>
      <c r="C73" s="26">
        <v>37</v>
      </c>
      <c r="D73" s="11" t="e">
        <f ca="1">IF(History!H$2="","",#REF!*$C$73)</f>
        <v>#REF!</v>
      </c>
      <c r="E73" s="11" t="e">
        <f ca="1">IF(History!I$2="","",#REF!*$C$73)</f>
        <v>#REF!</v>
      </c>
      <c r="F73" s="11" t="e">
        <f ca="1">IF(History!J$2="","",#REF!*$C$73)</f>
        <v>#REF!</v>
      </c>
      <c r="G73" s="11" t="e">
        <f ca="1">IF(History!K$2="","",#REF!*$C$73)</f>
        <v>#REF!</v>
      </c>
      <c r="H73" s="11" t="e">
        <f ca="1">IF(History!L$2="","",#REF!*$C$73)</f>
        <v>#REF!</v>
      </c>
      <c r="I73" s="11" t="e">
        <f ca="1">IF(History!M$2="","",#REF!*$C$73)</f>
        <v>#REF!</v>
      </c>
      <c r="J73" s="11" t="e">
        <f ca="1">IF(History!N$2="","",#REF!*$C$73)</f>
        <v>#REF!</v>
      </c>
      <c r="K73" s="11" t="e">
        <f ca="1">IF(History!O$2="","",#REF!*$C$73)</f>
        <v>#REF!</v>
      </c>
      <c r="L73" s="11" t="e">
        <f ca="1">IF(History!P$2="","",#REF!*$C$73)</f>
        <v>#REF!</v>
      </c>
      <c r="M73" s="11" t="e">
        <f ca="1">IF(History!Q$2="","",#REF!*$C$73)</f>
        <v>#REF!</v>
      </c>
      <c r="N73" s="11" t="e">
        <f ca="1">IF(History!R$2="","",#REF!*$C$73)</f>
        <v>#REF!</v>
      </c>
      <c r="O73" s="11" t="e">
        <f ca="1">IF(History!S$2="","",#REF!*$C$73)</f>
        <v>#REF!</v>
      </c>
      <c r="P73" s="11" t="e">
        <f ca="1">IF(History!T$2="","",#REF!*$C$73)</f>
        <v>#REF!</v>
      </c>
      <c r="Q73" s="11" t="e">
        <f ca="1">IF(History!U$2="","",#REF!*$C$73)</f>
        <v>#REF!</v>
      </c>
      <c r="R73" s="11" t="e">
        <f ca="1">IF(History!V$2="","",#REF!*$C$73)</f>
        <v>#REF!</v>
      </c>
      <c r="S73" s="11" t="e">
        <f ca="1">IF(History!W$2="","",#REF!*$C$73)</f>
        <v>#REF!</v>
      </c>
      <c r="T73" s="11" t="e">
        <f ca="1">IF(History!X$2="","",#REF!*$C$73)</f>
        <v>#REF!</v>
      </c>
      <c r="U73" s="11" t="e">
        <f ca="1">IF(History!Y$2="","",#REF!*$C$73)</f>
        <v>#REF!</v>
      </c>
      <c r="V73" s="11" t="e">
        <f ca="1">IF(History!Z$2="","",#REF!*$C$73)</f>
        <v>#REF!</v>
      </c>
      <c r="W73" s="11" t="e">
        <f ca="1">IF(History!AA$2="","",#REF!*$C$73)</f>
        <v>#REF!</v>
      </c>
      <c r="X73" s="11" t="e">
        <f ca="1">IF(History!AB$2="","",#REF!*$C$73)</f>
        <v>#REF!</v>
      </c>
      <c r="Y73" s="11" t="e">
        <f ca="1">IF(History!AC$2="","",#REF!*$C$73)</f>
        <v>#REF!</v>
      </c>
      <c r="Z73" s="11" t="e">
        <f ca="1">IF(History!AD$2="","",#REF!*$C$73)</f>
        <v>#REF!</v>
      </c>
      <c r="AA73" s="11" t="e">
        <f ca="1">IF(History!AE$2="","",#REF!*$C$73)</f>
        <v>#REF!</v>
      </c>
      <c r="AB73" s="11" t="e">
        <f ca="1">IF(History!AF$2="","",#REF!*$C$73)</f>
        <v>#REF!</v>
      </c>
      <c r="AC73" s="11" t="e">
        <f ca="1">IF(History!AG$2="","",#REF!*$C$73)</f>
        <v>#REF!</v>
      </c>
      <c r="AD73" s="11" t="e">
        <f ca="1">IF(History!AH$2="","",#REF!*$C$73)</f>
        <v>#REF!</v>
      </c>
      <c r="AE73" s="11" t="e">
        <f ca="1">IF(History!AI$2="","",#REF!*$C$73)</f>
        <v>#REF!</v>
      </c>
      <c r="AF73" s="11" t="e">
        <f ca="1">IF(History!AJ$2="","",#REF!*$C$73)</f>
        <v>#REF!</v>
      </c>
      <c r="AG73" s="11" t="e">
        <f ca="1">IF(History!AK$2="","",#REF!*$C$73)</f>
        <v>#REF!</v>
      </c>
      <c r="AH73" s="11" t="e">
        <f ca="1">IF(History!AL$2="","",#REF!*$C$73)</f>
        <v>#REF!</v>
      </c>
      <c r="AI73" s="11" t="e">
        <f ca="1">IF(History!AM$2="","",#REF!*$C$73)</f>
        <v>#REF!</v>
      </c>
      <c r="AJ73" s="11" t="e">
        <f ca="1">IF(History!AN$2="","",#REF!*$C$73)</f>
        <v>#REF!</v>
      </c>
      <c r="AK73" s="11" t="e">
        <f ca="1">IF(History!AO$2="","",#REF!*$C$73)</f>
        <v>#REF!</v>
      </c>
      <c r="AL73" s="11" t="e">
        <f ca="1">IF(History!AP$2="","",#REF!*$C$73)</f>
        <v>#REF!</v>
      </c>
      <c r="AM73" s="11" t="e">
        <f ca="1">IF(History!AQ$2="","",#REF!*$C$73)</f>
        <v>#REF!</v>
      </c>
      <c r="AN73" s="11" t="e">
        <f ca="1">IF(History!AR$2="","",#REF!*$C$73)</f>
        <v>#REF!</v>
      </c>
      <c r="AO73" s="11" t="e">
        <f ca="1">IF(History!AS$2="","",#REF!*$C$73)</f>
        <v>#REF!</v>
      </c>
      <c r="AP73" s="11" t="e">
        <f ca="1">IF(History!AT$2="","",#REF!*$C$73)</f>
        <v>#REF!</v>
      </c>
      <c r="AQ73" s="11" t="e">
        <f ca="1">IF(History!AU$2="","",#REF!*$C$73)</f>
        <v>#REF!</v>
      </c>
      <c r="AR73" s="11" t="e">
        <f ca="1">IF(History!AV$2="","",#REF!*$C$73)</f>
        <v>#REF!</v>
      </c>
      <c r="AS73" s="11" t="e">
        <f ca="1">IF(History!AW$2="","",#REF!*$C$73)</f>
        <v>#REF!</v>
      </c>
      <c r="AT73" s="11" t="e">
        <f ca="1">IF(History!AX$2="","",#REF!*$C$73)</f>
        <v>#REF!</v>
      </c>
      <c r="AU73" s="11" t="e">
        <f ca="1">IF(History!AY$2="","",#REF!*$C$73)</f>
        <v>#REF!</v>
      </c>
      <c r="AV73" s="11" t="e">
        <f ca="1">IF(History!AZ$2="","",#REF!*$C$73)</f>
        <v>#REF!</v>
      </c>
      <c r="AW73" s="11" t="e">
        <f ca="1">IF(History!BA$2="","",#REF!*$C$73)</f>
        <v>#REF!</v>
      </c>
      <c r="AX73" s="11" t="e">
        <f ca="1">IF(History!BB$2="","",#REF!*$C$73)</f>
        <v>#REF!</v>
      </c>
      <c r="AY73" s="11" t="e">
        <f ca="1">IF(History!BC$2="","",#REF!*$C$73)</f>
        <v>#REF!</v>
      </c>
      <c r="AZ73" s="11" t="e">
        <f ca="1">IF(History!BD$2="","",#REF!*$C$73)</f>
        <v>#REF!</v>
      </c>
      <c r="BA73" s="11" t="e">
        <f ca="1">IF(History!BE$2="","",#REF!*$C$73)</f>
        <v>#REF!</v>
      </c>
      <c r="BB73" s="11" t="e">
        <f ca="1">IF(History!BF$2="","",#REF!*$C$73)</f>
        <v>#REF!</v>
      </c>
      <c r="BC73" s="11" t="e">
        <f ca="1">IF(History!BG$2="","",#REF!*$C$73)</f>
        <v>#REF!</v>
      </c>
      <c r="BD73" s="11" t="e">
        <f ca="1">IF(History!BH$2="","",#REF!*$C$73)</f>
        <v>#REF!</v>
      </c>
      <c r="BE73" s="11" t="e">
        <f ca="1">IF(History!BI$2="","",#REF!*$C$73)</f>
        <v>#REF!</v>
      </c>
      <c r="BF73" s="11" t="e">
        <f ca="1">IF(History!BJ$2="","",#REF!*$C$73)</f>
        <v>#REF!</v>
      </c>
      <c r="BG73" s="11" t="e">
        <f ca="1">IF(History!BK$2="","",#REF!*$C$73)</f>
        <v>#REF!</v>
      </c>
      <c r="BH73" s="11" t="e">
        <f ca="1">IF(History!BL$2="","",#REF!*$C$73)</f>
        <v>#REF!</v>
      </c>
      <c r="BI73" s="11" t="e">
        <f ca="1">IF(History!BM$2="","",#REF!*$C$73)</f>
        <v>#REF!</v>
      </c>
      <c r="BJ73" s="11" t="e">
        <f ca="1">IF(History!BN$2="","",#REF!*$C$73)</f>
        <v>#REF!</v>
      </c>
      <c r="BK73" s="11" t="e">
        <f ca="1">IF(History!BO$2="","",#REF!*$C$73)</f>
        <v>#REF!</v>
      </c>
      <c r="BL73" s="11" t="e">
        <f ca="1">IF(History!BP$2="","",#REF!*$C$73)</f>
        <v>#REF!</v>
      </c>
      <c r="BM73" s="11" t="e">
        <f ca="1">IF(History!BQ$2="","",#REF!*$C$73)</f>
        <v>#REF!</v>
      </c>
      <c r="BN73" s="11" t="e">
        <f ca="1">IF(History!BR$2="","",#REF!*$C$73)</f>
        <v>#REF!</v>
      </c>
      <c r="BO73" s="11" t="e">
        <f ca="1">IF(History!BS$2="","",#REF!*$C$73)</f>
        <v>#REF!</v>
      </c>
      <c r="BP73" s="11" t="e">
        <f ca="1">IF(History!BT$2="","",#REF!*$C$73)</f>
        <v>#REF!</v>
      </c>
      <c r="BQ73" s="11" t="e">
        <f ca="1">IF(History!BU$2="","",#REF!*$C$73)</f>
        <v>#REF!</v>
      </c>
      <c r="BR73" s="11" t="e">
        <f ca="1">IF(History!BV$2="","",#REF!*$C$73)</f>
        <v>#REF!</v>
      </c>
      <c r="BS73" s="11" t="e">
        <f ca="1">IF(History!BW$2="","",#REF!*$C$73)</f>
        <v>#REF!</v>
      </c>
      <c r="BT73" s="11" t="e">
        <f ca="1">IF(History!BX$2="","",#REF!*$C$73)</f>
        <v>#REF!</v>
      </c>
      <c r="BU73" s="11" t="e">
        <f ca="1">IF(History!BY$2="","",#REF!*$C$73)</f>
        <v>#REF!</v>
      </c>
      <c r="BV73" s="11" t="e">
        <f ca="1">IF(History!BZ$2="","",#REF!*$C$73)</f>
        <v>#REF!</v>
      </c>
      <c r="BW73" s="11" t="e">
        <f ca="1">IF(History!CA$2="","",#REF!*$C$73)</f>
        <v>#REF!</v>
      </c>
      <c r="BX73" s="11" t="e">
        <f ca="1">IF(History!CB$2="","",#REF!*$C$73)</f>
        <v>#REF!</v>
      </c>
      <c r="BY73" s="11" t="e">
        <f ca="1">IF(History!CC$2="","",#REF!*$C$73)</f>
        <v>#REF!</v>
      </c>
      <c r="BZ73" s="11" t="e">
        <f ca="1">IF(History!CD$2="","",#REF!*$C$73)</f>
        <v>#REF!</v>
      </c>
      <c r="CA73" s="11" t="e">
        <f ca="1">IF(History!CE$2="","",#REF!*$C$73)</f>
        <v>#REF!</v>
      </c>
      <c r="CB73" s="11" t="e">
        <f ca="1">IF(History!CF$2="","",#REF!*$C$73)</f>
        <v>#REF!</v>
      </c>
      <c r="CC73" s="11" t="e">
        <f ca="1">IF(History!CG$2="","",#REF!*$C$73)</f>
        <v>#REF!</v>
      </c>
      <c r="CD73" s="11" t="e">
        <f ca="1">IF(History!CH$2="","",#REF!*$C$73)</f>
        <v>#REF!</v>
      </c>
      <c r="CE73" s="11" t="e">
        <f ca="1">IF(History!CI$2="","",#REF!*$C$73)</f>
        <v>#REF!</v>
      </c>
      <c r="CF73" s="11" t="str">
        <f ca="1">IF(History!CJ$2="","",#REF!*$C$73)</f>
        <v/>
      </c>
      <c r="CG73" s="11" t="str">
        <f ca="1">IF(History!CK$2="","",#REF!*$C$73)</f>
        <v/>
      </c>
      <c r="CH73" s="11" t="str">
        <f ca="1">IF(History!CL$2="","",#REF!*$C$73)</f>
        <v/>
      </c>
      <c r="CI73" s="11" t="str">
        <f ca="1">IF(History!CM$2="","",#REF!*$C$73)</f>
        <v/>
      </c>
      <c r="CJ73" s="11" t="str">
        <f ca="1">IF(History!CN$2="","",#REF!*$C$73)</f>
        <v/>
      </c>
      <c r="CK73" s="11" t="str">
        <f ca="1">IF(History!CO$2="","",#REF!*$C$73)</f>
        <v/>
      </c>
      <c r="CL73" s="11" t="str">
        <f ca="1">IF(History!CP$2="","",#REF!*$C$73)</f>
        <v/>
      </c>
      <c r="CM73" s="11" t="str">
        <f ca="1">IF(History!CQ$2="","",#REF!*$C$73)</f>
        <v/>
      </c>
      <c r="CN73" s="11" t="str">
        <f ca="1">IF(History!CR$2="","",#REF!*$C$73)</f>
        <v/>
      </c>
      <c r="CO73" s="11" t="str">
        <f ca="1">IF(History!CS$2="","",#REF!*$C$73)</f>
        <v/>
      </c>
      <c r="CP73" s="11" t="str">
        <f ca="1">IF(History!CT$2="","",#REF!*$C$73)</f>
        <v/>
      </c>
      <c r="CQ73" s="11" t="str">
        <f ca="1">IF(History!CU$2="","",#REF!*$C$73)</f>
        <v/>
      </c>
      <c r="CR73" s="11" t="str">
        <f ca="1">IF(History!CV$2="","",#REF!*$C$73)</f>
        <v/>
      </c>
      <c r="CS73" s="11" t="str">
        <f ca="1">IF(History!CW$2="","",#REF!*$C$73)</f>
        <v/>
      </c>
      <c r="CT73" s="11" t="str">
        <f ca="1">IF(History!CX$2="","",#REF!*$C$73)</f>
        <v/>
      </c>
      <c r="CU73" s="11" t="str">
        <f ca="1">IF(History!CY$2="","",#REF!*$C$73)</f>
        <v/>
      </c>
      <c r="CV73" s="11" t="str">
        <f ca="1">IF(History!CZ$2="","",#REF!*$C$73)</f>
        <v/>
      </c>
      <c r="CW73" s="11" t="str">
        <f ca="1">IF(History!DA$2="","",#REF!*$C$73)</f>
        <v/>
      </c>
      <c r="CX73" s="11" t="str">
        <f ca="1">IF(History!DB$2="","",#REF!*$C$73)</f>
        <v/>
      </c>
      <c r="CY73" s="11" t="str">
        <f ca="1">IF(History!DC$2="","",#REF!*$C$73)</f>
        <v/>
      </c>
      <c r="CZ73" s="11" t="str">
        <f ca="1">IF(History!DD$2="","",#REF!*$C$73)</f>
        <v/>
      </c>
      <c r="DA73" s="11" t="str">
        <f ca="1">IF(History!DE$2="","",#REF!*$C$73)</f>
        <v/>
      </c>
      <c r="DB73" s="11" t="str">
        <f ca="1">IF(History!DF$2="","",#REF!*$C$73)</f>
        <v/>
      </c>
      <c r="DC73" s="11" t="str">
        <f ca="1">IF(History!DG$2="","",#REF!*$C$73)</f>
        <v/>
      </c>
      <c r="DD73" s="11" t="str">
        <f ca="1">IF(History!DH$2="","",#REF!*$C$73)</f>
        <v/>
      </c>
      <c r="DE73" s="11" t="str">
        <f ca="1">IF(History!DI$2="","",#REF!*$C$73)</f>
        <v/>
      </c>
      <c r="DF73" s="11" t="str">
        <f ca="1">IF(History!DJ$2="","",#REF!*$C$73)</f>
        <v/>
      </c>
      <c r="DG73" s="11" t="str">
        <f ca="1">IF(History!DK$2="","",#REF!*$C$73)</f>
        <v/>
      </c>
      <c r="DH73" s="11" t="str">
        <f ca="1">IF(History!DL$2="","",#REF!*$C$73)</f>
        <v/>
      </c>
      <c r="DI73" s="11" t="str">
        <f ca="1">IF(History!DM$2="","",#REF!*$C$73)</f>
        <v/>
      </c>
      <c r="DJ73" s="11" t="str">
        <f ca="1">IF(History!DN$2="","",#REF!*$C$73)</f>
        <v/>
      </c>
      <c r="DK73" s="11" t="str">
        <f ca="1">IF(History!DO$2="","",#REF!*$C$73)</f>
        <v/>
      </c>
      <c r="DL73" s="11" t="str">
        <f ca="1">IF(History!DP$2="","",#REF!*$C$73)</f>
        <v/>
      </c>
      <c r="DM73" s="11" t="str">
        <f ca="1">IF(History!DQ$2="","",#REF!*$C$73)</f>
        <v/>
      </c>
      <c r="DN73" s="11" t="str">
        <f ca="1">IF(History!DR$2="","",#REF!*$C$73)</f>
        <v/>
      </c>
      <c r="DO73" s="11" t="str">
        <f ca="1">IF(History!DS$2="","",#REF!*$C$73)</f>
        <v/>
      </c>
      <c r="DP73" s="11" t="str">
        <f ca="1">IF(History!DT$2="","",#REF!*$C$73)</f>
        <v/>
      </c>
      <c r="DQ73" s="11" t="str">
        <f ca="1">IF(History!DU$2="","",#REF!*$C$73)</f>
        <v/>
      </c>
      <c r="DR73" s="11" t="str">
        <f ca="1">IF(History!DV$2="","",#REF!*$C$73)</f>
        <v/>
      </c>
      <c r="DS73" s="11" t="str">
        <f ca="1">IF(History!DW$2="","",#REF!*$C$73)</f>
        <v/>
      </c>
      <c r="DT73" s="11" t="str">
        <f ca="1">IF(History!DX$2="","",#REF!*$C$73)</f>
        <v/>
      </c>
      <c r="DU73" s="11" t="str">
        <f ca="1">IF(History!DY$2="","",#REF!*$C$73)</f>
        <v/>
      </c>
      <c r="DV73" s="11" t="str">
        <f ca="1">IF(History!DZ$2="","",#REF!*$C$73)</f>
        <v/>
      </c>
      <c r="DW73" s="11" t="str">
        <f ca="1">IF(History!EA$2="","",#REF!*$C$73)</f>
        <v/>
      </c>
      <c r="DX73" s="11" t="str">
        <f ca="1">IF(History!EB$2="","",#REF!*$C$73)</f>
        <v/>
      </c>
      <c r="DY73" s="11" t="str">
        <f ca="1">IF(History!EC$2="","",#REF!*$C$73)</f>
        <v/>
      </c>
      <c r="DZ73" s="11" t="str">
        <f ca="1">IF(History!ED$2="","",#REF!*$C$73)</f>
        <v/>
      </c>
      <c r="EA73" s="11" t="str">
        <f ca="1">IF(History!EE$2="","",#REF!*$C$73)</f>
        <v/>
      </c>
      <c r="EB73" s="11" t="str">
        <f ca="1">IF(History!EF$2="","",#REF!*$C$73)</f>
        <v/>
      </c>
      <c r="EC73" s="11" t="str">
        <f ca="1">IF(History!EG$2="","",#REF!*$C$73)</f>
        <v/>
      </c>
      <c r="ED73" s="11" t="str">
        <f ca="1">IF(History!EH$2="","",#REF!*$C$73)</f>
        <v/>
      </c>
      <c r="EE73" s="11" t="str">
        <f ca="1">IF(History!EI$2="","",#REF!*$C$73)</f>
        <v/>
      </c>
      <c r="EF73" s="11" t="str">
        <f ca="1">IF(History!EJ$2="","",#REF!*$C$73)</f>
        <v/>
      </c>
      <c r="EG73" s="11" t="str">
        <f ca="1">IF(History!EK$2="","",#REF!*$C$73)</f>
        <v/>
      </c>
      <c r="EH73" s="11" t="str">
        <f ca="1">IF(History!EL$2="","",#REF!*$C$73)</f>
        <v/>
      </c>
      <c r="EI73" s="11" t="str">
        <f ca="1">IF(History!EM$2="","",#REF!*$C$73)</f>
        <v/>
      </c>
      <c r="EJ73" s="11" t="str">
        <f ca="1">IF(History!EN$2="","",#REF!*$C$73)</f>
        <v/>
      </c>
      <c r="EK73" s="11" t="str">
        <f ca="1">IF(History!EO$2="","",#REF!*$C$73)</f>
        <v/>
      </c>
      <c r="EL73" s="11" t="str">
        <f ca="1">IF(History!EP$2="","",#REF!*$C$73)</f>
        <v/>
      </c>
      <c r="EM73" s="11" t="str">
        <f ca="1">IF(History!EQ$2="","",#REF!*$C$73)</f>
        <v/>
      </c>
      <c r="EN73" s="11" t="str">
        <f ca="1">IF(History!ER$2="","",#REF!*$C$73)</f>
        <v/>
      </c>
      <c r="EO73" s="11" t="str">
        <f ca="1">IF(History!ES$2="","",#REF!*$C$73)</f>
        <v/>
      </c>
      <c r="EP73" s="11" t="str">
        <f ca="1">IF(History!ET$2="","",#REF!*$C$73)</f>
        <v/>
      </c>
      <c r="EQ73" s="11" t="str">
        <f ca="1">IF(History!EU$2="","",#REF!*$C$73)</f>
        <v/>
      </c>
      <c r="ER73" s="11" t="str">
        <f ca="1">IF(History!EV$2="","",#REF!*$C$73)</f>
        <v/>
      </c>
      <c r="ES73" s="11" t="str">
        <f ca="1">IF(History!EW$2="","",#REF!*$C$73)</f>
        <v/>
      </c>
      <c r="ET73" s="11" t="str">
        <f ca="1">IF(History!EX$2="","",#REF!*$C$73)</f>
        <v/>
      </c>
      <c r="EU73" s="11" t="str">
        <f ca="1">IF(History!EY$2="","",#REF!*$C$73)</f>
        <v/>
      </c>
      <c r="EV73" s="11" t="str">
        <f ca="1">IF(History!EZ$2="","",#REF!*$C$73)</f>
        <v/>
      </c>
      <c r="EW73" s="11" t="str">
        <f ca="1">IF(History!FA$2="","",#REF!*$C$73)</f>
        <v/>
      </c>
      <c r="EX73" s="11" t="str">
        <f ca="1">IF(History!FB$2="","",#REF!*$C$73)</f>
        <v/>
      </c>
      <c r="EY73" s="11" t="str">
        <f ca="1">IF(History!FC$2="","",#REF!*$C$73)</f>
        <v/>
      </c>
      <c r="EZ73" s="11" t="str">
        <f ca="1">IF(History!FD$2="","",#REF!*$C$73)</f>
        <v/>
      </c>
      <c r="FA73" s="11" t="str">
        <f ca="1">IF(History!FE$2="","",#REF!*$C$73)</f>
        <v/>
      </c>
      <c r="FB73" s="11" t="str">
        <f ca="1">IF(History!FF$2="","",#REF!*$C$73)</f>
        <v/>
      </c>
      <c r="FC73" s="11" t="str">
        <f ca="1">IF(History!FG$2="","",#REF!*$C$73)</f>
        <v/>
      </c>
      <c r="FD73" s="11" t="str">
        <f ca="1">IF(History!FH$2="","",#REF!*$C$73)</f>
        <v/>
      </c>
      <c r="FE73" s="11" t="str">
        <f ca="1">IF(History!FI$2="","",#REF!*$C$73)</f>
        <v/>
      </c>
      <c r="FF73" s="11" t="str">
        <f ca="1">IF(History!FJ$2="","",#REF!*$C$73)</f>
        <v/>
      </c>
      <c r="FG73" s="11" t="str">
        <f ca="1">IF(History!FK$2="","",#REF!*$C$73)</f>
        <v/>
      </c>
      <c r="FH73" s="11" t="str">
        <f ca="1">IF(History!FL$2="","",#REF!*$C$73)</f>
        <v/>
      </c>
      <c r="FI73" s="11" t="str">
        <f ca="1">IF(History!FM$2="","",#REF!*$C$73)</f>
        <v/>
      </c>
      <c r="FJ73" s="11" t="str">
        <f ca="1">IF(History!FN$2="","",#REF!*$C$73)</f>
        <v/>
      </c>
      <c r="FK73" s="11" t="str">
        <f ca="1">IF(History!FO$2="","",#REF!*$C$73)</f>
        <v/>
      </c>
      <c r="FL73" s="11" t="str">
        <f ca="1">IF(History!FP$2="","",#REF!*$C$73)</f>
        <v/>
      </c>
      <c r="FM73" s="11" t="str">
        <f ca="1">IF(History!FQ$2="","",#REF!*$C$73)</f>
        <v/>
      </c>
      <c r="FN73" s="11" t="str">
        <f ca="1">IF(History!FR$2="","",#REF!*$C$73)</f>
        <v/>
      </c>
      <c r="FO73" s="11" t="str">
        <f ca="1">IF(History!FS$2="","",#REF!*$C$73)</f>
        <v/>
      </c>
      <c r="FP73" s="11" t="str">
        <f ca="1">IF(History!FT$2="","",#REF!*$C$73)</f>
        <v/>
      </c>
      <c r="FQ73" s="11" t="str">
        <f ca="1">IF(History!FU$2="","",#REF!*$C$73)</f>
        <v/>
      </c>
      <c r="FR73" s="11" t="str">
        <f ca="1">IF(History!FV$2="","",#REF!*$C$73)</f>
        <v/>
      </c>
      <c r="FS73" s="11" t="str">
        <f ca="1">IF(History!FW$2="","",#REF!*$C$73)</f>
        <v/>
      </c>
      <c r="FT73" s="11" t="str">
        <f ca="1">IF(History!FX$2="","",#REF!*$C$73)</f>
        <v/>
      </c>
      <c r="FU73" s="11" t="str">
        <f ca="1">IF(History!FY$2="","",#REF!*$C$73)</f>
        <v/>
      </c>
      <c r="FV73" s="11" t="str">
        <f ca="1">IF(History!FZ$2="","",#REF!*$C$73)</f>
        <v/>
      </c>
      <c r="FW73" s="11" t="str">
        <f ca="1">IF(History!GA$2="","",#REF!*$C$73)</f>
        <v/>
      </c>
      <c r="FX73" s="11" t="str">
        <f ca="1">IF(History!GB$2="","",#REF!*$C$73)</f>
        <v/>
      </c>
      <c r="FY73" s="11" t="str">
        <f ca="1">IF(History!GC$2="","",#REF!*$C$73)</f>
        <v/>
      </c>
      <c r="FZ73" s="11" t="str">
        <f ca="1">IF(History!GD$2="","",#REF!*$C$73)</f>
        <v/>
      </c>
      <c r="GA73" s="11" t="str">
        <f ca="1">IF(History!GE$2="","",#REF!*$C$73)</f>
        <v/>
      </c>
      <c r="GB73" s="11" t="str">
        <f ca="1">IF(History!GF$2="","",#REF!*$C$73)</f>
        <v/>
      </c>
      <c r="GC73" s="11" t="str">
        <f ca="1">IF(History!GG$2="","",#REF!*$C$73)</f>
        <v/>
      </c>
      <c r="GD73" s="11" t="str">
        <f ca="1">IF(History!GH$2="","",#REF!*$C$73)</f>
        <v/>
      </c>
      <c r="GE73" s="11" t="str">
        <f ca="1">IF(History!GI$2="","",#REF!*$C$73)</f>
        <v/>
      </c>
      <c r="GF73" s="11" t="str">
        <f ca="1">IF(History!GJ$2="","",#REF!*$C$73)</f>
        <v/>
      </c>
      <c r="GG73" s="11" t="str">
        <f ca="1">IF(History!GK$2="","",#REF!*$C$73)</f>
        <v/>
      </c>
      <c r="GH73" s="11" t="str">
        <f ca="1">IF(History!GL$2="","",#REF!*$C$73)</f>
        <v/>
      </c>
      <c r="GI73" s="11" t="str">
        <f ca="1">IF(History!GM$2="","",#REF!*$C$73)</f>
        <v/>
      </c>
      <c r="GJ73" s="11" t="str">
        <f ca="1">IF(History!GN$2="","",#REF!*$C$73)</f>
        <v/>
      </c>
      <c r="GK73" s="11" t="str">
        <f ca="1">IF(History!GO$2="","",#REF!*$C$73)</f>
        <v/>
      </c>
      <c r="GL73" s="11" t="str">
        <f ca="1">IF(History!GP$2="","",#REF!*$C$73)</f>
        <v/>
      </c>
      <c r="GM73" s="11" t="str">
        <f ca="1">IF(History!GQ$2="","",#REF!*$C$73)</f>
        <v/>
      </c>
      <c r="GN73" s="11" t="str">
        <f ca="1">IF(History!GR$2="","",#REF!*$C$73)</f>
        <v/>
      </c>
      <c r="GO73" s="11" t="str">
        <f ca="1">IF(History!GS$2="","",#REF!*$C$73)</f>
        <v/>
      </c>
      <c r="GP73" s="11" t="str">
        <f ca="1">IF(History!GT$2="","",#REF!*$C$73)</f>
        <v/>
      </c>
      <c r="GQ73" s="11" t="str">
        <f ca="1">IF(History!GU$2="","",#REF!*$C$73)</f>
        <v/>
      </c>
      <c r="GR73" s="11" t="str">
        <f ca="1">IF(History!GV$2="","",#REF!*$C$73)</f>
        <v/>
      </c>
      <c r="GS73" s="11" t="str">
        <f ca="1">IF(History!GW$2="","",#REF!*$C$73)</f>
        <v/>
      </c>
      <c r="GT73" s="11" t="str">
        <f ca="1">IF(History!GX$2="","",#REF!*$C$73)</f>
        <v/>
      </c>
      <c r="GU73" s="11" t="str">
        <f ca="1">IF(History!GY$2="","",#REF!*$C$73)</f>
        <v/>
      </c>
      <c r="GV73" s="11" t="str">
        <f ca="1">IF(History!GZ$2="","",#REF!*$C$73)</f>
        <v/>
      </c>
      <c r="GW73" s="11" t="str">
        <f ca="1">IF(History!HA$2="","",#REF!*$C$73)</f>
        <v/>
      </c>
      <c r="GX73" s="11" t="str">
        <f ca="1">IF(History!HB$2="","",#REF!*$C$73)</f>
        <v/>
      </c>
      <c r="GY73" s="11" t="str">
        <f ca="1">IF(History!HC$2="","",#REF!*$C$73)</f>
        <v/>
      </c>
      <c r="GZ73" s="11" t="str">
        <f ca="1">IF(History!HD$2="","",#REF!*$C$73)</f>
        <v/>
      </c>
      <c r="HA73" s="11" t="str">
        <f ca="1">IF(History!HE$2="","",#REF!*$C$73)</f>
        <v/>
      </c>
      <c r="HB73" s="11" t="str">
        <f ca="1">IF(History!HF$2="","",#REF!*$C$73)</f>
        <v/>
      </c>
      <c r="HC73" s="11" t="str">
        <f ca="1">IF(History!HG$2="","",#REF!*$C$73)</f>
        <v/>
      </c>
      <c r="HD73" s="11" t="str">
        <f ca="1">IF(History!HH$2="","",#REF!*$C$73)</f>
        <v/>
      </c>
      <c r="HE73" s="11" t="str">
        <f ca="1">IF(History!HI$2="","",#REF!*$C$73)</f>
        <v/>
      </c>
      <c r="HF73" s="11" t="str">
        <f ca="1">IF(History!HJ$2="","",#REF!*$C$73)</f>
        <v/>
      </c>
      <c r="HG73" s="11" t="str">
        <f ca="1">IF(History!HK$2="","",#REF!*$C$73)</f>
        <v/>
      </c>
      <c r="HH73" s="11" t="str">
        <f ca="1">IF(History!HL$2="","",#REF!*$C$73)</f>
        <v/>
      </c>
      <c r="HI73" s="11" t="str">
        <f ca="1">IF(History!HM$2="","",#REF!*$C$73)</f>
        <v/>
      </c>
      <c r="HJ73" s="11" t="str">
        <f ca="1">IF(History!HN$2="","",#REF!*$C$73)</f>
        <v/>
      </c>
      <c r="HK73" s="11" t="str">
        <f ca="1">IF(History!HO$2="","",#REF!*$C$73)</f>
        <v/>
      </c>
      <c r="HL73" s="11" t="str">
        <f ca="1">IF(History!HP$2="","",#REF!*$C$73)</f>
        <v/>
      </c>
      <c r="HM73" s="11" t="str">
        <f ca="1">IF(History!HQ$2="","",#REF!*$C$73)</f>
        <v/>
      </c>
      <c r="HN73" s="11" t="str">
        <f ca="1">IF(History!HR$2="","",#REF!*$C$73)</f>
        <v/>
      </c>
      <c r="HO73" s="11" t="str">
        <f ca="1">IF(History!HS$2="","",#REF!*$C$73)</f>
        <v/>
      </c>
      <c r="HP73" s="11" t="str">
        <f ca="1">IF(History!HT$2="","",#REF!*$C$73)</f>
        <v/>
      </c>
      <c r="HQ73" s="11" t="str">
        <f ca="1">IF(History!HU$2="","",#REF!*$C$73)</f>
        <v/>
      </c>
      <c r="HR73" s="11" t="str">
        <f ca="1">IF(History!HV$2="","",#REF!*$C$73)</f>
        <v/>
      </c>
      <c r="HS73" s="11" t="str">
        <f ca="1">IF(History!HW$2="","",#REF!*$C$73)</f>
        <v/>
      </c>
      <c r="HT73" s="11" t="str">
        <f ca="1">IF(History!HX$2="","",#REF!*$C$73)</f>
        <v/>
      </c>
      <c r="HU73" s="11" t="str">
        <f ca="1">IF(History!HY$2="","",#REF!*$C$73)</f>
        <v/>
      </c>
      <c r="HV73" s="11" t="str">
        <f ca="1">IF(History!HZ$2="","",#REF!*$C$73)</f>
        <v/>
      </c>
      <c r="HW73" s="11" t="str">
        <f ca="1">IF(History!IA$2="","",#REF!*$C$73)</f>
        <v/>
      </c>
      <c r="HX73" s="11" t="str">
        <f ca="1">IF(History!IB$2="","",#REF!*$C$73)</f>
        <v/>
      </c>
      <c r="HY73" s="11" t="str">
        <f ca="1">IF(History!IC$2="","",#REF!*$C$73)</f>
        <v/>
      </c>
      <c r="HZ73" s="11" t="str">
        <f ca="1">IF(History!ID$2="","",#REF!*$C$73)</f>
        <v/>
      </c>
      <c r="IA73" s="11" t="str">
        <f ca="1">IF(History!IE$2="","",#REF!*$C$73)</f>
        <v/>
      </c>
      <c r="IB73" s="11" t="str">
        <f ca="1">IF(History!IF$2="","",#REF!*$C$73)</f>
        <v/>
      </c>
      <c r="IC73" s="11" t="str">
        <f ca="1">IF(History!IG$2="","",#REF!*$C$73)</f>
        <v/>
      </c>
      <c r="ID73" s="11" t="str">
        <f ca="1">IF(History!IH$2="","",#REF!*$C$73)</f>
        <v/>
      </c>
      <c r="IE73" s="11" t="str">
        <f ca="1">IF(History!II$2="","",#REF!*$C$73)</f>
        <v/>
      </c>
      <c r="IF73" s="11" t="str">
        <f ca="1">IF(History!IJ$2="","",#REF!*$C$73)</f>
        <v/>
      </c>
      <c r="IG73" s="11" t="str">
        <f ca="1">IF(History!IK$2="","",#REF!*$C$73)</f>
        <v/>
      </c>
      <c r="IH73" s="11" t="str">
        <f ca="1">IF(History!IL$2="","",#REF!*$C$73)</f>
        <v/>
      </c>
      <c r="II73" s="11" t="str">
        <f ca="1">IF(History!IM$2="","",#REF!*$C$73)</f>
        <v/>
      </c>
      <c r="IJ73" s="11" t="str">
        <f ca="1">IF(History!IN$2="","",#REF!*$C$73)</f>
        <v/>
      </c>
      <c r="IK73" s="11" t="str">
        <f ca="1">IF(History!IO$2="","",#REF!*$C$73)</f>
        <v/>
      </c>
      <c r="IL73" s="11" t="str">
        <f ca="1">IF(History!IP$2="","",#REF!*$C$73)</f>
        <v/>
      </c>
      <c r="IM73" s="11" t="str">
        <f ca="1">IF(History!IQ$2="","",#REF!*$C$73)</f>
        <v/>
      </c>
      <c r="IN73" s="11" t="str">
        <f ca="1">IF(History!IR$2="","",#REF!*$C$73)</f>
        <v/>
      </c>
      <c r="IO73" s="11" t="str">
        <f ca="1">IF(History!IS$2="","",#REF!*$C$73)</f>
        <v/>
      </c>
      <c r="IP73" s="11" t="str">
        <f ca="1">IF(History!IT$2="","",#REF!*$C$73)</f>
        <v/>
      </c>
      <c r="IQ73" s="11" t="str">
        <f ca="1">IF(History!IU$2="","",#REF!*$C$73)</f>
        <v/>
      </c>
      <c r="IR73" s="11" t="str">
        <f ca="1">IF(History!IV$2="","",#REF!*$C$73)</f>
        <v/>
      </c>
      <c r="IS73" s="11" t="str">
        <f ca="1">IF(History!IW$2="","",#REF!*$C$73)</f>
        <v/>
      </c>
      <c r="IT73" s="11" t="str">
        <f ca="1">IF(History!IX$2="","",#REF!*$C$73)</f>
        <v/>
      </c>
      <c r="IU73" s="11" t="str">
        <f ca="1">IF(History!IY$2="","",#REF!*$C$73)</f>
        <v/>
      </c>
      <c r="IV73" s="11" t="str">
        <f ca="1">IF(History!IZ$2="","",#REF!*$C$73)</f>
        <v/>
      </c>
      <c r="IW73" s="11" t="str">
        <f ca="1">IF(History!JA$2="","",#REF!*$C$73)</f>
        <v/>
      </c>
      <c r="IX73" s="11" t="str">
        <f ca="1">IF(History!JB$2="","",#REF!*$C$73)</f>
        <v/>
      </c>
      <c r="IY73" s="11" t="str">
        <f ca="1">IF(History!JC$2="","",#REF!*$C$73)</f>
        <v/>
      </c>
      <c r="IZ73" s="11" t="str">
        <f ca="1">IF(History!JD$2="","",#REF!*$C$73)</f>
        <v/>
      </c>
      <c r="JA73" s="11" t="str">
        <f ca="1">IF(History!JE$2="","",#REF!*$C$73)</f>
        <v/>
      </c>
      <c r="JB73" s="11" t="str">
        <f ca="1">IF(History!JF$2="","",#REF!*$C$73)</f>
        <v/>
      </c>
      <c r="JC73" s="11" t="str">
        <f ca="1">IF(History!JG$2="","",#REF!*$C$73)</f>
        <v/>
      </c>
      <c r="JD73" s="11" t="str">
        <f ca="1">IF(History!JH$2="","",#REF!*$C$73)</f>
        <v/>
      </c>
      <c r="JE73" s="11" t="str">
        <f ca="1">IF(History!JI$2="","",#REF!*$C$73)</f>
        <v/>
      </c>
      <c r="JF73" s="11" t="str">
        <f ca="1">IF(History!JJ$2="","",#REF!*$C$73)</f>
        <v/>
      </c>
      <c r="JG73" s="11" t="str">
        <f ca="1">IF(History!JK$2="","",#REF!*$C$73)</f>
        <v/>
      </c>
      <c r="JH73" s="11" t="str">
        <f ca="1">IF(History!JL$2="","",#REF!*$C$73)</f>
        <v/>
      </c>
      <c r="JI73" s="11" t="str">
        <f ca="1">IF(History!JM$2="","",#REF!*$C$73)</f>
        <v/>
      </c>
      <c r="JJ73" s="11" t="str">
        <f ca="1">IF(History!JN$2="","",#REF!*$C$73)</f>
        <v/>
      </c>
      <c r="JK73" s="11" t="str">
        <f ca="1">IF(History!JO$2="","",#REF!*$C$73)</f>
        <v/>
      </c>
      <c r="JL73" s="11" t="str">
        <f ca="1">IF(History!JP$2="","",#REF!*$C$73)</f>
        <v/>
      </c>
      <c r="JM73" s="11" t="str">
        <f ca="1">IF(History!JQ$2="","",#REF!*$C$73)</f>
        <v/>
      </c>
      <c r="JN73" s="11" t="str">
        <f ca="1">IF(History!JR$2="","",#REF!*$C$73)</f>
        <v/>
      </c>
      <c r="JO73" s="11" t="str">
        <f ca="1">IF(History!JS$2="","",#REF!*$C$73)</f>
        <v/>
      </c>
      <c r="JP73" s="11" t="str">
        <f ca="1">IF(History!JT$2="","",#REF!*$C$73)</f>
        <v/>
      </c>
      <c r="JQ73" s="11" t="str">
        <f ca="1">IF(History!JU$2="","",#REF!*$C$73)</f>
        <v/>
      </c>
      <c r="JR73" s="11" t="str">
        <f ca="1">IF(History!JV$2="","",#REF!*$C$73)</f>
        <v/>
      </c>
      <c r="JS73" s="11" t="str">
        <f ca="1">IF(History!JW$2="","",#REF!*$C$73)</f>
        <v/>
      </c>
      <c r="JT73" s="11" t="str">
        <f ca="1">IF(History!JX$2="","",#REF!*$C$73)</f>
        <v/>
      </c>
      <c r="JU73" s="11" t="str">
        <f ca="1">IF(History!JY$2="","",#REF!*$C$73)</f>
        <v/>
      </c>
      <c r="JV73" s="11" t="str">
        <f ca="1">IF(History!JZ$2="","",#REF!*$C$73)</f>
        <v/>
      </c>
      <c r="JW73" s="11" t="str">
        <f ca="1">IF(History!KA$2="","",#REF!*$C$73)</f>
        <v/>
      </c>
      <c r="JX73" s="11" t="str">
        <f ca="1">IF(History!KB$2="","",#REF!*$C$73)</f>
        <v/>
      </c>
      <c r="JY73" s="11" t="str">
        <f ca="1">IF(History!KC$2="","",#REF!*$C$73)</f>
        <v/>
      </c>
      <c r="JZ73" s="11" t="str">
        <f ca="1">IF(History!KD$2="","",#REF!*$C$73)</f>
        <v/>
      </c>
      <c r="KA73" s="11" t="str">
        <f ca="1">IF(History!KE$2="","",#REF!*$C$73)</f>
        <v/>
      </c>
      <c r="KB73" s="11" t="str">
        <f ca="1">IF(History!KF$2="","",#REF!*$C$73)</f>
        <v/>
      </c>
    </row>
    <row r="74" spans="1:288" ht="13">
      <c r="A74" s="18" t="s">
        <v>140</v>
      </c>
      <c r="B74" s="6" t="s">
        <v>38</v>
      </c>
      <c r="C74" s="26">
        <v>186</v>
      </c>
      <c r="D74" s="11" t="e">
        <f ca="1">IF(History!H$2="","",#REF!*$C$74)</f>
        <v>#REF!</v>
      </c>
      <c r="E74" s="11" t="e">
        <f ca="1">IF(History!I$2="","",#REF!*$C$74)</f>
        <v>#REF!</v>
      </c>
      <c r="F74" s="11" t="e">
        <f ca="1">IF(History!J$2="","",#REF!*$C$74)</f>
        <v>#REF!</v>
      </c>
      <c r="G74" s="11" t="e">
        <f ca="1">IF(History!K$2="","",#REF!*$C$74)</f>
        <v>#REF!</v>
      </c>
      <c r="H74" s="11" t="e">
        <f ca="1">IF(History!L$2="","",#REF!*$C$74)</f>
        <v>#REF!</v>
      </c>
      <c r="I74" s="11" t="e">
        <f ca="1">IF(History!M$2="","",#REF!*$C$74)</f>
        <v>#REF!</v>
      </c>
      <c r="J74" s="11" t="e">
        <f ca="1">IF(History!N$2="","",#REF!*$C$74)</f>
        <v>#REF!</v>
      </c>
      <c r="K74" s="11" t="e">
        <f ca="1">IF(History!O$2="","",#REF!*$C$74)</f>
        <v>#REF!</v>
      </c>
      <c r="L74" s="11" t="e">
        <f ca="1">IF(History!P$2="","",#REF!*$C$74)</f>
        <v>#REF!</v>
      </c>
      <c r="M74" s="11" t="e">
        <f ca="1">IF(History!Q$2="","",#REF!*$C$74)</f>
        <v>#REF!</v>
      </c>
      <c r="N74" s="11" t="e">
        <f ca="1">IF(History!R$2="","",#REF!*$C$74)</f>
        <v>#REF!</v>
      </c>
      <c r="O74" s="11" t="e">
        <f ca="1">IF(History!S$2="","",#REF!*$C$74)</f>
        <v>#REF!</v>
      </c>
      <c r="P74" s="11" t="e">
        <f ca="1">IF(History!T$2="","",#REF!*$C$74)</f>
        <v>#REF!</v>
      </c>
      <c r="Q74" s="11" t="e">
        <f ca="1">IF(History!U$2="","",#REF!*$C$74)</f>
        <v>#REF!</v>
      </c>
      <c r="R74" s="11" t="e">
        <f ca="1">IF(History!V$2="","",#REF!*$C$74)</f>
        <v>#REF!</v>
      </c>
      <c r="S74" s="11" t="e">
        <f ca="1">IF(History!W$2="","",#REF!*$C$74)</f>
        <v>#REF!</v>
      </c>
      <c r="T74" s="11" t="e">
        <f ca="1">IF(History!X$2="","",#REF!*$C$74)</f>
        <v>#REF!</v>
      </c>
      <c r="U74" s="11" t="e">
        <f ca="1">IF(History!Y$2="","",#REF!*$C$74)</f>
        <v>#REF!</v>
      </c>
      <c r="V74" s="11" t="e">
        <f ca="1">IF(History!Z$2="","",#REF!*$C$74)</f>
        <v>#REF!</v>
      </c>
      <c r="W74" s="11" t="e">
        <f ca="1">IF(History!AA$2="","",#REF!*$C$74)</f>
        <v>#REF!</v>
      </c>
      <c r="X74" s="11" t="e">
        <f ca="1">IF(History!AB$2="","",#REF!*$C$74)</f>
        <v>#REF!</v>
      </c>
      <c r="Y74" s="11" t="e">
        <f ca="1">IF(History!AC$2="","",#REF!*$C$74)</f>
        <v>#REF!</v>
      </c>
      <c r="Z74" s="11" t="e">
        <f ca="1">IF(History!AD$2="","",#REF!*$C$74)</f>
        <v>#REF!</v>
      </c>
      <c r="AA74" s="11" t="e">
        <f ca="1">IF(History!AE$2="","",#REF!*$C$74)</f>
        <v>#REF!</v>
      </c>
      <c r="AB74" s="11" t="e">
        <f ca="1">IF(History!AF$2="","",#REF!*$C$74)</f>
        <v>#REF!</v>
      </c>
      <c r="AC74" s="11" t="e">
        <f ca="1">IF(History!AG$2="","",#REF!*$C$74)</f>
        <v>#REF!</v>
      </c>
      <c r="AD74" s="11" t="e">
        <f ca="1">IF(History!AH$2="","",#REF!*$C$74)</f>
        <v>#REF!</v>
      </c>
      <c r="AE74" s="11" t="e">
        <f ca="1">IF(History!AI$2="","",#REF!*$C$74)</f>
        <v>#REF!</v>
      </c>
      <c r="AF74" s="11" t="e">
        <f ca="1">IF(History!AJ$2="","",#REF!*$C$74)</f>
        <v>#REF!</v>
      </c>
      <c r="AG74" s="11" t="e">
        <f ca="1">IF(History!AK$2="","",#REF!*$C$74)</f>
        <v>#REF!</v>
      </c>
      <c r="AH74" s="11" t="e">
        <f ca="1">IF(History!AL$2="","",#REF!*$C$74)</f>
        <v>#REF!</v>
      </c>
      <c r="AI74" s="11" t="e">
        <f ca="1">IF(History!AM$2="","",#REF!*$C$74)</f>
        <v>#REF!</v>
      </c>
      <c r="AJ74" s="11" t="e">
        <f ca="1">IF(History!AN$2="","",#REF!*$C$74)</f>
        <v>#REF!</v>
      </c>
      <c r="AK74" s="11" t="e">
        <f ca="1">IF(History!AO$2="","",#REF!*$C$74)</f>
        <v>#REF!</v>
      </c>
      <c r="AL74" s="11" t="e">
        <f ca="1">IF(History!AP$2="","",#REF!*$C$74)</f>
        <v>#REF!</v>
      </c>
      <c r="AM74" s="11" t="e">
        <f ca="1">IF(History!AQ$2="","",#REF!*$C$74)</f>
        <v>#REF!</v>
      </c>
      <c r="AN74" s="11" t="e">
        <f ca="1">IF(History!AR$2="","",#REF!*$C$74)</f>
        <v>#REF!</v>
      </c>
      <c r="AO74" s="11" t="e">
        <f ca="1">IF(History!AS$2="","",#REF!*$C$74)</f>
        <v>#REF!</v>
      </c>
      <c r="AP74" s="11" t="e">
        <f ca="1">IF(History!AT$2="","",#REF!*$C$74)</f>
        <v>#REF!</v>
      </c>
      <c r="AQ74" s="11" t="e">
        <f ca="1">IF(History!AU$2="","",#REF!*$C$74)</f>
        <v>#REF!</v>
      </c>
      <c r="AR74" s="11" t="e">
        <f ca="1">IF(History!AV$2="","",#REF!*$C$74)</f>
        <v>#REF!</v>
      </c>
      <c r="AS74" s="11" t="e">
        <f ca="1">IF(History!AW$2="","",#REF!*$C$74)</f>
        <v>#REF!</v>
      </c>
      <c r="AT74" s="11" t="e">
        <f ca="1">IF(History!AX$2="","",#REF!*$C$74)</f>
        <v>#REF!</v>
      </c>
      <c r="AU74" s="11" t="e">
        <f ca="1">IF(History!AY$2="","",#REF!*$C$74)</f>
        <v>#REF!</v>
      </c>
      <c r="AV74" s="11" t="e">
        <f ca="1">IF(History!AZ$2="","",#REF!*$C$74)</f>
        <v>#REF!</v>
      </c>
      <c r="AW74" s="11" t="e">
        <f ca="1">IF(History!BA$2="","",#REF!*$C$74)</f>
        <v>#REF!</v>
      </c>
      <c r="AX74" s="11" t="e">
        <f ca="1">IF(History!BB$2="","",#REF!*$C$74)</f>
        <v>#REF!</v>
      </c>
      <c r="AY74" s="11" t="e">
        <f ca="1">IF(History!BC$2="","",#REF!*$C$74)</f>
        <v>#REF!</v>
      </c>
      <c r="AZ74" s="11" t="e">
        <f ca="1">IF(History!BD$2="","",#REF!*$C$74)</f>
        <v>#REF!</v>
      </c>
      <c r="BA74" s="11" t="e">
        <f ca="1">IF(History!BE$2="","",#REF!*$C$74)</f>
        <v>#REF!</v>
      </c>
      <c r="BB74" s="11" t="e">
        <f ca="1">IF(History!BF$2="","",#REF!*$C$74)</f>
        <v>#REF!</v>
      </c>
      <c r="BC74" s="11" t="e">
        <f ca="1">IF(History!BG$2="","",#REF!*$C$74)</f>
        <v>#REF!</v>
      </c>
      <c r="BD74" s="11" t="e">
        <f ca="1">IF(History!BH$2="","",#REF!*$C$74)</f>
        <v>#REF!</v>
      </c>
      <c r="BE74" s="11" t="e">
        <f ca="1">IF(History!BI$2="","",#REF!*$C$74)</f>
        <v>#REF!</v>
      </c>
      <c r="BF74" s="11" t="e">
        <f ca="1">IF(History!BJ$2="","",#REF!*$C$74)</f>
        <v>#REF!</v>
      </c>
      <c r="BG74" s="11" t="e">
        <f ca="1">IF(History!BK$2="","",#REF!*$C$74)</f>
        <v>#REF!</v>
      </c>
      <c r="BH74" s="11" t="e">
        <f ca="1">IF(History!BL$2="","",#REF!*$C$74)</f>
        <v>#REF!</v>
      </c>
      <c r="BI74" s="11" t="e">
        <f ca="1">IF(History!BM$2="","",#REF!*$C$74)</f>
        <v>#REF!</v>
      </c>
      <c r="BJ74" s="11" t="e">
        <f ca="1">IF(History!BN$2="","",#REF!*$C$74)</f>
        <v>#REF!</v>
      </c>
      <c r="BK74" s="11" t="e">
        <f ca="1">IF(History!BO$2="","",#REF!*$C$74)</f>
        <v>#REF!</v>
      </c>
      <c r="BL74" s="11" t="e">
        <f ca="1">IF(History!BP$2="","",#REF!*$C$74)</f>
        <v>#REF!</v>
      </c>
      <c r="BM74" s="11" t="e">
        <f ca="1">IF(History!BQ$2="","",#REF!*$C$74)</f>
        <v>#REF!</v>
      </c>
      <c r="BN74" s="11" t="e">
        <f ca="1">IF(History!BR$2="","",#REF!*$C$74)</f>
        <v>#REF!</v>
      </c>
      <c r="BO74" s="11" t="e">
        <f ca="1">IF(History!BS$2="","",#REF!*$C$74)</f>
        <v>#REF!</v>
      </c>
      <c r="BP74" s="11" t="e">
        <f ca="1">IF(History!BT$2="","",#REF!*$C$74)</f>
        <v>#REF!</v>
      </c>
      <c r="BQ74" s="11" t="e">
        <f ca="1">IF(History!BU$2="","",#REF!*$C$74)</f>
        <v>#REF!</v>
      </c>
      <c r="BR74" s="11" t="e">
        <f ca="1">IF(History!BV$2="","",#REF!*$C$74)</f>
        <v>#REF!</v>
      </c>
      <c r="BS74" s="11" t="e">
        <f ca="1">IF(History!BW$2="","",#REF!*$C$74)</f>
        <v>#REF!</v>
      </c>
      <c r="BT74" s="11" t="e">
        <f ca="1">IF(History!BX$2="","",#REF!*$C$74)</f>
        <v>#REF!</v>
      </c>
      <c r="BU74" s="11" t="e">
        <f ca="1">IF(History!BY$2="","",#REF!*$C$74)</f>
        <v>#REF!</v>
      </c>
      <c r="BV74" s="11" t="e">
        <f ca="1">IF(History!BZ$2="","",#REF!*$C$74)</f>
        <v>#REF!</v>
      </c>
      <c r="BW74" s="11" t="e">
        <f ca="1">IF(History!CA$2="","",#REF!*$C$74)</f>
        <v>#REF!</v>
      </c>
      <c r="BX74" s="11" t="e">
        <f ca="1">IF(History!CB$2="","",#REF!*$C$74)</f>
        <v>#REF!</v>
      </c>
      <c r="BY74" s="11" t="e">
        <f ca="1">IF(History!CC$2="","",#REF!*$C$74)</f>
        <v>#REF!</v>
      </c>
      <c r="BZ74" s="11" t="e">
        <f ca="1">IF(History!CD$2="","",#REF!*$C$74)</f>
        <v>#REF!</v>
      </c>
      <c r="CA74" s="11" t="e">
        <f ca="1">IF(History!CE$2="","",#REF!*$C$74)</f>
        <v>#REF!</v>
      </c>
      <c r="CB74" s="11" t="e">
        <f ca="1">IF(History!CF$2="","",#REF!*$C$74)</f>
        <v>#REF!</v>
      </c>
      <c r="CC74" s="11" t="e">
        <f ca="1">IF(History!CG$2="","",#REF!*$C$74)</f>
        <v>#REF!</v>
      </c>
      <c r="CD74" s="11" t="e">
        <f ca="1">IF(History!CH$2="","",#REF!*$C$74)</f>
        <v>#REF!</v>
      </c>
      <c r="CE74" s="11" t="e">
        <f ca="1">IF(History!CI$2="","",#REF!*$C$74)</f>
        <v>#REF!</v>
      </c>
      <c r="CF74" s="11" t="str">
        <f ca="1">IF(History!CJ$2="","",#REF!*$C$74)</f>
        <v/>
      </c>
      <c r="CG74" s="11" t="str">
        <f ca="1">IF(History!CK$2="","",#REF!*$C$74)</f>
        <v/>
      </c>
      <c r="CH74" s="11" t="str">
        <f ca="1">IF(History!CL$2="","",#REF!*$C$74)</f>
        <v/>
      </c>
      <c r="CI74" s="11" t="str">
        <f ca="1">IF(History!CM$2="","",#REF!*$C$74)</f>
        <v/>
      </c>
      <c r="CJ74" s="11" t="str">
        <f ca="1">IF(History!CN$2="","",#REF!*$C$74)</f>
        <v/>
      </c>
      <c r="CK74" s="11" t="str">
        <f ca="1">IF(History!CO$2="","",#REF!*$C$74)</f>
        <v/>
      </c>
      <c r="CL74" s="11" t="str">
        <f ca="1">IF(History!CP$2="","",#REF!*$C$74)</f>
        <v/>
      </c>
      <c r="CM74" s="11" t="str">
        <f ca="1">IF(History!CQ$2="","",#REF!*$C$74)</f>
        <v/>
      </c>
      <c r="CN74" s="11" t="str">
        <f ca="1">IF(History!CR$2="","",#REF!*$C$74)</f>
        <v/>
      </c>
      <c r="CO74" s="11" t="str">
        <f ca="1">IF(History!CS$2="","",#REF!*$C$74)</f>
        <v/>
      </c>
      <c r="CP74" s="11" t="str">
        <f ca="1">IF(History!CT$2="","",#REF!*$C$74)</f>
        <v/>
      </c>
      <c r="CQ74" s="11" t="str">
        <f ca="1">IF(History!CU$2="","",#REF!*$C$74)</f>
        <v/>
      </c>
      <c r="CR74" s="11" t="str">
        <f ca="1">IF(History!CV$2="","",#REF!*$C$74)</f>
        <v/>
      </c>
      <c r="CS74" s="11" t="str">
        <f ca="1">IF(History!CW$2="","",#REF!*$C$74)</f>
        <v/>
      </c>
      <c r="CT74" s="11" t="str">
        <f ca="1">IF(History!CX$2="","",#REF!*$C$74)</f>
        <v/>
      </c>
      <c r="CU74" s="11" t="str">
        <f ca="1">IF(History!CY$2="","",#REF!*$C$74)</f>
        <v/>
      </c>
      <c r="CV74" s="11" t="str">
        <f ca="1">IF(History!CZ$2="","",#REF!*$C$74)</f>
        <v/>
      </c>
      <c r="CW74" s="11" t="str">
        <f ca="1">IF(History!DA$2="","",#REF!*$C$74)</f>
        <v/>
      </c>
      <c r="CX74" s="11" t="str">
        <f ca="1">IF(History!DB$2="","",#REF!*$C$74)</f>
        <v/>
      </c>
      <c r="CY74" s="11" t="str">
        <f ca="1">IF(History!DC$2="","",#REF!*$C$74)</f>
        <v/>
      </c>
      <c r="CZ74" s="11" t="str">
        <f ca="1">IF(History!DD$2="","",#REF!*$C$74)</f>
        <v/>
      </c>
      <c r="DA74" s="11" t="str">
        <f ca="1">IF(History!DE$2="","",#REF!*$C$74)</f>
        <v/>
      </c>
      <c r="DB74" s="11" t="str">
        <f ca="1">IF(History!DF$2="","",#REF!*$C$74)</f>
        <v/>
      </c>
      <c r="DC74" s="11" t="str">
        <f ca="1">IF(History!DG$2="","",#REF!*$C$74)</f>
        <v/>
      </c>
      <c r="DD74" s="11" t="str">
        <f ca="1">IF(History!DH$2="","",#REF!*$C$74)</f>
        <v/>
      </c>
      <c r="DE74" s="11" t="str">
        <f ca="1">IF(History!DI$2="","",#REF!*$C$74)</f>
        <v/>
      </c>
      <c r="DF74" s="11" t="str">
        <f ca="1">IF(History!DJ$2="","",#REF!*$C$74)</f>
        <v/>
      </c>
      <c r="DG74" s="11" t="str">
        <f ca="1">IF(History!DK$2="","",#REF!*$C$74)</f>
        <v/>
      </c>
      <c r="DH74" s="11" t="str">
        <f ca="1">IF(History!DL$2="","",#REF!*$C$74)</f>
        <v/>
      </c>
      <c r="DI74" s="11" t="str">
        <f ca="1">IF(History!DM$2="","",#REF!*$C$74)</f>
        <v/>
      </c>
      <c r="DJ74" s="11" t="str">
        <f ca="1">IF(History!DN$2="","",#REF!*$C$74)</f>
        <v/>
      </c>
      <c r="DK74" s="11" t="str">
        <f ca="1">IF(History!DO$2="","",#REF!*$C$74)</f>
        <v/>
      </c>
      <c r="DL74" s="11" t="str">
        <f ca="1">IF(History!DP$2="","",#REF!*$C$74)</f>
        <v/>
      </c>
      <c r="DM74" s="11" t="str">
        <f ca="1">IF(History!DQ$2="","",#REF!*$C$74)</f>
        <v/>
      </c>
      <c r="DN74" s="11" t="str">
        <f ca="1">IF(History!DR$2="","",#REF!*$C$74)</f>
        <v/>
      </c>
      <c r="DO74" s="11" t="str">
        <f ca="1">IF(History!DS$2="","",#REF!*$C$74)</f>
        <v/>
      </c>
      <c r="DP74" s="11" t="str">
        <f ca="1">IF(History!DT$2="","",#REF!*$C$74)</f>
        <v/>
      </c>
      <c r="DQ74" s="11" t="str">
        <f ca="1">IF(History!DU$2="","",#REF!*$C$74)</f>
        <v/>
      </c>
      <c r="DR74" s="11" t="str">
        <f ca="1">IF(History!DV$2="","",#REF!*$C$74)</f>
        <v/>
      </c>
      <c r="DS74" s="11" t="str">
        <f ca="1">IF(History!DW$2="","",#REF!*$C$74)</f>
        <v/>
      </c>
      <c r="DT74" s="11" t="str">
        <f ca="1">IF(History!DX$2="","",#REF!*$C$74)</f>
        <v/>
      </c>
      <c r="DU74" s="11" t="str">
        <f ca="1">IF(History!DY$2="","",#REF!*$C$74)</f>
        <v/>
      </c>
      <c r="DV74" s="11" t="str">
        <f ca="1">IF(History!DZ$2="","",#REF!*$C$74)</f>
        <v/>
      </c>
      <c r="DW74" s="11" t="str">
        <f ca="1">IF(History!EA$2="","",#REF!*$C$74)</f>
        <v/>
      </c>
      <c r="DX74" s="11" t="str">
        <f ca="1">IF(History!EB$2="","",#REF!*$C$74)</f>
        <v/>
      </c>
      <c r="DY74" s="11" t="str">
        <f ca="1">IF(History!EC$2="","",#REF!*$C$74)</f>
        <v/>
      </c>
      <c r="DZ74" s="11" t="str">
        <f ca="1">IF(History!ED$2="","",#REF!*$C$74)</f>
        <v/>
      </c>
      <c r="EA74" s="11" t="str">
        <f ca="1">IF(History!EE$2="","",#REF!*$C$74)</f>
        <v/>
      </c>
      <c r="EB74" s="11" t="str">
        <f ca="1">IF(History!EF$2="","",#REF!*$C$74)</f>
        <v/>
      </c>
      <c r="EC74" s="11" t="str">
        <f ca="1">IF(History!EG$2="","",#REF!*$C$74)</f>
        <v/>
      </c>
      <c r="ED74" s="11" t="str">
        <f ca="1">IF(History!EH$2="","",#REF!*$C$74)</f>
        <v/>
      </c>
      <c r="EE74" s="11" t="str">
        <f ca="1">IF(History!EI$2="","",#REF!*$C$74)</f>
        <v/>
      </c>
      <c r="EF74" s="11" t="str">
        <f ca="1">IF(History!EJ$2="","",#REF!*$C$74)</f>
        <v/>
      </c>
      <c r="EG74" s="11" t="str">
        <f ca="1">IF(History!EK$2="","",#REF!*$C$74)</f>
        <v/>
      </c>
      <c r="EH74" s="11" t="str">
        <f ca="1">IF(History!EL$2="","",#REF!*$C$74)</f>
        <v/>
      </c>
      <c r="EI74" s="11" t="str">
        <f ca="1">IF(History!EM$2="","",#REF!*$C$74)</f>
        <v/>
      </c>
      <c r="EJ74" s="11" t="str">
        <f ca="1">IF(History!EN$2="","",#REF!*$C$74)</f>
        <v/>
      </c>
      <c r="EK74" s="11" t="str">
        <f ca="1">IF(History!EO$2="","",#REF!*$C$74)</f>
        <v/>
      </c>
      <c r="EL74" s="11" t="str">
        <f ca="1">IF(History!EP$2="","",#REF!*$C$74)</f>
        <v/>
      </c>
      <c r="EM74" s="11" t="str">
        <f ca="1">IF(History!EQ$2="","",#REF!*$C$74)</f>
        <v/>
      </c>
      <c r="EN74" s="11" t="str">
        <f ca="1">IF(History!ER$2="","",#REF!*$C$74)</f>
        <v/>
      </c>
      <c r="EO74" s="11" t="str">
        <f ca="1">IF(History!ES$2="","",#REF!*$C$74)</f>
        <v/>
      </c>
      <c r="EP74" s="11" t="str">
        <f ca="1">IF(History!ET$2="","",#REF!*$C$74)</f>
        <v/>
      </c>
      <c r="EQ74" s="11" t="str">
        <f ca="1">IF(History!EU$2="","",#REF!*$C$74)</f>
        <v/>
      </c>
      <c r="ER74" s="11" t="str">
        <f ca="1">IF(History!EV$2="","",#REF!*$C$74)</f>
        <v/>
      </c>
      <c r="ES74" s="11" t="str">
        <f ca="1">IF(History!EW$2="","",#REF!*$C$74)</f>
        <v/>
      </c>
      <c r="ET74" s="11" t="str">
        <f ca="1">IF(History!EX$2="","",#REF!*$C$74)</f>
        <v/>
      </c>
      <c r="EU74" s="11" t="str">
        <f ca="1">IF(History!EY$2="","",#REF!*$C$74)</f>
        <v/>
      </c>
      <c r="EV74" s="11" t="str">
        <f ca="1">IF(History!EZ$2="","",#REF!*$C$74)</f>
        <v/>
      </c>
      <c r="EW74" s="11" t="str">
        <f ca="1">IF(History!FA$2="","",#REF!*$C$74)</f>
        <v/>
      </c>
      <c r="EX74" s="11" t="str">
        <f ca="1">IF(History!FB$2="","",#REF!*$C$74)</f>
        <v/>
      </c>
      <c r="EY74" s="11" t="str">
        <f ca="1">IF(History!FC$2="","",#REF!*$C$74)</f>
        <v/>
      </c>
      <c r="EZ74" s="11" t="str">
        <f ca="1">IF(History!FD$2="","",#REF!*$C$74)</f>
        <v/>
      </c>
      <c r="FA74" s="11" t="str">
        <f ca="1">IF(History!FE$2="","",#REF!*$C$74)</f>
        <v/>
      </c>
      <c r="FB74" s="11" t="str">
        <f ca="1">IF(History!FF$2="","",#REF!*$C$74)</f>
        <v/>
      </c>
      <c r="FC74" s="11" t="str">
        <f ca="1">IF(History!FG$2="","",#REF!*$C$74)</f>
        <v/>
      </c>
      <c r="FD74" s="11" t="str">
        <f ca="1">IF(History!FH$2="","",#REF!*$C$74)</f>
        <v/>
      </c>
      <c r="FE74" s="11" t="str">
        <f ca="1">IF(History!FI$2="","",#REF!*$C$74)</f>
        <v/>
      </c>
      <c r="FF74" s="11" t="str">
        <f ca="1">IF(History!FJ$2="","",#REF!*$C$74)</f>
        <v/>
      </c>
      <c r="FG74" s="11" t="str">
        <f ca="1">IF(History!FK$2="","",#REF!*$C$74)</f>
        <v/>
      </c>
      <c r="FH74" s="11" t="str">
        <f ca="1">IF(History!FL$2="","",#REF!*$C$74)</f>
        <v/>
      </c>
      <c r="FI74" s="11" t="str">
        <f ca="1">IF(History!FM$2="","",#REF!*$C$74)</f>
        <v/>
      </c>
      <c r="FJ74" s="11" t="str">
        <f ca="1">IF(History!FN$2="","",#REF!*$C$74)</f>
        <v/>
      </c>
      <c r="FK74" s="11" t="str">
        <f ca="1">IF(History!FO$2="","",#REF!*$C$74)</f>
        <v/>
      </c>
      <c r="FL74" s="11" t="str">
        <f ca="1">IF(History!FP$2="","",#REF!*$C$74)</f>
        <v/>
      </c>
      <c r="FM74" s="11" t="str">
        <f ca="1">IF(History!FQ$2="","",#REF!*$C$74)</f>
        <v/>
      </c>
      <c r="FN74" s="11" t="str">
        <f ca="1">IF(History!FR$2="","",#REF!*$C$74)</f>
        <v/>
      </c>
      <c r="FO74" s="11" t="str">
        <f ca="1">IF(History!FS$2="","",#REF!*$C$74)</f>
        <v/>
      </c>
      <c r="FP74" s="11" t="str">
        <f ca="1">IF(History!FT$2="","",#REF!*$C$74)</f>
        <v/>
      </c>
      <c r="FQ74" s="11" t="str">
        <f ca="1">IF(History!FU$2="","",#REF!*$C$74)</f>
        <v/>
      </c>
      <c r="FR74" s="11" t="str">
        <f ca="1">IF(History!FV$2="","",#REF!*$C$74)</f>
        <v/>
      </c>
      <c r="FS74" s="11" t="str">
        <f ca="1">IF(History!FW$2="","",#REF!*$C$74)</f>
        <v/>
      </c>
      <c r="FT74" s="11" t="str">
        <f ca="1">IF(History!FX$2="","",#REF!*$C$74)</f>
        <v/>
      </c>
      <c r="FU74" s="11" t="str">
        <f ca="1">IF(History!FY$2="","",#REF!*$C$74)</f>
        <v/>
      </c>
      <c r="FV74" s="11" t="str">
        <f ca="1">IF(History!FZ$2="","",#REF!*$C$74)</f>
        <v/>
      </c>
      <c r="FW74" s="11" t="str">
        <f ca="1">IF(History!GA$2="","",#REF!*$C$74)</f>
        <v/>
      </c>
      <c r="FX74" s="11" t="str">
        <f ca="1">IF(History!GB$2="","",#REF!*$C$74)</f>
        <v/>
      </c>
      <c r="FY74" s="11" t="str">
        <f ca="1">IF(History!GC$2="","",#REF!*$C$74)</f>
        <v/>
      </c>
      <c r="FZ74" s="11" t="str">
        <f ca="1">IF(History!GD$2="","",#REF!*$C$74)</f>
        <v/>
      </c>
      <c r="GA74" s="11" t="str">
        <f ca="1">IF(History!GE$2="","",#REF!*$C$74)</f>
        <v/>
      </c>
      <c r="GB74" s="11" t="str">
        <f ca="1">IF(History!GF$2="","",#REF!*$C$74)</f>
        <v/>
      </c>
      <c r="GC74" s="11" t="str">
        <f ca="1">IF(History!GG$2="","",#REF!*$C$74)</f>
        <v/>
      </c>
      <c r="GD74" s="11" t="str">
        <f ca="1">IF(History!GH$2="","",#REF!*$C$74)</f>
        <v/>
      </c>
      <c r="GE74" s="11" t="str">
        <f ca="1">IF(History!GI$2="","",#REF!*$C$74)</f>
        <v/>
      </c>
      <c r="GF74" s="11" t="str">
        <f ca="1">IF(History!GJ$2="","",#REF!*$C$74)</f>
        <v/>
      </c>
      <c r="GG74" s="11" t="str">
        <f ca="1">IF(History!GK$2="","",#REF!*$C$74)</f>
        <v/>
      </c>
      <c r="GH74" s="11" t="str">
        <f ca="1">IF(History!GL$2="","",#REF!*$C$74)</f>
        <v/>
      </c>
      <c r="GI74" s="11" t="str">
        <f ca="1">IF(History!GM$2="","",#REF!*$C$74)</f>
        <v/>
      </c>
      <c r="GJ74" s="11" t="str">
        <f ca="1">IF(History!GN$2="","",#REF!*$C$74)</f>
        <v/>
      </c>
      <c r="GK74" s="11" t="str">
        <f ca="1">IF(History!GO$2="","",#REF!*$C$74)</f>
        <v/>
      </c>
      <c r="GL74" s="11" t="str">
        <f ca="1">IF(History!GP$2="","",#REF!*$C$74)</f>
        <v/>
      </c>
      <c r="GM74" s="11" t="str">
        <f ca="1">IF(History!GQ$2="","",#REF!*$C$74)</f>
        <v/>
      </c>
      <c r="GN74" s="11" t="str">
        <f ca="1">IF(History!GR$2="","",#REF!*$C$74)</f>
        <v/>
      </c>
      <c r="GO74" s="11" t="str">
        <f ca="1">IF(History!GS$2="","",#REF!*$C$74)</f>
        <v/>
      </c>
      <c r="GP74" s="11" t="str">
        <f ca="1">IF(History!GT$2="","",#REF!*$C$74)</f>
        <v/>
      </c>
      <c r="GQ74" s="11" t="str">
        <f ca="1">IF(History!GU$2="","",#REF!*$C$74)</f>
        <v/>
      </c>
      <c r="GR74" s="11" t="str">
        <f ca="1">IF(History!GV$2="","",#REF!*$C$74)</f>
        <v/>
      </c>
      <c r="GS74" s="11" t="str">
        <f ca="1">IF(History!GW$2="","",#REF!*$C$74)</f>
        <v/>
      </c>
      <c r="GT74" s="11" t="str">
        <f ca="1">IF(History!GX$2="","",#REF!*$C$74)</f>
        <v/>
      </c>
      <c r="GU74" s="11" t="str">
        <f ca="1">IF(History!GY$2="","",#REF!*$C$74)</f>
        <v/>
      </c>
      <c r="GV74" s="11" t="str">
        <f ca="1">IF(History!GZ$2="","",#REF!*$C$74)</f>
        <v/>
      </c>
      <c r="GW74" s="11" t="str">
        <f ca="1">IF(History!HA$2="","",#REF!*$C$74)</f>
        <v/>
      </c>
      <c r="GX74" s="11" t="str">
        <f ca="1">IF(History!HB$2="","",#REF!*$C$74)</f>
        <v/>
      </c>
      <c r="GY74" s="11" t="str">
        <f ca="1">IF(History!HC$2="","",#REF!*$C$74)</f>
        <v/>
      </c>
      <c r="GZ74" s="11" t="str">
        <f ca="1">IF(History!HD$2="","",#REF!*$C$74)</f>
        <v/>
      </c>
      <c r="HA74" s="11" t="str">
        <f ca="1">IF(History!HE$2="","",#REF!*$C$74)</f>
        <v/>
      </c>
      <c r="HB74" s="11" t="str">
        <f ca="1">IF(History!HF$2="","",#REF!*$C$74)</f>
        <v/>
      </c>
      <c r="HC74" s="11" t="str">
        <f ca="1">IF(History!HG$2="","",#REF!*$C$74)</f>
        <v/>
      </c>
      <c r="HD74" s="11" t="str">
        <f ca="1">IF(History!HH$2="","",#REF!*$C$74)</f>
        <v/>
      </c>
      <c r="HE74" s="11" t="str">
        <f ca="1">IF(History!HI$2="","",#REF!*$C$74)</f>
        <v/>
      </c>
      <c r="HF74" s="11" t="str">
        <f ca="1">IF(History!HJ$2="","",#REF!*$C$74)</f>
        <v/>
      </c>
      <c r="HG74" s="11" t="str">
        <f ca="1">IF(History!HK$2="","",#REF!*$C$74)</f>
        <v/>
      </c>
      <c r="HH74" s="11" t="str">
        <f ca="1">IF(History!HL$2="","",#REF!*$C$74)</f>
        <v/>
      </c>
      <c r="HI74" s="11" t="str">
        <f ca="1">IF(History!HM$2="","",#REF!*$C$74)</f>
        <v/>
      </c>
      <c r="HJ74" s="11" t="str">
        <f ca="1">IF(History!HN$2="","",#REF!*$C$74)</f>
        <v/>
      </c>
      <c r="HK74" s="11" t="str">
        <f ca="1">IF(History!HO$2="","",#REF!*$C$74)</f>
        <v/>
      </c>
      <c r="HL74" s="11" t="str">
        <f ca="1">IF(History!HP$2="","",#REF!*$C$74)</f>
        <v/>
      </c>
      <c r="HM74" s="11" t="str">
        <f ca="1">IF(History!HQ$2="","",#REF!*$C$74)</f>
        <v/>
      </c>
      <c r="HN74" s="11" t="str">
        <f ca="1">IF(History!HR$2="","",#REF!*$C$74)</f>
        <v/>
      </c>
      <c r="HO74" s="11" t="str">
        <f ca="1">IF(History!HS$2="","",#REF!*$C$74)</f>
        <v/>
      </c>
      <c r="HP74" s="11" t="str">
        <f ca="1">IF(History!HT$2="","",#REF!*$C$74)</f>
        <v/>
      </c>
      <c r="HQ74" s="11" t="str">
        <f ca="1">IF(History!HU$2="","",#REF!*$C$74)</f>
        <v/>
      </c>
      <c r="HR74" s="11" t="str">
        <f ca="1">IF(History!HV$2="","",#REF!*$C$74)</f>
        <v/>
      </c>
      <c r="HS74" s="11" t="str">
        <f ca="1">IF(History!HW$2="","",#REF!*$C$74)</f>
        <v/>
      </c>
      <c r="HT74" s="11" t="str">
        <f ca="1">IF(History!HX$2="","",#REF!*$C$74)</f>
        <v/>
      </c>
      <c r="HU74" s="11" t="str">
        <f ca="1">IF(History!HY$2="","",#REF!*$C$74)</f>
        <v/>
      </c>
      <c r="HV74" s="11" t="str">
        <f ca="1">IF(History!HZ$2="","",#REF!*$C$74)</f>
        <v/>
      </c>
      <c r="HW74" s="11" t="str">
        <f ca="1">IF(History!IA$2="","",#REF!*$C$74)</f>
        <v/>
      </c>
      <c r="HX74" s="11" t="str">
        <f ca="1">IF(History!IB$2="","",#REF!*$C$74)</f>
        <v/>
      </c>
      <c r="HY74" s="11" t="str">
        <f ca="1">IF(History!IC$2="","",#REF!*$C$74)</f>
        <v/>
      </c>
      <c r="HZ74" s="11" t="str">
        <f ca="1">IF(History!ID$2="","",#REF!*$C$74)</f>
        <v/>
      </c>
      <c r="IA74" s="11" t="str">
        <f ca="1">IF(History!IE$2="","",#REF!*$C$74)</f>
        <v/>
      </c>
      <c r="IB74" s="11" t="str">
        <f ca="1">IF(History!IF$2="","",#REF!*$C$74)</f>
        <v/>
      </c>
      <c r="IC74" s="11" t="str">
        <f ca="1">IF(History!IG$2="","",#REF!*$C$74)</f>
        <v/>
      </c>
      <c r="ID74" s="11" t="str">
        <f ca="1">IF(History!IH$2="","",#REF!*$C$74)</f>
        <v/>
      </c>
      <c r="IE74" s="11" t="str">
        <f ca="1">IF(History!II$2="","",#REF!*$C$74)</f>
        <v/>
      </c>
      <c r="IF74" s="11" t="str">
        <f ca="1">IF(History!IJ$2="","",#REF!*$C$74)</f>
        <v/>
      </c>
      <c r="IG74" s="11" t="str">
        <f ca="1">IF(History!IK$2="","",#REF!*$C$74)</f>
        <v/>
      </c>
      <c r="IH74" s="11" t="str">
        <f ca="1">IF(History!IL$2="","",#REF!*$C$74)</f>
        <v/>
      </c>
      <c r="II74" s="11" t="str">
        <f ca="1">IF(History!IM$2="","",#REF!*$C$74)</f>
        <v/>
      </c>
      <c r="IJ74" s="11" t="str">
        <f ca="1">IF(History!IN$2="","",#REF!*$C$74)</f>
        <v/>
      </c>
      <c r="IK74" s="11" t="str">
        <f ca="1">IF(History!IO$2="","",#REF!*$C$74)</f>
        <v/>
      </c>
      <c r="IL74" s="11" t="str">
        <f ca="1">IF(History!IP$2="","",#REF!*$C$74)</f>
        <v/>
      </c>
      <c r="IM74" s="11" t="str">
        <f ca="1">IF(History!IQ$2="","",#REF!*$C$74)</f>
        <v/>
      </c>
      <c r="IN74" s="11" t="str">
        <f ca="1">IF(History!IR$2="","",#REF!*$C$74)</f>
        <v/>
      </c>
      <c r="IO74" s="11" t="str">
        <f ca="1">IF(History!IS$2="","",#REF!*$C$74)</f>
        <v/>
      </c>
      <c r="IP74" s="11" t="str">
        <f ca="1">IF(History!IT$2="","",#REF!*$C$74)</f>
        <v/>
      </c>
      <c r="IQ74" s="11" t="str">
        <f ca="1">IF(History!IU$2="","",#REF!*$C$74)</f>
        <v/>
      </c>
      <c r="IR74" s="11" t="str">
        <f ca="1">IF(History!IV$2="","",#REF!*$C$74)</f>
        <v/>
      </c>
      <c r="IS74" s="11" t="str">
        <f ca="1">IF(History!IW$2="","",#REF!*$C$74)</f>
        <v/>
      </c>
      <c r="IT74" s="11" t="str">
        <f ca="1">IF(History!IX$2="","",#REF!*$C$74)</f>
        <v/>
      </c>
      <c r="IU74" s="11" t="str">
        <f ca="1">IF(History!IY$2="","",#REF!*$C$74)</f>
        <v/>
      </c>
      <c r="IV74" s="11" t="str">
        <f ca="1">IF(History!IZ$2="","",#REF!*$C$74)</f>
        <v/>
      </c>
      <c r="IW74" s="11" t="str">
        <f ca="1">IF(History!JA$2="","",#REF!*$C$74)</f>
        <v/>
      </c>
      <c r="IX74" s="11" t="str">
        <f ca="1">IF(History!JB$2="","",#REF!*$C$74)</f>
        <v/>
      </c>
      <c r="IY74" s="11" t="str">
        <f ca="1">IF(History!JC$2="","",#REF!*$C$74)</f>
        <v/>
      </c>
      <c r="IZ74" s="11" t="str">
        <f ca="1">IF(History!JD$2="","",#REF!*$C$74)</f>
        <v/>
      </c>
      <c r="JA74" s="11" t="str">
        <f ca="1">IF(History!JE$2="","",#REF!*$C$74)</f>
        <v/>
      </c>
      <c r="JB74" s="11" t="str">
        <f ca="1">IF(History!JF$2="","",#REF!*$C$74)</f>
        <v/>
      </c>
      <c r="JC74" s="11" t="str">
        <f ca="1">IF(History!JG$2="","",#REF!*$C$74)</f>
        <v/>
      </c>
      <c r="JD74" s="11" t="str">
        <f ca="1">IF(History!JH$2="","",#REF!*$C$74)</f>
        <v/>
      </c>
      <c r="JE74" s="11" t="str">
        <f ca="1">IF(History!JI$2="","",#REF!*$C$74)</f>
        <v/>
      </c>
      <c r="JF74" s="11" t="str">
        <f ca="1">IF(History!JJ$2="","",#REF!*$C$74)</f>
        <v/>
      </c>
      <c r="JG74" s="11" t="str">
        <f ca="1">IF(History!JK$2="","",#REF!*$C$74)</f>
        <v/>
      </c>
      <c r="JH74" s="11" t="str">
        <f ca="1">IF(History!JL$2="","",#REF!*$C$74)</f>
        <v/>
      </c>
      <c r="JI74" s="11" t="str">
        <f ca="1">IF(History!JM$2="","",#REF!*$C$74)</f>
        <v/>
      </c>
      <c r="JJ74" s="11" t="str">
        <f ca="1">IF(History!JN$2="","",#REF!*$C$74)</f>
        <v/>
      </c>
      <c r="JK74" s="11" t="str">
        <f ca="1">IF(History!JO$2="","",#REF!*$C$74)</f>
        <v/>
      </c>
      <c r="JL74" s="11" t="str">
        <f ca="1">IF(History!JP$2="","",#REF!*$C$74)</f>
        <v/>
      </c>
      <c r="JM74" s="11" t="str">
        <f ca="1">IF(History!JQ$2="","",#REF!*$C$74)</f>
        <v/>
      </c>
      <c r="JN74" s="11" t="str">
        <f ca="1">IF(History!JR$2="","",#REF!*$C$74)</f>
        <v/>
      </c>
      <c r="JO74" s="11" t="str">
        <f ca="1">IF(History!JS$2="","",#REF!*$C$74)</f>
        <v/>
      </c>
      <c r="JP74" s="11" t="str">
        <f ca="1">IF(History!JT$2="","",#REF!*$C$74)</f>
        <v/>
      </c>
      <c r="JQ74" s="11" t="str">
        <f ca="1">IF(History!JU$2="","",#REF!*$C$74)</f>
        <v/>
      </c>
      <c r="JR74" s="11" t="str">
        <f ca="1">IF(History!JV$2="","",#REF!*$C$74)</f>
        <v/>
      </c>
      <c r="JS74" s="11" t="str">
        <f ca="1">IF(History!JW$2="","",#REF!*$C$74)</f>
        <v/>
      </c>
      <c r="JT74" s="11" t="str">
        <f ca="1">IF(History!JX$2="","",#REF!*$C$74)</f>
        <v/>
      </c>
      <c r="JU74" s="11" t="str">
        <f ca="1">IF(History!JY$2="","",#REF!*$C$74)</f>
        <v/>
      </c>
      <c r="JV74" s="11" t="str">
        <f ca="1">IF(History!JZ$2="","",#REF!*$C$74)</f>
        <v/>
      </c>
      <c r="JW74" s="11" t="str">
        <f ca="1">IF(History!KA$2="","",#REF!*$C$74)</f>
        <v/>
      </c>
      <c r="JX74" s="11" t="str">
        <f ca="1">IF(History!KB$2="","",#REF!*$C$74)</f>
        <v/>
      </c>
      <c r="JY74" s="11" t="str">
        <f ca="1">IF(History!KC$2="","",#REF!*$C$74)</f>
        <v/>
      </c>
      <c r="JZ74" s="11" t="str">
        <f ca="1">IF(History!KD$2="","",#REF!*$C$74)</f>
        <v/>
      </c>
      <c r="KA74" s="11" t="str">
        <f ca="1">IF(History!KE$2="","",#REF!*$C$74)</f>
        <v/>
      </c>
      <c r="KB74" s="11" t="str">
        <f ca="1">IF(History!KF$2="","",#REF!*$C$74)</f>
        <v/>
      </c>
    </row>
    <row r="75" spans="1:288" ht="13">
      <c r="A75" s="18" t="s">
        <v>140</v>
      </c>
      <c r="B75" s="6" t="s">
        <v>153</v>
      </c>
      <c r="C75" s="26">
        <v>91</v>
      </c>
      <c r="D75" s="11" t="e">
        <f ca="1">IF(History!H$2="","",#REF!*$C$75)</f>
        <v>#REF!</v>
      </c>
      <c r="E75" s="11" t="e">
        <f ca="1">IF(History!I$2="","",#REF!*$C$75)</f>
        <v>#REF!</v>
      </c>
      <c r="F75" s="11" t="e">
        <f ca="1">IF(History!J$2="","",#REF!*$C$75)</f>
        <v>#REF!</v>
      </c>
      <c r="G75" s="11" t="e">
        <f ca="1">IF(History!K$2="","",#REF!*$C$75)</f>
        <v>#REF!</v>
      </c>
      <c r="H75" s="11" t="e">
        <f ca="1">IF(History!L$2="","",#REF!*$C$75)</f>
        <v>#REF!</v>
      </c>
      <c r="I75" s="11" t="e">
        <f ca="1">IF(History!M$2="","",#REF!*$C$75)</f>
        <v>#REF!</v>
      </c>
      <c r="J75" s="11" t="e">
        <f ca="1">IF(History!N$2="","",#REF!*$C$75)</f>
        <v>#REF!</v>
      </c>
      <c r="K75" s="11" t="e">
        <f ca="1">IF(History!O$2="","",#REF!*$C$75)</f>
        <v>#REF!</v>
      </c>
      <c r="L75" s="11" t="e">
        <f ca="1">IF(History!P$2="","",#REF!*$C$75)</f>
        <v>#REF!</v>
      </c>
      <c r="M75" s="11" t="e">
        <f ca="1">IF(History!Q$2="","",#REF!*$C$75)</f>
        <v>#REF!</v>
      </c>
      <c r="N75" s="11" t="e">
        <f ca="1">IF(History!R$2="","",#REF!*$C$75)</f>
        <v>#REF!</v>
      </c>
      <c r="O75" s="11" t="e">
        <f ca="1">IF(History!S$2="","",#REF!*$C$75)</f>
        <v>#REF!</v>
      </c>
      <c r="P75" s="11" t="e">
        <f ca="1">IF(History!T$2="","",#REF!*$C$75)</f>
        <v>#REF!</v>
      </c>
      <c r="Q75" s="11" t="e">
        <f ca="1">IF(History!U$2="","",#REF!*$C$75)</f>
        <v>#REF!</v>
      </c>
      <c r="R75" s="11" t="e">
        <f ca="1">IF(History!V$2="","",#REF!*$C$75)</f>
        <v>#REF!</v>
      </c>
      <c r="S75" s="11" t="e">
        <f ca="1">IF(History!W$2="","",#REF!*$C$75)</f>
        <v>#REF!</v>
      </c>
      <c r="T75" s="11" t="e">
        <f ca="1">IF(History!X$2="","",#REF!*$C$75)</f>
        <v>#REF!</v>
      </c>
      <c r="U75" s="11" t="e">
        <f ca="1">IF(History!Y$2="","",#REF!*$C$75)</f>
        <v>#REF!</v>
      </c>
      <c r="V75" s="11" t="e">
        <f ca="1">IF(History!Z$2="","",#REF!*$C$75)</f>
        <v>#REF!</v>
      </c>
      <c r="W75" s="11" t="e">
        <f ca="1">IF(History!AA$2="","",#REF!*$C$75)</f>
        <v>#REF!</v>
      </c>
      <c r="X75" s="11" t="e">
        <f ca="1">IF(History!AB$2="","",#REF!*$C$75)</f>
        <v>#REF!</v>
      </c>
      <c r="Y75" s="11" t="e">
        <f ca="1">IF(History!AC$2="","",#REF!*$C$75)</f>
        <v>#REF!</v>
      </c>
      <c r="Z75" s="11" t="e">
        <f ca="1">IF(History!AD$2="","",#REF!*$C$75)</f>
        <v>#REF!</v>
      </c>
      <c r="AA75" s="11" t="e">
        <f ca="1">IF(History!AE$2="","",#REF!*$C$75)</f>
        <v>#REF!</v>
      </c>
      <c r="AB75" s="11" t="e">
        <f ca="1">IF(History!AF$2="","",#REF!*$C$75)</f>
        <v>#REF!</v>
      </c>
      <c r="AC75" s="11" t="e">
        <f ca="1">IF(History!AG$2="","",#REF!*$C$75)</f>
        <v>#REF!</v>
      </c>
      <c r="AD75" s="11" t="e">
        <f ca="1">IF(History!AH$2="","",#REF!*$C$75)</f>
        <v>#REF!</v>
      </c>
      <c r="AE75" s="11" t="e">
        <f ca="1">IF(History!AI$2="","",#REF!*$C$75)</f>
        <v>#REF!</v>
      </c>
      <c r="AF75" s="11" t="e">
        <f ca="1">IF(History!AJ$2="","",#REF!*$C$75)</f>
        <v>#REF!</v>
      </c>
      <c r="AG75" s="11" t="e">
        <f ca="1">IF(History!AK$2="","",#REF!*$C$75)</f>
        <v>#REF!</v>
      </c>
      <c r="AH75" s="11" t="e">
        <f ca="1">IF(History!AL$2="","",#REF!*$C$75)</f>
        <v>#REF!</v>
      </c>
      <c r="AI75" s="11" t="e">
        <f ca="1">IF(History!AM$2="","",#REF!*$C$75)</f>
        <v>#REF!</v>
      </c>
      <c r="AJ75" s="11" t="e">
        <f ca="1">IF(History!AN$2="","",#REF!*$C$75)</f>
        <v>#REF!</v>
      </c>
      <c r="AK75" s="11" t="e">
        <f ca="1">IF(History!AO$2="","",#REF!*$C$75)</f>
        <v>#REF!</v>
      </c>
      <c r="AL75" s="11" t="e">
        <f ca="1">IF(History!AP$2="","",#REF!*$C$75)</f>
        <v>#REF!</v>
      </c>
      <c r="AM75" s="11" t="e">
        <f ca="1">IF(History!AQ$2="","",#REF!*$C$75)</f>
        <v>#REF!</v>
      </c>
      <c r="AN75" s="11" t="e">
        <f ca="1">IF(History!AR$2="","",#REF!*$C$75)</f>
        <v>#REF!</v>
      </c>
      <c r="AO75" s="11" t="e">
        <f ca="1">IF(History!AS$2="","",#REF!*$C$75)</f>
        <v>#REF!</v>
      </c>
      <c r="AP75" s="11" t="e">
        <f ca="1">IF(History!AT$2="","",#REF!*$C$75)</f>
        <v>#REF!</v>
      </c>
      <c r="AQ75" s="11" t="e">
        <f ca="1">IF(History!AU$2="","",#REF!*$C$75)</f>
        <v>#REF!</v>
      </c>
      <c r="AR75" s="11" t="e">
        <f ca="1">IF(History!AV$2="","",#REF!*$C$75)</f>
        <v>#REF!</v>
      </c>
      <c r="AS75" s="11" t="e">
        <f ca="1">IF(History!AW$2="","",#REF!*$C$75)</f>
        <v>#REF!</v>
      </c>
      <c r="AT75" s="11" t="e">
        <f ca="1">IF(History!AX$2="","",#REF!*$C$75)</f>
        <v>#REF!</v>
      </c>
      <c r="AU75" s="11" t="e">
        <f ca="1">IF(History!AY$2="","",#REF!*$C$75)</f>
        <v>#REF!</v>
      </c>
      <c r="AV75" s="11" t="e">
        <f ca="1">IF(History!AZ$2="","",#REF!*$C$75)</f>
        <v>#REF!</v>
      </c>
      <c r="AW75" s="11" t="e">
        <f ca="1">IF(History!BA$2="","",#REF!*$C$75)</f>
        <v>#REF!</v>
      </c>
      <c r="AX75" s="11" t="e">
        <f ca="1">IF(History!BB$2="","",#REF!*$C$75)</f>
        <v>#REF!</v>
      </c>
      <c r="AY75" s="11" t="e">
        <f ca="1">IF(History!BC$2="","",#REF!*$C$75)</f>
        <v>#REF!</v>
      </c>
      <c r="AZ75" s="11" t="e">
        <f ca="1">IF(History!BD$2="","",#REF!*$C$75)</f>
        <v>#REF!</v>
      </c>
      <c r="BA75" s="11" t="e">
        <f ca="1">IF(History!BE$2="","",#REF!*$C$75)</f>
        <v>#REF!</v>
      </c>
      <c r="BB75" s="11" t="e">
        <f ca="1">IF(History!BF$2="","",#REF!*$C$75)</f>
        <v>#REF!</v>
      </c>
      <c r="BC75" s="11" t="e">
        <f ca="1">IF(History!BG$2="","",#REF!*$C$75)</f>
        <v>#REF!</v>
      </c>
      <c r="BD75" s="11" t="e">
        <f ca="1">IF(History!BH$2="","",#REF!*$C$75)</f>
        <v>#REF!</v>
      </c>
      <c r="BE75" s="11" t="e">
        <f ca="1">IF(History!BI$2="","",#REF!*$C$75)</f>
        <v>#REF!</v>
      </c>
      <c r="BF75" s="11" t="e">
        <f ca="1">IF(History!BJ$2="","",#REF!*$C$75)</f>
        <v>#REF!</v>
      </c>
      <c r="BG75" s="11" t="e">
        <f ca="1">IF(History!BK$2="","",#REF!*$C$75)</f>
        <v>#REF!</v>
      </c>
      <c r="BH75" s="11" t="e">
        <f ca="1">IF(History!BL$2="","",#REF!*$C$75)</f>
        <v>#REF!</v>
      </c>
      <c r="BI75" s="11" t="e">
        <f ca="1">IF(History!BM$2="","",#REF!*$C$75)</f>
        <v>#REF!</v>
      </c>
      <c r="BJ75" s="11" t="e">
        <f ca="1">IF(History!BN$2="","",#REF!*$C$75)</f>
        <v>#REF!</v>
      </c>
      <c r="BK75" s="11" t="e">
        <f ca="1">IF(History!BO$2="","",#REF!*$C$75)</f>
        <v>#REF!</v>
      </c>
      <c r="BL75" s="11" t="e">
        <f ca="1">IF(History!BP$2="","",#REF!*$C$75)</f>
        <v>#REF!</v>
      </c>
      <c r="BM75" s="11" t="e">
        <f ca="1">IF(History!BQ$2="","",#REF!*$C$75)</f>
        <v>#REF!</v>
      </c>
      <c r="BN75" s="11" t="e">
        <f ca="1">IF(History!BR$2="","",#REF!*$C$75)</f>
        <v>#REF!</v>
      </c>
      <c r="BO75" s="11" t="e">
        <f ca="1">IF(History!BS$2="","",#REF!*$C$75)</f>
        <v>#REF!</v>
      </c>
      <c r="BP75" s="11" t="e">
        <f ca="1">IF(History!BT$2="","",#REF!*$C$75)</f>
        <v>#REF!</v>
      </c>
      <c r="BQ75" s="11" t="e">
        <f ca="1">IF(History!BU$2="","",#REF!*$C$75)</f>
        <v>#REF!</v>
      </c>
      <c r="BR75" s="11" t="e">
        <f ca="1">IF(History!BV$2="","",#REF!*$C$75)</f>
        <v>#REF!</v>
      </c>
      <c r="BS75" s="11" t="e">
        <f ca="1">IF(History!BW$2="","",#REF!*$C$75)</f>
        <v>#REF!</v>
      </c>
      <c r="BT75" s="11" t="e">
        <f ca="1">IF(History!BX$2="","",#REF!*$C$75)</f>
        <v>#REF!</v>
      </c>
      <c r="BU75" s="11" t="e">
        <f ca="1">IF(History!BY$2="","",#REF!*$C$75)</f>
        <v>#REF!</v>
      </c>
      <c r="BV75" s="11" t="e">
        <f ca="1">IF(History!BZ$2="","",#REF!*$C$75)</f>
        <v>#REF!</v>
      </c>
      <c r="BW75" s="11" t="e">
        <f ca="1">IF(History!CA$2="","",#REF!*$C$75)</f>
        <v>#REF!</v>
      </c>
      <c r="BX75" s="11" t="e">
        <f ca="1">IF(History!CB$2="","",#REF!*$C$75)</f>
        <v>#REF!</v>
      </c>
      <c r="BY75" s="11" t="e">
        <f ca="1">IF(History!CC$2="","",#REF!*$C$75)</f>
        <v>#REF!</v>
      </c>
      <c r="BZ75" s="11" t="e">
        <f ca="1">IF(History!CD$2="","",#REF!*$C$75)</f>
        <v>#REF!</v>
      </c>
      <c r="CA75" s="11" t="e">
        <f ca="1">IF(History!CE$2="","",#REF!*$C$75)</f>
        <v>#REF!</v>
      </c>
      <c r="CB75" s="11" t="e">
        <f ca="1">IF(History!CF$2="","",#REF!*$C$75)</f>
        <v>#REF!</v>
      </c>
      <c r="CC75" s="11" t="e">
        <f ca="1">IF(History!CG$2="","",#REF!*$C$75)</f>
        <v>#REF!</v>
      </c>
      <c r="CD75" s="11" t="e">
        <f ca="1">IF(History!CH$2="","",#REF!*$C$75)</f>
        <v>#REF!</v>
      </c>
      <c r="CE75" s="11" t="e">
        <f ca="1">IF(History!CI$2="","",#REF!*$C$75)</f>
        <v>#REF!</v>
      </c>
      <c r="CF75" s="11" t="str">
        <f ca="1">IF(History!CJ$2="","",#REF!*$C$75)</f>
        <v/>
      </c>
      <c r="CG75" s="11" t="str">
        <f ca="1">IF(History!CK$2="","",#REF!*$C$75)</f>
        <v/>
      </c>
      <c r="CH75" s="11" t="str">
        <f ca="1">IF(History!CL$2="","",#REF!*$C$75)</f>
        <v/>
      </c>
      <c r="CI75" s="11" t="str">
        <f ca="1">IF(History!CM$2="","",#REF!*$C$75)</f>
        <v/>
      </c>
      <c r="CJ75" s="11" t="str">
        <f ca="1">IF(History!CN$2="","",#REF!*$C$75)</f>
        <v/>
      </c>
      <c r="CK75" s="11" t="str">
        <f ca="1">IF(History!CO$2="","",#REF!*$C$75)</f>
        <v/>
      </c>
      <c r="CL75" s="11" t="str">
        <f ca="1">IF(History!CP$2="","",#REF!*$C$75)</f>
        <v/>
      </c>
      <c r="CM75" s="11" t="str">
        <f ca="1">IF(History!CQ$2="","",#REF!*$C$75)</f>
        <v/>
      </c>
      <c r="CN75" s="11" t="str">
        <f ca="1">IF(History!CR$2="","",#REF!*$C$75)</f>
        <v/>
      </c>
      <c r="CO75" s="11" t="str">
        <f ca="1">IF(History!CS$2="","",#REF!*$C$75)</f>
        <v/>
      </c>
      <c r="CP75" s="11" t="str">
        <f ca="1">IF(History!CT$2="","",#REF!*$C$75)</f>
        <v/>
      </c>
      <c r="CQ75" s="11" t="str">
        <f ca="1">IF(History!CU$2="","",#REF!*$C$75)</f>
        <v/>
      </c>
      <c r="CR75" s="11" t="str">
        <f ca="1">IF(History!CV$2="","",#REF!*$C$75)</f>
        <v/>
      </c>
      <c r="CS75" s="11" t="str">
        <f ca="1">IF(History!CW$2="","",#REF!*$C$75)</f>
        <v/>
      </c>
      <c r="CT75" s="11" t="str">
        <f ca="1">IF(History!CX$2="","",#REF!*$C$75)</f>
        <v/>
      </c>
      <c r="CU75" s="11" t="str">
        <f ca="1">IF(History!CY$2="","",#REF!*$C$75)</f>
        <v/>
      </c>
      <c r="CV75" s="11" t="str">
        <f ca="1">IF(History!CZ$2="","",#REF!*$C$75)</f>
        <v/>
      </c>
      <c r="CW75" s="11" t="str">
        <f ca="1">IF(History!DA$2="","",#REF!*$C$75)</f>
        <v/>
      </c>
      <c r="CX75" s="11" t="str">
        <f ca="1">IF(History!DB$2="","",#REF!*$C$75)</f>
        <v/>
      </c>
      <c r="CY75" s="11" t="str">
        <f ca="1">IF(History!DC$2="","",#REF!*$C$75)</f>
        <v/>
      </c>
      <c r="CZ75" s="11" t="str">
        <f ca="1">IF(History!DD$2="","",#REF!*$C$75)</f>
        <v/>
      </c>
      <c r="DA75" s="11" t="str">
        <f ca="1">IF(History!DE$2="","",#REF!*$C$75)</f>
        <v/>
      </c>
      <c r="DB75" s="11" t="str">
        <f ca="1">IF(History!DF$2="","",#REF!*$C$75)</f>
        <v/>
      </c>
      <c r="DC75" s="11" t="str">
        <f ca="1">IF(History!DG$2="","",#REF!*$C$75)</f>
        <v/>
      </c>
      <c r="DD75" s="11" t="str">
        <f ca="1">IF(History!DH$2="","",#REF!*$C$75)</f>
        <v/>
      </c>
      <c r="DE75" s="11" t="str">
        <f ca="1">IF(History!DI$2="","",#REF!*$C$75)</f>
        <v/>
      </c>
      <c r="DF75" s="11" t="str">
        <f ca="1">IF(History!DJ$2="","",#REF!*$C$75)</f>
        <v/>
      </c>
      <c r="DG75" s="11" t="str">
        <f ca="1">IF(History!DK$2="","",#REF!*$C$75)</f>
        <v/>
      </c>
      <c r="DH75" s="11" t="str">
        <f ca="1">IF(History!DL$2="","",#REF!*$C$75)</f>
        <v/>
      </c>
      <c r="DI75" s="11" t="str">
        <f ca="1">IF(History!DM$2="","",#REF!*$C$75)</f>
        <v/>
      </c>
      <c r="DJ75" s="11" t="str">
        <f ca="1">IF(History!DN$2="","",#REF!*$C$75)</f>
        <v/>
      </c>
      <c r="DK75" s="11" t="str">
        <f ca="1">IF(History!DO$2="","",#REF!*$C$75)</f>
        <v/>
      </c>
      <c r="DL75" s="11" t="str">
        <f ca="1">IF(History!DP$2="","",#REF!*$C$75)</f>
        <v/>
      </c>
      <c r="DM75" s="11" t="str">
        <f ca="1">IF(History!DQ$2="","",#REF!*$C$75)</f>
        <v/>
      </c>
      <c r="DN75" s="11" t="str">
        <f ca="1">IF(History!DR$2="","",#REF!*$C$75)</f>
        <v/>
      </c>
      <c r="DO75" s="11" t="str">
        <f ca="1">IF(History!DS$2="","",#REF!*$C$75)</f>
        <v/>
      </c>
      <c r="DP75" s="11" t="str">
        <f ca="1">IF(History!DT$2="","",#REF!*$C$75)</f>
        <v/>
      </c>
      <c r="DQ75" s="11" t="str">
        <f ca="1">IF(History!DU$2="","",#REF!*$C$75)</f>
        <v/>
      </c>
      <c r="DR75" s="11" t="str">
        <f ca="1">IF(History!DV$2="","",#REF!*$C$75)</f>
        <v/>
      </c>
      <c r="DS75" s="11" t="str">
        <f ca="1">IF(History!DW$2="","",#REF!*$C$75)</f>
        <v/>
      </c>
      <c r="DT75" s="11" t="str">
        <f ca="1">IF(History!DX$2="","",#REF!*$C$75)</f>
        <v/>
      </c>
      <c r="DU75" s="11" t="str">
        <f ca="1">IF(History!DY$2="","",#REF!*$C$75)</f>
        <v/>
      </c>
      <c r="DV75" s="11" t="str">
        <f ca="1">IF(History!DZ$2="","",#REF!*$C$75)</f>
        <v/>
      </c>
      <c r="DW75" s="11" t="str">
        <f ca="1">IF(History!EA$2="","",#REF!*$C$75)</f>
        <v/>
      </c>
      <c r="DX75" s="11" t="str">
        <f ca="1">IF(History!EB$2="","",#REF!*$C$75)</f>
        <v/>
      </c>
      <c r="DY75" s="11" t="str">
        <f ca="1">IF(History!EC$2="","",#REF!*$C$75)</f>
        <v/>
      </c>
      <c r="DZ75" s="11" t="str">
        <f ca="1">IF(History!ED$2="","",#REF!*$C$75)</f>
        <v/>
      </c>
      <c r="EA75" s="11" t="str">
        <f ca="1">IF(History!EE$2="","",#REF!*$C$75)</f>
        <v/>
      </c>
      <c r="EB75" s="11" t="str">
        <f ca="1">IF(History!EF$2="","",#REF!*$C$75)</f>
        <v/>
      </c>
      <c r="EC75" s="11" t="str">
        <f ca="1">IF(History!EG$2="","",#REF!*$C$75)</f>
        <v/>
      </c>
      <c r="ED75" s="11" t="str">
        <f ca="1">IF(History!EH$2="","",#REF!*$C$75)</f>
        <v/>
      </c>
      <c r="EE75" s="11" t="str">
        <f ca="1">IF(History!EI$2="","",#REF!*$C$75)</f>
        <v/>
      </c>
      <c r="EF75" s="11" t="str">
        <f ca="1">IF(History!EJ$2="","",#REF!*$C$75)</f>
        <v/>
      </c>
      <c r="EG75" s="11" t="str">
        <f ca="1">IF(History!EK$2="","",#REF!*$C$75)</f>
        <v/>
      </c>
      <c r="EH75" s="11" t="str">
        <f ca="1">IF(History!EL$2="","",#REF!*$C$75)</f>
        <v/>
      </c>
      <c r="EI75" s="11" t="str">
        <f ca="1">IF(History!EM$2="","",#REF!*$C$75)</f>
        <v/>
      </c>
      <c r="EJ75" s="11" t="str">
        <f ca="1">IF(History!EN$2="","",#REF!*$C$75)</f>
        <v/>
      </c>
      <c r="EK75" s="11" t="str">
        <f ca="1">IF(History!EO$2="","",#REF!*$C$75)</f>
        <v/>
      </c>
      <c r="EL75" s="11" t="str">
        <f ca="1">IF(History!EP$2="","",#REF!*$C$75)</f>
        <v/>
      </c>
      <c r="EM75" s="11" t="str">
        <f ca="1">IF(History!EQ$2="","",#REF!*$C$75)</f>
        <v/>
      </c>
      <c r="EN75" s="11" t="str">
        <f ca="1">IF(History!ER$2="","",#REF!*$C$75)</f>
        <v/>
      </c>
      <c r="EO75" s="11" t="str">
        <f ca="1">IF(History!ES$2="","",#REF!*$C$75)</f>
        <v/>
      </c>
      <c r="EP75" s="11" t="str">
        <f ca="1">IF(History!ET$2="","",#REF!*$C$75)</f>
        <v/>
      </c>
      <c r="EQ75" s="11" t="str">
        <f ca="1">IF(History!EU$2="","",#REF!*$C$75)</f>
        <v/>
      </c>
      <c r="ER75" s="11" t="str">
        <f ca="1">IF(History!EV$2="","",#REF!*$C$75)</f>
        <v/>
      </c>
      <c r="ES75" s="11" t="str">
        <f ca="1">IF(History!EW$2="","",#REF!*$C$75)</f>
        <v/>
      </c>
      <c r="ET75" s="11" t="str">
        <f ca="1">IF(History!EX$2="","",#REF!*$C$75)</f>
        <v/>
      </c>
      <c r="EU75" s="11" t="str">
        <f ca="1">IF(History!EY$2="","",#REF!*$C$75)</f>
        <v/>
      </c>
      <c r="EV75" s="11" t="str">
        <f ca="1">IF(History!EZ$2="","",#REF!*$C$75)</f>
        <v/>
      </c>
      <c r="EW75" s="11" t="str">
        <f ca="1">IF(History!FA$2="","",#REF!*$C$75)</f>
        <v/>
      </c>
      <c r="EX75" s="11" t="str">
        <f ca="1">IF(History!FB$2="","",#REF!*$C$75)</f>
        <v/>
      </c>
      <c r="EY75" s="11" t="str">
        <f ca="1">IF(History!FC$2="","",#REF!*$C$75)</f>
        <v/>
      </c>
      <c r="EZ75" s="11" t="str">
        <f ca="1">IF(History!FD$2="","",#REF!*$C$75)</f>
        <v/>
      </c>
      <c r="FA75" s="11" t="str">
        <f ca="1">IF(History!FE$2="","",#REF!*$C$75)</f>
        <v/>
      </c>
      <c r="FB75" s="11" t="str">
        <f ca="1">IF(History!FF$2="","",#REF!*$C$75)</f>
        <v/>
      </c>
      <c r="FC75" s="11" t="str">
        <f ca="1">IF(History!FG$2="","",#REF!*$C$75)</f>
        <v/>
      </c>
      <c r="FD75" s="11" t="str">
        <f ca="1">IF(History!FH$2="","",#REF!*$C$75)</f>
        <v/>
      </c>
      <c r="FE75" s="11" t="str">
        <f ca="1">IF(History!FI$2="","",#REF!*$C$75)</f>
        <v/>
      </c>
      <c r="FF75" s="11" t="str">
        <f ca="1">IF(History!FJ$2="","",#REF!*$C$75)</f>
        <v/>
      </c>
      <c r="FG75" s="11" t="str">
        <f ca="1">IF(History!FK$2="","",#REF!*$C$75)</f>
        <v/>
      </c>
      <c r="FH75" s="11" t="str">
        <f ca="1">IF(History!FL$2="","",#REF!*$C$75)</f>
        <v/>
      </c>
      <c r="FI75" s="11" t="str">
        <f ca="1">IF(History!FM$2="","",#REF!*$C$75)</f>
        <v/>
      </c>
      <c r="FJ75" s="11" t="str">
        <f ca="1">IF(History!FN$2="","",#REF!*$C$75)</f>
        <v/>
      </c>
      <c r="FK75" s="11" t="str">
        <f ca="1">IF(History!FO$2="","",#REF!*$C$75)</f>
        <v/>
      </c>
      <c r="FL75" s="11" t="str">
        <f ca="1">IF(History!FP$2="","",#REF!*$C$75)</f>
        <v/>
      </c>
      <c r="FM75" s="11" t="str">
        <f ca="1">IF(History!FQ$2="","",#REF!*$C$75)</f>
        <v/>
      </c>
      <c r="FN75" s="11" t="str">
        <f ca="1">IF(History!FR$2="","",#REF!*$C$75)</f>
        <v/>
      </c>
      <c r="FO75" s="11" t="str">
        <f ca="1">IF(History!FS$2="","",#REF!*$C$75)</f>
        <v/>
      </c>
      <c r="FP75" s="11" t="str">
        <f ca="1">IF(History!FT$2="","",#REF!*$C$75)</f>
        <v/>
      </c>
      <c r="FQ75" s="11" t="str">
        <f ca="1">IF(History!FU$2="","",#REF!*$C$75)</f>
        <v/>
      </c>
      <c r="FR75" s="11" t="str">
        <f ca="1">IF(History!FV$2="","",#REF!*$C$75)</f>
        <v/>
      </c>
      <c r="FS75" s="11" t="str">
        <f ca="1">IF(History!FW$2="","",#REF!*$C$75)</f>
        <v/>
      </c>
      <c r="FT75" s="11" t="str">
        <f ca="1">IF(History!FX$2="","",#REF!*$C$75)</f>
        <v/>
      </c>
      <c r="FU75" s="11" t="str">
        <f ca="1">IF(History!FY$2="","",#REF!*$C$75)</f>
        <v/>
      </c>
      <c r="FV75" s="11" t="str">
        <f ca="1">IF(History!FZ$2="","",#REF!*$C$75)</f>
        <v/>
      </c>
      <c r="FW75" s="11" t="str">
        <f ca="1">IF(History!GA$2="","",#REF!*$C$75)</f>
        <v/>
      </c>
      <c r="FX75" s="11" t="str">
        <f ca="1">IF(History!GB$2="","",#REF!*$C$75)</f>
        <v/>
      </c>
      <c r="FY75" s="11" t="str">
        <f ca="1">IF(History!GC$2="","",#REF!*$C$75)</f>
        <v/>
      </c>
      <c r="FZ75" s="11" t="str">
        <f ca="1">IF(History!GD$2="","",#REF!*$C$75)</f>
        <v/>
      </c>
      <c r="GA75" s="11" t="str">
        <f ca="1">IF(History!GE$2="","",#REF!*$C$75)</f>
        <v/>
      </c>
      <c r="GB75" s="11" t="str">
        <f ca="1">IF(History!GF$2="","",#REF!*$C$75)</f>
        <v/>
      </c>
      <c r="GC75" s="11" t="str">
        <f ca="1">IF(History!GG$2="","",#REF!*$C$75)</f>
        <v/>
      </c>
      <c r="GD75" s="11" t="str">
        <f ca="1">IF(History!GH$2="","",#REF!*$C$75)</f>
        <v/>
      </c>
      <c r="GE75" s="11" t="str">
        <f ca="1">IF(History!GI$2="","",#REF!*$C$75)</f>
        <v/>
      </c>
      <c r="GF75" s="11" t="str">
        <f ca="1">IF(History!GJ$2="","",#REF!*$C$75)</f>
        <v/>
      </c>
      <c r="GG75" s="11" t="str">
        <f ca="1">IF(History!GK$2="","",#REF!*$C$75)</f>
        <v/>
      </c>
      <c r="GH75" s="11" t="str">
        <f ca="1">IF(History!GL$2="","",#REF!*$C$75)</f>
        <v/>
      </c>
      <c r="GI75" s="11" t="str">
        <f ca="1">IF(History!GM$2="","",#REF!*$C$75)</f>
        <v/>
      </c>
      <c r="GJ75" s="11" t="str">
        <f ca="1">IF(History!GN$2="","",#REF!*$C$75)</f>
        <v/>
      </c>
      <c r="GK75" s="11" t="str">
        <f ca="1">IF(History!GO$2="","",#REF!*$C$75)</f>
        <v/>
      </c>
      <c r="GL75" s="11" t="str">
        <f ca="1">IF(History!GP$2="","",#REF!*$C$75)</f>
        <v/>
      </c>
      <c r="GM75" s="11" t="str">
        <f ca="1">IF(History!GQ$2="","",#REF!*$C$75)</f>
        <v/>
      </c>
      <c r="GN75" s="11" t="str">
        <f ca="1">IF(History!GR$2="","",#REF!*$C$75)</f>
        <v/>
      </c>
      <c r="GO75" s="11" t="str">
        <f ca="1">IF(History!GS$2="","",#REF!*$C$75)</f>
        <v/>
      </c>
      <c r="GP75" s="11" t="str">
        <f ca="1">IF(History!GT$2="","",#REF!*$C$75)</f>
        <v/>
      </c>
      <c r="GQ75" s="11" t="str">
        <f ca="1">IF(History!GU$2="","",#REF!*$C$75)</f>
        <v/>
      </c>
      <c r="GR75" s="11" t="str">
        <f ca="1">IF(History!GV$2="","",#REF!*$C$75)</f>
        <v/>
      </c>
      <c r="GS75" s="11" t="str">
        <f ca="1">IF(History!GW$2="","",#REF!*$C$75)</f>
        <v/>
      </c>
      <c r="GT75" s="11" t="str">
        <f ca="1">IF(History!GX$2="","",#REF!*$C$75)</f>
        <v/>
      </c>
      <c r="GU75" s="11" t="str">
        <f ca="1">IF(History!GY$2="","",#REF!*$C$75)</f>
        <v/>
      </c>
      <c r="GV75" s="11" t="str">
        <f ca="1">IF(History!GZ$2="","",#REF!*$C$75)</f>
        <v/>
      </c>
      <c r="GW75" s="11" t="str">
        <f ca="1">IF(History!HA$2="","",#REF!*$C$75)</f>
        <v/>
      </c>
      <c r="GX75" s="11" t="str">
        <f ca="1">IF(History!HB$2="","",#REF!*$C$75)</f>
        <v/>
      </c>
      <c r="GY75" s="11" t="str">
        <f ca="1">IF(History!HC$2="","",#REF!*$C$75)</f>
        <v/>
      </c>
      <c r="GZ75" s="11" t="str">
        <f ca="1">IF(History!HD$2="","",#REF!*$C$75)</f>
        <v/>
      </c>
      <c r="HA75" s="11" t="str">
        <f ca="1">IF(History!HE$2="","",#REF!*$C$75)</f>
        <v/>
      </c>
      <c r="HB75" s="11" t="str">
        <f ca="1">IF(History!HF$2="","",#REF!*$C$75)</f>
        <v/>
      </c>
      <c r="HC75" s="11" t="str">
        <f ca="1">IF(History!HG$2="","",#REF!*$C$75)</f>
        <v/>
      </c>
      <c r="HD75" s="11" t="str">
        <f ca="1">IF(History!HH$2="","",#REF!*$C$75)</f>
        <v/>
      </c>
      <c r="HE75" s="11" t="str">
        <f ca="1">IF(History!HI$2="","",#REF!*$C$75)</f>
        <v/>
      </c>
      <c r="HF75" s="11" t="str">
        <f ca="1">IF(History!HJ$2="","",#REF!*$C$75)</f>
        <v/>
      </c>
      <c r="HG75" s="11" t="str">
        <f ca="1">IF(History!HK$2="","",#REF!*$C$75)</f>
        <v/>
      </c>
      <c r="HH75" s="11" t="str">
        <f ca="1">IF(History!HL$2="","",#REF!*$C$75)</f>
        <v/>
      </c>
      <c r="HI75" s="11" t="str">
        <f ca="1">IF(History!HM$2="","",#REF!*$C$75)</f>
        <v/>
      </c>
      <c r="HJ75" s="11" t="str">
        <f ca="1">IF(History!HN$2="","",#REF!*$C$75)</f>
        <v/>
      </c>
      <c r="HK75" s="11" t="str">
        <f ca="1">IF(History!HO$2="","",#REF!*$C$75)</f>
        <v/>
      </c>
      <c r="HL75" s="11" t="str">
        <f ca="1">IF(History!HP$2="","",#REF!*$C$75)</f>
        <v/>
      </c>
      <c r="HM75" s="11" t="str">
        <f ca="1">IF(History!HQ$2="","",#REF!*$C$75)</f>
        <v/>
      </c>
      <c r="HN75" s="11" t="str">
        <f ca="1">IF(History!HR$2="","",#REF!*$C$75)</f>
        <v/>
      </c>
      <c r="HO75" s="11" t="str">
        <f ca="1">IF(History!HS$2="","",#REF!*$C$75)</f>
        <v/>
      </c>
      <c r="HP75" s="11" t="str">
        <f ca="1">IF(History!HT$2="","",#REF!*$C$75)</f>
        <v/>
      </c>
      <c r="HQ75" s="11" t="str">
        <f ca="1">IF(History!HU$2="","",#REF!*$C$75)</f>
        <v/>
      </c>
      <c r="HR75" s="11" t="str">
        <f ca="1">IF(History!HV$2="","",#REF!*$C$75)</f>
        <v/>
      </c>
      <c r="HS75" s="11" t="str">
        <f ca="1">IF(History!HW$2="","",#REF!*$C$75)</f>
        <v/>
      </c>
      <c r="HT75" s="11" t="str">
        <f ca="1">IF(History!HX$2="","",#REF!*$C$75)</f>
        <v/>
      </c>
      <c r="HU75" s="11" t="str">
        <f ca="1">IF(History!HY$2="","",#REF!*$C$75)</f>
        <v/>
      </c>
      <c r="HV75" s="11" t="str">
        <f ca="1">IF(History!HZ$2="","",#REF!*$C$75)</f>
        <v/>
      </c>
      <c r="HW75" s="11" t="str">
        <f ca="1">IF(History!IA$2="","",#REF!*$C$75)</f>
        <v/>
      </c>
      <c r="HX75" s="11" t="str">
        <f ca="1">IF(History!IB$2="","",#REF!*$C$75)</f>
        <v/>
      </c>
      <c r="HY75" s="11" t="str">
        <f ca="1">IF(History!IC$2="","",#REF!*$C$75)</f>
        <v/>
      </c>
      <c r="HZ75" s="11" t="str">
        <f ca="1">IF(History!ID$2="","",#REF!*$C$75)</f>
        <v/>
      </c>
      <c r="IA75" s="11" t="str">
        <f ca="1">IF(History!IE$2="","",#REF!*$C$75)</f>
        <v/>
      </c>
      <c r="IB75" s="11" t="str">
        <f ca="1">IF(History!IF$2="","",#REF!*$C$75)</f>
        <v/>
      </c>
      <c r="IC75" s="11" t="str">
        <f ca="1">IF(History!IG$2="","",#REF!*$C$75)</f>
        <v/>
      </c>
      <c r="ID75" s="11" t="str">
        <f ca="1">IF(History!IH$2="","",#REF!*$C$75)</f>
        <v/>
      </c>
      <c r="IE75" s="11" t="str">
        <f ca="1">IF(History!II$2="","",#REF!*$C$75)</f>
        <v/>
      </c>
      <c r="IF75" s="11" t="str">
        <f ca="1">IF(History!IJ$2="","",#REF!*$C$75)</f>
        <v/>
      </c>
      <c r="IG75" s="11" t="str">
        <f ca="1">IF(History!IK$2="","",#REF!*$C$75)</f>
        <v/>
      </c>
      <c r="IH75" s="11" t="str">
        <f ca="1">IF(History!IL$2="","",#REF!*$C$75)</f>
        <v/>
      </c>
      <c r="II75" s="11" t="str">
        <f ca="1">IF(History!IM$2="","",#REF!*$C$75)</f>
        <v/>
      </c>
      <c r="IJ75" s="11" t="str">
        <f ca="1">IF(History!IN$2="","",#REF!*$C$75)</f>
        <v/>
      </c>
      <c r="IK75" s="11" t="str">
        <f ca="1">IF(History!IO$2="","",#REF!*$C$75)</f>
        <v/>
      </c>
      <c r="IL75" s="11" t="str">
        <f ca="1">IF(History!IP$2="","",#REF!*$C$75)</f>
        <v/>
      </c>
      <c r="IM75" s="11" t="str">
        <f ca="1">IF(History!IQ$2="","",#REF!*$C$75)</f>
        <v/>
      </c>
      <c r="IN75" s="11" t="str">
        <f ca="1">IF(History!IR$2="","",#REF!*$C$75)</f>
        <v/>
      </c>
      <c r="IO75" s="11" t="str">
        <f ca="1">IF(History!IS$2="","",#REF!*$C$75)</f>
        <v/>
      </c>
      <c r="IP75" s="11" t="str">
        <f ca="1">IF(History!IT$2="","",#REF!*$C$75)</f>
        <v/>
      </c>
      <c r="IQ75" s="11" t="str">
        <f ca="1">IF(History!IU$2="","",#REF!*$C$75)</f>
        <v/>
      </c>
      <c r="IR75" s="11" t="str">
        <f ca="1">IF(History!IV$2="","",#REF!*$C$75)</f>
        <v/>
      </c>
      <c r="IS75" s="11" t="str">
        <f ca="1">IF(History!IW$2="","",#REF!*$C$75)</f>
        <v/>
      </c>
      <c r="IT75" s="11" t="str">
        <f ca="1">IF(History!IX$2="","",#REF!*$C$75)</f>
        <v/>
      </c>
      <c r="IU75" s="11" t="str">
        <f ca="1">IF(History!IY$2="","",#REF!*$C$75)</f>
        <v/>
      </c>
      <c r="IV75" s="11" t="str">
        <f ca="1">IF(History!IZ$2="","",#REF!*$C$75)</f>
        <v/>
      </c>
      <c r="IW75" s="11" t="str">
        <f ca="1">IF(History!JA$2="","",#REF!*$C$75)</f>
        <v/>
      </c>
      <c r="IX75" s="11" t="str">
        <f ca="1">IF(History!JB$2="","",#REF!*$C$75)</f>
        <v/>
      </c>
      <c r="IY75" s="11" t="str">
        <f ca="1">IF(History!JC$2="","",#REF!*$C$75)</f>
        <v/>
      </c>
      <c r="IZ75" s="11" t="str">
        <f ca="1">IF(History!JD$2="","",#REF!*$C$75)</f>
        <v/>
      </c>
      <c r="JA75" s="11" t="str">
        <f ca="1">IF(History!JE$2="","",#REF!*$C$75)</f>
        <v/>
      </c>
      <c r="JB75" s="11" t="str">
        <f ca="1">IF(History!JF$2="","",#REF!*$C$75)</f>
        <v/>
      </c>
      <c r="JC75" s="11" t="str">
        <f ca="1">IF(History!JG$2="","",#REF!*$C$75)</f>
        <v/>
      </c>
      <c r="JD75" s="11" t="str">
        <f ca="1">IF(History!JH$2="","",#REF!*$C$75)</f>
        <v/>
      </c>
      <c r="JE75" s="11" t="str">
        <f ca="1">IF(History!JI$2="","",#REF!*$C$75)</f>
        <v/>
      </c>
      <c r="JF75" s="11" t="str">
        <f ca="1">IF(History!JJ$2="","",#REF!*$C$75)</f>
        <v/>
      </c>
      <c r="JG75" s="11" t="str">
        <f ca="1">IF(History!JK$2="","",#REF!*$C$75)</f>
        <v/>
      </c>
      <c r="JH75" s="11" t="str">
        <f ca="1">IF(History!JL$2="","",#REF!*$C$75)</f>
        <v/>
      </c>
      <c r="JI75" s="11" t="str">
        <f ca="1">IF(History!JM$2="","",#REF!*$C$75)</f>
        <v/>
      </c>
      <c r="JJ75" s="11" t="str">
        <f ca="1">IF(History!JN$2="","",#REF!*$C$75)</f>
        <v/>
      </c>
      <c r="JK75" s="11" t="str">
        <f ca="1">IF(History!JO$2="","",#REF!*$C$75)</f>
        <v/>
      </c>
      <c r="JL75" s="11" t="str">
        <f ca="1">IF(History!JP$2="","",#REF!*$C$75)</f>
        <v/>
      </c>
      <c r="JM75" s="11" t="str">
        <f ca="1">IF(History!JQ$2="","",#REF!*$C$75)</f>
        <v/>
      </c>
      <c r="JN75" s="11" t="str">
        <f ca="1">IF(History!JR$2="","",#REF!*$C$75)</f>
        <v/>
      </c>
      <c r="JO75" s="11" t="str">
        <f ca="1">IF(History!JS$2="","",#REF!*$C$75)</f>
        <v/>
      </c>
      <c r="JP75" s="11" t="str">
        <f ca="1">IF(History!JT$2="","",#REF!*$C$75)</f>
        <v/>
      </c>
      <c r="JQ75" s="11" t="str">
        <f ca="1">IF(History!JU$2="","",#REF!*$C$75)</f>
        <v/>
      </c>
      <c r="JR75" s="11" t="str">
        <f ca="1">IF(History!JV$2="","",#REF!*$C$75)</f>
        <v/>
      </c>
      <c r="JS75" s="11" t="str">
        <f ca="1">IF(History!JW$2="","",#REF!*$C$75)</f>
        <v/>
      </c>
      <c r="JT75" s="11" t="str">
        <f ca="1">IF(History!JX$2="","",#REF!*$C$75)</f>
        <v/>
      </c>
      <c r="JU75" s="11" t="str">
        <f ca="1">IF(History!JY$2="","",#REF!*$C$75)</f>
        <v/>
      </c>
      <c r="JV75" s="11" t="str">
        <f ca="1">IF(History!JZ$2="","",#REF!*$C$75)</f>
        <v/>
      </c>
      <c r="JW75" s="11" t="str">
        <f ca="1">IF(History!KA$2="","",#REF!*$C$75)</f>
        <v/>
      </c>
      <c r="JX75" s="11" t="str">
        <f ca="1">IF(History!KB$2="","",#REF!*$C$75)</f>
        <v/>
      </c>
      <c r="JY75" s="11" t="str">
        <f ca="1">IF(History!KC$2="","",#REF!*$C$75)</f>
        <v/>
      </c>
      <c r="JZ75" s="11" t="str">
        <f ca="1">IF(History!KD$2="","",#REF!*$C$75)</f>
        <v/>
      </c>
      <c r="KA75" s="11" t="str">
        <f ca="1">IF(History!KE$2="","",#REF!*$C$75)</f>
        <v/>
      </c>
      <c r="KB75" s="11" t="str">
        <f ca="1">IF(History!KF$2="","",#REF!*$C$75)</f>
        <v/>
      </c>
    </row>
    <row r="76" spans="1:288" ht="13">
      <c r="A76" s="18" t="s">
        <v>140</v>
      </c>
      <c r="B76" s="6" t="s">
        <v>154</v>
      </c>
      <c r="C76" s="26">
        <v>79</v>
      </c>
      <c r="D76" s="11" t="e">
        <f ca="1">IF(History!H$2="","",#REF!*$C$76)</f>
        <v>#REF!</v>
      </c>
      <c r="E76" s="11" t="e">
        <f ca="1">IF(History!I$2="","",#REF!*$C$76)</f>
        <v>#REF!</v>
      </c>
      <c r="F76" s="11" t="e">
        <f ca="1">IF(History!J$2="","",#REF!*$C$76)</f>
        <v>#REF!</v>
      </c>
      <c r="G76" s="11" t="e">
        <f ca="1">IF(History!K$2="","",#REF!*$C$76)</f>
        <v>#REF!</v>
      </c>
      <c r="H76" s="11" t="e">
        <f ca="1">IF(History!L$2="","",#REF!*$C$76)</f>
        <v>#REF!</v>
      </c>
      <c r="I76" s="11" t="e">
        <f ca="1">IF(History!M$2="","",#REF!*$C$76)</f>
        <v>#REF!</v>
      </c>
      <c r="J76" s="11" t="e">
        <f ca="1">IF(History!N$2="","",#REF!*$C$76)</f>
        <v>#REF!</v>
      </c>
      <c r="K76" s="11" t="e">
        <f ca="1">IF(History!O$2="","",#REF!*$C$76)</f>
        <v>#REF!</v>
      </c>
      <c r="L76" s="11" t="e">
        <f ca="1">IF(History!P$2="","",#REF!*$C$76)</f>
        <v>#REF!</v>
      </c>
      <c r="M76" s="11" t="e">
        <f ca="1">IF(History!Q$2="","",#REF!*$C$76)</f>
        <v>#REF!</v>
      </c>
      <c r="N76" s="11" t="e">
        <f ca="1">IF(History!R$2="","",#REF!*$C$76)</f>
        <v>#REF!</v>
      </c>
      <c r="O76" s="11" t="e">
        <f ca="1">IF(History!S$2="","",#REF!*$C$76)</f>
        <v>#REF!</v>
      </c>
      <c r="P76" s="11" t="e">
        <f ca="1">IF(History!T$2="","",#REF!*$C$76)</f>
        <v>#REF!</v>
      </c>
      <c r="Q76" s="11" t="e">
        <f ca="1">IF(History!U$2="","",#REF!*$C$76)</f>
        <v>#REF!</v>
      </c>
      <c r="R76" s="11" t="e">
        <f ca="1">IF(History!V$2="","",#REF!*$C$76)</f>
        <v>#REF!</v>
      </c>
      <c r="S76" s="11" t="e">
        <f ca="1">IF(History!W$2="","",#REF!*$C$76)</f>
        <v>#REF!</v>
      </c>
      <c r="T76" s="11" t="e">
        <f ca="1">IF(History!X$2="","",#REF!*$C$76)</f>
        <v>#REF!</v>
      </c>
      <c r="U76" s="11" t="e">
        <f ca="1">IF(History!Y$2="","",#REF!*$C$76)</f>
        <v>#REF!</v>
      </c>
      <c r="V76" s="11" t="e">
        <f ca="1">IF(History!Z$2="","",#REF!*$C$76)</f>
        <v>#REF!</v>
      </c>
      <c r="W76" s="11" t="e">
        <f ca="1">IF(History!AA$2="","",#REF!*$C$76)</f>
        <v>#REF!</v>
      </c>
      <c r="X76" s="11" t="e">
        <f ca="1">IF(History!AB$2="","",#REF!*$C$76)</f>
        <v>#REF!</v>
      </c>
      <c r="Y76" s="11" t="e">
        <f ca="1">IF(History!AC$2="","",#REF!*$C$76)</f>
        <v>#REF!</v>
      </c>
      <c r="Z76" s="11" t="e">
        <f ca="1">IF(History!AD$2="","",#REF!*$C$76)</f>
        <v>#REF!</v>
      </c>
      <c r="AA76" s="11" t="e">
        <f ca="1">IF(History!AE$2="","",#REF!*$C$76)</f>
        <v>#REF!</v>
      </c>
      <c r="AB76" s="11" t="e">
        <f ca="1">IF(History!AF$2="","",#REF!*$C$76)</f>
        <v>#REF!</v>
      </c>
      <c r="AC76" s="11" t="e">
        <f ca="1">IF(History!AG$2="","",#REF!*$C$76)</f>
        <v>#REF!</v>
      </c>
      <c r="AD76" s="11" t="e">
        <f ca="1">IF(History!AH$2="","",#REF!*$C$76)</f>
        <v>#REF!</v>
      </c>
      <c r="AE76" s="11" t="e">
        <f ca="1">IF(History!AI$2="","",#REF!*$C$76)</f>
        <v>#REF!</v>
      </c>
      <c r="AF76" s="11" t="e">
        <f ca="1">IF(History!AJ$2="","",#REF!*$C$76)</f>
        <v>#REF!</v>
      </c>
      <c r="AG76" s="11" t="e">
        <f ca="1">IF(History!AK$2="","",#REF!*$C$76)</f>
        <v>#REF!</v>
      </c>
      <c r="AH76" s="11" t="e">
        <f ca="1">IF(History!AL$2="","",#REF!*$C$76)</f>
        <v>#REF!</v>
      </c>
      <c r="AI76" s="11" t="e">
        <f ca="1">IF(History!AM$2="","",#REF!*$C$76)</f>
        <v>#REF!</v>
      </c>
      <c r="AJ76" s="11" t="e">
        <f ca="1">IF(History!AN$2="","",#REF!*$C$76)</f>
        <v>#REF!</v>
      </c>
      <c r="AK76" s="11" t="e">
        <f ca="1">IF(History!AO$2="","",#REF!*$C$76)</f>
        <v>#REF!</v>
      </c>
      <c r="AL76" s="11" t="e">
        <f ca="1">IF(History!AP$2="","",#REF!*$C$76)</f>
        <v>#REF!</v>
      </c>
      <c r="AM76" s="11" t="e">
        <f ca="1">IF(History!AQ$2="","",#REF!*$C$76)</f>
        <v>#REF!</v>
      </c>
      <c r="AN76" s="11" t="e">
        <f ca="1">IF(History!AR$2="","",#REF!*$C$76)</f>
        <v>#REF!</v>
      </c>
      <c r="AO76" s="11" t="e">
        <f ca="1">IF(History!AS$2="","",#REF!*$C$76)</f>
        <v>#REF!</v>
      </c>
      <c r="AP76" s="11" t="e">
        <f ca="1">IF(History!AT$2="","",#REF!*$C$76)</f>
        <v>#REF!</v>
      </c>
      <c r="AQ76" s="11" t="e">
        <f ca="1">IF(History!AU$2="","",#REF!*$C$76)</f>
        <v>#REF!</v>
      </c>
      <c r="AR76" s="11" t="e">
        <f ca="1">IF(History!AV$2="","",#REF!*$C$76)</f>
        <v>#REF!</v>
      </c>
      <c r="AS76" s="11" t="e">
        <f ca="1">IF(History!AW$2="","",#REF!*$C$76)</f>
        <v>#REF!</v>
      </c>
      <c r="AT76" s="11" t="e">
        <f ca="1">IF(History!AX$2="","",#REF!*$C$76)</f>
        <v>#REF!</v>
      </c>
      <c r="AU76" s="11" t="e">
        <f ca="1">IF(History!AY$2="","",#REF!*$C$76)</f>
        <v>#REF!</v>
      </c>
      <c r="AV76" s="11" t="e">
        <f ca="1">IF(History!AZ$2="","",#REF!*$C$76)</f>
        <v>#REF!</v>
      </c>
      <c r="AW76" s="11" t="e">
        <f ca="1">IF(History!BA$2="","",#REF!*$C$76)</f>
        <v>#REF!</v>
      </c>
      <c r="AX76" s="11" t="e">
        <f ca="1">IF(History!BB$2="","",#REF!*$C$76)</f>
        <v>#REF!</v>
      </c>
      <c r="AY76" s="11" t="e">
        <f ca="1">IF(History!BC$2="","",#REF!*$C$76)</f>
        <v>#REF!</v>
      </c>
      <c r="AZ76" s="11" t="e">
        <f ca="1">IF(History!BD$2="","",#REF!*$C$76)</f>
        <v>#REF!</v>
      </c>
      <c r="BA76" s="11" t="e">
        <f ca="1">IF(History!BE$2="","",#REF!*$C$76)</f>
        <v>#REF!</v>
      </c>
      <c r="BB76" s="11" t="e">
        <f ca="1">IF(History!BF$2="","",#REF!*$C$76)</f>
        <v>#REF!</v>
      </c>
      <c r="BC76" s="11" t="e">
        <f ca="1">IF(History!BG$2="","",#REF!*$C$76)</f>
        <v>#REF!</v>
      </c>
      <c r="BD76" s="11" t="e">
        <f ca="1">IF(History!BH$2="","",#REF!*$C$76)</f>
        <v>#REF!</v>
      </c>
      <c r="BE76" s="11" t="e">
        <f ca="1">IF(History!BI$2="","",#REF!*$C$76)</f>
        <v>#REF!</v>
      </c>
      <c r="BF76" s="11" t="e">
        <f ca="1">IF(History!BJ$2="","",#REF!*$C$76)</f>
        <v>#REF!</v>
      </c>
      <c r="BG76" s="11" t="e">
        <f ca="1">IF(History!BK$2="","",#REF!*$C$76)</f>
        <v>#REF!</v>
      </c>
      <c r="BH76" s="11" t="e">
        <f ca="1">IF(History!BL$2="","",#REF!*$C$76)</f>
        <v>#REF!</v>
      </c>
      <c r="BI76" s="11" t="e">
        <f ca="1">IF(History!BM$2="","",#REF!*$C$76)</f>
        <v>#REF!</v>
      </c>
      <c r="BJ76" s="11" t="e">
        <f ca="1">IF(History!BN$2="","",#REF!*$C$76)</f>
        <v>#REF!</v>
      </c>
      <c r="BK76" s="11" t="e">
        <f ca="1">IF(History!BO$2="","",#REF!*$C$76)</f>
        <v>#REF!</v>
      </c>
      <c r="BL76" s="11" t="e">
        <f ca="1">IF(History!BP$2="","",#REF!*$C$76)</f>
        <v>#REF!</v>
      </c>
      <c r="BM76" s="11" t="e">
        <f ca="1">IF(History!BQ$2="","",#REF!*$C$76)</f>
        <v>#REF!</v>
      </c>
      <c r="BN76" s="11" t="e">
        <f ca="1">IF(History!BR$2="","",#REF!*$C$76)</f>
        <v>#REF!</v>
      </c>
      <c r="BO76" s="11" t="e">
        <f ca="1">IF(History!BS$2="","",#REF!*$C$76)</f>
        <v>#REF!</v>
      </c>
      <c r="BP76" s="11" t="e">
        <f ca="1">IF(History!BT$2="","",#REF!*$C$76)</f>
        <v>#REF!</v>
      </c>
      <c r="BQ76" s="11" t="e">
        <f ca="1">IF(History!BU$2="","",#REF!*$C$76)</f>
        <v>#REF!</v>
      </c>
      <c r="BR76" s="11" t="e">
        <f ca="1">IF(History!BV$2="","",#REF!*$C$76)</f>
        <v>#REF!</v>
      </c>
      <c r="BS76" s="11" t="e">
        <f ca="1">IF(History!BW$2="","",#REF!*$C$76)</f>
        <v>#REF!</v>
      </c>
      <c r="BT76" s="11" t="e">
        <f ca="1">IF(History!BX$2="","",#REF!*$C$76)</f>
        <v>#REF!</v>
      </c>
      <c r="BU76" s="11" t="e">
        <f ca="1">IF(History!BY$2="","",#REF!*$C$76)</f>
        <v>#REF!</v>
      </c>
      <c r="BV76" s="11" t="e">
        <f ca="1">IF(History!BZ$2="","",#REF!*$C$76)</f>
        <v>#REF!</v>
      </c>
      <c r="BW76" s="11" t="e">
        <f ca="1">IF(History!CA$2="","",#REF!*$C$76)</f>
        <v>#REF!</v>
      </c>
      <c r="BX76" s="11" t="e">
        <f ca="1">IF(History!CB$2="","",#REF!*$C$76)</f>
        <v>#REF!</v>
      </c>
      <c r="BY76" s="11" t="e">
        <f ca="1">IF(History!CC$2="","",#REF!*$C$76)</f>
        <v>#REF!</v>
      </c>
      <c r="BZ76" s="11" t="e">
        <f ca="1">IF(History!CD$2="","",#REF!*$C$76)</f>
        <v>#REF!</v>
      </c>
      <c r="CA76" s="11" t="e">
        <f ca="1">IF(History!CE$2="","",#REF!*$C$76)</f>
        <v>#REF!</v>
      </c>
      <c r="CB76" s="11" t="e">
        <f ca="1">IF(History!CF$2="","",#REF!*$C$76)</f>
        <v>#REF!</v>
      </c>
      <c r="CC76" s="11" t="e">
        <f ca="1">IF(History!CG$2="","",#REF!*$C$76)</f>
        <v>#REF!</v>
      </c>
      <c r="CD76" s="11" t="e">
        <f ca="1">IF(History!CH$2="","",#REF!*$C$76)</f>
        <v>#REF!</v>
      </c>
      <c r="CE76" s="11" t="e">
        <f ca="1">IF(History!CI$2="","",#REF!*$C$76)</f>
        <v>#REF!</v>
      </c>
      <c r="CF76" s="11" t="str">
        <f ca="1">IF(History!CJ$2="","",#REF!*$C$76)</f>
        <v/>
      </c>
      <c r="CG76" s="11" t="str">
        <f ca="1">IF(History!CK$2="","",#REF!*$C$76)</f>
        <v/>
      </c>
      <c r="CH76" s="11" t="str">
        <f ca="1">IF(History!CL$2="","",#REF!*$C$76)</f>
        <v/>
      </c>
      <c r="CI76" s="11" t="str">
        <f ca="1">IF(History!CM$2="","",#REF!*$C$76)</f>
        <v/>
      </c>
      <c r="CJ76" s="11" t="str">
        <f ca="1">IF(History!CN$2="","",#REF!*$C$76)</f>
        <v/>
      </c>
      <c r="CK76" s="11" t="str">
        <f ca="1">IF(History!CO$2="","",#REF!*$C$76)</f>
        <v/>
      </c>
      <c r="CL76" s="11" t="str">
        <f ca="1">IF(History!CP$2="","",#REF!*$C$76)</f>
        <v/>
      </c>
      <c r="CM76" s="11" t="str">
        <f ca="1">IF(History!CQ$2="","",#REF!*$C$76)</f>
        <v/>
      </c>
      <c r="CN76" s="11" t="str">
        <f ca="1">IF(History!CR$2="","",#REF!*$C$76)</f>
        <v/>
      </c>
      <c r="CO76" s="11" t="str">
        <f ca="1">IF(History!CS$2="","",#REF!*$C$76)</f>
        <v/>
      </c>
      <c r="CP76" s="11" t="str">
        <f ca="1">IF(History!CT$2="","",#REF!*$C$76)</f>
        <v/>
      </c>
      <c r="CQ76" s="11" t="str">
        <f ca="1">IF(History!CU$2="","",#REF!*$C$76)</f>
        <v/>
      </c>
      <c r="CR76" s="11" t="str">
        <f ca="1">IF(History!CV$2="","",#REF!*$C$76)</f>
        <v/>
      </c>
      <c r="CS76" s="11" t="str">
        <f ca="1">IF(History!CW$2="","",#REF!*$C$76)</f>
        <v/>
      </c>
      <c r="CT76" s="11" t="str">
        <f ca="1">IF(History!CX$2="","",#REF!*$C$76)</f>
        <v/>
      </c>
      <c r="CU76" s="11" t="str">
        <f ca="1">IF(History!CY$2="","",#REF!*$C$76)</f>
        <v/>
      </c>
      <c r="CV76" s="11" t="str">
        <f ca="1">IF(History!CZ$2="","",#REF!*$C$76)</f>
        <v/>
      </c>
      <c r="CW76" s="11" t="str">
        <f ca="1">IF(History!DA$2="","",#REF!*$C$76)</f>
        <v/>
      </c>
      <c r="CX76" s="11" t="str">
        <f ca="1">IF(History!DB$2="","",#REF!*$C$76)</f>
        <v/>
      </c>
      <c r="CY76" s="11" t="str">
        <f ca="1">IF(History!DC$2="","",#REF!*$C$76)</f>
        <v/>
      </c>
      <c r="CZ76" s="11" t="str">
        <f ca="1">IF(History!DD$2="","",#REF!*$C$76)</f>
        <v/>
      </c>
      <c r="DA76" s="11" t="str">
        <f ca="1">IF(History!DE$2="","",#REF!*$C$76)</f>
        <v/>
      </c>
      <c r="DB76" s="11" t="str">
        <f ca="1">IF(History!DF$2="","",#REF!*$C$76)</f>
        <v/>
      </c>
      <c r="DC76" s="11" t="str">
        <f ca="1">IF(History!DG$2="","",#REF!*$C$76)</f>
        <v/>
      </c>
      <c r="DD76" s="11" t="str">
        <f ca="1">IF(History!DH$2="","",#REF!*$C$76)</f>
        <v/>
      </c>
      <c r="DE76" s="11" t="str">
        <f ca="1">IF(History!DI$2="","",#REF!*$C$76)</f>
        <v/>
      </c>
      <c r="DF76" s="11" t="str">
        <f ca="1">IF(History!DJ$2="","",#REF!*$C$76)</f>
        <v/>
      </c>
      <c r="DG76" s="11" t="str">
        <f ca="1">IF(History!DK$2="","",#REF!*$C$76)</f>
        <v/>
      </c>
      <c r="DH76" s="11" t="str">
        <f ca="1">IF(History!DL$2="","",#REF!*$C$76)</f>
        <v/>
      </c>
      <c r="DI76" s="11" t="str">
        <f ca="1">IF(History!DM$2="","",#REF!*$C$76)</f>
        <v/>
      </c>
      <c r="DJ76" s="11" t="str">
        <f ca="1">IF(History!DN$2="","",#REF!*$C$76)</f>
        <v/>
      </c>
      <c r="DK76" s="11" t="str">
        <f ca="1">IF(History!DO$2="","",#REF!*$C$76)</f>
        <v/>
      </c>
      <c r="DL76" s="11" t="str">
        <f ca="1">IF(History!DP$2="","",#REF!*$C$76)</f>
        <v/>
      </c>
      <c r="DM76" s="11" t="str">
        <f ca="1">IF(History!DQ$2="","",#REF!*$C$76)</f>
        <v/>
      </c>
      <c r="DN76" s="11" t="str">
        <f ca="1">IF(History!DR$2="","",#REF!*$C$76)</f>
        <v/>
      </c>
      <c r="DO76" s="11" t="str">
        <f ca="1">IF(History!DS$2="","",#REF!*$C$76)</f>
        <v/>
      </c>
      <c r="DP76" s="11" t="str">
        <f ca="1">IF(History!DT$2="","",#REF!*$C$76)</f>
        <v/>
      </c>
      <c r="DQ76" s="11" t="str">
        <f ca="1">IF(History!DU$2="","",#REF!*$C$76)</f>
        <v/>
      </c>
      <c r="DR76" s="11" t="str">
        <f ca="1">IF(History!DV$2="","",#REF!*$C$76)</f>
        <v/>
      </c>
      <c r="DS76" s="11" t="str">
        <f ca="1">IF(History!DW$2="","",#REF!*$C$76)</f>
        <v/>
      </c>
      <c r="DT76" s="11" t="str">
        <f ca="1">IF(History!DX$2="","",#REF!*$C$76)</f>
        <v/>
      </c>
      <c r="DU76" s="11" t="str">
        <f ca="1">IF(History!DY$2="","",#REF!*$C$76)</f>
        <v/>
      </c>
      <c r="DV76" s="11" t="str">
        <f ca="1">IF(History!DZ$2="","",#REF!*$C$76)</f>
        <v/>
      </c>
      <c r="DW76" s="11" t="str">
        <f ca="1">IF(History!EA$2="","",#REF!*$C$76)</f>
        <v/>
      </c>
      <c r="DX76" s="11" t="str">
        <f ca="1">IF(History!EB$2="","",#REF!*$C$76)</f>
        <v/>
      </c>
      <c r="DY76" s="11" t="str">
        <f ca="1">IF(History!EC$2="","",#REF!*$C$76)</f>
        <v/>
      </c>
      <c r="DZ76" s="11" t="str">
        <f ca="1">IF(History!ED$2="","",#REF!*$C$76)</f>
        <v/>
      </c>
      <c r="EA76" s="11" t="str">
        <f ca="1">IF(History!EE$2="","",#REF!*$C$76)</f>
        <v/>
      </c>
      <c r="EB76" s="11" t="str">
        <f ca="1">IF(History!EF$2="","",#REF!*$C$76)</f>
        <v/>
      </c>
      <c r="EC76" s="11" t="str">
        <f ca="1">IF(History!EG$2="","",#REF!*$C$76)</f>
        <v/>
      </c>
      <c r="ED76" s="11" t="str">
        <f ca="1">IF(History!EH$2="","",#REF!*$C$76)</f>
        <v/>
      </c>
      <c r="EE76" s="11" t="str">
        <f ca="1">IF(History!EI$2="","",#REF!*$C$76)</f>
        <v/>
      </c>
      <c r="EF76" s="11" t="str">
        <f ca="1">IF(History!EJ$2="","",#REF!*$C$76)</f>
        <v/>
      </c>
      <c r="EG76" s="11" t="str">
        <f ca="1">IF(History!EK$2="","",#REF!*$C$76)</f>
        <v/>
      </c>
      <c r="EH76" s="11" t="str">
        <f ca="1">IF(History!EL$2="","",#REF!*$C$76)</f>
        <v/>
      </c>
      <c r="EI76" s="11" t="str">
        <f ca="1">IF(History!EM$2="","",#REF!*$C$76)</f>
        <v/>
      </c>
      <c r="EJ76" s="11" t="str">
        <f ca="1">IF(History!EN$2="","",#REF!*$C$76)</f>
        <v/>
      </c>
      <c r="EK76" s="11" t="str">
        <f ca="1">IF(History!EO$2="","",#REF!*$C$76)</f>
        <v/>
      </c>
      <c r="EL76" s="11" t="str">
        <f ca="1">IF(History!EP$2="","",#REF!*$C$76)</f>
        <v/>
      </c>
      <c r="EM76" s="11" t="str">
        <f ca="1">IF(History!EQ$2="","",#REF!*$C$76)</f>
        <v/>
      </c>
      <c r="EN76" s="11" t="str">
        <f ca="1">IF(History!ER$2="","",#REF!*$C$76)</f>
        <v/>
      </c>
      <c r="EO76" s="11" t="str">
        <f ca="1">IF(History!ES$2="","",#REF!*$C$76)</f>
        <v/>
      </c>
      <c r="EP76" s="11" t="str">
        <f ca="1">IF(History!ET$2="","",#REF!*$C$76)</f>
        <v/>
      </c>
      <c r="EQ76" s="11" t="str">
        <f ca="1">IF(History!EU$2="","",#REF!*$C$76)</f>
        <v/>
      </c>
      <c r="ER76" s="11" t="str">
        <f ca="1">IF(History!EV$2="","",#REF!*$C$76)</f>
        <v/>
      </c>
      <c r="ES76" s="11" t="str">
        <f ca="1">IF(History!EW$2="","",#REF!*$C$76)</f>
        <v/>
      </c>
      <c r="ET76" s="11" t="str">
        <f ca="1">IF(History!EX$2="","",#REF!*$C$76)</f>
        <v/>
      </c>
      <c r="EU76" s="11" t="str">
        <f ca="1">IF(History!EY$2="","",#REF!*$C$76)</f>
        <v/>
      </c>
      <c r="EV76" s="11" t="str">
        <f ca="1">IF(History!EZ$2="","",#REF!*$C$76)</f>
        <v/>
      </c>
      <c r="EW76" s="11" t="str">
        <f ca="1">IF(History!FA$2="","",#REF!*$C$76)</f>
        <v/>
      </c>
      <c r="EX76" s="11" t="str">
        <f ca="1">IF(History!FB$2="","",#REF!*$C$76)</f>
        <v/>
      </c>
      <c r="EY76" s="11" t="str">
        <f ca="1">IF(History!FC$2="","",#REF!*$C$76)</f>
        <v/>
      </c>
      <c r="EZ76" s="11" t="str">
        <f ca="1">IF(History!FD$2="","",#REF!*$C$76)</f>
        <v/>
      </c>
      <c r="FA76" s="11" t="str">
        <f ca="1">IF(History!FE$2="","",#REF!*$C$76)</f>
        <v/>
      </c>
      <c r="FB76" s="11" t="str">
        <f ca="1">IF(History!FF$2="","",#REF!*$C$76)</f>
        <v/>
      </c>
      <c r="FC76" s="11" t="str">
        <f ca="1">IF(History!FG$2="","",#REF!*$C$76)</f>
        <v/>
      </c>
      <c r="FD76" s="11" t="str">
        <f ca="1">IF(History!FH$2="","",#REF!*$C$76)</f>
        <v/>
      </c>
      <c r="FE76" s="11" t="str">
        <f ca="1">IF(History!FI$2="","",#REF!*$C$76)</f>
        <v/>
      </c>
      <c r="FF76" s="11" t="str">
        <f ca="1">IF(History!FJ$2="","",#REF!*$C$76)</f>
        <v/>
      </c>
      <c r="FG76" s="11" t="str">
        <f ca="1">IF(History!FK$2="","",#REF!*$C$76)</f>
        <v/>
      </c>
      <c r="FH76" s="11" t="str">
        <f ca="1">IF(History!FL$2="","",#REF!*$C$76)</f>
        <v/>
      </c>
      <c r="FI76" s="11" t="str">
        <f ca="1">IF(History!FM$2="","",#REF!*$C$76)</f>
        <v/>
      </c>
      <c r="FJ76" s="11" t="str">
        <f ca="1">IF(History!FN$2="","",#REF!*$C$76)</f>
        <v/>
      </c>
      <c r="FK76" s="11" t="str">
        <f ca="1">IF(History!FO$2="","",#REF!*$C$76)</f>
        <v/>
      </c>
      <c r="FL76" s="11" t="str">
        <f ca="1">IF(History!FP$2="","",#REF!*$C$76)</f>
        <v/>
      </c>
      <c r="FM76" s="11" t="str">
        <f ca="1">IF(History!FQ$2="","",#REF!*$C$76)</f>
        <v/>
      </c>
      <c r="FN76" s="11" t="str">
        <f ca="1">IF(History!FR$2="","",#REF!*$C$76)</f>
        <v/>
      </c>
      <c r="FO76" s="11" t="str">
        <f ca="1">IF(History!FS$2="","",#REF!*$C$76)</f>
        <v/>
      </c>
      <c r="FP76" s="11" t="str">
        <f ca="1">IF(History!FT$2="","",#REF!*$C$76)</f>
        <v/>
      </c>
      <c r="FQ76" s="11" t="str">
        <f ca="1">IF(History!FU$2="","",#REF!*$C$76)</f>
        <v/>
      </c>
      <c r="FR76" s="11" t="str">
        <f ca="1">IF(History!FV$2="","",#REF!*$C$76)</f>
        <v/>
      </c>
      <c r="FS76" s="11" t="str">
        <f ca="1">IF(History!FW$2="","",#REF!*$C$76)</f>
        <v/>
      </c>
      <c r="FT76" s="11" t="str">
        <f ca="1">IF(History!FX$2="","",#REF!*$C$76)</f>
        <v/>
      </c>
      <c r="FU76" s="11" t="str">
        <f ca="1">IF(History!FY$2="","",#REF!*$C$76)</f>
        <v/>
      </c>
      <c r="FV76" s="11" t="str">
        <f ca="1">IF(History!FZ$2="","",#REF!*$C$76)</f>
        <v/>
      </c>
      <c r="FW76" s="11" t="str">
        <f ca="1">IF(History!GA$2="","",#REF!*$C$76)</f>
        <v/>
      </c>
      <c r="FX76" s="11" t="str">
        <f ca="1">IF(History!GB$2="","",#REF!*$C$76)</f>
        <v/>
      </c>
      <c r="FY76" s="11" t="str">
        <f ca="1">IF(History!GC$2="","",#REF!*$C$76)</f>
        <v/>
      </c>
      <c r="FZ76" s="11" t="str">
        <f ca="1">IF(History!GD$2="","",#REF!*$C$76)</f>
        <v/>
      </c>
      <c r="GA76" s="11" t="str">
        <f ca="1">IF(History!GE$2="","",#REF!*$C$76)</f>
        <v/>
      </c>
      <c r="GB76" s="11" t="str">
        <f ca="1">IF(History!GF$2="","",#REF!*$C$76)</f>
        <v/>
      </c>
      <c r="GC76" s="11" t="str">
        <f ca="1">IF(History!GG$2="","",#REF!*$C$76)</f>
        <v/>
      </c>
      <c r="GD76" s="11" t="str">
        <f ca="1">IF(History!GH$2="","",#REF!*$C$76)</f>
        <v/>
      </c>
      <c r="GE76" s="11" t="str">
        <f ca="1">IF(History!GI$2="","",#REF!*$C$76)</f>
        <v/>
      </c>
      <c r="GF76" s="11" t="str">
        <f ca="1">IF(History!GJ$2="","",#REF!*$C$76)</f>
        <v/>
      </c>
      <c r="GG76" s="11" t="str">
        <f ca="1">IF(History!GK$2="","",#REF!*$C$76)</f>
        <v/>
      </c>
      <c r="GH76" s="11" t="str">
        <f ca="1">IF(History!GL$2="","",#REF!*$C$76)</f>
        <v/>
      </c>
      <c r="GI76" s="11" t="str">
        <f ca="1">IF(History!GM$2="","",#REF!*$C$76)</f>
        <v/>
      </c>
      <c r="GJ76" s="11" t="str">
        <f ca="1">IF(History!GN$2="","",#REF!*$C$76)</f>
        <v/>
      </c>
      <c r="GK76" s="11" t="str">
        <f ca="1">IF(History!GO$2="","",#REF!*$C$76)</f>
        <v/>
      </c>
      <c r="GL76" s="11" t="str">
        <f ca="1">IF(History!GP$2="","",#REF!*$C$76)</f>
        <v/>
      </c>
      <c r="GM76" s="11" t="str">
        <f ca="1">IF(History!GQ$2="","",#REF!*$C$76)</f>
        <v/>
      </c>
      <c r="GN76" s="11" t="str">
        <f ca="1">IF(History!GR$2="","",#REF!*$C$76)</f>
        <v/>
      </c>
      <c r="GO76" s="11" t="str">
        <f ca="1">IF(History!GS$2="","",#REF!*$C$76)</f>
        <v/>
      </c>
      <c r="GP76" s="11" t="str">
        <f ca="1">IF(History!GT$2="","",#REF!*$C$76)</f>
        <v/>
      </c>
      <c r="GQ76" s="11" t="str">
        <f ca="1">IF(History!GU$2="","",#REF!*$C$76)</f>
        <v/>
      </c>
      <c r="GR76" s="11" t="str">
        <f ca="1">IF(History!GV$2="","",#REF!*$C$76)</f>
        <v/>
      </c>
      <c r="GS76" s="11" t="str">
        <f ca="1">IF(History!GW$2="","",#REF!*$C$76)</f>
        <v/>
      </c>
      <c r="GT76" s="11" t="str">
        <f ca="1">IF(History!GX$2="","",#REF!*$C$76)</f>
        <v/>
      </c>
      <c r="GU76" s="11" t="str">
        <f ca="1">IF(History!GY$2="","",#REF!*$C$76)</f>
        <v/>
      </c>
      <c r="GV76" s="11" t="str">
        <f ca="1">IF(History!GZ$2="","",#REF!*$C$76)</f>
        <v/>
      </c>
      <c r="GW76" s="11" t="str">
        <f ca="1">IF(History!HA$2="","",#REF!*$C$76)</f>
        <v/>
      </c>
      <c r="GX76" s="11" t="str">
        <f ca="1">IF(History!HB$2="","",#REF!*$C$76)</f>
        <v/>
      </c>
      <c r="GY76" s="11" t="str">
        <f ca="1">IF(History!HC$2="","",#REF!*$C$76)</f>
        <v/>
      </c>
      <c r="GZ76" s="11" t="str">
        <f ca="1">IF(History!HD$2="","",#REF!*$C$76)</f>
        <v/>
      </c>
      <c r="HA76" s="11" t="str">
        <f ca="1">IF(History!HE$2="","",#REF!*$C$76)</f>
        <v/>
      </c>
      <c r="HB76" s="11" t="str">
        <f ca="1">IF(History!HF$2="","",#REF!*$C$76)</f>
        <v/>
      </c>
      <c r="HC76" s="11" t="str">
        <f ca="1">IF(History!HG$2="","",#REF!*$C$76)</f>
        <v/>
      </c>
      <c r="HD76" s="11" t="str">
        <f ca="1">IF(History!HH$2="","",#REF!*$C$76)</f>
        <v/>
      </c>
      <c r="HE76" s="11" t="str">
        <f ca="1">IF(History!HI$2="","",#REF!*$C$76)</f>
        <v/>
      </c>
      <c r="HF76" s="11" t="str">
        <f ca="1">IF(History!HJ$2="","",#REF!*$C$76)</f>
        <v/>
      </c>
      <c r="HG76" s="11" t="str">
        <f ca="1">IF(History!HK$2="","",#REF!*$C$76)</f>
        <v/>
      </c>
      <c r="HH76" s="11" t="str">
        <f ca="1">IF(History!HL$2="","",#REF!*$C$76)</f>
        <v/>
      </c>
      <c r="HI76" s="11" t="str">
        <f ca="1">IF(History!HM$2="","",#REF!*$C$76)</f>
        <v/>
      </c>
      <c r="HJ76" s="11" t="str">
        <f ca="1">IF(History!HN$2="","",#REF!*$C$76)</f>
        <v/>
      </c>
      <c r="HK76" s="11" t="str">
        <f ca="1">IF(History!HO$2="","",#REF!*$C$76)</f>
        <v/>
      </c>
      <c r="HL76" s="11" t="str">
        <f ca="1">IF(History!HP$2="","",#REF!*$C$76)</f>
        <v/>
      </c>
      <c r="HM76" s="11" t="str">
        <f ca="1">IF(History!HQ$2="","",#REF!*$C$76)</f>
        <v/>
      </c>
      <c r="HN76" s="11" t="str">
        <f ca="1">IF(History!HR$2="","",#REF!*$C$76)</f>
        <v/>
      </c>
      <c r="HO76" s="11" t="str">
        <f ca="1">IF(History!HS$2="","",#REF!*$C$76)</f>
        <v/>
      </c>
      <c r="HP76" s="11" t="str">
        <f ca="1">IF(History!HT$2="","",#REF!*$C$76)</f>
        <v/>
      </c>
      <c r="HQ76" s="11" t="str">
        <f ca="1">IF(History!HU$2="","",#REF!*$C$76)</f>
        <v/>
      </c>
      <c r="HR76" s="11" t="str">
        <f ca="1">IF(History!HV$2="","",#REF!*$C$76)</f>
        <v/>
      </c>
      <c r="HS76" s="11" t="str">
        <f ca="1">IF(History!HW$2="","",#REF!*$C$76)</f>
        <v/>
      </c>
      <c r="HT76" s="11" t="str">
        <f ca="1">IF(History!HX$2="","",#REF!*$C$76)</f>
        <v/>
      </c>
      <c r="HU76" s="11" t="str">
        <f ca="1">IF(History!HY$2="","",#REF!*$C$76)</f>
        <v/>
      </c>
      <c r="HV76" s="11" t="str">
        <f ca="1">IF(History!HZ$2="","",#REF!*$C$76)</f>
        <v/>
      </c>
      <c r="HW76" s="11" t="str">
        <f ca="1">IF(History!IA$2="","",#REF!*$C$76)</f>
        <v/>
      </c>
      <c r="HX76" s="11" t="str">
        <f ca="1">IF(History!IB$2="","",#REF!*$C$76)</f>
        <v/>
      </c>
      <c r="HY76" s="11" t="str">
        <f ca="1">IF(History!IC$2="","",#REF!*$C$76)</f>
        <v/>
      </c>
      <c r="HZ76" s="11" t="str">
        <f ca="1">IF(History!ID$2="","",#REF!*$C$76)</f>
        <v/>
      </c>
      <c r="IA76" s="11" t="str">
        <f ca="1">IF(History!IE$2="","",#REF!*$C$76)</f>
        <v/>
      </c>
      <c r="IB76" s="11" t="str">
        <f ca="1">IF(History!IF$2="","",#REF!*$C$76)</f>
        <v/>
      </c>
      <c r="IC76" s="11" t="str">
        <f ca="1">IF(History!IG$2="","",#REF!*$C$76)</f>
        <v/>
      </c>
      <c r="ID76" s="11" t="str">
        <f ca="1">IF(History!IH$2="","",#REF!*$C$76)</f>
        <v/>
      </c>
      <c r="IE76" s="11" t="str">
        <f ca="1">IF(History!II$2="","",#REF!*$C$76)</f>
        <v/>
      </c>
      <c r="IF76" s="11" t="str">
        <f ca="1">IF(History!IJ$2="","",#REF!*$C$76)</f>
        <v/>
      </c>
      <c r="IG76" s="11" t="str">
        <f ca="1">IF(History!IK$2="","",#REF!*$C$76)</f>
        <v/>
      </c>
      <c r="IH76" s="11" t="str">
        <f ca="1">IF(History!IL$2="","",#REF!*$C$76)</f>
        <v/>
      </c>
      <c r="II76" s="11" t="str">
        <f ca="1">IF(History!IM$2="","",#REF!*$C$76)</f>
        <v/>
      </c>
      <c r="IJ76" s="11" t="str">
        <f ca="1">IF(History!IN$2="","",#REF!*$C$76)</f>
        <v/>
      </c>
      <c r="IK76" s="11" t="str">
        <f ca="1">IF(History!IO$2="","",#REF!*$C$76)</f>
        <v/>
      </c>
      <c r="IL76" s="11" t="str">
        <f ca="1">IF(History!IP$2="","",#REF!*$C$76)</f>
        <v/>
      </c>
      <c r="IM76" s="11" t="str">
        <f ca="1">IF(History!IQ$2="","",#REF!*$C$76)</f>
        <v/>
      </c>
      <c r="IN76" s="11" t="str">
        <f ca="1">IF(History!IR$2="","",#REF!*$C$76)</f>
        <v/>
      </c>
      <c r="IO76" s="11" t="str">
        <f ca="1">IF(History!IS$2="","",#REF!*$C$76)</f>
        <v/>
      </c>
      <c r="IP76" s="11" t="str">
        <f ca="1">IF(History!IT$2="","",#REF!*$C$76)</f>
        <v/>
      </c>
      <c r="IQ76" s="11" t="str">
        <f ca="1">IF(History!IU$2="","",#REF!*$C$76)</f>
        <v/>
      </c>
      <c r="IR76" s="11" t="str">
        <f ca="1">IF(History!IV$2="","",#REF!*$C$76)</f>
        <v/>
      </c>
      <c r="IS76" s="11" t="str">
        <f ca="1">IF(History!IW$2="","",#REF!*$C$76)</f>
        <v/>
      </c>
      <c r="IT76" s="11" t="str">
        <f ca="1">IF(History!IX$2="","",#REF!*$C$76)</f>
        <v/>
      </c>
      <c r="IU76" s="11" t="str">
        <f ca="1">IF(History!IY$2="","",#REF!*$C$76)</f>
        <v/>
      </c>
      <c r="IV76" s="11" t="str">
        <f ca="1">IF(History!IZ$2="","",#REF!*$C$76)</f>
        <v/>
      </c>
      <c r="IW76" s="11" t="str">
        <f ca="1">IF(History!JA$2="","",#REF!*$C$76)</f>
        <v/>
      </c>
      <c r="IX76" s="11" t="str">
        <f ca="1">IF(History!JB$2="","",#REF!*$C$76)</f>
        <v/>
      </c>
      <c r="IY76" s="11" t="str">
        <f ca="1">IF(History!JC$2="","",#REF!*$C$76)</f>
        <v/>
      </c>
      <c r="IZ76" s="11" t="str">
        <f ca="1">IF(History!JD$2="","",#REF!*$C$76)</f>
        <v/>
      </c>
      <c r="JA76" s="11" t="str">
        <f ca="1">IF(History!JE$2="","",#REF!*$C$76)</f>
        <v/>
      </c>
      <c r="JB76" s="11" t="str">
        <f ca="1">IF(History!JF$2="","",#REF!*$C$76)</f>
        <v/>
      </c>
      <c r="JC76" s="11" t="str">
        <f ca="1">IF(History!JG$2="","",#REF!*$C$76)</f>
        <v/>
      </c>
      <c r="JD76" s="11" t="str">
        <f ca="1">IF(History!JH$2="","",#REF!*$C$76)</f>
        <v/>
      </c>
      <c r="JE76" s="11" t="str">
        <f ca="1">IF(History!JI$2="","",#REF!*$C$76)</f>
        <v/>
      </c>
      <c r="JF76" s="11" t="str">
        <f ca="1">IF(History!JJ$2="","",#REF!*$C$76)</f>
        <v/>
      </c>
      <c r="JG76" s="11" t="str">
        <f ca="1">IF(History!JK$2="","",#REF!*$C$76)</f>
        <v/>
      </c>
      <c r="JH76" s="11" t="str">
        <f ca="1">IF(History!JL$2="","",#REF!*$C$76)</f>
        <v/>
      </c>
      <c r="JI76" s="11" t="str">
        <f ca="1">IF(History!JM$2="","",#REF!*$C$76)</f>
        <v/>
      </c>
      <c r="JJ76" s="11" t="str">
        <f ca="1">IF(History!JN$2="","",#REF!*$C$76)</f>
        <v/>
      </c>
      <c r="JK76" s="11" t="str">
        <f ca="1">IF(History!JO$2="","",#REF!*$C$76)</f>
        <v/>
      </c>
      <c r="JL76" s="11" t="str">
        <f ca="1">IF(History!JP$2="","",#REF!*$C$76)</f>
        <v/>
      </c>
      <c r="JM76" s="11" t="str">
        <f ca="1">IF(History!JQ$2="","",#REF!*$C$76)</f>
        <v/>
      </c>
      <c r="JN76" s="11" t="str">
        <f ca="1">IF(History!JR$2="","",#REF!*$C$76)</f>
        <v/>
      </c>
      <c r="JO76" s="11" t="str">
        <f ca="1">IF(History!JS$2="","",#REF!*$C$76)</f>
        <v/>
      </c>
      <c r="JP76" s="11" t="str">
        <f ca="1">IF(History!JT$2="","",#REF!*$C$76)</f>
        <v/>
      </c>
      <c r="JQ76" s="11" t="str">
        <f ca="1">IF(History!JU$2="","",#REF!*$C$76)</f>
        <v/>
      </c>
      <c r="JR76" s="11" t="str">
        <f ca="1">IF(History!JV$2="","",#REF!*$C$76)</f>
        <v/>
      </c>
      <c r="JS76" s="11" t="str">
        <f ca="1">IF(History!JW$2="","",#REF!*$C$76)</f>
        <v/>
      </c>
      <c r="JT76" s="11" t="str">
        <f ca="1">IF(History!JX$2="","",#REF!*$C$76)</f>
        <v/>
      </c>
      <c r="JU76" s="11" t="str">
        <f ca="1">IF(History!JY$2="","",#REF!*$C$76)</f>
        <v/>
      </c>
      <c r="JV76" s="11" t="str">
        <f ca="1">IF(History!JZ$2="","",#REF!*$C$76)</f>
        <v/>
      </c>
      <c r="JW76" s="11" t="str">
        <f ca="1">IF(History!KA$2="","",#REF!*$C$76)</f>
        <v/>
      </c>
      <c r="JX76" s="11" t="str">
        <f ca="1">IF(History!KB$2="","",#REF!*$C$76)</f>
        <v/>
      </c>
      <c r="JY76" s="11" t="str">
        <f ca="1">IF(History!KC$2="","",#REF!*$C$76)</f>
        <v/>
      </c>
      <c r="JZ76" s="11" t="str">
        <f ca="1">IF(History!KD$2="","",#REF!*$C$76)</f>
        <v/>
      </c>
      <c r="KA76" s="11" t="str">
        <f ca="1">IF(History!KE$2="","",#REF!*$C$76)</f>
        <v/>
      </c>
      <c r="KB76" s="11" t="str">
        <f ca="1">IF(History!KF$2="","",#REF!*$C$76)</f>
        <v/>
      </c>
    </row>
    <row r="77" spans="1:288" ht="13">
      <c r="A77" s="18" t="s">
        <v>140</v>
      </c>
      <c r="B77" s="6" t="s">
        <v>155</v>
      </c>
      <c r="C77" s="26">
        <v>88</v>
      </c>
      <c r="D77" s="11" t="e">
        <f ca="1">IF(History!H$2="","",#REF!*$C$77)</f>
        <v>#REF!</v>
      </c>
      <c r="E77" s="11" t="e">
        <f ca="1">IF(History!I$2="","",#REF!*$C$77)</f>
        <v>#REF!</v>
      </c>
      <c r="F77" s="11" t="e">
        <f ca="1">IF(History!J$2="","",#REF!*$C$77)</f>
        <v>#REF!</v>
      </c>
      <c r="G77" s="11" t="e">
        <f ca="1">IF(History!K$2="","",#REF!*$C$77)</f>
        <v>#REF!</v>
      </c>
      <c r="H77" s="11" t="e">
        <f ca="1">IF(History!L$2="","",#REF!*$C$77)</f>
        <v>#REF!</v>
      </c>
      <c r="I77" s="11" t="e">
        <f ca="1">IF(History!M$2="","",#REF!*$C$77)</f>
        <v>#REF!</v>
      </c>
      <c r="J77" s="11" t="e">
        <f ca="1">IF(History!N$2="","",#REF!*$C$77)</f>
        <v>#REF!</v>
      </c>
      <c r="K77" s="11" t="e">
        <f ca="1">IF(History!O$2="","",#REF!*$C$77)</f>
        <v>#REF!</v>
      </c>
      <c r="L77" s="11" t="e">
        <f ca="1">IF(History!P$2="","",#REF!*$C$77)</f>
        <v>#REF!</v>
      </c>
      <c r="M77" s="11" t="e">
        <f ca="1">IF(History!Q$2="","",#REF!*$C$77)</f>
        <v>#REF!</v>
      </c>
      <c r="N77" s="11" t="e">
        <f ca="1">IF(History!R$2="","",#REF!*$C$77)</f>
        <v>#REF!</v>
      </c>
      <c r="O77" s="11" t="e">
        <f ca="1">IF(History!S$2="","",#REF!*$C$77)</f>
        <v>#REF!</v>
      </c>
      <c r="P77" s="11" t="e">
        <f ca="1">IF(History!T$2="","",#REF!*$C$77)</f>
        <v>#REF!</v>
      </c>
      <c r="Q77" s="11" t="e">
        <f ca="1">IF(History!U$2="","",#REF!*$C$77)</f>
        <v>#REF!</v>
      </c>
      <c r="R77" s="11" t="e">
        <f ca="1">IF(History!V$2="","",#REF!*$C$77)</f>
        <v>#REF!</v>
      </c>
      <c r="S77" s="11" t="e">
        <f ca="1">IF(History!W$2="","",#REF!*$C$77)</f>
        <v>#REF!</v>
      </c>
      <c r="T77" s="11" t="e">
        <f ca="1">IF(History!X$2="","",#REF!*$C$77)</f>
        <v>#REF!</v>
      </c>
      <c r="U77" s="11" t="e">
        <f ca="1">IF(History!Y$2="","",#REF!*$C$77)</f>
        <v>#REF!</v>
      </c>
      <c r="V77" s="11" t="e">
        <f ca="1">IF(History!Z$2="","",#REF!*$C$77)</f>
        <v>#REF!</v>
      </c>
      <c r="W77" s="11" t="e">
        <f ca="1">IF(History!AA$2="","",#REF!*$C$77)</f>
        <v>#REF!</v>
      </c>
      <c r="X77" s="11" t="e">
        <f ca="1">IF(History!AB$2="","",#REF!*$C$77)</f>
        <v>#REF!</v>
      </c>
      <c r="Y77" s="11" t="e">
        <f ca="1">IF(History!AC$2="","",#REF!*$C$77)</f>
        <v>#REF!</v>
      </c>
      <c r="Z77" s="11" t="e">
        <f ca="1">IF(History!AD$2="","",#REF!*$C$77)</f>
        <v>#REF!</v>
      </c>
      <c r="AA77" s="11" t="e">
        <f ca="1">IF(History!AE$2="","",#REF!*$C$77)</f>
        <v>#REF!</v>
      </c>
      <c r="AB77" s="11" t="e">
        <f ca="1">IF(History!AF$2="","",#REF!*$C$77)</f>
        <v>#REF!</v>
      </c>
      <c r="AC77" s="11" t="e">
        <f ca="1">IF(History!AG$2="","",#REF!*$C$77)</f>
        <v>#REF!</v>
      </c>
      <c r="AD77" s="11" t="e">
        <f ca="1">IF(History!AH$2="","",#REF!*$C$77)</f>
        <v>#REF!</v>
      </c>
      <c r="AE77" s="11" t="e">
        <f ca="1">IF(History!AI$2="","",#REF!*$C$77)</f>
        <v>#REF!</v>
      </c>
      <c r="AF77" s="11" t="e">
        <f ca="1">IF(History!AJ$2="","",#REF!*$C$77)</f>
        <v>#REF!</v>
      </c>
      <c r="AG77" s="11" t="e">
        <f ca="1">IF(History!AK$2="","",#REF!*$C$77)</f>
        <v>#REF!</v>
      </c>
      <c r="AH77" s="11" t="e">
        <f ca="1">IF(History!AL$2="","",#REF!*$C$77)</f>
        <v>#REF!</v>
      </c>
      <c r="AI77" s="11" t="e">
        <f ca="1">IF(History!AM$2="","",#REF!*$C$77)</f>
        <v>#REF!</v>
      </c>
      <c r="AJ77" s="11" t="e">
        <f ca="1">IF(History!AN$2="","",#REF!*$C$77)</f>
        <v>#REF!</v>
      </c>
      <c r="AK77" s="11" t="e">
        <f ca="1">IF(History!AO$2="","",#REF!*$C$77)</f>
        <v>#REF!</v>
      </c>
      <c r="AL77" s="11" t="e">
        <f ca="1">IF(History!AP$2="","",#REF!*$C$77)</f>
        <v>#REF!</v>
      </c>
      <c r="AM77" s="11" t="e">
        <f ca="1">IF(History!AQ$2="","",#REF!*$C$77)</f>
        <v>#REF!</v>
      </c>
      <c r="AN77" s="11" t="e">
        <f ca="1">IF(History!AR$2="","",#REF!*$C$77)</f>
        <v>#REF!</v>
      </c>
      <c r="AO77" s="11" t="e">
        <f ca="1">IF(History!AS$2="","",#REF!*$C$77)</f>
        <v>#REF!</v>
      </c>
      <c r="AP77" s="11" t="e">
        <f ca="1">IF(History!AT$2="","",#REF!*$C$77)</f>
        <v>#REF!</v>
      </c>
      <c r="AQ77" s="11" t="e">
        <f ca="1">IF(History!AU$2="","",#REF!*$C$77)</f>
        <v>#REF!</v>
      </c>
      <c r="AR77" s="11" t="e">
        <f ca="1">IF(History!AV$2="","",#REF!*$C$77)</f>
        <v>#REF!</v>
      </c>
      <c r="AS77" s="11" t="e">
        <f ca="1">IF(History!AW$2="","",#REF!*$C$77)</f>
        <v>#REF!</v>
      </c>
      <c r="AT77" s="11" t="e">
        <f ca="1">IF(History!AX$2="","",#REF!*$C$77)</f>
        <v>#REF!</v>
      </c>
      <c r="AU77" s="11" t="e">
        <f ca="1">IF(History!AY$2="","",#REF!*$C$77)</f>
        <v>#REF!</v>
      </c>
      <c r="AV77" s="11" t="e">
        <f ca="1">IF(History!AZ$2="","",#REF!*$C$77)</f>
        <v>#REF!</v>
      </c>
      <c r="AW77" s="11" t="e">
        <f ca="1">IF(History!BA$2="","",#REF!*$C$77)</f>
        <v>#REF!</v>
      </c>
      <c r="AX77" s="11" t="e">
        <f ca="1">IF(History!BB$2="","",#REF!*$C$77)</f>
        <v>#REF!</v>
      </c>
      <c r="AY77" s="11" t="e">
        <f ca="1">IF(History!BC$2="","",#REF!*$C$77)</f>
        <v>#REF!</v>
      </c>
      <c r="AZ77" s="11" t="e">
        <f ca="1">IF(History!BD$2="","",#REF!*$C$77)</f>
        <v>#REF!</v>
      </c>
      <c r="BA77" s="11" t="e">
        <f ca="1">IF(History!BE$2="","",#REF!*$C$77)</f>
        <v>#REF!</v>
      </c>
      <c r="BB77" s="11" t="e">
        <f ca="1">IF(History!BF$2="","",#REF!*$C$77)</f>
        <v>#REF!</v>
      </c>
      <c r="BC77" s="11" t="e">
        <f ca="1">IF(History!BG$2="","",#REF!*$C$77)</f>
        <v>#REF!</v>
      </c>
      <c r="BD77" s="11" t="e">
        <f ca="1">IF(History!BH$2="","",#REF!*$C$77)</f>
        <v>#REF!</v>
      </c>
      <c r="BE77" s="11" t="e">
        <f ca="1">IF(History!BI$2="","",#REF!*$C$77)</f>
        <v>#REF!</v>
      </c>
      <c r="BF77" s="11" t="e">
        <f ca="1">IF(History!BJ$2="","",#REF!*$C$77)</f>
        <v>#REF!</v>
      </c>
      <c r="BG77" s="11" t="e">
        <f ca="1">IF(History!BK$2="","",#REF!*$C$77)</f>
        <v>#REF!</v>
      </c>
      <c r="BH77" s="11" t="e">
        <f ca="1">IF(History!BL$2="","",#REF!*$C$77)</f>
        <v>#REF!</v>
      </c>
      <c r="BI77" s="11" t="e">
        <f ca="1">IF(History!BM$2="","",#REF!*$C$77)</f>
        <v>#REF!</v>
      </c>
      <c r="BJ77" s="11" t="e">
        <f ca="1">IF(History!BN$2="","",#REF!*$C$77)</f>
        <v>#REF!</v>
      </c>
      <c r="BK77" s="11" t="e">
        <f ca="1">IF(History!BO$2="","",#REF!*$C$77)</f>
        <v>#REF!</v>
      </c>
      <c r="BL77" s="11" t="e">
        <f ca="1">IF(History!BP$2="","",#REF!*$C$77)</f>
        <v>#REF!</v>
      </c>
      <c r="BM77" s="11" t="e">
        <f ca="1">IF(History!BQ$2="","",#REF!*$C$77)</f>
        <v>#REF!</v>
      </c>
      <c r="BN77" s="11" t="e">
        <f ca="1">IF(History!BR$2="","",#REF!*$C$77)</f>
        <v>#REF!</v>
      </c>
      <c r="BO77" s="11" t="e">
        <f ca="1">IF(History!BS$2="","",#REF!*$C$77)</f>
        <v>#REF!</v>
      </c>
      <c r="BP77" s="11" t="e">
        <f ca="1">IF(History!BT$2="","",#REF!*$C$77)</f>
        <v>#REF!</v>
      </c>
      <c r="BQ77" s="11" t="e">
        <f ca="1">IF(History!BU$2="","",#REF!*$C$77)</f>
        <v>#REF!</v>
      </c>
      <c r="BR77" s="11" t="e">
        <f ca="1">IF(History!BV$2="","",#REF!*$C$77)</f>
        <v>#REF!</v>
      </c>
      <c r="BS77" s="11" t="e">
        <f ca="1">IF(History!BW$2="","",#REF!*$C$77)</f>
        <v>#REF!</v>
      </c>
      <c r="BT77" s="11" t="e">
        <f ca="1">IF(History!BX$2="","",#REF!*$C$77)</f>
        <v>#REF!</v>
      </c>
      <c r="BU77" s="11" t="e">
        <f ca="1">IF(History!BY$2="","",#REF!*$C$77)</f>
        <v>#REF!</v>
      </c>
      <c r="BV77" s="11" t="e">
        <f ca="1">IF(History!BZ$2="","",#REF!*$C$77)</f>
        <v>#REF!</v>
      </c>
      <c r="BW77" s="11" t="e">
        <f ca="1">IF(History!CA$2="","",#REF!*$C$77)</f>
        <v>#REF!</v>
      </c>
      <c r="BX77" s="11" t="e">
        <f ca="1">IF(History!CB$2="","",#REF!*$C$77)</f>
        <v>#REF!</v>
      </c>
      <c r="BY77" s="11" t="e">
        <f ca="1">IF(History!CC$2="","",#REF!*$C$77)</f>
        <v>#REF!</v>
      </c>
      <c r="BZ77" s="11" t="e">
        <f ca="1">IF(History!CD$2="","",#REF!*$C$77)</f>
        <v>#REF!</v>
      </c>
      <c r="CA77" s="11" t="e">
        <f ca="1">IF(History!CE$2="","",#REF!*$C$77)</f>
        <v>#REF!</v>
      </c>
      <c r="CB77" s="11" t="e">
        <f ca="1">IF(History!CF$2="","",#REF!*$C$77)</f>
        <v>#REF!</v>
      </c>
      <c r="CC77" s="11" t="e">
        <f ca="1">IF(History!CG$2="","",#REF!*$C$77)</f>
        <v>#REF!</v>
      </c>
      <c r="CD77" s="11" t="e">
        <f ca="1">IF(History!CH$2="","",#REF!*$C$77)</f>
        <v>#REF!</v>
      </c>
      <c r="CE77" s="11" t="e">
        <f ca="1">IF(History!CI$2="","",#REF!*$C$77)</f>
        <v>#REF!</v>
      </c>
      <c r="CF77" s="11" t="str">
        <f ca="1">IF(History!CJ$2="","",#REF!*$C$77)</f>
        <v/>
      </c>
      <c r="CG77" s="11" t="str">
        <f ca="1">IF(History!CK$2="","",#REF!*$C$77)</f>
        <v/>
      </c>
      <c r="CH77" s="11" t="str">
        <f ca="1">IF(History!CL$2="","",#REF!*$C$77)</f>
        <v/>
      </c>
      <c r="CI77" s="11" t="str">
        <f ca="1">IF(History!CM$2="","",#REF!*$C$77)</f>
        <v/>
      </c>
      <c r="CJ77" s="11" t="str">
        <f ca="1">IF(History!CN$2="","",#REF!*$C$77)</f>
        <v/>
      </c>
      <c r="CK77" s="11" t="str">
        <f ca="1">IF(History!CO$2="","",#REF!*$C$77)</f>
        <v/>
      </c>
      <c r="CL77" s="11" t="str">
        <f ca="1">IF(History!CP$2="","",#REF!*$C$77)</f>
        <v/>
      </c>
      <c r="CM77" s="11" t="str">
        <f ca="1">IF(History!CQ$2="","",#REF!*$C$77)</f>
        <v/>
      </c>
      <c r="CN77" s="11" t="str">
        <f ca="1">IF(History!CR$2="","",#REF!*$C$77)</f>
        <v/>
      </c>
      <c r="CO77" s="11" t="str">
        <f ca="1">IF(History!CS$2="","",#REF!*$C$77)</f>
        <v/>
      </c>
      <c r="CP77" s="11" t="str">
        <f ca="1">IF(History!CT$2="","",#REF!*$C$77)</f>
        <v/>
      </c>
      <c r="CQ77" s="11" t="str">
        <f ca="1">IF(History!CU$2="","",#REF!*$C$77)</f>
        <v/>
      </c>
      <c r="CR77" s="11" t="str">
        <f ca="1">IF(History!CV$2="","",#REF!*$C$77)</f>
        <v/>
      </c>
      <c r="CS77" s="11" t="str">
        <f ca="1">IF(History!CW$2="","",#REF!*$C$77)</f>
        <v/>
      </c>
      <c r="CT77" s="11" t="str">
        <f ca="1">IF(History!CX$2="","",#REF!*$C$77)</f>
        <v/>
      </c>
      <c r="CU77" s="11" t="str">
        <f ca="1">IF(History!CY$2="","",#REF!*$C$77)</f>
        <v/>
      </c>
      <c r="CV77" s="11" t="str">
        <f ca="1">IF(History!CZ$2="","",#REF!*$C$77)</f>
        <v/>
      </c>
      <c r="CW77" s="11" t="str">
        <f ca="1">IF(History!DA$2="","",#REF!*$C$77)</f>
        <v/>
      </c>
      <c r="CX77" s="11" t="str">
        <f ca="1">IF(History!DB$2="","",#REF!*$C$77)</f>
        <v/>
      </c>
      <c r="CY77" s="11" t="str">
        <f ca="1">IF(History!DC$2="","",#REF!*$C$77)</f>
        <v/>
      </c>
      <c r="CZ77" s="11" t="str">
        <f ca="1">IF(History!DD$2="","",#REF!*$C$77)</f>
        <v/>
      </c>
      <c r="DA77" s="11" t="str">
        <f ca="1">IF(History!DE$2="","",#REF!*$C$77)</f>
        <v/>
      </c>
      <c r="DB77" s="11" t="str">
        <f ca="1">IF(History!DF$2="","",#REF!*$C$77)</f>
        <v/>
      </c>
      <c r="DC77" s="11" t="str">
        <f ca="1">IF(History!DG$2="","",#REF!*$C$77)</f>
        <v/>
      </c>
      <c r="DD77" s="11" t="str">
        <f ca="1">IF(History!DH$2="","",#REF!*$C$77)</f>
        <v/>
      </c>
      <c r="DE77" s="11" t="str">
        <f ca="1">IF(History!DI$2="","",#REF!*$C$77)</f>
        <v/>
      </c>
      <c r="DF77" s="11" t="str">
        <f ca="1">IF(History!DJ$2="","",#REF!*$C$77)</f>
        <v/>
      </c>
      <c r="DG77" s="11" t="str">
        <f ca="1">IF(History!DK$2="","",#REF!*$C$77)</f>
        <v/>
      </c>
      <c r="DH77" s="11" t="str">
        <f ca="1">IF(History!DL$2="","",#REF!*$C$77)</f>
        <v/>
      </c>
      <c r="DI77" s="11" t="str">
        <f ca="1">IF(History!DM$2="","",#REF!*$C$77)</f>
        <v/>
      </c>
      <c r="DJ77" s="11" t="str">
        <f ca="1">IF(History!DN$2="","",#REF!*$C$77)</f>
        <v/>
      </c>
      <c r="DK77" s="11" t="str">
        <f ca="1">IF(History!DO$2="","",#REF!*$C$77)</f>
        <v/>
      </c>
      <c r="DL77" s="11" t="str">
        <f ca="1">IF(History!DP$2="","",#REF!*$C$77)</f>
        <v/>
      </c>
      <c r="DM77" s="11" t="str">
        <f ca="1">IF(History!DQ$2="","",#REF!*$C$77)</f>
        <v/>
      </c>
      <c r="DN77" s="11" t="str">
        <f ca="1">IF(History!DR$2="","",#REF!*$C$77)</f>
        <v/>
      </c>
      <c r="DO77" s="11" t="str">
        <f ca="1">IF(History!DS$2="","",#REF!*$C$77)</f>
        <v/>
      </c>
      <c r="DP77" s="11" t="str">
        <f ca="1">IF(History!DT$2="","",#REF!*$C$77)</f>
        <v/>
      </c>
      <c r="DQ77" s="11" t="str">
        <f ca="1">IF(History!DU$2="","",#REF!*$C$77)</f>
        <v/>
      </c>
      <c r="DR77" s="11" t="str">
        <f ca="1">IF(History!DV$2="","",#REF!*$C$77)</f>
        <v/>
      </c>
      <c r="DS77" s="11" t="str">
        <f ca="1">IF(History!DW$2="","",#REF!*$C$77)</f>
        <v/>
      </c>
      <c r="DT77" s="11" t="str">
        <f ca="1">IF(History!DX$2="","",#REF!*$C$77)</f>
        <v/>
      </c>
      <c r="DU77" s="11" t="str">
        <f ca="1">IF(History!DY$2="","",#REF!*$C$77)</f>
        <v/>
      </c>
      <c r="DV77" s="11" t="str">
        <f ca="1">IF(History!DZ$2="","",#REF!*$C$77)</f>
        <v/>
      </c>
      <c r="DW77" s="11" t="str">
        <f ca="1">IF(History!EA$2="","",#REF!*$C$77)</f>
        <v/>
      </c>
      <c r="DX77" s="11" t="str">
        <f ca="1">IF(History!EB$2="","",#REF!*$C$77)</f>
        <v/>
      </c>
      <c r="DY77" s="11" t="str">
        <f ca="1">IF(History!EC$2="","",#REF!*$C$77)</f>
        <v/>
      </c>
      <c r="DZ77" s="11" t="str">
        <f ca="1">IF(History!ED$2="","",#REF!*$C$77)</f>
        <v/>
      </c>
      <c r="EA77" s="11" t="str">
        <f ca="1">IF(History!EE$2="","",#REF!*$C$77)</f>
        <v/>
      </c>
      <c r="EB77" s="11" t="str">
        <f ca="1">IF(History!EF$2="","",#REF!*$C$77)</f>
        <v/>
      </c>
      <c r="EC77" s="11" t="str">
        <f ca="1">IF(History!EG$2="","",#REF!*$C$77)</f>
        <v/>
      </c>
      <c r="ED77" s="11" t="str">
        <f ca="1">IF(History!EH$2="","",#REF!*$C$77)</f>
        <v/>
      </c>
      <c r="EE77" s="11" t="str">
        <f ca="1">IF(History!EI$2="","",#REF!*$C$77)</f>
        <v/>
      </c>
      <c r="EF77" s="11" t="str">
        <f ca="1">IF(History!EJ$2="","",#REF!*$C$77)</f>
        <v/>
      </c>
      <c r="EG77" s="11" t="str">
        <f ca="1">IF(History!EK$2="","",#REF!*$C$77)</f>
        <v/>
      </c>
      <c r="EH77" s="11" t="str">
        <f ca="1">IF(History!EL$2="","",#REF!*$C$77)</f>
        <v/>
      </c>
      <c r="EI77" s="11" t="str">
        <f ca="1">IF(History!EM$2="","",#REF!*$C$77)</f>
        <v/>
      </c>
      <c r="EJ77" s="11" t="str">
        <f ca="1">IF(History!EN$2="","",#REF!*$C$77)</f>
        <v/>
      </c>
      <c r="EK77" s="11" t="str">
        <f ca="1">IF(History!EO$2="","",#REF!*$C$77)</f>
        <v/>
      </c>
      <c r="EL77" s="11" t="str">
        <f ca="1">IF(History!EP$2="","",#REF!*$C$77)</f>
        <v/>
      </c>
      <c r="EM77" s="11" t="str">
        <f ca="1">IF(History!EQ$2="","",#REF!*$C$77)</f>
        <v/>
      </c>
      <c r="EN77" s="11" t="str">
        <f ca="1">IF(History!ER$2="","",#REF!*$C$77)</f>
        <v/>
      </c>
      <c r="EO77" s="11" t="str">
        <f ca="1">IF(History!ES$2="","",#REF!*$C$77)</f>
        <v/>
      </c>
      <c r="EP77" s="11" t="str">
        <f ca="1">IF(History!ET$2="","",#REF!*$C$77)</f>
        <v/>
      </c>
      <c r="EQ77" s="11" t="str">
        <f ca="1">IF(History!EU$2="","",#REF!*$C$77)</f>
        <v/>
      </c>
      <c r="ER77" s="11" t="str">
        <f ca="1">IF(History!EV$2="","",#REF!*$C$77)</f>
        <v/>
      </c>
      <c r="ES77" s="11" t="str">
        <f ca="1">IF(History!EW$2="","",#REF!*$C$77)</f>
        <v/>
      </c>
      <c r="ET77" s="11" t="str">
        <f ca="1">IF(History!EX$2="","",#REF!*$C$77)</f>
        <v/>
      </c>
      <c r="EU77" s="11" t="str">
        <f ca="1">IF(History!EY$2="","",#REF!*$C$77)</f>
        <v/>
      </c>
      <c r="EV77" s="11" t="str">
        <f ca="1">IF(History!EZ$2="","",#REF!*$C$77)</f>
        <v/>
      </c>
      <c r="EW77" s="11" t="str">
        <f ca="1">IF(History!FA$2="","",#REF!*$C$77)</f>
        <v/>
      </c>
      <c r="EX77" s="11" t="str">
        <f ca="1">IF(History!FB$2="","",#REF!*$C$77)</f>
        <v/>
      </c>
      <c r="EY77" s="11" t="str">
        <f ca="1">IF(History!FC$2="","",#REF!*$C$77)</f>
        <v/>
      </c>
      <c r="EZ77" s="11" t="str">
        <f ca="1">IF(History!FD$2="","",#REF!*$C$77)</f>
        <v/>
      </c>
      <c r="FA77" s="11" t="str">
        <f ca="1">IF(History!FE$2="","",#REF!*$C$77)</f>
        <v/>
      </c>
      <c r="FB77" s="11" t="str">
        <f ca="1">IF(History!FF$2="","",#REF!*$C$77)</f>
        <v/>
      </c>
      <c r="FC77" s="11" t="str">
        <f ca="1">IF(History!FG$2="","",#REF!*$C$77)</f>
        <v/>
      </c>
      <c r="FD77" s="11" t="str">
        <f ca="1">IF(History!FH$2="","",#REF!*$C$77)</f>
        <v/>
      </c>
      <c r="FE77" s="11" t="str">
        <f ca="1">IF(History!FI$2="","",#REF!*$C$77)</f>
        <v/>
      </c>
      <c r="FF77" s="11" t="str">
        <f ca="1">IF(History!FJ$2="","",#REF!*$C$77)</f>
        <v/>
      </c>
      <c r="FG77" s="11" t="str">
        <f ca="1">IF(History!FK$2="","",#REF!*$C$77)</f>
        <v/>
      </c>
      <c r="FH77" s="11" t="str">
        <f ca="1">IF(History!FL$2="","",#REF!*$C$77)</f>
        <v/>
      </c>
      <c r="FI77" s="11" t="str">
        <f ca="1">IF(History!FM$2="","",#REF!*$C$77)</f>
        <v/>
      </c>
      <c r="FJ77" s="11" t="str">
        <f ca="1">IF(History!FN$2="","",#REF!*$C$77)</f>
        <v/>
      </c>
      <c r="FK77" s="11" t="str">
        <f ca="1">IF(History!FO$2="","",#REF!*$C$77)</f>
        <v/>
      </c>
      <c r="FL77" s="11" t="str">
        <f ca="1">IF(History!FP$2="","",#REF!*$C$77)</f>
        <v/>
      </c>
      <c r="FM77" s="11" t="str">
        <f ca="1">IF(History!FQ$2="","",#REF!*$C$77)</f>
        <v/>
      </c>
      <c r="FN77" s="11" t="str">
        <f ca="1">IF(History!FR$2="","",#REF!*$C$77)</f>
        <v/>
      </c>
      <c r="FO77" s="11" t="str">
        <f ca="1">IF(History!FS$2="","",#REF!*$C$77)</f>
        <v/>
      </c>
      <c r="FP77" s="11" t="str">
        <f ca="1">IF(History!FT$2="","",#REF!*$C$77)</f>
        <v/>
      </c>
      <c r="FQ77" s="11" t="str">
        <f ca="1">IF(History!FU$2="","",#REF!*$C$77)</f>
        <v/>
      </c>
      <c r="FR77" s="11" t="str">
        <f ca="1">IF(History!FV$2="","",#REF!*$C$77)</f>
        <v/>
      </c>
      <c r="FS77" s="11" t="str">
        <f ca="1">IF(History!FW$2="","",#REF!*$C$77)</f>
        <v/>
      </c>
      <c r="FT77" s="11" t="str">
        <f ca="1">IF(History!FX$2="","",#REF!*$C$77)</f>
        <v/>
      </c>
      <c r="FU77" s="11" t="str">
        <f ca="1">IF(History!FY$2="","",#REF!*$C$77)</f>
        <v/>
      </c>
      <c r="FV77" s="11" t="str">
        <f ca="1">IF(History!FZ$2="","",#REF!*$C$77)</f>
        <v/>
      </c>
      <c r="FW77" s="11" t="str">
        <f ca="1">IF(History!GA$2="","",#REF!*$C$77)</f>
        <v/>
      </c>
      <c r="FX77" s="11" t="str">
        <f ca="1">IF(History!GB$2="","",#REF!*$C$77)</f>
        <v/>
      </c>
      <c r="FY77" s="11" t="str">
        <f ca="1">IF(History!GC$2="","",#REF!*$C$77)</f>
        <v/>
      </c>
      <c r="FZ77" s="11" t="str">
        <f ca="1">IF(History!GD$2="","",#REF!*$C$77)</f>
        <v/>
      </c>
      <c r="GA77" s="11" t="str">
        <f ca="1">IF(History!GE$2="","",#REF!*$C$77)</f>
        <v/>
      </c>
      <c r="GB77" s="11" t="str">
        <f ca="1">IF(History!GF$2="","",#REF!*$C$77)</f>
        <v/>
      </c>
      <c r="GC77" s="11" t="str">
        <f ca="1">IF(History!GG$2="","",#REF!*$C$77)</f>
        <v/>
      </c>
      <c r="GD77" s="11" t="str">
        <f ca="1">IF(History!GH$2="","",#REF!*$C$77)</f>
        <v/>
      </c>
      <c r="GE77" s="11" t="str">
        <f ca="1">IF(History!GI$2="","",#REF!*$C$77)</f>
        <v/>
      </c>
      <c r="GF77" s="11" t="str">
        <f ca="1">IF(History!GJ$2="","",#REF!*$C$77)</f>
        <v/>
      </c>
      <c r="GG77" s="11" t="str">
        <f ca="1">IF(History!GK$2="","",#REF!*$C$77)</f>
        <v/>
      </c>
      <c r="GH77" s="11" t="str">
        <f ca="1">IF(History!GL$2="","",#REF!*$C$77)</f>
        <v/>
      </c>
      <c r="GI77" s="11" t="str">
        <f ca="1">IF(History!GM$2="","",#REF!*$C$77)</f>
        <v/>
      </c>
      <c r="GJ77" s="11" t="str">
        <f ca="1">IF(History!GN$2="","",#REF!*$C$77)</f>
        <v/>
      </c>
      <c r="GK77" s="11" t="str">
        <f ca="1">IF(History!GO$2="","",#REF!*$C$77)</f>
        <v/>
      </c>
      <c r="GL77" s="11" t="str">
        <f ca="1">IF(History!GP$2="","",#REF!*$C$77)</f>
        <v/>
      </c>
      <c r="GM77" s="11" t="str">
        <f ca="1">IF(History!GQ$2="","",#REF!*$C$77)</f>
        <v/>
      </c>
      <c r="GN77" s="11" t="str">
        <f ca="1">IF(History!GR$2="","",#REF!*$C$77)</f>
        <v/>
      </c>
      <c r="GO77" s="11" t="str">
        <f ca="1">IF(History!GS$2="","",#REF!*$C$77)</f>
        <v/>
      </c>
      <c r="GP77" s="11" t="str">
        <f ca="1">IF(History!GT$2="","",#REF!*$C$77)</f>
        <v/>
      </c>
      <c r="GQ77" s="11" t="str">
        <f ca="1">IF(History!GU$2="","",#REF!*$C$77)</f>
        <v/>
      </c>
      <c r="GR77" s="11" t="str">
        <f ca="1">IF(History!GV$2="","",#REF!*$C$77)</f>
        <v/>
      </c>
      <c r="GS77" s="11" t="str">
        <f ca="1">IF(History!GW$2="","",#REF!*$C$77)</f>
        <v/>
      </c>
      <c r="GT77" s="11" t="str">
        <f ca="1">IF(History!GX$2="","",#REF!*$C$77)</f>
        <v/>
      </c>
      <c r="GU77" s="11" t="str">
        <f ca="1">IF(History!GY$2="","",#REF!*$C$77)</f>
        <v/>
      </c>
      <c r="GV77" s="11" t="str">
        <f ca="1">IF(History!GZ$2="","",#REF!*$C$77)</f>
        <v/>
      </c>
      <c r="GW77" s="11" t="str">
        <f ca="1">IF(History!HA$2="","",#REF!*$C$77)</f>
        <v/>
      </c>
      <c r="GX77" s="11" t="str">
        <f ca="1">IF(History!HB$2="","",#REF!*$C$77)</f>
        <v/>
      </c>
      <c r="GY77" s="11" t="str">
        <f ca="1">IF(History!HC$2="","",#REF!*$C$77)</f>
        <v/>
      </c>
      <c r="GZ77" s="11" t="str">
        <f ca="1">IF(History!HD$2="","",#REF!*$C$77)</f>
        <v/>
      </c>
      <c r="HA77" s="11" t="str">
        <f ca="1">IF(History!HE$2="","",#REF!*$C$77)</f>
        <v/>
      </c>
      <c r="HB77" s="11" t="str">
        <f ca="1">IF(History!HF$2="","",#REF!*$C$77)</f>
        <v/>
      </c>
      <c r="HC77" s="11" t="str">
        <f ca="1">IF(History!HG$2="","",#REF!*$C$77)</f>
        <v/>
      </c>
      <c r="HD77" s="11" t="str">
        <f ca="1">IF(History!HH$2="","",#REF!*$C$77)</f>
        <v/>
      </c>
      <c r="HE77" s="11" t="str">
        <f ca="1">IF(History!HI$2="","",#REF!*$C$77)</f>
        <v/>
      </c>
      <c r="HF77" s="11" t="str">
        <f ca="1">IF(History!HJ$2="","",#REF!*$C$77)</f>
        <v/>
      </c>
      <c r="HG77" s="11" t="str">
        <f ca="1">IF(History!HK$2="","",#REF!*$C$77)</f>
        <v/>
      </c>
      <c r="HH77" s="11" t="str">
        <f ca="1">IF(History!HL$2="","",#REF!*$C$77)</f>
        <v/>
      </c>
      <c r="HI77" s="11" t="str">
        <f ca="1">IF(History!HM$2="","",#REF!*$C$77)</f>
        <v/>
      </c>
      <c r="HJ77" s="11" t="str">
        <f ca="1">IF(History!HN$2="","",#REF!*$C$77)</f>
        <v/>
      </c>
      <c r="HK77" s="11" t="str">
        <f ca="1">IF(History!HO$2="","",#REF!*$C$77)</f>
        <v/>
      </c>
      <c r="HL77" s="11" t="str">
        <f ca="1">IF(History!HP$2="","",#REF!*$C$77)</f>
        <v/>
      </c>
      <c r="HM77" s="11" t="str">
        <f ca="1">IF(History!HQ$2="","",#REF!*$C$77)</f>
        <v/>
      </c>
      <c r="HN77" s="11" t="str">
        <f ca="1">IF(History!HR$2="","",#REF!*$C$77)</f>
        <v/>
      </c>
      <c r="HO77" s="11" t="str">
        <f ca="1">IF(History!HS$2="","",#REF!*$C$77)</f>
        <v/>
      </c>
      <c r="HP77" s="11" t="str">
        <f ca="1">IF(History!HT$2="","",#REF!*$C$77)</f>
        <v/>
      </c>
      <c r="HQ77" s="11" t="str">
        <f ca="1">IF(History!HU$2="","",#REF!*$C$77)</f>
        <v/>
      </c>
      <c r="HR77" s="11" t="str">
        <f ca="1">IF(History!HV$2="","",#REF!*$C$77)</f>
        <v/>
      </c>
      <c r="HS77" s="11" t="str">
        <f ca="1">IF(History!HW$2="","",#REF!*$C$77)</f>
        <v/>
      </c>
      <c r="HT77" s="11" t="str">
        <f ca="1">IF(History!HX$2="","",#REF!*$C$77)</f>
        <v/>
      </c>
      <c r="HU77" s="11" t="str">
        <f ca="1">IF(History!HY$2="","",#REF!*$C$77)</f>
        <v/>
      </c>
      <c r="HV77" s="11" t="str">
        <f ca="1">IF(History!HZ$2="","",#REF!*$C$77)</f>
        <v/>
      </c>
      <c r="HW77" s="11" t="str">
        <f ca="1">IF(History!IA$2="","",#REF!*$C$77)</f>
        <v/>
      </c>
      <c r="HX77" s="11" t="str">
        <f ca="1">IF(History!IB$2="","",#REF!*$C$77)</f>
        <v/>
      </c>
      <c r="HY77" s="11" t="str">
        <f ca="1">IF(History!IC$2="","",#REF!*$C$77)</f>
        <v/>
      </c>
      <c r="HZ77" s="11" t="str">
        <f ca="1">IF(History!ID$2="","",#REF!*$C$77)</f>
        <v/>
      </c>
      <c r="IA77" s="11" t="str">
        <f ca="1">IF(History!IE$2="","",#REF!*$C$77)</f>
        <v/>
      </c>
      <c r="IB77" s="11" t="str">
        <f ca="1">IF(History!IF$2="","",#REF!*$C$77)</f>
        <v/>
      </c>
      <c r="IC77" s="11" t="str">
        <f ca="1">IF(History!IG$2="","",#REF!*$C$77)</f>
        <v/>
      </c>
      <c r="ID77" s="11" t="str">
        <f ca="1">IF(History!IH$2="","",#REF!*$C$77)</f>
        <v/>
      </c>
      <c r="IE77" s="11" t="str">
        <f ca="1">IF(History!II$2="","",#REF!*$C$77)</f>
        <v/>
      </c>
      <c r="IF77" s="11" t="str">
        <f ca="1">IF(History!IJ$2="","",#REF!*$C$77)</f>
        <v/>
      </c>
      <c r="IG77" s="11" t="str">
        <f ca="1">IF(History!IK$2="","",#REF!*$C$77)</f>
        <v/>
      </c>
      <c r="IH77" s="11" t="str">
        <f ca="1">IF(History!IL$2="","",#REF!*$C$77)</f>
        <v/>
      </c>
      <c r="II77" s="11" t="str">
        <f ca="1">IF(History!IM$2="","",#REF!*$C$77)</f>
        <v/>
      </c>
      <c r="IJ77" s="11" t="str">
        <f ca="1">IF(History!IN$2="","",#REF!*$C$77)</f>
        <v/>
      </c>
      <c r="IK77" s="11" t="str">
        <f ca="1">IF(History!IO$2="","",#REF!*$C$77)</f>
        <v/>
      </c>
      <c r="IL77" s="11" t="str">
        <f ca="1">IF(History!IP$2="","",#REF!*$C$77)</f>
        <v/>
      </c>
      <c r="IM77" s="11" t="str">
        <f ca="1">IF(History!IQ$2="","",#REF!*$C$77)</f>
        <v/>
      </c>
      <c r="IN77" s="11" t="str">
        <f ca="1">IF(History!IR$2="","",#REF!*$C$77)</f>
        <v/>
      </c>
      <c r="IO77" s="11" t="str">
        <f ca="1">IF(History!IS$2="","",#REF!*$C$77)</f>
        <v/>
      </c>
      <c r="IP77" s="11" t="str">
        <f ca="1">IF(History!IT$2="","",#REF!*$C$77)</f>
        <v/>
      </c>
      <c r="IQ77" s="11" t="str">
        <f ca="1">IF(History!IU$2="","",#REF!*$C$77)</f>
        <v/>
      </c>
      <c r="IR77" s="11" t="str">
        <f ca="1">IF(History!IV$2="","",#REF!*$C$77)</f>
        <v/>
      </c>
      <c r="IS77" s="11" t="str">
        <f ca="1">IF(History!IW$2="","",#REF!*$C$77)</f>
        <v/>
      </c>
      <c r="IT77" s="11" t="str">
        <f ca="1">IF(History!IX$2="","",#REF!*$C$77)</f>
        <v/>
      </c>
      <c r="IU77" s="11" t="str">
        <f ca="1">IF(History!IY$2="","",#REF!*$C$77)</f>
        <v/>
      </c>
      <c r="IV77" s="11" t="str">
        <f ca="1">IF(History!IZ$2="","",#REF!*$C$77)</f>
        <v/>
      </c>
      <c r="IW77" s="11" t="str">
        <f ca="1">IF(History!JA$2="","",#REF!*$C$77)</f>
        <v/>
      </c>
      <c r="IX77" s="11" t="str">
        <f ca="1">IF(History!JB$2="","",#REF!*$C$77)</f>
        <v/>
      </c>
      <c r="IY77" s="11" t="str">
        <f ca="1">IF(History!JC$2="","",#REF!*$C$77)</f>
        <v/>
      </c>
      <c r="IZ77" s="11" t="str">
        <f ca="1">IF(History!JD$2="","",#REF!*$C$77)</f>
        <v/>
      </c>
      <c r="JA77" s="11" t="str">
        <f ca="1">IF(History!JE$2="","",#REF!*$C$77)</f>
        <v/>
      </c>
      <c r="JB77" s="11" t="str">
        <f ca="1">IF(History!JF$2="","",#REF!*$C$77)</f>
        <v/>
      </c>
      <c r="JC77" s="11" t="str">
        <f ca="1">IF(History!JG$2="","",#REF!*$C$77)</f>
        <v/>
      </c>
      <c r="JD77" s="11" t="str">
        <f ca="1">IF(History!JH$2="","",#REF!*$C$77)</f>
        <v/>
      </c>
      <c r="JE77" s="11" t="str">
        <f ca="1">IF(History!JI$2="","",#REF!*$C$77)</f>
        <v/>
      </c>
      <c r="JF77" s="11" t="str">
        <f ca="1">IF(History!JJ$2="","",#REF!*$C$77)</f>
        <v/>
      </c>
      <c r="JG77" s="11" t="str">
        <f ca="1">IF(History!JK$2="","",#REF!*$C$77)</f>
        <v/>
      </c>
      <c r="JH77" s="11" t="str">
        <f ca="1">IF(History!JL$2="","",#REF!*$C$77)</f>
        <v/>
      </c>
      <c r="JI77" s="11" t="str">
        <f ca="1">IF(History!JM$2="","",#REF!*$C$77)</f>
        <v/>
      </c>
      <c r="JJ77" s="11" t="str">
        <f ca="1">IF(History!JN$2="","",#REF!*$C$77)</f>
        <v/>
      </c>
      <c r="JK77" s="11" t="str">
        <f ca="1">IF(History!JO$2="","",#REF!*$C$77)</f>
        <v/>
      </c>
      <c r="JL77" s="11" t="str">
        <f ca="1">IF(History!JP$2="","",#REF!*$C$77)</f>
        <v/>
      </c>
      <c r="JM77" s="11" t="str">
        <f ca="1">IF(History!JQ$2="","",#REF!*$C$77)</f>
        <v/>
      </c>
      <c r="JN77" s="11" t="str">
        <f ca="1">IF(History!JR$2="","",#REF!*$C$77)</f>
        <v/>
      </c>
      <c r="JO77" s="11" t="str">
        <f ca="1">IF(History!JS$2="","",#REF!*$C$77)</f>
        <v/>
      </c>
      <c r="JP77" s="11" t="str">
        <f ca="1">IF(History!JT$2="","",#REF!*$C$77)</f>
        <v/>
      </c>
      <c r="JQ77" s="11" t="str">
        <f ca="1">IF(History!JU$2="","",#REF!*$C$77)</f>
        <v/>
      </c>
      <c r="JR77" s="11" t="str">
        <f ca="1">IF(History!JV$2="","",#REF!*$C$77)</f>
        <v/>
      </c>
      <c r="JS77" s="11" t="str">
        <f ca="1">IF(History!JW$2="","",#REF!*$C$77)</f>
        <v/>
      </c>
      <c r="JT77" s="11" t="str">
        <f ca="1">IF(History!JX$2="","",#REF!*$C$77)</f>
        <v/>
      </c>
      <c r="JU77" s="11" t="str">
        <f ca="1">IF(History!JY$2="","",#REF!*$C$77)</f>
        <v/>
      </c>
      <c r="JV77" s="11" t="str">
        <f ca="1">IF(History!JZ$2="","",#REF!*$C$77)</f>
        <v/>
      </c>
      <c r="JW77" s="11" t="str">
        <f ca="1">IF(History!KA$2="","",#REF!*$C$77)</f>
        <v/>
      </c>
      <c r="JX77" s="11" t="str">
        <f ca="1">IF(History!KB$2="","",#REF!*$C$77)</f>
        <v/>
      </c>
      <c r="JY77" s="11" t="str">
        <f ca="1">IF(History!KC$2="","",#REF!*$C$77)</f>
        <v/>
      </c>
      <c r="JZ77" s="11" t="str">
        <f ca="1">IF(History!KD$2="","",#REF!*$C$77)</f>
        <v/>
      </c>
      <c r="KA77" s="11" t="str">
        <f ca="1">IF(History!KE$2="","",#REF!*$C$77)</f>
        <v/>
      </c>
      <c r="KB77" s="11" t="str">
        <f ca="1">IF(History!KF$2="","",#REF!*$C$77)</f>
        <v/>
      </c>
    </row>
    <row r="78" spans="1:288" ht="13">
      <c r="A78" s="18" t="s">
        <v>140</v>
      </c>
      <c r="B78" s="6" t="s">
        <v>156</v>
      </c>
      <c r="C78" s="26">
        <v>135</v>
      </c>
      <c r="D78" s="11" t="e">
        <f ca="1">IF(History!H$2="","",#REF!*$C$78)</f>
        <v>#REF!</v>
      </c>
      <c r="E78" s="11" t="e">
        <f ca="1">IF(History!I$2="","",#REF!*$C$78)</f>
        <v>#REF!</v>
      </c>
      <c r="F78" s="11" t="e">
        <f ca="1">IF(History!J$2="","",#REF!*$C$78)</f>
        <v>#REF!</v>
      </c>
      <c r="G78" s="11" t="e">
        <f ca="1">IF(History!K$2="","",#REF!*$C$78)</f>
        <v>#REF!</v>
      </c>
      <c r="H78" s="11" t="e">
        <f ca="1">IF(History!L$2="","",#REF!*$C$78)</f>
        <v>#REF!</v>
      </c>
      <c r="I78" s="11" t="e">
        <f ca="1">IF(History!M$2="","",#REF!*$C$78)</f>
        <v>#REF!</v>
      </c>
      <c r="J78" s="11" t="e">
        <f ca="1">IF(History!N$2="","",#REF!*$C$78)</f>
        <v>#REF!</v>
      </c>
      <c r="K78" s="11" t="e">
        <f ca="1">IF(History!O$2="","",#REF!*$C$78)</f>
        <v>#REF!</v>
      </c>
      <c r="L78" s="11" t="e">
        <f ca="1">IF(History!P$2="","",#REF!*$C$78)</f>
        <v>#REF!</v>
      </c>
      <c r="M78" s="11" t="e">
        <f ca="1">IF(History!Q$2="","",#REF!*$C$78)</f>
        <v>#REF!</v>
      </c>
      <c r="N78" s="11" t="e">
        <f ca="1">IF(History!R$2="","",#REF!*$C$78)</f>
        <v>#REF!</v>
      </c>
      <c r="O78" s="11" t="e">
        <f ca="1">IF(History!S$2="","",#REF!*$C$78)</f>
        <v>#REF!</v>
      </c>
      <c r="P78" s="11" t="e">
        <f ca="1">IF(History!T$2="","",#REF!*$C$78)</f>
        <v>#REF!</v>
      </c>
      <c r="Q78" s="11" t="e">
        <f ca="1">IF(History!U$2="","",#REF!*$C$78)</f>
        <v>#REF!</v>
      </c>
      <c r="R78" s="11" t="e">
        <f ca="1">IF(History!V$2="","",#REF!*$C$78)</f>
        <v>#REF!</v>
      </c>
      <c r="S78" s="11" t="e">
        <f ca="1">IF(History!W$2="","",#REF!*$C$78)</f>
        <v>#REF!</v>
      </c>
      <c r="T78" s="11" t="e">
        <f ca="1">IF(History!X$2="","",#REF!*$C$78)</f>
        <v>#REF!</v>
      </c>
      <c r="U78" s="11" t="e">
        <f ca="1">IF(History!Y$2="","",#REF!*$C$78)</f>
        <v>#REF!</v>
      </c>
      <c r="V78" s="11" t="e">
        <f ca="1">IF(History!Z$2="","",#REF!*$C$78)</f>
        <v>#REF!</v>
      </c>
      <c r="W78" s="11" t="e">
        <f ca="1">IF(History!AA$2="","",#REF!*$C$78)</f>
        <v>#REF!</v>
      </c>
      <c r="X78" s="11" t="e">
        <f ca="1">IF(History!AB$2="","",#REF!*$C$78)</f>
        <v>#REF!</v>
      </c>
      <c r="Y78" s="11" t="e">
        <f ca="1">IF(History!AC$2="","",#REF!*$C$78)</f>
        <v>#REF!</v>
      </c>
      <c r="Z78" s="11" t="e">
        <f ca="1">IF(History!AD$2="","",#REF!*$C$78)</f>
        <v>#REF!</v>
      </c>
      <c r="AA78" s="11" t="e">
        <f ca="1">IF(History!AE$2="","",#REF!*$C$78)</f>
        <v>#REF!</v>
      </c>
      <c r="AB78" s="11" t="e">
        <f ca="1">IF(History!AF$2="","",#REF!*$C$78)</f>
        <v>#REF!</v>
      </c>
      <c r="AC78" s="11" t="e">
        <f ca="1">IF(History!AG$2="","",#REF!*$C$78)</f>
        <v>#REF!</v>
      </c>
      <c r="AD78" s="11" t="e">
        <f ca="1">IF(History!AH$2="","",#REF!*$C$78)</f>
        <v>#REF!</v>
      </c>
      <c r="AE78" s="11" t="e">
        <f ca="1">IF(History!AI$2="","",#REF!*$C$78)</f>
        <v>#REF!</v>
      </c>
      <c r="AF78" s="11" t="e">
        <f ca="1">IF(History!AJ$2="","",#REF!*$C$78)</f>
        <v>#REF!</v>
      </c>
      <c r="AG78" s="11" t="e">
        <f ca="1">IF(History!AK$2="","",#REF!*$C$78)</f>
        <v>#REF!</v>
      </c>
      <c r="AH78" s="11" t="e">
        <f ca="1">IF(History!AL$2="","",#REF!*$C$78)</f>
        <v>#REF!</v>
      </c>
      <c r="AI78" s="11" t="e">
        <f ca="1">IF(History!AM$2="","",#REF!*$C$78)</f>
        <v>#REF!</v>
      </c>
      <c r="AJ78" s="11" t="e">
        <f ca="1">IF(History!AN$2="","",#REF!*$C$78)</f>
        <v>#REF!</v>
      </c>
      <c r="AK78" s="11" t="e">
        <f ca="1">IF(History!AO$2="","",#REF!*$C$78)</f>
        <v>#REF!</v>
      </c>
      <c r="AL78" s="11" t="e">
        <f ca="1">IF(History!AP$2="","",#REF!*$C$78)</f>
        <v>#REF!</v>
      </c>
      <c r="AM78" s="11" t="e">
        <f ca="1">IF(History!AQ$2="","",#REF!*$C$78)</f>
        <v>#REF!</v>
      </c>
      <c r="AN78" s="11" t="e">
        <f ca="1">IF(History!AR$2="","",#REF!*$C$78)</f>
        <v>#REF!</v>
      </c>
      <c r="AO78" s="11" t="e">
        <f ca="1">IF(History!AS$2="","",#REF!*$C$78)</f>
        <v>#REF!</v>
      </c>
      <c r="AP78" s="11" t="e">
        <f ca="1">IF(History!AT$2="","",#REF!*$C$78)</f>
        <v>#REF!</v>
      </c>
      <c r="AQ78" s="11" t="e">
        <f ca="1">IF(History!AU$2="","",#REF!*$C$78)</f>
        <v>#REF!</v>
      </c>
      <c r="AR78" s="11" t="e">
        <f ca="1">IF(History!AV$2="","",#REF!*$C$78)</f>
        <v>#REF!</v>
      </c>
      <c r="AS78" s="11" t="e">
        <f ca="1">IF(History!AW$2="","",#REF!*$C$78)</f>
        <v>#REF!</v>
      </c>
      <c r="AT78" s="11" t="e">
        <f ca="1">IF(History!AX$2="","",#REF!*$C$78)</f>
        <v>#REF!</v>
      </c>
      <c r="AU78" s="11" t="e">
        <f ca="1">IF(History!AY$2="","",#REF!*$C$78)</f>
        <v>#REF!</v>
      </c>
      <c r="AV78" s="11" t="e">
        <f ca="1">IF(History!AZ$2="","",#REF!*$C$78)</f>
        <v>#REF!</v>
      </c>
      <c r="AW78" s="11" t="e">
        <f ca="1">IF(History!BA$2="","",#REF!*$C$78)</f>
        <v>#REF!</v>
      </c>
      <c r="AX78" s="11" t="e">
        <f ca="1">IF(History!BB$2="","",#REF!*$C$78)</f>
        <v>#REF!</v>
      </c>
      <c r="AY78" s="11" t="e">
        <f ca="1">IF(History!BC$2="","",#REF!*$C$78)</f>
        <v>#REF!</v>
      </c>
      <c r="AZ78" s="11" t="e">
        <f ca="1">IF(History!BD$2="","",#REF!*$C$78)</f>
        <v>#REF!</v>
      </c>
      <c r="BA78" s="11" t="e">
        <f ca="1">IF(History!BE$2="","",#REF!*$C$78)</f>
        <v>#REF!</v>
      </c>
      <c r="BB78" s="11" t="e">
        <f ca="1">IF(History!BF$2="","",#REF!*$C$78)</f>
        <v>#REF!</v>
      </c>
      <c r="BC78" s="11" t="e">
        <f ca="1">IF(History!BG$2="","",#REF!*$C$78)</f>
        <v>#REF!</v>
      </c>
      <c r="BD78" s="11" t="e">
        <f ca="1">IF(History!BH$2="","",#REF!*$C$78)</f>
        <v>#REF!</v>
      </c>
      <c r="BE78" s="11" t="e">
        <f ca="1">IF(History!BI$2="","",#REF!*$C$78)</f>
        <v>#REF!</v>
      </c>
      <c r="BF78" s="11" t="e">
        <f ca="1">IF(History!BJ$2="","",#REF!*$C$78)</f>
        <v>#REF!</v>
      </c>
      <c r="BG78" s="11" t="e">
        <f ca="1">IF(History!BK$2="","",#REF!*$C$78)</f>
        <v>#REF!</v>
      </c>
      <c r="BH78" s="11" t="e">
        <f ca="1">IF(History!BL$2="","",#REF!*$C$78)</f>
        <v>#REF!</v>
      </c>
      <c r="BI78" s="11" t="e">
        <f ca="1">IF(History!BM$2="","",#REF!*$C$78)</f>
        <v>#REF!</v>
      </c>
      <c r="BJ78" s="11" t="e">
        <f ca="1">IF(History!BN$2="","",#REF!*$C$78)</f>
        <v>#REF!</v>
      </c>
      <c r="BK78" s="11" t="e">
        <f ca="1">IF(History!BO$2="","",#REF!*$C$78)</f>
        <v>#REF!</v>
      </c>
      <c r="BL78" s="11" t="e">
        <f ca="1">IF(History!BP$2="","",#REF!*$C$78)</f>
        <v>#REF!</v>
      </c>
      <c r="BM78" s="11" t="e">
        <f ca="1">IF(History!BQ$2="","",#REF!*$C$78)</f>
        <v>#REF!</v>
      </c>
      <c r="BN78" s="11" t="e">
        <f ca="1">IF(History!BR$2="","",#REF!*$C$78)</f>
        <v>#REF!</v>
      </c>
      <c r="BO78" s="11" t="e">
        <f ca="1">IF(History!BS$2="","",#REF!*$C$78)</f>
        <v>#REF!</v>
      </c>
      <c r="BP78" s="11" t="e">
        <f ca="1">IF(History!BT$2="","",#REF!*$C$78)</f>
        <v>#REF!</v>
      </c>
      <c r="BQ78" s="11" t="e">
        <f ca="1">IF(History!BU$2="","",#REF!*$C$78)</f>
        <v>#REF!</v>
      </c>
      <c r="BR78" s="11" t="e">
        <f ca="1">IF(History!BV$2="","",#REF!*$C$78)</f>
        <v>#REF!</v>
      </c>
      <c r="BS78" s="11" t="e">
        <f ca="1">IF(History!BW$2="","",#REF!*$C$78)</f>
        <v>#REF!</v>
      </c>
      <c r="BT78" s="11" t="e">
        <f ca="1">IF(History!BX$2="","",#REF!*$C$78)</f>
        <v>#REF!</v>
      </c>
      <c r="BU78" s="11" t="e">
        <f ca="1">IF(History!BY$2="","",#REF!*$C$78)</f>
        <v>#REF!</v>
      </c>
      <c r="BV78" s="11" t="e">
        <f ca="1">IF(History!BZ$2="","",#REF!*$C$78)</f>
        <v>#REF!</v>
      </c>
      <c r="BW78" s="11" t="e">
        <f ca="1">IF(History!CA$2="","",#REF!*$C$78)</f>
        <v>#REF!</v>
      </c>
      <c r="BX78" s="11" t="e">
        <f ca="1">IF(History!CB$2="","",#REF!*$C$78)</f>
        <v>#REF!</v>
      </c>
      <c r="BY78" s="11" t="e">
        <f ca="1">IF(History!CC$2="","",#REF!*$C$78)</f>
        <v>#REF!</v>
      </c>
      <c r="BZ78" s="11" t="e">
        <f ca="1">IF(History!CD$2="","",#REF!*$C$78)</f>
        <v>#REF!</v>
      </c>
      <c r="CA78" s="11" t="e">
        <f ca="1">IF(History!CE$2="","",#REF!*$C$78)</f>
        <v>#REF!</v>
      </c>
      <c r="CB78" s="11" t="e">
        <f ca="1">IF(History!CF$2="","",#REF!*$C$78)</f>
        <v>#REF!</v>
      </c>
      <c r="CC78" s="11" t="e">
        <f ca="1">IF(History!CG$2="","",#REF!*$C$78)</f>
        <v>#REF!</v>
      </c>
      <c r="CD78" s="11" t="e">
        <f ca="1">IF(History!CH$2="","",#REF!*$C$78)</f>
        <v>#REF!</v>
      </c>
      <c r="CE78" s="11" t="e">
        <f ca="1">IF(History!CI$2="","",#REF!*$C$78)</f>
        <v>#REF!</v>
      </c>
      <c r="CF78" s="11" t="str">
        <f ca="1">IF(History!CJ$2="","",#REF!*$C$78)</f>
        <v/>
      </c>
      <c r="CG78" s="11" t="str">
        <f ca="1">IF(History!CK$2="","",#REF!*$C$78)</f>
        <v/>
      </c>
      <c r="CH78" s="11" t="str">
        <f ca="1">IF(History!CL$2="","",#REF!*$C$78)</f>
        <v/>
      </c>
      <c r="CI78" s="11" t="str">
        <f ca="1">IF(History!CM$2="","",#REF!*$C$78)</f>
        <v/>
      </c>
      <c r="CJ78" s="11" t="str">
        <f ca="1">IF(History!CN$2="","",#REF!*$C$78)</f>
        <v/>
      </c>
      <c r="CK78" s="11" t="str">
        <f ca="1">IF(History!CO$2="","",#REF!*$C$78)</f>
        <v/>
      </c>
      <c r="CL78" s="11" t="str">
        <f ca="1">IF(History!CP$2="","",#REF!*$C$78)</f>
        <v/>
      </c>
      <c r="CM78" s="11" t="str">
        <f ca="1">IF(History!CQ$2="","",#REF!*$C$78)</f>
        <v/>
      </c>
      <c r="CN78" s="11" t="str">
        <f ca="1">IF(History!CR$2="","",#REF!*$C$78)</f>
        <v/>
      </c>
      <c r="CO78" s="11" t="str">
        <f ca="1">IF(History!CS$2="","",#REF!*$C$78)</f>
        <v/>
      </c>
      <c r="CP78" s="11" t="str">
        <f ca="1">IF(History!CT$2="","",#REF!*$C$78)</f>
        <v/>
      </c>
      <c r="CQ78" s="11" t="str">
        <f ca="1">IF(History!CU$2="","",#REF!*$C$78)</f>
        <v/>
      </c>
      <c r="CR78" s="11" t="str">
        <f ca="1">IF(History!CV$2="","",#REF!*$C$78)</f>
        <v/>
      </c>
      <c r="CS78" s="11" t="str">
        <f ca="1">IF(History!CW$2="","",#REF!*$C$78)</f>
        <v/>
      </c>
      <c r="CT78" s="11" t="str">
        <f ca="1">IF(History!CX$2="","",#REF!*$C$78)</f>
        <v/>
      </c>
      <c r="CU78" s="11" t="str">
        <f ca="1">IF(History!CY$2="","",#REF!*$C$78)</f>
        <v/>
      </c>
      <c r="CV78" s="11" t="str">
        <f ca="1">IF(History!CZ$2="","",#REF!*$C$78)</f>
        <v/>
      </c>
      <c r="CW78" s="11" t="str">
        <f ca="1">IF(History!DA$2="","",#REF!*$C$78)</f>
        <v/>
      </c>
      <c r="CX78" s="11" t="str">
        <f ca="1">IF(History!DB$2="","",#REF!*$C$78)</f>
        <v/>
      </c>
      <c r="CY78" s="11" t="str">
        <f ca="1">IF(History!DC$2="","",#REF!*$C$78)</f>
        <v/>
      </c>
      <c r="CZ78" s="11" t="str">
        <f ca="1">IF(History!DD$2="","",#REF!*$C$78)</f>
        <v/>
      </c>
      <c r="DA78" s="11" t="str">
        <f ca="1">IF(History!DE$2="","",#REF!*$C$78)</f>
        <v/>
      </c>
      <c r="DB78" s="11" t="str">
        <f ca="1">IF(History!DF$2="","",#REF!*$C$78)</f>
        <v/>
      </c>
      <c r="DC78" s="11" t="str">
        <f ca="1">IF(History!DG$2="","",#REF!*$C$78)</f>
        <v/>
      </c>
      <c r="DD78" s="11" t="str">
        <f ca="1">IF(History!DH$2="","",#REF!*$C$78)</f>
        <v/>
      </c>
      <c r="DE78" s="11" t="str">
        <f ca="1">IF(History!DI$2="","",#REF!*$C$78)</f>
        <v/>
      </c>
      <c r="DF78" s="11" t="str">
        <f ca="1">IF(History!DJ$2="","",#REF!*$C$78)</f>
        <v/>
      </c>
      <c r="DG78" s="11" t="str">
        <f ca="1">IF(History!DK$2="","",#REF!*$C$78)</f>
        <v/>
      </c>
      <c r="DH78" s="11" t="str">
        <f ca="1">IF(History!DL$2="","",#REF!*$C$78)</f>
        <v/>
      </c>
      <c r="DI78" s="11" t="str">
        <f ca="1">IF(History!DM$2="","",#REF!*$C$78)</f>
        <v/>
      </c>
      <c r="DJ78" s="11" t="str">
        <f ca="1">IF(History!DN$2="","",#REF!*$C$78)</f>
        <v/>
      </c>
      <c r="DK78" s="11" t="str">
        <f ca="1">IF(History!DO$2="","",#REF!*$C$78)</f>
        <v/>
      </c>
      <c r="DL78" s="11" t="str">
        <f ca="1">IF(History!DP$2="","",#REF!*$C$78)</f>
        <v/>
      </c>
      <c r="DM78" s="11" t="str">
        <f ca="1">IF(History!DQ$2="","",#REF!*$C$78)</f>
        <v/>
      </c>
      <c r="DN78" s="11" t="str">
        <f ca="1">IF(History!DR$2="","",#REF!*$C$78)</f>
        <v/>
      </c>
      <c r="DO78" s="11" t="str">
        <f ca="1">IF(History!DS$2="","",#REF!*$C$78)</f>
        <v/>
      </c>
      <c r="DP78" s="11" t="str">
        <f ca="1">IF(History!DT$2="","",#REF!*$C$78)</f>
        <v/>
      </c>
      <c r="DQ78" s="11" t="str">
        <f ca="1">IF(History!DU$2="","",#REF!*$C$78)</f>
        <v/>
      </c>
      <c r="DR78" s="11" t="str">
        <f ca="1">IF(History!DV$2="","",#REF!*$C$78)</f>
        <v/>
      </c>
      <c r="DS78" s="11" t="str">
        <f ca="1">IF(History!DW$2="","",#REF!*$C$78)</f>
        <v/>
      </c>
      <c r="DT78" s="11" t="str">
        <f ca="1">IF(History!DX$2="","",#REF!*$C$78)</f>
        <v/>
      </c>
      <c r="DU78" s="11" t="str">
        <f ca="1">IF(History!DY$2="","",#REF!*$C$78)</f>
        <v/>
      </c>
      <c r="DV78" s="11" t="str">
        <f ca="1">IF(History!DZ$2="","",#REF!*$C$78)</f>
        <v/>
      </c>
      <c r="DW78" s="11" t="str">
        <f ca="1">IF(History!EA$2="","",#REF!*$C$78)</f>
        <v/>
      </c>
      <c r="DX78" s="11" t="str">
        <f ca="1">IF(History!EB$2="","",#REF!*$C$78)</f>
        <v/>
      </c>
      <c r="DY78" s="11" t="str">
        <f ca="1">IF(History!EC$2="","",#REF!*$C$78)</f>
        <v/>
      </c>
      <c r="DZ78" s="11" t="str">
        <f ca="1">IF(History!ED$2="","",#REF!*$C$78)</f>
        <v/>
      </c>
      <c r="EA78" s="11" t="str">
        <f ca="1">IF(History!EE$2="","",#REF!*$C$78)</f>
        <v/>
      </c>
      <c r="EB78" s="11" t="str">
        <f ca="1">IF(History!EF$2="","",#REF!*$C$78)</f>
        <v/>
      </c>
      <c r="EC78" s="11" t="str">
        <f ca="1">IF(History!EG$2="","",#REF!*$C$78)</f>
        <v/>
      </c>
      <c r="ED78" s="11" t="str">
        <f ca="1">IF(History!EH$2="","",#REF!*$C$78)</f>
        <v/>
      </c>
      <c r="EE78" s="11" t="str">
        <f ca="1">IF(History!EI$2="","",#REF!*$C$78)</f>
        <v/>
      </c>
      <c r="EF78" s="11" t="str">
        <f ca="1">IF(History!EJ$2="","",#REF!*$C$78)</f>
        <v/>
      </c>
      <c r="EG78" s="11" t="str">
        <f ca="1">IF(History!EK$2="","",#REF!*$C$78)</f>
        <v/>
      </c>
      <c r="EH78" s="11" t="str">
        <f ca="1">IF(History!EL$2="","",#REF!*$C$78)</f>
        <v/>
      </c>
      <c r="EI78" s="11" t="str">
        <f ca="1">IF(History!EM$2="","",#REF!*$C$78)</f>
        <v/>
      </c>
      <c r="EJ78" s="11" t="str">
        <f ca="1">IF(History!EN$2="","",#REF!*$C$78)</f>
        <v/>
      </c>
      <c r="EK78" s="11" t="str">
        <f ca="1">IF(History!EO$2="","",#REF!*$C$78)</f>
        <v/>
      </c>
      <c r="EL78" s="11" t="str">
        <f ca="1">IF(History!EP$2="","",#REF!*$C$78)</f>
        <v/>
      </c>
      <c r="EM78" s="11" t="str">
        <f ca="1">IF(History!EQ$2="","",#REF!*$C$78)</f>
        <v/>
      </c>
      <c r="EN78" s="11" t="str">
        <f ca="1">IF(History!ER$2="","",#REF!*$C$78)</f>
        <v/>
      </c>
      <c r="EO78" s="11" t="str">
        <f ca="1">IF(History!ES$2="","",#REF!*$C$78)</f>
        <v/>
      </c>
      <c r="EP78" s="11" t="str">
        <f ca="1">IF(History!ET$2="","",#REF!*$C$78)</f>
        <v/>
      </c>
      <c r="EQ78" s="11" t="str">
        <f ca="1">IF(History!EU$2="","",#REF!*$C$78)</f>
        <v/>
      </c>
      <c r="ER78" s="11" t="str">
        <f ca="1">IF(History!EV$2="","",#REF!*$C$78)</f>
        <v/>
      </c>
      <c r="ES78" s="11" t="str">
        <f ca="1">IF(History!EW$2="","",#REF!*$C$78)</f>
        <v/>
      </c>
      <c r="ET78" s="11" t="str">
        <f ca="1">IF(History!EX$2="","",#REF!*$C$78)</f>
        <v/>
      </c>
      <c r="EU78" s="11" t="str">
        <f ca="1">IF(History!EY$2="","",#REF!*$C$78)</f>
        <v/>
      </c>
      <c r="EV78" s="11" t="str">
        <f ca="1">IF(History!EZ$2="","",#REF!*$C$78)</f>
        <v/>
      </c>
      <c r="EW78" s="11" t="str">
        <f ca="1">IF(History!FA$2="","",#REF!*$C$78)</f>
        <v/>
      </c>
      <c r="EX78" s="11" t="str">
        <f ca="1">IF(History!FB$2="","",#REF!*$C$78)</f>
        <v/>
      </c>
      <c r="EY78" s="11" t="str">
        <f ca="1">IF(History!FC$2="","",#REF!*$C$78)</f>
        <v/>
      </c>
      <c r="EZ78" s="11" t="str">
        <f ca="1">IF(History!FD$2="","",#REF!*$C$78)</f>
        <v/>
      </c>
      <c r="FA78" s="11" t="str">
        <f ca="1">IF(History!FE$2="","",#REF!*$C$78)</f>
        <v/>
      </c>
      <c r="FB78" s="11" t="str">
        <f ca="1">IF(History!FF$2="","",#REF!*$C$78)</f>
        <v/>
      </c>
      <c r="FC78" s="11" t="str">
        <f ca="1">IF(History!FG$2="","",#REF!*$C$78)</f>
        <v/>
      </c>
      <c r="FD78" s="11" t="str">
        <f ca="1">IF(History!FH$2="","",#REF!*$C$78)</f>
        <v/>
      </c>
      <c r="FE78" s="11" t="str">
        <f ca="1">IF(History!FI$2="","",#REF!*$C$78)</f>
        <v/>
      </c>
      <c r="FF78" s="11" t="str">
        <f ca="1">IF(History!FJ$2="","",#REF!*$C$78)</f>
        <v/>
      </c>
      <c r="FG78" s="11" t="str">
        <f ca="1">IF(History!FK$2="","",#REF!*$C$78)</f>
        <v/>
      </c>
      <c r="FH78" s="11" t="str">
        <f ca="1">IF(History!FL$2="","",#REF!*$C$78)</f>
        <v/>
      </c>
      <c r="FI78" s="11" t="str">
        <f ca="1">IF(History!FM$2="","",#REF!*$C$78)</f>
        <v/>
      </c>
      <c r="FJ78" s="11" t="str">
        <f ca="1">IF(History!FN$2="","",#REF!*$C$78)</f>
        <v/>
      </c>
      <c r="FK78" s="11" t="str">
        <f ca="1">IF(History!FO$2="","",#REF!*$C$78)</f>
        <v/>
      </c>
      <c r="FL78" s="11" t="str">
        <f ca="1">IF(History!FP$2="","",#REF!*$C$78)</f>
        <v/>
      </c>
      <c r="FM78" s="11" t="str">
        <f ca="1">IF(History!FQ$2="","",#REF!*$C$78)</f>
        <v/>
      </c>
      <c r="FN78" s="11" t="str">
        <f ca="1">IF(History!FR$2="","",#REF!*$C$78)</f>
        <v/>
      </c>
      <c r="FO78" s="11" t="str">
        <f ca="1">IF(History!FS$2="","",#REF!*$C$78)</f>
        <v/>
      </c>
      <c r="FP78" s="11" t="str">
        <f ca="1">IF(History!FT$2="","",#REF!*$C$78)</f>
        <v/>
      </c>
      <c r="FQ78" s="11" t="str">
        <f ca="1">IF(History!FU$2="","",#REF!*$C$78)</f>
        <v/>
      </c>
      <c r="FR78" s="11" t="str">
        <f ca="1">IF(History!FV$2="","",#REF!*$C$78)</f>
        <v/>
      </c>
      <c r="FS78" s="11" t="str">
        <f ca="1">IF(History!FW$2="","",#REF!*$C$78)</f>
        <v/>
      </c>
      <c r="FT78" s="11" t="str">
        <f ca="1">IF(History!FX$2="","",#REF!*$C$78)</f>
        <v/>
      </c>
      <c r="FU78" s="11" t="str">
        <f ca="1">IF(History!FY$2="","",#REF!*$C$78)</f>
        <v/>
      </c>
      <c r="FV78" s="11" t="str">
        <f ca="1">IF(History!FZ$2="","",#REF!*$C$78)</f>
        <v/>
      </c>
      <c r="FW78" s="11" t="str">
        <f ca="1">IF(History!GA$2="","",#REF!*$C$78)</f>
        <v/>
      </c>
      <c r="FX78" s="11" t="str">
        <f ca="1">IF(History!GB$2="","",#REF!*$C$78)</f>
        <v/>
      </c>
      <c r="FY78" s="11" t="str">
        <f ca="1">IF(History!GC$2="","",#REF!*$C$78)</f>
        <v/>
      </c>
      <c r="FZ78" s="11" t="str">
        <f ca="1">IF(History!GD$2="","",#REF!*$C$78)</f>
        <v/>
      </c>
      <c r="GA78" s="11" t="str">
        <f ca="1">IF(History!GE$2="","",#REF!*$C$78)</f>
        <v/>
      </c>
      <c r="GB78" s="11" t="str">
        <f ca="1">IF(History!GF$2="","",#REF!*$C$78)</f>
        <v/>
      </c>
      <c r="GC78" s="11" t="str">
        <f ca="1">IF(History!GG$2="","",#REF!*$C$78)</f>
        <v/>
      </c>
      <c r="GD78" s="11" t="str">
        <f ca="1">IF(History!GH$2="","",#REF!*$C$78)</f>
        <v/>
      </c>
      <c r="GE78" s="11" t="str">
        <f ca="1">IF(History!GI$2="","",#REF!*$C$78)</f>
        <v/>
      </c>
      <c r="GF78" s="11" t="str">
        <f ca="1">IF(History!GJ$2="","",#REF!*$C$78)</f>
        <v/>
      </c>
      <c r="GG78" s="11" t="str">
        <f ca="1">IF(History!GK$2="","",#REF!*$C$78)</f>
        <v/>
      </c>
      <c r="GH78" s="11" t="str">
        <f ca="1">IF(History!GL$2="","",#REF!*$C$78)</f>
        <v/>
      </c>
      <c r="GI78" s="11" t="str">
        <f ca="1">IF(History!GM$2="","",#REF!*$C$78)</f>
        <v/>
      </c>
      <c r="GJ78" s="11" t="str">
        <f ca="1">IF(History!GN$2="","",#REF!*$C$78)</f>
        <v/>
      </c>
      <c r="GK78" s="11" t="str">
        <f ca="1">IF(History!GO$2="","",#REF!*$C$78)</f>
        <v/>
      </c>
      <c r="GL78" s="11" t="str">
        <f ca="1">IF(History!GP$2="","",#REF!*$C$78)</f>
        <v/>
      </c>
      <c r="GM78" s="11" t="str">
        <f ca="1">IF(History!GQ$2="","",#REF!*$C$78)</f>
        <v/>
      </c>
      <c r="GN78" s="11" t="str">
        <f ca="1">IF(History!GR$2="","",#REF!*$C$78)</f>
        <v/>
      </c>
      <c r="GO78" s="11" t="str">
        <f ca="1">IF(History!GS$2="","",#REF!*$C$78)</f>
        <v/>
      </c>
      <c r="GP78" s="11" t="str">
        <f ca="1">IF(History!GT$2="","",#REF!*$C$78)</f>
        <v/>
      </c>
      <c r="GQ78" s="11" t="str">
        <f ca="1">IF(History!GU$2="","",#REF!*$C$78)</f>
        <v/>
      </c>
      <c r="GR78" s="11" t="str">
        <f ca="1">IF(History!GV$2="","",#REF!*$C$78)</f>
        <v/>
      </c>
      <c r="GS78" s="11" t="str">
        <f ca="1">IF(History!GW$2="","",#REF!*$C$78)</f>
        <v/>
      </c>
      <c r="GT78" s="11" t="str">
        <f ca="1">IF(History!GX$2="","",#REF!*$C$78)</f>
        <v/>
      </c>
      <c r="GU78" s="11" t="str">
        <f ca="1">IF(History!GY$2="","",#REF!*$C$78)</f>
        <v/>
      </c>
      <c r="GV78" s="11" t="str">
        <f ca="1">IF(History!GZ$2="","",#REF!*$C$78)</f>
        <v/>
      </c>
      <c r="GW78" s="11" t="str">
        <f ca="1">IF(History!HA$2="","",#REF!*$C$78)</f>
        <v/>
      </c>
      <c r="GX78" s="11" t="str">
        <f ca="1">IF(History!HB$2="","",#REF!*$C$78)</f>
        <v/>
      </c>
      <c r="GY78" s="11" t="str">
        <f ca="1">IF(History!HC$2="","",#REF!*$C$78)</f>
        <v/>
      </c>
      <c r="GZ78" s="11" t="str">
        <f ca="1">IF(History!HD$2="","",#REF!*$C$78)</f>
        <v/>
      </c>
      <c r="HA78" s="11" t="str">
        <f ca="1">IF(History!HE$2="","",#REF!*$C$78)</f>
        <v/>
      </c>
      <c r="HB78" s="11" t="str">
        <f ca="1">IF(History!HF$2="","",#REF!*$C$78)</f>
        <v/>
      </c>
      <c r="HC78" s="11" t="str">
        <f ca="1">IF(History!HG$2="","",#REF!*$C$78)</f>
        <v/>
      </c>
      <c r="HD78" s="11" t="str">
        <f ca="1">IF(History!HH$2="","",#REF!*$C$78)</f>
        <v/>
      </c>
      <c r="HE78" s="11" t="str">
        <f ca="1">IF(History!HI$2="","",#REF!*$C$78)</f>
        <v/>
      </c>
      <c r="HF78" s="11" t="str">
        <f ca="1">IF(History!HJ$2="","",#REF!*$C$78)</f>
        <v/>
      </c>
      <c r="HG78" s="11" t="str">
        <f ca="1">IF(History!HK$2="","",#REF!*$C$78)</f>
        <v/>
      </c>
      <c r="HH78" s="11" t="str">
        <f ca="1">IF(History!HL$2="","",#REF!*$C$78)</f>
        <v/>
      </c>
      <c r="HI78" s="11" t="str">
        <f ca="1">IF(History!HM$2="","",#REF!*$C$78)</f>
        <v/>
      </c>
      <c r="HJ78" s="11" t="str">
        <f ca="1">IF(History!HN$2="","",#REF!*$C$78)</f>
        <v/>
      </c>
      <c r="HK78" s="11" t="str">
        <f ca="1">IF(History!HO$2="","",#REF!*$C$78)</f>
        <v/>
      </c>
      <c r="HL78" s="11" t="str">
        <f ca="1">IF(History!HP$2="","",#REF!*$C$78)</f>
        <v/>
      </c>
      <c r="HM78" s="11" t="str">
        <f ca="1">IF(History!HQ$2="","",#REF!*$C$78)</f>
        <v/>
      </c>
      <c r="HN78" s="11" t="str">
        <f ca="1">IF(History!HR$2="","",#REF!*$C$78)</f>
        <v/>
      </c>
      <c r="HO78" s="11" t="str">
        <f ca="1">IF(History!HS$2="","",#REF!*$C$78)</f>
        <v/>
      </c>
      <c r="HP78" s="11" t="str">
        <f ca="1">IF(History!HT$2="","",#REF!*$C$78)</f>
        <v/>
      </c>
      <c r="HQ78" s="11" t="str">
        <f ca="1">IF(History!HU$2="","",#REF!*$C$78)</f>
        <v/>
      </c>
      <c r="HR78" s="11" t="str">
        <f ca="1">IF(History!HV$2="","",#REF!*$C$78)</f>
        <v/>
      </c>
      <c r="HS78" s="11" t="str">
        <f ca="1">IF(History!HW$2="","",#REF!*$C$78)</f>
        <v/>
      </c>
      <c r="HT78" s="11" t="str">
        <f ca="1">IF(History!HX$2="","",#REF!*$C$78)</f>
        <v/>
      </c>
      <c r="HU78" s="11" t="str">
        <f ca="1">IF(History!HY$2="","",#REF!*$C$78)</f>
        <v/>
      </c>
      <c r="HV78" s="11" t="str">
        <f ca="1">IF(History!HZ$2="","",#REF!*$C$78)</f>
        <v/>
      </c>
      <c r="HW78" s="11" t="str">
        <f ca="1">IF(History!IA$2="","",#REF!*$C$78)</f>
        <v/>
      </c>
      <c r="HX78" s="11" t="str">
        <f ca="1">IF(History!IB$2="","",#REF!*$C$78)</f>
        <v/>
      </c>
      <c r="HY78" s="11" t="str">
        <f ca="1">IF(History!IC$2="","",#REF!*$C$78)</f>
        <v/>
      </c>
      <c r="HZ78" s="11" t="str">
        <f ca="1">IF(History!ID$2="","",#REF!*$C$78)</f>
        <v/>
      </c>
      <c r="IA78" s="11" t="str">
        <f ca="1">IF(History!IE$2="","",#REF!*$C$78)</f>
        <v/>
      </c>
      <c r="IB78" s="11" t="str">
        <f ca="1">IF(History!IF$2="","",#REF!*$C$78)</f>
        <v/>
      </c>
      <c r="IC78" s="11" t="str">
        <f ca="1">IF(History!IG$2="","",#REF!*$C$78)</f>
        <v/>
      </c>
      <c r="ID78" s="11" t="str">
        <f ca="1">IF(History!IH$2="","",#REF!*$C$78)</f>
        <v/>
      </c>
      <c r="IE78" s="11" t="str">
        <f ca="1">IF(History!II$2="","",#REF!*$C$78)</f>
        <v/>
      </c>
      <c r="IF78" s="11" t="str">
        <f ca="1">IF(History!IJ$2="","",#REF!*$C$78)</f>
        <v/>
      </c>
      <c r="IG78" s="11" t="str">
        <f ca="1">IF(History!IK$2="","",#REF!*$C$78)</f>
        <v/>
      </c>
      <c r="IH78" s="11" t="str">
        <f ca="1">IF(History!IL$2="","",#REF!*$C$78)</f>
        <v/>
      </c>
      <c r="II78" s="11" t="str">
        <f ca="1">IF(History!IM$2="","",#REF!*$C$78)</f>
        <v/>
      </c>
      <c r="IJ78" s="11" t="str">
        <f ca="1">IF(History!IN$2="","",#REF!*$C$78)</f>
        <v/>
      </c>
      <c r="IK78" s="11" t="str">
        <f ca="1">IF(History!IO$2="","",#REF!*$C$78)</f>
        <v/>
      </c>
      <c r="IL78" s="11" t="str">
        <f ca="1">IF(History!IP$2="","",#REF!*$C$78)</f>
        <v/>
      </c>
      <c r="IM78" s="11" t="str">
        <f ca="1">IF(History!IQ$2="","",#REF!*$C$78)</f>
        <v/>
      </c>
      <c r="IN78" s="11" t="str">
        <f ca="1">IF(History!IR$2="","",#REF!*$C$78)</f>
        <v/>
      </c>
      <c r="IO78" s="11" t="str">
        <f ca="1">IF(History!IS$2="","",#REF!*$C$78)</f>
        <v/>
      </c>
      <c r="IP78" s="11" t="str">
        <f ca="1">IF(History!IT$2="","",#REF!*$C$78)</f>
        <v/>
      </c>
      <c r="IQ78" s="11" t="str">
        <f ca="1">IF(History!IU$2="","",#REF!*$C$78)</f>
        <v/>
      </c>
      <c r="IR78" s="11" t="str">
        <f ca="1">IF(History!IV$2="","",#REF!*$C$78)</f>
        <v/>
      </c>
      <c r="IS78" s="11" t="str">
        <f ca="1">IF(History!IW$2="","",#REF!*$C$78)</f>
        <v/>
      </c>
      <c r="IT78" s="11" t="str">
        <f ca="1">IF(History!IX$2="","",#REF!*$C$78)</f>
        <v/>
      </c>
      <c r="IU78" s="11" t="str">
        <f ca="1">IF(History!IY$2="","",#REF!*$C$78)</f>
        <v/>
      </c>
      <c r="IV78" s="11" t="str">
        <f ca="1">IF(History!IZ$2="","",#REF!*$C$78)</f>
        <v/>
      </c>
      <c r="IW78" s="11" t="str">
        <f ca="1">IF(History!JA$2="","",#REF!*$C$78)</f>
        <v/>
      </c>
      <c r="IX78" s="11" t="str">
        <f ca="1">IF(History!JB$2="","",#REF!*$C$78)</f>
        <v/>
      </c>
      <c r="IY78" s="11" t="str">
        <f ca="1">IF(History!JC$2="","",#REF!*$C$78)</f>
        <v/>
      </c>
      <c r="IZ78" s="11" t="str">
        <f ca="1">IF(History!JD$2="","",#REF!*$C$78)</f>
        <v/>
      </c>
      <c r="JA78" s="11" t="str">
        <f ca="1">IF(History!JE$2="","",#REF!*$C$78)</f>
        <v/>
      </c>
      <c r="JB78" s="11" t="str">
        <f ca="1">IF(History!JF$2="","",#REF!*$C$78)</f>
        <v/>
      </c>
      <c r="JC78" s="11" t="str">
        <f ca="1">IF(History!JG$2="","",#REF!*$C$78)</f>
        <v/>
      </c>
      <c r="JD78" s="11" t="str">
        <f ca="1">IF(History!JH$2="","",#REF!*$C$78)</f>
        <v/>
      </c>
      <c r="JE78" s="11" t="str">
        <f ca="1">IF(History!JI$2="","",#REF!*$C$78)</f>
        <v/>
      </c>
      <c r="JF78" s="11" t="str">
        <f ca="1">IF(History!JJ$2="","",#REF!*$C$78)</f>
        <v/>
      </c>
      <c r="JG78" s="11" t="str">
        <f ca="1">IF(History!JK$2="","",#REF!*$C$78)</f>
        <v/>
      </c>
      <c r="JH78" s="11" t="str">
        <f ca="1">IF(History!JL$2="","",#REF!*$C$78)</f>
        <v/>
      </c>
      <c r="JI78" s="11" t="str">
        <f ca="1">IF(History!JM$2="","",#REF!*$C$78)</f>
        <v/>
      </c>
      <c r="JJ78" s="11" t="str">
        <f ca="1">IF(History!JN$2="","",#REF!*$C$78)</f>
        <v/>
      </c>
      <c r="JK78" s="11" t="str">
        <f ca="1">IF(History!JO$2="","",#REF!*$C$78)</f>
        <v/>
      </c>
      <c r="JL78" s="11" t="str">
        <f ca="1">IF(History!JP$2="","",#REF!*$C$78)</f>
        <v/>
      </c>
      <c r="JM78" s="11" t="str">
        <f ca="1">IF(History!JQ$2="","",#REF!*$C$78)</f>
        <v/>
      </c>
      <c r="JN78" s="11" t="str">
        <f ca="1">IF(History!JR$2="","",#REF!*$C$78)</f>
        <v/>
      </c>
      <c r="JO78" s="11" t="str">
        <f ca="1">IF(History!JS$2="","",#REF!*$C$78)</f>
        <v/>
      </c>
      <c r="JP78" s="11" t="str">
        <f ca="1">IF(History!JT$2="","",#REF!*$C$78)</f>
        <v/>
      </c>
      <c r="JQ78" s="11" t="str">
        <f ca="1">IF(History!JU$2="","",#REF!*$C$78)</f>
        <v/>
      </c>
      <c r="JR78" s="11" t="str">
        <f ca="1">IF(History!JV$2="","",#REF!*$C$78)</f>
        <v/>
      </c>
      <c r="JS78" s="11" t="str">
        <f ca="1">IF(History!JW$2="","",#REF!*$C$78)</f>
        <v/>
      </c>
      <c r="JT78" s="11" t="str">
        <f ca="1">IF(History!JX$2="","",#REF!*$C$78)</f>
        <v/>
      </c>
      <c r="JU78" s="11" t="str">
        <f ca="1">IF(History!JY$2="","",#REF!*$C$78)</f>
        <v/>
      </c>
      <c r="JV78" s="11" t="str">
        <f ca="1">IF(History!JZ$2="","",#REF!*$C$78)</f>
        <v/>
      </c>
      <c r="JW78" s="11" t="str">
        <f ca="1">IF(History!KA$2="","",#REF!*$C$78)</f>
        <v/>
      </c>
      <c r="JX78" s="11" t="str">
        <f ca="1">IF(History!KB$2="","",#REF!*$C$78)</f>
        <v/>
      </c>
      <c r="JY78" s="11" t="str">
        <f ca="1">IF(History!KC$2="","",#REF!*$C$78)</f>
        <v/>
      </c>
      <c r="JZ78" s="11" t="str">
        <f ca="1">IF(History!KD$2="","",#REF!*$C$78)</f>
        <v/>
      </c>
      <c r="KA78" s="11" t="str">
        <f ca="1">IF(History!KE$2="","",#REF!*$C$78)</f>
        <v/>
      </c>
      <c r="KB78" s="11" t="str">
        <f ca="1">IF(History!KF$2="","",#REF!*$C$78)</f>
        <v/>
      </c>
    </row>
    <row r="79" spans="1:288" ht="13">
      <c r="A79" s="18" t="s">
        <v>140</v>
      </c>
      <c r="B79" s="6" t="s">
        <v>157</v>
      </c>
      <c r="C79" s="26">
        <v>67</v>
      </c>
      <c r="D79" s="11" t="e">
        <f ca="1">IF(History!H$2="","",#REF!*$C$79)</f>
        <v>#REF!</v>
      </c>
      <c r="E79" s="11" t="e">
        <f ca="1">IF(History!I$2="","",#REF!*$C$79)</f>
        <v>#REF!</v>
      </c>
      <c r="F79" s="11" t="e">
        <f ca="1">IF(History!J$2="","",#REF!*$C$79)</f>
        <v>#REF!</v>
      </c>
      <c r="G79" s="11" t="e">
        <f ca="1">IF(History!K$2="","",#REF!*$C$79)</f>
        <v>#REF!</v>
      </c>
      <c r="H79" s="11" t="e">
        <f ca="1">IF(History!L$2="","",#REF!*$C$79)</f>
        <v>#REF!</v>
      </c>
      <c r="I79" s="11" t="e">
        <f ca="1">IF(History!M$2="","",#REF!*$C$79)</f>
        <v>#REF!</v>
      </c>
      <c r="J79" s="11" t="e">
        <f ca="1">IF(History!N$2="","",#REF!*$C$79)</f>
        <v>#REF!</v>
      </c>
      <c r="K79" s="11" t="e">
        <f ca="1">IF(History!O$2="","",#REF!*$C$79)</f>
        <v>#REF!</v>
      </c>
      <c r="L79" s="11" t="e">
        <f ca="1">IF(History!P$2="","",#REF!*$C$79)</f>
        <v>#REF!</v>
      </c>
      <c r="M79" s="11" t="e">
        <f ca="1">IF(History!Q$2="","",#REF!*$C$79)</f>
        <v>#REF!</v>
      </c>
      <c r="N79" s="11" t="e">
        <f ca="1">IF(History!R$2="","",#REF!*$C$79)</f>
        <v>#REF!</v>
      </c>
      <c r="O79" s="11" t="e">
        <f ca="1">IF(History!S$2="","",#REF!*$C$79)</f>
        <v>#REF!</v>
      </c>
      <c r="P79" s="11" t="e">
        <f ca="1">IF(History!T$2="","",#REF!*$C$79)</f>
        <v>#REF!</v>
      </c>
      <c r="Q79" s="11" t="e">
        <f ca="1">IF(History!U$2="","",#REF!*$C$79)</f>
        <v>#REF!</v>
      </c>
      <c r="R79" s="11" t="e">
        <f ca="1">IF(History!V$2="","",#REF!*$C$79)</f>
        <v>#REF!</v>
      </c>
      <c r="S79" s="11" t="e">
        <f ca="1">IF(History!W$2="","",#REF!*$C$79)</f>
        <v>#REF!</v>
      </c>
      <c r="T79" s="11" t="e">
        <f ca="1">IF(History!X$2="","",#REF!*$C$79)</f>
        <v>#REF!</v>
      </c>
      <c r="U79" s="11" t="e">
        <f ca="1">IF(History!Y$2="","",#REF!*$C$79)</f>
        <v>#REF!</v>
      </c>
      <c r="V79" s="11" t="e">
        <f ca="1">IF(History!Z$2="","",#REF!*$C$79)</f>
        <v>#REF!</v>
      </c>
      <c r="W79" s="11" t="e">
        <f ca="1">IF(History!AA$2="","",#REF!*$C$79)</f>
        <v>#REF!</v>
      </c>
      <c r="X79" s="11" t="e">
        <f ca="1">IF(History!AB$2="","",#REF!*$C$79)</f>
        <v>#REF!</v>
      </c>
      <c r="Y79" s="11" t="e">
        <f ca="1">IF(History!AC$2="","",#REF!*$C$79)</f>
        <v>#REF!</v>
      </c>
      <c r="Z79" s="11" t="e">
        <f ca="1">IF(History!AD$2="","",#REF!*$C$79)</f>
        <v>#REF!</v>
      </c>
      <c r="AA79" s="11" t="e">
        <f ca="1">IF(History!AE$2="","",#REF!*$C$79)</f>
        <v>#REF!</v>
      </c>
      <c r="AB79" s="11" t="e">
        <f ca="1">IF(History!AF$2="","",#REF!*$C$79)</f>
        <v>#REF!</v>
      </c>
      <c r="AC79" s="11" t="e">
        <f ca="1">IF(History!AG$2="","",#REF!*$C$79)</f>
        <v>#REF!</v>
      </c>
      <c r="AD79" s="11" t="e">
        <f ca="1">IF(History!AH$2="","",#REF!*$C$79)</f>
        <v>#REF!</v>
      </c>
      <c r="AE79" s="11" t="e">
        <f ca="1">IF(History!AI$2="","",#REF!*$C$79)</f>
        <v>#REF!</v>
      </c>
      <c r="AF79" s="11" t="e">
        <f ca="1">IF(History!AJ$2="","",#REF!*$C$79)</f>
        <v>#REF!</v>
      </c>
      <c r="AG79" s="11" t="e">
        <f ca="1">IF(History!AK$2="","",#REF!*$C$79)</f>
        <v>#REF!</v>
      </c>
      <c r="AH79" s="11" t="e">
        <f ca="1">IF(History!AL$2="","",#REF!*$C$79)</f>
        <v>#REF!</v>
      </c>
      <c r="AI79" s="11" t="e">
        <f ca="1">IF(History!AM$2="","",#REF!*$C$79)</f>
        <v>#REF!</v>
      </c>
      <c r="AJ79" s="11" t="e">
        <f ca="1">IF(History!AN$2="","",#REF!*$C$79)</f>
        <v>#REF!</v>
      </c>
      <c r="AK79" s="11" t="e">
        <f ca="1">IF(History!AO$2="","",#REF!*$C$79)</f>
        <v>#REF!</v>
      </c>
      <c r="AL79" s="11" t="e">
        <f ca="1">IF(History!AP$2="","",#REF!*$C$79)</f>
        <v>#REF!</v>
      </c>
      <c r="AM79" s="11" t="e">
        <f ca="1">IF(History!AQ$2="","",#REF!*$C$79)</f>
        <v>#REF!</v>
      </c>
      <c r="AN79" s="11" t="e">
        <f ca="1">IF(History!AR$2="","",#REF!*$C$79)</f>
        <v>#REF!</v>
      </c>
      <c r="AO79" s="11" t="e">
        <f ca="1">IF(History!AS$2="","",#REF!*$C$79)</f>
        <v>#REF!</v>
      </c>
      <c r="AP79" s="11" t="e">
        <f ca="1">IF(History!AT$2="","",#REF!*$C$79)</f>
        <v>#REF!</v>
      </c>
      <c r="AQ79" s="11" t="e">
        <f ca="1">IF(History!AU$2="","",#REF!*$C$79)</f>
        <v>#REF!</v>
      </c>
      <c r="AR79" s="11" t="e">
        <f ca="1">IF(History!AV$2="","",#REF!*$C$79)</f>
        <v>#REF!</v>
      </c>
      <c r="AS79" s="11" t="e">
        <f ca="1">IF(History!AW$2="","",#REF!*$C$79)</f>
        <v>#REF!</v>
      </c>
      <c r="AT79" s="11" t="e">
        <f ca="1">IF(History!AX$2="","",#REF!*$C$79)</f>
        <v>#REF!</v>
      </c>
      <c r="AU79" s="11" t="e">
        <f ca="1">IF(History!AY$2="","",#REF!*$C$79)</f>
        <v>#REF!</v>
      </c>
      <c r="AV79" s="11" t="e">
        <f ca="1">IF(History!AZ$2="","",#REF!*$C$79)</f>
        <v>#REF!</v>
      </c>
      <c r="AW79" s="11" t="e">
        <f ca="1">IF(History!BA$2="","",#REF!*$C$79)</f>
        <v>#REF!</v>
      </c>
      <c r="AX79" s="11" t="e">
        <f ca="1">IF(History!BB$2="","",#REF!*$C$79)</f>
        <v>#REF!</v>
      </c>
      <c r="AY79" s="11" t="e">
        <f ca="1">IF(History!BC$2="","",#REF!*$C$79)</f>
        <v>#REF!</v>
      </c>
      <c r="AZ79" s="11" t="e">
        <f ca="1">IF(History!BD$2="","",#REF!*$C$79)</f>
        <v>#REF!</v>
      </c>
      <c r="BA79" s="11" t="e">
        <f ca="1">IF(History!BE$2="","",#REF!*$C$79)</f>
        <v>#REF!</v>
      </c>
      <c r="BB79" s="11" t="e">
        <f ca="1">IF(History!BF$2="","",#REF!*$C$79)</f>
        <v>#REF!</v>
      </c>
      <c r="BC79" s="11" t="e">
        <f ca="1">IF(History!BG$2="","",#REF!*$C$79)</f>
        <v>#REF!</v>
      </c>
      <c r="BD79" s="11" t="e">
        <f ca="1">IF(History!BH$2="","",#REF!*$C$79)</f>
        <v>#REF!</v>
      </c>
      <c r="BE79" s="11" t="e">
        <f ca="1">IF(History!BI$2="","",#REF!*$C$79)</f>
        <v>#REF!</v>
      </c>
      <c r="BF79" s="11" t="e">
        <f ca="1">IF(History!BJ$2="","",#REF!*$C$79)</f>
        <v>#REF!</v>
      </c>
      <c r="BG79" s="11" t="e">
        <f ca="1">IF(History!BK$2="","",#REF!*$C$79)</f>
        <v>#REF!</v>
      </c>
      <c r="BH79" s="11" t="e">
        <f ca="1">IF(History!BL$2="","",#REF!*$C$79)</f>
        <v>#REF!</v>
      </c>
      <c r="BI79" s="11" t="e">
        <f ca="1">IF(History!BM$2="","",#REF!*$C$79)</f>
        <v>#REF!</v>
      </c>
      <c r="BJ79" s="11" t="e">
        <f ca="1">IF(History!BN$2="","",#REF!*$C$79)</f>
        <v>#REF!</v>
      </c>
      <c r="BK79" s="11" t="e">
        <f ca="1">IF(History!BO$2="","",#REF!*$C$79)</f>
        <v>#REF!</v>
      </c>
      <c r="BL79" s="11" t="e">
        <f ca="1">IF(History!BP$2="","",#REF!*$C$79)</f>
        <v>#REF!</v>
      </c>
      <c r="BM79" s="11" t="e">
        <f ca="1">IF(History!BQ$2="","",#REF!*$C$79)</f>
        <v>#REF!</v>
      </c>
      <c r="BN79" s="11" t="e">
        <f ca="1">IF(History!BR$2="","",#REF!*$C$79)</f>
        <v>#REF!</v>
      </c>
      <c r="BO79" s="11" t="e">
        <f ca="1">IF(History!BS$2="","",#REF!*$C$79)</f>
        <v>#REF!</v>
      </c>
      <c r="BP79" s="11" t="e">
        <f ca="1">IF(History!BT$2="","",#REF!*$C$79)</f>
        <v>#REF!</v>
      </c>
      <c r="BQ79" s="11" t="e">
        <f ca="1">IF(History!BU$2="","",#REF!*$C$79)</f>
        <v>#REF!</v>
      </c>
      <c r="BR79" s="11" t="e">
        <f ca="1">IF(History!BV$2="","",#REF!*$C$79)</f>
        <v>#REF!</v>
      </c>
      <c r="BS79" s="11" t="e">
        <f ca="1">IF(History!BW$2="","",#REF!*$C$79)</f>
        <v>#REF!</v>
      </c>
      <c r="BT79" s="11" t="e">
        <f ca="1">IF(History!BX$2="","",#REF!*$C$79)</f>
        <v>#REF!</v>
      </c>
      <c r="BU79" s="11" t="e">
        <f ca="1">IF(History!BY$2="","",#REF!*$C$79)</f>
        <v>#REF!</v>
      </c>
      <c r="BV79" s="11" t="e">
        <f ca="1">IF(History!BZ$2="","",#REF!*$C$79)</f>
        <v>#REF!</v>
      </c>
      <c r="BW79" s="11" t="e">
        <f ca="1">IF(History!CA$2="","",#REF!*$C$79)</f>
        <v>#REF!</v>
      </c>
      <c r="BX79" s="11" t="e">
        <f ca="1">IF(History!CB$2="","",#REF!*$C$79)</f>
        <v>#REF!</v>
      </c>
      <c r="BY79" s="11" t="e">
        <f ca="1">IF(History!CC$2="","",#REF!*$C$79)</f>
        <v>#REF!</v>
      </c>
      <c r="BZ79" s="11" t="e">
        <f ca="1">IF(History!CD$2="","",#REF!*$C$79)</f>
        <v>#REF!</v>
      </c>
      <c r="CA79" s="11" t="e">
        <f ca="1">IF(History!CE$2="","",#REF!*$C$79)</f>
        <v>#REF!</v>
      </c>
      <c r="CB79" s="11" t="e">
        <f ca="1">IF(History!CF$2="","",#REF!*$C$79)</f>
        <v>#REF!</v>
      </c>
      <c r="CC79" s="11" t="e">
        <f ca="1">IF(History!CG$2="","",#REF!*$C$79)</f>
        <v>#REF!</v>
      </c>
      <c r="CD79" s="11" t="e">
        <f ca="1">IF(History!CH$2="","",#REF!*$C$79)</f>
        <v>#REF!</v>
      </c>
      <c r="CE79" s="11" t="e">
        <f ca="1">IF(History!CI$2="","",#REF!*$C$79)</f>
        <v>#REF!</v>
      </c>
      <c r="CF79" s="11" t="str">
        <f ca="1">IF(History!CJ$2="","",#REF!*$C$79)</f>
        <v/>
      </c>
      <c r="CG79" s="11" t="str">
        <f ca="1">IF(History!CK$2="","",#REF!*$C$79)</f>
        <v/>
      </c>
      <c r="CH79" s="11" t="str">
        <f ca="1">IF(History!CL$2="","",#REF!*$C$79)</f>
        <v/>
      </c>
      <c r="CI79" s="11" t="str">
        <f ca="1">IF(History!CM$2="","",#REF!*$C$79)</f>
        <v/>
      </c>
      <c r="CJ79" s="11" t="str">
        <f ca="1">IF(History!CN$2="","",#REF!*$C$79)</f>
        <v/>
      </c>
      <c r="CK79" s="11" t="str">
        <f ca="1">IF(History!CO$2="","",#REF!*$C$79)</f>
        <v/>
      </c>
      <c r="CL79" s="11" t="str">
        <f ca="1">IF(History!CP$2="","",#REF!*$C$79)</f>
        <v/>
      </c>
      <c r="CM79" s="11" t="str">
        <f ca="1">IF(History!CQ$2="","",#REF!*$C$79)</f>
        <v/>
      </c>
      <c r="CN79" s="11" t="str">
        <f ca="1">IF(History!CR$2="","",#REF!*$C$79)</f>
        <v/>
      </c>
      <c r="CO79" s="11" t="str">
        <f ca="1">IF(History!CS$2="","",#REF!*$C$79)</f>
        <v/>
      </c>
      <c r="CP79" s="11" t="str">
        <f ca="1">IF(History!CT$2="","",#REF!*$C$79)</f>
        <v/>
      </c>
      <c r="CQ79" s="11" t="str">
        <f ca="1">IF(History!CU$2="","",#REF!*$C$79)</f>
        <v/>
      </c>
      <c r="CR79" s="11" t="str">
        <f ca="1">IF(History!CV$2="","",#REF!*$C$79)</f>
        <v/>
      </c>
      <c r="CS79" s="11" t="str">
        <f ca="1">IF(History!CW$2="","",#REF!*$C$79)</f>
        <v/>
      </c>
      <c r="CT79" s="11" t="str">
        <f ca="1">IF(History!CX$2="","",#REF!*$C$79)</f>
        <v/>
      </c>
      <c r="CU79" s="11" t="str">
        <f ca="1">IF(History!CY$2="","",#REF!*$C$79)</f>
        <v/>
      </c>
      <c r="CV79" s="11" t="str">
        <f ca="1">IF(History!CZ$2="","",#REF!*$C$79)</f>
        <v/>
      </c>
      <c r="CW79" s="11" t="str">
        <f ca="1">IF(History!DA$2="","",#REF!*$C$79)</f>
        <v/>
      </c>
      <c r="CX79" s="11" t="str">
        <f ca="1">IF(History!DB$2="","",#REF!*$C$79)</f>
        <v/>
      </c>
      <c r="CY79" s="11" t="str">
        <f ca="1">IF(History!DC$2="","",#REF!*$C$79)</f>
        <v/>
      </c>
      <c r="CZ79" s="11" t="str">
        <f ca="1">IF(History!DD$2="","",#REF!*$C$79)</f>
        <v/>
      </c>
      <c r="DA79" s="11" t="str">
        <f ca="1">IF(History!DE$2="","",#REF!*$C$79)</f>
        <v/>
      </c>
      <c r="DB79" s="11" t="str">
        <f ca="1">IF(History!DF$2="","",#REF!*$C$79)</f>
        <v/>
      </c>
      <c r="DC79" s="11" t="str">
        <f ca="1">IF(History!DG$2="","",#REF!*$C$79)</f>
        <v/>
      </c>
      <c r="DD79" s="11" t="str">
        <f ca="1">IF(History!DH$2="","",#REF!*$C$79)</f>
        <v/>
      </c>
      <c r="DE79" s="11" t="str">
        <f ca="1">IF(History!DI$2="","",#REF!*$C$79)</f>
        <v/>
      </c>
      <c r="DF79" s="11" t="str">
        <f ca="1">IF(History!DJ$2="","",#REF!*$C$79)</f>
        <v/>
      </c>
      <c r="DG79" s="11" t="str">
        <f ca="1">IF(History!DK$2="","",#REF!*$C$79)</f>
        <v/>
      </c>
      <c r="DH79" s="11" t="str">
        <f ca="1">IF(History!DL$2="","",#REF!*$C$79)</f>
        <v/>
      </c>
      <c r="DI79" s="11" t="str">
        <f ca="1">IF(History!DM$2="","",#REF!*$C$79)</f>
        <v/>
      </c>
      <c r="DJ79" s="11" t="str">
        <f ca="1">IF(History!DN$2="","",#REF!*$C$79)</f>
        <v/>
      </c>
      <c r="DK79" s="11" t="str">
        <f ca="1">IF(History!DO$2="","",#REF!*$C$79)</f>
        <v/>
      </c>
      <c r="DL79" s="11" t="str">
        <f ca="1">IF(History!DP$2="","",#REF!*$C$79)</f>
        <v/>
      </c>
      <c r="DM79" s="11" t="str">
        <f ca="1">IF(History!DQ$2="","",#REF!*$C$79)</f>
        <v/>
      </c>
      <c r="DN79" s="11" t="str">
        <f ca="1">IF(History!DR$2="","",#REF!*$C$79)</f>
        <v/>
      </c>
      <c r="DO79" s="11" t="str">
        <f ca="1">IF(History!DS$2="","",#REF!*$C$79)</f>
        <v/>
      </c>
      <c r="DP79" s="11" t="str">
        <f ca="1">IF(History!DT$2="","",#REF!*$C$79)</f>
        <v/>
      </c>
      <c r="DQ79" s="11" t="str">
        <f ca="1">IF(History!DU$2="","",#REF!*$C$79)</f>
        <v/>
      </c>
      <c r="DR79" s="11" t="str">
        <f ca="1">IF(History!DV$2="","",#REF!*$C$79)</f>
        <v/>
      </c>
      <c r="DS79" s="11" t="str">
        <f ca="1">IF(History!DW$2="","",#REF!*$C$79)</f>
        <v/>
      </c>
      <c r="DT79" s="11" t="str">
        <f ca="1">IF(History!DX$2="","",#REF!*$C$79)</f>
        <v/>
      </c>
      <c r="DU79" s="11" t="str">
        <f ca="1">IF(History!DY$2="","",#REF!*$C$79)</f>
        <v/>
      </c>
      <c r="DV79" s="11" t="str">
        <f ca="1">IF(History!DZ$2="","",#REF!*$C$79)</f>
        <v/>
      </c>
      <c r="DW79" s="11" t="str">
        <f ca="1">IF(History!EA$2="","",#REF!*$C$79)</f>
        <v/>
      </c>
      <c r="DX79" s="11" t="str">
        <f ca="1">IF(History!EB$2="","",#REF!*$C$79)</f>
        <v/>
      </c>
      <c r="DY79" s="11" t="str">
        <f ca="1">IF(History!EC$2="","",#REF!*$C$79)</f>
        <v/>
      </c>
      <c r="DZ79" s="11" t="str">
        <f ca="1">IF(History!ED$2="","",#REF!*$C$79)</f>
        <v/>
      </c>
      <c r="EA79" s="11" t="str">
        <f ca="1">IF(History!EE$2="","",#REF!*$C$79)</f>
        <v/>
      </c>
      <c r="EB79" s="11" t="str">
        <f ca="1">IF(History!EF$2="","",#REF!*$C$79)</f>
        <v/>
      </c>
      <c r="EC79" s="11" t="str">
        <f ca="1">IF(History!EG$2="","",#REF!*$C$79)</f>
        <v/>
      </c>
      <c r="ED79" s="11" t="str">
        <f ca="1">IF(History!EH$2="","",#REF!*$C$79)</f>
        <v/>
      </c>
      <c r="EE79" s="11" t="str">
        <f ca="1">IF(History!EI$2="","",#REF!*$C$79)</f>
        <v/>
      </c>
      <c r="EF79" s="11" t="str">
        <f ca="1">IF(History!EJ$2="","",#REF!*$C$79)</f>
        <v/>
      </c>
      <c r="EG79" s="11" t="str">
        <f ca="1">IF(History!EK$2="","",#REF!*$C$79)</f>
        <v/>
      </c>
      <c r="EH79" s="11" t="str">
        <f ca="1">IF(History!EL$2="","",#REF!*$C$79)</f>
        <v/>
      </c>
      <c r="EI79" s="11" t="str">
        <f ca="1">IF(History!EM$2="","",#REF!*$C$79)</f>
        <v/>
      </c>
      <c r="EJ79" s="11" t="str">
        <f ca="1">IF(History!EN$2="","",#REF!*$C$79)</f>
        <v/>
      </c>
      <c r="EK79" s="11" t="str">
        <f ca="1">IF(History!EO$2="","",#REF!*$C$79)</f>
        <v/>
      </c>
      <c r="EL79" s="11" t="str">
        <f ca="1">IF(History!EP$2="","",#REF!*$C$79)</f>
        <v/>
      </c>
      <c r="EM79" s="11" t="str">
        <f ca="1">IF(History!EQ$2="","",#REF!*$C$79)</f>
        <v/>
      </c>
      <c r="EN79" s="11" t="str">
        <f ca="1">IF(History!ER$2="","",#REF!*$C$79)</f>
        <v/>
      </c>
      <c r="EO79" s="11" t="str">
        <f ca="1">IF(History!ES$2="","",#REF!*$C$79)</f>
        <v/>
      </c>
      <c r="EP79" s="11" t="str">
        <f ca="1">IF(History!ET$2="","",#REF!*$C$79)</f>
        <v/>
      </c>
      <c r="EQ79" s="11" t="str">
        <f ca="1">IF(History!EU$2="","",#REF!*$C$79)</f>
        <v/>
      </c>
      <c r="ER79" s="11" t="str">
        <f ca="1">IF(History!EV$2="","",#REF!*$C$79)</f>
        <v/>
      </c>
      <c r="ES79" s="11" t="str">
        <f ca="1">IF(History!EW$2="","",#REF!*$C$79)</f>
        <v/>
      </c>
      <c r="ET79" s="11" t="str">
        <f ca="1">IF(History!EX$2="","",#REF!*$C$79)</f>
        <v/>
      </c>
      <c r="EU79" s="11" t="str">
        <f ca="1">IF(History!EY$2="","",#REF!*$C$79)</f>
        <v/>
      </c>
      <c r="EV79" s="11" t="str">
        <f ca="1">IF(History!EZ$2="","",#REF!*$C$79)</f>
        <v/>
      </c>
      <c r="EW79" s="11" t="str">
        <f ca="1">IF(History!FA$2="","",#REF!*$C$79)</f>
        <v/>
      </c>
      <c r="EX79" s="11" t="str">
        <f ca="1">IF(History!FB$2="","",#REF!*$C$79)</f>
        <v/>
      </c>
      <c r="EY79" s="11" t="str">
        <f ca="1">IF(History!FC$2="","",#REF!*$C$79)</f>
        <v/>
      </c>
      <c r="EZ79" s="11" t="str">
        <f ca="1">IF(History!FD$2="","",#REF!*$C$79)</f>
        <v/>
      </c>
      <c r="FA79" s="11" t="str">
        <f ca="1">IF(History!FE$2="","",#REF!*$C$79)</f>
        <v/>
      </c>
      <c r="FB79" s="11" t="str">
        <f ca="1">IF(History!FF$2="","",#REF!*$C$79)</f>
        <v/>
      </c>
      <c r="FC79" s="11" t="str">
        <f ca="1">IF(History!FG$2="","",#REF!*$C$79)</f>
        <v/>
      </c>
      <c r="FD79" s="11" t="str">
        <f ca="1">IF(History!FH$2="","",#REF!*$C$79)</f>
        <v/>
      </c>
      <c r="FE79" s="11" t="str">
        <f ca="1">IF(History!FI$2="","",#REF!*$C$79)</f>
        <v/>
      </c>
      <c r="FF79" s="11" t="str">
        <f ca="1">IF(History!FJ$2="","",#REF!*$C$79)</f>
        <v/>
      </c>
      <c r="FG79" s="11" t="str">
        <f ca="1">IF(History!FK$2="","",#REF!*$C$79)</f>
        <v/>
      </c>
      <c r="FH79" s="11" t="str">
        <f ca="1">IF(History!FL$2="","",#REF!*$C$79)</f>
        <v/>
      </c>
      <c r="FI79" s="11" t="str">
        <f ca="1">IF(History!FM$2="","",#REF!*$C$79)</f>
        <v/>
      </c>
      <c r="FJ79" s="11" t="str">
        <f ca="1">IF(History!FN$2="","",#REF!*$C$79)</f>
        <v/>
      </c>
      <c r="FK79" s="11" t="str">
        <f ca="1">IF(History!FO$2="","",#REF!*$C$79)</f>
        <v/>
      </c>
      <c r="FL79" s="11" t="str">
        <f ca="1">IF(History!FP$2="","",#REF!*$C$79)</f>
        <v/>
      </c>
      <c r="FM79" s="11" t="str">
        <f ca="1">IF(History!FQ$2="","",#REF!*$C$79)</f>
        <v/>
      </c>
      <c r="FN79" s="11" t="str">
        <f ca="1">IF(History!FR$2="","",#REF!*$C$79)</f>
        <v/>
      </c>
      <c r="FO79" s="11" t="str">
        <f ca="1">IF(History!FS$2="","",#REF!*$C$79)</f>
        <v/>
      </c>
      <c r="FP79" s="11" t="str">
        <f ca="1">IF(History!FT$2="","",#REF!*$C$79)</f>
        <v/>
      </c>
      <c r="FQ79" s="11" t="str">
        <f ca="1">IF(History!FU$2="","",#REF!*$C$79)</f>
        <v/>
      </c>
      <c r="FR79" s="11" t="str">
        <f ca="1">IF(History!FV$2="","",#REF!*$C$79)</f>
        <v/>
      </c>
      <c r="FS79" s="11" t="str">
        <f ca="1">IF(History!FW$2="","",#REF!*$C$79)</f>
        <v/>
      </c>
      <c r="FT79" s="11" t="str">
        <f ca="1">IF(History!FX$2="","",#REF!*$C$79)</f>
        <v/>
      </c>
      <c r="FU79" s="11" t="str">
        <f ca="1">IF(History!FY$2="","",#REF!*$C$79)</f>
        <v/>
      </c>
      <c r="FV79" s="11" t="str">
        <f ca="1">IF(History!FZ$2="","",#REF!*$C$79)</f>
        <v/>
      </c>
      <c r="FW79" s="11" t="str">
        <f ca="1">IF(History!GA$2="","",#REF!*$C$79)</f>
        <v/>
      </c>
      <c r="FX79" s="11" t="str">
        <f ca="1">IF(History!GB$2="","",#REF!*$C$79)</f>
        <v/>
      </c>
      <c r="FY79" s="11" t="str">
        <f ca="1">IF(History!GC$2="","",#REF!*$C$79)</f>
        <v/>
      </c>
      <c r="FZ79" s="11" t="str">
        <f ca="1">IF(History!GD$2="","",#REF!*$C$79)</f>
        <v/>
      </c>
      <c r="GA79" s="11" t="str">
        <f ca="1">IF(History!GE$2="","",#REF!*$C$79)</f>
        <v/>
      </c>
      <c r="GB79" s="11" t="str">
        <f ca="1">IF(History!GF$2="","",#REF!*$C$79)</f>
        <v/>
      </c>
      <c r="GC79" s="11" t="str">
        <f ca="1">IF(History!GG$2="","",#REF!*$C$79)</f>
        <v/>
      </c>
      <c r="GD79" s="11" t="str">
        <f ca="1">IF(History!GH$2="","",#REF!*$C$79)</f>
        <v/>
      </c>
      <c r="GE79" s="11" t="str">
        <f ca="1">IF(History!GI$2="","",#REF!*$C$79)</f>
        <v/>
      </c>
      <c r="GF79" s="11" t="str">
        <f ca="1">IF(History!GJ$2="","",#REF!*$C$79)</f>
        <v/>
      </c>
      <c r="GG79" s="11" t="str">
        <f ca="1">IF(History!GK$2="","",#REF!*$C$79)</f>
        <v/>
      </c>
      <c r="GH79" s="11" t="str">
        <f ca="1">IF(History!GL$2="","",#REF!*$C$79)</f>
        <v/>
      </c>
      <c r="GI79" s="11" t="str">
        <f ca="1">IF(History!GM$2="","",#REF!*$C$79)</f>
        <v/>
      </c>
      <c r="GJ79" s="11" t="str">
        <f ca="1">IF(History!GN$2="","",#REF!*$C$79)</f>
        <v/>
      </c>
      <c r="GK79" s="11" t="str">
        <f ca="1">IF(History!GO$2="","",#REF!*$C$79)</f>
        <v/>
      </c>
      <c r="GL79" s="11" t="str">
        <f ca="1">IF(History!GP$2="","",#REF!*$C$79)</f>
        <v/>
      </c>
      <c r="GM79" s="11" t="str">
        <f ca="1">IF(History!GQ$2="","",#REF!*$C$79)</f>
        <v/>
      </c>
      <c r="GN79" s="11" t="str">
        <f ca="1">IF(History!GR$2="","",#REF!*$C$79)</f>
        <v/>
      </c>
      <c r="GO79" s="11" t="str">
        <f ca="1">IF(History!GS$2="","",#REF!*$C$79)</f>
        <v/>
      </c>
      <c r="GP79" s="11" t="str">
        <f ca="1">IF(History!GT$2="","",#REF!*$C$79)</f>
        <v/>
      </c>
      <c r="GQ79" s="11" t="str">
        <f ca="1">IF(History!GU$2="","",#REF!*$C$79)</f>
        <v/>
      </c>
      <c r="GR79" s="11" t="str">
        <f ca="1">IF(History!GV$2="","",#REF!*$C$79)</f>
        <v/>
      </c>
      <c r="GS79" s="11" t="str">
        <f ca="1">IF(History!GW$2="","",#REF!*$C$79)</f>
        <v/>
      </c>
      <c r="GT79" s="11" t="str">
        <f ca="1">IF(History!GX$2="","",#REF!*$C$79)</f>
        <v/>
      </c>
      <c r="GU79" s="11" t="str">
        <f ca="1">IF(History!GY$2="","",#REF!*$C$79)</f>
        <v/>
      </c>
      <c r="GV79" s="11" t="str">
        <f ca="1">IF(History!GZ$2="","",#REF!*$C$79)</f>
        <v/>
      </c>
      <c r="GW79" s="11" t="str">
        <f ca="1">IF(History!HA$2="","",#REF!*$C$79)</f>
        <v/>
      </c>
      <c r="GX79" s="11" t="str">
        <f ca="1">IF(History!HB$2="","",#REF!*$C$79)</f>
        <v/>
      </c>
      <c r="GY79" s="11" t="str">
        <f ca="1">IF(History!HC$2="","",#REF!*$C$79)</f>
        <v/>
      </c>
      <c r="GZ79" s="11" t="str">
        <f ca="1">IF(History!HD$2="","",#REF!*$C$79)</f>
        <v/>
      </c>
      <c r="HA79" s="11" t="str">
        <f ca="1">IF(History!HE$2="","",#REF!*$C$79)</f>
        <v/>
      </c>
      <c r="HB79" s="11" t="str">
        <f ca="1">IF(History!HF$2="","",#REF!*$C$79)</f>
        <v/>
      </c>
      <c r="HC79" s="11" t="str">
        <f ca="1">IF(History!HG$2="","",#REF!*$C$79)</f>
        <v/>
      </c>
      <c r="HD79" s="11" t="str">
        <f ca="1">IF(History!HH$2="","",#REF!*$C$79)</f>
        <v/>
      </c>
      <c r="HE79" s="11" t="str">
        <f ca="1">IF(History!HI$2="","",#REF!*$C$79)</f>
        <v/>
      </c>
      <c r="HF79" s="11" t="str">
        <f ca="1">IF(History!HJ$2="","",#REF!*$C$79)</f>
        <v/>
      </c>
      <c r="HG79" s="11" t="str">
        <f ca="1">IF(History!HK$2="","",#REF!*$C$79)</f>
        <v/>
      </c>
      <c r="HH79" s="11" t="str">
        <f ca="1">IF(History!HL$2="","",#REF!*$C$79)</f>
        <v/>
      </c>
      <c r="HI79" s="11" t="str">
        <f ca="1">IF(History!HM$2="","",#REF!*$C$79)</f>
        <v/>
      </c>
      <c r="HJ79" s="11" t="str">
        <f ca="1">IF(History!HN$2="","",#REF!*$C$79)</f>
        <v/>
      </c>
      <c r="HK79" s="11" t="str">
        <f ca="1">IF(History!HO$2="","",#REF!*$C$79)</f>
        <v/>
      </c>
      <c r="HL79" s="11" t="str">
        <f ca="1">IF(History!HP$2="","",#REF!*$C$79)</f>
        <v/>
      </c>
      <c r="HM79" s="11" t="str">
        <f ca="1">IF(History!HQ$2="","",#REF!*$C$79)</f>
        <v/>
      </c>
      <c r="HN79" s="11" t="str">
        <f ca="1">IF(History!HR$2="","",#REF!*$C$79)</f>
        <v/>
      </c>
      <c r="HO79" s="11" t="str">
        <f ca="1">IF(History!HS$2="","",#REF!*$C$79)</f>
        <v/>
      </c>
      <c r="HP79" s="11" t="str">
        <f ca="1">IF(History!HT$2="","",#REF!*$C$79)</f>
        <v/>
      </c>
      <c r="HQ79" s="11" t="str">
        <f ca="1">IF(History!HU$2="","",#REF!*$C$79)</f>
        <v/>
      </c>
      <c r="HR79" s="11" t="str">
        <f ca="1">IF(History!HV$2="","",#REF!*$C$79)</f>
        <v/>
      </c>
      <c r="HS79" s="11" t="str">
        <f ca="1">IF(History!HW$2="","",#REF!*$C$79)</f>
        <v/>
      </c>
      <c r="HT79" s="11" t="str">
        <f ca="1">IF(History!HX$2="","",#REF!*$C$79)</f>
        <v/>
      </c>
      <c r="HU79" s="11" t="str">
        <f ca="1">IF(History!HY$2="","",#REF!*$C$79)</f>
        <v/>
      </c>
      <c r="HV79" s="11" t="str">
        <f ca="1">IF(History!HZ$2="","",#REF!*$C$79)</f>
        <v/>
      </c>
      <c r="HW79" s="11" t="str">
        <f ca="1">IF(History!IA$2="","",#REF!*$C$79)</f>
        <v/>
      </c>
      <c r="HX79" s="11" t="str">
        <f ca="1">IF(History!IB$2="","",#REF!*$C$79)</f>
        <v/>
      </c>
      <c r="HY79" s="11" t="str">
        <f ca="1">IF(History!IC$2="","",#REF!*$C$79)</f>
        <v/>
      </c>
      <c r="HZ79" s="11" t="str">
        <f ca="1">IF(History!ID$2="","",#REF!*$C$79)</f>
        <v/>
      </c>
      <c r="IA79" s="11" t="str">
        <f ca="1">IF(History!IE$2="","",#REF!*$C$79)</f>
        <v/>
      </c>
      <c r="IB79" s="11" t="str">
        <f ca="1">IF(History!IF$2="","",#REF!*$C$79)</f>
        <v/>
      </c>
      <c r="IC79" s="11" t="str">
        <f ca="1">IF(History!IG$2="","",#REF!*$C$79)</f>
        <v/>
      </c>
      <c r="ID79" s="11" t="str">
        <f ca="1">IF(History!IH$2="","",#REF!*$C$79)</f>
        <v/>
      </c>
      <c r="IE79" s="11" t="str">
        <f ca="1">IF(History!II$2="","",#REF!*$C$79)</f>
        <v/>
      </c>
      <c r="IF79" s="11" t="str">
        <f ca="1">IF(History!IJ$2="","",#REF!*$C$79)</f>
        <v/>
      </c>
      <c r="IG79" s="11" t="str">
        <f ca="1">IF(History!IK$2="","",#REF!*$C$79)</f>
        <v/>
      </c>
      <c r="IH79" s="11" t="str">
        <f ca="1">IF(History!IL$2="","",#REF!*$C$79)</f>
        <v/>
      </c>
      <c r="II79" s="11" t="str">
        <f ca="1">IF(History!IM$2="","",#REF!*$C$79)</f>
        <v/>
      </c>
      <c r="IJ79" s="11" t="str">
        <f ca="1">IF(History!IN$2="","",#REF!*$C$79)</f>
        <v/>
      </c>
      <c r="IK79" s="11" t="str">
        <f ca="1">IF(History!IO$2="","",#REF!*$C$79)</f>
        <v/>
      </c>
      <c r="IL79" s="11" t="str">
        <f ca="1">IF(History!IP$2="","",#REF!*$C$79)</f>
        <v/>
      </c>
      <c r="IM79" s="11" t="str">
        <f ca="1">IF(History!IQ$2="","",#REF!*$C$79)</f>
        <v/>
      </c>
      <c r="IN79" s="11" t="str">
        <f ca="1">IF(History!IR$2="","",#REF!*$C$79)</f>
        <v/>
      </c>
      <c r="IO79" s="11" t="str">
        <f ca="1">IF(History!IS$2="","",#REF!*$C$79)</f>
        <v/>
      </c>
      <c r="IP79" s="11" t="str">
        <f ca="1">IF(History!IT$2="","",#REF!*$C$79)</f>
        <v/>
      </c>
      <c r="IQ79" s="11" t="str">
        <f ca="1">IF(History!IU$2="","",#REF!*$C$79)</f>
        <v/>
      </c>
      <c r="IR79" s="11" t="str">
        <f ca="1">IF(History!IV$2="","",#REF!*$C$79)</f>
        <v/>
      </c>
      <c r="IS79" s="11" t="str">
        <f ca="1">IF(History!IW$2="","",#REF!*$C$79)</f>
        <v/>
      </c>
      <c r="IT79" s="11" t="str">
        <f ca="1">IF(History!IX$2="","",#REF!*$C$79)</f>
        <v/>
      </c>
      <c r="IU79" s="11" t="str">
        <f ca="1">IF(History!IY$2="","",#REF!*$C$79)</f>
        <v/>
      </c>
      <c r="IV79" s="11" t="str">
        <f ca="1">IF(History!IZ$2="","",#REF!*$C$79)</f>
        <v/>
      </c>
      <c r="IW79" s="11" t="str">
        <f ca="1">IF(History!JA$2="","",#REF!*$C$79)</f>
        <v/>
      </c>
      <c r="IX79" s="11" t="str">
        <f ca="1">IF(History!JB$2="","",#REF!*$C$79)</f>
        <v/>
      </c>
      <c r="IY79" s="11" t="str">
        <f ca="1">IF(History!JC$2="","",#REF!*$C$79)</f>
        <v/>
      </c>
      <c r="IZ79" s="11" t="str">
        <f ca="1">IF(History!JD$2="","",#REF!*$C$79)</f>
        <v/>
      </c>
      <c r="JA79" s="11" t="str">
        <f ca="1">IF(History!JE$2="","",#REF!*$C$79)</f>
        <v/>
      </c>
      <c r="JB79" s="11" t="str">
        <f ca="1">IF(History!JF$2="","",#REF!*$C$79)</f>
        <v/>
      </c>
      <c r="JC79" s="11" t="str">
        <f ca="1">IF(History!JG$2="","",#REF!*$C$79)</f>
        <v/>
      </c>
      <c r="JD79" s="11" t="str">
        <f ca="1">IF(History!JH$2="","",#REF!*$C$79)</f>
        <v/>
      </c>
      <c r="JE79" s="11" t="str">
        <f ca="1">IF(History!JI$2="","",#REF!*$C$79)</f>
        <v/>
      </c>
      <c r="JF79" s="11" t="str">
        <f ca="1">IF(History!JJ$2="","",#REF!*$C$79)</f>
        <v/>
      </c>
      <c r="JG79" s="11" t="str">
        <f ca="1">IF(History!JK$2="","",#REF!*$C$79)</f>
        <v/>
      </c>
      <c r="JH79" s="11" t="str">
        <f ca="1">IF(History!JL$2="","",#REF!*$C$79)</f>
        <v/>
      </c>
      <c r="JI79" s="11" t="str">
        <f ca="1">IF(History!JM$2="","",#REF!*$C$79)</f>
        <v/>
      </c>
      <c r="JJ79" s="11" t="str">
        <f ca="1">IF(History!JN$2="","",#REF!*$C$79)</f>
        <v/>
      </c>
      <c r="JK79" s="11" t="str">
        <f ca="1">IF(History!JO$2="","",#REF!*$C$79)</f>
        <v/>
      </c>
      <c r="JL79" s="11" t="str">
        <f ca="1">IF(History!JP$2="","",#REF!*$C$79)</f>
        <v/>
      </c>
      <c r="JM79" s="11" t="str">
        <f ca="1">IF(History!JQ$2="","",#REF!*$C$79)</f>
        <v/>
      </c>
      <c r="JN79" s="11" t="str">
        <f ca="1">IF(History!JR$2="","",#REF!*$C$79)</f>
        <v/>
      </c>
      <c r="JO79" s="11" t="str">
        <f ca="1">IF(History!JS$2="","",#REF!*$C$79)</f>
        <v/>
      </c>
      <c r="JP79" s="11" t="str">
        <f ca="1">IF(History!JT$2="","",#REF!*$C$79)</f>
        <v/>
      </c>
      <c r="JQ79" s="11" t="str">
        <f ca="1">IF(History!JU$2="","",#REF!*$C$79)</f>
        <v/>
      </c>
      <c r="JR79" s="11" t="str">
        <f ca="1">IF(History!JV$2="","",#REF!*$C$79)</f>
        <v/>
      </c>
      <c r="JS79" s="11" t="str">
        <f ca="1">IF(History!JW$2="","",#REF!*$C$79)</f>
        <v/>
      </c>
      <c r="JT79" s="11" t="str">
        <f ca="1">IF(History!JX$2="","",#REF!*$C$79)</f>
        <v/>
      </c>
      <c r="JU79" s="11" t="str">
        <f ca="1">IF(History!JY$2="","",#REF!*$C$79)</f>
        <v/>
      </c>
      <c r="JV79" s="11" t="str">
        <f ca="1">IF(History!JZ$2="","",#REF!*$C$79)</f>
        <v/>
      </c>
      <c r="JW79" s="11" t="str">
        <f ca="1">IF(History!KA$2="","",#REF!*$C$79)</f>
        <v/>
      </c>
      <c r="JX79" s="11" t="str">
        <f ca="1">IF(History!KB$2="","",#REF!*$C$79)</f>
        <v/>
      </c>
      <c r="JY79" s="11" t="str">
        <f ca="1">IF(History!KC$2="","",#REF!*$C$79)</f>
        <v/>
      </c>
      <c r="JZ79" s="11" t="str">
        <f ca="1">IF(History!KD$2="","",#REF!*$C$79)</f>
        <v/>
      </c>
      <c r="KA79" s="11" t="str">
        <f ca="1">IF(History!KE$2="","",#REF!*$C$79)</f>
        <v/>
      </c>
      <c r="KB79" s="11" t="str">
        <f ca="1">IF(History!KF$2="","",#REF!*$C$79)</f>
        <v/>
      </c>
    </row>
    <row r="80" spans="1:288" ht="13">
      <c r="A80" s="18" t="s">
        <v>140</v>
      </c>
      <c r="B80" s="6" t="s">
        <v>158</v>
      </c>
      <c r="C80" s="26">
        <v>61</v>
      </c>
      <c r="D80" s="11" t="e">
        <f ca="1">IF(History!H$2="","",#REF!*$C$80)</f>
        <v>#REF!</v>
      </c>
      <c r="E80" s="11" t="e">
        <f ca="1">IF(History!I$2="","",#REF!*$C$80)</f>
        <v>#REF!</v>
      </c>
      <c r="F80" s="11" t="e">
        <f ca="1">IF(History!J$2="","",#REF!*$C$80)</f>
        <v>#REF!</v>
      </c>
      <c r="G80" s="11" t="e">
        <f ca="1">IF(History!K$2="","",#REF!*$C$80)</f>
        <v>#REF!</v>
      </c>
      <c r="H80" s="11" t="e">
        <f ca="1">IF(History!L$2="","",#REF!*$C$80)</f>
        <v>#REF!</v>
      </c>
      <c r="I80" s="11" t="e">
        <f ca="1">IF(History!M$2="","",#REF!*$C$80)</f>
        <v>#REF!</v>
      </c>
      <c r="J80" s="11" t="e">
        <f ca="1">IF(History!N$2="","",#REF!*$C$80)</f>
        <v>#REF!</v>
      </c>
      <c r="K80" s="11" t="e">
        <f ca="1">IF(History!O$2="","",#REF!*$C$80)</f>
        <v>#REF!</v>
      </c>
      <c r="L80" s="11" t="e">
        <f ca="1">IF(History!P$2="","",#REF!*$C$80)</f>
        <v>#REF!</v>
      </c>
      <c r="M80" s="11" t="e">
        <f ca="1">IF(History!Q$2="","",#REF!*$C$80)</f>
        <v>#REF!</v>
      </c>
      <c r="N80" s="11" t="e">
        <f ca="1">IF(History!R$2="","",#REF!*$C$80)</f>
        <v>#REF!</v>
      </c>
      <c r="O80" s="11" t="e">
        <f ca="1">IF(History!S$2="","",#REF!*$C$80)</f>
        <v>#REF!</v>
      </c>
      <c r="P80" s="11" t="e">
        <f ca="1">IF(History!T$2="","",#REF!*$C$80)</f>
        <v>#REF!</v>
      </c>
      <c r="Q80" s="11" t="e">
        <f ca="1">IF(History!U$2="","",#REF!*$C$80)</f>
        <v>#REF!</v>
      </c>
      <c r="R80" s="11" t="e">
        <f ca="1">IF(History!V$2="","",#REF!*$C$80)</f>
        <v>#REF!</v>
      </c>
      <c r="S80" s="11" t="e">
        <f ca="1">IF(History!W$2="","",#REF!*$C$80)</f>
        <v>#REF!</v>
      </c>
      <c r="T80" s="11" t="e">
        <f ca="1">IF(History!X$2="","",#REF!*$C$80)</f>
        <v>#REF!</v>
      </c>
      <c r="U80" s="11" t="e">
        <f ca="1">IF(History!Y$2="","",#REF!*$C$80)</f>
        <v>#REF!</v>
      </c>
      <c r="V80" s="11" t="e">
        <f ca="1">IF(History!Z$2="","",#REF!*$C$80)</f>
        <v>#REF!</v>
      </c>
      <c r="W80" s="11" t="e">
        <f ca="1">IF(History!AA$2="","",#REF!*$C$80)</f>
        <v>#REF!</v>
      </c>
      <c r="X80" s="11" t="e">
        <f ca="1">IF(History!AB$2="","",#REF!*$C$80)</f>
        <v>#REF!</v>
      </c>
      <c r="Y80" s="11" t="e">
        <f ca="1">IF(History!AC$2="","",#REF!*$C$80)</f>
        <v>#REF!</v>
      </c>
      <c r="Z80" s="11" t="e">
        <f ca="1">IF(History!AD$2="","",#REF!*$C$80)</f>
        <v>#REF!</v>
      </c>
      <c r="AA80" s="11" t="e">
        <f ca="1">IF(History!AE$2="","",#REF!*$C$80)</f>
        <v>#REF!</v>
      </c>
      <c r="AB80" s="11" t="e">
        <f ca="1">IF(History!AF$2="","",#REF!*$C$80)</f>
        <v>#REF!</v>
      </c>
      <c r="AC80" s="11" t="e">
        <f ca="1">IF(History!AG$2="","",#REF!*$C$80)</f>
        <v>#REF!</v>
      </c>
      <c r="AD80" s="11" t="e">
        <f ca="1">IF(History!AH$2="","",#REF!*$C$80)</f>
        <v>#REF!</v>
      </c>
      <c r="AE80" s="11" t="e">
        <f ca="1">IF(History!AI$2="","",#REF!*$C$80)</f>
        <v>#REF!</v>
      </c>
      <c r="AF80" s="11" t="e">
        <f ca="1">IF(History!AJ$2="","",#REF!*$C$80)</f>
        <v>#REF!</v>
      </c>
      <c r="AG80" s="11" t="e">
        <f ca="1">IF(History!AK$2="","",#REF!*$C$80)</f>
        <v>#REF!</v>
      </c>
      <c r="AH80" s="11" t="e">
        <f ca="1">IF(History!AL$2="","",#REF!*$C$80)</f>
        <v>#REF!</v>
      </c>
      <c r="AI80" s="11" t="e">
        <f ca="1">IF(History!AM$2="","",#REF!*$C$80)</f>
        <v>#REF!</v>
      </c>
      <c r="AJ80" s="11" t="e">
        <f ca="1">IF(History!AN$2="","",#REF!*$C$80)</f>
        <v>#REF!</v>
      </c>
      <c r="AK80" s="11" t="e">
        <f ca="1">IF(History!AO$2="","",#REF!*$C$80)</f>
        <v>#REF!</v>
      </c>
      <c r="AL80" s="11" t="e">
        <f ca="1">IF(History!AP$2="","",#REF!*$C$80)</f>
        <v>#REF!</v>
      </c>
      <c r="AM80" s="11" t="e">
        <f ca="1">IF(History!AQ$2="","",#REF!*$C$80)</f>
        <v>#REF!</v>
      </c>
      <c r="AN80" s="11" t="e">
        <f ca="1">IF(History!AR$2="","",#REF!*$C$80)</f>
        <v>#REF!</v>
      </c>
      <c r="AO80" s="11" t="e">
        <f ca="1">IF(History!AS$2="","",#REF!*$C$80)</f>
        <v>#REF!</v>
      </c>
      <c r="AP80" s="11" t="e">
        <f ca="1">IF(History!AT$2="","",#REF!*$C$80)</f>
        <v>#REF!</v>
      </c>
      <c r="AQ80" s="11" t="e">
        <f ca="1">IF(History!AU$2="","",#REF!*$C$80)</f>
        <v>#REF!</v>
      </c>
      <c r="AR80" s="11" t="e">
        <f ca="1">IF(History!AV$2="","",#REF!*$C$80)</f>
        <v>#REF!</v>
      </c>
      <c r="AS80" s="11" t="e">
        <f ca="1">IF(History!AW$2="","",#REF!*$C$80)</f>
        <v>#REF!</v>
      </c>
      <c r="AT80" s="11" t="e">
        <f ca="1">IF(History!AX$2="","",#REF!*$C$80)</f>
        <v>#REF!</v>
      </c>
      <c r="AU80" s="11" t="e">
        <f ca="1">IF(History!AY$2="","",#REF!*$C$80)</f>
        <v>#REF!</v>
      </c>
      <c r="AV80" s="11" t="e">
        <f ca="1">IF(History!AZ$2="","",#REF!*$C$80)</f>
        <v>#REF!</v>
      </c>
      <c r="AW80" s="11" t="e">
        <f ca="1">IF(History!BA$2="","",#REF!*$C$80)</f>
        <v>#REF!</v>
      </c>
      <c r="AX80" s="11" t="e">
        <f ca="1">IF(History!BB$2="","",#REF!*$C$80)</f>
        <v>#REF!</v>
      </c>
      <c r="AY80" s="11" t="e">
        <f ca="1">IF(History!BC$2="","",#REF!*$C$80)</f>
        <v>#REF!</v>
      </c>
      <c r="AZ80" s="11" t="e">
        <f ca="1">IF(History!BD$2="","",#REF!*$C$80)</f>
        <v>#REF!</v>
      </c>
      <c r="BA80" s="11" t="e">
        <f ca="1">IF(History!BE$2="","",#REF!*$C$80)</f>
        <v>#REF!</v>
      </c>
      <c r="BB80" s="11" t="e">
        <f ca="1">IF(History!BF$2="","",#REF!*$C$80)</f>
        <v>#REF!</v>
      </c>
      <c r="BC80" s="11" t="e">
        <f ca="1">IF(History!BG$2="","",#REF!*$C$80)</f>
        <v>#REF!</v>
      </c>
      <c r="BD80" s="11" t="e">
        <f ca="1">IF(History!BH$2="","",#REF!*$C$80)</f>
        <v>#REF!</v>
      </c>
      <c r="BE80" s="11" t="e">
        <f ca="1">IF(History!BI$2="","",#REF!*$C$80)</f>
        <v>#REF!</v>
      </c>
      <c r="BF80" s="11" t="e">
        <f ca="1">IF(History!BJ$2="","",#REF!*$C$80)</f>
        <v>#REF!</v>
      </c>
      <c r="BG80" s="11" t="e">
        <f ca="1">IF(History!BK$2="","",#REF!*$C$80)</f>
        <v>#REF!</v>
      </c>
      <c r="BH80" s="11" t="e">
        <f ca="1">IF(History!BL$2="","",#REF!*$C$80)</f>
        <v>#REF!</v>
      </c>
      <c r="BI80" s="11" t="e">
        <f ca="1">IF(History!BM$2="","",#REF!*$C$80)</f>
        <v>#REF!</v>
      </c>
      <c r="BJ80" s="11" t="e">
        <f ca="1">IF(History!BN$2="","",#REF!*$C$80)</f>
        <v>#REF!</v>
      </c>
      <c r="BK80" s="11" t="e">
        <f ca="1">IF(History!BO$2="","",#REF!*$C$80)</f>
        <v>#REF!</v>
      </c>
      <c r="BL80" s="11" t="e">
        <f ca="1">IF(History!BP$2="","",#REF!*$C$80)</f>
        <v>#REF!</v>
      </c>
      <c r="BM80" s="11" t="e">
        <f ca="1">IF(History!BQ$2="","",#REF!*$C$80)</f>
        <v>#REF!</v>
      </c>
      <c r="BN80" s="11" t="e">
        <f ca="1">IF(History!BR$2="","",#REF!*$C$80)</f>
        <v>#REF!</v>
      </c>
      <c r="BO80" s="11" t="e">
        <f ca="1">IF(History!BS$2="","",#REF!*$C$80)</f>
        <v>#REF!</v>
      </c>
      <c r="BP80" s="11" t="e">
        <f ca="1">IF(History!BT$2="","",#REF!*$C$80)</f>
        <v>#REF!</v>
      </c>
      <c r="BQ80" s="11" t="e">
        <f ca="1">IF(History!BU$2="","",#REF!*$C$80)</f>
        <v>#REF!</v>
      </c>
      <c r="BR80" s="11" t="e">
        <f ca="1">IF(History!BV$2="","",#REF!*$C$80)</f>
        <v>#REF!</v>
      </c>
      <c r="BS80" s="11" t="e">
        <f ca="1">IF(History!BW$2="","",#REF!*$C$80)</f>
        <v>#REF!</v>
      </c>
      <c r="BT80" s="11" t="e">
        <f ca="1">IF(History!BX$2="","",#REF!*$C$80)</f>
        <v>#REF!</v>
      </c>
      <c r="BU80" s="11" t="e">
        <f ca="1">IF(History!BY$2="","",#REF!*$C$80)</f>
        <v>#REF!</v>
      </c>
      <c r="BV80" s="11" t="e">
        <f ca="1">IF(History!BZ$2="","",#REF!*$C$80)</f>
        <v>#REF!</v>
      </c>
      <c r="BW80" s="11" t="e">
        <f ca="1">IF(History!CA$2="","",#REF!*$C$80)</f>
        <v>#REF!</v>
      </c>
      <c r="BX80" s="11" t="e">
        <f ca="1">IF(History!CB$2="","",#REF!*$C$80)</f>
        <v>#REF!</v>
      </c>
      <c r="BY80" s="11" t="e">
        <f ca="1">IF(History!CC$2="","",#REF!*$C$80)</f>
        <v>#REF!</v>
      </c>
      <c r="BZ80" s="11" t="e">
        <f ca="1">IF(History!CD$2="","",#REF!*$C$80)</f>
        <v>#REF!</v>
      </c>
      <c r="CA80" s="11" t="e">
        <f ca="1">IF(History!CE$2="","",#REF!*$C$80)</f>
        <v>#REF!</v>
      </c>
      <c r="CB80" s="11" t="e">
        <f ca="1">IF(History!CF$2="","",#REF!*$C$80)</f>
        <v>#REF!</v>
      </c>
      <c r="CC80" s="11" t="e">
        <f ca="1">IF(History!CG$2="","",#REF!*$C$80)</f>
        <v>#REF!</v>
      </c>
      <c r="CD80" s="11" t="e">
        <f ca="1">IF(History!CH$2="","",#REF!*$C$80)</f>
        <v>#REF!</v>
      </c>
      <c r="CE80" s="11" t="e">
        <f ca="1">IF(History!CI$2="","",#REF!*$C$80)</f>
        <v>#REF!</v>
      </c>
      <c r="CF80" s="11" t="str">
        <f ca="1">IF(History!CJ$2="","",#REF!*$C$80)</f>
        <v/>
      </c>
      <c r="CG80" s="11" t="str">
        <f ca="1">IF(History!CK$2="","",#REF!*$C$80)</f>
        <v/>
      </c>
      <c r="CH80" s="11" t="str">
        <f ca="1">IF(History!CL$2="","",#REF!*$C$80)</f>
        <v/>
      </c>
      <c r="CI80" s="11" t="str">
        <f ca="1">IF(History!CM$2="","",#REF!*$C$80)</f>
        <v/>
      </c>
      <c r="CJ80" s="11" t="str">
        <f ca="1">IF(History!CN$2="","",#REF!*$C$80)</f>
        <v/>
      </c>
      <c r="CK80" s="11" t="str">
        <f ca="1">IF(History!CO$2="","",#REF!*$C$80)</f>
        <v/>
      </c>
      <c r="CL80" s="11" t="str">
        <f ca="1">IF(History!CP$2="","",#REF!*$C$80)</f>
        <v/>
      </c>
      <c r="CM80" s="11" t="str">
        <f ca="1">IF(History!CQ$2="","",#REF!*$C$80)</f>
        <v/>
      </c>
      <c r="CN80" s="11" t="str">
        <f ca="1">IF(History!CR$2="","",#REF!*$C$80)</f>
        <v/>
      </c>
      <c r="CO80" s="11" t="str">
        <f ca="1">IF(History!CS$2="","",#REF!*$C$80)</f>
        <v/>
      </c>
      <c r="CP80" s="11" t="str">
        <f ca="1">IF(History!CT$2="","",#REF!*$C$80)</f>
        <v/>
      </c>
      <c r="CQ80" s="11" t="str">
        <f ca="1">IF(History!CU$2="","",#REF!*$C$80)</f>
        <v/>
      </c>
      <c r="CR80" s="11" t="str">
        <f ca="1">IF(History!CV$2="","",#REF!*$C$80)</f>
        <v/>
      </c>
      <c r="CS80" s="11" t="str">
        <f ca="1">IF(History!CW$2="","",#REF!*$C$80)</f>
        <v/>
      </c>
      <c r="CT80" s="11" t="str">
        <f ca="1">IF(History!CX$2="","",#REF!*$C$80)</f>
        <v/>
      </c>
      <c r="CU80" s="11" t="str">
        <f ca="1">IF(History!CY$2="","",#REF!*$C$80)</f>
        <v/>
      </c>
      <c r="CV80" s="11" t="str">
        <f ca="1">IF(History!CZ$2="","",#REF!*$C$80)</f>
        <v/>
      </c>
      <c r="CW80" s="11" t="str">
        <f ca="1">IF(History!DA$2="","",#REF!*$C$80)</f>
        <v/>
      </c>
      <c r="CX80" s="11" t="str">
        <f ca="1">IF(History!DB$2="","",#REF!*$C$80)</f>
        <v/>
      </c>
      <c r="CY80" s="11" t="str">
        <f ca="1">IF(History!DC$2="","",#REF!*$C$80)</f>
        <v/>
      </c>
      <c r="CZ80" s="11" t="str">
        <f ca="1">IF(History!DD$2="","",#REF!*$C$80)</f>
        <v/>
      </c>
      <c r="DA80" s="11" t="str">
        <f ca="1">IF(History!DE$2="","",#REF!*$C$80)</f>
        <v/>
      </c>
      <c r="DB80" s="11" t="str">
        <f ca="1">IF(History!DF$2="","",#REF!*$C$80)</f>
        <v/>
      </c>
      <c r="DC80" s="11" t="str">
        <f ca="1">IF(History!DG$2="","",#REF!*$C$80)</f>
        <v/>
      </c>
      <c r="DD80" s="11" t="str">
        <f ca="1">IF(History!DH$2="","",#REF!*$C$80)</f>
        <v/>
      </c>
      <c r="DE80" s="11" t="str">
        <f ca="1">IF(History!DI$2="","",#REF!*$C$80)</f>
        <v/>
      </c>
      <c r="DF80" s="11" t="str">
        <f ca="1">IF(History!DJ$2="","",#REF!*$C$80)</f>
        <v/>
      </c>
      <c r="DG80" s="11" t="str">
        <f ca="1">IF(History!DK$2="","",#REF!*$C$80)</f>
        <v/>
      </c>
      <c r="DH80" s="11" t="str">
        <f ca="1">IF(History!DL$2="","",#REF!*$C$80)</f>
        <v/>
      </c>
      <c r="DI80" s="11" t="str">
        <f ca="1">IF(History!DM$2="","",#REF!*$C$80)</f>
        <v/>
      </c>
      <c r="DJ80" s="11" t="str">
        <f ca="1">IF(History!DN$2="","",#REF!*$C$80)</f>
        <v/>
      </c>
      <c r="DK80" s="11" t="str">
        <f ca="1">IF(History!DO$2="","",#REF!*$C$80)</f>
        <v/>
      </c>
      <c r="DL80" s="11" t="str">
        <f ca="1">IF(History!DP$2="","",#REF!*$C$80)</f>
        <v/>
      </c>
      <c r="DM80" s="11" t="str">
        <f ca="1">IF(History!DQ$2="","",#REF!*$C$80)</f>
        <v/>
      </c>
      <c r="DN80" s="11" t="str">
        <f ca="1">IF(History!DR$2="","",#REF!*$C$80)</f>
        <v/>
      </c>
      <c r="DO80" s="11" t="str">
        <f ca="1">IF(History!DS$2="","",#REF!*$C$80)</f>
        <v/>
      </c>
      <c r="DP80" s="11" t="str">
        <f ca="1">IF(History!DT$2="","",#REF!*$C$80)</f>
        <v/>
      </c>
      <c r="DQ80" s="11" t="str">
        <f ca="1">IF(History!DU$2="","",#REF!*$C$80)</f>
        <v/>
      </c>
      <c r="DR80" s="11" t="str">
        <f ca="1">IF(History!DV$2="","",#REF!*$C$80)</f>
        <v/>
      </c>
      <c r="DS80" s="11" t="str">
        <f ca="1">IF(History!DW$2="","",#REF!*$C$80)</f>
        <v/>
      </c>
      <c r="DT80" s="11" t="str">
        <f ca="1">IF(History!DX$2="","",#REF!*$C$80)</f>
        <v/>
      </c>
      <c r="DU80" s="11" t="str">
        <f ca="1">IF(History!DY$2="","",#REF!*$C$80)</f>
        <v/>
      </c>
      <c r="DV80" s="11" t="str">
        <f ca="1">IF(History!DZ$2="","",#REF!*$C$80)</f>
        <v/>
      </c>
      <c r="DW80" s="11" t="str">
        <f ca="1">IF(History!EA$2="","",#REF!*$C$80)</f>
        <v/>
      </c>
      <c r="DX80" s="11" t="str">
        <f ca="1">IF(History!EB$2="","",#REF!*$C$80)</f>
        <v/>
      </c>
      <c r="DY80" s="11" t="str">
        <f ca="1">IF(History!EC$2="","",#REF!*$C$80)</f>
        <v/>
      </c>
      <c r="DZ80" s="11" t="str">
        <f ca="1">IF(History!ED$2="","",#REF!*$C$80)</f>
        <v/>
      </c>
      <c r="EA80" s="11" t="str">
        <f ca="1">IF(History!EE$2="","",#REF!*$C$80)</f>
        <v/>
      </c>
      <c r="EB80" s="11" t="str">
        <f ca="1">IF(History!EF$2="","",#REF!*$C$80)</f>
        <v/>
      </c>
      <c r="EC80" s="11" t="str">
        <f ca="1">IF(History!EG$2="","",#REF!*$C$80)</f>
        <v/>
      </c>
      <c r="ED80" s="11" t="str">
        <f ca="1">IF(History!EH$2="","",#REF!*$C$80)</f>
        <v/>
      </c>
      <c r="EE80" s="11" t="str">
        <f ca="1">IF(History!EI$2="","",#REF!*$C$80)</f>
        <v/>
      </c>
      <c r="EF80" s="11" t="str">
        <f ca="1">IF(History!EJ$2="","",#REF!*$C$80)</f>
        <v/>
      </c>
      <c r="EG80" s="11" t="str">
        <f ca="1">IF(History!EK$2="","",#REF!*$C$80)</f>
        <v/>
      </c>
      <c r="EH80" s="11" t="str">
        <f ca="1">IF(History!EL$2="","",#REF!*$C$80)</f>
        <v/>
      </c>
      <c r="EI80" s="11" t="str">
        <f ca="1">IF(History!EM$2="","",#REF!*$C$80)</f>
        <v/>
      </c>
      <c r="EJ80" s="11" t="str">
        <f ca="1">IF(History!EN$2="","",#REF!*$C$80)</f>
        <v/>
      </c>
      <c r="EK80" s="11" t="str">
        <f ca="1">IF(History!EO$2="","",#REF!*$C$80)</f>
        <v/>
      </c>
      <c r="EL80" s="11" t="str">
        <f ca="1">IF(History!EP$2="","",#REF!*$C$80)</f>
        <v/>
      </c>
      <c r="EM80" s="11" t="str">
        <f ca="1">IF(History!EQ$2="","",#REF!*$C$80)</f>
        <v/>
      </c>
      <c r="EN80" s="11" t="str">
        <f ca="1">IF(History!ER$2="","",#REF!*$C$80)</f>
        <v/>
      </c>
      <c r="EO80" s="11" t="str">
        <f ca="1">IF(History!ES$2="","",#REF!*$C$80)</f>
        <v/>
      </c>
      <c r="EP80" s="11" t="str">
        <f ca="1">IF(History!ET$2="","",#REF!*$C$80)</f>
        <v/>
      </c>
      <c r="EQ80" s="11" t="str">
        <f ca="1">IF(History!EU$2="","",#REF!*$C$80)</f>
        <v/>
      </c>
      <c r="ER80" s="11" t="str">
        <f ca="1">IF(History!EV$2="","",#REF!*$C$80)</f>
        <v/>
      </c>
      <c r="ES80" s="11" t="str">
        <f ca="1">IF(History!EW$2="","",#REF!*$C$80)</f>
        <v/>
      </c>
      <c r="ET80" s="11" t="str">
        <f ca="1">IF(History!EX$2="","",#REF!*$C$80)</f>
        <v/>
      </c>
      <c r="EU80" s="11" t="str">
        <f ca="1">IF(History!EY$2="","",#REF!*$C$80)</f>
        <v/>
      </c>
      <c r="EV80" s="11" t="str">
        <f ca="1">IF(History!EZ$2="","",#REF!*$C$80)</f>
        <v/>
      </c>
      <c r="EW80" s="11" t="str">
        <f ca="1">IF(History!FA$2="","",#REF!*$C$80)</f>
        <v/>
      </c>
      <c r="EX80" s="11" t="str">
        <f ca="1">IF(History!FB$2="","",#REF!*$C$80)</f>
        <v/>
      </c>
      <c r="EY80" s="11" t="str">
        <f ca="1">IF(History!FC$2="","",#REF!*$C$80)</f>
        <v/>
      </c>
      <c r="EZ80" s="11" t="str">
        <f ca="1">IF(History!FD$2="","",#REF!*$C$80)</f>
        <v/>
      </c>
      <c r="FA80" s="11" t="str">
        <f ca="1">IF(History!FE$2="","",#REF!*$C$80)</f>
        <v/>
      </c>
      <c r="FB80" s="11" t="str">
        <f ca="1">IF(History!FF$2="","",#REF!*$C$80)</f>
        <v/>
      </c>
      <c r="FC80" s="11" t="str">
        <f ca="1">IF(History!FG$2="","",#REF!*$C$80)</f>
        <v/>
      </c>
      <c r="FD80" s="11" t="str">
        <f ca="1">IF(History!FH$2="","",#REF!*$C$80)</f>
        <v/>
      </c>
      <c r="FE80" s="11" t="str">
        <f ca="1">IF(History!FI$2="","",#REF!*$C$80)</f>
        <v/>
      </c>
      <c r="FF80" s="11" t="str">
        <f ca="1">IF(History!FJ$2="","",#REF!*$C$80)</f>
        <v/>
      </c>
      <c r="FG80" s="11" t="str">
        <f ca="1">IF(History!FK$2="","",#REF!*$C$80)</f>
        <v/>
      </c>
      <c r="FH80" s="11" t="str">
        <f ca="1">IF(History!FL$2="","",#REF!*$C$80)</f>
        <v/>
      </c>
      <c r="FI80" s="11" t="str">
        <f ca="1">IF(History!FM$2="","",#REF!*$C$80)</f>
        <v/>
      </c>
      <c r="FJ80" s="11" t="str">
        <f ca="1">IF(History!FN$2="","",#REF!*$C$80)</f>
        <v/>
      </c>
      <c r="FK80" s="11" t="str">
        <f ca="1">IF(History!FO$2="","",#REF!*$C$80)</f>
        <v/>
      </c>
      <c r="FL80" s="11" t="str">
        <f ca="1">IF(History!FP$2="","",#REF!*$C$80)</f>
        <v/>
      </c>
      <c r="FM80" s="11" t="str">
        <f ca="1">IF(History!FQ$2="","",#REF!*$C$80)</f>
        <v/>
      </c>
      <c r="FN80" s="11" t="str">
        <f ca="1">IF(History!FR$2="","",#REF!*$C$80)</f>
        <v/>
      </c>
      <c r="FO80" s="11" t="str">
        <f ca="1">IF(History!FS$2="","",#REF!*$C$80)</f>
        <v/>
      </c>
      <c r="FP80" s="11" t="str">
        <f ca="1">IF(History!FT$2="","",#REF!*$C$80)</f>
        <v/>
      </c>
      <c r="FQ80" s="11" t="str">
        <f ca="1">IF(History!FU$2="","",#REF!*$C$80)</f>
        <v/>
      </c>
      <c r="FR80" s="11" t="str">
        <f ca="1">IF(History!FV$2="","",#REF!*$C$80)</f>
        <v/>
      </c>
      <c r="FS80" s="11" t="str">
        <f ca="1">IF(History!FW$2="","",#REF!*$C$80)</f>
        <v/>
      </c>
      <c r="FT80" s="11" t="str">
        <f ca="1">IF(History!FX$2="","",#REF!*$C$80)</f>
        <v/>
      </c>
      <c r="FU80" s="11" t="str">
        <f ca="1">IF(History!FY$2="","",#REF!*$C$80)</f>
        <v/>
      </c>
      <c r="FV80" s="11" t="str">
        <f ca="1">IF(History!FZ$2="","",#REF!*$C$80)</f>
        <v/>
      </c>
      <c r="FW80" s="11" t="str">
        <f ca="1">IF(History!GA$2="","",#REF!*$C$80)</f>
        <v/>
      </c>
      <c r="FX80" s="11" t="str">
        <f ca="1">IF(History!GB$2="","",#REF!*$C$80)</f>
        <v/>
      </c>
      <c r="FY80" s="11" t="str">
        <f ca="1">IF(History!GC$2="","",#REF!*$C$80)</f>
        <v/>
      </c>
      <c r="FZ80" s="11" t="str">
        <f ca="1">IF(History!GD$2="","",#REF!*$C$80)</f>
        <v/>
      </c>
      <c r="GA80" s="11" t="str">
        <f ca="1">IF(History!GE$2="","",#REF!*$C$80)</f>
        <v/>
      </c>
      <c r="GB80" s="11" t="str">
        <f ca="1">IF(History!GF$2="","",#REF!*$C$80)</f>
        <v/>
      </c>
      <c r="GC80" s="11" t="str">
        <f ca="1">IF(History!GG$2="","",#REF!*$C$80)</f>
        <v/>
      </c>
      <c r="GD80" s="11" t="str">
        <f ca="1">IF(History!GH$2="","",#REF!*$C$80)</f>
        <v/>
      </c>
      <c r="GE80" s="11" t="str">
        <f ca="1">IF(History!GI$2="","",#REF!*$C$80)</f>
        <v/>
      </c>
      <c r="GF80" s="11" t="str">
        <f ca="1">IF(History!GJ$2="","",#REF!*$C$80)</f>
        <v/>
      </c>
      <c r="GG80" s="11" t="str">
        <f ca="1">IF(History!GK$2="","",#REF!*$C$80)</f>
        <v/>
      </c>
      <c r="GH80" s="11" t="str">
        <f ca="1">IF(History!GL$2="","",#REF!*$C$80)</f>
        <v/>
      </c>
      <c r="GI80" s="11" t="str">
        <f ca="1">IF(History!GM$2="","",#REF!*$C$80)</f>
        <v/>
      </c>
      <c r="GJ80" s="11" t="str">
        <f ca="1">IF(History!GN$2="","",#REF!*$C$80)</f>
        <v/>
      </c>
      <c r="GK80" s="11" t="str">
        <f ca="1">IF(History!GO$2="","",#REF!*$C$80)</f>
        <v/>
      </c>
      <c r="GL80" s="11" t="str">
        <f ca="1">IF(History!GP$2="","",#REF!*$C$80)</f>
        <v/>
      </c>
      <c r="GM80" s="11" t="str">
        <f ca="1">IF(History!GQ$2="","",#REF!*$C$80)</f>
        <v/>
      </c>
      <c r="GN80" s="11" t="str">
        <f ca="1">IF(History!GR$2="","",#REF!*$C$80)</f>
        <v/>
      </c>
      <c r="GO80" s="11" t="str">
        <f ca="1">IF(History!GS$2="","",#REF!*$C$80)</f>
        <v/>
      </c>
      <c r="GP80" s="11" t="str">
        <f ca="1">IF(History!GT$2="","",#REF!*$C$80)</f>
        <v/>
      </c>
      <c r="GQ80" s="11" t="str">
        <f ca="1">IF(History!GU$2="","",#REF!*$C$80)</f>
        <v/>
      </c>
      <c r="GR80" s="11" t="str">
        <f ca="1">IF(History!GV$2="","",#REF!*$C$80)</f>
        <v/>
      </c>
      <c r="GS80" s="11" t="str">
        <f ca="1">IF(History!GW$2="","",#REF!*$C$80)</f>
        <v/>
      </c>
      <c r="GT80" s="11" t="str">
        <f ca="1">IF(History!GX$2="","",#REF!*$C$80)</f>
        <v/>
      </c>
      <c r="GU80" s="11" t="str">
        <f ca="1">IF(History!GY$2="","",#REF!*$C$80)</f>
        <v/>
      </c>
      <c r="GV80" s="11" t="str">
        <f ca="1">IF(History!GZ$2="","",#REF!*$C$80)</f>
        <v/>
      </c>
      <c r="GW80" s="11" t="str">
        <f ca="1">IF(History!HA$2="","",#REF!*$C$80)</f>
        <v/>
      </c>
      <c r="GX80" s="11" t="str">
        <f ca="1">IF(History!HB$2="","",#REF!*$C$80)</f>
        <v/>
      </c>
      <c r="GY80" s="11" t="str">
        <f ca="1">IF(History!HC$2="","",#REF!*$C$80)</f>
        <v/>
      </c>
      <c r="GZ80" s="11" t="str">
        <f ca="1">IF(History!HD$2="","",#REF!*$C$80)</f>
        <v/>
      </c>
      <c r="HA80" s="11" t="str">
        <f ca="1">IF(History!HE$2="","",#REF!*$C$80)</f>
        <v/>
      </c>
      <c r="HB80" s="11" t="str">
        <f ca="1">IF(History!HF$2="","",#REF!*$C$80)</f>
        <v/>
      </c>
      <c r="HC80" s="11" t="str">
        <f ca="1">IF(History!HG$2="","",#REF!*$C$80)</f>
        <v/>
      </c>
      <c r="HD80" s="11" t="str">
        <f ca="1">IF(History!HH$2="","",#REF!*$C$80)</f>
        <v/>
      </c>
      <c r="HE80" s="11" t="str">
        <f ca="1">IF(History!HI$2="","",#REF!*$C$80)</f>
        <v/>
      </c>
      <c r="HF80" s="11" t="str">
        <f ca="1">IF(History!HJ$2="","",#REF!*$C$80)</f>
        <v/>
      </c>
      <c r="HG80" s="11" t="str">
        <f ca="1">IF(History!HK$2="","",#REF!*$C$80)</f>
        <v/>
      </c>
      <c r="HH80" s="11" t="str">
        <f ca="1">IF(History!HL$2="","",#REF!*$C$80)</f>
        <v/>
      </c>
      <c r="HI80" s="11" t="str">
        <f ca="1">IF(History!HM$2="","",#REF!*$C$80)</f>
        <v/>
      </c>
      <c r="HJ80" s="11" t="str">
        <f ca="1">IF(History!HN$2="","",#REF!*$C$80)</f>
        <v/>
      </c>
      <c r="HK80" s="11" t="str">
        <f ca="1">IF(History!HO$2="","",#REF!*$C$80)</f>
        <v/>
      </c>
      <c r="HL80" s="11" t="str">
        <f ca="1">IF(History!HP$2="","",#REF!*$C$80)</f>
        <v/>
      </c>
      <c r="HM80" s="11" t="str">
        <f ca="1">IF(History!HQ$2="","",#REF!*$C$80)</f>
        <v/>
      </c>
      <c r="HN80" s="11" t="str">
        <f ca="1">IF(History!HR$2="","",#REF!*$C$80)</f>
        <v/>
      </c>
      <c r="HO80" s="11" t="str">
        <f ca="1">IF(History!HS$2="","",#REF!*$C$80)</f>
        <v/>
      </c>
      <c r="HP80" s="11" t="str">
        <f ca="1">IF(History!HT$2="","",#REF!*$C$80)</f>
        <v/>
      </c>
      <c r="HQ80" s="11" t="str">
        <f ca="1">IF(History!HU$2="","",#REF!*$C$80)</f>
        <v/>
      </c>
      <c r="HR80" s="11" t="str">
        <f ca="1">IF(History!HV$2="","",#REF!*$C$80)</f>
        <v/>
      </c>
      <c r="HS80" s="11" t="str">
        <f ca="1">IF(History!HW$2="","",#REF!*$C$80)</f>
        <v/>
      </c>
      <c r="HT80" s="11" t="str">
        <f ca="1">IF(History!HX$2="","",#REF!*$C$80)</f>
        <v/>
      </c>
      <c r="HU80" s="11" t="str">
        <f ca="1">IF(History!HY$2="","",#REF!*$C$80)</f>
        <v/>
      </c>
      <c r="HV80" s="11" t="str">
        <f ca="1">IF(History!HZ$2="","",#REF!*$C$80)</f>
        <v/>
      </c>
      <c r="HW80" s="11" t="str">
        <f ca="1">IF(History!IA$2="","",#REF!*$C$80)</f>
        <v/>
      </c>
      <c r="HX80" s="11" t="str">
        <f ca="1">IF(History!IB$2="","",#REF!*$C$80)</f>
        <v/>
      </c>
      <c r="HY80" s="11" t="str">
        <f ca="1">IF(History!IC$2="","",#REF!*$C$80)</f>
        <v/>
      </c>
      <c r="HZ80" s="11" t="str">
        <f ca="1">IF(History!ID$2="","",#REF!*$C$80)</f>
        <v/>
      </c>
      <c r="IA80" s="11" t="str">
        <f ca="1">IF(History!IE$2="","",#REF!*$C$80)</f>
        <v/>
      </c>
      <c r="IB80" s="11" t="str">
        <f ca="1">IF(History!IF$2="","",#REF!*$C$80)</f>
        <v/>
      </c>
      <c r="IC80" s="11" t="str">
        <f ca="1">IF(History!IG$2="","",#REF!*$C$80)</f>
        <v/>
      </c>
      <c r="ID80" s="11" t="str">
        <f ca="1">IF(History!IH$2="","",#REF!*$C$80)</f>
        <v/>
      </c>
      <c r="IE80" s="11" t="str">
        <f ca="1">IF(History!II$2="","",#REF!*$C$80)</f>
        <v/>
      </c>
      <c r="IF80" s="11" t="str">
        <f ca="1">IF(History!IJ$2="","",#REF!*$C$80)</f>
        <v/>
      </c>
      <c r="IG80" s="11" t="str">
        <f ca="1">IF(History!IK$2="","",#REF!*$C$80)</f>
        <v/>
      </c>
      <c r="IH80" s="11" t="str">
        <f ca="1">IF(History!IL$2="","",#REF!*$C$80)</f>
        <v/>
      </c>
      <c r="II80" s="11" t="str">
        <f ca="1">IF(History!IM$2="","",#REF!*$C$80)</f>
        <v/>
      </c>
      <c r="IJ80" s="11" t="str">
        <f ca="1">IF(History!IN$2="","",#REF!*$C$80)</f>
        <v/>
      </c>
      <c r="IK80" s="11" t="str">
        <f ca="1">IF(History!IO$2="","",#REF!*$C$80)</f>
        <v/>
      </c>
      <c r="IL80" s="11" t="str">
        <f ca="1">IF(History!IP$2="","",#REF!*$C$80)</f>
        <v/>
      </c>
      <c r="IM80" s="11" t="str">
        <f ca="1">IF(History!IQ$2="","",#REF!*$C$80)</f>
        <v/>
      </c>
      <c r="IN80" s="11" t="str">
        <f ca="1">IF(History!IR$2="","",#REF!*$C$80)</f>
        <v/>
      </c>
      <c r="IO80" s="11" t="str">
        <f ca="1">IF(History!IS$2="","",#REF!*$C$80)</f>
        <v/>
      </c>
      <c r="IP80" s="11" t="str">
        <f ca="1">IF(History!IT$2="","",#REF!*$C$80)</f>
        <v/>
      </c>
      <c r="IQ80" s="11" t="str">
        <f ca="1">IF(History!IU$2="","",#REF!*$C$80)</f>
        <v/>
      </c>
      <c r="IR80" s="11" t="str">
        <f ca="1">IF(History!IV$2="","",#REF!*$C$80)</f>
        <v/>
      </c>
      <c r="IS80" s="11" t="str">
        <f ca="1">IF(History!IW$2="","",#REF!*$C$80)</f>
        <v/>
      </c>
      <c r="IT80" s="11" t="str">
        <f ca="1">IF(History!IX$2="","",#REF!*$C$80)</f>
        <v/>
      </c>
      <c r="IU80" s="11" t="str">
        <f ca="1">IF(History!IY$2="","",#REF!*$C$80)</f>
        <v/>
      </c>
      <c r="IV80" s="11" t="str">
        <f ca="1">IF(History!IZ$2="","",#REF!*$C$80)</f>
        <v/>
      </c>
      <c r="IW80" s="11" t="str">
        <f ca="1">IF(History!JA$2="","",#REF!*$C$80)</f>
        <v/>
      </c>
      <c r="IX80" s="11" t="str">
        <f ca="1">IF(History!JB$2="","",#REF!*$C$80)</f>
        <v/>
      </c>
      <c r="IY80" s="11" t="str">
        <f ca="1">IF(History!JC$2="","",#REF!*$C$80)</f>
        <v/>
      </c>
      <c r="IZ80" s="11" t="str">
        <f ca="1">IF(History!JD$2="","",#REF!*$C$80)</f>
        <v/>
      </c>
      <c r="JA80" s="11" t="str">
        <f ca="1">IF(History!JE$2="","",#REF!*$C$80)</f>
        <v/>
      </c>
      <c r="JB80" s="11" t="str">
        <f ca="1">IF(History!JF$2="","",#REF!*$C$80)</f>
        <v/>
      </c>
      <c r="JC80" s="11" t="str">
        <f ca="1">IF(History!JG$2="","",#REF!*$C$80)</f>
        <v/>
      </c>
      <c r="JD80" s="11" t="str">
        <f ca="1">IF(History!JH$2="","",#REF!*$C$80)</f>
        <v/>
      </c>
      <c r="JE80" s="11" t="str">
        <f ca="1">IF(History!JI$2="","",#REF!*$C$80)</f>
        <v/>
      </c>
      <c r="JF80" s="11" t="str">
        <f ca="1">IF(History!JJ$2="","",#REF!*$C$80)</f>
        <v/>
      </c>
      <c r="JG80" s="11" t="str">
        <f ca="1">IF(History!JK$2="","",#REF!*$C$80)</f>
        <v/>
      </c>
      <c r="JH80" s="11" t="str">
        <f ca="1">IF(History!JL$2="","",#REF!*$C$80)</f>
        <v/>
      </c>
      <c r="JI80" s="11" t="str">
        <f ca="1">IF(History!JM$2="","",#REF!*$C$80)</f>
        <v/>
      </c>
      <c r="JJ80" s="11" t="str">
        <f ca="1">IF(History!JN$2="","",#REF!*$C$80)</f>
        <v/>
      </c>
      <c r="JK80" s="11" t="str">
        <f ca="1">IF(History!JO$2="","",#REF!*$C$80)</f>
        <v/>
      </c>
      <c r="JL80" s="11" t="str">
        <f ca="1">IF(History!JP$2="","",#REF!*$C$80)</f>
        <v/>
      </c>
      <c r="JM80" s="11" t="str">
        <f ca="1">IF(History!JQ$2="","",#REF!*$C$80)</f>
        <v/>
      </c>
      <c r="JN80" s="11" t="str">
        <f ca="1">IF(History!JR$2="","",#REF!*$C$80)</f>
        <v/>
      </c>
      <c r="JO80" s="11" t="str">
        <f ca="1">IF(History!JS$2="","",#REF!*$C$80)</f>
        <v/>
      </c>
      <c r="JP80" s="11" t="str">
        <f ca="1">IF(History!JT$2="","",#REF!*$C$80)</f>
        <v/>
      </c>
      <c r="JQ80" s="11" t="str">
        <f ca="1">IF(History!JU$2="","",#REF!*$C$80)</f>
        <v/>
      </c>
      <c r="JR80" s="11" t="str">
        <f ca="1">IF(History!JV$2="","",#REF!*$C$80)</f>
        <v/>
      </c>
      <c r="JS80" s="11" t="str">
        <f ca="1">IF(History!JW$2="","",#REF!*$C$80)</f>
        <v/>
      </c>
      <c r="JT80" s="11" t="str">
        <f ca="1">IF(History!JX$2="","",#REF!*$C$80)</f>
        <v/>
      </c>
      <c r="JU80" s="11" t="str">
        <f ca="1">IF(History!JY$2="","",#REF!*$C$80)</f>
        <v/>
      </c>
      <c r="JV80" s="11" t="str">
        <f ca="1">IF(History!JZ$2="","",#REF!*$C$80)</f>
        <v/>
      </c>
      <c r="JW80" s="11" t="str">
        <f ca="1">IF(History!KA$2="","",#REF!*$C$80)</f>
        <v/>
      </c>
      <c r="JX80" s="11" t="str">
        <f ca="1">IF(History!KB$2="","",#REF!*$C$80)</f>
        <v/>
      </c>
      <c r="JY80" s="11" t="str">
        <f ca="1">IF(History!KC$2="","",#REF!*$C$80)</f>
        <v/>
      </c>
      <c r="JZ80" s="11" t="str">
        <f ca="1">IF(History!KD$2="","",#REF!*$C$80)</f>
        <v/>
      </c>
      <c r="KA80" s="11" t="str">
        <f ca="1">IF(History!KE$2="","",#REF!*$C$80)</f>
        <v/>
      </c>
      <c r="KB80" s="11" t="str">
        <f ca="1">IF(History!KF$2="","",#REF!*$C$80)</f>
        <v/>
      </c>
    </row>
    <row r="81" spans="1:288" ht="13">
      <c r="A81" s="18" t="s">
        <v>140</v>
      </c>
      <c r="B81" s="6" t="s">
        <v>159</v>
      </c>
      <c r="C81" s="26">
        <v>64</v>
      </c>
      <c r="D81" s="11" t="e">
        <f ca="1">IF(History!H$2="","",#REF!*$C$81)</f>
        <v>#REF!</v>
      </c>
      <c r="E81" s="11" t="e">
        <f ca="1">IF(History!I$2="","",#REF!*$C$81)</f>
        <v>#REF!</v>
      </c>
      <c r="F81" s="11" t="e">
        <f ca="1">IF(History!J$2="","",#REF!*$C$81)</f>
        <v>#REF!</v>
      </c>
      <c r="G81" s="11" t="e">
        <f ca="1">IF(History!K$2="","",#REF!*$C$81)</f>
        <v>#REF!</v>
      </c>
      <c r="H81" s="11" t="e">
        <f ca="1">IF(History!L$2="","",#REF!*$C$81)</f>
        <v>#REF!</v>
      </c>
      <c r="I81" s="11" t="e">
        <f ca="1">IF(History!M$2="","",#REF!*$C$81)</f>
        <v>#REF!</v>
      </c>
      <c r="J81" s="11" t="e">
        <f ca="1">IF(History!N$2="","",#REF!*$C$81)</f>
        <v>#REF!</v>
      </c>
      <c r="K81" s="11" t="e">
        <f ca="1">IF(History!O$2="","",#REF!*$C$81)</f>
        <v>#REF!</v>
      </c>
      <c r="L81" s="11" t="e">
        <f ca="1">IF(History!P$2="","",#REF!*$C$81)</f>
        <v>#REF!</v>
      </c>
      <c r="M81" s="11" t="e">
        <f ca="1">IF(History!Q$2="","",#REF!*$C$81)</f>
        <v>#REF!</v>
      </c>
      <c r="N81" s="11" t="e">
        <f ca="1">IF(History!R$2="","",#REF!*$C$81)</f>
        <v>#REF!</v>
      </c>
      <c r="O81" s="11" t="e">
        <f ca="1">IF(History!S$2="","",#REF!*$C$81)</f>
        <v>#REF!</v>
      </c>
      <c r="P81" s="11" t="e">
        <f ca="1">IF(History!T$2="","",#REF!*$C$81)</f>
        <v>#REF!</v>
      </c>
      <c r="Q81" s="11" t="e">
        <f ca="1">IF(History!U$2="","",#REF!*$C$81)</f>
        <v>#REF!</v>
      </c>
      <c r="R81" s="11" t="e">
        <f ca="1">IF(History!V$2="","",#REF!*$C$81)</f>
        <v>#REF!</v>
      </c>
      <c r="S81" s="11" t="e">
        <f ca="1">IF(History!W$2="","",#REF!*$C$81)</f>
        <v>#REF!</v>
      </c>
      <c r="T81" s="11" t="e">
        <f ca="1">IF(History!X$2="","",#REF!*$C$81)</f>
        <v>#REF!</v>
      </c>
      <c r="U81" s="11" t="e">
        <f ca="1">IF(History!Y$2="","",#REF!*$C$81)</f>
        <v>#REF!</v>
      </c>
      <c r="V81" s="11" t="e">
        <f ca="1">IF(History!Z$2="","",#REF!*$C$81)</f>
        <v>#REF!</v>
      </c>
      <c r="W81" s="11" t="e">
        <f ca="1">IF(History!AA$2="","",#REF!*$C$81)</f>
        <v>#REF!</v>
      </c>
      <c r="X81" s="11" t="e">
        <f ca="1">IF(History!AB$2="","",#REF!*$C$81)</f>
        <v>#REF!</v>
      </c>
      <c r="Y81" s="11" t="e">
        <f ca="1">IF(History!AC$2="","",#REF!*$C$81)</f>
        <v>#REF!</v>
      </c>
      <c r="Z81" s="11" t="e">
        <f ca="1">IF(History!AD$2="","",#REF!*$C$81)</f>
        <v>#REF!</v>
      </c>
      <c r="AA81" s="11" t="e">
        <f ca="1">IF(History!AE$2="","",#REF!*$C$81)</f>
        <v>#REF!</v>
      </c>
      <c r="AB81" s="11" t="e">
        <f ca="1">IF(History!AF$2="","",#REF!*$C$81)</f>
        <v>#REF!</v>
      </c>
      <c r="AC81" s="11" t="e">
        <f ca="1">IF(History!AG$2="","",#REF!*$C$81)</f>
        <v>#REF!</v>
      </c>
      <c r="AD81" s="11" t="e">
        <f ca="1">IF(History!AH$2="","",#REF!*$C$81)</f>
        <v>#REF!</v>
      </c>
      <c r="AE81" s="11" t="e">
        <f ca="1">IF(History!AI$2="","",#REF!*$C$81)</f>
        <v>#REF!</v>
      </c>
      <c r="AF81" s="11" t="e">
        <f ca="1">IF(History!AJ$2="","",#REF!*$C$81)</f>
        <v>#REF!</v>
      </c>
      <c r="AG81" s="11" t="e">
        <f ca="1">IF(History!AK$2="","",#REF!*$C$81)</f>
        <v>#REF!</v>
      </c>
      <c r="AH81" s="11" t="e">
        <f ca="1">IF(History!AL$2="","",#REF!*$C$81)</f>
        <v>#REF!</v>
      </c>
      <c r="AI81" s="11" t="e">
        <f ca="1">IF(History!AM$2="","",#REF!*$C$81)</f>
        <v>#REF!</v>
      </c>
      <c r="AJ81" s="11" t="e">
        <f ca="1">IF(History!AN$2="","",#REF!*$C$81)</f>
        <v>#REF!</v>
      </c>
      <c r="AK81" s="11" t="e">
        <f ca="1">IF(History!AO$2="","",#REF!*$C$81)</f>
        <v>#REF!</v>
      </c>
      <c r="AL81" s="11" t="e">
        <f ca="1">IF(History!AP$2="","",#REF!*$C$81)</f>
        <v>#REF!</v>
      </c>
      <c r="AM81" s="11" t="e">
        <f ca="1">IF(History!AQ$2="","",#REF!*$C$81)</f>
        <v>#REF!</v>
      </c>
      <c r="AN81" s="11" t="e">
        <f ca="1">IF(History!AR$2="","",#REF!*$C$81)</f>
        <v>#REF!</v>
      </c>
      <c r="AO81" s="11" t="e">
        <f ca="1">IF(History!AS$2="","",#REF!*$C$81)</f>
        <v>#REF!</v>
      </c>
      <c r="AP81" s="11" t="e">
        <f ca="1">IF(History!AT$2="","",#REF!*$C$81)</f>
        <v>#REF!</v>
      </c>
      <c r="AQ81" s="11" t="e">
        <f ca="1">IF(History!AU$2="","",#REF!*$C$81)</f>
        <v>#REF!</v>
      </c>
      <c r="AR81" s="11" t="e">
        <f ca="1">IF(History!AV$2="","",#REF!*$C$81)</f>
        <v>#REF!</v>
      </c>
      <c r="AS81" s="11" t="e">
        <f ca="1">IF(History!AW$2="","",#REF!*$C$81)</f>
        <v>#REF!</v>
      </c>
      <c r="AT81" s="11" t="e">
        <f ca="1">IF(History!AX$2="","",#REF!*$C$81)</f>
        <v>#REF!</v>
      </c>
      <c r="AU81" s="11" t="e">
        <f ca="1">IF(History!AY$2="","",#REF!*$C$81)</f>
        <v>#REF!</v>
      </c>
      <c r="AV81" s="11" t="e">
        <f ca="1">IF(History!AZ$2="","",#REF!*$C$81)</f>
        <v>#REF!</v>
      </c>
      <c r="AW81" s="11" t="e">
        <f ca="1">IF(History!BA$2="","",#REF!*$C$81)</f>
        <v>#REF!</v>
      </c>
      <c r="AX81" s="11" t="e">
        <f ca="1">IF(History!BB$2="","",#REF!*$C$81)</f>
        <v>#REF!</v>
      </c>
      <c r="AY81" s="11" t="e">
        <f ca="1">IF(History!BC$2="","",#REF!*$C$81)</f>
        <v>#REF!</v>
      </c>
      <c r="AZ81" s="11" t="e">
        <f ca="1">IF(History!BD$2="","",#REF!*$C$81)</f>
        <v>#REF!</v>
      </c>
      <c r="BA81" s="11" t="e">
        <f ca="1">IF(History!BE$2="","",#REF!*$C$81)</f>
        <v>#REF!</v>
      </c>
      <c r="BB81" s="11" t="e">
        <f ca="1">IF(History!BF$2="","",#REF!*$C$81)</f>
        <v>#REF!</v>
      </c>
      <c r="BC81" s="11" t="e">
        <f ca="1">IF(History!BG$2="","",#REF!*$C$81)</f>
        <v>#REF!</v>
      </c>
      <c r="BD81" s="11" t="e">
        <f ca="1">IF(History!BH$2="","",#REF!*$C$81)</f>
        <v>#REF!</v>
      </c>
      <c r="BE81" s="11" t="e">
        <f ca="1">IF(History!BI$2="","",#REF!*$C$81)</f>
        <v>#REF!</v>
      </c>
      <c r="BF81" s="11" t="e">
        <f ca="1">IF(History!BJ$2="","",#REF!*$C$81)</f>
        <v>#REF!</v>
      </c>
      <c r="BG81" s="11" t="e">
        <f ca="1">IF(History!BK$2="","",#REF!*$C$81)</f>
        <v>#REF!</v>
      </c>
      <c r="BH81" s="11" t="e">
        <f ca="1">IF(History!BL$2="","",#REF!*$C$81)</f>
        <v>#REF!</v>
      </c>
      <c r="BI81" s="11" t="e">
        <f ca="1">IF(History!BM$2="","",#REF!*$C$81)</f>
        <v>#REF!</v>
      </c>
      <c r="BJ81" s="11" t="e">
        <f ca="1">IF(History!BN$2="","",#REF!*$C$81)</f>
        <v>#REF!</v>
      </c>
      <c r="BK81" s="11" t="e">
        <f ca="1">IF(History!BO$2="","",#REF!*$C$81)</f>
        <v>#REF!</v>
      </c>
      <c r="BL81" s="11" t="e">
        <f ca="1">IF(History!BP$2="","",#REF!*$C$81)</f>
        <v>#REF!</v>
      </c>
      <c r="BM81" s="11" t="e">
        <f ca="1">IF(History!BQ$2="","",#REF!*$C$81)</f>
        <v>#REF!</v>
      </c>
      <c r="BN81" s="11" t="e">
        <f ca="1">IF(History!BR$2="","",#REF!*$C$81)</f>
        <v>#REF!</v>
      </c>
      <c r="BO81" s="11" t="e">
        <f ca="1">IF(History!BS$2="","",#REF!*$C$81)</f>
        <v>#REF!</v>
      </c>
      <c r="BP81" s="11" t="e">
        <f ca="1">IF(History!BT$2="","",#REF!*$C$81)</f>
        <v>#REF!</v>
      </c>
      <c r="BQ81" s="11" t="e">
        <f ca="1">IF(History!BU$2="","",#REF!*$C$81)</f>
        <v>#REF!</v>
      </c>
      <c r="BR81" s="11" t="e">
        <f ca="1">IF(History!BV$2="","",#REF!*$C$81)</f>
        <v>#REF!</v>
      </c>
      <c r="BS81" s="11" t="e">
        <f ca="1">IF(History!BW$2="","",#REF!*$C$81)</f>
        <v>#REF!</v>
      </c>
      <c r="BT81" s="11" t="e">
        <f ca="1">IF(History!BX$2="","",#REF!*$C$81)</f>
        <v>#REF!</v>
      </c>
      <c r="BU81" s="11" t="e">
        <f ca="1">IF(History!BY$2="","",#REF!*$C$81)</f>
        <v>#REF!</v>
      </c>
      <c r="BV81" s="11" t="e">
        <f ca="1">IF(History!BZ$2="","",#REF!*$C$81)</f>
        <v>#REF!</v>
      </c>
      <c r="BW81" s="11" t="e">
        <f ca="1">IF(History!CA$2="","",#REF!*$C$81)</f>
        <v>#REF!</v>
      </c>
      <c r="BX81" s="11" t="e">
        <f ca="1">IF(History!CB$2="","",#REF!*$C$81)</f>
        <v>#REF!</v>
      </c>
      <c r="BY81" s="11" t="e">
        <f ca="1">IF(History!CC$2="","",#REF!*$C$81)</f>
        <v>#REF!</v>
      </c>
      <c r="BZ81" s="11" t="e">
        <f ca="1">IF(History!CD$2="","",#REF!*$C$81)</f>
        <v>#REF!</v>
      </c>
      <c r="CA81" s="11" t="e">
        <f ca="1">IF(History!CE$2="","",#REF!*$C$81)</f>
        <v>#REF!</v>
      </c>
      <c r="CB81" s="11" t="e">
        <f ca="1">IF(History!CF$2="","",#REF!*$C$81)</f>
        <v>#REF!</v>
      </c>
      <c r="CC81" s="11" t="e">
        <f ca="1">IF(History!CG$2="","",#REF!*$C$81)</f>
        <v>#REF!</v>
      </c>
      <c r="CD81" s="11" t="e">
        <f ca="1">IF(History!CH$2="","",#REF!*$C$81)</f>
        <v>#REF!</v>
      </c>
      <c r="CE81" s="11" t="e">
        <f ca="1">IF(History!CI$2="","",#REF!*$C$81)</f>
        <v>#REF!</v>
      </c>
      <c r="CF81" s="11" t="str">
        <f ca="1">IF(History!CJ$2="","",#REF!*$C$81)</f>
        <v/>
      </c>
      <c r="CG81" s="11" t="str">
        <f ca="1">IF(History!CK$2="","",#REF!*$C$81)</f>
        <v/>
      </c>
      <c r="CH81" s="11" t="str">
        <f ca="1">IF(History!CL$2="","",#REF!*$C$81)</f>
        <v/>
      </c>
      <c r="CI81" s="11" t="str">
        <f ca="1">IF(History!CM$2="","",#REF!*$C$81)</f>
        <v/>
      </c>
      <c r="CJ81" s="11" t="str">
        <f ca="1">IF(History!CN$2="","",#REF!*$C$81)</f>
        <v/>
      </c>
      <c r="CK81" s="11" t="str">
        <f ca="1">IF(History!CO$2="","",#REF!*$C$81)</f>
        <v/>
      </c>
      <c r="CL81" s="11" t="str">
        <f ca="1">IF(History!CP$2="","",#REF!*$C$81)</f>
        <v/>
      </c>
      <c r="CM81" s="11" t="str">
        <f ca="1">IF(History!CQ$2="","",#REF!*$C$81)</f>
        <v/>
      </c>
      <c r="CN81" s="11" t="str">
        <f ca="1">IF(History!CR$2="","",#REF!*$C$81)</f>
        <v/>
      </c>
      <c r="CO81" s="11" t="str">
        <f ca="1">IF(History!CS$2="","",#REF!*$C$81)</f>
        <v/>
      </c>
      <c r="CP81" s="11" t="str">
        <f ca="1">IF(History!CT$2="","",#REF!*$C$81)</f>
        <v/>
      </c>
      <c r="CQ81" s="11" t="str">
        <f ca="1">IF(History!CU$2="","",#REF!*$C$81)</f>
        <v/>
      </c>
      <c r="CR81" s="11" t="str">
        <f ca="1">IF(History!CV$2="","",#REF!*$C$81)</f>
        <v/>
      </c>
      <c r="CS81" s="11" t="str">
        <f ca="1">IF(History!CW$2="","",#REF!*$C$81)</f>
        <v/>
      </c>
      <c r="CT81" s="11" t="str">
        <f ca="1">IF(History!CX$2="","",#REF!*$C$81)</f>
        <v/>
      </c>
      <c r="CU81" s="11" t="str">
        <f ca="1">IF(History!CY$2="","",#REF!*$C$81)</f>
        <v/>
      </c>
      <c r="CV81" s="11" t="str">
        <f ca="1">IF(History!CZ$2="","",#REF!*$C$81)</f>
        <v/>
      </c>
      <c r="CW81" s="11" t="str">
        <f ca="1">IF(History!DA$2="","",#REF!*$C$81)</f>
        <v/>
      </c>
      <c r="CX81" s="11" t="str">
        <f ca="1">IF(History!DB$2="","",#REF!*$C$81)</f>
        <v/>
      </c>
      <c r="CY81" s="11" t="str">
        <f ca="1">IF(History!DC$2="","",#REF!*$C$81)</f>
        <v/>
      </c>
      <c r="CZ81" s="11" t="str">
        <f ca="1">IF(History!DD$2="","",#REF!*$C$81)</f>
        <v/>
      </c>
      <c r="DA81" s="11" t="str">
        <f ca="1">IF(History!DE$2="","",#REF!*$C$81)</f>
        <v/>
      </c>
      <c r="DB81" s="11" t="str">
        <f ca="1">IF(History!DF$2="","",#REF!*$C$81)</f>
        <v/>
      </c>
      <c r="DC81" s="11" t="str">
        <f ca="1">IF(History!DG$2="","",#REF!*$C$81)</f>
        <v/>
      </c>
      <c r="DD81" s="11" t="str">
        <f ca="1">IF(History!DH$2="","",#REF!*$C$81)</f>
        <v/>
      </c>
      <c r="DE81" s="11" t="str">
        <f ca="1">IF(History!DI$2="","",#REF!*$C$81)</f>
        <v/>
      </c>
      <c r="DF81" s="11" t="str">
        <f ca="1">IF(History!DJ$2="","",#REF!*$C$81)</f>
        <v/>
      </c>
      <c r="DG81" s="11" t="str">
        <f ca="1">IF(History!DK$2="","",#REF!*$C$81)</f>
        <v/>
      </c>
      <c r="DH81" s="11" t="str">
        <f ca="1">IF(History!DL$2="","",#REF!*$C$81)</f>
        <v/>
      </c>
      <c r="DI81" s="11" t="str">
        <f ca="1">IF(History!DM$2="","",#REF!*$C$81)</f>
        <v/>
      </c>
      <c r="DJ81" s="11" t="str">
        <f ca="1">IF(History!DN$2="","",#REF!*$C$81)</f>
        <v/>
      </c>
      <c r="DK81" s="11" t="str">
        <f ca="1">IF(History!DO$2="","",#REF!*$C$81)</f>
        <v/>
      </c>
      <c r="DL81" s="11" t="str">
        <f ca="1">IF(History!DP$2="","",#REF!*$C$81)</f>
        <v/>
      </c>
      <c r="DM81" s="11" t="str">
        <f ca="1">IF(History!DQ$2="","",#REF!*$C$81)</f>
        <v/>
      </c>
      <c r="DN81" s="11" t="str">
        <f ca="1">IF(History!DR$2="","",#REF!*$C$81)</f>
        <v/>
      </c>
      <c r="DO81" s="11" t="str">
        <f ca="1">IF(History!DS$2="","",#REF!*$C$81)</f>
        <v/>
      </c>
      <c r="DP81" s="11" t="str">
        <f ca="1">IF(History!DT$2="","",#REF!*$C$81)</f>
        <v/>
      </c>
      <c r="DQ81" s="11" t="str">
        <f ca="1">IF(History!DU$2="","",#REF!*$C$81)</f>
        <v/>
      </c>
      <c r="DR81" s="11" t="str">
        <f ca="1">IF(History!DV$2="","",#REF!*$C$81)</f>
        <v/>
      </c>
      <c r="DS81" s="11" t="str">
        <f ca="1">IF(History!DW$2="","",#REF!*$C$81)</f>
        <v/>
      </c>
      <c r="DT81" s="11" t="str">
        <f ca="1">IF(History!DX$2="","",#REF!*$C$81)</f>
        <v/>
      </c>
      <c r="DU81" s="11" t="str">
        <f ca="1">IF(History!DY$2="","",#REF!*$C$81)</f>
        <v/>
      </c>
      <c r="DV81" s="11" t="str">
        <f ca="1">IF(History!DZ$2="","",#REF!*$C$81)</f>
        <v/>
      </c>
      <c r="DW81" s="11" t="str">
        <f ca="1">IF(History!EA$2="","",#REF!*$C$81)</f>
        <v/>
      </c>
      <c r="DX81" s="11" t="str">
        <f ca="1">IF(History!EB$2="","",#REF!*$C$81)</f>
        <v/>
      </c>
      <c r="DY81" s="11" t="str">
        <f ca="1">IF(History!EC$2="","",#REF!*$C$81)</f>
        <v/>
      </c>
      <c r="DZ81" s="11" t="str">
        <f ca="1">IF(History!ED$2="","",#REF!*$C$81)</f>
        <v/>
      </c>
      <c r="EA81" s="11" t="str">
        <f ca="1">IF(History!EE$2="","",#REF!*$C$81)</f>
        <v/>
      </c>
      <c r="EB81" s="11" t="str">
        <f ca="1">IF(History!EF$2="","",#REF!*$C$81)</f>
        <v/>
      </c>
      <c r="EC81" s="11" t="str">
        <f ca="1">IF(History!EG$2="","",#REF!*$C$81)</f>
        <v/>
      </c>
      <c r="ED81" s="11" t="str">
        <f ca="1">IF(History!EH$2="","",#REF!*$C$81)</f>
        <v/>
      </c>
      <c r="EE81" s="11" t="str">
        <f ca="1">IF(History!EI$2="","",#REF!*$C$81)</f>
        <v/>
      </c>
      <c r="EF81" s="11" t="str">
        <f ca="1">IF(History!EJ$2="","",#REF!*$C$81)</f>
        <v/>
      </c>
      <c r="EG81" s="11" t="str">
        <f ca="1">IF(History!EK$2="","",#REF!*$C$81)</f>
        <v/>
      </c>
      <c r="EH81" s="11" t="str">
        <f ca="1">IF(History!EL$2="","",#REF!*$C$81)</f>
        <v/>
      </c>
      <c r="EI81" s="11" t="str">
        <f ca="1">IF(History!EM$2="","",#REF!*$C$81)</f>
        <v/>
      </c>
      <c r="EJ81" s="11" t="str">
        <f ca="1">IF(History!EN$2="","",#REF!*$C$81)</f>
        <v/>
      </c>
      <c r="EK81" s="11" t="str">
        <f ca="1">IF(History!EO$2="","",#REF!*$C$81)</f>
        <v/>
      </c>
      <c r="EL81" s="11" t="str">
        <f ca="1">IF(History!EP$2="","",#REF!*$C$81)</f>
        <v/>
      </c>
      <c r="EM81" s="11" t="str">
        <f ca="1">IF(History!EQ$2="","",#REF!*$C$81)</f>
        <v/>
      </c>
      <c r="EN81" s="11" t="str">
        <f ca="1">IF(History!ER$2="","",#REF!*$C$81)</f>
        <v/>
      </c>
      <c r="EO81" s="11" t="str">
        <f ca="1">IF(History!ES$2="","",#REF!*$C$81)</f>
        <v/>
      </c>
      <c r="EP81" s="11" t="str">
        <f ca="1">IF(History!ET$2="","",#REF!*$C$81)</f>
        <v/>
      </c>
      <c r="EQ81" s="11" t="str">
        <f ca="1">IF(History!EU$2="","",#REF!*$C$81)</f>
        <v/>
      </c>
      <c r="ER81" s="11" t="str">
        <f ca="1">IF(History!EV$2="","",#REF!*$C$81)</f>
        <v/>
      </c>
      <c r="ES81" s="11" t="str">
        <f ca="1">IF(History!EW$2="","",#REF!*$C$81)</f>
        <v/>
      </c>
      <c r="ET81" s="11" t="str">
        <f ca="1">IF(History!EX$2="","",#REF!*$C$81)</f>
        <v/>
      </c>
      <c r="EU81" s="11" t="str">
        <f ca="1">IF(History!EY$2="","",#REF!*$C$81)</f>
        <v/>
      </c>
      <c r="EV81" s="11" t="str">
        <f ca="1">IF(History!EZ$2="","",#REF!*$C$81)</f>
        <v/>
      </c>
      <c r="EW81" s="11" t="str">
        <f ca="1">IF(History!FA$2="","",#REF!*$C$81)</f>
        <v/>
      </c>
      <c r="EX81" s="11" t="str">
        <f ca="1">IF(History!FB$2="","",#REF!*$C$81)</f>
        <v/>
      </c>
      <c r="EY81" s="11" t="str">
        <f ca="1">IF(History!FC$2="","",#REF!*$C$81)</f>
        <v/>
      </c>
      <c r="EZ81" s="11" t="str">
        <f ca="1">IF(History!FD$2="","",#REF!*$C$81)</f>
        <v/>
      </c>
      <c r="FA81" s="11" t="str">
        <f ca="1">IF(History!FE$2="","",#REF!*$C$81)</f>
        <v/>
      </c>
      <c r="FB81" s="11" t="str">
        <f ca="1">IF(History!FF$2="","",#REF!*$C$81)</f>
        <v/>
      </c>
      <c r="FC81" s="11" t="str">
        <f ca="1">IF(History!FG$2="","",#REF!*$C$81)</f>
        <v/>
      </c>
      <c r="FD81" s="11" t="str">
        <f ca="1">IF(History!FH$2="","",#REF!*$C$81)</f>
        <v/>
      </c>
      <c r="FE81" s="11" t="str">
        <f ca="1">IF(History!FI$2="","",#REF!*$C$81)</f>
        <v/>
      </c>
      <c r="FF81" s="11" t="str">
        <f ca="1">IF(History!FJ$2="","",#REF!*$C$81)</f>
        <v/>
      </c>
      <c r="FG81" s="11" t="str">
        <f ca="1">IF(History!FK$2="","",#REF!*$C$81)</f>
        <v/>
      </c>
      <c r="FH81" s="11" t="str">
        <f ca="1">IF(History!FL$2="","",#REF!*$C$81)</f>
        <v/>
      </c>
      <c r="FI81" s="11" t="str">
        <f ca="1">IF(History!FM$2="","",#REF!*$C$81)</f>
        <v/>
      </c>
      <c r="FJ81" s="11" t="str">
        <f ca="1">IF(History!FN$2="","",#REF!*$C$81)</f>
        <v/>
      </c>
      <c r="FK81" s="11" t="str">
        <f ca="1">IF(History!FO$2="","",#REF!*$C$81)</f>
        <v/>
      </c>
      <c r="FL81" s="11" t="str">
        <f ca="1">IF(History!FP$2="","",#REF!*$C$81)</f>
        <v/>
      </c>
      <c r="FM81" s="11" t="str">
        <f ca="1">IF(History!FQ$2="","",#REF!*$C$81)</f>
        <v/>
      </c>
      <c r="FN81" s="11" t="str">
        <f ca="1">IF(History!FR$2="","",#REF!*$C$81)</f>
        <v/>
      </c>
      <c r="FO81" s="11" t="str">
        <f ca="1">IF(History!FS$2="","",#REF!*$C$81)</f>
        <v/>
      </c>
      <c r="FP81" s="11" t="str">
        <f ca="1">IF(History!FT$2="","",#REF!*$C$81)</f>
        <v/>
      </c>
      <c r="FQ81" s="11" t="str">
        <f ca="1">IF(History!FU$2="","",#REF!*$C$81)</f>
        <v/>
      </c>
      <c r="FR81" s="11" t="str">
        <f ca="1">IF(History!FV$2="","",#REF!*$C$81)</f>
        <v/>
      </c>
      <c r="FS81" s="11" t="str">
        <f ca="1">IF(History!FW$2="","",#REF!*$C$81)</f>
        <v/>
      </c>
      <c r="FT81" s="11" t="str">
        <f ca="1">IF(History!FX$2="","",#REF!*$C$81)</f>
        <v/>
      </c>
      <c r="FU81" s="11" t="str">
        <f ca="1">IF(History!FY$2="","",#REF!*$C$81)</f>
        <v/>
      </c>
      <c r="FV81" s="11" t="str">
        <f ca="1">IF(History!FZ$2="","",#REF!*$C$81)</f>
        <v/>
      </c>
      <c r="FW81" s="11" t="str">
        <f ca="1">IF(History!GA$2="","",#REF!*$C$81)</f>
        <v/>
      </c>
      <c r="FX81" s="11" t="str">
        <f ca="1">IF(History!GB$2="","",#REF!*$C$81)</f>
        <v/>
      </c>
      <c r="FY81" s="11" t="str">
        <f ca="1">IF(History!GC$2="","",#REF!*$C$81)</f>
        <v/>
      </c>
      <c r="FZ81" s="11" t="str">
        <f ca="1">IF(History!GD$2="","",#REF!*$C$81)</f>
        <v/>
      </c>
      <c r="GA81" s="11" t="str">
        <f ca="1">IF(History!GE$2="","",#REF!*$C$81)</f>
        <v/>
      </c>
      <c r="GB81" s="11" t="str">
        <f ca="1">IF(History!GF$2="","",#REF!*$C$81)</f>
        <v/>
      </c>
      <c r="GC81" s="11" t="str">
        <f ca="1">IF(History!GG$2="","",#REF!*$C$81)</f>
        <v/>
      </c>
      <c r="GD81" s="11" t="str">
        <f ca="1">IF(History!GH$2="","",#REF!*$C$81)</f>
        <v/>
      </c>
      <c r="GE81" s="11" t="str">
        <f ca="1">IF(History!GI$2="","",#REF!*$C$81)</f>
        <v/>
      </c>
      <c r="GF81" s="11" t="str">
        <f ca="1">IF(History!GJ$2="","",#REF!*$C$81)</f>
        <v/>
      </c>
      <c r="GG81" s="11" t="str">
        <f ca="1">IF(History!GK$2="","",#REF!*$C$81)</f>
        <v/>
      </c>
      <c r="GH81" s="11" t="str">
        <f ca="1">IF(History!GL$2="","",#REF!*$C$81)</f>
        <v/>
      </c>
      <c r="GI81" s="11" t="str">
        <f ca="1">IF(History!GM$2="","",#REF!*$C$81)</f>
        <v/>
      </c>
      <c r="GJ81" s="11" t="str">
        <f ca="1">IF(History!GN$2="","",#REF!*$C$81)</f>
        <v/>
      </c>
      <c r="GK81" s="11" t="str">
        <f ca="1">IF(History!GO$2="","",#REF!*$C$81)</f>
        <v/>
      </c>
      <c r="GL81" s="11" t="str">
        <f ca="1">IF(History!GP$2="","",#REF!*$C$81)</f>
        <v/>
      </c>
      <c r="GM81" s="11" t="str">
        <f ca="1">IF(History!GQ$2="","",#REF!*$C$81)</f>
        <v/>
      </c>
      <c r="GN81" s="11" t="str">
        <f ca="1">IF(History!GR$2="","",#REF!*$C$81)</f>
        <v/>
      </c>
      <c r="GO81" s="11" t="str">
        <f ca="1">IF(History!GS$2="","",#REF!*$C$81)</f>
        <v/>
      </c>
      <c r="GP81" s="11" t="str">
        <f ca="1">IF(History!GT$2="","",#REF!*$C$81)</f>
        <v/>
      </c>
      <c r="GQ81" s="11" t="str">
        <f ca="1">IF(History!GU$2="","",#REF!*$C$81)</f>
        <v/>
      </c>
      <c r="GR81" s="11" t="str">
        <f ca="1">IF(History!GV$2="","",#REF!*$C$81)</f>
        <v/>
      </c>
      <c r="GS81" s="11" t="str">
        <f ca="1">IF(History!GW$2="","",#REF!*$C$81)</f>
        <v/>
      </c>
      <c r="GT81" s="11" t="str">
        <f ca="1">IF(History!GX$2="","",#REF!*$C$81)</f>
        <v/>
      </c>
      <c r="GU81" s="11" t="str">
        <f ca="1">IF(History!GY$2="","",#REF!*$C$81)</f>
        <v/>
      </c>
      <c r="GV81" s="11" t="str">
        <f ca="1">IF(History!GZ$2="","",#REF!*$C$81)</f>
        <v/>
      </c>
      <c r="GW81" s="11" t="str">
        <f ca="1">IF(History!HA$2="","",#REF!*$C$81)</f>
        <v/>
      </c>
      <c r="GX81" s="11" t="str">
        <f ca="1">IF(History!HB$2="","",#REF!*$C$81)</f>
        <v/>
      </c>
      <c r="GY81" s="11" t="str">
        <f ca="1">IF(History!HC$2="","",#REF!*$C$81)</f>
        <v/>
      </c>
      <c r="GZ81" s="11" t="str">
        <f ca="1">IF(History!HD$2="","",#REF!*$C$81)</f>
        <v/>
      </c>
      <c r="HA81" s="11" t="str">
        <f ca="1">IF(History!HE$2="","",#REF!*$C$81)</f>
        <v/>
      </c>
      <c r="HB81" s="11" t="str">
        <f ca="1">IF(History!HF$2="","",#REF!*$C$81)</f>
        <v/>
      </c>
      <c r="HC81" s="11" t="str">
        <f ca="1">IF(History!HG$2="","",#REF!*$C$81)</f>
        <v/>
      </c>
      <c r="HD81" s="11" t="str">
        <f ca="1">IF(History!HH$2="","",#REF!*$C$81)</f>
        <v/>
      </c>
      <c r="HE81" s="11" t="str">
        <f ca="1">IF(History!HI$2="","",#REF!*$C$81)</f>
        <v/>
      </c>
      <c r="HF81" s="11" t="str">
        <f ca="1">IF(History!HJ$2="","",#REF!*$C$81)</f>
        <v/>
      </c>
      <c r="HG81" s="11" t="str">
        <f ca="1">IF(History!HK$2="","",#REF!*$C$81)</f>
        <v/>
      </c>
      <c r="HH81" s="11" t="str">
        <f ca="1">IF(History!HL$2="","",#REF!*$C$81)</f>
        <v/>
      </c>
      <c r="HI81" s="11" t="str">
        <f ca="1">IF(History!HM$2="","",#REF!*$C$81)</f>
        <v/>
      </c>
      <c r="HJ81" s="11" t="str">
        <f ca="1">IF(History!HN$2="","",#REF!*$C$81)</f>
        <v/>
      </c>
      <c r="HK81" s="11" t="str">
        <f ca="1">IF(History!HO$2="","",#REF!*$C$81)</f>
        <v/>
      </c>
      <c r="HL81" s="11" t="str">
        <f ca="1">IF(History!HP$2="","",#REF!*$C$81)</f>
        <v/>
      </c>
      <c r="HM81" s="11" t="str">
        <f ca="1">IF(History!HQ$2="","",#REF!*$C$81)</f>
        <v/>
      </c>
      <c r="HN81" s="11" t="str">
        <f ca="1">IF(History!HR$2="","",#REF!*$C$81)</f>
        <v/>
      </c>
      <c r="HO81" s="11" t="str">
        <f ca="1">IF(History!HS$2="","",#REF!*$C$81)</f>
        <v/>
      </c>
      <c r="HP81" s="11" t="str">
        <f ca="1">IF(History!HT$2="","",#REF!*$C$81)</f>
        <v/>
      </c>
      <c r="HQ81" s="11" t="str">
        <f ca="1">IF(History!HU$2="","",#REF!*$C$81)</f>
        <v/>
      </c>
      <c r="HR81" s="11" t="str">
        <f ca="1">IF(History!HV$2="","",#REF!*$C$81)</f>
        <v/>
      </c>
      <c r="HS81" s="11" t="str">
        <f ca="1">IF(History!HW$2="","",#REF!*$C$81)</f>
        <v/>
      </c>
      <c r="HT81" s="11" t="str">
        <f ca="1">IF(History!HX$2="","",#REF!*$C$81)</f>
        <v/>
      </c>
      <c r="HU81" s="11" t="str">
        <f ca="1">IF(History!HY$2="","",#REF!*$C$81)</f>
        <v/>
      </c>
      <c r="HV81" s="11" t="str">
        <f ca="1">IF(History!HZ$2="","",#REF!*$C$81)</f>
        <v/>
      </c>
      <c r="HW81" s="11" t="str">
        <f ca="1">IF(History!IA$2="","",#REF!*$C$81)</f>
        <v/>
      </c>
      <c r="HX81" s="11" t="str">
        <f ca="1">IF(History!IB$2="","",#REF!*$C$81)</f>
        <v/>
      </c>
      <c r="HY81" s="11" t="str">
        <f ca="1">IF(History!IC$2="","",#REF!*$C$81)</f>
        <v/>
      </c>
      <c r="HZ81" s="11" t="str">
        <f ca="1">IF(History!ID$2="","",#REF!*$C$81)</f>
        <v/>
      </c>
      <c r="IA81" s="11" t="str">
        <f ca="1">IF(History!IE$2="","",#REF!*$C$81)</f>
        <v/>
      </c>
      <c r="IB81" s="11" t="str">
        <f ca="1">IF(History!IF$2="","",#REF!*$C$81)</f>
        <v/>
      </c>
      <c r="IC81" s="11" t="str">
        <f ca="1">IF(History!IG$2="","",#REF!*$C$81)</f>
        <v/>
      </c>
      <c r="ID81" s="11" t="str">
        <f ca="1">IF(History!IH$2="","",#REF!*$C$81)</f>
        <v/>
      </c>
      <c r="IE81" s="11" t="str">
        <f ca="1">IF(History!II$2="","",#REF!*$C$81)</f>
        <v/>
      </c>
      <c r="IF81" s="11" t="str">
        <f ca="1">IF(History!IJ$2="","",#REF!*$C$81)</f>
        <v/>
      </c>
      <c r="IG81" s="11" t="str">
        <f ca="1">IF(History!IK$2="","",#REF!*$C$81)</f>
        <v/>
      </c>
      <c r="IH81" s="11" t="str">
        <f ca="1">IF(History!IL$2="","",#REF!*$C$81)</f>
        <v/>
      </c>
      <c r="II81" s="11" t="str">
        <f ca="1">IF(History!IM$2="","",#REF!*$C$81)</f>
        <v/>
      </c>
      <c r="IJ81" s="11" t="str">
        <f ca="1">IF(History!IN$2="","",#REF!*$C$81)</f>
        <v/>
      </c>
      <c r="IK81" s="11" t="str">
        <f ca="1">IF(History!IO$2="","",#REF!*$C$81)</f>
        <v/>
      </c>
      <c r="IL81" s="11" t="str">
        <f ca="1">IF(History!IP$2="","",#REF!*$C$81)</f>
        <v/>
      </c>
      <c r="IM81" s="11" t="str">
        <f ca="1">IF(History!IQ$2="","",#REF!*$C$81)</f>
        <v/>
      </c>
      <c r="IN81" s="11" t="str">
        <f ca="1">IF(History!IR$2="","",#REF!*$C$81)</f>
        <v/>
      </c>
      <c r="IO81" s="11" t="str">
        <f ca="1">IF(History!IS$2="","",#REF!*$C$81)</f>
        <v/>
      </c>
      <c r="IP81" s="11" t="str">
        <f ca="1">IF(History!IT$2="","",#REF!*$C$81)</f>
        <v/>
      </c>
      <c r="IQ81" s="11" t="str">
        <f ca="1">IF(History!IU$2="","",#REF!*$C$81)</f>
        <v/>
      </c>
      <c r="IR81" s="11" t="str">
        <f ca="1">IF(History!IV$2="","",#REF!*$C$81)</f>
        <v/>
      </c>
      <c r="IS81" s="11" t="str">
        <f ca="1">IF(History!IW$2="","",#REF!*$C$81)</f>
        <v/>
      </c>
      <c r="IT81" s="11" t="str">
        <f ca="1">IF(History!IX$2="","",#REF!*$C$81)</f>
        <v/>
      </c>
      <c r="IU81" s="11" t="str">
        <f ca="1">IF(History!IY$2="","",#REF!*$C$81)</f>
        <v/>
      </c>
      <c r="IV81" s="11" t="str">
        <f ca="1">IF(History!IZ$2="","",#REF!*$C$81)</f>
        <v/>
      </c>
      <c r="IW81" s="11" t="str">
        <f ca="1">IF(History!JA$2="","",#REF!*$C$81)</f>
        <v/>
      </c>
      <c r="IX81" s="11" t="str">
        <f ca="1">IF(History!JB$2="","",#REF!*$C$81)</f>
        <v/>
      </c>
      <c r="IY81" s="11" t="str">
        <f ca="1">IF(History!JC$2="","",#REF!*$C$81)</f>
        <v/>
      </c>
      <c r="IZ81" s="11" t="str">
        <f ca="1">IF(History!JD$2="","",#REF!*$C$81)</f>
        <v/>
      </c>
      <c r="JA81" s="11" t="str">
        <f ca="1">IF(History!JE$2="","",#REF!*$C$81)</f>
        <v/>
      </c>
      <c r="JB81" s="11" t="str">
        <f ca="1">IF(History!JF$2="","",#REF!*$C$81)</f>
        <v/>
      </c>
      <c r="JC81" s="11" t="str">
        <f ca="1">IF(History!JG$2="","",#REF!*$C$81)</f>
        <v/>
      </c>
      <c r="JD81" s="11" t="str">
        <f ca="1">IF(History!JH$2="","",#REF!*$C$81)</f>
        <v/>
      </c>
      <c r="JE81" s="11" t="str">
        <f ca="1">IF(History!JI$2="","",#REF!*$C$81)</f>
        <v/>
      </c>
      <c r="JF81" s="11" t="str">
        <f ca="1">IF(History!JJ$2="","",#REF!*$C$81)</f>
        <v/>
      </c>
      <c r="JG81" s="11" t="str">
        <f ca="1">IF(History!JK$2="","",#REF!*$C$81)</f>
        <v/>
      </c>
      <c r="JH81" s="11" t="str">
        <f ca="1">IF(History!JL$2="","",#REF!*$C$81)</f>
        <v/>
      </c>
      <c r="JI81" s="11" t="str">
        <f ca="1">IF(History!JM$2="","",#REF!*$C$81)</f>
        <v/>
      </c>
      <c r="JJ81" s="11" t="str">
        <f ca="1">IF(History!JN$2="","",#REF!*$C$81)</f>
        <v/>
      </c>
      <c r="JK81" s="11" t="str">
        <f ca="1">IF(History!JO$2="","",#REF!*$C$81)</f>
        <v/>
      </c>
      <c r="JL81" s="11" t="str">
        <f ca="1">IF(History!JP$2="","",#REF!*$C$81)</f>
        <v/>
      </c>
      <c r="JM81" s="11" t="str">
        <f ca="1">IF(History!JQ$2="","",#REF!*$C$81)</f>
        <v/>
      </c>
      <c r="JN81" s="11" t="str">
        <f ca="1">IF(History!JR$2="","",#REF!*$C$81)</f>
        <v/>
      </c>
      <c r="JO81" s="11" t="str">
        <f ca="1">IF(History!JS$2="","",#REF!*$C$81)</f>
        <v/>
      </c>
      <c r="JP81" s="11" t="str">
        <f ca="1">IF(History!JT$2="","",#REF!*$C$81)</f>
        <v/>
      </c>
      <c r="JQ81" s="11" t="str">
        <f ca="1">IF(History!JU$2="","",#REF!*$C$81)</f>
        <v/>
      </c>
      <c r="JR81" s="11" t="str">
        <f ca="1">IF(History!JV$2="","",#REF!*$C$81)</f>
        <v/>
      </c>
      <c r="JS81" s="11" t="str">
        <f ca="1">IF(History!JW$2="","",#REF!*$C$81)</f>
        <v/>
      </c>
      <c r="JT81" s="11" t="str">
        <f ca="1">IF(History!JX$2="","",#REF!*$C$81)</f>
        <v/>
      </c>
      <c r="JU81" s="11" t="str">
        <f ca="1">IF(History!JY$2="","",#REF!*$C$81)</f>
        <v/>
      </c>
      <c r="JV81" s="11" t="str">
        <f ca="1">IF(History!JZ$2="","",#REF!*$C$81)</f>
        <v/>
      </c>
      <c r="JW81" s="11" t="str">
        <f ca="1">IF(History!KA$2="","",#REF!*$C$81)</f>
        <v/>
      </c>
      <c r="JX81" s="11" t="str">
        <f ca="1">IF(History!KB$2="","",#REF!*$C$81)</f>
        <v/>
      </c>
      <c r="JY81" s="11" t="str">
        <f ca="1">IF(History!KC$2="","",#REF!*$C$81)</f>
        <v/>
      </c>
      <c r="JZ81" s="11" t="str">
        <f ca="1">IF(History!KD$2="","",#REF!*$C$81)</f>
        <v/>
      </c>
      <c r="KA81" s="11" t="str">
        <f ca="1">IF(History!KE$2="","",#REF!*$C$81)</f>
        <v/>
      </c>
      <c r="KB81" s="11" t="str">
        <f ca="1">IF(History!KF$2="","",#REF!*$C$81)</f>
        <v/>
      </c>
    </row>
    <row r="82" spans="1:288" ht="13">
      <c r="A82" s="18" t="s">
        <v>140</v>
      </c>
      <c r="B82" s="6" t="s">
        <v>160</v>
      </c>
      <c r="C82" s="26">
        <v>73</v>
      </c>
      <c r="D82" s="11" t="e">
        <f ca="1">IF(History!H$2="","",#REF!*$C$82)</f>
        <v>#REF!</v>
      </c>
      <c r="E82" s="11" t="e">
        <f ca="1">IF(History!I$2="","",#REF!*$C$82)</f>
        <v>#REF!</v>
      </c>
      <c r="F82" s="11" t="e">
        <f ca="1">IF(History!J$2="","",#REF!*$C$82)</f>
        <v>#REF!</v>
      </c>
      <c r="G82" s="11" t="e">
        <f ca="1">IF(History!K$2="","",#REF!*$C$82)</f>
        <v>#REF!</v>
      </c>
      <c r="H82" s="11" t="e">
        <f ca="1">IF(History!L$2="","",#REF!*$C$82)</f>
        <v>#REF!</v>
      </c>
      <c r="I82" s="11" t="e">
        <f ca="1">IF(History!M$2="","",#REF!*$C$82)</f>
        <v>#REF!</v>
      </c>
      <c r="J82" s="11" t="e">
        <f ca="1">IF(History!N$2="","",#REF!*$C$82)</f>
        <v>#REF!</v>
      </c>
      <c r="K82" s="11" t="e">
        <f ca="1">IF(History!O$2="","",#REF!*$C$82)</f>
        <v>#REF!</v>
      </c>
      <c r="L82" s="11" t="e">
        <f ca="1">IF(History!P$2="","",#REF!*$C$82)</f>
        <v>#REF!</v>
      </c>
      <c r="M82" s="11" t="e">
        <f ca="1">IF(History!Q$2="","",#REF!*$C$82)</f>
        <v>#REF!</v>
      </c>
      <c r="N82" s="11" t="e">
        <f ca="1">IF(History!R$2="","",#REF!*$C$82)</f>
        <v>#REF!</v>
      </c>
      <c r="O82" s="11" t="e">
        <f ca="1">IF(History!S$2="","",#REF!*$C$82)</f>
        <v>#REF!</v>
      </c>
      <c r="P82" s="11" t="e">
        <f ca="1">IF(History!T$2="","",#REF!*$C$82)</f>
        <v>#REF!</v>
      </c>
      <c r="Q82" s="11" t="e">
        <f ca="1">IF(History!U$2="","",#REF!*$C$82)</f>
        <v>#REF!</v>
      </c>
      <c r="R82" s="11" t="e">
        <f ca="1">IF(History!V$2="","",#REF!*$C$82)</f>
        <v>#REF!</v>
      </c>
      <c r="S82" s="11" t="e">
        <f ca="1">IF(History!W$2="","",#REF!*$C$82)</f>
        <v>#REF!</v>
      </c>
      <c r="T82" s="11" t="e">
        <f ca="1">IF(History!X$2="","",#REF!*$C$82)</f>
        <v>#REF!</v>
      </c>
      <c r="U82" s="11" t="e">
        <f ca="1">IF(History!Y$2="","",#REF!*$C$82)</f>
        <v>#REF!</v>
      </c>
      <c r="V82" s="11" t="e">
        <f ca="1">IF(History!Z$2="","",#REF!*$C$82)</f>
        <v>#REF!</v>
      </c>
      <c r="W82" s="11" t="e">
        <f ca="1">IF(History!AA$2="","",#REF!*$C$82)</f>
        <v>#REF!</v>
      </c>
      <c r="X82" s="11" t="e">
        <f ca="1">IF(History!AB$2="","",#REF!*$C$82)</f>
        <v>#REF!</v>
      </c>
      <c r="Y82" s="11" t="e">
        <f ca="1">IF(History!AC$2="","",#REF!*$C$82)</f>
        <v>#REF!</v>
      </c>
      <c r="Z82" s="11" t="e">
        <f ca="1">IF(History!AD$2="","",#REF!*$C$82)</f>
        <v>#REF!</v>
      </c>
      <c r="AA82" s="11" t="e">
        <f ca="1">IF(History!AE$2="","",#REF!*$C$82)</f>
        <v>#REF!</v>
      </c>
      <c r="AB82" s="11" t="e">
        <f ca="1">IF(History!AF$2="","",#REF!*$C$82)</f>
        <v>#REF!</v>
      </c>
      <c r="AC82" s="11" t="e">
        <f ca="1">IF(History!AG$2="","",#REF!*$C$82)</f>
        <v>#REF!</v>
      </c>
      <c r="AD82" s="11" t="e">
        <f ca="1">IF(History!AH$2="","",#REF!*$C$82)</f>
        <v>#REF!</v>
      </c>
      <c r="AE82" s="11" t="e">
        <f ca="1">IF(History!AI$2="","",#REF!*$C$82)</f>
        <v>#REF!</v>
      </c>
      <c r="AF82" s="11" t="e">
        <f ca="1">IF(History!AJ$2="","",#REF!*$C$82)</f>
        <v>#REF!</v>
      </c>
      <c r="AG82" s="11" t="e">
        <f ca="1">IF(History!AK$2="","",#REF!*$C$82)</f>
        <v>#REF!</v>
      </c>
      <c r="AH82" s="11" t="e">
        <f ca="1">IF(History!AL$2="","",#REF!*$C$82)</f>
        <v>#REF!</v>
      </c>
      <c r="AI82" s="11" t="e">
        <f ca="1">IF(History!AM$2="","",#REF!*$C$82)</f>
        <v>#REF!</v>
      </c>
      <c r="AJ82" s="11" t="e">
        <f ca="1">IF(History!AN$2="","",#REF!*$C$82)</f>
        <v>#REF!</v>
      </c>
      <c r="AK82" s="11" t="e">
        <f ca="1">IF(History!AO$2="","",#REF!*$C$82)</f>
        <v>#REF!</v>
      </c>
      <c r="AL82" s="11" t="e">
        <f ca="1">IF(History!AP$2="","",#REF!*$C$82)</f>
        <v>#REF!</v>
      </c>
      <c r="AM82" s="11" t="e">
        <f ca="1">IF(History!AQ$2="","",#REF!*$C$82)</f>
        <v>#REF!</v>
      </c>
      <c r="AN82" s="11" t="e">
        <f ca="1">IF(History!AR$2="","",#REF!*$C$82)</f>
        <v>#REF!</v>
      </c>
      <c r="AO82" s="11" t="e">
        <f ca="1">IF(History!AS$2="","",#REF!*$C$82)</f>
        <v>#REF!</v>
      </c>
      <c r="AP82" s="11" t="e">
        <f ca="1">IF(History!AT$2="","",#REF!*$C$82)</f>
        <v>#REF!</v>
      </c>
      <c r="AQ82" s="11" t="e">
        <f ca="1">IF(History!AU$2="","",#REF!*$C$82)</f>
        <v>#REF!</v>
      </c>
      <c r="AR82" s="11" t="e">
        <f ca="1">IF(History!AV$2="","",#REF!*$C$82)</f>
        <v>#REF!</v>
      </c>
      <c r="AS82" s="11" t="e">
        <f ca="1">IF(History!AW$2="","",#REF!*$C$82)</f>
        <v>#REF!</v>
      </c>
      <c r="AT82" s="11" t="e">
        <f ca="1">IF(History!AX$2="","",#REF!*$C$82)</f>
        <v>#REF!</v>
      </c>
      <c r="AU82" s="11" t="e">
        <f ca="1">IF(History!AY$2="","",#REF!*$C$82)</f>
        <v>#REF!</v>
      </c>
      <c r="AV82" s="11" t="e">
        <f ca="1">IF(History!AZ$2="","",#REF!*$C$82)</f>
        <v>#REF!</v>
      </c>
      <c r="AW82" s="11" t="e">
        <f ca="1">IF(History!BA$2="","",#REF!*$C$82)</f>
        <v>#REF!</v>
      </c>
      <c r="AX82" s="11" t="e">
        <f ca="1">IF(History!BB$2="","",#REF!*$C$82)</f>
        <v>#REF!</v>
      </c>
      <c r="AY82" s="11" t="e">
        <f ca="1">IF(History!BC$2="","",#REF!*$C$82)</f>
        <v>#REF!</v>
      </c>
      <c r="AZ82" s="11" t="e">
        <f ca="1">IF(History!BD$2="","",#REF!*$C$82)</f>
        <v>#REF!</v>
      </c>
      <c r="BA82" s="11" t="e">
        <f ca="1">IF(History!BE$2="","",#REF!*$C$82)</f>
        <v>#REF!</v>
      </c>
      <c r="BB82" s="11" t="e">
        <f ca="1">IF(History!BF$2="","",#REF!*$C$82)</f>
        <v>#REF!</v>
      </c>
      <c r="BC82" s="11" t="e">
        <f ca="1">IF(History!BG$2="","",#REF!*$C$82)</f>
        <v>#REF!</v>
      </c>
      <c r="BD82" s="11" t="e">
        <f ca="1">IF(History!BH$2="","",#REF!*$C$82)</f>
        <v>#REF!</v>
      </c>
      <c r="BE82" s="11" t="e">
        <f ca="1">IF(History!BI$2="","",#REF!*$C$82)</f>
        <v>#REF!</v>
      </c>
      <c r="BF82" s="11" t="e">
        <f ca="1">IF(History!BJ$2="","",#REF!*$C$82)</f>
        <v>#REF!</v>
      </c>
      <c r="BG82" s="11" t="e">
        <f ca="1">IF(History!BK$2="","",#REF!*$C$82)</f>
        <v>#REF!</v>
      </c>
      <c r="BH82" s="11" t="e">
        <f ca="1">IF(History!BL$2="","",#REF!*$C$82)</f>
        <v>#REF!</v>
      </c>
      <c r="BI82" s="11" t="e">
        <f ca="1">IF(History!BM$2="","",#REF!*$C$82)</f>
        <v>#REF!</v>
      </c>
      <c r="BJ82" s="11" t="e">
        <f ca="1">IF(History!BN$2="","",#REF!*$C$82)</f>
        <v>#REF!</v>
      </c>
      <c r="BK82" s="11" t="e">
        <f ca="1">IF(History!BO$2="","",#REF!*$C$82)</f>
        <v>#REF!</v>
      </c>
      <c r="BL82" s="11" t="e">
        <f ca="1">IF(History!BP$2="","",#REF!*$C$82)</f>
        <v>#REF!</v>
      </c>
      <c r="BM82" s="11" t="e">
        <f ca="1">IF(History!BQ$2="","",#REF!*$C$82)</f>
        <v>#REF!</v>
      </c>
      <c r="BN82" s="11" t="e">
        <f ca="1">IF(History!BR$2="","",#REF!*$C$82)</f>
        <v>#REF!</v>
      </c>
      <c r="BO82" s="11" t="e">
        <f ca="1">IF(History!BS$2="","",#REF!*$C$82)</f>
        <v>#REF!</v>
      </c>
      <c r="BP82" s="11" t="e">
        <f ca="1">IF(History!BT$2="","",#REF!*$C$82)</f>
        <v>#REF!</v>
      </c>
      <c r="BQ82" s="11" t="e">
        <f ca="1">IF(History!BU$2="","",#REF!*$C$82)</f>
        <v>#REF!</v>
      </c>
      <c r="BR82" s="11" t="e">
        <f ca="1">IF(History!BV$2="","",#REF!*$C$82)</f>
        <v>#REF!</v>
      </c>
      <c r="BS82" s="11" t="e">
        <f ca="1">IF(History!BW$2="","",#REF!*$C$82)</f>
        <v>#REF!</v>
      </c>
      <c r="BT82" s="11" t="e">
        <f ca="1">IF(History!BX$2="","",#REF!*$C$82)</f>
        <v>#REF!</v>
      </c>
      <c r="BU82" s="11" t="e">
        <f ca="1">IF(History!BY$2="","",#REF!*$C$82)</f>
        <v>#REF!</v>
      </c>
      <c r="BV82" s="11" t="e">
        <f ca="1">IF(History!BZ$2="","",#REF!*$C$82)</f>
        <v>#REF!</v>
      </c>
      <c r="BW82" s="11" t="e">
        <f ca="1">IF(History!CA$2="","",#REF!*$C$82)</f>
        <v>#REF!</v>
      </c>
      <c r="BX82" s="11" t="e">
        <f ca="1">IF(History!CB$2="","",#REF!*$C$82)</f>
        <v>#REF!</v>
      </c>
      <c r="BY82" s="11" t="e">
        <f ca="1">IF(History!CC$2="","",#REF!*$C$82)</f>
        <v>#REF!</v>
      </c>
      <c r="BZ82" s="11" t="e">
        <f ca="1">IF(History!CD$2="","",#REF!*$C$82)</f>
        <v>#REF!</v>
      </c>
      <c r="CA82" s="11" t="e">
        <f ca="1">IF(History!CE$2="","",#REF!*$C$82)</f>
        <v>#REF!</v>
      </c>
      <c r="CB82" s="11" t="e">
        <f ca="1">IF(History!CF$2="","",#REF!*$C$82)</f>
        <v>#REF!</v>
      </c>
      <c r="CC82" s="11" t="e">
        <f ca="1">IF(History!CG$2="","",#REF!*$C$82)</f>
        <v>#REF!</v>
      </c>
      <c r="CD82" s="11" t="e">
        <f ca="1">IF(History!CH$2="","",#REF!*$C$82)</f>
        <v>#REF!</v>
      </c>
      <c r="CE82" s="11" t="e">
        <f ca="1">IF(History!CI$2="","",#REF!*$C$82)</f>
        <v>#REF!</v>
      </c>
      <c r="CF82" s="11" t="str">
        <f ca="1">IF(History!CJ$2="","",#REF!*$C$82)</f>
        <v/>
      </c>
      <c r="CG82" s="11" t="str">
        <f ca="1">IF(History!CK$2="","",#REF!*$C$82)</f>
        <v/>
      </c>
      <c r="CH82" s="11" t="str">
        <f ca="1">IF(History!CL$2="","",#REF!*$C$82)</f>
        <v/>
      </c>
      <c r="CI82" s="11" t="str">
        <f ca="1">IF(History!CM$2="","",#REF!*$C$82)</f>
        <v/>
      </c>
      <c r="CJ82" s="11" t="str">
        <f ca="1">IF(History!CN$2="","",#REF!*$C$82)</f>
        <v/>
      </c>
      <c r="CK82" s="11" t="str">
        <f ca="1">IF(History!CO$2="","",#REF!*$C$82)</f>
        <v/>
      </c>
      <c r="CL82" s="11" t="str">
        <f ca="1">IF(History!CP$2="","",#REF!*$C$82)</f>
        <v/>
      </c>
      <c r="CM82" s="11" t="str">
        <f ca="1">IF(History!CQ$2="","",#REF!*$C$82)</f>
        <v/>
      </c>
      <c r="CN82" s="11" t="str">
        <f ca="1">IF(History!CR$2="","",#REF!*$C$82)</f>
        <v/>
      </c>
      <c r="CO82" s="11" t="str">
        <f ca="1">IF(History!CS$2="","",#REF!*$C$82)</f>
        <v/>
      </c>
      <c r="CP82" s="11" t="str">
        <f ca="1">IF(History!CT$2="","",#REF!*$C$82)</f>
        <v/>
      </c>
      <c r="CQ82" s="11" t="str">
        <f ca="1">IF(History!CU$2="","",#REF!*$C$82)</f>
        <v/>
      </c>
      <c r="CR82" s="11" t="str">
        <f ca="1">IF(History!CV$2="","",#REF!*$C$82)</f>
        <v/>
      </c>
      <c r="CS82" s="11" t="str">
        <f ca="1">IF(History!CW$2="","",#REF!*$C$82)</f>
        <v/>
      </c>
      <c r="CT82" s="11" t="str">
        <f ca="1">IF(History!CX$2="","",#REF!*$C$82)</f>
        <v/>
      </c>
      <c r="CU82" s="11" t="str">
        <f ca="1">IF(History!CY$2="","",#REF!*$C$82)</f>
        <v/>
      </c>
      <c r="CV82" s="11" t="str">
        <f ca="1">IF(History!CZ$2="","",#REF!*$C$82)</f>
        <v/>
      </c>
      <c r="CW82" s="11" t="str">
        <f ca="1">IF(History!DA$2="","",#REF!*$C$82)</f>
        <v/>
      </c>
      <c r="CX82" s="11" t="str">
        <f ca="1">IF(History!DB$2="","",#REF!*$C$82)</f>
        <v/>
      </c>
      <c r="CY82" s="11" t="str">
        <f ca="1">IF(History!DC$2="","",#REF!*$C$82)</f>
        <v/>
      </c>
      <c r="CZ82" s="11" t="str">
        <f ca="1">IF(History!DD$2="","",#REF!*$C$82)</f>
        <v/>
      </c>
      <c r="DA82" s="11" t="str">
        <f ca="1">IF(History!DE$2="","",#REF!*$C$82)</f>
        <v/>
      </c>
      <c r="DB82" s="11" t="str">
        <f ca="1">IF(History!DF$2="","",#REF!*$C$82)</f>
        <v/>
      </c>
      <c r="DC82" s="11" t="str">
        <f ca="1">IF(History!DG$2="","",#REF!*$C$82)</f>
        <v/>
      </c>
      <c r="DD82" s="11" t="str">
        <f ca="1">IF(History!DH$2="","",#REF!*$C$82)</f>
        <v/>
      </c>
      <c r="DE82" s="11" t="str">
        <f ca="1">IF(History!DI$2="","",#REF!*$C$82)</f>
        <v/>
      </c>
      <c r="DF82" s="11" t="str">
        <f ca="1">IF(History!DJ$2="","",#REF!*$C$82)</f>
        <v/>
      </c>
      <c r="DG82" s="11" t="str">
        <f ca="1">IF(History!DK$2="","",#REF!*$C$82)</f>
        <v/>
      </c>
      <c r="DH82" s="11" t="str">
        <f ca="1">IF(History!DL$2="","",#REF!*$C$82)</f>
        <v/>
      </c>
      <c r="DI82" s="11" t="str">
        <f ca="1">IF(History!DM$2="","",#REF!*$C$82)</f>
        <v/>
      </c>
      <c r="DJ82" s="11" t="str">
        <f ca="1">IF(History!DN$2="","",#REF!*$C$82)</f>
        <v/>
      </c>
      <c r="DK82" s="11" t="str">
        <f ca="1">IF(History!DO$2="","",#REF!*$C$82)</f>
        <v/>
      </c>
      <c r="DL82" s="11" t="str">
        <f ca="1">IF(History!DP$2="","",#REF!*$C$82)</f>
        <v/>
      </c>
      <c r="DM82" s="11" t="str">
        <f ca="1">IF(History!DQ$2="","",#REF!*$C$82)</f>
        <v/>
      </c>
      <c r="DN82" s="11" t="str">
        <f ca="1">IF(History!DR$2="","",#REF!*$C$82)</f>
        <v/>
      </c>
      <c r="DO82" s="11" t="str">
        <f ca="1">IF(History!DS$2="","",#REF!*$C$82)</f>
        <v/>
      </c>
      <c r="DP82" s="11" t="str">
        <f ca="1">IF(History!DT$2="","",#REF!*$C$82)</f>
        <v/>
      </c>
      <c r="DQ82" s="11" t="str">
        <f ca="1">IF(History!DU$2="","",#REF!*$C$82)</f>
        <v/>
      </c>
      <c r="DR82" s="11" t="str">
        <f ca="1">IF(History!DV$2="","",#REF!*$C$82)</f>
        <v/>
      </c>
      <c r="DS82" s="11" t="str">
        <f ca="1">IF(History!DW$2="","",#REF!*$C$82)</f>
        <v/>
      </c>
      <c r="DT82" s="11" t="str">
        <f ca="1">IF(History!DX$2="","",#REF!*$C$82)</f>
        <v/>
      </c>
      <c r="DU82" s="11" t="str">
        <f ca="1">IF(History!DY$2="","",#REF!*$C$82)</f>
        <v/>
      </c>
      <c r="DV82" s="11" t="str">
        <f ca="1">IF(History!DZ$2="","",#REF!*$C$82)</f>
        <v/>
      </c>
      <c r="DW82" s="11" t="str">
        <f ca="1">IF(History!EA$2="","",#REF!*$C$82)</f>
        <v/>
      </c>
      <c r="DX82" s="11" t="str">
        <f ca="1">IF(History!EB$2="","",#REF!*$C$82)</f>
        <v/>
      </c>
      <c r="DY82" s="11" t="str">
        <f ca="1">IF(History!EC$2="","",#REF!*$C$82)</f>
        <v/>
      </c>
      <c r="DZ82" s="11" t="str">
        <f ca="1">IF(History!ED$2="","",#REF!*$C$82)</f>
        <v/>
      </c>
      <c r="EA82" s="11" t="str">
        <f ca="1">IF(History!EE$2="","",#REF!*$C$82)</f>
        <v/>
      </c>
      <c r="EB82" s="11" t="str">
        <f ca="1">IF(History!EF$2="","",#REF!*$C$82)</f>
        <v/>
      </c>
      <c r="EC82" s="11" t="str">
        <f ca="1">IF(History!EG$2="","",#REF!*$C$82)</f>
        <v/>
      </c>
      <c r="ED82" s="11" t="str">
        <f ca="1">IF(History!EH$2="","",#REF!*$C$82)</f>
        <v/>
      </c>
      <c r="EE82" s="11" t="str">
        <f ca="1">IF(History!EI$2="","",#REF!*$C$82)</f>
        <v/>
      </c>
      <c r="EF82" s="11" t="str">
        <f ca="1">IF(History!EJ$2="","",#REF!*$C$82)</f>
        <v/>
      </c>
      <c r="EG82" s="11" t="str">
        <f ca="1">IF(History!EK$2="","",#REF!*$C$82)</f>
        <v/>
      </c>
      <c r="EH82" s="11" t="str">
        <f ca="1">IF(History!EL$2="","",#REF!*$C$82)</f>
        <v/>
      </c>
      <c r="EI82" s="11" t="str">
        <f ca="1">IF(History!EM$2="","",#REF!*$C$82)</f>
        <v/>
      </c>
      <c r="EJ82" s="11" t="str">
        <f ca="1">IF(History!EN$2="","",#REF!*$C$82)</f>
        <v/>
      </c>
      <c r="EK82" s="11" t="str">
        <f ca="1">IF(History!EO$2="","",#REF!*$C$82)</f>
        <v/>
      </c>
      <c r="EL82" s="11" t="str">
        <f ca="1">IF(History!EP$2="","",#REF!*$C$82)</f>
        <v/>
      </c>
      <c r="EM82" s="11" t="str">
        <f ca="1">IF(History!EQ$2="","",#REF!*$C$82)</f>
        <v/>
      </c>
      <c r="EN82" s="11" t="str">
        <f ca="1">IF(History!ER$2="","",#REF!*$C$82)</f>
        <v/>
      </c>
      <c r="EO82" s="11" t="str">
        <f ca="1">IF(History!ES$2="","",#REF!*$C$82)</f>
        <v/>
      </c>
      <c r="EP82" s="11" t="str">
        <f ca="1">IF(History!ET$2="","",#REF!*$C$82)</f>
        <v/>
      </c>
      <c r="EQ82" s="11" t="str">
        <f ca="1">IF(History!EU$2="","",#REF!*$C$82)</f>
        <v/>
      </c>
      <c r="ER82" s="11" t="str">
        <f ca="1">IF(History!EV$2="","",#REF!*$C$82)</f>
        <v/>
      </c>
      <c r="ES82" s="11" t="str">
        <f ca="1">IF(History!EW$2="","",#REF!*$C$82)</f>
        <v/>
      </c>
      <c r="ET82" s="11" t="str">
        <f ca="1">IF(History!EX$2="","",#REF!*$C$82)</f>
        <v/>
      </c>
      <c r="EU82" s="11" t="str">
        <f ca="1">IF(History!EY$2="","",#REF!*$C$82)</f>
        <v/>
      </c>
      <c r="EV82" s="11" t="str">
        <f ca="1">IF(History!EZ$2="","",#REF!*$C$82)</f>
        <v/>
      </c>
      <c r="EW82" s="11" t="str">
        <f ca="1">IF(History!FA$2="","",#REF!*$C$82)</f>
        <v/>
      </c>
      <c r="EX82" s="11" t="str">
        <f ca="1">IF(History!FB$2="","",#REF!*$C$82)</f>
        <v/>
      </c>
      <c r="EY82" s="11" t="str">
        <f ca="1">IF(History!FC$2="","",#REF!*$C$82)</f>
        <v/>
      </c>
      <c r="EZ82" s="11" t="str">
        <f ca="1">IF(History!FD$2="","",#REF!*$C$82)</f>
        <v/>
      </c>
      <c r="FA82" s="11" t="str">
        <f ca="1">IF(History!FE$2="","",#REF!*$C$82)</f>
        <v/>
      </c>
      <c r="FB82" s="11" t="str">
        <f ca="1">IF(History!FF$2="","",#REF!*$C$82)</f>
        <v/>
      </c>
      <c r="FC82" s="11" t="str">
        <f ca="1">IF(History!FG$2="","",#REF!*$C$82)</f>
        <v/>
      </c>
      <c r="FD82" s="11" t="str">
        <f ca="1">IF(History!FH$2="","",#REF!*$C$82)</f>
        <v/>
      </c>
      <c r="FE82" s="11" t="str">
        <f ca="1">IF(History!FI$2="","",#REF!*$C$82)</f>
        <v/>
      </c>
      <c r="FF82" s="11" t="str">
        <f ca="1">IF(History!FJ$2="","",#REF!*$C$82)</f>
        <v/>
      </c>
      <c r="FG82" s="11" t="str">
        <f ca="1">IF(History!FK$2="","",#REF!*$C$82)</f>
        <v/>
      </c>
      <c r="FH82" s="11" t="str">
        <f ca="1">IF(History!FL$2="","",#REF!*$C$82)</f>
        <v/>
      </c>
      <c r="FI82" s="11" t="str">
        <f ca="1">IF(History!FM$2="","",#REF!*$C$82)</f>
        <v/>
      </c>
      <c r="FJ82" s="11" t="str">
        <f ca="1">IF(History!FN$2="","",#REF!*$C$82)</f>
        <v/>
      </c>
      <c r="FK82" s="11" t="str">
        <f ca="1">IF(History!FO$2="","",#REF!*$C$82)</f>
        <v/>
      </c>
      <c r="FL82" s="11" t="str">
        <f ca="1">IF(History!FP$2="","",#REF!*$C$82)</f>
        <v/>
      </c>
      <c r="FM82" s="11" t="str">
        <f ca="1">IF(History!FQ$2="","",#REF!*$C$82)</f>
        <v/>
      </c>
      <c r="FN82" s="11" t="str">
        <f ca="1">IF(History!FR$2="","",#REF!*$C$82)</f>
        <v/>
      </c>
      <c r="FO82" s="11" t="str">
        <f ca="1">IF(History!FS$2="","",#REF!*$C$82)</f>
        <v/>
      </c>
      <c r="FP82" s="11" t="str">
        <f ca="1">IF(History!FT$2="","",#REF!*$C$82)</f>
        <v/>
      </c>
      <c r="FQ82" s="11" t="str">
        <f ca="1">IF(History!FU$2="","",#REF!*$C$82)</f>
        <v/>
      </c>
      <c r="FR82" s="11" t="str">
        <f ca="1">IF(History!FV$2="","",#REF!*$C$82)</f>
        <v/>
      </c>
      <c r="FS82" s="11" t="str">
        <f ca="1">IF(History!FW$2="","",#REF!*$C$82)</f>
        <v/>
      </c>
      <c r="FT82" s="11" t="str">
        <f ca="1">IF(History!FX$2="","",#REF!*$C$82)</f>
        <v/>
      </c>
      <c r="FU82" s="11" t="str">
        <f ca="1">IF(History!FY$2="","",#REF!*$C$82)</f>
        <v/>
      </c>
      <c r="FV82" s="11" t="str">
        <f ca="1">IF(History!FZ$2="","",#REF!*$C$82)</f>
        <v/>
      </c>
      <c r="FW82" s="11" t="str">
        <f ca="1">IF(History!GA$2="","",#REF!*$C$82)</f>
        <v/>
      </c>
      <c r="FX82" s="11" t="str">
        <f ca="1">IF(History!GB$2="","",#REF!*$C$82)</f>
        <v/>
      </c>
      <c r="FY82" s="11" t="str">
        <f ca="1">IF(History!GC$2="","",#REF!*$C$82)</f>
        <v/>
      </c>
      <c r="FZ82" s="11" t="str">
        <f ca="1">IF(History!GD$2="","",#REF!*$C$82)</f>
        <v/>
      </c>
      <c r="GA82" s="11" t="str">
        <f ca="1">IF(History!GE$2="","",#REF!*$C$82)</f>
        <v/>
      </c>
      <c r="GB82" s="11" t="str">
        <f ca="1">IF(History!GF$2="","",#REF!*$C$82)</f>
        <v/>
      </c>
      <c r="GC82" s="11" t="str">
        <f ca="1">IF(History!GG$2="","",#REF!*$C$82)</f>
        <v/>
      </c>
      <c r="GD82" s="11" t="str">
        <f ca="1">IF(History!GH$2="","",#REF!*$C$82)</f>
        <v/>
      </c>
      <c r="GE82" s="11" t="str">
        <f ca="1">IF(History!GI$2="","",#REF!*$C$82)</f>
        <v/>
      </c>
      <c r="GF82" s="11" t="str">
        <f ca="1">IF(History!GJ$2="","",#REF!*$C$82)</f>
        <v/>
      </c>
      <c r="GG82" s="11" t="str">
        <f ca="1">IF(History!GK$2="","",#REF!*$C$82)</f>
        <v/>
      </c>
      <c r="GH82" s="11" t="str">
        <f ca="1">IF(History!GL$2="","",#REF!*$C$82)</f>
        <v/>
      </c>
      <c r="GI82" s="11" t="str">
        <f ca="1">IF(History!GM$2="","",#REF!*$C$82)</f>
        <v/>
      </c>
      <c r="GJ82" s="11" t="str">
        <f ca="1">IF(History!GN$2="","",#REF!*$C$82)</f>
        <v/>
      </c>
      <c r="GK82" s="11" t="str">
        <f ca="1">IF(History!GO$2="","",#REF!*$C$82)</f>
        <v/>
      </c>
      <c r="GL82" s="11" t="str">
        <f ca="1">IF(History!GP$2="","",#REF!*$C$82)</f>
        <v/>
      </c>
      <c r="GM82" s="11" t="str">
        <f ca="1">IF(History!GQ$2="","",#REF!*$C$82)</f>
        <v/>
      </c>
      <c r="GN82" s="11" t="str">
        <f ca="1">IF(History!GR$2="","",#REF!*$C$82)</f>
        <v/>
      </c>
      <c r="GO82" s="11" t="str">
        <f ca="1">IF(History!GS$2="","",#REF!*$C$82)</f>
        <v/>
      </c>
      <c r="GP82" s="11" t="str">
        <f ca="1">IF(History!GT$2="","",#REF!*$C$82)</f>
        <v/>
      </c>
      <c r="GQ82" s="11" t="str">
        <f ca="1">IF(History!GU$2="","",#REF!*$C$82)</f>
        <v/>
      </c>
      <c r="GR82" s="11" t="str">
        <f ca="1">IF(History!GV$2="","",#REF!*$C$82)</f>
        <v/>
      </c>
      <c r="GS82" s="11" t="str">
        <f ca="1">IF(History!GW$2="","",#REF!*$C$82)</f>
        <v/>
      </c>
      <c r="GT82" s="11" t="str">
        <f ca="1">IF(History!GX$2="","",#REF!*$C$82)</f>
        <v/>
      </c>
      <c r="GU82" s="11" t="str">
        <f ca="1">IF(History!GY$2="","",#REF!*$C$82)</f>
        <v/>
      </c>
      <c r="GV82" s="11" t="str">
        <f ca="1">IF(History!GZ$2="","",#REF!*$C$82)</f>
        <v/>
      </c>
      <c r="GW82" s="11" t="str">
        <f ca="1">IF(History!HA$2="","",#REF!*$C$82)</f>
        <v/>
      </c>
      <c r="GX82" s="11" t="str">
        <f ca="1">IF(History!HB$2="","",#REF!*$C$82)</f>
        <v/>
      </c>
      <c r="GY82" s="11" t="str">
        <f ca="1">IF(History!HC$2="","",#REF!*$C$82)</f>
        <v/>
      </c>
      <c r="GZ82" s="11" t="str">
        <f ca="1">IF(History!HD$2="","",#REF!*$C$82)</f>
        <v/>
      </c>
      <c r="HA82" s="11" t="str">
        <f ca="1">IF(History!HE$2="","",#REF!*$C$82)</f>
        <v/>
      </c>
      <c r="HB82" s="11" t="str">
        <f ca="1">IF(History!HF$2="","",#REF!*$C$82)</f>
        <v/>
      </c>
      <c r="HC82" s="11" t="str">
        <f ca="1">IF(History!HG$2="","",#REF!*$C$82)</f>
        <v/>
      </c>
      <c r="HD82" s="11" t="str">
        <f ca="1">IF(History!HH$2="","",#REF!*$C$82)</f>
        <v/>
      </c>
      <c r="HE82" s="11" t="str">
        <f ca="1">IF(History!HI$2="","",#REF!*$C$82)</f>
        <v/>
      </c>
      <c r="HF82" s="11" t="str">
        <f ca="1">IF(History!HJ$2="","",#REF!*$C$82)</f>
        <v/>
      </c>
      <c r="HG82" s="11" t="str">
        <f ca="1">IF(History!HK$2="","",#REF!*$C$82)</f>
        <v/>
      </c>
      <c r="HH82" s="11" t="str">
        <f ca="1">IF(History!HL$2="","",#REF!*$C$82)</f>
        <v/>
      </c>
      <c r="HI82" s="11" t="str">
        <f ca="1">IF(History!HM$2="","",#REF!*$C$82)</f>
        <v/>
      </c>
      <c r="HJ82" s="11" t="str">
        <f ca="1">IF(History!HN$2="","",#REF!*$C$82)</f>
        <v/>
      </c>
      <c r="HK82" s="11" t="str">
        <f ca="1">IF(History!HO$2="","",#REF!*$C$82)</f>
        <v/>
      </c>
      <c r="HL82" s="11" t="str">
        <f ca="1">IF(History!HP$2="","",#REF!*$C$82)</f>
        <v/>
      </c>
      <c r="HM82" s="11" t="str">
        <f ca="1">IF(History!HQ$2="","",#REF!*$C$82)</f>
        <v/>
      </c>
      <c r="HN82" s="11" t="str">
        <f ca="1">IF(History!HR$2="","",#REF!*$C$82)</f>
        <v/>
      </c>
      <c r="HO82" s="11" t="str">
        <f ca="1">IF(History!HS$2="","",#REF!*$C$82)</f>
        <v/>
      </c>
      <c r="HP82" s="11" t="str">
        <f ca="1">IF(History!HT$2="","",#REF!*$C$82)</f>
        <v/>
      </c>
      <c r="HQ82" s="11" t="str">
        <f ca="1">IF(History!HU$2="","",#REF!*$C$82)</f>
        <v/>
      </c>
      <c r="HR82" s="11" t="str">
        <f ca="1">IF(History!HV$2="","",#REF!*$C$82)</f>
        <v/>
      </c>
      <c r="HS82" s="11" t="str">
        <f ca="1">IF(History!HW$2="","",#REF!*$C$82)</f>
        <v/>
      </c>
      <c r="HT82" s="11" t="str">
        <f ca="1">IF(History!HX$2="","",#REF!*$C$82)</f>
        <v/>
      </c>
      <c r="HU82" s="11" t="str">
        <f ca="1">IF(History!HY$2="","",#REF!*$C$82)</f>
        <v/>
      </c>
      <c r="HV82" s="11" t="str">
        <f ca="1">IF(History!HZ$2="","",#REF!*$C$82)</f>
        <v/>
      </c>
      <c r="HW82" s="11" t="str">
        <f ca="1">IF(History!IA$2="","",#REF!*$C$82)</f>
        <v/>
      </c>
      <c r="HX82" s="11" t="str">
        <f ca="1">IF(History!IB$2="","",#REF!*$C$82)</f>
        <v/>
      </c>
      <c r="HY82" s="11" t="str">
        <f ca="1">IF(History!IC$2="","",#REF!*$C$82)</f>
        <v/>
      </c>
      <c r="HZ82" s="11" t="str">
        <f ca="1">IF(History!ID$2="","",#REF!*$C$82)</f>
        <v/>
      </c>
      <c r="IA82" s="11" t="str">
        <f ca="1">IF(History!IE$2="","",#REF!*$C$82)</f>
        <v/>
      </c>
      <c r="IB82" s="11" t="str">
        <f ca="1">IF(History!IF$2="","",#REF!*$C$82)</f>
        <v/>
      </c>
      <c r="IC82" s="11" t="str">
        <f ca="1">IF(History!IG$2="","",#REF!*$C$82)</f>
        <v/>
      </c>
      <c r="ID82" s="11" t="str">
        <f ca="1">IF(History!IH$2="","",#REF!*$C$82)</f>
        <v/>
      </c>
      <c r="IE82" s="11" t="str">
        <f ca="1">IF(History!II$2="","",#REF!*$C$82)</f>
        <v/>
      </c>
      <c r="IF82" s="11" t="str">
        <f ca="1">IF(History!IJ$2="","",#REF!*$C$82)</f>
        <v/>
      </c>
      <c r="IG82" s="11" t="str">
        <f ca="1">IF(History!IK$2="","",#REF!*$C$82)</f>
        <v/>
      </c>
      <c r="IH82" s="11" t="str">
        <f ca="1">IF(History!IL$2="","",#REF!*$C$82)</f>
        <v/>
      </c>
      <c r="II82" s="11" t="str">
        <f ca="1">IF(History!IM$2="","",#REF!*$C$82)</f>
        <v/>
      </c>
      <c r="IJ82" s="11" t="str">
        <f ca="1">IF(History!IN$2="","",#REF!*$C$82)</f>
        <v/>
      </c>
      <c r="IK82" s="11" t="str">
        <f ca="1">IF(History!IO$2="","",#REF!*$C$82)</f>
        <v/>
      </c>
      <c r="IL82" s="11" t="str">
        <f ca="1">IF(History!IP$2="","",#REF!*$C$82)</f>
        <v/>
      </c>
      <c r="IM82" s="11" t="str">
        <f ca="1">IF(History!IQ$2="","",#REF!*$C$82)</f>
        <v/>
      </c>
      <c r="IN82" s="11" t="str">
        <f ca="1">IF(History!IR$2="","",#REF!*$C$82)</f>
        <v/>
      </c>
      <c r="IO82" s="11" t="str">
        <f ca="1">IF(History!IS$2="","",#REF!*$C$82)</f>
        <v/>
      </c>
      <c r="IP82" s="11" t="str">
        <f ca="1">IF(History!IT$2="","",#REF!*$C$82)</f>
        <v/>
      </c>
      <c r="IQ82" s="11" t="str">
        <f ca="1">IF(History!IU$2="","",#REF!*$C$82)</f>
        <v/>
      </c>
      <c r="IR82" s="11" t="str">
        <f ca="1">IF(History!IV$2="","",#REF!*$C$82)</f>
        <v/>
      </c>
      <c r="IS82" s="11" t="str">
        <f ca="1">IF(History!IW$2="","",#REF!*$C$82)</f>
        <v/>
      </c>
      <c r="IT82" s="11" t="str">
        <f ca="1">IF(History!IX$2="","",#REF!*$C$82)</f>
        <v/>
      </c>
      <c r="IU82" s="11" t="str">
        <f ca="1">IF(History!IY$2="","",#REF!*$C$82)</f>
        <v/>
      </c>
      <c r="IV82" s="11" t="str">
        <f ca="1">IF(History!IZ$2="","",#REF!*$C$82)</f>
        <v/>
      </c>
      <c r="IW82" s="11" t="str">
        <f ca="1">IF(History!JA$2="","",#REF!*$C$82)</f>
        <v/>
      </c>
      <c r="IX82" s="11" t="str">
        <f ca="1">IF(History!JB$2="","",#REF!*$C$82)</f>
        <v/>
      </c>
      <c r="IY82" s="11" t="str">
        <f ca="1">IF(History!JC$2="","",#REF!*$C$82)</f>
        <v/>
      </c>
      <c r="IZ82" s="11" t="str">
        <f ca="1">IF(History!JD$2="","",#REF!*$C$82)</f>
        <v/>
      </c>
      <c r="JA82" s="11" t="str">
        <f ca="1">IF(History!JE$2="","",#REF!*$C$82)</f>
        <v/>
      </c>
      <c r="JB82" s="11" t="str">
        <f ca="1">IF(History!JF$2="","",#REF!*$C$82)</f>
        <v/>
      </c>
      <c r="JC82" s="11" t="str">
        <f ca="1">IF(History!JG$2="","",#REF!*$C$82)</f>
        <v/>
      </c>
      <c r="JD82" s="11" t="str">
        <f ca="1">IF(History!JH$2="","",#REF!*$C$82)</f>
        <v/>
      </c>
      <c r="JE82" s="11" t="str">
        <f ca="1">IF(History!JI$2="","",#REF!*$C$82)</f>
        <v/>
      </c>
      <c r="JF82" s="11" t="str">
        <f ca="1">IF(History!JJ$2="","",#REF!*$C$82)</f>
        <v/>
      </c>
      <c r="JG82" s="11" t="str">
        <f ca="1">IF(History!JK$2="","",#REF!*$C$82)</f>
        <v/>
      </c>
      <c r="JH82" s="11" t="str">
        <f ca="1">IF(History!JL$2="","",#REF!*$C$82)</f>
        <v/>
      </c>
      <c r="JI82" s="11" t="str">
        <f ca="1">IF(History!JM$2="","",#REF!*$C$82)</f>
        <v/>
      </c>
      <c r="JJ82" s="11" t="str">
        <f ca="1">IF(History!JN$2="","",#REF!*$C$82)</f>
        <v/>
      </c>
      <c r="JK82" s="11" t="str">
        <f ca="1">IF(History!JO$2="","",#REF!*$C$82)</f>
        <v/>
      </c>
      <c r="JL82" s="11" t="str">
        <f ca="1">IF(History!JP$2="","",#REF!*$C$82)</f>
        <v/>
      </c>
      <c r="JM82" s="11" t="str">
        <f ca="1">IF(History!JQ$2="","",#REF!*$C$82)</f>
        <v/>
      </c>
      <c r="JN82" s="11" t="str">
        <f ca="1">IF(History!JR$2="","",#REF!*$C$82)</f>
        <v/>
      </c>
      <c r="JO82" s="11" t="str">
        <f ca="1">IF(History!JS$2="","",#REF!*$C$82)</f>
        <v/>
      </c>
      <c r="JP82" s="11" t="str">
        <f ca="1">IF(History!JT$2="","",#REF!*$C$82)</f>
        <v/>
      </c>
      <c r="JQ82" s="11" t="str">
        <f ca="1">IF(History!JU$2="","",#REF!*$C$82)</f>
        <v/>
      </c>
      <c r="JR82" s="11" t="str">
        <f ca="1">IF(History!JV$2="","",#REF!*$C$82)</f>
        <v/>
      </c>
      <c r="JS82" s="11" t="str">
        <f ca="1">IF(History!JW$2="","",#REF!*$C$82)</f>
        <v/>
      </c>
      <c r="JT82" s="11" t="str">
        <f ca="1">IF(History!JX$2="","",#REF!*$C$82)</f>
        <v/>
      </c>
      <c r="JU82" s="11" t="str">
        <f ca="1">IF(History!JY$2="","",#REF!*$C$82)</f>
        <v/>
      </c>
      <c r="JV82" s="11" t="str">
        <f ca="1">IF(History!JZ$2="","",#REF!*$C$82)</f>
        <v/>
      </c>
      <c r="JW82" s="11" t="str">
        <f ca="1">IF(History!KA$2="","",#REF!*$C$82)</f>
        <v/>
      </c>
      <c r="JX82" s="11" t="str">
        <f ca="1">IF(History!KB$2="","",#REF!*$C$82)</f>
        <v/>
      </c>
      <c r="JY82" s="11" t="str">
        <f ca="1">IF(History!KC$2="","",#REF!*$C$82)</f>
        <v/>
      </c>
      <c r="JZ82" s="11" t="str">
        <f ca="1">IF(History!KD$2="","",#REF!*$C$82)</f>
        <v/>
      </c>
      <c r="KA82" s="11" t="str">
        <f ca="1">IF(History!KE$2="","",#REF!*$C$82)</f>
        <v/>
      </c>
      <c r="KB82" s="11" t="str">
        <f ca="1">IF(History!KF$2="","",#REF!*$C$82)</f>
        <v/>
      </c>
    </row>
    <row r="83" spans="1:288" ht="13">
      <c r="A83" s="18" t="s">
        <v>140</v>
      </c>
      <c r="B83" s="6" t="s">
        <v>161</v>
      </c>
      <c r="C83" s="26">
        <v>85</v>
      </c>
      <c r="D83" s="11" t="e">
        <f ca="1">IF(History!H$2="","",#REF!*$C$83)</f>
        <v>#REF!</v>
      </c>
      <c r="E83" s="11" t="e">
        <f ca="1">IF(History!I$2="","",#REF!*$C$83)</f>
        <v>#REF!</v>
      </c>
      <c r="F83" s="11" t="e">
        <f ca="1">IF(History!J$2="","",#REF!*$C$83)</f>
        <v>#REF!</v>
      </c>
      <c r="G83" s="11" t="e">
        <f ca="1">IF(History!K$2="","",#REF!*$C$83)</f>
        <v>#REF!</v>
      </c>
      <c r="H83" s="11" t="e">
        <f ca="1">IF(History!L$2="","",#REF!*$C$83)</f>
        <v>#REF!</v>
      </c>
      <c r="I83" s="11" t="e">
        <f ca="1">IF(History!M$2="","",#REF!*$C$83)</f>
        <v>#REF!</v>
      </c>
      <c r="J83" s="11" t="e">
        <f ca="1">IF(History!N$2="","",#REF!*$C$83)</f>
        <v>#REF!</v>
      </c>
      <c r="K83" s="11" t="e">
        <f ca="1">IF(History!O$2="","",#REF!*$C$83)</f>
        <v>#REF!</v>
      </c>
      <c r="L83" s="11" t="e">
        <f ca="1">IF(History!P$2="","",#REF!*$C$83)</f>
        <v>#REF!</v>
      </c>
      <c r="M83" s="11" t="e">
        <f ca="1">IF(History!Q$2="","",#REF!*$C$83)</f>
        <v>#REF!</v>
      </c>
      <c r="N83" s="11" t="e">
        <f ca="1">IF(History!R$2="","",#REF!*$C$83)</f>
        <v>#REF!</v>
      </c>
      <c r="O83" s="11" t="e">
        <f ca="1">IF(History!S$2="","",#REF!*$C$83)</f>
        <v>#REF!</v>
      </c>
      <c r="P83" s="11" t="e">
        <f ca="1">IF(History!T$2="","",#REF!*$C$83)</f>
        <v>#REF!</v>
      </c>
      <c r="Q83" s="11" t="e">
        <f ca="1">IF(History!U$2="","",#REF!*$C$83)</f>
        <v>#REF!</v>
      </c>
      <c r="R83" s="11" t="e">
        <f ca="1">IF(History!V$2="","",#REF!*$C$83)</f>
        <v>#REF!</v>
      </c>
      <c r="S83" s="11" t="e">
        <f ca="1">IF(History!W$2="","",#REF!*$C$83)</f>
        <v>#REF!</v>
      </c>
      <c r="T83" s="11" t="e">
        <f ca="1">IF(History!X$2="","",#REF!*$C$83)</f>
        <v>#REF!</v>
      </c>
      <c r="U83" s="11" t="e">
        <f ca="1">IF(History!Y$2="","",#REF!*$C$83)</f>
        <v>#REF!</v>
      </c>
      <c r="V83" s="11" t="e">
        <f ca="1">IF(History!Z$2="","",#REF!*$C$83)</f>
        <v>#REF!</v>
      </c>
      <c r="W83" s="11" t="e">
        <f ca="1">IF(History!AA$2="","",#REF!*$C$83)</f>
        <v>#REF!</v>
      </c>
      <c r="X83" s="11" t="e">
        <f ca="1">IF(History!AB$2="","",#REF!*$C$83)</f>
        <v>#REF!</v>
      </c>
      <c r="Y83" s="11" t="e">
        <f ca="1">IF(History!AC$2="","",#REF!*$C$83)</f>
        <v>#REF!</v>
      </c>
      <c r="Z83" s="11" t="e">
        <f ca="1">IF(History!AD$2="","",#REF!*$C$83)</f>
        <v>#REF!</v>
      </c>
      <c r="AA83" s="11" t="e">
        <f ca="1">IF(History!AE$2="","",#REF!*$C$83)</f>
        <v>#REF!</v>
      </c>
      <c r="AB83" s="11" t="e">
        <f ca="1">IF(History!AF$2="","",#REF!*$C$83)</f>
        <v>#REF!</v>
      </c>
      <c r="AC83" s="11" t="e">
        <f ca="1">IF(History!AG$2="","",#REF!*$C$83)</f>
        <v>#REF!</v>
      </c>
      <c r="AD83" s="11" t="e">
        <f ca="1">IF(History!AH$2="","",#REF!*$C$83)</f>
        <v>#REF!</v>
      </c>
      <c r="AE83" s="11" t="e">
        <f ca="1">IF(History!AI$2="","",#REF!*$C$83)</f>
        <v>#REF!</v>
      </c>
      <c r="AF83" s="11" t="e">
        <f ca="1">IF(History!AJ$2="","",#REF!*$C$83)</f>
        <v>#REF!</v>
      </c>
      <c r="AG83" s="11" t="e">
        <f ca="1">IF(History!AK$2="","",#REF!*$C$83)</f>
        <v>#REF!</v>
      </c>
      <c r="AH83" s="11" t="e">
        <f ca="1">IF(History!AL$2="","",#REF!*$C$83)</f>
        <v>#REF!</v>
      </c>
      <c r="AI83" s="11" t="e">
        <f ca="1">IF(History!AM$2="","",#REF!*$C$83)</f>
        <v>#REF!</v>
      </c>
      <c r="AJ83" s="11" t="e">
        <f ca="1">IF(History!AN$2="","",#REF!*$C$83)</f>
        <v>#REF!</v>
      </c>
      <c r="AK83" s="11" t="e">
        <f ca="1">IF(History!AO$2="","",#REF!*$C$83)</f>
        <v>#REF!</v>
      </c>
      <c r="AL83" s="11" t="e">
        <f ca="1">IF(History!AP$2="","",#REF!*$C$83)</f>
        <v>#REF!</v>
      </c>
      <c r="AM83" s="11" t="e">
        <f ca="1">IF(History!AQ$2="","",#REF!*$C$83)</f>
        <v>#REF!</v>
      </c>
      <c r="AN83" s="11" t="e">
        <f ca="1">IF(History!AR$2="","",#REF!*$C$83)</f>
        <v>#REF!</v>
      </c>
      <c r="AO83" s="11" t="e">
        <f ca="1">IF(History!AS$2="","",#REF!*$C$83)</f>
        <v>#REF!</v>
      </c>
      <c r="AP83" s="11" t="e">
        <f ca="1">IF(History!AT$2="","",#REF!*$C$83)</f>
        <v>#REF!</v>
      </c>
      <c r="AQ83" s="11" t="e">
        <f ca="1">IF(History!AU$2="","",#REF!*$C$83)</f>
        <v>#REF!</v>
      </c>
      <c r="AR83" s="11" t="e">
        <f ca="1">IF(History!AV$2="","",#REF!*$C$83)</f>
        <v>#REF!</v>
      </c>
      <c r="AS83" s="11" t="e">
        <f ca="1">IF(History!AW$2="","",#REF!*$C$83)</f>
        <v>#REF!</v>
      </c>
      <c r="AT83" s="11" t="e">
        <f ca="1">IF(History!AX$2="","",#REF!*$C$83)</f>
        <v>#REF!</v>
      </c>
      <c r="AU83" s="11" t="e">
        <f ca="1">IF(History!AY$2="","",#REF!*$C$83)</f>
        <v>#REF!</v>
      </c>
      <c r="AV83" s="11" t="e">
        <f ca="1">IF(History!AZ$2="","",#REF!*$C$83)</f>
        <v>#REF!</v>
      </c>
      <c r="AW83" s="11" t="e">
        <f ca="1">IF(History!BA$2="","",#REF!*$C$83)</f>
        <v>#REF!</v>
      </c>
      <c r="AX83" s="11" t="e">
        <f ca="1">IF(History!BB$2="","",#REF!*$C$83)</f>
        <v>#REF!</v>
      </c>
      <c r="AY83" s="11" t="e">
        <f ca="1">IF(History!BC$2="","",#REF!*$C$83)</f>
        <v>#REF!</v>
      </c>
      <c r="AZ83" s="11" t="e">
        <f ca="1">IF(History!BD$2="","",#REF!*$C$83)</f>
        <v>#REF!</v>
      </c>
      <c r="BA83" s="11" t="e">
        <f ca="1">IF(History!BE$2="","",#REF!*$C$83)</f>
        <v>#REF!</v>
      </c>
      <c r="BB83" s="11" t="e">
        <f ca="1">IF(History!BF$2="","",#REF!*$C$83)</f>
        <v>#REF!</v>
      </c>
      <c r="BC83" s="11" t="e">
        <f ca="1">IF(History!BG$2="","",#REF!*$C$83)</f>
        <v>#REF!</v>
      </c>
      <c r="BD83" s="11" t="e">
        <f ca="1">IF(History!BH$2="","",#REF!*$C$83)</f>
        <v>#REF!</v>
      </c>
      <c r="BE83" s="11" t="e">
        <f ca="1">IF(History!BI$2="","",#REF!*$C$83)</f>
        <v>#REF!</v>
      </c>
      <c r="BF83" s="11" t="e">
        <f ca="1">IF(History!BJ$2="","",#REF!*$C$83)</f>
        <v>#REF!</v>
      </c>
      <c r="BG83" s="11" t="e">
        <f ca="1">IF(History!BK$2="","",#REF!*$C$83)</f>
        <v>#REF!</v>
      </c>
      <c r="BH83" s="11" t="e">
        <f ca="1">IF(History!BL$2="","",#REF!*$C$83)</f>
        <v>#REF!</v>
      </c>
      <c r="BI83" s="11" t="e">
        <f ca="1">IF(History!BM$2="","",#REF!*$C$83)</f>
        <v>#REF!</v>
      </c>
      <c r="BJ83" s="11" t="e">
        <f ca="1">IF(History!BN$2="","",#REF!*$C$83)</f>
        <v>#REF!</v>
      </c>
      <c r="BK83" s="11" t="e">
        <f ca="1">IF(History!BO$2="","",#REF!*$C$83)</f>
        <v>#REF!</v>
      </c>
      <c r="BL83" s="11" t="e">
        <f ca="1">IF(History!BP$2="","",#REF!*$C$83)</f>
        <v>#REF!</v>
      </c>
      <c r="BM83" s="11" t="e">
        <f ca="1">IF(History!BQ$2="","",#REF!*$C$83)</f>
        <v>#REF!</v>
      </c>
      <c r="BN83" s="11" t="e">
        <f ca="1">IF(History!BR$2="","",#REF!*$C$83)</f>
        <v>#REF!</v>
      </c>
      <c r="BO83" s="11" t="e">
        <f ca="1">IF(History!BS$2="","",#REF!*$C$83)</f>
        <v>#REF!</v>
      </c>
      <c r="BP83" s="11" t="e">
        <f ca="1">IF(History!BT$2="","",#REF!*$C$83)</f>
        <v>#REF!</v>
      </c>
      <c r="BQ83" s="11" t="e">
        <f ca="1">IF(History!BU$2="","",#REF!*$C$83)</f>
        <v>#REF!</v>
      </c>
      <c r="BR83" s="11" t="e">
        <f ca="1">IF(History!BV$2="","",#REF!*$C$83)</f>
        <v>#REF!</v>
      </c>
      <c r="BS83" s="11" t="e">
        <f ca="1">IF(History!BW$2="","",#REF!*$C$83)</f>
        <v>#REF!</v>
      </c>
      <c r="BT83" s="11" t="e">
        <f ca="1">IF(History!BX$2="","",#REF!*$C$83)</f>
        <v>#REF!</v>
      </c>
      <c r="BU83" s="11" t="e">
        <f ca="1">IF(History!BY$2="","",#REF!*$C$83)</f>
        <v>#REF!</v>
      </c>
      <c r="BV83" s="11" t="e">
        <f ca="1">IF(History!BZ$2="","",#REF!*$C$83)</f>
        <v>#REF!</v>
      </c>
      <c r="BW83" s="11" t="e">
        <f ca="1">IF(History!CA$2="","",#REF!*$C$83)</f>
        <v>#REF!</v>
      </c>
      <c r="BX83" s="11" t="e">
        <f ca="1">IF(History!CB$2="","",#REF!*$C$83)</f>
        <v>#REF!</v>
      </c>
      <c r="BY83" s="11" t="e">
        <f ca="1">IF(History!CC$2="","",#REF!*$C$83)</f>
        <v>#REF!</v>
      </c>
      <c r="BZ83" s="11" t="e">
        <f ca="1">IF(History!CD$2="","",#REF!*$C$83)</f>
        <v>#REF!</v>
      </c>
      <c r="CA83" s="11" t="e">
        <f ca="1">IF(History!CE$2="","",#REF!*$C$83)</f>
        <v>#REF!</v>
      </c>
      <c r="CB83" s="11" t="e">
        <f ca="1">IF(History!CF$2="","",#REF!*$C$83)</f>
        <v>#REF!</v>
      </c>
      <c r="CC83" s="11" t="e">
        <f ca="1">IF(History!CG$2="","",#REF!*$C$83)</f>
        <v>#REF!</v>
      </c>
      <c r="CD83" s="11" t="e">
        <f ca="1">IF(History!CH$2="","",#REF!*$C$83)</f>
        <v>#REF!</v>
      </c>
      <c r="CE83" s="11" t="e">
        <f ca="1">IF(History!CI$2="","",#REF!*$C$83)</f>
        <v>#REF!</v>
      </c>
      <c r="CF83" s="11" t="str">
        <f ca="1">IF(History!CJ$2="","",#REF!*$C$83)</f>
        <v/>
      </c>
      <c r="CG83" s="11" t="str">
        <f ca="1">IF(History!CK$2="","",#REF!*$C$83)</f>
        <v/>
      </c>
      <c r="CH83" s="11" t="str">
        <f ca="1">IF(History!CL$2="","",#REF!*$C$83)</f>
        <v/>
      </c>
      <c r="CI83" s="11" t="str">
        <f ca="1">IF(History!CM$2="","",#REF!*$C$83)</f>
        <v/>
      </c>
      <c r="CJ83" s="11" t="str">
        <f ca="1">IF(History!CN$2="","",#REF!*$C$83)</f>
        <v/>
      </c>
      <c r="CK83" s="11" t="str">
        <f ca="1">IF(History!CO$2="","",#REF!*$C$83)</f>
        <v/>
      </c>
      <c r="CL83" s="11" t="str">
        <f ca="1">IF(History!CP$2="","",#REF!*$C$83)</f>
        <v/>
      </c>
      <c r="CM83" s="11" t="str">
        <f ca="1">IF(History!CQ$2="","",#REF!*$C$83)</f>
        <v/>
      </c>
      <c r="CN83" s="11" t="str">
        <f ca="1">IF(History!CR$2="","",#REF!*$C$83)</f>
        <v/>
      </c>
      <c r="CO83" s="11" t="str">
        <f ca="1">IF(History!CS$2="","",#REF!*$C$83)</f>
        <v/>
      </c>
      <c r="CP83" s="11" t="str">
        <f ca="1">IF(History!CT$2="","",#REF!*$C$83)</f>
        <v/>
      </c>
      <c r="CQ83" s="11" t="str">
        <f ca="1">IF(History!CU$2="","",#REF!*$C$83)</f>
        <v/>
      </c>
      <c r="CR83" s="11" t="str">
        <f ca="1">IF(History!CV$2="","",#REF!*$C$83)</f>
        <v/>
      </c>
      <c r="CS83" s="11" t="str">
        <f ca="1">IF(History!CW$2="","",#REF!*$C$83)</f>
        <v/>
      </c>
      <c r="CT83" s="11" t="str">
        <f ca="1">IF(History!CX$2="","",#REF!*$C$83)</f>
        <v/>
      </c>
      <c r="CU83" s="11" t="str">
        <f ca="1">IF(History!CY$2="","",#REF!*$C$83)</f>
        <v/>
      </c>
      <c r="CV83" s="11" t="str">
        <f ca="1">IF(History!CZ$2="","",#REF!*$C$83)</f>
        <v/>
      </c>
      <c r="CW83" s="11" t="str">
        <f ca="1">IF(History!DA$2="","",#REF!*$C$83)</f>
        <v/>
      </c>
      <c r="CX83" s="11" t="str">
        <f ca="1">IF(History!DB$2="","",#REF!*$C$83)</f>
        <v/>
      </c>
      <c r="CY83" s="11" t="str">
        <f ca="1">IF(History!DC$2="","",#REF!*$C$83)</f>
        <v/>
      </c>
      <c r="CZ83" s="11" t="str">
        <f ca="1">IF(History!DD$2="","",#REF!*$C$83)</f>
        <v/>
      </c>
      <c r="DA83" s="11" t="str">
        <f ca="1">IF(History!DE$2="","",#REF!*$C$83)</f>
        <v/>
      </c>
      <c r="DB83" s="11" t="str">
        <f ca="1">IF(History!DF$2="","",#REF!*$C$83)</f>
        <v/>
      </c>
      <c r="DC83" s="11" t="str">
        <f ca="1">IF(History!DG$2="","",#REF!*$C$83)</f>
        <v/>
      </c>
      <c r="DD83" s="11" t="str">
        <f ca="1">IF(History!DH$2="","",#REF!*$C$83)</f>
        <v/>
      </c>
      <c r="DE83" s="11" t="str">
        <f ca="1">IF(History!DI$2="","",#REF!*$C$83)</f>
        <v/>
      </c>
      <c r="DF83" s="11" t="str">
        <f ca="1">IF(History!DJ$2="","",#REF!*$C$83)</f>
        <v/>
      </c>
      <c r="DG83" s="11" t="str">
        <f ca="1">IF(History!DK$2="","",#REF!*$C$83)</f>
        <v/>
      </c>
      <c r="DH83" s="11" t="str">
        <f ca="1">IF(History!DL$2="","",#REF!*$C$83)</f>
        <v/>
      </c>
      <c r="DI83" s="11" t="str">
        <f ca="1">IF(History!DM$2="","",#REF!*$C$83)</f>
        <v/>
      </c>
      <c r="DJ83" s="11" t="str">
        <f ca="1">IF(History!DN$2="","",#REF!*$C$83)</f>
        <v/>
      </c>
      <c r="DK83" s="11" t="str">
        <f ca="1">IF(History!DO$2="","",#REF!*$C$83)</f>
        <v/>
      </c>
      <c r="DL83" s="11" t="str">
        <f ca="1">IF(History!DP$2="","",#REF!*$C$83)</f>
        <v/>
      </c>
      <c r="DM83" s="11" t="str">
        <f ca="1">IF(History!DQ$2="","",#REF!*$C$83)</f>
        <v/>
      </c>
      <c r="DN83" s="11" t="str">
        <f ca="1">IF(History!DR$2="","",#REF!*$C$83)</f>
        <v/>
      </c>
      <c r="DO83" s="11" t="str">
        <f ca="1">IF(History!DS$2="","",#REF!*$C$83)</f>
        <v/>
      </c>
      <c r="DP83" s="11" t="str">
        <f ca="1">IF(History!DT$2="","",#REF!*$C$83)</f>
        <v/>
      </c>
      <c r="DQ83" s="11" t="str">
        <f ca="1">IF(History!DU$2="","",#REF!*$C$83)</f>
        <v/>
      </c>
      <c r="DR83" s="11" t="str">
        <f ca="1">IF(History!DV$2="","",#REF!*$C$83)</f>
        <v/>
      </c>
      <c r="DS83" s="11" t="str">
        <f ca="1">IF(History!DW$2="","",#REF!*$C$83)</f>
        <v/>
      </c>
      <c r="DT83" s="11" t="str">
        <f ca="1">IF(History!DX$2="","",#REF!*$C$83)</f>
        <v/>
      </c>
      <c r="DU83" s="11" t="str">
        <f ca="1">IF(History!DY$2="","",#REF!*$C$83)</f>
        <v/>
      </c>
      <c r="DV83" s="11" t="str">
        <f ca="1">IF(History!DZ$2="","",#REF!*$C$83)</f>
        <v/>
      </c>
      <c r="DW83" s="11" t="str">
        <f ca="1">IF(History!EA$2="","",#REF!*$C$83)</f>
        <v/>
      </c>
      <c r="DX83" s="11" t="str">
        <f ca="1">IF(History!EB$2="","",#REF!*$C$83)</f>
        <v/>
      </c>
      <c r="DY83" s="11" t="str">
        <f ca="1">IF(History!EC$2="","",#REF!*$C$83)</f>
        <v/>
      </c>
      <c r="DZ83" s="11" t="str">
        <f ca="1">IF(History!ED$2="","",#REF!*$C$83)</f>
        <v/>
      </c>
      <c r="EA83" s="11" t="str">
        <f ca="1">IF(History!EE$2="","",#REF!*$C$83)</f>
        <v/>
      </c>
      <c r="EB83" s="11" t="str">
        <f ca="1">IF(History!EF$2="","",#REF!*$C$83)</f>
        <v/>
      </c>
      <c r="EC83" s="11" t="str">
        <f ca="1">IF(History!EG$2="","",#REF!*$C$83)</f>
        <v/>
      </c>
      <c r="ED83" s="11" t="str">
        <f ca="1">IF(History!EH$2="","",#REF!*$C$83)</f>
        <v/>
      </c>
      <c r="EE83" s="11" t="str">
        <f ca="1">IF(History!EI$2="","",#REF!*$C$83)</f>
        <v/>
      </c>
      <c r="EF83" s="11" t="str">
        <f ca="1">IF(History!EJ$2="","",#REF!*$C$83)</f>
        <v/>
      </c>
      <c r="EG83" s="11" t="str">
        <f ca="1">IF(History!EK$2="","",#REF!*$C$83)</f>
        <v/>
      </c>
      <c r="EH83" s="11" t="str">
        <f ca="1">IF(History!EL$2="","",#REF!*$C$83)</f>
        <v/>
      </c>
      <c r="EI83" s="11" t="str">
        <f ca="1">IF(History!EM$2="","",#REF!*$C$83)</f>
        <v/>
      </c>
      <c r="EJ83" s="11" t="str">
        <f ca="1">IF(History!EN$2="","",#REF!*$C$83)</f>
        <v/>
      </c>
      <c r="EK83" s="11" t="str">
        <f ca="1">IF(History!EO$2="","",#REF!*$C$83)</f>
        <v/>
      </c>
      <c r="EL83" s="11" t="str">
        <f ca="1">IF(History!EP$2="","",#REF!*$C$83)</f>
        <v/>
      </c>
      <c r="EM83" s="11" t="str">
        <f ca="1">IF(History!EQ$2="","",#REF!*$C$83)</f>
        <v/>
      </c>
      <c r="EN83" s="11" t="str">
        <f ca="1">IF(History!ER$2="","",#REF!*$C$83)</f>
        <v/>
      </c>
      <c r="EO83" s="11" t="str">
        <f ca="1">IF(History!ES$2="","",#REF!*$C$83)</f>
        <v/>
      </c>
      <c r="EP83" s="11" t="str">
        <f ca="1">IF(History!ET$2="","",#REF!*$C$83)</f>
        <v/>
      </c>
      <c r="EQ83" s="11" t="str">
        <f ca="1">IF(History!EU$2="","",#REF!*$C$83)</f>
        <v/>
      </c>
      <c r="ER83" s="11" t="str">
        <f ca="1">IF(History!EV$2="","",#REF!*$C$83)</f>
        <v/>
      </c>
      <c r="ES83" s="11" t="str">
        <f ca="1">IF(History!EW$2="","",#REF!*$C$83)</f>
        <v/>
      </c>
      <c r="ET83" s="11" t="str">
        <f ca="1">IF(History!EX$2="","",#REF!*$C$83)</f>
        <v/>
      </c>
      <c r="EU83" s="11" t="str">
        <f ca="1">IF(History!EY$2="","",#REF!*$C$83)</f>
        <v/>
      </c>
      <c r="EV83" s="11" t="str">
        <f ca="1">IF(History!EZ$2="","",#REF!*$C$83)</f>
        <v/>
      </c>
      <c r="EW83" s="11" t="str">
        <f ca="1">IF(History!FA$2="","",#REF!*$C$83)</f>
        <v/>
      </c>
      <c r="EX83" s="11" t="str">
        <f ca="1">IF(History!FB$2="","",#REF!*$C$83)</f>
        <v/>
      </c>
      <c r="EY83" s="11" t="str">
        <f ca="1">IF(History!FC$2="","",#REF!*$C$83)</f>
        <v/>
      </c>
      <c r="EZ83" s="11" t="str">
        <f ca="1">IF(History!FD$2="","",#REF!*$C$83)</f>
        <v/>
      </c>
      <c r="FA83" s="11" t="str">
        <f ca="1">IF(History!FE$2="","",#REF!*$C$83)</f>
        <v/>
      </c>
      <c r="FB83" s="11" t="str">
        <f ca="1">IF(History!FF$2="","",#REF!*$C$83)</f>
        <v/>
      </c>
      <c r="FC83" s="11" t="str">
        <f ca="1">IF(History!FG$2="","",#REF!*$C$83)</f>
        <v/>
      </c>
      <c r="FD83" s="11" t="str">
        <f ca="1">IF(History!FH$2="","",#REF!*$C$83)</f>
        <v/>
      </c>
      <c r="FE83" s="11" t="str">
        <f ca="1">IF(History!FI$2="","",#REF!*$C$83)</f>
        <v/>
      </c>
      <c r="FF83" s="11" t="str">
        <f ca="1">IF(History!FJ$2="","",#REF!*$C$83)</f>
        <v/>
      </c>
      <c r="FG83" s="11" t="str">
        <f ca="1">IF(History!FK$2="","",#REF!*$C$83)</f>
        <v/>
      </c>
      <c r="FH83" s="11" t="str">
        <f ca="1">IF(History!FL$2="","",#REF!*$C$83)</f>
        <v/>
      </c>
      <c r="FI83" s="11" t="str">
        <f ca="1">IF(History!FM$2="","",#REF!*$C$83)</f>
        <v/>
      </c>
      <c r="FJ83" s="11" t="str">
        <f ca="1">IF(History!FN$2="","",#REF!*$C$83)</f>
        <v/>
      </c>
      <c r="FK83" s="11" t="str">
        <f ca="1">IF(History!FO$2="","",#REF!*$C$83)</f>
        <v/>
      </c>
      <c r="FL83" s="11" t="str">
        <f ca="1">IF(History!FP$2="","",#REF!*$C$83)</f>
        <v/>
      </c>
      <c r="FM83" s="11" t="str">
        <f ca="1">IF(History!FQ$2="","",#REF!*$C$83)</f>
        <v/>
      </c>
      <c r="FN83" s="11" t="str">
        <f ca="1">IF(History!FR$2="","",#REF!*$C$83)</f>
        <v/>
      </c>
      <c r="FO83" s="11" t="str">
        <f ca="1">IF(History!FS$2="","",#REF!*$C$83)</f>
        <v/>
      </c>
      <c r="FP83" s="11" t="str">
        <f ca="1">IF(History!FT$2="","",#REF!*$C$83)</f>
        <v/>
      </c>
      <c r="FQ83" s="11" t="str">
        <f ca="1">IF(History!FU$2="","",#REF!*$C$83)</f>
        <v/>
      </c>
      <c r="FR83" s="11" t="str">
        <f ca="1">IF(History!FV$2="","",#REF!*$C$83)</f>
        <v/>
      </c>
      <c r="FS83" s="11" t="str">
        <f ca="1">IF(History!FW$2="","",#REF!*$C$83)</f>
        <v/>
      </c>
      <c r="FT83" s="11" t="str">
        <f ca="1">IF(History!FX$2="","",#REF!*$C$83)</f>
        <v/>
      </c>
      <c r="FU83" s="11" t="str">
        <f ca="1">IF(History!FY$2="","",#REF!*$C$83)</f>
        <v/>
      </c>
      <c r="FV83" s="11" t="str">
        <f ca="1">IF(History!FZ$2="","",#REF!*$C$83)</f>
        <v/>
      </c>
      <c r="FW83" s="11" t="str">
        <f ca="1">IF(History!GA$2="","",#REF!*$C$83)</f>
        <v/>
      </c>
      <c r="FX83" s="11" t="str">
        <f ca="1">IF(History!GB$2="","",#REF!*$C$83)</f>
        <v/>
      </c>
      <c r="FY83" s="11" t="str">
        <f ca="1">IF(History!GC$2="","",#REF!*$C$83)</f>
        <v/>
      </c>
      <c r="FZ83" s="11" t="str">
        <f ca="1">IF(History!GD$2="","",#REF!*$C$83)</f>
        <v/>
      </c>
      <c r="GA83" s="11" t="str">
        <f ca="1">IF(History!GE$2="","",#REF!*$C$83)</f>
        <v/>
      </c>
      <c r="GB83" s="11" t="str">
        <f ca="1">IF(History!GF$2="","",#REF!*$C$83)</f>
        <v/>
      </c>
      <c r="GC83" s="11" t="str">
        <f ca="1">IF(History!GG$2="","",#REF!*$C$83)</f>
        <v/>
      </c>
      <c r="GD83" s="11" t="str">
        <f ca="1">IF(History!GH$2="","",#REF!*$C$83)</f>
        <v/>
      </c>
      <c r="GE83" s="11" t="str">
        <f ca="1">IF(History!GI$2="","",#REF!*$C$83)</f>
        <v/>
      </c>
      <c r="GF83" s="11" t="str">
        <f ca="1">IF(History!GJ$2="","",#REF!*$C$83)</f>
        <v/>
      </c>
      <c r="GG83" s="11" t="str">
        <f ca="1">IF(History!GK$2="","",#REF!*$C$83)</f>
        <v/>
      </c>
      <c r="GH83" s="11" t="str">
        <f ca="1">IF(History!GL$2="","",#REF!*$C$83)</f>
        <v/>
      </c>
      <c r="GI83" s="11" t="str">
        <f ca="1">IF(History!GM$2="","",#REF!*$C$83)</f>
        <v/>
      </c>
      <c r="GJ83" s="11" t="str">
        <f ca="1">IF(History!GN$2="","",#REF!*$C$83)</f>
        <v/>
      </c>
      <c r="GK83" s="11" t="str">
        <f ca="1">IF(History!GO$2="","",#REF!*$C$83)</f>
        <v/>
      </c>
      <c r="GL83" s="11" t="str">
        <f ca="1">IF(History!GP$2="","",#REF!*$C$83)</f>
        <v/>
      </c>
      <c r="GM83" s="11" t="str">
        <f ca="1">IF(History!GQ$2="","",#REF!*$C$83)</f>
        <v/>
      </c>
      <c r="GN83" s="11" t="str">
        <f ca="1">IF(History!GR$2="","",#REF!*$C$83)</f>
        <v/>
      </c>
      <c r="GO83" s="11" t="str">
        <f ca="1">IF(History!GS$2="","",#REF!*$C$83)</f>
        <v/>
      </c>
      <c r="GP83" s="11" t="str">
        <f ca="1">IF(History!GT$2="","",#REF!*$C$83)</f>
        <v/>
      </c>
      <c r="GQ83" s="11" t="str">
        <f ca="1">IF(History!GU$2="","",#REF!*$C$83)</f>
        <v/>
      </c>
      <c r="GR83" s="11" t="str">
        <f ca="1">IF(History!GV$2="","",#REF!*$C$83)</f>
        <v/>
      </c>
      <c r="GS83" s="11" t="str">
        <f ca="1">IF(History!GW$2="","",#REF!*$C$83)</f>
        <v/>
      </c>
      <c r="GT83" s="11" t="str">
        <f ca="1">IF(History!GX$2="","",#REF!*$C$83)</f>
        <v/>
      </c>
      <c r="GU83" s="11" t="str">
        <f ca="1">IF(History!GY$2="","",#REF!*$C$83)</f>
        <v/>
      </c>
      <c r="GV83" s="11" t="str">
        <f ca="1">IF(History!GZ$2="","",#REF!*$C$83)</f>
        <v/>
      </c>
      <c r="GW83" s="11" t="str">
        <f ca="1">IF(History!HA$2="","",#REF!*$C$83)</f>
        <v/>
      </c>
      <c r="GX83" s="11" t="str">
        <f ca="1">IF(History!HB$2="","",#REF!*$C$83)</f>
        <v/>
      </c>
      <c r="GY83" s="11" t="str">
        <f ca="1">IF(History!HC$2="","",#REF!*$C$83)</f>
        <v/>
      </c>
      <c r="GZ83" s="11" t="str">
        <f ca="1">IF(History!HD$2="","",#REF!*$C$83)</f>
        <v/>
      </c>
      <c r="HA83" s="11" t="str">
        <f ca="1">IF(History!HE$2="","",#REF!*$C$83)</f>
        <v/>
      </c>
      <c r="HB83" s="11" t="str">
        <f ca="1">IF(History!HF$2="","",#REF!*$C$83)</f>
        <v/>
      </c>
      <c r="HC83" s="11" t="str">
        <f ca="1">IF(History!HG$2="","",#REF!*$C$83)</f>
        <v/>
      </c>
      <c r="HD83" s="11" t="str">
        <f ca="1">IF(History!HH$2="","",#REF!*$C$83)</f>
        <v/>
      </c>
      <c r="HE83" s="11" t="str">
        <f ca="1">IF(History!HI$2="","",#REF!*$C$83)</f>
        <v/>
      </c>
      <c r="HF83" s="11" t="str">
        <f ca="1">IF(History!HJ$2="","",#REF!*$C$83)</f>
        <v/>
      </c>
      <c r="HG83" s="11" t="str">
        <f ca="1">IF(History!HK$2="","",#REF!*$C$83)</f>
        <v/>
      </c>
      <c r="HH83" s="11" t="str">
        <f ca="1">IF(History!HL$2="","",#REF!*$C$83)</f>
        <v/>
      </c>
      <c r="HI83" s="11" t="str">
        <f ca="1">IF(History!HM$2="","",#REF!*$C$83)</f>
        <v/>
      </c>
      <c r="HJ83" s="11" t="str">
        <f ca="1">IF(History!HN$2="","",#REF!*$C$83)</f>
        <v/>
      </c>
      <c r="HK83" s="11" t="str">
        <f ca="1">IF(History!HO$2="","",#REF!*$C$83)</f>
        <v/>
      </c>
      <c r="HL83" s="11" t="str">
        <f ca="1">IF(History!HP$2="","",#REF!*$C$83)</f>
        <v/>
      </c>
      <c r="HM83" s="11" t="str">
        <f ca="1">IF(History!HQ$2="","",#REF!*$C$83)</f>
        <v/>
      </c>
      <c r="HN83" s="11" t="str">
        <f ca="1">IF(History!HR$2="","",#REF!*$C$83)</f>
        <v/>
      </c>
      <c r="HO83" s="11" t="str">
        <f ca="1">IF(History!HS$2="","",#REF!*$C$83)</f>
        <v/>
      </c>
      <c r="HP83" s="11" t="str">
        <f ca="1">IF(History!HT$2="","",#REF!*$C$83)</f>
        <v/>
      </c>
      <c r="HQ83" s="11" t="str">
        <f ca="1">IF(History!HU$2="","",#REF!*$C$83)</f>
        <v/>
      </c>
      <c r="HR83" s="11" t="str">
        <f ca="1">IF(History!HV$2="","",#REF!*$C$83)</f>
        <v/>
      </c>
      <c r="HS83" s="11" t="str">
        <f ca="1">IF(History!HW$2="","",#REF!*$C$83)</f>
        <v/>
      </c>
      <c r="HT83" s="11" t="str">
        <f ca="1">IF(History!HX$2="","",#REF!*$C$83)</f>
        <v/>
      </c>
      <c r="HU83" s="11" t="str">
        <f ca="1">IF(History!HY$2="","",#REF!*$C$83)</f>
        <v/>
      </c>
      <c r="HV83" s="11" t="str">
        <f ca="1">IF(History!HZ$2="","",#REF!*$C$83)</f>
        <v/>
      </c>
      <c r="HW83" s="11" t="str">
        <f ca="1">IF(History!IA$2="","",#REF!*$C$83)</f>
        <v/>
      </c>
      <c r="HX83" s="11" t="str">
        <f ca="1">IF(History!IB$2="","",#REF!*$C$83)</f>
        <v/>
      </c>
      <c r="HY83" s="11" t="str">
        <f ca="1">IF(History!IC$2="","",#REF!*$C$83)</f>
        <v/>
      </c>
      <c r="HZ83" s="11" t="str">
        <f ca="1">IF(History!ID$2="","",#REF!*$C$83)</f>
        <v/>
      </c>
      <c r="IA83" s="11" t="str">
        <f ca="1">IF(History!IE$2="","",#REF!*$C$83)</f>
        <v/>
      </c>
      <c r="IB83" s="11" t="str">
        <f ca="1">IF(History!IF$2="","",#REF!*$C$83)</f>
        <v/>
      </c>
      <c r="IC83" s="11" t="str">
        <f ca="1">IF(History!IG$2="","",#REF!*$C$83)</f>
        <v/>
      </c>
      <c r="ID83" s="11" t="str">
        <f ca="1">IF(History!IH$2="","",#REF!*$C$83)</f>
        <v/>
      </c>
      <c r="IE83" s="11" t="str">
        <f ca="1">IF(History!II$2="","",#REF!*$C$83)</f>
        <v/>
      </c>
      <c r="IF83" s="11" t="str">
        <f ca="1">IF(History!IJ$2="","",#REF!*$C$83)</f>
        <v/>
      </c>
      <c r="IG83" s="11" t="str">
        <f ca="1">IF(History!IK$2="","",#REF!*$C$83)</f>
        <v/>
      </c>
      <c r="IH83" s="11" t="str">
        <f ca="1">IF(History!IL$2="","",#REF!*$C$83)</f>
        <v/>
      </c>
      <c r="II83" s="11" t="str">
        <f ca="1">IF(History!IM$2="","",#REF!*$C$83)</f>
        <v/>
      </c>
      <c r="IJ83" s="11" t="str">
        <f ca="1">IF(History!IN$2="","",#REF!*$C$83)</f>
        <v/>
      </c>
      <c r="IK83" s="11" t="str">
        <f ca="1">IF(History!IO$2="","",#REF!*$C$83)</f>
        <v/>
      </c>
      <c r="IL83" s="11" t="str">
        <f ca="1">IF(History!IP$2="","",#REF!*$C$83)</f>
        <v/>
      </c>
      <c r="IM83" s="11" t="str">
        <f ca="1">IF(History!IQ$2="","",#REF!*$C$83)</f>
        <v/>
      </c>
      <c r="IN83" s="11" t="str">
        <f ca="1">IF(History!IR$2="","",#REF!*$C$83)</f>
        <v/>
      </c>
      <c r="IO83" s="11" t="str">
        <f ca="1">IF(History!IS$2="","",#REF!*$C$83)</f>
        <v/>
      </c>
      <c r="IP83" s="11" t="str">
        <f ca="1">IF(History!IT$2="","",#REF!*$C$83)</f>
        <v/>
      </c>
      <c r="IQ83" s="11" t="str">
        <f ca="1">IF(History!IU$2="","",#REF!*$C$83)</f>
        <v/>
      </c>
      <c r="IR83" s="11" t="str">
        <f ca="1">IF(History!IV$2="","",#REF!*$C$83)</f>
        <v/>
      </c>
      <c r="IS83" s="11" t="str">
        <f ca="1">IF(History!IW$2="","",#REF!*$C$83)</f>
        <v/>
      </c>
      <c r="IT83" s="11" t="str">
        <f ca="1">IF(History!IX$2="","",#REF!*$C$83)</f>
        <v/>
      </c>
      <c r="IU83" s="11" t="str">
        <f ca="1">IF(History!IY$2="","",#REF!*$C$83)</f>
        <v/>
      </c>
      <c r="IV83" s="11" t="str">
        <f ca="1">IF(History!IZ$2="","",#REF!*$C$83)</f>
        <v/>
      </c>
      <c r="IW83" s="11" t="str">
        <f ca="1">IF(History!JA$2="","",#REF!*$C$83)</f>
        <v/>
      </c>
      <c r="IX83" s="11" t="str">
        <f ca="1">IF(History!JB$2="","",#REF!*$C$83)</f>
        <v/>
      </c>
      <c r="IY83" s="11" t="str">
        <f ca="1">IF(History!JC$2="","",#REF!*$C$83)</f>
        <v/>
      </c>
      <c r="IZ83" s="11" t="str">
        <f ca="1">IF(History!JD$2="","",#REF!*$C$83)</f>
        <v/>
      </c>
      <c r="JA83" s="11" t="str">
        <f ca="1">IF(History!JE$2="","",#REF!*$C$83)</f>
        <v/>
      </c>
      <c r="JB83" s="11" t="str">
        <f ca="1">IF(History!JF$2="","",#REF!*$C$83)</f>
        <v/>
      </c>
      <c r="JC83" s="11" t="str">
        <f ca="1">IF(History!JG$2="","",#REF!*$C$83)</f>
        <v/>
      </c>
      <c r="JD83" s="11" t="str">
        <f ca="1">IF(History!JH$2="","",#REF!*$C$83)</f>
        <v/>
      </c>
      <c r="JE83" s="11" t="str">
        <f ca="1">IF(History!JI$2="","",#REF!*$C$83)</f>
        <v/>
      </c>
      <c r="JF83" s="11" t="str">
        <f ca="1">IF(History!JJ$2="","",#REF!*$C$83)</f>
        <v/>
      </c>
      <c r="JG83" s="11" t="str">
        <f ca="1">IF(History!JK$2="","",#REF!*$C$83)</f>
        <v/>
      </c>
      <c r="JH83" s="11" t="str">
        <f ca="1">IF(History!JL$2="","",#REF!*$C$83)</f>
        <v/>
      </c>
      <c r="JI83" s="11" t="str">
        <f ca="1">IF(History!JM$2="","",#REF!*$C$83)</f>
        <v/>
      </c>
      <c r="JJ83" s="11" t="str">
        <f ca="1">IF(History!JN$2="","",#REF!*$C$83)</f>
        <v/>
      </c>
      <c r="JK83" s="11" t="str">
        <f ca="1">IF(History!JO$2="","",#REF!*$C$83)</f>
        <v/>
      </c>
      <c r="JL83" s="11" t="str">
        <f ca="1">IF(History!JP$2="","",#REF!*$C$83)</f>
        <v/>
      </c>
      <c r="JM83" s="11" t="str">
        <f ca="1">IF(History!JQ$2="","",#REF!*$C$83)</f>
        <v/>
      </c>
      <c r="JN83" s="11" t="str">
        <f ca="1">IF(History!JR$2="","",#REF!*$C$83)</f>
        <v/>
      </c>
      <c r="JO83" s="11" t="str">
        <f ca="1">IF(History!JS$2="","",#REF!*$C$83)</f>
        <v/>
      </c>
      <c r="JP83" s="11" t="str">
        <f ca="1">IF(History!JT$2="","",#REF!*$C$83)</f>
        <v/>
      </c>
      <c r="JQ83" s="11" t="str">
        <f ca="1">IF(History!JU$2="","",#REF!*$C$83)</f>
        <v/>
      </c>
      <c r="JR83" s="11" t="str">
        <f ca="1">IF(History!JV$2="","",#REF!*$C$83)</f>
        <v/>
      </c>
      <c r="JS83" s="11" t="str">
        <f ca="1">IF(History!JW$2="","",#REF!*$C$83)</f>
        <v/>
      </c>
      <c r="JT83" s="11" t="str">
        <f ca="1">IF(History!JX$2="","",#REF!*$C$83)</f>
        <v/>
      </c>
      <c r="JU83" s="11" t="str">
        <f ca="1">IF(History!JY$2="","",#REF!*$C$83)</f>
        <v/>
      </c>
      <c r="JV83" s="11" t="str">
        <f ca="1">IF(History!JZ$2="","",#REF!*$C$83)</f>
        <v/>
      </c>
      <c r="JW83" s="11" t="str">
        <f ca="1">IF(History!KA$2="","",#REF!*$C$83)</f>
        <v/>
      </c>
      <c r="JX83" s="11" t="str">
        <f ca="1">IF(History!KB$2="","",#REF!*$C$83)</f>
        <v/>
      </c>
      <c r="JY83" s="11" t="str">
        <f ca="1">IF(History!KC$2="","",#REF!*$C$83)</f>
        <v/>
      </c>
      <c r="JZ83" s="11" t="str">
        <f ca="1">IF(History!KD$2="","",#REF!*$C$83)</f>
        <v/>
      </c>
      <c r="KA83" s="11" t="str">
        <f ca="1">IF(History!KE$2="","",#REF!*$C$83)</f>
        <v/>
      </c>
      <c r="KB83" s="11" t="str">
        <f ca="1">IF(History!KF$2="","",#REF!*$C$83)</f>
        <v/>
      </c>
    </row>
    <row r="84" spans="1:288" ht="13">
      <c r="A84" s="18" t="s">
        <v>140</v>
      </c>
      <c r="B84" s="6" t="s">
        <v>162</v>
      </c>
      <c r="C84" s="26">
        <v>31</v>
      </c>
      <c r="D84" s="11" t="e">
        <f ca="1">IF(History!H$2="","",#REF!*$C$84)</f>
        <v>#REF!</v>
      </c>
      <c r="E84" s="11" t="e">
        <f ca="1">IF(History!I$2="","",#REF!*$C$84)</f>
        <v>#REF!</v>
      </c>
      <c r="F84" s="11" t="e">
        <f ca="1">IF(History!J$2="","",#REF!*$C$84)</f>
        <v>#REF!</v>
      </c>
      <c r="G84" s="11" t="e">
        <f ca="1">IF(History!K$2="","",#REF!*$C$84)</f>
        <v>#REF!</v>
      </c>
      <c r="H84" s="11" t="e">
        <f ca="1">IF(History!L$2="","",#REF!*$C$84)</f>
        <v>#REF!</v>
      </c>
      <c r="I84" s="11" t="e">
        <f ca="1">IF(History!M$2="","",#REF!*$C$84)</f>
        <v>#REF!</v>
      </c>
      <c r="J84" s="11" t="e">
        <f ca="1">IF(History!N$2="","",#REF!*$C$84)</f>
        <v>#REF!</v>
      </c>
      <c r="K84" s="11" t="e">
        <f ca="1">IF(History!O$2="","",#REF!*$C$84)</f>
        <v>#REF!</v>
      </c>
      <c r="L84" s="11" t="e">
        <f ca="1">IF(History!P$2="","",#REF!*$C$84)</f>
        <v>#REF!</v>
      </c>
      <c r="M84" s="11" t="e">
        <f ca="1">IF(History!Q$2="","",#REF!*$C$84)</f>
        <v>#REF!</v>
      </c>
      <c r="N84" s="11" t="e">
        <f ca="1">IF(History!R$2="","",#REF!*$C$84)</f>
        <v>#REF!</v>
      </c>
      <c r="O84" s="11" t="e">
        <f ca="1">IF(History!S$2="","",#REF!*$C$84)</f>
        <v>#REF!</v>
      </c>
      <c r="P84" s="11" t="e">
        <f ca="1">IF(History!T$2="","",#REF!*$C$84)</f>
        <v>#REF!</v>
      </c>
      <c r="Q84" s="11" t="e">
        <f ca="1">IF(History!U$2="","",#REF!*$C$84)</f>
        <v>#REF!</v>
      </c>
      <c r="R84" s="11" t="e">
        <f ca="1">IF(History!V$2="","",#REF!*$C$84)</f>
        <v>#REF!</v>
      </c>
      <c r="S84" s="11" t="e">
        <f ca="1">IF(History!W$2="","",#REF!*$C$84)</f>
        <v>#REF!</v>
      </c>
      <c r="T84" s="11" t="e">
        <f ca="1">IF(History!X$2="","",#REF!*$C$84)</f>
        <v>#REF!</v>
      </c>
      <c r="U84" s="11" t="e">
        <f ca="1">IF(History!Y$2="","",#REF!*$C$84)</f>
        <v>#REF!</v>
      </c>
      <c r="V84" s="11" t="e">
        <f ca="1">IF(History!Z$2="","",#REF!*$C$84)</f>
        <v>#REF!</v>
      </c>
      <c r="W84" s="11" t="e">
        <f ca="1">IF(History!AA$2="","",#REF!*$C$84)</f>
        <v>#REF!</v>
      </c>
      <c r="X84" s="11" t="e">
        <f ca="1">IF(History!AB$2="","",#REF!*$C$84)</f>
        <v>#REF!</v>
      </c>
      <c r="Y84" s="11" t="e">
        <f ca="1">IF(History!AC$2="","",#REF!*$C$84)</f>
        <v>#REF!</v>
      </c>
      <c r="Z84" s="11" t="e">
        <f ca="1">IF(History!AD$2="","",#REF!*$C$84)</f>
        <v>#REF!</v>
      </c>
      <c r="AA84" s="11" t="e">
        <f ca="1">IF(History!AE$2="","",#REF!*$C$84)</f>
        <v>#REF!</v>
      </c>
      <c r="AB84" s="11" t="e">
        <f ca="1">IF(History!AF$2="","",#REF!*$C$84)</f>
        <v>#REF!</v>
      </c>
      <c r="AC84" s="11" t="e">
        <f ca="1">IF(History!AG$2="","",#REF!*$C$84)</f>
        <v>#REF!</v>
      </c>
      <c r="AD84" s="11" t="e">
        <f ca="1">IF(History!AH$2="","",#REF!*$C$84)</f>
        <v>#REF!</v>
      </c>
      <c r="AE84" s="11" t="e">
        <f ca="1">IF(History!AI$2="","",#REF!*$C$84)</f>
        <v>#REF!</v>
      </c>
      <c r="AF84" s="11" t="e">
        <f ca="1">IF(History!AJ$2="","",#REF!*$C$84)</f>
        <v>#REF!</v>
      </c>
      <c r="AG84" s="11" t="e">
        <f ca="1">IF(History!AK$2="","",#REF!*$C$84)</f>
        <v>#REF!</v>
      </c>
      <c r="AH84" s="11" t="e">
        <f ca="1">IF(History!AL$2="","",#REF!*$C$84)</f>
        <v>#REF!</v>
      </c>
      <c r="AI84" s="11" t="e">
        <f ca="1">IF(History!AM$2="","",#REF!*$C$84)</f>
        <v>#REF!</v>
      </c>
      <c r="AJ84" s="11" t="e">
        <f ca="1">IF(History!AN$2="","",#REF!*$C$84)</f>
        <v>#REF!</v>
      </c>
      <c r="AK84" s="11" t="e">
        <f ca="1">IF(History!AO$2="","",#REF!*$C$84)</f>
        <v>#REF!</v>
      </c>
      <c r="AL84" s="11" t="e">
        <f ca="1">IF(History!AP$2="","",#REF!*$C$84)</f>
        <v>#REF!</v>
      </c>
      <c r="AM84" s="11" t="e">
        <f ca="1">IF(History!AQ$2="","",#REF!*$C$84)</f>
        <v>#REF!</v>
      </c>
      <c r="AN84" s="11" t="e">
        <f ca="1">IF(History!AR$2="","",#REF!*$C$84)</f>
        <v>#REF!</v>
      </c>
      <c r="AO84" s="11" t="e">
        <f ca="1">IF(History!AS$2="","",#REF!*$C$84)</f>
        <v>#REF!</v>
      </c>
      <c r="AP84" s="11" t="e">
        <f ca="1">IF(History!AT$2="","",#REF!*$C$84)</f>
        <v>#REF!</v>
      </c>
      <c r="AQ84" s="11" t="e">
        <f ca="1">IF(History!AU$2="","",#REF!*$C$84)</f>
        <v>#REF!</v>
      </c>
      <c r="AR84" s="11" t="e">
        <f ca="1">IF(History!AV$2="","",#REF!*$C$84)</f>
        <v>#REF!</v>
      </c>
      <c r="AS84" s="11" t="e">
        <f ca="1">IF(History!AW$2="","",#REF!*$C$84)</f>
        <v>#REF!</v>
      </c>
      <c r="AT84" s="11" t="e">
        <f ca="1">IF(History!AX$2="","",#REF!*$C$84)</f>
        <v>#REF!</v>
      </c>
      <c r="AU84" s="11" t="e">
        <f ca="1">IF(History!AY$2="","",#REF!*$C$84)</f>
        <v>#REF!</v>
      </c>
      <c r="AV84" s="11" t="e">
        <f ca="1">IF(History!AZ$2="","",#REF!*$C$84)</f>
        <v>#REF!</v>
      </c>
      <c r="AW84" s="11" t="e">
        <f ca="1">IF(History!BA$2="","",#REF!*$C$84)</f>
        <v>#REF!</v>
      </c>
      <c r="AX84" s="11" t="e">
        <f ca="1">IF(History!BB$2="","",#REF!*$C$84)</f>
        <v>#REF!</v>
      </c>
      <c r="AY84" s="11" t="e">
        <f ca="1">IF(History!BC$2="","",#REF!*$C$84)</f>
        <v>#REF!</v>
      </c>
      <c r="AZ84" s="11" t="e">
        <f ca="1">IF(History!BD$2="","",#REF!*$C$84)</f>
        <v>#REF!</v>
      </c>
      <c r="BA84" s="11" t="e">
        <f ca="1">IF(History!BE$2="","",#REF!*$C$84)</f>
        <v>#REF!</v>
      </c>
      <c r="BB84" s="11" t="e">
        <f ca="1">IF(History!BF$2="","",#REF!*$C$84)</f>
        <v>#REF!</v>
      </c>
      <c r="BC84" s="11" t="e">
        <f ca="1">IF(History!BG$2="","",#REF!*$C$84)</f>
        <v>#REF!</v>
      </c>
      <c r="BD84" s="11" t="e">
        <f ca="1">IF(History!BH$2="","",#REF!*$C$84)</f>
        <v>#REF!</v>
      </c>
      <c r="BE84" s="11" t="e">
        <f ca="1">IF(History!BI$2="","",#REF!*$C$84)</f>
        <v>#REF!</v>
      </c>
      <c r="BF84" s="11" t="e">
        <f ca="1">IF(History!BJ$2="","",#REF!*$C$84)</f>
        <v>#REF!</v>
      </c>
      <c r="BG84" s="11" t="e">
        <f ca="1">IF(History!BK$2="","",#REF!*$C$84)</f>
        <v>#REF!</v>
      </c>
      <c r="BH84" s="11" t="e">
        <f ca="1">IF(History!BL$2="","",#REF!*$C$84)</f>
        <v>#REF!</v>
      </c>
      <c r="BI84" s="11" t="e">
        <f ca="1">IF(History!BM$2="","",#REF!*$C$84)</f>
        <v>#REF!</v>
      </c>
      <c r="BJ84" s="11" t="e">
        <f ca="1">IF(History!BN$2="","",#REF!*$C$84)</f>
        <v>#REF!</v>
      </c>
      <c r="BK84" s="11" t="e">
        <f ca="1">IF(History!BO$2="","",#REF!*$C$84)</f>
        <v>#REF!</v>
      </c>
      <c r="BL84" s="11" t="e">
        <f ca="1">IF(History!BP$2="","",#REF!*$C$84)</f>
        <v>#REF!</v>
      </c>
      <c r="BM84" s="11" t="e">
        <f ca="1">IF(History!BQ$2="","",#REF!*$C$84)</f>
        <v>#REF!</v>
      </c>
      <c r="BN84" s="11" t="e">
        <f ca="1">IF(History!BR$2="","",#REF!*$C$84)</f>
        <v>#REF!</v>
      </c>
      <c r="BO84" s="11" t="e">
        <f ca="1">IF(History!BS$2="","",#REF!*$C$84)</f>
        <v>#REF!</v>
      </c>
      <c r="BP84" s="11" t="e">
        <f ca="1">IF(History!BT$2="","",#REF!*$C$84)</f>
        <v>#REF!</v>
      </c>
      <c r="BQ84" s="11" t="e">
        <f ca="1">IF(History!BU$2="","",#REF!*$C$84)</f>
        <v>#REF!</v>
      </c>
      <c r="BR84" s="11" t="e">
        <f ca="1">IF(History!BV$2="","",#REF!*$C$84)</f>
        <v>#REF!</v>
      </c>
      <c r="BS84" s="11" t="e">
        <f ca="1">IF(History!BW$2="","",#REF!*$C$84)</f>
        <v>#REF!</v>
      </c>
      <c r="BT84" s="11" t="e">
        <f ca="1">IF(History!BX$2="","",#REF!*$C$84)</f>
        <v>#REF!</v>
      </c>
      <c r="BU84" s="11" t="e">
        <f ca="1">IF(History!BY$2="","",#REF!*$C$84)</f>
        <v>#REF!</v>
      </c>
      <c r="BV84" s="11" t="e">
        <f ca="1">IF(History!BZ$2="","",#REF!*$C$84)</f>
        <v>#REF!</v>
      </c>
      <c r="BW84" s="11" t="e">
        <f ca="1">IF(History!CA$2="","",#REF!*$C$84)</f>
        <v>#REF!</v>
      </c>
      <c r="BX84" s="11" t="e">
        <f ca="1">IF(History!CB$2="","",#REF!*$C$84)</f>
        <v>#REF!</v>
      </c>
      <c r="BY84" s="11" t="e">
        <f ca="1">IF(History!CC$2="","",#REF!*$C$84)</f>
        <v>#REF!</v>
      </c>
      <c r="BZ84" s="11" t="e">
        <f ca="1">IF(History!CD$2="","",#REF!*$C$84)</f>
        <v>#REF!</v>
      </c>
      <c r="CA84" s="11" t="e">
        <f ca="1">IF(History!CE$2="","",#REF!*$C$84)</f>
        <v>#REF!</v>
      </c>
      <c r="CB84" s="11" t="e">
        <f ca="1">IF(History!CF$2="","",#REF!*$C$84)</f>
        <v>#REF!</v>
      </c>
      <c r="CC84" s="11" t="e">
        <f ca="1">IF(History!CG$2="","",#REF!*$C$84)</f>
        <v>#REF!</v>
      </c>
      <c r="CD84" s="11" t="e">
        <f ca="1">IF(History!CH$2="","",#REF!*$C$84)</f>
        <v>#REF!</v>
      </c>
      <c r="CE84" s="11" t="e">
        <f ca="1">IF(History!CI$2="","",#REF!*$C$84)</f>
        <v>#REF!</v>
      </c>
      <c r="CF84" s="11" t="str">
        <f ca="1">IF(History!CJ$2="","",#REF!*$C$84)</f>
        <v/>
      </c>
      <c r="CG84" s="11" t="str">
        <f ca="1">IF(History!CK$2="","",#REF!*$C$84)</f>
        <v/>
      </c>
      <c r="CH84" s="11" t="str">
        <f ca="1">IF(History!CL$2="","",#REF!*$C$84)</f>
        <v/>
      </c>
      <c r="CI84" s="11" t="str">
        <f ca="1">IF(History!CM$2="","",#REF!*$C$84)</f>
        <v/>
      </c>
      <c r="CJ84" s="11" t="str">
        <f ca="1">IF(History!CN$2="","",#REF!*$C$84)</f>
        <v/>
      </c>
      <c r="CK84" s="11" t="str">
        <f ca="1">IF(History!CO$2="","",#REF!*$C$84)</f>
        <v/>
      </c>
      <c r="CL84" s="11" t="str">
        <f ca="1">IF(History!CP$2="","",#REF!*$C$84)</f>
        <v/>
      </c>
      <c r="CM84" s="11" t="str">
        <f ca="1">IF(History!CQ$2="","",#REF!*$C$84)</f>
        <v/>
      </c>
      <c r="CN84" s="11" t="str">
        <f ca="1">IF(History!CR$2="","",#REF!*$C$84)</f>
        <v/>
      </c>
      <c r="CO84" s="11" t="str">
        <f ca="1">IF(History!CS$2="","",#REF!*$C$84)</f>
        <v/>
      </c>
      <c r="CP84" s="11" t="str">
        <f ca="1">IF(History!CT$2="","",#REF!*$C$84)</f>
        <v/>
      </c>
      <c r="CQ84" s="11" t="str">
        <f ca="1">IF(History!CU$2="","",#REF!*$C$84)</f>
        <v/>
      </c>
      <c r="CR84" s="11" t="str">
        <f ca="1">IF(History!CV$2="","",#REF!*$C$84)</f>
        <v/>
      </c>
      <c r="CS84" s="11" t="str">
        <f ca="1">IF(History!CW$2="","",#REF!*$C$84)</f>
        <v/>
      </c>
      <c r="CT84" s="11" t="str">
        <f ca="1">IF(History!CX$2="","",#REF!*$C$84)</f>
        <v/>
      </c>
      <c r="CU84" s="11" t="str">
        <f ca="1">IF(History!CY$2="","",#REF!*$C$84)</f>
        <v/>
      </c>
      <c r="CV84" s="11" t="str">
        <f ca="1">IF(History!CZ$2="","",#REF!*$C$84)</f>
        <v/>
      </c>
      <c r="CW84" s="11" t="str">
        <f ca="1">IF(History!DA$2="","",#REF!*$C$84)</f>
        <v/>
      </c>
      <c r="CX84" s="11" t="str">
        <f ca="1">IF(History!DB$2="","",#REF!*$C$84)</f>
        <v/>
      </c>
      <c r="CY84" s="11" t="str">
        <f ca="1">IF(History!DC$2="","",#REF!*$C$84)</f>
        <v/>
      </c>
      <c r="CZ84" s="11" t="str">
        <f ca="1">IF(History!DD$2="","",#REF!*$C$84)</f>
        <v/>
      </c>
      <c r="DA84" s="11" t="str">
        <f ca="1">IF(History!DE$2="","",#REF!*$C$84)</f>
        <v/>
      </c>
      <c r="DB84" s="11" t="str">
        <f ca="1">IF(History!DF$2="","",#REF!*$C$84)</f>
        <v/>
      </c>
      <c r="DC84" s="11" t="str">
        <f ca="1">IF(History!DG$2="","",#REF!*$C$84)</f>
        <v/>
      </c>
      <c r="DD84" s="11" t="str">
        <f ca="1">IF(History!DH$2="","",#REF!*$C$84)</f>
        <v/>
      </c>
      <c r="DE84" s="11" t="str">
        <f ca="1">IF(History!DI$2="","",#REF!*$C$84)</f>
        <v/>
      </c>
      <c r="DF84" s="11" t="str">
        <f ca="1">IF(History!DJ$2="","",#REF!*$C$84)</f>
        <v/>
      </c>
      <c r="DG84" s="11" t="str">
        <f ca="1">IF(History!DK$2="","",#REF!*$C$84)</f>
        <v/>
      </c>
      <c r="DH84" s="11" t="str">
        <f ca="1">IF(History!DL$2="","",#REF!*$C$84)</f>
        <v/>
      </c>
      <c r="DI84" s="11" t="str">
        <f ca="1">IF(History!DM$2="","",#REF!*$C$84)</f>
        <v/>
      </c>
      <c r="DJ84" s="11" t="str">
        <f ca="1">IF(History!DN$2="","",#REF!*$C$84)</f>
        <v/>
      </c>
      <c r="DK84" s="11" t="str">
        <f ca="1">IF(History!DO$2="","",#REF!*$C$84)</f>
        <v/>
      </c>
      <c r="DL84" s="11" t="str">
        <f ca="1">IF(History!DP$2="","",#REF!*$C$84)</f>
        <v/>
      </c>
      <c r="DM84" s="11" t="str">
        <f ca="1">IF(History!DQ$2="","",#REF!*$C$84)</f>
        <v/>
      </c>
      <c r="DN84" s="11" t="str">
        <f ca="1">IF(History!DR$2="","",#REF!*$C$84)</f>
        <v/>
      </c>
      <c r="DO84" s="11" t="str">
        <f ca="1">IF(History!DS$2="","",#REF!*$C$84)</f>
        <v/>
      </c>
      <c r="DP84" s="11" t="str">
        <f ca="1">IF(History!DT$2="","",#REF!*$C$84)</f>
        <v/>
      </c>
      <c r="DQ84" s="11" t="str">
        <f ca="1">IF(History!DU$2="","",#REF!*$C$84)</f>
        <v/>
      </c>
      <c r="DR84" s="11" t="str">
        <f ca="1">IF(History!DV$2="","",#REF!*$C$84)</f>
        <v/>
      </c>
      <c r="DS84" s="11" t="str">
        <f ca="1">IF(History!DW$2="","",#REF!*$C$84)</f>
        <v/>
      </c>
      <c r="DT84" s="11" t="str">
        <f ca="1">IF(History!DX$2="","",#REF!*$C$84)</f>
        <v/>
      </c>
      <c r="DU84" s="11" t="str">
        <f ca="1">IF(History!DY$2="","",#REF!*$C$84)</f>
        <v/>
      </c>
      <c r="DV84" s="11" t="str">
        <f ca="1">IF(History!DZ$2="","",#REF!*$C$84)</f>
        <v/>
      </c>
      <c r="DW84" s="11" t="str">
        <f ca="1">IF(History!EA$2="","",#REF!*$C$84)</f>
        <v/>
      </c>
      <c r="DX84" s="11" t="str">
        <f ca="1">IF(History!EB$2="","",#REF!*$C$84)</f>
        <v/>
      </c>
      <c r="DY84" s="11" t="str">
        <f ca="1">IF(History!EC$2="","",#REF!*$C$84)</f>
        <v/>
      </c>
      <c r="DZ84" s="11" t="str">
        <f ca="1">IF(History!ED$2="","",#REF!*$C$84)</f>
        <v/>
      </c>
      <c r="EA84" s="11" t="str">
        <f ca="1">IF(History!EE$2="","",#REF!*$C$84)</f>
        <v/>
      </c>
      <c r="EB84" s="11" t="str">
        <f ca="1">IF(History!EF$2="","",#REF!*$C$84)</f>
        <v/>
      </c>
      <c r="EC84" s="11" t="str">
        <f ca="1">IF(History!EG$2="","",#REF!*$C$84)</f>
        <v/>
      </c>
      <c r="ED84" s="11" t="str">
        <f ca="1">IF(History!EH$2="","",#REF!*$C$84)</f>
        <v/>
      </c>
      <c r="EE84" s="11" t="str">
        <f ca="1">IF(History!EI$2="","",#REF!*$C$84)</f>
        <v/>
      </c>
      <c r="EF84" s="11" t="str">
        <f ca="1">IF(History!EJ$2="","",#REF!*$C$84)</f>
        <v/>
      </c>
      <c r="EG84" s="11" t="str">
        <f ca="1">IF(History!EK$2="","",#REF!*$C$84)</f>
        <v/>
      </c>
      <c r="EH84" s="11" t="str">
        <f ca="1">IF(History!EL$2="","",#REF!*$C$84)</f>
        <v/>
      </c>
      <c r="EI84" s="11" t="str">
        <f ca="1">IF(History!EM$2="","",#REF!*$C$84)</f>
        <v/>
      </c>
      <c r="EJ84" s="11" t="str">
        <f ca="1">IF(History!EN$2="","",#REF!*$C$84)</f>
        <v/>
      </c>
      <c r="EK84" s="11" t="str">
        <f ca="1">IF(History!EO$2="","",#REF!*$C$84)</f>
        <v/>
      </c>
      <c r="EL84" s="11" t="str">
        <f ca="1">IF(History!EP$2="","",#REF!*$C$84)</f>
        <v/>
      </c>
      <c r="EM84" s="11" t="str">
        <f ca="1">IF(History!EQ$2="","",#REF!*$C$84)</f>
        <v/>
      </c>
      <c r="EN84" s="11" t="str">
        <f ca="1">IF(History!ER$2="","",#REF!*$C$84)</f>
        <v/>
      </c>
      <c r="EO84" s="11" t="str">
        <f ca="1">IF(History!ES$2="","",#REF!*$C$84)</f>
        <v/>
      </c>
      <c r="EP84" s="11" t="str">
        <f ca="1">IF(History!ET$2="","",#REF!*$C$84)</f>
        <v/>
      </c>
      <c r="EQ84" s="11" t="str">
        <f ca="1">IF(History!EU$2="","",#REF!*$C$84)</f>
        <v/>
      </c>
      <c r="ER84" s="11" t="str">
        <f ca="1">IF(History!EV$2="","",#REF!*$C$84)</f>
        <v/>
      </c>
      <c r="ES84" s="11" t="str">
        <f ca="1">IF(History!EW$2="","",#REF!*$C$84)</f>
        <v/>
      </c>
      <c r="ET84" s="11" t="str">
        <f ca="1">IF(History!EX$2="","",#REF!*$C$84)</f>
        <v/>
      </c>
      <c r="EU84" s="11" t="str">
        <f ca="1">IF(History!EY$2="","",#REF!*$C$84)</f>
        <v/>
      </c>
      <c r="EV84" s="11" t="str">
        <f ca="1">IF(History!EZ$2="","",#REF!*$C$84)</f>
        <v/>
      </c>
      <c r="EW84" s="11" t="str">
        <f ca="1">IF(History!FA$2="","",#REF!*$C$84)</f>
        <v/>
      </c>
      <c r="EX84" s="11" t="str">
        <f ca="1">IF(History!FB$2="","",#REF!*$C$84)</f>
        <v/>
      </c>
      <c r="EY84" s="11" t="str">
        <f ca="1">IF(History!FC$2="","",#REF!*$C$84)</f>
        <v/>
      </c>
      <c r="EZ84" s="11" t="str">
        <f ca="1">IF(History!FD$2="","",#REF!*$C$84)</f>
        <v/>
      </c>
      <c r="FA84" s="11" t="str">
        <f ca="1">IF(History!FE$2="","",#REF!*$C$84)</f>
        <v/>
      </c>
      <c r="FB84" s="11" t="str">
        <f ca="1">IF(History!FF$2="","",#REF!*$C$84)</f>
        <v/>
      </c>
      <c r="FC84" s="11" t="str">
        <f ca="1">IF(History!FG$2="","",#REF!*$C$84)</f>
        <v/>
      </c>
      <c r="FD84" s="11" t="str">
        <f ca="1">IF(History!FH$2="","",#REF!*$C$84)</f>
        <v/>
      </c>
      <c r="FE84" s="11" t="str">
        <f ca="1">IF(History!FI$2="","",#REF!*$C$84)</f>
        <v/>
      </c>
      <c r="FF84" s="11" t="str">
        <f ca="1">IF(History!FJ$2="","",#REF!*$C$84)</f>
        <v/>
      </c>
      <c r="FG84" s="11" t="str">
        <f ca="1">IF(History!FK$2="","",#REF!*$C$84)</f>
        <v/>
      </c>
      <c r="FH84" s="11" t="str">
        <f ca="1">IF(History!FL$2="","",#REF!*$C$84)</f>
        <v/>
      </c>
      <c r="FI84" s="11" t="str">
        <f ca="1">IF(History!FM$2="","",#REF!*$C$84)</f>
        <v/>
      </c>
      <c r="FJ84" s="11" t="str">
        <f ca="1">IF(History!FN$2="","",#REF!*$C$84)</f>
        <v/>
      </c>
      <c r="FK84" s="11" t="str">
        <f ca="1">IF(History!FO$2="","",#REF!*$C$84)</f>
        <v/>
      </c>
      <c r="FL84" s="11" t="str">
        <f ca="1">IF(History!FP$2="","",#REF!*$C$84)</f>
        <v/>
      </c>
      <c r="FM84" s="11" t="str">
        <f ca="1">IF(History!FQ$2="","",#REF!*$C$84)</f>
        <v/>
      </c>
      <c r="FN84" s="11" t="str">
        <f ca="1">IF(History!FR$2="","",#REF!*$C$84)</f>
        <v/>
      </c>
      <c r="FO84" s="11" t="str">
        <f ca="1">IF(History!FS$2="","",#REF!*$C$84)</f>
        <v/>
      </c>
      <c r="FP84" s="11" t="str">
        <f ca="1">IF(History!FT$2="","",#REF!*$C$84)</f>
        <v/>
      </c>
      <c r="FQ84" s="11" t="str">
        <f ca="1">IF(History!FU$2="","",#REF!*$C$84)</f>
        <v/>
      </c>
      <c r="FR84" s="11" t="str">
        <f ca="1">IF(History!FV$2="","",#REF!*$C$84)</f>
        <v/>
      </c>
      <c r="FS84" s="11" t="str">
        <f ca="1">IF(History!FW$2="","",#REF!*$C$84)</f>
        <v/>
      </c>
      <c r="FT84" s="11" t="str">
        <f ca="1">IF(History!FX$2="","",#REF!*$C$84)</f>
        <v/>
      </c>
      <c r="FU84" s="11" t="str">
        <f ca="1">IF(History!FY$2="","",#REF!*$C$84)</f>
        <v/>
      </c>
      <c r="FV84" s="11" t="str">
        <f ca="1">IF(History!FZ$2="","",#REF!*$C$84)</f>
        <v/>
      </c>
      <c r="FW84" s="11" t="str">
        <f ca="1">IF(History!GA$2="","",#REF!*$C$84)</f>
        <v/>
      </c>
      <c r="FX84" s="11" t="str">
        <f ca="1">IF(History!GB$2="","",#REF!*$C$84)</f>
        <v/>
      </c>
      <c r="FY84" s="11" t="str">
        <f ca="1">IF(History!GC$2="","",#REF!*$C$84)</f>
        <v/>
      </c>
      <c r="FZ84" s="11" t="str">
        <f ca="1">IF(History!GD$2="","",#REF!*$C$84)</f>
        <v/>
      </c>
      <c r="GA84" s="11" t="str">
        <f ca="1">IF(History!GE$2="","",#REF!*$C$84)</f>
        <v/>
      </c>
      <c r="GB84" s="11" t="str">
        <f ca="1">IF(History!GF$2="","",#REF!*$C$84)</f>
        <v/>
      </c>
      <c r="GC84" s="11" t="str">
        <f ca="1">IF(History!GG$2="","",#REF!*$C$84)</f>
        <v/>
      </c>
      <c r="GD84" s="11" t="str">
        <f ca="1">IF(History!GH$2="","",#REF!*$C$84)</f>
        <v/>
      </c>
      <c r="GE84" s="11" t="str">
        <f ca="1">IF(History!GI$2="","",#REF!*$C$84)</f>
        <v/>
      </c>
      <c r="GF84" s="11" t="str">
        <f ca="1">IF(History!GJ$2="","",#REF!*$C$84)</f>
        <v/>
      </c>
      <c r="GG84" s="11" t="str">
        <f ca="1">IF(History!GK$2="","",#REF!*$C$84)</f>
        <v/>
      </c>
      <c r="GH84" s="11" t="str">
        <f ca="1">IF(History!GL$2="","",#REF!*$C$84)</f>
        <v/>
      </c>
      <c r="GI84" s="11" t="str">
        <f ca="1">IF(History!GM$2="","",#REF!*$C$84)</f>
        <v/>
      </c>
      <c r="GJ84" s="11" t="str">
        <f ca="1">IF(History!GN$2="","",#REF!*$C$84)</f>
        <v/>
      </c>
      <c r="GK84" s="11" t="str">
        <f ca="1">IF(History!GO$2="","",#REF!*$C$84)</f>
        <v/>
      </c>
      <c r="GL84" s="11" t="str">
        <f ca="1">IF(History!GP$2="","",#REF!*$C$84)</f>
        <v/>
      </c>
      <c r="GM84" s="11" t="str">
        <f ca="1">IF(History!GQ$2="","",#REF!*$C$84)</f>
        <v/>
      </c>
      <c r="GN84" s="11" t="str">
        <f ca="1">IF(History!GR$2="","",#REF!*$C$84)</f>
        <v/>
      </c>
      <c r="GO84" s="11" t="str">
        <f ca="1">IF(History!GS$2="","",#REF!*$C$84)</f>
        <v/>
      </c>
      <c r="GP84" s="11" t="str">
        <f ca="1">IF(History!GT$2="","",#REF!*$C$84)</f>
        <v/>
      </c>
      <c r="GQ84" s="11" t="str">
        <f ca="1">IF(History!GU$2="","",#REF!*$C$84)</f>
        <v/>
      </c>
      <c r="GR84" s="11" t="str">
        <f ca="1">IF(History!GV$2="","",#REF!*$C$84)</f>
        <v/>
      </c>
      <c r="GS84" s="11" t="str">
        <f ca="1">IF(History!GW$2="","",#REF!*$C$84)</f>
        <v/>
      </c>
      <c r="GT84" s="11" t="str">
        <f ca="1">IF(History!GX$2="","",#REF!*$C$84)</f>
        <v/>
      </c>
      <c r="GU84" s="11" t="str">
        <f ca="1">IF(History!GY$2="","",#REF!*$C$84)</f>
        <v/>
      </c>
      <c r="GV84" s="11" t="str">
        <f ca="1">IF(History!GZ$2="","",#REF!*$C$84)</f>
        <v/>
      </c>
      <c r="GW84" s="11" t="str">
        <f ca="1">IF(History!HA$2="","",#REF!*$C$84)</f>
        <v/>
      </c>
      <c r="GX84" s="11" t="str">
        <f ca="1">IF(History!HB$2="","",#REF!*$C$84)</f>
        <v/>
      </c>
      <c r="GY84" s="11" t="str">
        <f ca="1">IF(History!HC$2="","",#REF!*$C$84)</f>
        <v/>
      </c>
      <c r="GZ84" s="11" t="str">
        <f ca="1">IF(History!HD$2="","",#REF!*$C$84)</f>
        <v/>
      </c>
      <c r="HA84" s="11" t="str">
        <f ca="1">IF(History!HE$2="","",#REF!*$C$84)</f>
        <v/>
      </c>
      <c r="HB84" s="11" t="str">
        <f ca="1">IF(History!HF$2="","",#REF!*$C$84)</f>
        <v/>
      </c>
      <c r="HC84" s="11" t="str">
        <f ca="1">IF(History!HG$2="","",#REF!*$C$84)</f>
        <v/>
      </c>
      <c r="HD84" s="11" t="str">
        <f ca="1">IF(History!HH$2="","",#REF!*$C$84)</f>
        <v/>
      </c>
      <c r="HE84" s="11" t="str">
        <f ca="1">IF(History!HI$2="","",#REF!*$C$84)</f>
        <v/>
      </c>
      <c r="HF84" s="11" t="str">
        <f ca="1">IF(History!HJ$2="","",#REF!*$C$84)</f>
        <v/>
      </c>
      <c r="HG84" s="11" t="str">
        <f ca="1">IF(History!HK$2="","",#REF!*$C$84)</f>
        <v/>
      </c>
      <c r="HH84" s="11" t="str">
        <f ca="1">IF(History!HL$2="","",#REF!*$C$84)</f>
        <v/>
      </c>
      <c r="HI84" s="11" t="str">
        <f ca="1">IF(History!HM$2="","",#REF!*$C$84)</f>
        <v/>
      </c>
      <c r="HJ84" s="11" t="str">
        <f ca="1">IF(History!HN$2="","",#REF!*$C$84)</f>
        <v/>
      </c>
      <c r="HK84" s="11" t="str">
        <f ca="1">IF(History!HO$2="","",#REF!*$C$84)</f>
        <v/>
      </c>
      <c r="HL84" s="11" t="str">
        <f ca="1">IF(History!HP$2="","",#REF!*$C$84)</f>
        <v/>
      </c>
      <c r="HM84" s="11" t="str">
        <f ca="1">IF(History!HQ$2="","",#REF!*$C$84)</f>
        <v/>
      </c>
      <c r="HN84" s="11" t="str">
        <f ca="1">IF(History!HR$2="","",#REF!*$C$84)</f>
        <v/>
      </c>
      <c r="HO84" s="11" t="str">
        <f ca="1">IF(History!HS$2="","",#REF!*$C$84)</f>
        <v/>
      </c>
      <c r="HP84" s="11" t="str">
        <f ca="1">IF(History!HT$2="","",#REF!*$C$84)</f>
        <v/>
      </c>
      <c r="HQ84" s="11" t="str">
        <f ca="1">IF(History!HU$2="","",#REF!*$C$84)</f>
        <v/>
      </c>
      <c r="HR84" s="11" t="str">
        <f ca="1">IF(History!HV$2="","",#REF!*$C$84)</f>
        <v/>
      </c>
      <c r="HS84" s="11" t="str">
        <f ca="1">IF(History!HW$2="","",#REF!*$C$84)</f>
        <v/>
      </c>
      <c r="HT84" s="11" t="str">
        <f ca="1">IF(History!HX$2="","",#REF!*$C$84)</f>
        <v/>
      </c>
      <c r="HU84" s="11" t="str">
        <f ca="1">IF(History!HY$2="","",#REF!*$C$84)</f>
        <v/>
      </c>
      <c r="HV84" s="11" t="str">
        <f ca="1">IF(History!HZ$2="","",#REF!*$C$84)</f>
        <v/>
      </c>
      <c r="HW84" s="11" t="str">
        <f ca="1">IF(History!IA$2="","",#REF!*$C$84)</f>
        <v/>
      </c>
      <c r="HX84" s="11" t="str">
        <f ca="1">IF(History!IB$2="","",#REF!*$C$84)</f>
        <v/>
      </c>
      <c r="HY84" s="11" t="str">
        <f ca="1">IF(History!IC$2="","",#REF!*$C$84)</f>
        <v/>
      </c>
      <c r="HZ84" s="11" t="str">
        <f ca="1">IF(History!ID$2="","",#REF!*$C$84)</f>
        <v/>
      </c>
      <c r="IA84" s="11" t="str">
        <f ca="1">IF(History!IE$2="","",#REF!*$C$84)</f>
        <v/>
      </c>
      <c r="IB84" s="11" t="str">
        <f ca="1">IF(History!IF$2="","",#REF!*$C$84)</f>
        <v/>
      </c>
      <c r="IC84" s="11" t="str">
        <f ca="1">IF(History!IG$2="","",#REF!*$C$84)</f>
        <v/>
      </c>
      <c r="ID84" s="11" t="str">
        <f ca="1">IF(History!IH$2="","",#REF!*$C$84)</f>
        <v/>
      </c>
      <c r="IE84" s="11" t="str">
        <f ca="1">IF(History!II$2="","",#REF!*$C$84)</f>
        <v/>
      </c>
      <c r="IF84" s="11" t="str">
        <f ca="1">IF(History!IJ$2="","",#REF!*$C$84)</f>
        <v/>
      </c>
      <c r="IG84" s="11" t="str">
        <f ca="1">IF(History!IK$2="","",#REF!*$C$84)</f>
        <v/>
      </c>
      <c r="IH84" s="11" t="str">
        <f ca="1">IF(History!IL$2="","",#REF!*$C$84)</f>
        <v/>
      </c>
      <c r="II84" s="11" t="str">
        <f ca="1">IF(History!IM$2="","",#REF!*$C$84)</f>
        <v/>
      </c>
      <c r="IJ84" s="11" t="str">
        <f ca="1">IF(History!IN$2="","",#REF!*$C$84)</f>
        <v/>
      </c>
      <c r="IK84" s="11" t="str">
        <f ca="1">IF(History!IO$2="","",#REF!*$C$84)</f>
        <v/>
      </c>
      <c r="IL84" s="11" t="str">
        <f ca="1">IF(History!IP$2="","",#REF!*$C$84)</f>
        <v/>
      </c>
      <c r="IM84" s="11" t="str">
        <f ca="1">IF(History!IQ$2="","",#REF!*$C$84)</f>
        <v/>
      </c>
      <c r="IN84" s="11" t="str">
        <f ca="1">IF(History!IR$2="","",#REF!*$C$84)</f>
        <v/>
      </c>
      <c r="IO84" s="11" t="str">
        <f ca="1">IF(History!IS$2="","",#REF!*$C$84)</f>
        <v/>
      </c>
      <c r="IP84" s="11" t="str">
        <f ca="1">IF(History!IT$2="","",#REF!*$C$84)</f>
        <v/>
      </c>
      <c r="IQ84" s="11" t="str">
        <f ca="1">IF(History!IU$2="","",#REF!*$C$84)</f>
        <v/>
      </c>
      <c r="IR84" s="11" t="str">
        <f ca="1">IF(History!IV$2="","",#REF!*$C$84)</f>
        <v/>
      </c>
      <c r="IS84" s="11" t="str">
        <f ca="1">IF(History!IW$2="","",#REF!*$C$84)</f>
        <v/>
      </c>
      <c r="IT84" s="11" t="str">
        <f ca="1">IF(History!IX$2="","",#REF!*$C$84)</f>
        <v/>
      </c>
      <c r="IU84" s="11" t="str">
        <f ca="1">IF(History!IY$2="","",#REF!*$C$84)</f>
        <v/>
      </c>
      <c r="IV84" s="11" t="str">
        <f ca="1">IF(History!IZ$2="","",#REF!*$C$84)</f>
        <v/>
      </c>
      <c r="IW84" s="11" t="str">
        <f ca="1">IF(History!JA$2="","",#REF!*$C$84)</f>
        <v/>
      </c>
      <c r="IX84" s="11" t="str">
        <f ca="1">IF(History!JB$2="","",#REF!*$C$84)</f>
        <v/>
      </c>
      <c r="IY84" s="11" t="str">
        <f ca="1">IF(History!JC$2="","",#REF!*$C$84)</f>
        <v/>
      </c>
      <c r="IZ84" s="11" t="str">
        <f ca="1">IF(History!JD$2="","",#REF!*$C$84)</f>
        <v/>
      </c>
      <c r="JA84" s="11" t="str">
        <f ca="1">IF(History!JE$2="","",#REF!*$C$84)</f>
        <v/>
      </c>
      <c r="JB84" s="11" t="str">
        <f ca="1">IF(History!JF$2="","",#REF!*$C$84)</f>
        <v/>
      </c>
      <c r="JC84" s="11" t="str">
        <f ca="1">IF(History!JG$2="","",#REF!*$C$84)</f>
        <v/>
      </c>
      <c r="JD84" s="11" t="str">
        <f ca="1">IF(History!JH$2="","",#REF!*$C$84)</f>
        <v/>
      </c>
      <c r="JE84" s="11" t="str">
        <f ca="1">IF(History!JI$2="","",#REF!*$C$84)</f>
        <v/>
      </c>
      <c r="JF84" s="11" t="str">
        <f ca="1">IF(History!JJ$2="","",#REF!*$C$84)</f>
        <v/>
      </c>
      <c r="JG84" s="11" t="str">
        <f ca="1">IF(History!JK$2="","",#REF!*$C$84)</f>
        <v/>
      </c>
      <c r="JH84" s="11" t="str">
        <f ca="1">IF(History!JL$2="","",#REF!*$C$84)</f>
        <v/>
      </c>
      <c r="JI84" s="11" t="str">
        <f ca="1">IF(History!JM$2="","",#REF!*$C$84)</f>
        <v/>
      </c>
      <c r="JJ84" s="11" t="str">
        <f ca="1">IF(History!JN$2="","",#REF!*$C$84)</f>
        <v/>
      </c>
      <c r="JK84" s="11" t="str">
        <f ca="1">IF(History!JO$2="","",#REF!*$C$84)</f>
        <v/>
      </c>
      <c r="JL84" s="11" t="str">
        <f ca="1">IF(History!JP$2="","",#REF!*$C$84)</f>
        <v/>
      </c>
      <c r="JM84" s="11" t="str">
        <f ca="1">IF(History!JQ$2="","",#REF!*$C$84)</f>
        <v/>
      </c>
      <c r="JN84" s="11" t="str">
        <f ca="1">IF(History!JR$2="","",#REF!*$C$84)</f>
        <v/>
      </c>
      <c r="JO84" s="11" t="str">
        <f ca="1">IF(History!JS$2="","",#REF!*$C$84)</f>
        <v/>
      </c>
      <c r="JP84" s="11" t="str">
        <f ca="1">IF(History!JT$2="","",#REF!*$C$84)</f>
        <v/>
      </c>
      <c r="JQ84" s="11" t="str">
        <f ca="1">IF(History!JU$2="","",#REF!*$C$84)</f>
        <v/>
      </c>
      <c r="JR84" s="11" t="str">
        <f ca="1">IF(History!JV$2="","",#REF!*$C$84)</f>
        <v/>
      </c>
      <c r="JS84" s="11" t="str">
        <f ca="1">IF(History!JW$2="","",#REF!*$C$84)</f>
        <v/>
      </c>
      <c r="JT84" s="11" t="str">
        <f ca="1">IF(History!JX$2="","",#REF!*$C$84)</f>
        <v/>
      </c>
      <c r="JU84" s="11" t="str">
        <f ca="1">IF(History!JY$2="","",#REF!*$C$84)</f>
        <v/>
      </c>
      <c r="JV84" s="11" t="str">
        <f ca="1">IF(History!JZ$2="","",#REF!*$C$84)</f>
        <v/>
      </c>
      <c r="JW84" s="11" t="str">
        <f ca="1">IF(History!KA$2="","",#REF!*$C$84)</f>
        <v/>
      </c>
      <c r="JX84" s="11" t="str">
        <f ca="1">IF(History!KB$2="","",#REF!*$C$84)</f>
        <v/>
      </c>
      <c r="JY84" s="11" t="str">
        <f ca="1">IF(History!KC$2="","",#REF!*$C$84)</f>
        <v/>
      </c>
      <c r="JZ84" s="11" t="str">
        <f ca="1">IF(History!KD$2="","",#REF!*$C$84)</f>
        <v/>
      </c>
      <c r="KA84" s="11" t="str">
        <f ca="1">IF(History!KE$2="","",#REF!*$C$84)</f>
        <v/>
      </c>
      <c r="KB84" s="11" t="str">
        <f ca="1">IF(History!KF$2="","",#REF!*$C$84)</f>
        <v/>
      </c>
    </row>
    <row r="85" spans="1:288" ht="13">
      <c r="A85" s="18" t="s">
        <v>140</v>
      </c>
      <c r="B85" s="6" t="s">
        <v>163</v>
      </c>
      <c r="C85" s="26">
        <v>30</v>
      </c>
      <c r="D85" s="11" t="e">
        <f ca="1">IF(History!H$2="","",#REF!*$C$85)</f>
        <v>#REF!</v>
      </c>
      <c r="E85" s="11" t="e">
        <f ca="1">IF(History!I$2="","",#REF!*$C$85)</f>
        <v>#REF!</v>
      </c>
      <c r="F85" s="11" t="e">
        <f ca="1">IF(History!J$2="","",#REF!*$C$85)</f>
        <v>#REF!</v>
      </c>
      <c r="G85" s="11" t="e">
        <f ca="1">IF(History!K$2="","",#REF!*$C$85)</f>
        <v>#REF!</v>
      </c>
      <c r="H85" s="11" t="e">
        <f ca="1">IF(History!L$2="","",#REF!*$C$85)</f>
        <v>#REF!</v>
      </c>
      <c r="I85" s="11" t="e">
        <f ca="1">IF(History!M$2="","",#REF!*$C$85)</f>
        <v>#REF!</v>
      </c>
      <c r="J85" s="11" t="e">
        <f ca="1">IF(History!N$2="","",#REF!*$C$85)</f>
        <v>#REF!</v>
      </c>
      <c r="K85" s="11" t="e">
        <f ca="1">IF(History!O$2="","",#REF!*$C$85)</f>
        <v>#REF!</v>
      </c>
      <c r="L85" s="11" t="e">
        <f ca="1">IF(History!P$2="","",#REF!*$C$85)</f>
        <v>#REF!</v>
      </c>
      <c r="M85" s="11" t="e">
        <f ca="1">IF(History!Q$2="","",#REF!*$C$85)</f>
        <v>#REF!</v>
      </c>
      <c r="N85" s="11" t="e">
        <f ca="1">IF(History!R$2="","",#REF!*$C$85)</f>
        <v>#REF!</v>
      </c>
      <c r="O85" s="11" t="e">
        <f ca="1">IF(History!S$2="","",#REF!*$C$85)</f>
        <v>#REF!</v>
      </c>
      <c r="P85" s="11" t="e">
        <f ca="1">IF(History!T$2="","",#REF!*$C$85)</f>
        <v>#REF!</v>
      </c>
      <c r="Q85" s="11" t="e">
        <f ca="1">IF(History!U$2="","",#REF!*$C$85)</f>
        <v>#REF!</v>
      </c>
      <c r="R85" s="11" t="e">
        <f ca="1">IF(History!V$2="","",#REF!*$C$85)</f>
        <v>#REF!</v>
      </c>
      <c r="S85" s="11" t="e">
        <f ca="1">IF(History!W$2="","",#REF!*$C$85)</f>
        <v>#REF!</v>
      </c>
      <c r="T85" s="11" t="e">
        <f ca="1">IF(History!X$2="","",#REF!*$C$85)</f>
        <v>#REF!</v>
      </c>
      <c r="U85" s="11" t="e">
        <f ca="1">IF(History!Y$2="","",#REF!*$C$85)</f>
        <v>#REF!</v>
      </c>
      <c r="V85" s="11" t="e">
        <f ca="1">IF(History!Z$2="","",#REF!*$C$85)</f>
        <v>#REF!</v>
      </c>
      <c r="W85" s="11" t="e">
        <f ca="1">IF(History!AA$2="","",#REF!*$C$85)</f>
        <v>#REF!</v>
      </c>
      <c r="X85" s="11" t="e">
        <f ca="1">IF(History!AB$2="","",#REF!*$C$85)</f>
        <v>#REF!</v>
      </c>
      <c r="Y85" s="11" t="e">
        <f ca="1">IF(History!AC$2="","",#REF!*$C$85)</f>
        <v>#REF!</v>
      </c>
      <c r="Z85" s="11" t="e">
        <f ca="1">IF(History!AD$2="","",#REF!*$C$85)</f>
        <v>#REF!</v>
      </c>
      <c r="AA85" s="11" t="e">
        <f ca="1">IF(History!AE$2="","",#REF!*$C$85)</f>
        <v>#REF!</v>
      </c>
      <c r="AB85" s="11" t="e">
        <f ca="1">IF(History!AF$2="","",#REF!*$C$85)</f>
        <v>#REF!</v>
      </c>
      <c r="AC85" s="11" t="e">
        <f ca="1">IF(History!AG$2="","",#REF!*$C$85)</f>
        <v>#REF!</v>
      </c>
      <c r="AD85" s="11" t="e">
        <f ca="1">IF(History!AH$2="","",#REF!*$C$85)</f>
        <v>#REF!</v>
      </c>
      <c r="AE85" s="11" t="e">
        <f ca="1">IF(History!AI$2="","",#REF!*$C$85)</f>
        <v>#REF!</v>
      </c>
      <c r="AF85" s="11" t="e">
        <f ca="1">IF(History!AJ$2="","",#REF!*$C$85)</f>
        <v>#REF!</v>
      </c>
      <c r="AG85" s="11" t="e">
        <f ca="1">IF(History!AK$2="","",#REF!*$C$85)</f>
        <v>#REF!</v>
      </c>
      <c r="AH85" s="11" t="e">
        <f ca="1">IF(History!AL$2="","",#REF!*$C$85)</f>
        <v>#REF!</v>
      </c>
      <c r="AI85" s="11" t="e">
        <f ca="1">IF(History!AM$2="","",#REF!*$C$85)</f>
        <v>#REF!</v>
      </c>
      <c r="AJ85" s="11" t="e">
        <f ca="1">IF(History!AN$2="","",#REF!*$C$85)</f>
        <v>#REF!</v>
      </c>
      <c r="AK85" s="11" t="e">
        <f ca="1">IF(History!AO$2="","",#REF!*$C$85)</f>
        <v>#REF!</v>
      </c>
      <c r="AL85" s="11" t="e">
        <f ca="1">IF(History!AP$2="","",#REF!*$C$85)</f>
        <v>#REF!</v>
      </c>
      <c r="AM85" s="11" t="e">
        <f ca="1">IF(History!AQ$2="","",#REF!*$C$85)</f>
        <v>#REF!</v>
      </c>
      <c r="AN85" s="11" t="e">
        <f ca="1">IF(History!AR$2="","",#REF!*$C$85)</f>
        <v>#REF!</v>
      </c>
      <c r="AO85" s="11" t="e">
        <f ca="1">IF(History!AS$2="","",#REF!*$C$85)</f>
        <v>#REF!</v>
      </c>
      <c r="AP85" s="11" t="e">
        <f ca="1">IF(History!AT$2="","",#REF!*$C$85)</f>
        <v>#REF!</v>
      </c>
      <c r="AQ85" s="11" t="e">
        <f ca="1">IF(History!AU$2="","",#REF!*$C$85)</f>
        <v>#REF!</v>
      </c>
      <c r="AR85" s="11" t="e">
        <f ca="1">IF(History!AV$2="","",#REF!*$C$85)</f>
        <v>#REF!</v>
      </c>
      <c r="AS85" s="11" t="e">
        <f ca="1">IF(History!AW$2="","",#REF!*$C$85)</f>
        <v>#REF!</v>
      </c>
      <c r="AT85" s="11" t="e">
        <f ca="1">IF(History!AX$2="","",#REF!*$C$85)</f>
        <v>#REF!</v>
      </c>
      <c r="AU85" s="11" t="e">
        <f ca="1">IF(History!AY$2="","",#REF!*$C$85)</f>
        <v>#REF!</v>
      </c>
      <c r="AV85" s="11" t="e">
        <f ca="1">IF(History!AZ$2="","",#REF!*$C$85)</f>
        <v>#REF!</v>
      </c>
      <c r="AW85" s="11" t="e">
        <f ca="1">IF(History!BA$2="","",#REF!*$C$85)</f>
        <v>#REF!</v>
      </c>
      <c r="AX85" s="11" t="e">
        <f ca="1">IF(History!BB$2="","",#REF!*$C$85)</f>
        <v>#REF!</v>
      </c>
      <c r="AY85" s="11" t="e">
        <f ca="1">IF(History!BC$2="","",#REF!*$C$85)</f>
        <v>#REF!</v>
      </c>
      <c r="AZ85" s="11" t="e">
        <f ca="1">IF(History!BD$2="","",#REF!*$C$85)</f>
        <v>#REF!</v>
      </c>
      <c r="BA85" s="11" t="e">
        <f ca="1">IF(History!BE$2="","",#REF!*$C$85)</f>
        <v>#REF!</v>
      </c>
      <c r="BB85" s="11" t="e">
        <f ca="1">IF(History!BF$2="","",#REF!*$C$85)</f>
        <v>#REF!</v>
      </c>
      <c r="BC85" s="11" t="e">
        <f ca="1">IF(History!BG$2="","",#REF!*$C$85)</f>
        <v>#REF!</v>
      </c>
      <c r="BD85" s="11" t="e">
        <f ca="1">IF(History!BH$2="","",#REF!*$C$85)</f>
        <v>#REF!</v>
      </c>
      <c r="BE85" s="11" t="e">
        <f ca="1">IF(History!BI$2="","",#REF!*$C$85)</f>
        <v>#REF!</v>
      </c>
      <c r="BF85" s="11" t="e">
        <f ca="1">IF(History!BJ$2="","",#REF!*$C$85)</f>
        <v>#REF!</v>
      </c>
      <c r="BG85" s="11" t="e">
        <f ca="1">IF(History!BK$2="","",#REF!*$C$85)</f>
        <v>#REF!</v>
      </c>
      <c r="BH85" s="11" t="e">
        <f ca="1">IF(History!BL$2="","",#REF!*$C$85)</f>
        <v>#REF!</v>
      </c>
      <c r="BI85" s="11" t="e">
        <f ca="1">IF(History!BM$2="","",#REF!*$C$85)</f>
        <v>#REF!</v>
      </c>
      <c r="BJ85" s="11" t="e">
        <f ca="1">IF(History!BN$2="","",#REF!*$C$85)</f>
        <v>#REF!</v>
      </c>
      <c r="BK85" s="11" t="e">
        <f ca="1">IF(History!BO$2="","",#REF!*$C$85)</f>
        <v>#REF!</v>
      </c>
      <c r="BL85" s="11" t="e">
        <f ca="1">IF(History!BP$2="","",#REF!*$C$85)</f>
        <v>#REF!</v>
      </c>
      <c r="BM85" s="11" t="e">
        <f ca="1">IF(History!BQ$2="","",#REF!*$C$85)</f>
        <v>#REF!</v>
      </c>
      <c r="BN85" s="11" t="e">
        <f ca="1">IF(History!BR$2="","",#REF!*$C$85)</f>
        <v>#REF!</v>
      </c>
      <c r="BO85" s="11" t="e">
        <f ca="1">IF(History!BS$2="","",#REF!*$C$85)</f>
        <v>#REF!</v>
      </c>
      <c r="BP85" s="11" t="e">
        <f ca="1">IF(History!BT$2="","",#REF!*$C$85)</f>
        <v>#REF!</v>
      </c>
      <c r="BQ85" s="11" t="e">
        <f ca="1">IF(History!BU$2="","",#REF!*$C$85)</f>
        <v>#REF!</v>
      </c>
      <c r="BR85" s="11" t="e">
        <f ca="1">IF(History!BV$2="","",#REF!*$C$85)</f>
        <v>#REF!</v>
      </c>
      <c r="BS85" s="11" t="e">
        <f ca="1">IF(History!BW$2="","",#REF!*$C$85)</f>
        <v>#REF!</v>
      </c>
      <c r="BT85" s="11" t="e">
        <f ca="1">IF(History!BX$2="","",#REF!*$C$85)</f>
        <v>#REF!</v>
      </c>
      <c r="BU85" s="11" t="e">
        <f ca="1">IF(History!BY$2="","",#REF!*$C$85)</f>
        <v>#REF!</v>
      </c>
      <c r="BV85" s="11" t="e">
        <f ca="1">IF(History!BZ$2="","",#REF!*$C$85)</f>
        <v>#REF!</v>
      </c>
      <c r="BW85" s="11" t="e">
        <f ca="1">IF(History!CA$2="","",#REF!*$C$85)</f>
        <v>#REF!</v>
      </c>
      <c r="BX85" s="11" t="e">
        <f ca="1">IF(History!CB$2="","",#REF!*$C$85)</f>
        <v>#REF!</v>
      </c>
      <c r="BY85" s="11" t="e">
        <f ca="1">IF(History!CC$2="","",#REF!*$C$85)</f>
        <v>#REF!</v>
      </c>
      <c r="BZ85" s="11" t="e">
        <f ca="1">IF(History!CD$2="","",#REF!*$C$85)</f>
        <v>#REF!</v>
      </c>
      <c r="CA85" s="11" t="e">
        <f ca="1">IF(History!CE$2="","",#REF!*$C$85)</f>
        <v>#REF!</v>
      </c>
      <c r="CB85" s="11" t="e">
        <f ca="1">IF(History!CF$2="","",#REF!*$C$85)</f>
        <v>#REF!</v>
      </c>
      <c r="CC85" s="11" t="e">
        <f ca="1">IF(History!CG$2="","",#REF!*$C$85)</f>
        <v>#REF!</v>
      </c>
      <c r="CD85" s="11" t="e">
        <f ca="1">IF(History!CH$2="","",#REF!*$C$85)</f>
        <v>#REF!</v>
      </c>
      <c r="CE85" s="11" t="e">
        <f ca="1">IF(History!CI$2="","",#REF!*$C$85)</f>
        <v>#REF!</v>
      </c>
      <c r="CF85" s="11" t="str">
        <f ca="1">IF(History!CJ$2="","",#REF!*$C$85)</f>
        <v/>
      </c>
      <c r="CG85" s="11" t="str">
        <f ca="1">IF(History!CK$2="","",#REF!*$C$85)</f>
        <v/>
      </c>
      <c r="CH85" s="11" t="str">
        <f ca="1">IF(History!CL$2="","",#REF!*$C$85)</f>
        <v/>
      </c>
      <c r="CI85" s="11" t="str">
        <f ca="1">IF(History!CM$2="","",#REF!*$C$85)</f>
        <v/>
      </c>
      <c r="CJ85" s="11" t="str">
        <f ca="1">IF(History!CN$2="","",#REF!*$C$85)</f>
        <v/>
      </c>
      <c r="CK85" s="11" t="str">
        <f ca="1">IF(History!CO$2="","",#REF!*$C$85)</f>
        <v/>
      </c>
      <c r="CL85" s="11" t="str">
        <f ca="1">IF(History!CP$2="","",#REF!*$C$85)</f>
        <v/>
      </c>
      <c r="CM85" s="11" t="str">
        <f ca="1">IF(History!CQ$2="","",#REF!*$C$85)</f>
        <v/>
      </c>
      <c r="CN85" s="11" t="str">
        <f ca="1">IF(History!CR$2="","",#REF!*$C$85)</f>
        <v/>
      </c>
      <c r="CO85" s="11" t="str">
        <f ca="1">IF(History!CS$2="","",#REF!*$C$85)</f>
        <v/>
      </c>
      <c r="CP85" s="11" t="str">
        <f ca="1">IF(History!CT$2="","",#REF!*$C$85)</f>
        <v/>
      </c>
      <c r="CQ85" s="11" t="str">
        <f ca="1">IF(History!CU$2="","",#REF!*$C$85)</f>
        <v/>
      </c>
      <c r="CR85" s="11" t="str">
        <f ca="1">IF(History!CV$2="","",#REF!*$C$85)</f>
        <v/>
      </c>
      <c r="CS85" s="11" t="str">
        <f ca="1">IF(History!CW$2="","",#REF!*$C$85)</f>
        <v/>
      </c>
      <c r="CT85" s="11" t="str">
        <f ca="1">IF(History!CX$2="","",#REF!*$C$85)</f>
        <v/>
      </c>
      <c r="CU85" s="11" t="str">
        <f ca="1">IF(History!CY$2="","",#REF!*$C$85)</f>
        <v/>
      </c>
      <c r="CV85" s="11" t="str">
        <f ca="1">IF(History!CZ$2="","",#REF!*$C$85)</f>
        <v/>
      </c>
      <c r="CW85" s="11" t="str">
        <f ca="1">IF(History!DA$2="","",#REF!*$C$85)</f>
        <v/>
      </c>
      <c r="CX85" s="11" t="str">
        <f ca="1">IF(History!DB$2="","",#REF!*$C$85)</f>
        <v/>
      </c>
      <c r="CY85" s="11" t="str">
        <f ca="1">IF(History!DC$2="","",#REF!*$C$85)</f>
        <v/>
      </c>
      <c r="CZ85" s="11" t="str">
        <f ca="1">IF(History!DD$2="","",#REF!*$C$85)</f>
        <v/>
      </c>
      <c r="DA85" s="11" t="str">
        <f ca="1">IF(History!DE$2="","",#REF!*$C$85)</f>
        <v/>
      </c>
      <c r="DB85" s="11" t="str">
        <f ca="1">IF(History!DF$2="","",#REF!*$C$85)</f>
        <v/>
      </c>
      <c r="DC85" s="11" t="str">
        <f ca="1">IF(History!DG$2="","",#REF!*$C$85)</f>
        <v/>
      </c>
      <c r="DD85" s="11" t="str">
        <f ca="1">IF(History!DH$2="","",#REF!*$C$85)</f>
        <v/>
      </c>
      <c r="DE85" s="11" t="str">
        <f ca="1">IF(History!DI$2="","",#REF!*$C$85)</f>
        <v/>
      </c>
      <c r="DF85" s="11" t="str">
        <f ca="1">IF(History!DJ$2="","",#REF!*$C$85)</f>
        <v/>
      </c>
      <c r="DG85" s="11" t="str">
        <f ca="1">IF(History!DK$2="","",#REF!*$C$85)</f>
        <v/>
      </c>
      <c r="DH85" s="11" t="str">
        <f ca="1">IF(History!DL$2="","",#REF!*$C$85)</f>
        <v/>
      </c>
      <c r="DI85" s="11" t="str">
        <f ca="1">IF(History!DM$2="","",#REF!*$C$85)</f>
        <v/>
      </c>
      <c r="DJ85" s="11" t="str">
        <f ca="1">IF(History!DN$2="","",#REF!*$C$85)</f>
        <v/>
      </c>
      <c r="DK85" s="11" t="str">
        <f ca="1">IF(History!DO$2="","",#REF!*$C$85)</f>
        <v/>
      </c>
      <c r="DL85" s="11" t="str">
        <f ca="1">IF(History!DP$2="","",#REF!*$C$85)</f>
        <v/>
      </c>
      <c r="DM85" s="11" t="str">
        <f ca="1">IF(History!DQ$2="","",#REF!*$C$85)</f>
        <v/>
      </c>
      <c r="DN85" s="11" t="str">
        <f ca="1">IF(History!DR$2="","",#REF!*$C$85)</f>
        <v/>
      </c>
      <c r="DO85" s="11" t="str">
        <f ca="1">IF(History!DS$2="","",#REF!*$C$85)</f>
        <v/>
      </c>
      <c r="DP85" s="11" t="str">
        <f ca="1">IF(History!DT$2="","",#REF!*$C$85)</f>
        <v/>
      </c>
      <c r="DQ85" s="11" t="str">
        <f ca="1">IF(History!DU$2="","",#REF!*$C$85)</f>
        <v/>
      </c>
      <c r="DR85" s="11" t="str">
        <f ca="1">IF(History!DV$2="","",#REF!*$C$85)</f>
        <v/>
      </c>
      <c r="DS85" s="11" t="str">
        <f ca="1">IF(History!DW$2="","",#REF!*$C$85)</f>
        <v/>
      </c>
      <c r="DT85" s="11" t="str">
        <f ca="1">IF(History!DX$2="","",#REF!*$C$85)</f>
        <v/>
      </c>
      <c r="DU85" s="11" t="str">
        <f ca="1">IF(History!DY$2="","",#REF!*$C$85)</f>
        <v/>
      </c>
      <c r="DV85" s="11" t="str">
        <f ca="1">IF(History!DZ$2="","",#REF!*$C$85)</f>
        <v/>
      </c>
      <c r="DW85" s="11" t="str">
        <f ca="1">IF(History!EA$2="","",#REF!*$C$85)</f>
        <v/>
      </c>
      <c r="DX85" s="11" t="str">
        <f ca="1">IF(History!EB$2="","",#REF!*$C$85)</f>
        <v/>
      </c>
      <c r="DY85" s="11" t="str">
        <f ca="1">IF(History!EC$2="","",#REF!*$C$85)</f>
        <v/>
      </c>
      <c r="DZ85" s="11" t="str">
        <f ca="1">IF(History!ED$2="","",#REF!*$C$85)</f>
        <v/>
      </c>
      <c r="EA85" s="11" t="str">
        <f ca="1">IF(History!EE$2="","",#REF!*$C$85)</f>
        <v/>
      </c>
      <c r="EB85" s="11" t="str">
        <f ca="1">IF(History!EF$2="","",#REF!*$C$85)</f>
        <v/>
      </c>
      <c r="EC85" s="11" t="str">
        <f ca="1">IF(History!EG$2="","",#REF!*$C$85)</f>
        <v/>
      </c>
      <c r="ED85" s="11" t="str">
        <f ca="1">IF(History!EH$2="","",#REF!*$C$85)</f>
        <v/>
      </c>
      <c r="EE85" s="11" t="str">
        <f ca="1">IF(History!EI$2="","",#REF!*$C$85)</f>
        <v/>
      </c>
      <c r="EF85" s="11" t="str">
        <f ca="1">IF(History!EJ$2="","",#REF!*$C$85)</f>
        <v/>
      </c>
      <c r="EG85" s="11" t="str">
        <f ca="1">IF(History!EK$2="","",#REF!*$C$85)</f>
        <v/>
      </c>
      <c r="EH85" s="11" t="str">
        <f ca="1">IF(History!EL$2="","",#REF!*$C$85)</f>
        <v/>
      </c>
      <c r="EI85" s="11" t="str">
        <f ca="1">IF(History!EM$2="","",#REF!*$C$85)</f>
        <v/>
      </c>
      <c r="EJ85" s="11" t="str">
        <f ca="1">IF(History!EN$2="","",#REF!*$C$85)</f>
        <v/>
      </c>
      <c r="EK85" s="11" t="str">
        <f ca="1">IF(History!EO$2="","",#REF!*$C$85)</f>
        <v/>
      </c>
      <c r="EL85" s="11" t="str">
        <f ca="1">IF(History!EP$2="","",#REF!*$C$85)</f>
        <v/>
      </c>
      <c r="EM85" s="11" t="str">
        <f ca="1">IF(History!EQ$2="","",#REF!*$C$85)</f>
        <v/>
      </c>
      <c r="EN85" s="11" t="str">
        <f ca="1">IF(History!ER$2="","",#REF!*$C$85)</f>
        <v/>
      </c>
      <c r="EO85" s="11" t="str">
        <f ca="1">IF(History!ES$2="","",#REF!*$C$85)</f>
        <v/>
      </c>
      <c r="EP85" s="11" t="str">
        <f ca="1">IF(History!ET$2="","",#REF!*$C$85)</f>
        <v/>
      </c>
      <c r="EQ85" s="11" t="str">
        <f ca="1">IF(History!EU$2="","",#REF!*$C$85)</f>
        <v/>
      </c>
      <c r="ER85" s="11" t="str">
        <f ca="1">IF(History!EV$2="","",#REF!*$C$85)</f>
        <v/>
      </c>
      <c r="ES85" s="11" t="str">
        <f ca="1">IF(History!EW$2="","",#REF!*$C$85)</f>
        <v/>
      </c>
      <c r="ET85" s="11" t="str">
        <f ca="1">IF(History!EX$2="","",#REF!*$C$85)</f>
        <v/>
      </c>
      <c r="EU85" s="11" t="str">
        <f ca="1">IF(History!EY$2="","",#REF!*$C$85)</f>
        <v/>
      </c>
      <c r="EV85" s="11" t="str">
        <f ca="1">IF(History!EZ$2="","",#REF!*$C$85)</f>
        <v/>
      </c>
      <c r="EW85" s="11" t="str">
        <f ca="1">IF(History!FA$2="","",#REF!*$C$85)</f>
        <v/>
      </c>
      <c r="EX85" s="11" t="str">
        <f ca="1">IF(History!FB$2="","",#REF!*$C$85)</f>
        <v/>
      </c>
      <c r="EY85" s="11" t="str">
        <f ca="1">IF(History!FC$2="","",#REF!*$C$85)</f>
        <v/>
      </c>
      <c r="EZ85" s="11" t="str">
        <f ca="1">IF(History!FD$2="","",#REF!*$C$85)</f>
        <v/>
      </c>
      <c r="FA85" s="11" t="str">
        <f ca="1">IF(History!FE$2="","",#REF!*$C$85)</f>
        <v/>
      </c>
      <c r="FB85" s="11" t="str">
        <f ca="1">IF(History!FF$2="","",#REF!*$C$85)</f>
        <v/>
      </c>
      <c r="FC85" s="11" t="str">
        <f ca="1">IF(History!FG$2="","",#REF!*$C$85)</f>
        <v/>
      </c>
      <c r="FD85" s="11" t="str">
        <f ca="1">IF(History!FH$2="","",#REF!*$C$85)</f>
        <v/>
      </c>
      <c r="FE85" s="11" t="str">
        <f ca="1">IF(History!FI$2="","",#REF!*$C$85)</f>
        <v/>
      </c>
      <c r="FF85" s="11" t="str">
        <f ca="1">IF(History!FJ$2="","",#REF!*$C$85)</f>
        <v/>
      </c>
      <c r="FG85" s="11" t="str">
        <f ca="1">IF(History!FK$2="","",#REF!*$C$85)</f>
        <v/>
      </c>
      <c r="FH85" s="11" t="str">
        <f ca="1">IF(History!FL$2="","",#REF!*$C$85)</f>
        <v/>
      </c>
      <c r="FI85" s="11" t="str">
        <f ca="1">IF(History!FM$2="","",#REF!*$C$85)</f>
        <v/>
      </c>
      <c r="FJ85" s="11" t="str">
        <f ca="1">IF(History!FN$2="","",#REF!*$C$85)</f>
        <v/>
      </c>
      <c r="FK85" s="11" t="str">
        <f ca="1">IF(History!FO$2="","",#REF!*$C$85)</f>
        <v/>
      </c>
      <c r="FL85" s="11" t="str">
        <f ca="1">IF(History!FP$2="","",#REF!*$C$85)</f>
        <v/>
      </c>
      <c r="FM85" s="11" t="str">
        <f ca="1">IF(History!FQ$2="","",#REF!*$C$85)</f>
        <v/>
      </c>
      <c r="FN85" s="11" t="str">
        <f ca="1">IF(History!FR$2="","",#REF!*$C$85)</f>
        <v/>
      </c>
      <c r="FO85" s="11" t="str">
        <f ca="1">IF(History!FS$2="","",#REF!*$C$85)</f>
        <v/>
      </c>
      <c r="FP85" s="11" t="str">
        <f ca="1">IF(History!FT$2="","",#REF!*$C$85)</f>
        <v/>
      </c>
      <c r="FQ85" s="11" t="str">
        <f ca="1">IF(History!FU$2="","",#REF!*$C$85)</f>
        <v/>
      </c>
      <c r="FR85" s="11" t="str">
        <f ca="1">IF(History!FV$2="","",#REF!*$C$85)</f>
        <v/>
      </c>
      <c r="FS85" s="11" t="str">
        <f ca="1">IF(History!FW$2="","",#REF!*$C$85)</f>
        <v/>
      </c>
      <c r="FT85" s="11" t="str">
        <f ca="1">IF(History!FX$2="","",#REF!*$C$85)</f>
        <v/>
      </c>
      <c r="FU85" s="11" t="str">
        <f ca="1">IF(History!FY$2="","",#REF!*$C$85)</f>
        <v/>
      </c>
      <c r="FV85" s="11" t="str">
        <f ca="1">IF(History!FZ$2="","",#REF!*$C$85)</f>
        <v/>
      </c>
      <c r="FW85" s="11" t="str">
        <f ca="1">IF(History!GA$2="","",#REF!*$C$85)</f>
        <v/>
      </c>
      <c r="FX85" s="11" t="str">
        <f ca="1">IF(History!GB$2="","",#REF!*$C$85)</f>
        <v/>
      </c>
      <c r="FY85" s="11" t="str">
        <f ca="1">IF(History!GC$2="","",#REF!*$C$85)</f>
        <v/>
      </c>
      <c r="FZ85" s="11" t="str">
        <f ca="1">IF(History!GD$2="","",#REF!*$C$85)</f>
        <v/>
      </c>
      <c r="GA85" s="11" t="str">
        <f ca="1">IF(History!GE$2="","",#REF!*$C$85)</f>
        <v/>
      </c>
      <c r="GB85" s="11" t="str">
        <f ca="1">IF(History!GF$2="","",#REF!*$C$85)</f>
        <v/>
      </c>
      <c r="GC85" s="11" t="str">
        <f ca="1">IF(History!GG$2="","",#REF!*$C$85)</f>
        <v/>
      </c>
      <c r="GD85" s="11" t="str">
        <f ca="1">IF(History!GH$2="","",#REF!*$C$85)</f>
        <v/>
      </c>
      <c r="GE85" s="11" t="str">
        <f ca="1">IF(History!GI$2="","",#REF!*$C$85)</f>
        <v/>
      </c>
      <c r="GF85" s="11" t="str">
        <f ca="1">IF(History!GJ$2="","",#REF!*$C$85)</f>
        <v/>
      </c>
      <c r="GG85" s="11" t="str">
        <f ca="1">IF(History!GK$2="","",#REF!*$C$85)</f>
        <v/>
      </c>
      <c r="GH85" s="11" t="str">
        <f ca="1">IF(History!GL$2="","",#REF!*$C$85)</f>
        <v/>
      </c>
      <c r="GI85" s="11" t="str">
        <f ca="1">IF(History!GM$2="","",#REF!*$C$85)</f>
        <v/>
      </c>
      <c r="GJ85" s="11" t="str">
        <f ca="1">IF(History!GN$2="","",#REF!*$C$85)</f>
        <v/>
      </c>
      <c r="GK85" s="11" t="str">
        <f ca="1">IF(History!GO$2="","",#REF!*$C$85)</f>
        <v/>
      </c>
      <c r="GL85" s="11" t="str">
        <f ca="1">IF(History!GP$2="","",#REF!*$C$85)</f>
        <v/>
      </c>
      <c r="GM85" s="11" t="str">
        <f ca="1">IF(History!GQ$2="","",#REF!*$C$85)</f>
        <v/>
      </c>
      <c r="GN85" s="11" t="str">
        <f ca="1">IF(History!GR$2="","",#REF!*$C$85)</f>
        <v/>
      </c>
      <c r="GO85" s="11" t="str">
        <f ca="1">IF(History!GS$2="","",#REF!*$C$85)</f>
        <v/>
      </c>
      <c r="GP85" s="11" t="str">
        <f ca="1">IF(History!GT$2="","",#REF!*$C$85)</f>
        <v/>
      </c>
      <c r="GQ85" s="11" t="str">
        <f ca="1">IF(History!GU$2="","",#REF!*$C$85)</f>
        <v/>
      </c>
      <c r="GR85" s="11" t="str">
        <f ca="1">IF(History!GV$2="","",#REF!*$C$85)</f>
        <v/>
      </c>
      <c r="GS85" s="11" t="str">
        <f ca="1">IF(History!GW$2="","",#REF!*$C$85)</f>
        <v/>
      </c>
      <c r="GT85" s="11" t="str">
        <f ca="1">IF(History!GX$2="","",#REF!*$C$85)</f>
        <v/>
      </c>
      <c r="GU85" s="11" t="str">
        <f ca="1">IF(History!GY$2="","",#REF!*$C$85)</f>
        <v/>
      </c>
      <c r="GV85" s="11" t="str">
        <f ca="1">IF(History!GZ$2="","",#REF!*$C$85)</f>
        <v/>
      </c>
      <c r="GW85" s="11" t="str">
        <f ca="1">IF(History!HA$2="","",#REF!*$C$85)</f>
        <v/>
      </c>
      <c r="GX85" s="11" t="str">
        <f ca="1">IF(History!HB$2="","",#REF!*$C$85)</f>
        <v/>
      </c>
      <c r="GY85" s="11" t="str">
        <f ca="1">IF(History!HC$2="","",#REF!*$C$85)</f>
        <v/>
      </c>
      <c r="GZ85" s="11" t="str">
        <f ca="1">IF(History!HD$2="","",#REF!*$C$85)</f>
        <v/>
      </c>
      <c r="HA85" s="11" t="str">
        <f ca="1">IF(History!HE$2="","",#REF!*$C$85)</f>
        <v/>
      </c>
      <c r="HB85" s="11" t="str">
        <f ca="1">IF(History!HF$2="","",#REF!*$C$85)</f>
        <v/>
      </c>
      <c r="HC85" s="11" t="str">
        <f ca="1">IF(History!HG$2="","",#REF!*$C$85)</f>
        <v/>
      </c>
      <c r="HD85" s="11" t="str">
        <f ca="1">IF(History!HH$2="","",#REF!*$C$85)</f>
        <v/>
      </c>
      <c r="HE85" s="11" t="str">
        <f ca="1">IF(History!HI$2="","",#REF!*$C$85)</f>
        <v/>
      </c>
      <c r="HF85" s="11" t="str">
        <f ca="1">IF(History!HJ$2="","",#REF!*$C$85)</f>
        <v/>
      </c>
      <c r="HG85" s="11" t="str">
        <f ca="1">IF(History!HK$2="","",#REF!*$C$85)</f>
        <v/>
      </c>
      <c r="HH85" s="11" t="str">
        <f ca="1">IF(History!HL$2="","",#REF!*$C$85)</f>
        <v/>
      </c>
      <c r="HI85" s="11" t="str">
        <f ca="1">IF(History!HM$2="","",#REF!*$C$85)</f>
        <v/>
      </c>
      <c r="HJ85" s="11" t="str">
        <f ca="1">IF(History!HN$2="","",#REF!*$C$85)</f>
        <v/>
      </c>
      <c r="HK85" s="11" t="str">
        <f ca="1">IF(History!HO$2="","",#REF!*$C$85)</f>
        <v/>
      </c>
      <c r="HL85" s="11" t="str">
        <f ca="1">IF(History!HP$2="","",#REF!*$C$85)</f>
        <v/>
      </c>
      <c r="HM85" s="11" t="str">
        <f ca="1">IF(History!HQ$2="","",#REF!*$C$85)</f>
        <v/>
      </c>
      <c r="HN85" s="11" t="str">
        <f ca="1">IF(History!HR$2="","",#REF!*$C$85)</f>
        <v/>
      </c>
      <c r="HO85" s="11" t="str">
        <f ca="1">IF(History!HS$2="","",#REF!*$C$85)</f>
        <v/>
      </c>
      <c r="HP85" s="11" t="str">
        <f ca="1">IF(History!HT$2="","",#REF!*$C$85)</f>
        <v/>
      </c>
      <c r="HQ85" s="11" t="str">
        <f ca="1">IF(History!HU$2="","",#REF!*$C$85)</f>
        <v/>
      </c>
      <c r="HR85" s="11" t="str">
        <f ca="1">IF(History!HV$2="","",#REF!*$C$85)</f>
        <v/>
      </c>
      <c r="HS85" s="11" t="str">
        <f ca="1">IF(History!HW$2="","",#REF!*$C$85)</f>
        <v/>
      </c>
      <c r="HT85" s="11" t="str">
        <f ca="1">IF(History!HX$2="","",#REF!*$C$85)</f>
        <v/>
      </c>
      <c r="HU85" s="11" t="str">
        <f ca="1">IF(History!HY$2="","",#REF!*$C$85)</f>
        <v/>
      </c>
      <c r="HV85" s="11" t="str">
        <f ca="1">IF(History!HZ$2="","",#REF!*$C$85)</f>
        <v/>
      </c>
      <c r="HW85" s="11" t="str">
        <f ca="1">IF(History!IA$2="","",#REF!*$C$85)</f>
        <v/>
      </c>
      <c r="HX85" s="11" t="str">
        <f ca="1">IF(History!IB$2="","",#REF!*$C$85)</f>
        <v/>
      </c>
      <c r="HY85" s="11" t="str">
        <f ca="1">IF(History!IC$2="","",#REF!*$C$85)</f>
        <v/>
      </c>
      <c r="HZ85" s="11" t="str">
        <f ca="1">IF(History!ID$2="","",#REF!*$C$85)</f>
        <v/>
      </c>
      <c r="IA85" s="11" t="str">
        <f ca="1">IF(History!IE$2="","",#REF!*$C$85)</f>
        <v/>
      </c>
      <c r="IB85" s="11" t="str">
        <f ca="1">IF(History!IF$2="","",#REF!*$C$85)</f>
        <v/>
      </c>
      <c r="IC85" s="11" t="str">
        <f ca="1">IF(History!IG$2="","",#REF!*$C$85)</f>
        <v/>
      </c>
      <c r="ID85" s="11" t="str">
        <f ca="1">IF(History!IH$2="","",#REF!*$C$85)</f>
        <v/>
      </c>
      <c r="IE85" s="11" t="str">
        <f ca="1">IF(History!II$2="","",#REF!*$C$85)</f>
        <v/>
      </c>
      <c r="IF85" s="11" t="str">
        <f ca="1">IF(History!IJ$2="","",#REF!*$C$85)</f>
        <v/>
      </c>
      <c r="IG85" s="11" t="str">
        <f ca="1">IF(History!IK$2="","",#REF!*$C$85)</f>
        <v/>
      </c>
      <c r="IH85" s="11" t="str">
        <f ca="1">IF(History!IL$2="","",#REF!*$C$85)</f>
        <v/>
      </c>
      <c r="II85" s="11" t="str">
        <f ca="1">IF(History!IM$2="","",#REF!*$C$85)</f>
        <v/>
      </c>
      <c r="IJ85" s="11" t="str">
        <f ca="1">IF(History!IN$2="","",#REF!*$C$85)</f>
        <v/>
      </c>
      <c r="IK85" s="11" t="str">
        <f ca="1">IF(History!IO$2="","",#REF!*$C$85)</f>
        <v/>
      </c>
      <c r="IL85" s="11" t="str">
        <f ca="1">IF(History!IP$2="","",#REF!*$C$85)</f>
        <v/>
      </c>
      <c r="IM85" s="11" t="str">
        <f ca="1">IF(History!IQ$2="","",#REF!*$C$85)</f>
        <v/>
      </c>
      <c r="IN85" s="11" t="str">
        <f ca="1">IF(History!IR$2="","",#REF!*$C$85)</f>
        <v/>
      </c>
      <c r="IO85" s="11" t="str">
        <f ca="1">IF(History!IS$2="","",#REF!*$C$85)</f>
        <v/>
      </c>
      <c r="IP85" s="11" t="str">
        <f ca="1">IF(History!IT$2="","",#REF!*$C$85)</f>
        <v/>
      </c>
      <c r="IQ85" s="11" t="str">
        <f ca="1">IF(History!IU$2="","",#REF!*$C$85)</f>
        <v/>
      </c>
      <c r="IR85" s="11" t="str">
        <f ca="1">IF(History!IV$2="","",#REF!*$C$85)</f>
        <v/>
      </c>
      <c r="IS85" s="11" t="str">
        <f ca="1">IF(History!IW$2="","",#REF!*$C$85)</f>
        <v/>
      </c>
      <c r="IT85" s="11" t="str">
        <f ca="1">IF(History!IX$2="","",#REF!*$C$85)</f>
        <v/>
      </c>
      <c r="IU85" s="11" t="str">
        <f ca="1">IF(History!IY$2="","",#REF!*$C$85)</f>
        <v/>
      </c>
      <c r="IV85" s="11" t="str">
        <f ca="1">IF(History!IZ$2="","",#REF!*$C$85)</f>
        <v/>
      </c>
      <c r="IW85" s="11" t="str">
        <f ca="1">IF(History!JA$2="","",#REF!*$C$85)</f>
        <v/>
      </c>
      <c r="IX85" s="11" t="str">
        <f ca="1">IF(History!JB$2="","",#REF!*$C$85)</f>
        <v/>
      </c>
      <c r="IY85" s="11" t="str">
        <f ca="1">IF(History!JC$2="","",#REF!*$C$85)</f>
        <v/>
      </c>
      <c r="IZ85" s="11" t="str">
        <f ca="1">IF(History!JD$2="","",#REF!*$C$85)</f>
        <v/>
      </c>
      <c r="JA85" s="11" t="str">
        <f ca="1">IF(History!JE$2="","",#REF!*$C$85)</f>
        <v/>
      </c>
      <c r="JB85" s="11" t="str">
        <f ca="1">IF(History!JF$2="","",#REF!*$C$85)</f>
        <v/>
      </c>
      <c r="JC85" s="11" t="str">
        <f ca="1">IF(History!JG$2="","",#REF!*$C$85)</f>
        <v/>
      </c>
      <c r="JD85" s="11" t="str">
        <f ca="1">IF(History!JH$2="","",#REF!*$C$85)</f>
        <v/>
      </c>
      <c r="JE85" s="11" t="str">
        <f ca="1">IF(History!JI$2="","",#REF!*$C$85)</f>
        <v/>
      </c>
      <c r="JF85" s="11" t="str">
        <f ca="1">IF(History!JJ$2="","",#REF!*$C$85)</f>
        <v/>
      </c>
      <c r="JG85" s="11" t="str">
        <f ca="1">IF(History!JK$2="","",#REF!*$C$85)</f>
        <v/>
      </c>
      <c r="JH85" s="11" t="str">
        <f ca="1">IF(History!JL$2="","",#REF!*$C$85)</f>
        <v/>
      </c>
      <c r="JI85" s="11" t="str">
        <f ca="1">IF(History!JM$2="","",#REF!*$C$85)</f>
        <v/>
      </c>
      <c r="JJ85" s="11" t="str">
        <f ca="1">IF(History!JN$2="","",#REF!*$C$85)</f>
        <v/>
      </c>
      <c r="JK85" s="11" t="str">
        <f ca="1">IF(History!JO$2="","",#REF!*$C$85)</f>
        <v/>
      </c>
      <c r="JL85" s="11" t="str">
        <f ca="1">IF(History!JP$2="","",#REF!*$C$85)</f>
        <v/>
      </c>
      <c r="JM85" s="11" t="str">
        <f ca="1">IF(History!JQ$2="","",#REF!*$C$85)</f>
        <v/>
      </c>
      <c r="JN85" s="11" t="str">
        <f ca="1">IF(History!JR$2="","",#REF!*$C$85)</f>
        <v/>
      </c>
      <c r="JO85" s="11" t="str">
        <f ca="1">IF(History!JS$2="","",#REF!*$C$85)</f>
        <v/>
      </c>
      <c r="JP85" s="11" t="str">
        <f ca="1">IF(History!JT$2="","",#REF!*$C$85)</f>
        <v/>
      </c>
      <c r="JQ85" s="11" t="str">
        <f ca="1">IF(History!JU$2="","",#REF!*$C$85)</f>
        <v/>
      </c>
      <c r="JR85" s="11" t="str">
        <f ca="1">IF(History!JV$2="","",#REF!*$C$85)</f>
        <v/>
      </c>
      <c r="JS85" s="11" t="str">
        <f ca="1">IF(History!JW$2="","",#REF!*$C$85)</f>
        <v/>
      </c>
      <c r="JT85" s="11" t="str">
        <f ca="1">IF(History!JX$2="","",#REF!*$C$85)</f>
        <v/>
      </c>
      <c r="JU85" s="11" t="str">
        <f ca="1">IF(History!JY$2="","",#REF!*$C$85)</f>
        <v/>
      </c>
      <c r="JV85" s="11" t="str">
        <f ca="1">IF(History!JZ$2="","",#REF!*$C$85)</f>
        <v/>
      </c>
      <c r="JW85" s="11" t="str">
        <f ca="1">IF(History!KA$2="","",#REF!*$C$85)</f>
        <v/>
      </c>
      <c r="JX85" s="11" t="str">
        <f ca="1">IF(History!KB$2="","",#REF!*$C$85)</f>
        <v/>
      </c>
      <c r="JY85" s="11" t="str">
        <f ca="1">IF(History!KC$2="","",#REF!*$C$85)</f>
        <v/>
      </c>
      <c r="JZ85" s="11" t="str">
        <f ca="1">IF(History!KD$2="","",#REF!*$C$85)</f>
        <v/>
      </c>
      <c r="KA85" s="11" t="str">
        <f ca="1">IF(History!KE$2="","",#REF!*$C$85)</f>
        <v/>
      </c>
      <c r="KB85" s="11" t="str">
        <f ca="1">IF(History!KF$2="","",#REF!*$C$85)</f>
        <v/>
      </c>
    </row>
    <row r="86" spans="1:288" ht="13">
      <c r="A86" s="18" t="s">
        <v>140</v>
      </c>
      <c r="B86" s="6" t="s">
        <v>164</v>
      </c>
      <c r="C86" s="26">
        <v>72</v>
      </c>
      <c r="D86" s="11" t="e">
        <f ca="1">IF(History!H$2="","",#REF!*$C$86)</f>
        <v>#REF!</v>
      </c>
      <c r="E86" s="11" t="e">
        <f ca="1">IF(History!I$2="","",#REF!*$C$86)</f>
        <v>#REF!</v>
      </c>
      <c r="F86" s="11" t="e">
        <f ca="1">IF(History!J$2="","",#REF!*$C$86)</f>
        <v>#REF!</v>
      </c>
      <c r="G86" s="11" t="e">
        <f ca="1">IF(History!K$2="","",#REF!*$C$86)</f>
        <v>#REF!</v>
      </c>
      <c r="H86" s="11" t="e">
        <f ca="1">IF(History!L$2="","",#REF!*$C$86)</f>
        <v>#REF!</v>
      </c>
      <c r="I86" s="11" t="e">
        <f ca="1">IF(History!M$2="","",#REF!*$C$86)</f>
        <v>#REF!</v>
      </c>
      <c r="J86" s="11" t="e">
        <f ca="1">IF(History!N$2="","",#REF!*$C$86)</f>
        <v>#REF!</v>
      </c>
      <c r="K86" s="11" t="e">
        <f ca="1">IF(History!O$2="","",#REF!*$C$86)</f>
        <v>#REF!</v>
      </c>
      <c r="L86" s="11" t="e">
        <f ca="1">IF(History!P$2="","",#REF!*$C$86)</f>
        <v>#REF!</v>
      </c>
      <c r="M86" s="11" t="e">
        <f ca="1">IF(History!Q$2="","",#REF!*$C$86)</f>
        <v>#REF!</v>
      </c>
      <c r="N86" s="11" t="e">
        <f ca="1">IF(History!R$2="","",#REF!*$C$86)</f>
        <v>#REF!</v>
      </c>
      <c r="O86" s="11" t="e">
        <f ca="1">IF(History!S$2="","",#REF!*$C$86)</f>
        <v>#REF!</v>
      </c>
      <c r="P86" s="11" t="e">
        <f ca="1">IF(History!T$2="","",#REF!*$C$86)</f>
        <v>#REF!</v>
      </c>
      <c r="Q86" s="11" t="e">
        <f ca="1">IF(History!U$2="","",#REF!*$C$86)</f>
        <v>#REF!</v>
      </c>
      <c r="R86" s="11" t="e">
        <f ca="1">IF(History!V$2="","",#REF!*$C$86)</f>
        <v>#REF!</v>
      </c>
      <c r="S86" s="11" t="e">
        <f ca="1">IF(History!W$2="","",#REF!*$C$86)</f>
        <v>#REF!</v>
      </c>
      <c r="T86" s="11" t="e">
        <f ca="1">IF(History!X$2="","",#REF!*$C$86)</f>
        <v>#REF!</v>
      </c>
      <c r="U86" s="11" t="e">
        <f ca="1">IF(History!Y$2="","",#REF!*$C$86)</f>
        <v>#REF!</v>
      </c>
      <c r="V86" s="11" t="e">
        <f ca="1">IF(History!Z$2="","",#REF!*$C$86)</f>
        <v>#REF!</v>
      </c>
      <c r="W86" s="11" t="e">
        <f ca="1">IF(History!AA$2="","",#REF!*$C$86)</f>
        <v>#REF!</v>
      </c>
      <c r="X86" s="11" t="e">
        <f ca="1">IF(History!AB$2="","",#REF!*$C$86)</f>
        <v>#REF!</v>
      </c>
      <c r="Y86" s="11" t="e">
        <f ca="1">IF(History!AC$2="","",#REF!*$C$86)</f>
        <v>#REF!</v>
      </c>
      <c r="Z86" s="11" t="e">
        <f ca="1">IF(History!AD$2="","",#REF!*$C$86)</f>
        <v>#REF!</v>
      </c>
      <c r="AA86" s="11" t="e">
        <f ca="1">IF(History!AE$2="","",#REF!*$C$86)</f>
        <v>#REF!</v>
      </c>
      <c r="AB86" s="11" t="e">
        <f ca="1">IF(History!AF$2="","",#REF!*$C$86)</f>
        <v>#REF!</v>
      </c>
      <c r="AC86" s="11" t="e">
        <f ca="1">IF(History!AG$2="","",#REF!*$C$86)</f>
        <v>#REF!</v>
      </c>
      <c r="AD86" s="11" t="e">
        <f ca="1">IF(History!AH$2="","",#REF!*$C$86)</f>
        <v>#REF!</v>
      </c>
      <c r="AE86" s="11" t="e">
        <f ca="1">IF(History!AI$2="","",#REF!*$C$86)</f>
        <v>#REF!</v>
      </c>
      <c r="AF86" s="11" t="e">
        <f ca="1">IF(History!AJ$2="","",#REF!*$C$86)</f>
        <v>#REF!</v>
      </c>
      <c r="AG86" s="11" t="e">
        <f ca="1">IF(History!AK$2="","",#REF!*$C$86)</f>
        <v>#REF!</v>
      </c>
      <c r="AH86" s="11" t="e">
        <f ca="1">IF(History!AL$2="","",#REF!*$C$86)</f>
        <v>#REF!</v>
      </c>
      <c r="AI86" s="11" t="e">
        <f ca="1">IF(History!AM$2="","",#REF!*$C$86)</f>
        <v>#REF!</v>
      </c>
      <c r="AJ86" s="11" t="e">
        <f ca="1">IF(History!AN$2="","",#REF!*$C$86)</f>
        <v>#REF!</v>
      </c>
      <c r="AK86" s="11" t="e">
        <f ca="1">IF(History!AO$2="","",#REF!*$C$86)</f>
        <v>#REF!</v>
      </c>
      <c r="AL86" s="11" t="e">
        <f ca="1">IF(History!AP$2="","",#REF!*$C$86)</f>
        <v>#REF!</v>
      </c>
      <c r="AM86" s="11" t="e">
        <f ca="1">IF(History!AQ$2="","",#REF!*$C$86)</f>
        <v>#REF!</v>
      </c>
      <c r="AN86" s="11" t="e">
        <f ca="1">IF(History!AR$2="","",#REF!*$C$86)</f>
        <v>#REF!</v>
      </c>
      <c r="AO86" s="11" t="e">
        <f ca="1">IF(History!AS$2="","",#REF!*$C$86)</f>
        <v>#REF!</v>
      </c>
      <c r="AP86" s="11" t="e">
        <f ca="1">IF(History!AT$2="","",#REF!*$C$86)</f>
        <v>#REF!</v>
      </c>
      <c r="AQ86" s="11" t="e">
        <f ca="1">IF(History!AU$2="","",#REF!*$C$86)</f>
        <v>#REF!</v>
      </c>
      <c r="AR86" s="11" t="e">
        <f ca="1">IF(History!AV$2="","",#REF!*$C$86)</f>
        <v>#REF!</v>
      </c>
      <c r="AS86" s="11" t="e">
        <f ca="1">IF(History!AW$2="","",#REF!*$C$86)</f>
        <v>#REF!</v>
      </c>
      <c r="AT86" s="11" t="e">
        <f ca="1">IF(History!AX$2="","",#REF!*$C$86)</f>
        <v>#REF!</v>
      </c>
      <c r="AU86" s="11" t="e">
        <f ca="1">IF(History!AY$2="","",#REF!*$C$86)</f>
        <v>#REF!</v>
      </c>
      <c r="AV86" s="11" t="e">
        <f ca="1">IF(History!AZ$2="","",#REF!*$C$86)</f>
        <v>#REF!</v>
      </c>
      <c r="AW86" s="11" t="e">
        <f ca="1">IF(History!BA$2="","",#REF!*$C$86)</f>
        <v>#REF!</v>
      </c>
      <c r="AX86" s="11" t="e">
        <f ca="1">IF(History!BB$2="","",#REF!*$C$86)</f>
        <v>#REF!</v>
      </c>
      <c r="AY86" s="11" t="e">
        <f ca="1">IF(History!BC$2="","",#REF!*$C$86)</f>
        <v>#REF!</v>
      </c>
      <c r="AZ86" s="11" t="e">
        <f ca="1">IF(History!BD$2="","",#REF!*$C$86)</f>
        <v>#REF!</v>
      </c>
      <c r="BA86" s="11" t="e">
        <f ca="1">IF(History!BE$2="","",#REF!*$C$86)</f>
        <v>#REF!</v>
      </c>
      <c r="BB86" s="11" t="e">
        <f ca="1">IF(History!BF$2="","",#REF!*$C$86)</f>
        <v>#REF!</v>
      </c>
      <c r="BC86" s="11" t="e">
        <f ca="1">IF(History!BG$2="","",#REF!*$C$86)</f>
        <v>#REF!</v>
      </c>
      <c r="BD86" s="11" t="e">
        <f ca="1">IF(History!BH$2="","",#REF!*$C$86)</f>
        <v>#REF!</v>
      </c>
      <c r="BE86" s="11" t="e">
        <f ca="1">IF(History!BI$2="","",#REF!*$C$86)</f>
        <v>#REF!</v>
      </c>
      <c r="BF86" s="11" t="e">
        <f ca="1">IF(History!BJ$2="","",#REF!*$C$86)</f>
        <v>#REF!</v>
      </c>
      <c r="BG86" s="11" t="e">
        <f ca="1">IF(History!BK$2="","",#REF!*$C$86)</f>
        <v>#REF!</v>
      </c>
      <c r="BH86" s="11" t="e">
        <f ca="1">IF(History!BL$2="","",#REF!*$C$86)</f>
        <v>#REF!</v>
      </c>
      <c r="BI86" s="11" t="e">
        <f ca="1">IF(History!BM$2="","",#REF!*$C$86)</f>
        <v>#REF!</v>
      </c>
      <c r="BJ86" s="11" t="e">
        <f ca="1">IF(History!BN$2="","",#REF!*$C$86)</f>
        <v>#REF!</v>
      </c>
      <c r="BK86" s="11" t="e">
        <f ca="1">IF(History!BO$2="","",#REF!*$C$86)</f>
        <v>#REF!</v>
      </c>
      <c r="BL86" s="11" t="e">
        <f ca="1">IF(History!BP$2="","",#REF!*$C$86)</f>
        <v>#REF!</v>
      </c>
      <c r="BM86" s="11" t="e">
        <f ca="1">IF(History!BQ$2="","",#REF!*$C$86)</f>
        <v>#REF!</v>
      </c>
      <c r="BN86" s="11" t="e">
        <f ca="1">IF(History!BR$2="","",#REF!*$C$86)</f>
        <v>#REF!</v>
      </c>
      <c r="BO86" s="11" t="e">
        <f ca="1">IF(History!BS$2="","",#REF!*$C$86)</f>
        <v>#REF!</v>
      </c>
      <c r="BP86" s="11" t="e">
        <f ca="1">IF(History!BT$2="","",#REF!*$C$86)</f>
        <v>#REF!</v>
      </c>
      <c r="BQ86" s="11" t="e">
        <f ca="1">IF(History!BU$2="","",#REF!*$C$86)</f>
        <v>#REF!</v>
      </c>
      <c r="BR86" s="11" t="e">
        <f ca="1">IF(History!BV$2="","",#REF!*$C$86)</f>
        <v>#REF!</v>
      </c>
      <c r="BS86" s="11" t="e">
        <f ca="1">IF(History!BW$2="","",#REF!*$C$86)</f>
        <v>#REF!</v>
      </c>
      <c r="BT86" s="11" t="e">
        <f ca="1">IF(History!BX$2="","",#REF!*$C$86)</f>
        <v>#REF!</v>
      </c>
      <c r="BU86" s="11" t="e">
        <f ca="1">IF(History!BY$2="","",#REF!*$C$86)</f>
        <v>#REF!</v>
      </c>
      <c r="BV86" s="11" t="e">
        <f ca="1">IF(History!BZ$2="","",#REF!*$C$86)</f>
        <v>#REF!</v>
      </c>
      <c r="BW86" s="11" t="e">
        <f ca="1">IF(History!CA$2="","",#REF!*$C$86)</f>
        <v>#REF!</v>
      </c>
      <c r="BX86" s="11" t="e">
        <f ca="1">IF(History!CB$2="","",#REF!*$C$86)</f>
        <v>#REF!</v>
      </c>
      <c r="BY86" s="11" t="e">
        <f ca="1">IF(History!CC$2="","",#REF!*$C$86)</f>
        <v>#REF!</v>
      </c>
      <c r="BZ86" s="11" t="e">
        <f ca="1">IF(History!CD$2="","",#REF!*$C$86)</f>
        <v>#REF!</v>
      </c>
      <c r="CA86" s="11" t="e">
        <f ca="1">IF(History!CE$2="","",#REF!*$C$86)</f>
        <v>#REF!</v>
      </c>
      <c r="CB86" s="11" t="e">
        <f ca="1">IF(History!CF$2="","",#REF!*$C$86)</f>
        <v>#REF!</v>
      </c>
      <c r="CC86" s="11" t="e">
        <f ca="1">IF(History!CG$2="","",#REF!*$C$86)</f>
        <v>#REF!</v>
      </c>
      <c r="CD86" s="11" t="e">
        <f ca="1">IF(History!CH$2="","",#REF!*$C$86)</f>
        <v>#REF!</v>
      </c>
      <c r="CE86" s="11" t="e">
        <f ca="1">IF(History!CI$2="","",#REF!*$C$86)</f>
        <v>#REF!</v>
      </c>
      <c r="CF86" s="11" t="str">
        <f ca="1">IF(History!CJ$2="","",#REF!*$C$86)</f>
        <v/>
      </c>
      <c r="CG86" s="11" t="str">
        <f ca="1">IF(History!CK$2="","",#REF!*$C$86)</f>
        <v/>
      </c>
      <c r="CH86" s="11" t="str">
        <f ca="1">IF(History!CL$2="","",#REF!*$C$86)</f>
        <v/>
      </c>
      <c r="CI86" s="11" t="str">
        <f ca="1">IF(History!CM$2="","",#REF!*$C$86)</f>
        <v/>
      </c>
      <c r="CJ86" s="11" t="str">
        <f ca="1">IF(History!CN$2="","",#REF!*$C$86)</f>
        <v/>
      </c>
      <c r="CK86" s="11" t="str">
        <f ca="1">IF(History!CO$2="","",#REF!*$C$86)</f>
        <v/>
      </c>
      <c r="CL86" s="11" t="str">
        <f ca="1">IF(History!CP$2="","",#REF!*$C$86)</f>
        <v/>
      </c>
      <c r="CM86" s="11" t="str">
        <f ca="1">IF(History!CQ$2="","",#REF!*$C$86)</f>
        <v/>
      </c>
      <c r="CN86" s="11" t="str">
        <f ca="1">IF(History!CR$2="","",#REF!*$C$86)</f>
        <v/>
      </c>
      <c r="CO86" s="11" t="str">
        <f ca="1">IF(History!CS$2="","",#REF!*$C$86)</f>
        <v/>
      </c>
      <c r="CP86" s="11" t="str">
        <f ca="1">IF(History!CT$2="","",#REF!*$C$86)</f>
        <v/>
      </c>
      <c r="CQ86" s="11" t="str">
        <f ca="1">IF(History!CU$2="","",#REF!*$C$86)</f>
        <v/>
      </c>
      <c r="CR86" s="11" t="str">
        <f ca="1">IF(History!CV$2="","",#REF!*$C$86)</f>
        <v/>
      </c>
      <c r="CS86" s="11" t="str">
        <f ca="1">IF(History!CW$2="","",#REF!*$C$86)</f>
        <v/>
      </c>
      <c r="CT86" s="11" t="str">
        <f ca="1">IF(History!CX$2="","",#REF!*$C$86)</f>
        <v/>
      </c>
      <c r="CU86" s="11" t="str">
        <f ca="1">IF(History!CY$2="","",#REF!*$C$86)</f>
        <v/>
      </c>
      <c r="CV86" s="11" t="str">
        <f ca="1">IF(History!CZ$2="","",#REF!*$C$86)</f>
        <v/>
      </c>
      <c r="CW86" s="11" t="str">
        <f ca="1">IF(History!DA$2="","",#REF!*$C$86)</f>
        <v/>
      </c>
      <c r="CX86" s="11" t="str">
        <f ca="1">IF(History!DB$2="","",#REF!*$C$86)</f>
        <v/>
      </c>
      <c r="CY86" s="11" t="str">
        <f ca="1">IF(History!DC$2="","",#REF!*$C$86)</f>
        <v/>
      </c>
      <c r="CZ86" s="11" t="str">
        <f ca="1">IF(History!DD$2="","",#REF!*$C$86)</f>
        <v/>
      </c>
      <c r="DA86" s="11" t="str">
        <f ca="1">IF(History!DE$2="","",#REF!*$C$86)</f>
        <v/>
      </c>
      <c r="DB86" s="11" t="str">
        <f ca="1">IF(History!DF$2="","",#REF!*$C$86)</f>
        <v/>
      </c>
      <c r="DC86" s="11" t="str">
        <f ca="1">IF(History!DG$2="","",#REF!*$C$86)</f>
        <v/>
      </c>
      <c r="DD86" s="11" t="str">
        <f ca="1">IF(History!DH$2="","",#REF!*$C$86)</f>
        <v/>
      </c>
      <c r="DE86" s="11" t="str">
        <f ca="1">IF(History!DI$2="","",#REF!*$C$86)</f>
        <v/>
      </c>
      <c r="DF86" s="11" t="str">
        <f ca="1">IF(History!DJ$2="","",#REF!*$C$86)</f>
        <v/>
      </c>
      <c r="DG86" s="11" t="str">
        <f ca="1">IF(History!DK$2="","",#REF!*$C$86)</f>
        <v/>
      </c>
      <c r="DH86" s="11" t="str">
        <f ca="1">IF(History!DL$2="","",#REF!*$C$86)</f>
        <v/>
      </c>
      <c r="DI86" s="11" t="str">
        <f ca="1">IF(History!DM$2="","",#REF!*$C$86)</f>
        <v/>
      </c>
      <c r="DJ86" s="11" t="str">
        <f ca="1">IF(History!DN$2="","",#REF!*$C$86)</f>
        <v/>
      </c>
      <c r="DK86" s="11" t="str">
        <f ca="1">IF(History!DO$2="","",#REF!*$C$86)</f>
        <v/>
      </c>
      <c r="DL86" s="11" t="str">
        <f ca="1">IF(History!DP$2="","",#REF!*$C$86)</f>
        <v/>
      </c>
      <c r="DM86" s="11" t="str">
        <f ca="1">IF(History!DQ$2="","",#REF!*$C$86)</f>
        <v/>
      </c>
      <c r="DN86" s="11" t="str">
        <f ca="1">IF(History!DR$2="","",#REF!*$C$86)</f>
        <v/>
      </c>
      <c r="DO86" s="11" t="str">
        <f ca="1">IF(History!DS$2="","",#REF!*$C$86)</f>
        <v/>
      </c>
      <c r="DP86" s="11" t="str">
        <f ca="1">IF(History!DT$2="","",#REF!*$C$86)</f>
        <v/>
      </c>
      <c r="DQ86" s="11" t="str">
        <f ca="1">IF(History!DU$2="","",#REF!*$C$86)</f>
        <v/>
      </c>
      <c r="DR86" s="11" t="str">
        <f ca="1">IF(History!DV$2="","",#REF!*$C$86)</f>
        <v/>
      </c>
      <c r="DS86" s="11" t="str">
        <f ca="1">IF(History!DW$2="","",#REF!*$C$86)</f>
        <v/>
      </c>
      <c r="DT86" s="11" t="str">
        <f ca="1">IF(History!DX$2="","",#REF!*$C$86)</f>
        <v/>
      </c>
      <c r="DU86" s="11" t="str">
        <f ca="1">IF(History!DY$2="","",#REF!*$C$86)</f>
        <v/>
      </c>
      <c r="DV86" s="11" t="str">
        <f ca="1">IF(History!DZ$2="","",#REF!*$C$86)</f>
        <v/>
      </c>
      <c r="DW86" s="11" t="str">
        <f ca="1">IF(History!EA$2="","",#REF!*$C$86)</f>
        <v/>
      </c>
      <c r="DX86" s="11" t="str">
        <f ca="1">IF(History!EB$2="","",#REF!*$C$86)</f>
        <v/>
      </c>
      <c r="DY86" s="11" t="str">
        <f ca="1">IF(History!EC$2="","",#REF!*$C$86)</f>
        <v/>
      </c>
      <c r="DZ86" s="11" t="str">
        <f ca="1">IF(History!ED$2="","",#REF!*$C$86)</f>
        <v/>
      </c>
      <c r="EA86" s="11" t="str">
        <f ca="1">IF(History!EE$2="","",#REF!*$C$86)</f>
        <v/>
      </c>
      <c r="EB86" s="11" t="str">
        <f ca="1">IF(History!EF$2="","",#REF!*$C$86)</f>
        <v/>
      </c>
      <c r="EC86" s="11" t="str">
        <f ca="1">IF(History!EG$2="","",#REF!*$C$86)</f>
        <v/>
      </c>
      <c r="ED86" s="11" t="str">
        <f ca="1">IF(History!EH$2="","",#REF!*$C$86)</f>
        <v/>
      </c>
      <c r="EE86" s="11" t="str">
        <f ca="1">IF(History!EI$2="","",#REF!*$C$86)</f>
        <v/>
      </c>
      <c r="EF86" s="11" t="str">
        <f ca="1">IF(History!EJ$2="","",#REF!*$C$86)</f>
        <v/>
      </c>
      <c r="EG86" s="11" t="str">
        <f ca="1">IF(History!EK$2="","",#REF!*$C$86)</f>
        <v/>
      </c>
      <c r="EH86" s="11" t="str">
        <f ca="1">IF(History!EL$2="","",#REF!*$C$86)</f>
        <v/>
      </c>
      <c r="EI86" s="11" t="str">
        <f ca="1">IF(History!EM$2="","",#REF!*$C$86)</f>
        <v/>
      </c>
      <c r="EJ86" s="11" t="str">
        <f ca="1">IF(History!EN$2="","",#REF!*$C$86)</f>
        <v/>
      </c>
      <c r="EK86" s="11" t="str">
        <f ca="1">IF(History!EO$2="","",#REF!*$C$86)</f>
        <v/>
      </c>
      <c r="EL86" s="11" t="str">
        <f ca="1">IF(History!EP$2="","",#REF!*$C$86)</f>
        <v/>
      </c>
      <c r="EM86" s="11" t="str">
        <f ca="1">IF(History!EQ$2="","",#REF!*$C$86)</f>
        <v/>
      </c>
      <c r="EN86" s="11" t="str">
        <f ca="1">IF(History!ER$2="","",#REF!*$C$86)</f>
        <v/>
      </c>
      <c r="EO86" s="11" t="str">
        <f ca="1">IF(History!ES$2="","",#REF!*$C$86)</f>
        <v/>
      </c>
      <c r="EP86" s="11" t="str">
        <f ca="1">IF(History!ET$2="","",#REF!*$C$86)</f>
        <v/>
      </c>
      <c r="EQ86" s="11" t="str">
        <f ca="1">IF(History!EU$2="","",#REF!*$C$86)</f>
        <v/>
      </c>
      <c r="ER86" s="11" t="str">
        <f ca="1">IF(History!EV$2="","",#REF!*$C$86)</f>
        <v/>
      </c>
      <c r="ES86" s="11" t="str">
        <f ca="1">IF(History!EW$2="","",#REF!*$C$86)</f>
        <v/>
      </c>
      <c r="ET86" s="11" t="str">
        <f ca="1">IF(History!EX$2="","",#REF!*$C$86)</f>
        <v/>
      </c>
      <c r="EU86" s="11" t="str">
        <f ca="1">IF(History!EY$2="","",#REF!*$C$86)</f>
        <v/>
      </c>
      <c r="EV86" s="11" t="str">
        <f ca="1">IF(History!EZ$2="","",#REF!*$C$86)</f>
        <v/>
      </c>
      <c r="EW86" s="11" t="str">
        <f ca="1">IF(History!FA$2="","",#REF!*$C$86)</f>
        <v/>
      </c>
      <c r="EX86" s="11" t="str">
        <f ca="1">IF(History!FB$2="","",#REF!*$C$86)</f>
        <v/>
      </c>
      <c r="EY86" s="11" t="str">
        <f ca="1">IF(History!FC$2="","",#REF!*$C$86)</f>
        <v/>
      </c>
      <c r="EZ86" s="11" t="str">
        <f ca="1">IF(History!FD$2="","",#REF!*$C$86)</f>
        <v/>
      </c>
      <c r="FA86" s="11" t="str">
        <f ca="1">IF(History!FE$2="","",#REF!*$C$86)</f>
        <v/>
      </c>
      <c r="FB86" s="11" t="str">
        <f ca="1">IF(History!FF$2="","",#REF!*$C$86)</f>
        <v/>
      </c>
      <c r="FC86" s="11" t="str">
        <f ca="1">IF(History!FG$2="","",#REF!*$C$86)</f>
        <v/>
      </c>
      <c r="FD86" s="11" t="str">
        <f ca="1">IF(History!FH$2="","",#REF!*$C$86)</f>
        <v/>
      </c>
      <c r="FE86" s="11" t="str">
        <f ca="1">IF(History!FI$2="","",#REF!*$C$86)</f>
        <v/>
      </c>
      <c r="FF86" s="11" t="str">
        <f ca="1">IF(History!FJ$2="","",#REF!*$C$86)</f>
        <v/>
      </c>
      <c r="FG86" s="11" t="str">
        <f ca="1">IF(History!FK$2="","",#REF!*$C$86)</f>
        <v/>
      </c>
      <c r="FH86" s="11" t="str">
        <f ca="1">IF(History!FL$2="","",#REF!*$C$86)</f>
        <v/>
      </c>
      <c r="FI86" s="11" t="str">
        <f ca="1">IF(History!FM$2="","",#REF!*$C$86)</f>
        <v/>
      </c>
      <c r="FJ86" s="11" t="str">
        <f ca="1">IF(History!FN$2="","",#REF!*$C$86)</f>
        <v/>
      </c>
      <c r="FK86" s="11" t="str">
        <f ca="1">IF(History!FO$2="","",#REF!*$C$86)</f>
        <v/>
      </c>
      <c r="FL86" s="11" t="str">
        <f ca="1">IF(History!FP$2="","",#REF!*$C$86)</f>
        <v/>
      </c>
      <c r="FM86" s="11" t="str">
        <f ca="1">IF(History!FQ$2="","",#REF!*$C$86)</f>
        <v/>
      </c>
      <c r="FN86" s="11" t="str">
        <f ca="1">IF(History!FR$2="","",#REF!*$C$86)</f>
        <v/>
      </c>
      <c r="FO86" s="11" t="str">
        <f ca="1">IF(History!FS$2="","",#REF!*$C$86)</f>
        <v/>
      </c>
      <c r="FP86" s="11" t="str">
        <f ca="1">IF(History!FT$2="","",#REF!*$C$86)</f>
        <v/>
      </c>
      <c r="FQ86" s="11" t="str">
        <f ca="1">IF(History!FU$2="","",#REF!*$C$86)</f>
        <v/>
      </c>
      <c r="FR86" s="11" t="str">
        <f ca="1">IF(History!FV$2="","",#REF!*$C$86)</f>
        <v/>
      </c>
      <c r="FS86" s="11" t="str">
        <f ca="1">IF(History!FW$2="","",#REF!*$C$86)</f>
        <v/>
      </c>
      <c r="FT86" s="11" t="str">
        <f ca="1">IF(History!FX$2="","",#REF!*$C$86)</f>
        <v/>
      </c>
      <c r="FU86" s="11" t="str">
        <f ca="1">IF(History!FY$2="","",#REF!*$C$86)</f>
        <v/>
      </c>
      <c r="FV86" s="11" t="str">
        <f ca="1">IF(History!FZ$2="","",#REF!*$C$86)</f>
        <v/>
      </c>
      <c r="FW86" s="11" t="str">
        <f ca="1">IF(History!GA$2="","",#REF!*$C$86)</f>
        <v/>
      </c>
      <c r="FX86" s="11" t="str">
        <f ca="1">IF(History!GB$2="","",#REF!*$C$86)</f>
        <v/>
      </c>
      <c r="FY86" s="11" t="str">
        <f ca="1">IF(History!GC$2="","",#REF!*$C$86)</f>
        <v/>
      </c>
      <c r="FZ86" s="11" t="str">
        <f ca="1">IF(History!GD$2="","",#REF!*$C$86)</f>
        <v/>
      </c>
      <c r="GA86" s="11" t="str">
        <f ca="1">IF(History!GE$2="","",#REF!*$C$86)</f>
        <v/>
      </c>
      <c r="GB86" s="11" t="str">
        <f ca="1">IF(History!GF$2="","",#REF!*$C$86)</f>
        <v/>
      </c>
      <c r="GC86" s="11" t="str">
        <f ca="1">IF(History!GG$2="","",#REF!*$C$86)</f>
        <v/>
      </c>
      <c r="GD86" s="11" t="str">
        <f ca="1">IF(History!GH$2="","",#REF!*$C$86)</f>
        <v/>
      </c>
      <c r="GE86" s="11" t="str">
        <f ca="1">IF(History!GI$2="","",#REF!*$C$86)</f>
        <v/>
      </c>
      <c r="GF86" s="11" t="str">
        <f ca="1">IF(History!GJ$2="","",#REF!*$C$86)</f>
        <v/>
      </c>
      <c r="GG86" s="11" t="str">
        <f ca="1">IF(History!GK$2="","",#REF!*$C$86)</f>
        <v/>
      </c>
      <c r="GH86" s="11" t="str">
        <f ca="1">IF(History!GL$2="","",#REF!*$C$86)</f>
        <v/>
      </c>
      <c r="GI86" s="11" t="str">
        <f ca="1">IF(History!GM$2="","",#REF!*$C$86)</f>
        <v/>
      </c>
      <c r="GJ86" s="11" t="str">
        <f ca="1">IF(History!GN$2="","",#REF!*$C$86)</f>
        <v/>
      </c>
      <c r="GK86" s="11" t="str">
        <f ca="1">IF(History!GO$2="","",#REF!*$C$86)</f>
        <v/>
      </c>
      <c r="GL86" s="11" t="str">
        <f ca="1">IF(History!GP$2="","",#REF!*$C$86)</f>
        <v/>
      </c>
      <c r="GM86" s="11" t="str">
        <f ca="1">IF(History!GQ$2="","",#REF!*$C$86)</f>
        <v/>
      </c>
      <c r="GN86" s="11" t="str">
        <f ca="1">IF(History!GR$2="","",#REF!*$C$86)</f>
        <v/>
      </c>
      <c r="GO86" s="11" t="str">
        <f ca="1">IF(History!GS$2="","",#REF!*$C$86)</f>
        <v/>
      </c>
      <c r="GP86" s="11" t="str">
        <f ca="1">IF(History!GT$2="","",#REF!*$C$86)</f>
        <v/>
      </c>
      <c r="GQ86" s="11" t="str">
        <f ca="1">IF(History!GU$2="","",#REF!*$C$86)</f>
        <v/>
      </c>
      <c r="GR86" s="11" t="str">
        <f ca="1">IF(History!GV$2="","",#REF!*$C$86)</f>
        <v/>
      </c>
      <c r="GS86" s="11" t="str">
        <f ca="1">IF(History!GW$2="","",#REF!*$C$86)</f>
        <v/>
      </c>
      <c r="GT86" s="11" t="str">
        <f ca="1">IF(History!GX$2="","",#REF!*$C$86)</f>
        <v/>
      </c>
      <c r="GU86" s="11" t="str">
        <f ca="1">IF(History!GY$2="","",#REF!*$C$86)</f>
        <v/>
      </c>
      <c r="GV86" s="11" t="str">
        <f ca="1">IF(History!GZ$2="","",#REF!*$C$86)</f>
        <v/>
      </c>
      <c r="GW86" s="11" t="str">
        <f ca="1">IF(History!HA$2="","",#REF!*$C$86)</f>
        <v/>
      </c>
      <c r="GX86" s="11" t="str">
        <f ca="1">IF(History!HB$2="","",#REF!*$C$86)</f>
        <v/>
      </c>
      <c r="GY86" s="11" t="str">
        <f ca="1">IF(History!HC$2="","",#REF!*$C$86)</f>
        <v/>
      </c>
      <c r="GZ86" s="11" t="str">
        <f ca="1">IF(History!HD$2="","",#REF!*$C$86)</f>
        <v/>
      </c>
      <c r="HA86" s="11" t="str">
        <f ca="1">IF(History!HE$2="","",#REF!*$C$86)</f>
        <v/>
      </c>
      <c r="HB86" s="11" t="str">
        <f ca="1">IF(History!HF$2="","",#REF!*$C$86)</f>
        <v/>
      </c>
      <c r="HC86" s="11" t="str">
        <f ca="1">IF(History!HG$2="","",#REF!*$C$86)</f>
        <v/>
      </c>
      <c r="HD86" s="11" t="str">
        <f ca="1">IF(History!HH$2="","",#REF!*$C$86)</f>
        <v/>
      </c>
      <c r="HE86" s="11" t="str">
        <f ca="1">IF(History!HI$2="","",#REF!*$C$86)</f>
        <v/>
      </c>
      <c r="HF86" s="11" t="str">
        <f ca="1">IF(History!HJ$2="","",#REF!*$C$86)</f>
        <v/>
      </c>
      <c r="HG86" s="11" t="str">
        <f ca="1">IF(History!HK$2="","",#REF!*$C$86)</f>
        <v/>
      </c>
      <c r="HH86" s="11" t="str">
        <f ca="1">IF(History!HL$2="","",#REF!*$C$86)</f>
        <v/>
      </c>
      <c r="HI86" s="11" t="str">
        <f ca="1">IF(History!HM$2="","",#REF!*$C$86)</f>
        <v/>
      </c>
      <c r="HJ86" s="11" t="str">
        <f ca="1">IF(History!HN$2="","",#REF!*$C$86)</f>
        <v/>
      </c>
      <c r="HK86" s="11" t="str">
        <f ca="1">IF(History!HO$2="","",#REF!*$C$86)</f>
        <v/>
      </c>
      <c r="HL86" s="11" t="str">
        <f ca="1">IF(History!HP$2="","",#REF!*$C$86)</f>
        <v/>
      </c>
      <c r="HM86" s="11" t="str">
        <f ca="1">IF(History!HQ$2="","",#REF!*$C$86)</f>
        <v/>
      </c>
      <c r="HN86" s="11" t="str">
        <f ca="1">IF(History!HR$2="","",#REF!*$C$86)</f>
        <v/>
      </c>
      <c r="HO86" s="11" t="str">
        <f ca="1">IF(History!HS$2="","",#REF!*$C$86)</f>
        <v/>
      </c>
      <c r="HP86" s="11" t="str">
        <f ca="1">IF(History!HT$2="","",#REF!*$C$86)</f>
        <v/>
      </c>
      <c r="HQ86" s="11" t="str">
        <f ca="1">IF(History!HU$2="","",#REF!*$C$86)</f>
        <v/>
      </c>
      <c r="HR86" s="11" t="str">
        <f ca="1">IF(History!HV$2="","",#REF!*$C$86)</f>
        <v/>
      </c>
      <c r="HS86" s="11" t="str">
        <f ca="1">IF(History!HW$2="","",#REF!*$C$86)</f>
        <v/>
      </c>
      <c r="HT86" s="11" t="str">
        <f ca="1">IF(History!HX$2="","",#REF!*$C$86)</f>
        <v/>
      </c>
      <c r="HU86" s="11" t="str">
        <f ca="1">IF(History!HY$2="","",#REF!*$C$86)</f>
        <v/>
      </c>
      <c r="HV86" s="11" t="str">
        <f ca="1">IF(History!HZ$2="","",#REF!*$C$86)</f>
        <v/>
      </c>
      <c r="HW86" s="11" t="str">
        <f ca="1">IF(History!IA$2="","",#REF!*$C$86)</f>
        <v/>
      </c>
      <c r="HX86" s="11" t="str">
        <f ca="1">IF(History!IB$2="","",#REF!*$C$86)</f>
        <v/>
      </c>
      <c r="HY86" s="11" t="str">
        <f ca="1">IF(History!IC$2="","",#REF!*$C$86)</f>
        <v/>
      </c>
      <c r="HZ86" s="11" t="str">
        <f ca="1">IF(History!ID$2="","",#REF!*$C$86)</f>
        <v/>
      </c>
      <c r="IA86" s="11" t="str">
        <f ca="1">IF(History!IE$2="","",#REF!*$C$86)</f>
        <v/>
      </c>
      <c r="IB86" s="11" t="str">
        <f ca="1">IF(History!IF$2="","",#REF!*$C$86)</f>
        <v/>
      </c>
      <c r="IC86" s="11" t="str">
        <f ca="1">IF(History!IG$2="","",#REF!*$C$86)</f>
        <v/>
      </c>
      <c r="ID86" s="11" t="str">
        <f ca="1">IF(History!IH$2="","",#REF!*$C$86)</f>
        <v/>
      </c>
      <c r="IE86" s="11" t="str">
        <f ca="1">IF(History!II$2="","",#REF!*$C$86)</f>
        <v/>
      </c>
      <c r="IF86" s="11" t="str">
        <f ca="1">IF(History!IJ$2="","",#REF!*$C$86)</f>
        <v/>
      </c>
      <c r="IG86" s="11" t="str">
        <f ca="1">IF(History!IK$2="","",#REF!*$C$86)</f>
        <v/>
      </c>
      <c r="IH86" s="11" t="str">
        <f ca="1">IF(History!IL$2="","",#REF!*$C$86)</f>
        <v/>
      </c>
      <c r="II86" s="11" t="str">
        <f ca="1">IF(History!IM$2="","",#REF!*$C$86)</f>
        <v/>
      </c>
      <c r="IJ86" s="11" t="str">
        <f ca="1">IF(History!IN$2="","",#REF!*$C$86)</f>
        <v/>
      </c>
      <c r="IK86" s="11" t="str">
        <f ca="1">IF(History!IO$2="","",#REF!*$C$86)</f>
        <v/>
      </c>
      <c r="IL86" s="11" t="str">
        <f ca="1">IF(History!IP$2="","",#REF!*$C$86)</f>
        <v/>
      </c>
      <c r="IM86" s="11" t="str">
        <f ca="1">IF(History!IQ$2="","",#REF!*$C$86)</f>
        <v/>
      </c>
      <c r="IN86" s="11" t="str">
        <f ca="1">IF(History!IR$2="","",#REF!*$C$86)</f>
        <v/>
      </c>
      <c r="IO86" s="11" t="str">
        <f ca="1">IF(History!IS$2="","",#REF!*$C$86)</f>
        <v/>
      </c>
      <c r="IP86" s="11" t="str">
        <f ca="1">IF(History!IT$2="","",#REF!*$C$86)</f>
        <v/>
      </c>
      <c r="IQ86" s="11" t="str">
        <f ca="1">IF(History!IU$2="","",#REF!*$C$86)</f>
        <v/>
      </c>
      <c r="IR86" s="11" t="str">
        <f ca="1">IF(History!IV$2="","",#REF!*$C$86)</f>
        <v/>
      </c>
      <c r="IS86" s="11" t="str">
        <f ca="1">IF(History!IW$2="","",#REF!*$C$86)</f>
        <v/>
      </c>
      <c r="IT86" s="11" t="str">
        <f ca="1">IF(History!IX$2="","",#REF!*$C$86)</f>
        <v/>
      </c>
      <c r="IU86" s="11" t="str">
        <f ca="1">IF(History!IY$2="","",#REF!*$C$86)</f>
        <v/>
      </c>
      <c r="IV86" s="11" t="str">
        <f ca="1">IF(History!IZ$2="","",#REF!*$C$86)</f>
        <v/>
      </c>
      <c r="IW86" s="11" t="str">
        <f ca="1">IF(History!JA$2="","",#REF!*$C$86)</f>
        <v/>
      </c>
      <c r="IX86" s="11" t="str">
        <f ca="1">IF(History!JB$2="","",#REF!*$C$86)</f>
        <v/>
      </c>
      <c r="IY86" s="11" t="str">
        <f ca="1">IF(History!JC$2="","",#REF!*$C$86)</f>
        <v/>
      </c>
      <c r="IZ86" s="11" t="str">
        <f ca="1">IF(History!JD$2="","",#REF!*$C$86)</f>
        <v/>
      </c>
      <c r="JA86" s="11" t="str">
        <f ca="1">IF(History!JE$2="","",#REF!*$C$86)</f>
        <v/>
      </c>
      <c r="JB86" s="11" t="str">
        <f ca="1">IF(History!JF$2="","",#REF!*$C$86)</f>
        <v/>
      </c>
      <c r="JC86" s="11" t="str">
        <f ca="1">IF(History!JG$2="","",#REF!*$C$86)</f>
        <v/>
      </c>
      <c r="JD86" s="11" t="str">
        <f ca="1">IF(History!JH$2="","",#REF!*$C$86)</f>
        <v/>
      </c>
      <c r="JE86" s="11" t="str">
        <f ca="1">IF(History!JI$2="","",#REF!*$C$86)</f>
        <v/>
      </c>
      <c r="JF86" s="11" t="str">
        <f ca="1">IF(History!JJ$2="","",#REF!*$C$86)</f>
        <v/>
      </c>
      <c r="JG86" s="11" t="str">
        <f ca="1">IF(History!JK$2="","",#REF!*$C$86)</f>
        <v/>
      </c>
      <c r="JH86" s="11" t="str">
        <f ca="1">IF(History!JL$2="","",#REF!*$C$86)</f>
        <v/>
      </c>
      <c r="JI86" s="11" t="str">
        <f ca="1">IF(History!JM$2="","",#REF!*$C$86)</f>
        <v/>
      </c>
      <c r="JJ86" s="11" t="str">
        <f ca="1">IF(History!JN$2="","",#REF!*$C$86)</f>
        <v/>
      </c>
      <c r="JK86" s="11" t="str">
        <f ca="1">IF(History!JO$2="","",#REF!*$C$86)</f>
        <v/>
      </c>
      <c r="JL86" s="11" t="str">
        <f ca="1">IF(History!JP$2="","",#REF!*$C$86)</f>
        <v/>
      </c>
      <c r="JM86" s="11" t="str">
        <f ca="1">IF(History!JQ$2="","",#REF!*$C$86)</f>
        <v/>
      </c>
      <c r="JN86" s="11" t="str">
        <f ca="1">IF(History!JR$2="","",#REF!*$C$86)</f>
        <v/>
      </c>
      <c r="JO86" s="11" t="str">
        <f ca="1">IF(History!JS$2="","",#REF!*$C$86)</f>
        <v/>
      </c>
      <c r="JP86" s="11" t="str">
        <f ca="1">IF(History!JT$2="","",#REF!*$C$86)</f>
        <v/>
      </c>
      <c r="JQ86" s="11" t="str">
        <f ca="1">IF(History!JU$2="","",#REF!*$C$86)</f>
        <v/>
      </c>
      <c r="JR86" s="11" t="str">
        <f ca="1">IF(History!JV$2="","",#REF!*$C$86)</f>
        <v/>
      </c>
      <c r="JS86" s="11" t="str">
        <f ca="1">IF(History!JW$2="","",#REF!*$C$86)</f>
        <v/>
      </c>
      <c r="JT86" s="11" t="str">
        <f ca="1">IF(History!JX$2="","",#REF!*$C$86)</f>
        <v/>
      </c>
      <c r="JU86" s="11" t="str">
        <f ca="1">IF(History!JY$2="","",#REF!*$C$86)</f>
        <v/>
      </c>
      <c r="JV86" s="11" t="str">
        <f ca="1">IF(History!JZ$2="","",#REF!*$C$86)</f>
        <v/>
      </c>
      <c r="JW86" s="11" t="str">
        <f ca="1">IF(History!KA$2="","",#REF!*$C$86)</f>
        <v/>
      </c>
      <c r="JX86" s="11" t="str">
        <f ca="1">IF(History!KB$2="","",#REF!*$C$86)</f>
        <v/>
      </c>
      <c r="JY86" s="11" t="str">
        <f ca="1">IF(History!KC$2="","",#REF!*$C$86)</f>
        <v/>
      </c>
      <c r="JZ86" s="11" t="str">
        <f ca="1">IF(History!KD$2="","",#REF!*$C$86)</f>
        <v/>
      </c>
      <c r="KA86" s="11" t="str">
        <f ca="1">IF(History!KE$2="","",#REF!*$C$86)</f>
        <v/>
      </c>
      <c r="KB86" s="11" t="str">
        <f ca="1">IF(History!KF$2="","",#REF!*$C$86)</f>
        <v/>
      </c>
    </row>
    <row r="87" spans="1:288" ht="13">
      <c r="A87" s="18" t="s">
        <v>140</v>
      </c>
      <c r="B87" s="6" t="s">
        <v>165</v>
      </c>
      <c r="C87" s="26">
        <v>120</v>
      </c>
      <c r="D87" s="11" t="e">
        <f ca="1">IF(History!H$2="","",#REF!*$C$87)</f>
        <v>#REF!</v>
      </c>
      <c r="E87" s="11" t="e">
        <f ca="1">IF(History!I$2="","",#REF!*$C$87)</f>
        <v>#REF!</v>
      </c>
      <c r="F87" s="11" t="e">
        <f ca="1">IF(History!J$2="","",#REF!*$C$87)</f>
        <v>#REF!</v>
      </c>
      <c r="G87" s="11" t="e">
        <f ca="1">IF(History!K$2="","",#REF!*$C$87)</f>
        <v>#REF!</v>
      </c>
      <c r="H87" s="11" t="e">
        <f ca="1">IF(History!L$2="","",#REF!*$C$87)</f>
        <v>#REF!</v>
      </c>
      <c r="I87" s="11" t="e">
        <f ca="1">IF(History!M$2="","",#REF!*$C$87)</f>
        <v>#REF!</v>
      </c>
      <c r="J87" s="11" t="e">
        <f ca="1">IF(History!N$2="","",#REF!*$C$87)</f>
        <v>#REF!</v>
      </c>
      <c r="K87" s="11" t="e">
        <f ca="1">IF(History!O$2="","",#REF!*$C$87)</f>
        <v>#REF!</v>
      </c>
      <c r="L87" s="11" t="e">
        <f ca="1">IF(History!P$2="","",#REF!*$C$87)</f>
        <v>#REF!</v>
      </c>
      <c r="M87" s="11" t="e">
        <f ca="1">IF(History!Q$2="","",#REF!*$C$87)</f>
        <v>#REF!</v>
      </c>
      <c r="N87" s="11" t="e">
        <f ca="1">IF(History!R$2="","",#REF!*$C$87)</f>
        <v>#REF!</v>
      </c>
      <c r="O87" s="11" t="e">
        <f ca="1">IF(History!S$2="","",#REF!*$C$87)</f>
        <v>#REF!</v>
      </c>
      <c r="P87" s="11" t="e">
        <f ca="1">IF(History!T$2="","",#REF!*$C$87)</f>
        <v>#REF!</v>
      </c>
      <c r="Q87" s="11" t="e">
        <f ca="1">IF(History!U$2="","",#REF!*$C$87)</f>
        <v>#REF!</v>
      </c>
      <c r="R87" s="11" t="e">
        <f ca="1">IF(History!V$2="","",#REF!*$C$87)</f>
        <v>#REF!</v>
      </c>
      <c r="S87" s="11" t="e">
        <f ca="1">IF(History!W$2="","",#REF!*$C$87)</f>
        <v>#REF!</v>
      </c>
      <c r="T87" s="11" t="e">
        <f ca="1">IF(History!X$2="","",#REF!*$C$87)</f>
        <v>#REF!</v>
      </c>
      <c r="U87" s="11" t="e">
        <f ca="1">IF(History!Y$2="","",#REF!*$C$87)</f>
        <v>#REF!</v>
      </c>
      <c r="V87" s="11" t="e">
        <f ca="1">IF(History!Z$2="","",#REF!*$C$87)</f>
        <v>#REF!</v>
      </c>
      <c r="W87" s="11" t="e">
        <f ca="1">IF(History!AA$2="","",#REF!*$C$87)</f>
        <v>#REF!</v>
      </c>
      <c r="X87" s="11" t="e">
        <f ca="1">IF(History!AB$2="","",#REF!*$C$87)</f>
        <v>#REF!</v>
      </c>
      <c r="Y87" s="11" t="e">
        <f ca="1">IF(History!AC$2="","",#REF!*$C$87)</f>
        <v>#REF!</v>
      </c>
      <c r="Z87" s="11" t="e">
        <f ca="1">IF(History!AD$2="","",#REF!*$C$87)</f>
        <v>#REF!</v>
      </c>
      <c r="AA87" s="11" t="e">
        <f ca="1">IF(History!AE$2="","",#REF!*$C$87)</f>
        <v>#REF!</v>
      </c>
      <c r="AB87" s="11" t="e">
        <f ca="1">IF(History!AF$2="","",#REF!*$C$87)</f>
        <v>#REF!</v>
      </c>
      <c r="AC87" s="11" t="e">
        <f ca="1">IF(History!AG$2="","",#REF!*$C$87)</f>
        <v>#REF!</v>
      </c>
      <c r="AD87" s="11" t="e">
        <f ca="1">IF(History!AH$2="","",#REF!*$C$87)</f>
        <v>#REF!</v>
      </c>
      <c r="AE87" s="11" t="e">
        <f ca="1">IF(History!AI$2="","",#REF!*$C$87)</f>
        <v>#REF!</v>
      </c>
      <c r="AF87" s="11" t="e">
        <f ca="1">IF(History!AJ$2="","",#REF!*$C$87)</f>
        <v>#REF!</v>
      </c>
      <c r="AG87" s="11" t="e">
        <f ca="1">IF(History!AK$2="","",#REF!*$C$87)</f>
        <v>#REF!</v>
      </c>
      <c r="AH87" s="11" t="e">
        <f ca="1">IF(History!AL$2="","",#REF!*$C$87)</f>
        <v>#REF!</v>
      </c>
      <c r="AI87" s="11" t="e">
        <f ca="1">IF(History!AM$2="","",#REF!*$C$87)</f>
        <v>#REF!</v>
      </c>
      <c r="AJ87" s="11" t="e">
        <f ca="1">IF(History!AN$2="","",#REF!*$C$87)</f>
        <v>#REF!</v>
      </c>
      <c r="AK87" s="11" t="e">
        <f ca="1">IF(History!AO$2="","",#REF!*$C$87)</f>
        <v>#REF!</v>
      </c>
      <c r="AL87" s="11" t="e">
        <f ca="1">IF(History!AP$2="","",#REF!*$C$87)</f>
        <v>#REF!</v>
      </c>
      <c r="AM87" s="11" t="e">
        <f ca="1">IF(History!AQ$2="","",#REF!*$C$87)</f>
        <v>#REF!</v>
      </c>
      <c r="AN87" s="11" t="e">
        <f ca="1">IF(History!AR$2="","",#REF!*$C$87)</f>
        <v>#REF!</v>
      </c>
      <c r="AO87" s="11" t="e">
        <f ca="1">IF(History!AS$2="","",#REF!*$C$87)</f>
        <v>#REF!</v>
      </c>
      <c r="AP87" s="11" t="e">
        <f ca="1">IF(History!AT$2="","",#REF!*$C$87)</f>
        <v>#REF!</v>
      </c>
      <c r="AQ87" s="11" t="e">
        <f ca="1">IF(History!AU$2="","",#REF!*$C$87)</f>
        <v>#REF!</v>
      </c>
      <c r="AR87" s="11" t="e">
        <f ca="1">IF(History!AV$2="","",#REF!*$C$87)</f>
        <v>#REF!</v>
      </c>
      <c r="AS87" s="11" t="e">
        <f ca="1">IF(History!AW$2="","",#REF!*$C$87)</f>
        <v>#REF!</v>
      </c>
      <c r="AT87" s="11" t="e">
        <f ca="1">IF(History!AX$2="","",#REF!*$C$87)</f>
        <v>#REF!</v>
      </c>
      <c r="AU87" s="11" t="e">
        <f ca="1">IF(History!AY$2="","",#REF!*$C$87)</f>
        <v>#REF!</v>
      </c>
      <c r="AV87" s="11" t="e">
        <f ca="1">IF(History!AZ$2="","",#REF!*$C$87)</f>
        <v>#REF!</v>
      </c>
      <c r="AW87" s="11" t="e">
        <f ca="1">IF(History!BA$2="","",#REF!*$C$87)</f>
        <v>#REF!</v>
      </c>
      <c r="AX87" s="11" t="e">
        <f ca="1">IF(History!BB$2="","",#REF!*$C$87)</f>
        <v>#REF!</v>
      </c>
      <c r="AY87" s="11" t="e">
        <f ca="1">IF(History!BC$2="","",#REF!*$C$87)</f>
        <v>#REF!</v>
      </c>
      <c r="AZ87" s="11" t="e">
        <f ca="1">IF(History!BD$2="","",#REF!*$C$87)</f>
        <v>#REF!</v>
      </c>
      <c r="BA87" s="11" t="e">
        <f ca="1">IF(History!BE$2="","",#REF!*$C$87)</f>
        <v>#REF!</v>
      </c>
      <c r="BB87" s="11" t="e">
        <f ca="1">IF(History!BF$2="","",#REF!*$C$87)</f>
        <v>#REF!</v>
      </c>
      <c r="BC87" s="11" t="e">
        <f ca="1">IF(History!BG$2="","",#REF!*$C$87)</f>
        <v>#REF!</v>
      </c>
      <c r="BD87" s="11" t="e">
        <f ca="1">IF(History!BH$2="","",#REF!*$C$87)</f>
        <v>#REF!</v>
      </c>
      <c r="BE87" s="11" t="e">
        <f ca="1">IF(History!BI$2="","",#REF!*$C$87)</f>
        <v>#REF!</v>
      </c>
      <c r="BF87" s="11" t="e">
        <f ca="1">IF(History!BJ$2="","",#REF!*$C$87)</f>
        <v>#REF!</v>
      </c>
      <c r="BG87" s="11" t="e">
        <f ca="1">IF(History!BK$2="","",#REF!*$C$87)</f>
        <v>#REF!</v>
      </c>
      <c r="BH87" s="11" t="e">
        <f ca="1">IF(History!BL$2="","",#REF!*$C$87)</f>
        <v>#REF!</v>
      </c>
      <c r="BI87" s="11" t="e">
        <f ca="1">IF(History!BM$2="","",#REF!*$C$87)</f>
        <v>#REF!</v>
      </c>
      <c r="BJ87" s="11" t="e">
        <f ca="1">IF(History!BN$2="","",#REF!*$C$87)</f>
        <v>#REF!</v>
      </c>
      <c r="BK87" s="11" t="e">
        <f ca="1">IF(History!BO$2="","",#REF!*$C$87)</f>
        <v>#REF!</v>
      </c>
      <c r="BL87" s="11" t="e">
        <f ca="1">IF(History!BP$2="","",#REF!*$C$87)</f>
        <v>#REF!</v>
      </c>
      <c r="BM87" s="11" t="e">
        <f ca="1">IF(History!BQ$2="","",#REF!*$C$87)</f>
        <v>#REF!</v>
      </c>
      <c r="BN87" s="11" t="e">
        <f ca="1">IF(History!BR$2="","",#REF!*$C$87)</f>
        <v>#REF!</v>
      </c>
      <c r="BO87" s="11" t="e">
        <f ca="1">IF(History!BS$2="","",#REF!*$C$87)</f>
        <v>#REF!</v>
      </c>
      <c r="BP87" s="11" t="e">
        <f ca="1">IF(History!BT$2="","",#REF!*$C$87)</f>
        <v>#REF!</v>
      </c>
      <c r="BQ87" s="11" t="e">
        <f ca="1">IF(History!BU$2="","",#REF!*$C$87)</f>
        <v>#REF!</v>
      </c>
      <c r="BR87" s="11" t="e">
        <f ca="1">IF(History!BV$2="","",#REF!*$C$87)</f>
        <v>#REF!</v>
      </c>
      <c r="BS87" s="11" t="e">
        <f ca="1">IF(History!BW$2="","",#REF!*$C$87)</f>
        <v>#REF!</v>
      </c>
      <c r="BT87" s="11" t="e">
        <f ca="1">IF(History!BX$2="","",#REF!*$C$87)</f>
        <v>#REF!</v>
      </c>
      <c r="BU87" s="11" t="e">
        <f ca="1">IF(History!BY$2="","",#REF!*$C$87)</f>
        <v>#REF!</v>
      </c>
      <c r="BV87" s="11" t="e">
        <f ca="1">IF(History!BZ$2="","",#REF!*$C$87)</f>
        <v>#REF!</v>
      </c>
      <c r="BW87" s="11" t="e">
        <f ca="1">IF(History!CA$2="","",#REF!*$C$87)</f>
        <v>#REF!</v>
      </c>
      <c r="BX87" s="11" t="e">
        <f ca="1">IF(History!CB$2="","",#REF!*$C$87)</f>
        <v>#REF!</v>
      </c>
      <c r="BY87" s="11" t="e">
        <f ca="1">IF(History!CC$2="","",#REF!*$C$87)</f>
        <v>#REF!</v>
      </c>
      <c r="BZ87" s="11" t="e">
        <f ca="1">IF(History!CD$2="","",#REF!*$C$87)</f>
        <v>#REF!</v>
      </c>
      <c r="CA87" s="11" t="e">
        <f ca="1">IF(History!CE$2="","",#REF!*$C$87)</f>
        <v>#REF!</v>
      </c>
      <c r="CB87" s="11" t="e">
        <f ca="1">IF(History!CF$2="","",#REF!*$C$87)</f>
        <v>#REF!</v>
      </c>
      <c r="CC87" s="11" t="e">
        <f ca="1">IF(History!CG$2="","",#REF!*$C$87)</f>
        <v>#REF!</v>
      </c>
      <c r="CD87" s="11" t="e">
        <f ca="1">IF(History!CH$2="","",#REF!*$C$87)</f>
        <v>#REF!</v>
      </c>
      <c r="CE87" s="11" t="e">
        <f ca="1">IF(History!CI$2="","",#REF!*$C$87)</f>
        <v>#REF!</v>
      </c>
      <c r="CF87" s="11" t="str">
        <f ca="1">IF(History!CJ$2="","",#REF!*$C$87)</f>
        <v/>
      </c>
      <c r="CG87" s="11" t="str">
        <f ca="1">IF(History!CK$2="","",#REF!*$C$87)</f>
        <v/>
      </c>
      <c r="CH87" s="11" t="str">
        <f ca="1">IF(History!CL$2="","",#REF!*$C$87)</f>
        <v/>
      </c>
      <c r="CI87" s="11" t="str">
        <f ca="1">IF(History!CM$2="","",#REF!*$C$87)</f>
        <v/>
      </c>
      <c r="CJ87" s="11" t="str">
        <f ca="1">IF(History!CN$2="","",#REF!*$C$87)</f>
        <v/>
      </c>
      <c r="CK87" s="11" t="str">
        <f ca="1">IF(History!CO$2="","",#REF!*$C$87)</f>
        <v/>
      </c>
      <c r="CL87" s="11" t="str">
        <f ca="1">IF(History!CP$2="","",#REF!*$C$87)</f>
        <v/>
      </c>
      <c r="CM87" s="11" t="str">
        <f ca="1">IF(History!CQ$2="","",#REF!*$C$87)</f>
        <v/>
      </c>
      <c r="CN87" s="11" t="str">
        <f ca="1">IF(History!CR$2="","",#REF!*$C$87)</f>
        <v/>
      </c>
      <c r="CO87" s="11" t="str">
        <f ca="1">IF(History!CS$2="","",#REF!*$C$87)</f>
        <v/>
      </c>
      <c r="CP87" s="11" t="str">
        <f ca="1">IF(History!CT$2="","",#REF!*$C$87)</f>
        <v/>
      </c>
      <c r="CQ87" s="11" t="str">
        <f ca="1">IF(History!CU$2="","",#REF!*$C$87)</f>
        <v/>
      </c>
      <c r="CR87" s="11" t="str">
        <f ca="1">IF(History!CV$2="","",#REF!*$C$87)</f>
        <v/>
      </c>
      <c r="CS87" s="11" t="str">
        <f ca="1">IF(History!CW$2="","",#REF!*$C$87)</f>
        <v/>
      </c>
      <c r="CT87" s="11" t="str">
        <f ca="1">IF(History!CX$2="","",#REF!*$C$87)</f>
        <v/>
      </c>
      <c r="CU87" s="11" t="str">
        <f ca="1">IF(History!CY$2="","",#REF!*$C$87)</f>
        <v/>
      </c>
      <c r="CV87" s="11" t="str">
        <f ca="1">IF(History!CZ$2="","",#REF!*$C$87)</f>
        <v/>
      </c>
      <c r="CW87" s="11" t="str">
        <f ca="1">IF(History!DA$2="","",#REF!*$C$87)</f>
        <v/>
      </c>
      <c r="CX87" s="11" t="str">
        <f ca="1">IF(History!DB$2="","",#REF!*$C$87)</f>
        <v/>
      </c>
      <c r="CY87" s="11" t="str">
        <f ca="1">IF(History!DC$2="","",#REF!*$C$87)</f>
        <v/>
      </c>
      <c r="CZ87" s="11" t="str">
        <f ca="1">IF(History!DD$2="","",#REF!*$C$87)</f>
        <v/>
      </c>
      <c r="DA87" s="11" t="str">
        <f ca="1">IF(History!DE$2="","",#REF!*$C$87)</f>
        <v/>
      </c>
      <c r="DB87" s="11" t="str">
        <f ca="1">IF(History!DF$2="","",#REF!*$C$87)</f>
        <v/>
      </c>
      <c r="DC87" s="11" t="str">
        <f ca="1">IF(History!DG$2="","",#REF!*$C$87)</f>
        <v/>
      </c>
      <c r="DD87" s="11" t="str">
        <f ca="1">IF(History!DH$2="","",#REF!*$C$87)</f>
        <v/>
      </c>
      <c r="DE87" s="11" t="str">
        <f ca="1">IF(History!DI$2="","",#REF!*$C$87)</f>
        <v/>
      </c>
      <c r="DF87" s="11" t="str">
        <f ca="1">IF(History!DJ$2="","",#REF!*$C$87)</f>
        <v/>
      </c>
      <c r="DG87" s="11" t="str">
        <f ca="1">IF(History!DK$2="","",#REF!*$C$87)</f>
        <v/>
      </c>
      <c r="DH87" s="11" t="str">
        <f ca="1">IF(History!DL$2="","",#REF!*$C$87)</f>
        <v/>
      </c>
      <c r="DI87" s="11" t="str">
        <f ca="1">IF(History!DM$2="","",#REF!*$C$87)</f>
        <v/>
      </c>
      <c r="DJ87" s="11" t="str">
        <f ca="1">IF(History!DN$2="","",#REF!*$C$87)</f>
        <v/>
      </c>
      <c r="DK87" s="11" t="str">
        <f ca="1">IF(History!DO$2="","",#REF!*$C$87)</f>
        <v/>
      </c>
      <c r="DL87" s="11" t="str">
        <f ca="1">IF(History!DP$2="","",#REF!*$C$87)</f>
        <v/>
      </c>
      <c r="DM87" s="11" t="str">
        <f ca="1">IF(History!DQ$2="","",#REF!*$C$87)</f>
        <v/>
      </c>
      <c r="DN87" s="11" t="str">
        <f ca="1">IF(History!DR$2="","",#REF!*$C$87)</f>
        <v/>
      </c>
      <c r="DO87" s="11" t="str">
        <f ca="1">IF(History!DS$2="","",#REF!*$C$87)</f>
        <v/>
      </c>
      <c r="DP87" s="11" t="str">
        <f ca="1">IF(History!DT$2="","",#REF!*$C$87)</f>
        <v/>
      </c>
      <c r="DQ87" s="11" t="str">
        <f ca="1">IF(History!DU$2="","",#REF!*$C$87)</f>
        <v/>
      </c>
      <c r="DR87" s="11" t="str">
        <f ca="1">IF(History!DV$2="","",#REF!*$C$87)</f>
        <v/>
      </c>
      <c r="DS87" s="11" t="str">
        <f ca="1">IF(History!DW$2="","",#REF!*$C$87)</f>
        <v/>
      </c>
      <c r="DT87" s="11" t="str">
        <f ca="1">IF(History!DX$2="","",#REF!*$C$87)</f>
        <v/>
      </c>
      <c r="DU87" s="11" t="str">
        <f ca="1">IF(History!DY$2="","",#REF!*$C$87)</f>
        <v/>
      </c>
      <c r="DV87" s="11" t="str">
        <f ca="1">IF(History!DZ$2="","",#REF!*$C$87)</f>
        <v/>
      </c>
      <c r="DW87" s="11" t="str">
        <f ca="1">IF(History!EA$2="","",#REF!*$C$87)</f>
        <v/>
      </c>
      <c r="DX87" s="11" t="str">
        <f ca="1">IF(History!EB$2="","",#REF!*$C$87)</f>
        <v/>
      </c>
      <c r="DY87" s="11" t="str">
        <f ca="1">IF(History!EC$2="","",#REF!*$C$87)</f>
        <v/>
      </c>
      <c r="DZ87" s="11" t="str">
        <f ca="1">IF(History!ED$2="","",#REF!*$C$87)</f>
        <v/>
      </c>
      <c r="EA87" s="11" t="str">
        <f ca="1">IF(History!EE$2="","",#REF!*$C$87)</f>
        <v/>
      </c>
      <c r="EB87" s="11" t="str">
        <f ca="1">IF(History!EF$2="","",#REF!*$C$87)</f>
        <v/>
      </c>
      <c r="EC87" s="11" t="str">
        <f ca="1">IF(History!EG$2="","",#REF!*$C$87)</f>
        <v/>
      </c>
      <c r="ED87" s="11" t="str">
        <f ca="1">IF(History!EH$2="","",#REF!*$C$87)</f>
        <v/>
      </c>
      <c r="EE87" s="11" t="str">
        <f ca="1">IF(History!EI$2="","",#REF!*$C$87)</f>
        <v/>
      </c>
      <c r="EF87" s="11" t="str">
        <f ca="1">IF(History!EJ$2="","",#REF!*$C$87)</f>
        <v/>
      </c>
      <c r="EG87" s="11" t="str">
        <f ca="1">IF(History!EK$2="","",#REF!*$C$87)</f>
        <v/>
      </c>
      <c r="EH87" s="11" t="str">
        <f ca="1">IF(History!EL$2="","",#REF!*$C$87)</f>
        <v/>
      </c>
      <c r="EI87" s="11" t="str">
        <f ca="1">IF(History!EM$2="","",#REF!*$C$87)</f>
        <v/>
      </c>
      <c r="EJ87" s="11" t="str">
        <f ca="1">IF(History!EN$2="","",#REF!*$C$87)</f>
        <v/>
      </c>
      <c r="EK87" s="11" t="str">
        <f ca="1">IF(History!EO$2="","",#REF!*$C$87)</f>
        <v/>
      </c>
      <c r="EL87" s="11" t="str">
        <f ca="1">IF(History!EP$2="","",#REF!*$C$87)</f>
        <v/>
      </c>
      <c r="EM87" s="11" t="str">
        <f ca="1">IF(History!EQ$2="","",#REF!*$C$87)</f>
        <v/>
      </c>
      <c r="EN87" s="11" t="str">
        <f ca="1">IF(History!ER$2="","",#REF!*$C$87)</f>
        <v/>
      </c>
      <c r="EO87" s="11" t="str">
        <f ca="1">IF(History!ES$2="","",#REF!*$C$87)</f>
        <v/>
      </c>
      <c r="EP87" s="11" t="str">
        <f ca="1">IF(History!ET$2="","",#REF!*$C$87)</f>
        <v/>
      </c>
      <c r="EQ87" s="11" t="str">
        <f ca="1">IF(History!EU$2="","",#REF!*$C$87)</f>
        <v/>
      </c>
      <c r="ER87" s="11" t="str">
        <f ca="1">IF(History!EV$2="","",#REF!*$C$87)</f>
        <v/>
      </c>
      <c r="ES87" s="11" t="str">
        <f ca="1">IF(History!EW$2="","",#REF!*$C$87)</f>
        <v/>
      </c>
      <c r="ET87" s="11" t="str">
        <f ca="1">IF(History!EX$2="","",#REF!*$C$87)</f>
        <v/>
      </c>
      <c r="EU87" s="11" t="str">
        <f ca="1">IF(History!EY$2="","",#REF!*$C$87)</f>
        <v/>
      </c>
      <c r="EV87" s="11" t="str">
        <f ca="1">IF(History!EZ$2="","",#REF!*$C$87)</f>
        <v/>
      </c>
      <c r="EW87" s="11" t="str">
        <f ca="1">IF(History!FA$2="","",#REF!*$C$87)</f>
        <v/>
      </c>
      <c r="EX87" s="11" t="str">
        <f ca="1">IF(History!FB$2="","",#REF!*$C$87)</f>
        <v/>
      </c>
      <c r="EY87" s="11" t="str">
        <f ca="1">IF(History!FC$2="","",#REF!*$C$87)</f>
        <v/>
      </c>
      <c r="EZ87" s="11" t="str">
        <f ca="1">IF(History!FD$2="","",#REF!*$C$87)</f>
        <v/>
      </c>
      <c r="FA87" s="11" t="str">
        <f ca="1">IF(History!FE$2="","",#REF!*$C$87)</f>
        <v/>
      </c>
      <c r="FB87" s="11" t="str">
        <f ca="1">IF(History!FF$2="","",#REF!*$C$87)</f>
        <v/>
      </c>
      <c r="FC87" s="11" t="str">
        <f ca="1">IF(History!FG$2="","",#REF!*$C$87)</f>
        <v/>
      </c>
      <c r="FD87" s="11" t="str">
        <f ca="1">IF(History!FH$2="","",#REF!*$C$87)</f>
        <v/>
      </c>
      <c r="FE87" s="11" t="str">
        <f ca="1">IF(History!FI$2="","",#REF!*$C$87)</f>
        <v/>
      </c>
      <c r="FF87" s="11" t="str">
        <f ca="1">IF(History!FJ$2="","",#REF!*$C$87)</f>
        <v/>
      </c>
      <c r="FG87" s="11" t="str">
        <f ca="1">IF(History!FK$2="","",#REF!*$C$87)</f>
        <v/>
      </c>
      <c r="FH87" s="11" t="str">
        <f ca="1">IF(History!FL$2="","",#REF!*$C$87)</f>
        <v/>
      </c>
      <c r="FI87" s="11" t="str">
        <f ca="1">IF(History!FM$2="","",#REF!*$C$87)</f>
        <v/>
      </c>
      <c r="FJ87" s="11" t="str">
        <f ca="1">IF(History!FN$2="","",#REF!*$C$87)</f>
        <v/>
      </c>
      <c r="FK87" s="11" t="str">
        <f ca="1">IF(History!FO$2="","",#REF!*$C$87)</f>
        <v/>
      </c>
      <c r="FL87" s="11" t="str">
        <f ca="1">IF(History!FP$2="","",#REF!*$C$87)</f>
        <v/>
      </c>
      <c r="FM87" s="11" t="str">
        <f ca="1">IF(History!FQ$2="","",#REF!*$C$87)</f>
        <v/>
      </c>
      <c r="FN87" s="11" t="str">
        <f ca="1">IF(History!FR$2="","",#REF!*$C$87)</f>
        <v/>
      </c>
      <c r="FO87" s="11" t="str">
        <f ca="1">IF(History!FS$2="","",#REF!*$C$87)</f>
        <v/>
      </c>
      <c r="FP87" s="11" t="str">
        <f ca="1">IF(History!FT$2="","",#REF!*$C$87)</f>
        <v/>
      </c>
      <c r="FQ87" s="11" t="str">
        <f ca="1">IF(History!FU$2="","",#REF!*$C$87)</f>
        <v/>
      </c>
      <c r="FR87" s="11" t="str">
        <f ca="1">IF(History!FV$2="","",#REF!*$C$87)</f>
        <v/>
      </c>
      <c r="FS87" s="11" t="str">
        <f ca="1">IF(History!FW$2="","",#REF!*$C$87)</f>
        <v/>
      </c>
      <c r="FT87" s="11" t="str">
        <f ca="1">IF(History!FX$2="","",#REF!*$C$87)</f>
        <v/>
      </c>
      <c r="FU87" s="11" t="str">
        <f ca="1">IF(History!FY$2="","",#REF!*$C$87)</f>
        <v/>
      </c>
      <c r="FV87" s="11" t="str">
        <f ca="1">IF(History!FZ$2="","",#REF!*$C$87)</f>
        <v/>
      </c>
      <c r="FW87" s="11" t="str">
        <f ca="1">IF(History!GA$2="","",#REF!*$C$87)</f>
        <v/>
      </c>
      <c r="FX87" s="11" t="str">
        <f ca="1">IF(History!GB$2="","",#REF!*$C$87)</f>
        <v/>
      </c>
      <c r="FY87" s="11" t="str">
        <f ca="1">IF(History!GC$2="","",#REF!*$C$87)</f>
        <v/>
      </c>
      <c r="FZ87" s="11" t="str">
        <f ca="1">IF(History!GD$2="","",#REF!*$C$87)</f>
        <v/>
      </c>
      <c r="GA87" s="11" t="str">
        <f ca="1">IF(History!GE$2="","",#REF!*$C$87)</f>
        <v/>
      </c>
      <c r="GB87" s="11" t="str">
        <f ca="1">IF(History!GF$2="","",#REF!*$C$87)</f>
        <v/>
      </c>
      <c r="GC87" s="11" t="str">
        <f ca="1">IF(History!GG$2="","",#REF!*$C$87)</f>
        <v/>
      </c>
      <c r="GD87" s="11" t="str">
        <f ca="1">IF(History!GH$2="","",#REF!*$C$87)</f>
        <v/>
      </c>
      <c r="GE87" s="11" t="str">
        <f ca="1">IF(History!GI$2="","",#REF!*$C$87)</f>
        <v/>
      </c>
      <c r="GF87" s="11" t="str">
        <f ca="1">IF(History!GJ$2="","",#REF!*$C$87)</f>
        <v/>
      </c>
      <c r="GG87" s="11" t="str">
        <f ca="1">IF(History!GK$2="","",#REF!*$C$87)</f>
        <v/>
      </c>
      <c r="GH87" s="11" t="str">
        <f ca="1">IF(History!GL$2="","",#REF!*$C$87)</f>
        <v/>
      </c>
      <c r="GI87" s="11" t="str">
        <f ca="1">IF(History!GM$2="","",#REF!*$C$87)</f>
        <v/>
      </c>
      <c r="GJ87" s="11" t="str">
        <f ca="1">IF(History!GN$2="","",#REF!*$C$87)</f>
        <v/>
      </c>
      <c r="GK87" s="11" t="str">
        <f ca="1">IF(History!GO$2="","",#REF!*$C$87)</f>
        <v/>
      </c>
      <c r="GL87" s="11" t="str">
        <f ca="1">IF(History!GP$2="","",#REF!*$C$87)</f>
        <v/>
      </c>
      <c r="GM87" s="11" t="str">
        <f ca="1">IF(History!GQ$2="","",#REF!*$C$87)</f>
        <v/>
      </c>
      <c r="GN87" s="11" t="str">
        <f ca="1">IF(History!GR$2="","",#REF!*$C$87)</f>
        <v/>
      </c>
      <c r="GO87" s="11" t="str">
        <f ca="1">IF(History!GS$2="","",#REF!*$C$87)</f>
        <v/>
      </c>
      <c r="GP87" s="11" t="str">
        <f ca="1">IF(History!GT$2="","",#REF!*$C$87)</f>
        <v/>
      </c>
      <c r="GQ87" s="11" t="str">
        <f ca="1">IF(History!GU$2="","",#REF!*$C$87)</f>
        <v/>
      </c>
      <c r="GR87" s="11" t="str">
        <f ca="1">IF(History!GV$2="","",#REF!*$C$87)</f>
        <v/>
      </c>
      <c r="GS87" s="11" t="str">
        <f ca="1">IF(History!GW$2="","",#REF!*$C$87)</f>
        <v/>
      </c>
      <c r="GT87" s="11" t="str">
        <f ca="1">IF(History!GX$2="","",#REF!*$C$87)</f>
        <v/>
      </c>
      <c r="GU87" s="11" t="str">
        <f ca="1">IF(History!GY$2="","",#REF!*$C$87)</f>
        <v/>
      </c>
      <c r="GV87" s="11" t="str">
        <f ca="1">IF(History!GZ$2="","",#REF!*$C$87)</f>
        <v/>
      </c>
      <c r="GW87" s="11" t="str">
        <f ca="1">IF(History!HA$2="","",#REF!*$C$87)</f>
        <v/>
      </c>
      <c r="GX87" s="11" t="str">
        <f ca="1">IF(History!HB$2="","",#REF!*$C$87)</f>
        <v/>
      </c>
      <c r="GY87" s="11" t="str">
        <f ca="1">IF(History!HC$2="","",#REF!*$C$87)</f>
        <v/>
      </c>
      <c r="GZ87" s="11" t="str">
        <f ca="1">IF(History!HD$2="","",#REF!*$C$87)</f>
        <v/>
      </c>
      <c r="HA87" s="11" t="str">
        <f ca="1">IF(History!HE$2="","",#REF!*$C$87)</f>
        <v/>
      </c>
      <c r="HB87" s="11" t="str">
        <f ca="1">IF(History!HF$2="","",#REF!*$C$87)</f>
        <v/>
      </c>
      <c r="HC87" s="11" t="str">
        <f ca="1">IF(History!HG$2="","",#REF!*$C$87)</f>
        <v/>
      </c>
      <c r="HD87" s="11" t="str">
        <f ca="1">IF(History!HH$2="","",#REF!*$C$87)</f>
        <v/>
      </c>
      <c r="HE87" s="11" t="str">
        <f ca="1">IF(History!HI$2="","",#REF!*$C$87)</f>
        <v/>
      </c>
      <c r="HF87" s="11" t="str">
        <f ca="1">IF(History!HJ$2="","",#REF!*$C$87)</f>
        <v/>
      </c>
      <c r="HG87" s="11" t="str">
        <f ca="1">IF(History!HK$2="","",#REF!*$C$87)</f>
        <v/>
      </c>
      <c r="HH87" s="11" t="str">
        <f ca="1">IF(History!HL$2="","",#REF!*$C$87)</f>
        <v/>
      </c>
      <c r="HI87" s="11" t="str">
        <f ca="1">IF(History!HM$2="","",#REF!*$C$87)</f>
        <v/>
      </c>
      <c r="HJ87" s="11" t="str">
        <f ca="1">IF(History!HN$2="","",#REF!*$C$87)</f>
        <v/>
      </c>
      <c r="HK87" s="11" t="str">
        <f ca="1">IF(History!HO$2="","",#REF!*$C$87)</f>
        <v/>
      </c>
      <c r="HL87" s="11" t="str">
        <f ca="1">IF(History!HP$2="","",#REF!*$C$87)</f>
        <v/>
      </c>
      <c r="HM87" s="11" t="str">
        <f ca="1">IF(History!HQ$2="","",#REF!*$C$87)</f>
        <v/>
      </c>
      <c r="HN87" s="11" t="str">
        <f ca="1">IF(History!HR$2="","",#REF!*$C$87)</f>
        <v/>
      </c>
      <c r="HO87" s="11" t="str">
        <f ca="1">IF(History!HS$2="","",#REF!*$C$87)</f>
        <v/>
      </c>
      <c r="HP87" s="11" t="str">
        <f ca="1">IF(History!HT$2="","",#REF!*$C$87)</f>
        <v/>
      </c>
      <c r="HQ87" s="11" t="str">
        <f ca="1">IF(History!HU$2="","",#REF!*$C$87)</f>
        <v/>
      </c>
      <c r="HR87" s="11" t="str">
        <f ca="1">IF(History!HV$2="","",#REF!*$C$87)</f>
        <v/>
      </c>
      <c r="HS87" s="11" t="str">
        <f ca="1">IF(History!HW$2="","",#REF!*$C$87)</f>
        <v/>
      </c>
      <c r="HT87" s="11" t="str">
        <f ca="1">IF(History!HX$2="","",#REF!*$C$87)</f>
        <v/>
      </c>
      <c r="HU87" s="11" t="str">
        <f ca="1">IF(History!HY$2="","",#REF!*$C$87)</f>
        <v/>
      </c>
      <c r="HV87" s="11" t="str">
        <f ca="1">IF(History!HZ$2="","",#REF!*$C$87)</f>
        <v/>
      </c>
      <c r="HW87" s="11" t="str">
        <f ca="1">IF(History!IA$2="","",#REF!*$C$87)</f>
        <v/>
      </c>
      <c r="HX87" s="11" t="str">
        <f ca="1">IF(History!IB$2="","",#REF!*$C$87)</f>
        <v/>
      </c>
      <c r="HY87" s="11" t="str">
        <f ca="1">IF(History!IC$2="","",#REF!*$C$87)</f>
        <v/>
      </c>
      <c r="HZ87" s="11" t="str">
        <f ca="1">IF(History!ID$2="","",#REF!*$C$87)</f>
        <v/>
      </c>
      <c r="IA87" s="11" t="str">
        <f ca="1">IF(History!IE$2="","",#REF!*$C$87)</f>
        <v/>
      </c>
      <c r="IB87" s="11" t="str">
        <f ca="1">IF(History!IF$2="","",#REF!*$C$87)</f>
        <v/>
      </c>
      <c r="IC87" s="11" t="str">
        <f ca="1">IF(History!IG$2="","",#REF!*$C$87)</f>
        <v/>
      </c>
      <c r="ID87" s="11" t="str">
        <f ca="1">IF(History!IH$2="","",#REF!*$C$87)</f>
        <v/>
      </c>
      <c r="IE87" s="11" t="str">
        <f ca="1">IF(History!II$2="","",#REF!*$C$87)</f>
        <v/>
      </c>
      <c r="IF87" s="11" t="str">
        <f ca="1">IF(History!IJ$2="","",#REF!*$C$87)</f>
        <v/>
      </c>
      <c r="IG87" s="11" t="str">
        <f ca="1">IF(History!IK$2="","",#REF!*$C$87)</f>
        <v/>
      </c>
      <c r="IH87" s="11" t="str">
        <f ca="1">IF(History!IL$2="","",#REF!*$C$87)</f>
        <v/>
      </c>
      <c r="II87" s="11" t="str">
        <f ca="1">IF(History!IM$2="","",#REF!*$C$87)</f>
        <v/>
      </c>
      <c r="IJ87" s="11" t="str">
        <f ca="1">IF(History!IN$2="","",#REF!*$C$87)</f>
        <v/>
      </c>
      <c r="IK87" s="11" t="str">
        <f ca="1">IF(History!IO$2="","",#REF!*$C$87)</f>
        <v/>
      </c>
      <c r="IL87" s="11" t="str">
        <f ca="1">IF(History!IP$2="","",#REF!*$C$87)</f>
        <v/>
      </c>
      <c r="IM87" s="11" t="str">
        <f ca="1">IF(History!IQ$2="","",#REF!*$C$87)</f>
        <v/>
      </c>
      <c r="IN87" s="11" t="str">
        <f ca="1">IF(History!IR$2="","",#REF!*$C$87)</f>
        <v/>
      </c>
      <c r="IO87" s="11" t="str">
        <f ca="1">IF(History!IS$2="","",#REF!*$C$87)</f>
        <v/>
      </c>
      <c r="IP87" s="11" t="str">
        <f ca="1">IF(History!IT$2="","",#REF!*$C$87)</f>
        <v/>
      </c>
      <c r="IQ87" s="11" t="str">
        <f ca="1">IF(History!IU$2="","",#REF!*$C$87)</f>
        <v/>
      </c>
      <c r="IR87" s="11" t="str">
        <f ca="1">IF(History!IV$2="","",#REF!*$C$87)</f>
        <v/>
      </c>
      <c r="IS87" s="11" t="str">
        <f ca="1">IF(History!IW$2="","",#REF!*$C$87)</f>
        <v/>
      </c>
      <c r="IT87" s="11" t="str">
        <f ca="1">IF(History!IX$2="","",#REF!*$C$87)</f>
        <v/>
      </c>
      <c r="IU87" s="11" t="str">
        <f ca="1">IF(History!IY$2="","",#REF!*$C$87)</f>
        <v/>
      </c>
      <c r="IV87" s="11" t="str">
        <f ca="1">IF(History!IZ$2="","",#REF!*$C$87)</f>
        <v/>
      </c>
      <c r="IW87" s="11" t="str">
        <f ca="1">IF(History!JA$2="","",#REF!*$C$87)</f>
        <v/>
      </c>
      <c r="IX87" s="11" t="str">
        <f ca="1">IF(History!JB$2="","",#REF!*$C$87)</f>
        <v/>
      </c>
      <c r="IY87" s="11" t="str">
        <f ca="1">IF(History!JC$2="","",#REF!*$C$87)</f>
        <v/>
      </c>
      <c r="IZ87" s="11" t="str">
        <f ca="1">IF(History!JD$2="","",#REF!*$C$87)</f>
        <v/>
      </c>
      <c r="JA87" s="11" t="str">
        <f ca="1">IF(History!JE$2="","",#REF!*$C$87)</f>
        <v/>
      </c>
      <c r="JB87" s="11" t="str">
        <f ca="1">IF(History!JF$2="","",#REF!*$C$87)</f>
        <v/>
      </c>
      <c r="JC87" s="11" t="str">
        <f ca="1">IF(History!JG$2="","",#REF!*$C$87)</f>
        <v/>
      </c>
      <c r="JD87" s="11" t="str">
        <f ca="1">IF(History!JH$2="","",#REF!*$C$87)</f>
        <v/>
      </c>
      <c r="JE87" s="11" t="str">
        <f ca="1">IF(History!JI$2="","",#REF!*$C$87)</f>
        <v/>
      </c>
      <c r="JF87" s="11" t="str">
        <f ca="1">IF(History!JJ$2="","",#REF!*$C$87)</f>
        <v/>
      </c>
      <c r="JG87" s="11" t="str">
        <f ca="1">IF(History!JK$2="","",#REF!*$C$87)</f>
        <v/>
      </c>
      <c r="JH87" s="11" t="str">
        <f ca="1">IF(History!JL$2="","",#REF!*$C$87)</f>
        <v/>
      </c>
      <c r="JI87" s="11" t="str">
        <f ca="1">IF(History!JM$2="","",#REF!*$C$87)</f>
        <v/>
      </c>
      <c r="JJ87" s="11" t="str">
        <f ca="1">IF(History!JN$2="","",#REF!*$C$87)</f>
        <v/>
      </c>
      <c r="JK87" s="11" t="str">
        <f ca="1">IF(History!JO$2="","",#REF!*$C$87)</f>
        <v/>
      </c>
      <c r="JL87" s="11" t="str">
        <f ca="1">IF(History!JP$2="","",#REF!*$C$87)</f>
        <v/>
      </c>
      <c r="JM87" s="11" t="str">
        <f ca="1">IF(History!JQ$2="","",#REF!*$C$87)</f>
        <v/>
      </c>
      <c r="JN87" s="11" t="str">
        <f ca="1">IF(History!JR$2="","",#REF!*$C$87)</f>
        <v/>
      </c>
      <c r="JO87" s="11" t="str">
        <f ca="1">IF(History!JS$2="","",#REF!*$C$87)</f>
        <v/>
      </c>
      <c r="JP87" s="11" t="str">
        <f ca="1">IF(History!JT$2="","",#REF!*$C$87)</f>
        <v/>
      </c>
      <c r="JQ87" s="11" t="str">
        <f ca="1">IF(History!JU$2="","",#REF!*$C$87)</f>
        <v/>
      </c>
      <c r="JR87" s="11" t="str">
        <f ca="1">IF(History!JV$2="","",#REF!*$C$87)</f>
        <v/>
      </c>
      <c r="JS87" s="11" t="str">
        <f ca="1">IF(History!JW$2="","",#REF!*$C$87)</f>
        <v/>
      </c>
      <c r="JT87" s="11" t="str">
        <f ca="1">IF(History!JX$2="","",#REF!*$C$87)</f>
        <v/>
      </c>
      <c r="JU87" s="11" t="str">
        <f ca="1">IF(History!JY$2="","",#REF!*$C$87)</f>
        <v/>
      </c>
      <c r="JV87" s="11" t="str">
        <f ca="1">IF(History!JZ$2="","",#REF!*$C$87)</f>
        <v/>
      </c>
      <c r="JW87" s="11" t="str">
        <f ca="1">IF(History!KA$2="","",#REF!*$C$87)</f>
        <v/>
      </c>
      <c r="JX87" s="11" t="str">
        <f ca="1">IF(History!KB$2="","",#REF!*$C$87)</f>
        <v/>
      </c>
      <c r="JY87" s="11" t="str">
        <f ca="1">IF(History!KC$2="","",#REF!*$C$87)</f>
        <v/>
      </c>
      <c r="JZ87" s="11" t="str">
        <f ca="1">IF(History!KD$2="","",#REF!*$C$87)</f>
        <v/>
      </c>
      <c r="KA87" s="11" t="str">
        <f ca="1">IF(History!KE$2="","",#REF!*$C$87)</f>
        <v/>
      </c>
      <c r="KB87" s="11" t="str">
        <f ca="1">IF(History!KF$2="","",#REF!*$C$87)</f>
        <v/>
      </c>
    </row>
    <row r="88" spans="1:288" ht="13">
      <c r="A88" s="18" t="s">
        <v>140</v>
      </c>
      <c r="B88" s="6" t="s">
        <v>166</v>
      </c>
      <c r="C88" s="26">
        <v>57</v>
      </c>
      <c r="D88" s="11" t="e">
        <f ca="1">IF(History!H$2="","",#REF!*$C$88)</f>
        <v>#REF!</v>
      </c>
      <c r="E88" s="11" t="e">
        <f ca="1">IF(History!I$2="","",#REF!*$C$88)</f>
        <v>#REF!</v>
      </c>
      <c r="F88" s="11" t="e">
        <f ca="1">IF(History!J$2="","",#REF!*$C$88)</f>
        <v>#REF!</v>
      </c>
      <c r="G88" s="11" t="e">
        <f ca="1">IF(History!K$2="","",#REF!*$C$88)</f>
        <v>#REF!</v>
      </c>
      <c r="H88" s="11" t="e">
        <f ca="1">IF(History!L$2="","",#REF!*$C$88)</f>
        <v>#REF!</v>
      </c>
      <c r="I88" s="11" t="e">
        <f ca="1">IF(History!M$2="","",#REF!*$C$88)</f>
        <v>#REF!</v>
      </c>
      <c r="J88" s="11" t="e">
        <f ca="1">IF(History!N$2="","",#REF!*$C$88)</f>
        <v>#REF!</v>
      </c>
      <c r="K88" s="11" t="e">
        <f ca="1">IF(History!O$2="","",#REF!*$C$88)</f>
        <v>#REF!</v>
      </c>
      <c r="L88" s="11" t="e">
        <f ca="1">IF(History!P$2="","",#REF!*$C$88)</f>
        <v>#REF!</v>
      </c>
      <c r="M88" s="11" t="e">
        <f ca="1">IF(History!Q$2="","",#REF!*$C$88)</f>
        <v>#REF!</v>
      </c>
      <c r="N88" s="11" t="e">
        <f ca="1">IF(History!R$2="","",#REF!*$C$88)</f>
        <v>#REF!</v>
      </c>
      <c r="O88" s="11" t="e">
        <f ca="1">IF(History!S$2="","",#REF!*$C$88)</f>
        <v>#REF!</v>
      </c>
      <c r="P88" s="11" t="e">
        <f ca="1">IF(History!T$2="","",#REF!*$C$88)</f>
        <v>#REF!</v>
      </c>
      <c r="Q88" s="11" t="e">
        <f ca="1">IF(History!U$2="","",#REF!*$C$88)</f>
        <v>#REF!</v>
      </c>
      <c r="R88" s="11" t="e">
        <f ca="1">IF(History!V$2="","",#REF!*$C$88)</f>
        <v>#REF!</v>
      </c>
      <c r="S88" s="11" t="e">
        <f ca="1">IF(History!W$2="","",#REF!*$C$88)</f>
        <v>#REF!</v>
      </c>
      <c r="T88" s="11" t="e">
        <f ca="1">IF(History!X$2="","",#REF!*$C$88)</f>
        <v>#REF!</v>
      </c>
      <c r="U88" s="11" t="e">
        <f ca="1">IF(History!Y$2="","",#REF!*$C$88)</f>
        <v>#REF!</v>
      </c>
      <c r="V88" s="11" t="e">
        <f ca="1">IF(History!Z$2="","",#REF!*$C$88)</f>
        <v>#REF!</v>
      </c>
      <c r="W88" s="11" t="e">
        <f ca="1">IF(History!AA$2="","",#REF!*$C$88)</f>
        <v>#REF!</v>
      </c>
      <c r="X88" s="11" t="e">
        <f ca="1">IF(History!AB$2="","",#REF!*$C$88)</f>
        <v>#REF!</v>
      </c>
      <c r="Y88" s="11" t="e">
        <f ca="1">IF(History!AC$2="","",#REF!*$C$88)</f>
        <v>#REF!</v>
      </c>
      <c r="Z88" s="11" t="e">
        <f ca="1">IF(History!AD$2="","",#REF!*$C$88)</f>
        <v>#REF!</v>
      </c>
      <c r="AA88" s="11" t="e">
        <f ca="1">IF(History!AE$2="","",#REF!*$C$88)</f>
        <v>#REF!</v>
      </c>
      <c r="AB88" s="11" t="e">
        <f ca="1">IF(History!AF$2="","",#REF!*$C$88)</f>
        <v>#REF!</v>
      </c>
      <c r="AC88" s="11" t="e">
        <f ca="1">IF(History!AG$2="","",#REF!*$C$88)</f>
        <v>#REF!</v>
      </c>
      <c r="AD88" s="11" t="e">
        <f ca="1">IF(History!AH$2="","",#REF!*$C$88)</f>
        <v>#REF!</v>
      </c>
      <c r="AE88" s="11" t="e">
        <f ca="1">IF(History!AI$2="","",#REF!*$C$88)</f>
        <v>#REF!</v>
      </c>
      <c r="AF88" s="11" t="e">
        <f ca="1">IF(History!AJ$2="","",#REF!*$C$88)</f>
        <v>#REF!</v>
      </c>
      <c r="AG88" s="11" t="e">
        <f ca="1">IF(History!AK$2="","",#REF!*$C$88)</f>
        <v>#REF!</v>
      </c>
      <c r="AH88" s="11" t="e">
        <f ca="1">IF(History!AL$2="","",#REF!*$C$88)</f>
        <v>#REF!</v>
      </c>
      <c r="AI88" s="11" t="e">
        <f ca="1">IF(History!AM$2="","",#REF!*$C$88)</f>
        <v>#REF!</v>
      </c>
      <c r="AJ88" s="11" t="e">
        <f ca="1">IF(History!AN$2="","",#REF!*$C$88)</f>
        <v>#REF!</v>
      </c>
      <c r="AK88" s="11" t="e">
        <f ca="1">IF(History!AO$2="","",#REF!*$C$88)</f>
        <v>#REF!</v>
      </c>
      <c r="AL88" s="11" t="e">
        <f ca="1">IF(History!AP$2="","",#REF!*$C$88)</f>
        <v>#REF!</v>
      </c>
      <c r="AM88" s="11" t="e">
        <f ca="1">IF(History!AQ$2="","",#REF!*$C$88)</f>
        <v>#REF!</v>
      </c>
      <c r="AN88" s="11" t="e">
        <f ca="1">IF(History!AR$2="","",#REF!*$C$88)</f>
        <v>#REF!</v>
      </c>
      <c r="AO88" s="11" t="e">
        <f ca="1">IF(History!AS$2="","",#REF!*$C$88)</f>
        <v>#REF!</v>
      </c>
      <c r="AP88" s="11" t="e">
        <f ca="1">IF(History!AT$2="","",#REF!*$C$88)</f>
        <v>#REF!</v>
      </c>
      <c r="AQ88" s="11" t="e">
        <f ca="1">IF(History!AU$2="","",#REF!*$C$88)</f>
        <v>#REF!</v>
      </c>
      <c r="AR88" s="11" t="e">
        <f ca="1">IF(History!AV$2="","",#REF!*$C$88)</f>
        <v>#REF!</v>
      </c>
      <c r="AS88" s="11" t="e">
        <f ca="1">IF(History!AW$2="","",#REF!*$C$88)</f>
        <v>#REF!</v>
      </c>
      <c r="AT88" s="11" t="e">
        <f ca="1">IF(History!AX$2="","",#REF!*$C$88)</f>
        <v>#REF!</v>
      </c>
      <c r="AU88" s="11" t="e">
        <f ca="1">IF(History!AY$2="","",#REF!*$C$88)</f>
        <v>#REF!</v>
      </c>
      <c r="AV88" s="11" t="e">
        <f ca="1">IF(History!AZ$2="","",#REF!*$C$88)</f>
        <v>#REF!</v>
      </c>
      <c r="AW88" s="11" t="e">
        <f ca="1">IF(History!BA$2="","",#REF!*$C$88)</f>
        <v>#REF!</v>
      </c>
      <c r="AX88" s="11" t="e">
        <f ca="1">IF(History!BB$2="","",#REF!*$C$88)</f>
        <v>#REF!</v>
      </c>
      <c r="AY88" s="11" t="e">
        <f ca="1">IF(History!BC$2="","",#REF!*$C$88)</f>
        <v>#REF!</v>
      </c>
      <c r="AZ88" s="11" t="e">
        <f ca="1">IF(History!BD$2="","",#REF!*$C$88)</f>
        <v>#REF!</v>
      </c>
      <c r="BA88" s="11" t="e">
        <f ca="1">IF(History!BE$2="","",#REF!*$C$88)</f>
        <v>#REF!</v>
      </c>
      <c r="BB88" s="11" t="e">
        <f ca="1">IF(History!BF$2="","",#REF!*$C$88)</f>
        <v>#REF!</v>
      </c>
      <c r="BC88" s="11" t="e">
        <f ca="1">IF(History!BG$2="","",#REF!*$C$88)</f>
        <v>#REF!</v>
      </c>
      <c r="BD88" s="11" t="e">
        <f ca="1">IF(History!BH$2="","",#REF!*$C$88)</f>
        <v>#REF!</v>
      </c>
      <c r="BE88" s="11" t="e">
        <f ca="1">IF(History!BI$2="","",#REF!*$C$88)</f>
        <v>#REF!</v>
      </c>
      <c r="BF88" s="11" t="e">
        <f ca="1">IF(History!BJ$2="","",#REF!*$C$88)</f>
        <v>#REF!</v>
      </c>
      <c r="BG88" s="11" t="e">
        <f ca="1">IF(History!BK$2="","",#REF!*$C$88)</f>
        <v>#REF!</v>
      </c>
      <c r="BH88" s="11" t="e">
        <f ca="1">IF(History!BL$2="","",#REF!*$C$88)</f>
        <v>#REF!</v>
      </c>
      <c r="BI88" s="11" t="e">
        <f ca="1">IF(History!BM$2="","",#REF!*$C$88)</f>
        <v>#REF!</v>
      </c>
      <c r="BJ88" s="11" t="e">
        <f ca="1">IF(History!BN$2="","",#REF!*$C$88)</f>
        <v>#REF!</v>
      </c>
      <c r="BK88" s="11" t="e">
        <f ca="1">IF(History!BO$2="","",#REF!*$C$88)</f>
        <v>#REF!</v>
      </c>
      <c r="BL88" s="11" t="e">
        <f ca="1">IF(History!BP$2="","",#REF!*$C$88)</f>
        <v>#REF!</v>
      </c>
      <c r="BM88" s="11" t="e">
        <f ca="1">IF(History!BQ$2="","",#REF!*$C$88)</f>
        <v>#REF!</v>
      </c>
      <c r="BN88" s="11" t="e">
        <f ca="1">IF(History!BR$2="","",#REF!*$C$88)</f>
        <v>#REF!</v>
      </c>
      <c r="BO88" s="11" t="e">
        <f ca="1">IF(History!BS$2="","",#REF!*$C$88)</f>
        <v>#REF!</v>
      </c>
      <c r="BP88" s="11" t="e">
        <f ca="1">IF(History!BT$2="","",#REF!*$C$88)</f>
        <v>#REF!</v>
      </c>
      <c r="BQ88" s="11" t="e">
        <f ca="1">IF(History!BU$2="","",#REF!*$C$88)</f>
        <v>#REF!</v>
      </c>
      <c r="BR88" s="11" t="e">
        <f ca="1">IF(History!BV$2="","",#REF!*$C$88)</f>
        <v>#REF!</v>
      </c>
      <c r="BS88" s="11" t="e">
        <f ca="1">IF(History!BW$2="","",#REF!*$C$88)</f>
        <v>#REF!</v>
      </c>
      <c r="BT88" s="11" t="e">
        <f ca="1">IF(History!BX$2="","",#REF!*$C$88)</f>
        <v>#REF!</v>
      </c>
      <c r="BU88" s="11" t="e">
        <f ca="1">IF(History!BY$2="","",#REF!*$C$88)</f>
        <v>#REF!</v>
      </c>
      <c r="BV88" s="11" t="e">
        <f ca="1">IF(History!BZ$2="","",#REF!*$C$88)</f>
        <v>#REF!</v>
      </c>
      <c r="BW88" s="11" t="e">
        <f ca="1">IF(History!CA$2="","",#REF!*$C$88)</f>
        <v>#REF!</v>
      </c>
      <c r="BX88" s="11" t="e">
        <f ca="1">IF(History!CB$2="","",#REF!*$C$88)</f>
        <v>#REF!</v>
      </c>
      <c r="BY88" s="11" t="e">
        <f ca="1">IF(History!CC$2="","",#REF!*$C$88)</f>
        <v>#REF!</v>
      </c>
      <c r="BZ88" s="11" t="e">
        <f ca="1">IF(History!CD$2="","",#REF!*$C$88)</f>
        <v>#REF!</v>
      </c>
      <c r="CA88" s="11" t="e">
        <f ca="1">IF(History!CE$2="","",#REF!*$C$88)</f>
        <v>#REF!</v>
      </c>
      <c r="CB88" s="11" t="e">
        <f ca="1">IF(History!CF$2="","",#REF!*$C$88)</f>
        <v>#REF!</v>
      </c>
      <c r="CC88" s="11" t="e">
        <f ca="1">IF(History!CG$2="","",#REF!*$C$88)</f>
        <v>#REF!</v>
      </c>
      <c r="CD88" s="11" t="e">
        <f ca="1">IF(History!CH$2="","",#REF!*$C$88)</f>
        <v>#REF!</v>
      </c>
      <c r="CE88" s="11" t="e">
        <f ca="1">IF(History!CI$2="","",#REF!*$C$88)</f>
        <v>#REF!</v>
      </c>
      <c r="CF88" s="11" t="str">
        <f ca="1">IF(History!CJ$2="","",#REF!*$C$88)</f>
        <v/>
      </c>
      <c r="CG88" s="11" t="str">
        <f ca="1">IF(History!CK$2="","",#REF!*$C$88)</f>
        <v/>
      </c>
      <c r="CH88" s="11" t="str">
        <f ca="1">IF(History!CL$2="","",#REF!*$C$88)</f>
        <v/>
      </c>
      <c r="CI88" s="11" t="str">
        <f ca="1">IF(History!CM$2="","",#REF!*$C$88)</f>
        <v/>
      </c>
      <c r="CJ88" s="11" t="str">
        <f ca="1">IF(History!CN$2="","",#REF!*$C$88)</f>
        <v/>
      </c>
      <c r="CK88" s="11" t="str">
        <f ca="1">IF(History!CO$2="","",#REF!*$C$88)</f>
        <v/>
      </c>
      <c r="CL88" s="11" t="str">
        <f ca="1">IF(History!CP$2="","",#REF!*$C$88)</f>
        <v/>
      </c>
      <c r="CM88" s="11" t="str">
        <f ca="1">IF(History!CQ$2="","",#REF!*$C$88)</f>
        <v/>
      </c>
      <c r="CN88" s="11" t="str">
        <f ca="1">IF(History!CR$2="","",#REF!*$C$88)</f>
        <v/>
      </c>
      <c r="CO88" s="11" t="str">
        <f ca="1">IF(History!CS$2="","",#REF!*$C$88)</f>
        <v/>
      </c>
      <c r="CP88" s="11" t="str">
        <f ca="1">IF(History!CT$2="","",#REF!*$C$88)</f>
        <v/>
      </c>
      <c r="CQ88" s="11" t="str">
        <f ca="1">IF(History!CU$2="","",#REF!*$C$88)</f>
        <v/>
      </c>
      <c r="CR88" s="11" t="str">
        <f ca="1">IF(History!CV$2="","",#REF!*$C$88)</f>
        <v/>
      </c>
      <c r="CS88" s="11" t="str">
        <f ca="1">IF(History!CW$2="","",#REF!*$C$88)</f>
        <v/>
      </c>
      <c r="CT88" s="11" t="str">
        <f ca="1">IF(History!CX$2="","",#REF!*$C$88)</f>
        <v/>
      </c>
      <c r="CU88" s="11" t="str">
        <f ca="1">IF(History!CY$2="","",#REF!*$C$88)</f>
        <v/>
      </c>
      <c r="CV88" s="11" t="str">
        <f ca="1">IF(History!CZ$2="","",#REF!*$C$88)</f>
        <v/>
      </c>
      <c r="CW88" s="11" t="str">
        <f ca="1">IF(History!DA$2="","",#REF!*$C$88)</f>
        <v/>
      </c>
      <c r="CX88" s="11" t="str">
        <f ca="1">IF(History!DB$2="","",#REF!*$C$88)</f>
        <v/>
      </c>
      <c r="CY88" s="11" t="str">
        <f ca="1">IF(History!DC$2="","",#REF!*$C$88)</f>
        <v/>
      </c>
      <c r="CZ88" s="11" t="str">
        <f ca="1">IF(History!DD$2="","",#REF!*$C$88)</f>
        <v/>
      </c>
      <c r="DA88" s="11" t="str">
        <f ca="1">IF(History!DE$2="","",#REF!*$C$88)</f>
        <v/>
      </c>
      <c r="DB88" s="11" t="str">
        <f ca="1">IF(History!DF$2="","",#REF!*$C$88)</f>
        <v/>
      </c>
      <c r="DC88" s="11" t="str">
        <f ca="1">IF(History!DG$2="","",#REF!*$C$88)</f>
        <v/>
      </c>
      <c r="DD88" s="11" t="str">
        <f ca="1">IF(History!DH$2="","",#REF!*$C$88)</f>
        <v/>
      </c>
      <c r="DE88" s="11" t="str">
        <f ca="1">IF(History!DI$2="","",#REF!*$C$88)</f>
        <v/>
      </c>
      <c r="DF88" s="11" t="str">
        <f ca="1">IF(History!DJ$2="","",#REF!*$C$88)</f>
        <v/>
      </c>
      <c r="DG88" s="11" t="str">
        <f ca="1">IF(History!DK$2="","",#REF!*$C$88)</f>
        <v/>
      </c>
      <c r="DH88" s="11" t="str">
        <f ca="1">IF(History!DL$2="","",#REF!*$C$88)</f>
        <v/>
      </c>
      <c r="DI88" s="11" t="str">
        <f ca="1">IF(History!DM$2="","",#REF!*$C$88)</f>
        <v/>
      </c>
      <c r="DJ88" s="11" t="str">
        <f ca="1">IF(History!DN$2="","",#REF!*$C$88)</f>
        <v/>
      </c>
      <c r="DK88" s="11" t="str">
        <f ca="1">IF(History!DO$2="","",#REF!*$C$88)</f>
        <v/>
      </c>
      <c r="DL88" s="11" t="str">
        <f ca="1">IF(History!DP$2="","",#REF!*$C$88)</f>
        <v/>
      </c>
      <c r="DM88" s="11" t="str">
        <f ca="1">IF(History!DQ$2="","",#REF!*$C$88)</f>
        <v/>
      </c>
      <c r="DN88" s="11" t="str">
        <f ca="1">IF(History!DR$2="","",#REF!*$C$88)</f>
        <v/>
      </c>
      <c r="DO88" s="11" t="str">
        <f ca="1">IF(History!DS$2="","",#REF!*$C$88)</f>
        <v/>
      </c>
      <c r="DP88" s="11" t="str">
        <f ca="1">IF(History!DT$2="","",#REF!*$C$88)</f>
        <v/>
      </c>
      <c r="DQ88" s="11" t="str">
        <f ca="1">IF(History!DU$2="","",#REF!*$C$88)</f>
        <v/>
      </c>
      <c r="DR88" s="11" t="str">
        <f ca="1">IF(History!DV$2="","",#REF!*$C$88)</f>
        <v/>
      </c>
      <c r="DS88" s="11" t="str">
        <f ca="1">IF(History!DW$2="","",#REF!*$C$88)</f>
        <v/>
      </c>
      <c r="DT88" s="11" t="str">
        <f ca="1">IF(History!DX$2="","",#REF!*$C$88)</f>
        <v/>
      </c>
      <c r="DU88" s="11" t="str">
        <f ca="1">IF(History!DY$2="","",#REF!*$C$88)</f>
        <v/>
      </c>
      <c r="DV88" s="11" t="str">
        <f ca="1">IF(History!DZ$2="","",#REF!*$C$88)</f>
        <v/>
      </c>
      <c r="DW88" s="11" t="str">
        <f ca="1">IF(History!EA$2="","",#REF!*$C$88)</f>
        <v/>
      </c>
      <c r="DX88" s="11" t="str">
        <f ca="1">IF(History!EB$2="","",#REF!*$C$88)</f>
        <v/>
      </c>
      <c r="DY88" s="11" t="str">
        <f ca="1">IF(History!EC$2="","",#REF!*$C$88)</f>
        <v/>
      </c>
      <c r="DZ88" s="11" t="str">
        <f ca="1">IF(History!ED$2="","",#REF!*$C$88)</f>
        <v/>
      </c>
      <c r="EA88" s="11" t="str">
        <f ca="1">IF(History!EE$2="","",#REF!*$C$88)</f>
        <v/>
      </c>
      <c r="EB88" s="11" t="str">
        <f ca="1">IF(History!EF$2="","",#REF!*$C$88)</f>
        <v/>
      </c>
      <c r="EC88" s="11" t="str">
        <f ca="1">IF(History!EG$2="","",#REF!*$C$88)</f>
        <v/>
      </c>
      <c r="ED88" s="11" t="str">
        <f ca="1">IF(History!EH$2="","",#REF!*$C$88)</f>
        <v/>
      </c>
      <c r="EE88" s="11" t="str">
        <f ca="1">IF(History!EI$2="","",#REF!*$C$88)</f>
        <v/>
      </c>
      <c r="EF88" s="11" t="str">
        <f ca="1">IF(History!EJ$2="","",#REF!*$C$88)</f>
        <v/>
      </c>
      <c r="EG88" s="11" t="str">
        <f ca="1">IF(History!EK$2="","",#REF!*$C$88)</f>
        <v/>
      </c>
      <c r="EH88" s="11" t="str">
        <f ca="1">IF(History!EL$2="","",#REF!*$C$88)</f>
        <v/>
      </c>
      <c r="EI88" s="11" t="str">
        <f ca="1">IF(History!EM$2="","",#REF!*$C$88)</f>
        <v/>
      </c>
      <c r="EJ88" s="11" t="str">
        <f ca="1">IF(History!EN$2="","",#REF!*$C$88)</f>
        <v/>
      </c>
      <c r="EK88" s="11" t="str">
        <f ca="1">IF(History!EO$2="","",#REF!*$C$88)</f>
        <v/>
      </c>
      <c r="EL88" s="11" t="str">
        <f ca="1">IF(History!EP$2="","",#REF!*$C$88)</f>
        <v/>
      </c>
      <c r="EM88" s="11" t="str">
        <f ca="1">IF(History!EQ$2="","",#REF!*$C$88)</f>
        <v/>
      </c>
      <c r="EN88" s="11" t="str">
        <f ca="1">IF(History!ER$2="","",#REF!*$C$88)</f>
        <v/>
      </c>
      <c r="EO88" s="11" t="str">
        <f ca="1">IF(History!ES$2="","",#REF!*$C$88)</f>
        <v/>
      </c>
      <c r="EP88" s="11" t="str">
        <f ca="1">IF(History!ET$2="","",#REF!*$C$88)</f>
        <v/>
      </c>
      <c r="EQ88" s="11" t="str">
        <f ca="1">IF(History!EU$2="","",#REF!*$C$88)</f>
        <v/>
      </c>
      <c r="ER88" s="11" t="str">
        <f ca="1">IF(History!EV$2="","",#REF!*$C$88)</f>
        <v/>
      </c>
      <c r="ES88" s="11" t="str">
        <f ca="1">IF(History!EW$2="","",#REF!*$C$88)</f>
        <v/>
      </c>
      <c r="ET88" s="11" t="str">
        <f ca="1">IF(History!EX$2="","",#REF!*$C$88)</f>
        <v/>
      </c>
      <c r="EU88" s="11" t="str">
        <f ca="1">IF(History!EY$2="","",#REF!*$C$88)</f>
        <v/>
      </c>
      <c r="EV88" s="11" t="str">
        <f ca="1">IF(History!EZ$2="","",#REF!*$C$88)</f>
        <v/>
      </c>
      <c r="EW88" s="11" t="str">
        <f ca="1">IF(History!FA$2="","",#REF!*$C$88)</f>
        <v/>
      </c>
      <c r="EX88" s="11" t="str">
        <f ca="1">IF(History!FB$2="","",#REF!*$C$88)</f>
        <v/>
      </c>
      <c r="EY88" s="11" t="str">
        <f ca="1">IF(History!FC$2="","",#REF!*$C$88)</f>
        <v/>
      </c>
      <c r="EZ88" s="11" t="str">
        <f ca="1">IF(History!FD$2="","",#REF!*$C$88)</f>
        <v/>
      </c>
      <c r="FA88" s="11" t="str">
        <f ca="1">IF(History!FE$2="","",#REF!*$C$88)</f>
        <v/>
      </c>
      <c r="FB88" s="11" t="str">
        <f ca="1">IF(History!FF$2="","",#REF!*$C$88)</f>
        <v/>
      </c>
      <c r="FC88" s="11" t="str">
        <f ca="1">IF(History!FG$2="","",#REF!*$C$88)</f>
        <v/>
      </c>
      <c r="FD88" s="11" t="str">
        <f ca="1">IF(History!FH$2="","",#REF!*$C$88)</f>
        <v/>
      </c>
      <c r="FE88" s="11" t="str">
        <f ca="1">IF(History!FI$2="","",#REF!*$C$88)</f>
        <v/>
      </c>
      <c r="FF88" s="11" t="str">
        <f ca="1">IF(History!FJ$2="","",#REF!*$C$88)</f>
        <v/>
      </c>
      <c r="FG88" s="11" t="str">
        <f ca="1">IF(History!FK$2="","",#REF!*$C$88)</f>
        <v/>
      </c>
      <c r="FH88" s="11" t="str">
        <f ca="1">IF(History!FL$2="","",#REF!*$C$88)</f>
        <v/>
      </c>
      <c r="FI88" s="11" t="str">
        <f ca="1">IF(History!FM$2="","",#REF!*$C$88)</f>
        <v/>
      </c>
      <c r="FJ88" s="11" t="str">
        <f ca="1">IF(History!FN$2="","",#REF!*$C$88)</f>
        <v/>
      </c>
      <c r="FK88" s="11" t="str">
        <f ca="1">IF(History!FO$2="","",#REF!*$C$88)</f>
        <v/>
      </c>
      <c r="FL88" s="11" t="str">
        <f ca="1">IF(History!FP$2="","",#REF!*$C$88)</f>
        <v/>
      </c>
      <c r="FM88" s="11" t="str">
        <f ca="1">IF(History!FQ$2="","",#REF!*$C$88)</f>
        <v/>
      </c>
      <c r="FN88" s="11" t="str">
        <f ca="1">IF(History!FR$2="","",#REF!*$C$88)</f>
        <v/>
      </c>
      <c r="FO88" s="11" t="str">
        <f ca="1">IF(History!FS$2="","",#REF!*$C$88)</f>
        <v/>
      </c>
      <c r="FP88" s="11" t="str">
        <f ca="1">IF(History!FT$2="","",#REF!*$C$88)</f>
        <v/>
      </c>
      <c r="FQ88" s="11" t="str">
        <f ca="1">IF(History!FU$2="","",#REF!*$C$88)</f>
        <v/>
      </c>
      <c r="FR88" s="11" t="str">
        <f ca="1">IF(History!FV$2="","",#REF!*$C$88)</f>
        <v/>
      </c>
      <c r="FS88" s="11" t="str">
        <f ca="1">IF(History!FW$2="","",#REF!*$C$88)</f>
        <v/>
      </c>
      <c r="FT88" s="11" t="str">
        <f ca="1">IF(History!FX$2="","",#REF!*$C$88)</f>
        <v/>
      </c>
      <c r="FU88" s="11" t="str">
        <f ca="1">IF(History!FY$2="","",#REF!*$C$88)</f>
        <v/>
      </c>
      <c r="FV88" s="11" t="str">
        <f ca="1">IF(History!FZ$2="","",#REF!*$C$88)</f>
        <v/>
      </c>
      <c r="FW88" s="11" t="str">
        <f ca="1">IF(History!GA$2="","",#REF!*$C$88)</f>
        <v/>
      </c>
      <c r="FX88" s="11" t="str">
        <f ca="1">IF(History!GB$2="","",#REF!*$C$88)</f>
        <v/>
      </c>
      <c r="FY88" s="11" t="str">
        <f ca="1">IF(History!GC$2="","",#REF!*$C$88)</f>
        <v/>
      </c>
      <c r="FZ88" s="11" t="str">
        <f ca="1">IF(History!GD$2="","",#REF!*$C$88)</f>
        <v/>
      </c>
      <c r="GA88" s="11" t="str">
        <f ca="1">IF(History!GE$2="","",#REF!*$C$88)</f>
        <v/>
      </c>
      <c r="GB88" s="11" t="str">
        <f ca="1">IF(History!GF$2="","",#REF!*$C$88)</f>
        <v/>
      </c>
      <c r="GC88" s="11" t="str">
        <f ca="1">IF(History!GG$2="","",#REF!*$C$88)</f>
        <v/>
      </c>
      <c r="GD88" s="11" t="str">
        <f ca="1">IF(History!GH$2="","",#REF!*$C$88)</f>
        <v/>
      </c>
      <c r="GE88" s="11" t="str">
        <f ca="1">IF(History!GI$2="","",#REF!*$C$88)</f>
        <v/>
      </c>
      <c r="GF88" s="11" t="str">
        <f ca="1">IF(History!GJ$2="","",#REF!*$C$88)</f>
        <v/>
      </c>
      <c r="GG88" s="11" t="str">
        <f ca="1">IF(History!GK$2="","",#REF!*$C$88)</f>
        <v/>
      </c>
      <c r="GH88" s="11" t="str">
        <f ca="1">IF(History!GL$2="","",#REF!*$C$88)</f>
        <v/>
      </c>
      <c r="GI88" s="11" t="str">
        <f ca="1">IF(History!GM$2="","",#REF!*$C$88)</f>
        <v/>
      </c>
      <c r="GJ88" s="11" t="str">
        <f ca="1">IF(History!GN$2="","",#REF!*$C$88)</f>
        <v/>
      </c>
      <c r="GK88" s="11" t="str">
        <f ca="1">IF(History!GO$2="","",#REF!*$C$88)</f>
        <v/>
      </c>
      <c r="GL88" s="11" t="str">
        <f ca="1">IF(History!GP$2="","",#REF!*$C$88)</f>
        <v/>
      </c>
      <c r="GM88" s="11" t="str">
        <f ca="1">IF(History!GQ$2="","",#REF!*$C$88)</f>
        <v/>
      </c>
      <c r="GN88" s="11" t="str">
        <f ca="1">IF(History!GR$2="","",#REF!*$C$88)</f>
        <v/>
      </c>
      <c r="GO88" s="11" t="str">
        <f ca="1">IF(History!GS$2="","",#REF!*$C$88)</f>
        <v/>
      </c>
      <c r="GP88" s="11" t="str">
        <f ca="1">IF(History!GT$2="","",#REF!*$C$88)</f>
        <v/>
      </c>
      <c r="GQ88" s="11" t="str">
        <f ca="1">IF(History!GU$2="","",#REF!*$C$88)</f>
        <v/>
      </c>
      <c r="GR88" s="11" t="str">
        <f ca="1">IF(History!GV$2="","",#REF!*$C$88)</f>
        <v/>
      </c>
      <c r="GS88" s="11" t="str">
        <f ca="1">IF(History!GW$2="","",#REF!*$C$88)</f>
        <v/>
      </c>
      <c r="GT88" s="11" t="str">
        <f ca="1">IF(History!GX$2="","",#REF!*$C$88)</f>
        <v/>
      </c>
      <c r="GU88" s="11" t="str">
        <f ca="1">IF(History!GY$2="","",#REF!*$C$88)</f>
        <v/>
      </c>
      <c r="GV88" s="11" t="str">
        <f ca="1">IF(History!GZ$2="","",#REF!*$C$88)</f>
        <v/>
      </c>
      <c r="GW88" s="11" t="str">
        <f ca="1">IF(History!HA$2="","",#REF!*$C$88)</f>
        <v/>
      </c>
      <c r="GX88" s="11" t="str">
        <f ca="1">IF(History!HB$2="","",#REF!*$C$88)</f>
        <v/>
      </c>
      <c r="GY88" s="11" t="str">
        <f ca="1">IF(History!HC$2="","",#REF!*$C$88)</f>
        <v/>
      </c>
      <c r="GZ88" s="11" t="str">
        <f ca="1">IF(History!HD$2="","",#REF!*$C$88)</f>
        <v/>
      </c>
      <c r="HA88" s="11" t="str">
        <f ca="1">IF(History!HE$2="","",#REF!*$C$88)</f>
        <v/>
      </c>
      <c r="HB88" s="11" t="str">
        <f ca="1">IF(History!HF$2="","",#REF!*$C$88)</f>
        <v/>
      </c>
      <c r="HC88" s="11" t="str">
        <f ca="1">IF(History!HG$2="","",#REF!*$C$88)</f>
        <v/>
      </c>
      <c r="HD88" s="11" t="str">
        <f ca="1">IF(History!HH$2="","",#REF!*$C$88)</f>
        <v/>
      </c>
      <c r="HE88" s="11" t="str">
        <f ca="1">IF(History!HI$2="","",#REF!*$C$88)</f>
        <v/>
      </c>
      <c r="HF88" s="11" t="str">
        <f ca="1">IF(History!HJ$2="","",#REF!*$C$88)</f>
        <v/>
      </c>
      <c r="HG88" s="11" t="str">
        <f ca="1">IF(History!HK$2="","",#REF!*$C$88)</f>
        <v/>
      </c>
      <c r="HH88" s="11" t="str">
        <f ca="1">IF(History!HL$2="","",#REF!*$C$88)</f>
        <v/>
      </c>
      <c r="HI88" s="11" t="str">
        <f ca="1">IF(History!HM$2="","",#REF!*$C$88)</f>
        <v/>
      </c>
      <c r="HJ88" s="11" t="str">
        <f ca="1">IF(History!HN$2="","",#REF!*$C$88)</f>
        <v/>
      </c>
      <c r="HK88" s="11" t="str">
        <f ca="1">IF(History!HO$2="","",#REF!*$C$88)</f>
        <v/>
      </c>
      <c r="HL88" s="11" t="str">
        <f ca="1">IF(History!HP$2="","",#REF!*$C$88)</f>
        <v/>
      </c>
      <c r="HM88" s="11" t="str">
        <f ca="1">IF(History!HQ$2="","",#REF!*$C$88)</f>
        <v/>
      </c>
      <c r="HN88" s="11" t="str">
        <f ca="1">IF(History!HR$2="","",#REF!*$C$88)</f>
        <v/>
      </c>
      <c r="HO88" s="11" t="str">
        <f ca="1">IF(History!HS$2="","",#REF!*$C$88)</f>
        <v/>
      </c>
      <c r="HP88" s="11" t="str">
        <f ca="1">IF(History!HT$2="","",#REF!*$C$88)</f>
        <v/>
      </c>
      <c r="HQ88" s="11" t="str">
        <f ca="1">IF(History!HU$2="","",#REF!*$C$88)</f>
        <v/>
      </c>
      <c r="HR88" s="11" t="str">
        <f ca="1">IF(History!HV$2="","",#REF!*$C$88)</f>
        <v/>
      </c>
      <c r="HS88" s="11" t="str">
        <f ca="1">IF(History!HW$2="","",#REF!*$C$88)</f>
        <v/>
      </c>
      <c r="HT88" s="11" t="str">
        <f ca="1">IF(History!HX$2="","",#REF!*$C$88)</f>
        <v/>
      </c>
      <c r="HU88" s="11" t="str">
        <f ca="1">IF(History!HY$2="","",#REF!*$C$88)</f>
        <v/>
      </c>
      <c r="HV88" s="11" t="str">
        <f ca="1">IF(History!HZ$2="","",#REF!*$C$88)</f>
        <v/>
      </c>
      <c r="HW88" s="11" t="str">
        <f ca="1">IF(History!IA$2="","",#REF!*$C$88)</f>
        <v/>
      </c>
      <c r="HX88" s="11" t="str">
        <f ca="1">IF(History!IB$2="","",#REF!*$C$88)</f>
        <v/>
      </c>
      <c r="HY88" s="11" t="str">
        <f ca="1">IF(History!IC$2="","",#REF!*$C$88)</f>
        <v/>
      </c>
      <c r="HZ88" s="11" t="str">
        <f ca="1">IF(History!ID$2="","",#REF!*$C$88)</f>
        <v/>
      </c>
      <c r="IA88" s="11" t="str">
        <f ca="1">IF(History!IE$2="","",#REF!*$C$88)</f>
        <v/>
      </c>
      <c r="IB88" s="11" t="str">
        <f ca="1">IF(History!IF$2="","",#REF!*$C$88)</f>
        <v/>
      </c>
      <c r="IC88" s="11" t="str">
        <f ca="1">IF(History!IG$2="","",#REF!*$C$88)</f>
        <v/>
      </c>
      <c r="ID88" s="11" t="str">
        <f ca="1">IF(History!IH$2="","",#REF!*$C$88)</f>
        <v/>
      </c>
      <c r="IE88" s="11" t="str">
        <f ca="1">IF(History!II$2="","",#REF!*$C$88)</f>
        <v/>
      </c>
      <c r="IF88" s="11" t="str">
        <f ca="1">IF(History!IJ$2="","",#REF!*$C$88)</f>
        <v/>
      </c>
      <c r="IG88" s="11" t="str">
        <f ca="1">IF(History!IK$2="","",#REF!*$C$88)</f>
        <v/>
      </c>
      <c r="IH88" s="11" t="str">
        <f ca="1">IF(History!IL$2="","",#REF!*$C$88)</f>
        <v/>
      </c>
      <c r="II88" s="11" t="str">
        <f ca="1">IF(History!IM$2="","",#REF!*$C$88)</f>
        <v/>
      </c>
      <c r="IJ88" s="11" t="str">
        <f ca="1">IF(History!IN$2="","",#REF!*$C$88)</f>
        <v/>
      </c>
      <c r="IK88" s="11" t="str">
        <f ca="1">IF(History!IO$2="","",#REF!*$C$88)</f>
        <v/>
      </c>
      <c r="IL88" s="11" t="str">
        <f ca="1">IF(History!IP$2="","",#REF!*$C$88)</f>
        <v/>
      </c>
      <c r="IM88" s="11" t="str">
        <f ca="1">IF(History!IQ$2="","",#REF!*$C$88)</f>
        <v/>
      </c>
      <c r="IN88" s="11" t="str">
        <f ca="1">IF(History!IR$2="","",#REF!*$C$88)</f>
        <v/>
      </c>
      <c r="IO88" s="11" t="str">
        <f ca="1">IF(History!IS$2="","",#REF!*$C$88)</f>
        <v/>
      </c>
      <c r="IP88" s="11" t="str">
        <f ca="1">IF(History!IT$2="","",#REF!*$C$88)</f>
        <v/>
      </c>
      <c r="IQ88" s="11" t="str">
        <f ca="1">IF(History!IU$2="","",#REF!*$C$88)</f>
        <v/>
      </c>
      <c r="IR88" s="11" t="str">
        <f ca="1">IF(History!IV$2="","",#REF!*$C$88)</f>
        <v/>
      </c>
      <c r="IS88" s="11" t="str">
        <f ca="1">IF(History!IW$2="","",#REF!*$C$88)</f>
        <v/>
      </c>
      <c r="IT88" s="11" t="str">
        <f ca="1">IF(History!IX$2="","",#REF!*$C$88)</f>
        <v/>
      </c>
      <c r="IU88" s="11" t="str">
        <f ca="1">IF(History!IY$2="","",#REF!*$C$88)</f>
        <v/>
      </c>
      <c r="IV88" s="11" t="str">
        <f ca="1">IF(History!IZ$2="","",#REF!*$C$88)</f>
        <v/>
      </c>
      <c r="IW88" s="11" t="str">
        <f ca="1">IF(History!JA$2="","",#REF!*$C$88)</f>
        <v/>
      </c>
      <c r="IX88" s="11" t="str">
        <f ca="1">IF(History!JB$2="","",#REF!*$C$88)</f>
        <v/>
      </c>
      <c r="IY88" s="11" t="str">
        <f ca="1">IF(History!JC$2="","",#REF!*$C$88)</f>
        <v/>
      </c>
      <c r="IZ88" s="11" t="str">
        <f ca="1">IF(History!JD$2="","",#REF!*$C$88)</f>
        <v/>
      </c>
      <c r="JA88" s="11" t="str">
        <f ca="1">IF(History!JE$2="","",#REF!*$C$88)</f>
        <v/>
      </c>
      <c r="JB88" s="11" t="str">
        <f ca="1">IF(History!JF$2="","",#REF!*$C$88)</f>
        <v/>
      </c>
      <c r="JC88" s="11" t="str">
        <f ca="1">IF(History!JG$2="","",#REF!*$C$88)</f>
        <v/>
      </c>
      <c r="JD88" s="11" t="str">
        <f ca="1">IF(History!JH$2="","",#REF!*$C$88)</f>
        <v/>
      </c>
      <c r="JE88" s="11" t="str">
        <f ca="1">IF(History!JI$2="","",#REF!*$C$88)</f>
        <v/>
      </c>
      <c r="JF88" s="11" t="str">
        <f ca="1">IF(History!JJ$2="","",#REF!*$C$88)</f>
        <v/>
      </c>
      <c r="JG88" s="11" t="str">
        <f ca="1">IF(History!JK$2="","",#REF!*$C$88)</f>
        <v/>
      </c>
      <c r="JH88" s="11" t="str">
        <f ca="1">IF(History!JL$2="","",#REF!*$C$88)</f>
        <v/>
      </c>
      <c r="JI88" s="11" t="str">
        <f ca="1">IF(History!JM$2="","",#REF!*$C$88)</f>
        <v/>
      </c>
      <c r="JJ88" s="11" t="str">
        <f ca="1">IF(History!JN$2="","",#REF!*$C$88)</f>
        <v/>
      </c>
      <c r="JK88" s="11" t="str">
        <f ca="1">IF(History!JO$2="","",#REF!*$C$88)</f>
        <v/>
      </c>
      <c r="JL88" s="11" t="str">
        <f ca="1">IF(History!JP$2="","",#REF!*$C$88)</f>
        <v/>
      </c>
      <c r="JM88" s="11" t="str">
        <f ca="1">IF(History!JQ$2="","",#REF!*$C$88)</f>
        <v/>
      </c>
      <c r="JN88" s="11" t="str">
        <f ca="1">IF(History!JR$2="","",#REF!*$C$88)</f>
        <v/>
      </c>
      <c r="JO88" s="11" t="str">
        <f ca="1">IF(History!JS$2="","",#REF!*$C$88)</f>
        <v/>
      </c>
      <c r="JP88" s="11" t="str">
        <f ca="1">IF(History!JT$2="","",#REF!*$C$88)</f>
        <v/>
      </c>
      <c r="JQ88" s="11" t="str">
        <f ca="1">IF(History!JU$2="","",#REF!*$C$88)</f>
        <v/>
      </c>
      <c r="JR88" s="11" t="str">
        <f ca="1">IF(History!JV$2="","",#REF!*$C$88)</f>
        <v/>
      </c>
      <c r="JS88" s="11" t="str">
        <f ca="1">IF(History!JW$2="","",#REF!*$C$88)</f>
        <v/>
      </c>
      <c r="JT88" s="11" t="str">
        <f ca="1">IF(History!JX$2="","",#REF!*$C$88)</f>
        <v/>
      </c>
      <c r="JU88" s="11" t="str">
        <f ca="1">IF(History!JY$2="","",#REF!*$C$88)</f>
        <v/>
      </c>
      <c r="JV88" s="11" t="str">
        <f ca="1">IF(History!JZ$2="","",#REF!*$C$88)</f>
        <v/>
      </c>
      <c r="JW88" s="11" t="str">
        <f ca="1">IF(History!KA$2="","",#REF!*$C$88)</f>
        <v/>
      </c>
      <c r="JX88" s="11" t="str">
        <f ca="1">IF(History!KB$2="","",#REF!*$C$88)</f>
        <v/>
      </c>
      <c r="JY88" s="11" t="str">
        <f ca="1">IF(History!KC$2="","",#REF!*$C$88)</f>
        <v/>
      </c>
      <c r="JZ88" s="11" t="str">
        <f ca="1">IF(History!KD$2="","",#REF!*$C$88)</f>
        <v/>
      </c>
      <c r="KA88" s="11" t="str">
        <f ca="1">IF(History!KE$2="","",#REF!*$C$88)</f>
        <v/>
      </c>
      <c r="KB88" s="11" t="str">
        <f ca="1">IF(History!KF$2="","",#REF!*$C$88)</f>
        <v/>
      </c>
    </row>
    <row r="89" spans="1:288" ht="13">
      <c r="A89" s="18" t="s">
        <v>140</v>
      </c>
      <c r="B89" s="6" t="s">
        <v>167</v>
      </c>
      <c r="C89" s="26">
        <v>62</v>
      </c>
      <c r="D89" s="11" t="e">
        <f ca="1">IF(History!H$2="","",#REF!*$C$89)</f>
        <v>#REF!</v>
      </c>
      <c r="E89" s="11" t="e">
        <f ca="1">IF(History!I$2="","",#REF!*$C$89)</f>
        <v>#REF!</v>
      </c>
      <c r="F89" s="11" t="e">
        <f ca="1">IF(History!J$2="","",#REF!*$C$89)</f>
        <v>#REF!</v>
      </c>
      <c r="G89" s="11" t="e">
        <f ca="1">IF(History!K$2="","",#REF!*$C$89)</f>
        <v>#REF!</v>
      </c>
      <c r="H89" s="11" t="e">
        <f ca="1">IF(History!L$2="","",#REF!*$C$89)</f>
        <v>#REF!</v>
      </c>
      <c r="I89" s="11" t="e">
        <f ca="1">IF(History!M$2="","",#REF!*$C$89)</f>
        <v>#REF!</v>
      </c>
      <c r="J89" s="11" t="e">
        <f ca="1">IF(History!N$2="","",#REF!*$C$89)</f>
        <v>#REF!</v>
      </c>
      <c r="K89" s="11" t="e">
        <f ca="1">IF(History!O$2="","",#REF!*$C$89)</f>
        <v>#REF!</v>
      </c>
      <c r="L89" s="11" t="e">
        <f ca="1">IF(History!P$2="","",#REF!*$C$89)</f>
        <v>#REF!</v>
      </c>
      <c r="M89" s="11" t="e">
        <f ca="1">IF(History!Q$2="","",#REF!*$C$89)</f>
        <v>#REF!</v>
      </c>
      <c r="N89" s="11" t="e">
        <f ca="1">IF(History!R$2="","",#REF!*$C$89)</f>
        <v>#REF!</v>
      </c>
      <c r="O89" s="11" t="e">
        <f ca="1">IF(History!S$2="","",#REF!*$C$89)</f>
        <v>#REF!</v>
      </c>
      <c r="P89" s="11" t="e">
        <f ca="1">IF(History!T$2="","",#REF!*$C$89)</f>
        <v>#REF!</v>
      </c>
      <c r="Q89" s="11" t="e">
        <f ca="1">IF(History!U$2="","",#REF!*$C$89)</f>
        <v>#REF!</v>
      </c>
      <c r="R89" s="11" t="e">
        <f ca="1">IF(History!V$2="","",#REF!*$C$89)</f>
        <v>#REF!</v>
      </c>
      <c r="S89" s="11" t="e">
        <f ca="1">IF(History!W$2="","",#REF!*$C$89)</f>
        <v>#REF!</v>
      </c>
      <c r="T89" s="11" t="e">
        <f ca="1">IF(History!X$2="","",#REF!*$C$89)</f>
        <v>#REF!</v>
      </c>
      <c r="U89" s="11" t="e">
        <f ca="1">IF(History!Y$2="","",#REF!*$C$89)</f>
        <v>#REF!</v>
      </c>
      <c r="V89" s="11" t="e">
        <f ca="1">IF(History!Z$2="","",#REF!*$C$89)</f>
        <v>#REF!</v>
      </c>
      <c r="W89" s="11" t="e">
        <f ca="1">IF(History!AA$2="","",#REF!*$C$89)</f>
        <v>#REF!</v>
      </c>
      <c r="X89" s="11" t="e">
        <f ca="1">IF(History!AB$2="","",#REF!*$C$89)</f>
        <v>#REF!</v>
      </c>
      <c r="Y89" s="11" t="e">
        <f ca="1">IF(History!AC$2="","",#REF!*$C$89)</f>
        <v>#REF!</v>
      </c>
      <c r="Z89" s="11" t="e">
        <f ca="1">IF(History!AD$2="","",#REF!*$C$89)</f>
        <v>#REF!</v>
      </c>
      <c r="AA89" s="11" t="e">
        <f ca="1">IF(History!AE$2="","",#REF!*$C$89)</f>
        <v>#REF!</v>
      </c>
      <c r="AB89" s="11" t="e">
        <f ca="1">IF(History!AF$2="","",#REF!*$C$89)</f>
        <v>#REF!</v>
      </c>
      <c r="AC89" s="11" t="e">
        <f ca="1">IF(History!AG$2="","",#REF!*$C$89)</f>
        <v>#REF!</v>
      </c>
      <c r="AD89" s="11" t="e">
        <f ca="1">IF(History!AH$2="","",#REF!*$C$89)</f>
        <v>#REF!</v>
      </c>
      <c r="AE89" s="11" t="e">
        <f ca="1">IF(History!AI$2="","",#REF!*$C$89)</f>
        <v>#REF!</v>
      </c>
      <c r="AF89" s="11" t="e">
        <f ca="1">IF(History!AJ$2="","",#REF!*$C$89)</f>
        <v>#REF!</v>
      </c>
      <c r="AG89" s="11" t="e">
        <f ca="1">IF(History!AK$2="","",#REF!*$C$89)</f>
        <v>#REF!</v>
      </c>
      <c r="AH89" s="11" t="e">
        <f ca="1">IF(History!AL$2="","",#REF!*$C$89)</f>
        <v>#REF!</v>
      </c>
      <c r="AI89" s="11" t="e">
        <f ca="1">IF(History!AM$2="","",#REF!*$C$89)</f>
        <v>#REF!</v>
      </c>
      <c r="AJ89" s="11" t="e">
        <f ca="1">IF(History!AN$2="","",#REF!*$C$89)</f>
        <v>#REF!</v>
      </c>
      <c r="AK89" s="11" t="e">
        <f ca="1">IF(History!AO$2="","",#REF!*$C$89)</f>
        <v>#REF!</v>
      </c>
      <c r="AL89" s="11" t="e">
        <f ca="1">IF(History!AP$2="","",#REF!*$C$89)</f>
        <v>#REF!</v>
      </c>
      <c r="AM89" s="11" t="e">
        <f ca="1">IF(History!AQ$2="","",#REF!*$C$89)</f>
        <v>#REF!</v>
      </c>
      <c r="AN89" s="11" t="e">
        <f ca="1">IF(History!AR$2="","",#REF!*$C$89)</f>
        <v>#REF!</v>
      </c>
      <c r="AO89" s="11" t="e">
        <f ca="1">IF(History!AS$2="","",#REF!*$C$89)</f>
        <v>#REF!</v>
      </c>
      <c r="AP89" s="11" t="e">
        <f ca="1">IF(History!AT$2="","",#REF!*$C$89)</f>
        <v>#REF!</v>
      </c>
      <c r="AQ89" s="11" t="e">
        <f ca="1">IF(History!AU$2="","",#REF!*$C$89)</f>
        <v>#REF!</v>
      </c>
      <c r="AR89" s="11" t="e">
        <f ca="1">IF(History!AV$2="","",#REF!*$C$89)</f>
        <v>#REF!</v>
      </c>
      <c r="AS89" s="11" t="e">
        <f ca="1">IF(History!AW$2="","",#REF!*$C$89)</f>
        <v>#REF!</v>
      </c>
      <c r="AT89" s="11" t="e">
        <f ca="1">IF(History!AX$2="","",#REF!*$C$89)</f>
        <v>#REF!</v>
      </c>
      <c r="AU89" s="11" t="e">
        <f ca="1">IF(History!AY$2="","",#REF!*$C$89)</f>
        <v>#REF!</v>
      </c>
      <c r="AV89" s="11" t="e">
        <f ca="1">IF(History!AZ$2="","",#REF!*$C$89)</f>
        <v>#REF!</v>
      </c>
      <c r="AW89" s="11" t="e">
        <f ca="1">IF(History!BA$2="","",#REF!*$C$89)</f>
        <v>#REF!</v>
      </c>
      <c r="AX89" s="11" t="e">
        <f ca="1">IF(History!BB$2="","",#REF!*$C$89)</f>
        <v>#REF!</v>
      </c>
      <c r="AY89" s="11" t="e">
        <f ca="1">IF(History!BC$2="","",#REF!*$C$89)</f>
        <v>#REF!</v>
      </c>
      <c r="AZ89" s="11" t="e">
        <f ca="1">IF(History!BD$2="","",#REF!*$C$89)</f>
        <v>#REF!</v>
      </c>
      <c r="BA89" s="11" t="e">
        <f ca="1">IF(History!BE$2="","",#REF!*$C$89)</f>
        <v>#REF!</v>
      </c>
      <c r="BB89" s="11" t="e">
        <f ca="1">IF(History!BF$2="","",#REF!*$C$89)</f>
        <v>#REF!</v>
      </c>
      <c r="BC89" s="11" t="e">
        <f ca="1">IF(History!BG$2="","",#REF!*$C$89)</f>
        <v>#REF!</v>
      </c>
      <c r="BD89" s="11" t="e">
        <f ca="1">IF(History!BH$2="","",#REF!*$C$89)</f>
        <v>#REF!</v>
      </c>
      <c r="BE89" s="11" t="e">
        <f ca="1">IF(History!BI$2="","",#REF!*$C$89)</f>
        <v>#REF!</v>
      </c>
      <c r="BF89" s="11" t="e">
        <f ca="1">IF(History!BJ$2="","",#REF!*$C$89)</f>
        <v>#REF!</v>
      </c>
      <c r="BG89" s="11" t="e">
        <f ca="1">IF(History!BK$2="","",#REF!*$C$89)</f>
        <v>#REF!</v>
      </c>
      <c r="BH89" s="11" t="e">
        <f ca="1">IF(History!BL$2="","",#REF!*$C$89)</f>
        <v>#REF!</v>
      </c>
      <c r="BI89" s="11" t="e">
        <f ca="1">IF(History!BM$2="","",#REF!*$C$89)</f>
        <v>#REF!</v>
      </c>
      <c r="BJ89" s="11" t="e">
        <f ca="1">IF(History!BN$2="","",#REF!*$C$89)</f>
        <v>#REF!</v>
      </c>
      <c r="BK89" s="11" t="e">
        <f ca="1">IF(History!BO$2="","",#REF!*$C$89)</f>
        <v>#REF!</v>
      </c>
      <c r="BL89" s="11" t="e">
        <f ca="1">IF(History!BP$2="","",#REF!*$C$89)</f>
        <v>#REF!</v>
      </c>
      <c r="BM89" s="11" t="e">
        <f ca="1">IF(History!BQ$2="","",#REF!*$C$89)</f>
        <v>#REF!</v>
      </c>
      <c r="BN89" s="11" t="e">
        <f ca="1">IF(History!BR$2="","",#REF!*$C$89)</f>
        <v>#REF!</v>
      </c>
      <c r="BO89" s="11" t="e">
        <f ca="1">IF(History!BS$2="","",#REF!*$C$89)</f>
        <v>#REF!</v>
      </c>
      <c r="BP89" s="11" t="e">
        <f ca="1">IF(History!BT$2="","",#REF!*$C$89)</f>
        <v>#REF!</v>
      </c>
      <c r="BQ89" s="11" t="e">
        <f ca="1">IF(History!BU$2="","",#REF!*$C$89)</f>
        <v>#REF!</v>
      </c>
      <c r="BR89" s="11" t="e">
        <f ca="1">IF(History!BV$2="","",#REF!*$C$89)</f>
        <v>#REF!</v>
      </c>
      <c r="BS89" s="11" t="e">
        <f ca="1">IF(History!BW$2="","",#REF!*$C$89)</f>
        <v>#REF!</v>
      </c>
      <c r="BT89" s="11" t="e">
        <f ca="1">IF(History!BX$2="","",#REF!*$C$89)</f>
        <v>#REF!</v>
      </c>
      <c r="BU89" s="11" t="e">
        <f ca="1">IF(History!BY$2="","",#REF!*$C$89)</f>
        <v>#REF!</v>
      </c>
      <c r="BV89" s="11" t="e">
        <f ca="1">IF(History!BZ$2="","",#REF!*$C$89)</f>
        <v>#REF!</v>
      </c>
      <c r="BW89" s="11" t="e">
        <f ca="1">IF(History!CA$2="","",#REF!*$C$89)</f>
        <v>#REF!</v>
      </c>
      <c r="BX89" s="11" t="e">
        <f ca="1">IF(History!CB$2="","",#REF!*$C$89)</f>
        <v>#REF!</v>
      </c>
      <c r="BY89" s="11" t="e">
        <f ca="1">IF(History!CC$2="","",#REF!*$C$89)</f>
        <v>#REF!</v>
      </c>
      <c r="BZ89" s="11" t="e">
        <f ca="1">IF(History!CD$2="","",#REF!*$C$89)</f>
        <v>#REF!</v>
      </c>
      <c r="CA89" s="11" t="e">
        <f ca="1">IF(History!CE$2="","",#REF!*$C$89)</f>
        <v>#REF!</v>
      </c>
      <c r="CB89" s="11" t="e">
        <f ca="1">IF(History!CF$2="","",#REF!*$C$89)</f>
        <v>#REF!</v>
      </c>
      <c r="CC89" s="11" t="e">
        <f ca="1">IF(History!CG$2="","",#REF!*$C$89)</f>
        <v>#REF!</v>
      </c>
      <c r="CD89" s="11" t="e">
        <f ca="1">IF(History!CH$2="","",#REF!*$C$89)</f>
        <v>#REF!</v>
      </c>
      <c r="CE89" s="11" t="e">
        <f ca="1">IF(History!CI$2="","",#REF!*$C$89)</f>
        <v>#REF!</v>
      </c>
      <c r="CF89" s="11" t="str">
        <f ca="1">IF(History!CJ$2="","",#REF!*$C$89)</f>
        <v/>
      </c>
      <c r="CG89" s="11" t="str">
        <f ca="1">IF(History!CK$2="","",#REF!*$C$89)</f>
        <v/>
      </c>
      <c r="CH89" s="11" t="str">
        <f ca="1">IF(History!CL$2="","",#REF!*$C$89)</f>
        <v/>
      </c>
      <c r="CI89" s="11" t="str">
        <f ca="1">IF(History!CM$2="","",#REF!*$C$89)</f>
        <v/>
      </c>
      <c r="CJ89" s="11" t="str">
        <f ca="1">IF(History!CN$2="","",#REF!*$C$89)</f>
        <v/>
      </c>
      <c r="CK89" s="11" t="str">
        <f ca="1">IF(History!CO$2="","",#REF!*$C$89)</f>
        <v/>
      </c>
      <c r="CL89" s="11" t="str">
        <f ca="1">IF(History!CP$2="","",#REF!*$C$89)</f>
        <v/>
      </c>
      <c r="CM89" s="11" t="str">
        <f ca="1">IF(History!CQ$2="","",#REF!*$C$89)</f>
        <v/>
      </c>
      <c r="CN89" s="11" t="str">
        <f ca="1">IF(History!CR$2="","",#REF!*$C$89)</f>
        <v/>
      </c>
      <c r="CO89" s="11" t="str">
        <f ca="1">IF(History!CS$2="","",#REF!*$C$89)</f>
        <v/>
      </c>
      <c r="CP89" s="11" t="str">
        <f ca="1">IF(History!CT$2="","",#REF!*$C$89)</f>
        <v/>
      </c>
      <c r="CQ89" s="11" t="str">
        <f ca="1">IF(History!CU$2="","",#REF!*$C$89)</f>
        <v/>
      </c>
      <c r="CR89" s="11" t="str">
        <f ca="1">IF(History!CV$2="","",#REF!*$C$89)</f>
        <v/>
      </c>
      <c r="CS89" s="11" t="str">
        <f ca="1">IF(History!CW$2="","",#REF!*$C$89)</f>
        <v/>
      </c>
      <c r="CT89" s="11" t="str">
        <f ca="1">IF(History!CX$2="","",#REF!*$C$89)</f>
        <v/>
      </c>
      <c r="CU89" s="11" t="str">
        <f ca="1">IF(History!CY$2="","",#REF!*$C$89)</f>
        <v/>
      </c>
      <c r="CV89" s="11" t="str">
        <f ca="1">IF(History!CZ$2="","",#REF!*$C$89)</f>
        <v/>
      </c>
      <c r="CW89" s="11" t="str">
        <f ca="1">IF(History!DA$2="","",#REF!*$C$89)</f>
        <v/>
      </c>
      <c r="CX89" s="11" t="str">
        <f ca="1">IF(History!DB$2="","",#REF!*$C$89)</f>
        <v/>
      </c>
      <c r="CY89" s="11" t="str">
        <f ca="1">IF(History!DC$2="","",#REF!*$C$89)</f>
        <v/>
      </c>
      <c r="CZ89" s="11" t="str">
        <f ca="1">IF(History!DD$2="","",#REF!*$C$89)</f>
        <v/>
      </c>
      <c r="DA89" s="11" t="str">
        <f ca="1">IF(History!DE$2="","",#REF!*$C$89)</f>
        <v/>
      </c>
      <c r="DB89" s="11" t="str">
        <f ca="1">IF(History!DF$2="","",#REF!*$C$89)</f>
        <v/>
      </c>
      <c r="DC89" s="11" t="str">
        <f ca="1">IF(History!DG$2="","",#REF!*$C$89)</f>
        <v/>
      </c>
      <c r="DD89" s="11" t="str">
        <f ca="1">IF(History!DH$2="","",#REF!*$C$89)</f>
        <v/>
      </c>
      <c r="DE89" s="11" t="str">
        <f ca="1">IF(History!DI$2="","",#REF!*$C$89)</f>
        <v/>
      </c>
      <c r="DF89" s="11" t="str">
        <f ca="1">IF(History!DJ$2="","",#REF!*$C$89)</f>
        <v/>
      </c>
      <c r="DG89" s="11" t="str">
        <f ca="1">IF(History!DK$2="","",#REF!*$C$89)</f>
        <v/>
      </c>
      <c r="DH89" s="11" t="str">
        <f ca="1">IF(History!DL$2="","",#REF!*$C$89)</f>
        <v/>
      </c>
      <c r="DI89" s="11" t="str">
        <f ca="1">IF(History!DM$2="","",#REF!*$C$89)</f>
        <v/>
      </c>
      <c r="DJ89" s="11" t="str">
        <f ca="1">IF(History!DN$2="","",#REF!*$C$89)</f>
        <v/>
      </c>
      <c r="DK89" s="11" t="str">
        <f ca="1">IF(History!DO$2="","",#REF!*$C$89)</f>
        <v/>
      </c>
      <c r="DL89" s="11" t="str">
        <f ca="1">IF(History!DP$2="","",#REF!*$C$89)</f>
        <v/>
      </c>
      <c r="DM89" s="11" t="str">
        <f ca="1">IF(History!DQ$2="","",#REF!*$C$89)</f>
        <v/>
      </c>
      <c r="DN89" s="11" t="str">
        <f ca="1">IF(History!DR$2="","",#REF!*$C$89)</f>
        <v/>
      </c>
      <c r="DO89" s="11" t="str">
        <f ca="1">IF(History!DS$2="","",#REF!*$C$89)</f>
        <v/>
      </c>
      <c r="DP89" s="11" t="str">
        <f ca="1">IF(History!DT$2="","",#REF!*$C$89)</f>
        <v/>
      </c>
      <c r="DQ89" s="11" t="str">
        <f ca="1">IF(History!DU$2="","",#REF!*$C$89)</f>
        <v/>
      </c>
      <c r="DR89" s="11" t="str">
        <f ca="1">IF(History!DV$2="","",#REF!*$C$89)</f>
        <v/>
      </c>
      <c r="DS89" s="11" t="str">
        <f ca="1">IF(History!DW$2="","",#REF!*$C$89)</f>
        <v/>
      </c>
      <c r="DT89" s="11" t="str">
        <f ca="1">IF(History!DX$2="","",#REF!*$C$89)</f>
        <v/>
      </c>
      <c r="DU89" s="11" t="str">
        <f ca="1">IF(History!DY$2="","",#REF!*$C$89)</f>
        <v/>
      </c>
      <c r="DV89" s="11" t="str">
        <f ca="1">IF(History!DZ$2="","",#REF!*$C$89)</f>
        <v/>
      </c>
      <c r="DW89" s="11" t="str">
        <f ca="1">IF(History!EA$2="","",#REF!*$C$89)</f>
        <v/>
      </c>
      <c r="DX89" s="11" t="str">
        <f ca="1">IF(History!EB$2="","",#REF!*$C$89)</f>
        <v/>
      </c>
      <c r="DY89" s="11" t="str">
        <f ca="1">IF(History!EC$2="","",#REF!*$C$89)</f>
        <v/>
      </c>
      <c r="DZ89" s="11" t="str">
        <f ca="1">IF(History!ED$2="","",#REF!*$C$89)</f>
        <v/>
      </c>
      <c r="EA89" s="11" t="str">
        <f ca="1">IF(History!EE$2="","",#REF!*$C$89)</f>
        <v/>
      </c>
      <c r="EB89" s="11" t="str">
        <f ca="1">IF(History!EF$2="","",#REF!*$C$89)</f>
        <v/>
      </c>
      <c r="EC89" s="11" t="str">
        <f ca="1">IF(History!EG$2="","",#REF!*$C$89)</f>
        <v/>
      </c>
      <c r="ED89" s="11" t="str">
        <f ca="1">IF(History!EH$2="","",#REF!*$C$89)</f>
        <v/>
      </c>
      <c r="EE89" s="11" t="str">
        <f ca="1">IF(History!EI$2="","",#REF!*$C$89)</f>
        <v/>
      </c>
      <c r="EF89" s="11" t="str">
        <f ca="1">IF(History!EJ$2="","",#REF!*$C$89)</f>
        <v/>
      </c>
      <c r="EG89" s="11" t="str">
        <f ca="1">IF(History!EK$2="","",#REF!*$C$89)</f>
        <v/>
      </c>
      <c r="EH89" s="11" t="str">
        <f ca="1">IF(History!EL$2="","",#REF!*$C$89)</f>
        <v/>
      </c>
      <c r="EI89" s="11" t="str">
        <f ca="1">IF(History!EM$2="","",#REF!*$C$89)</f>
        <v/>
      </c>
      <c r="EJ89" s="11" t="str">
        <f ca="1">IF(History!EN$2="","",#REF!*$C$89)</f>
        <v/>
      </c>
      <c r="EK89" s="11" t="str">
        <f ca="1">IF(History!EO$2="","",#REF!*$C$89)</f>
        <v/>
      </c>
      <c r="EL89" s="11" t="str">
        <f ca="1">IF(History!EP$2="","",#REF!*$C$89)</f>
        <v/>
      </c>
      <c r="EM89" s="11" t="str">
        <f ca="1">IF(History!EQ$2="","",#REF!*$C$89)</f>
        <v/>
      </c>
      <c r="EN89" s="11" t="str">
        <f ca="1">IF(History!ER$2="","",#REF!*$C$89)</f>
        <v/>
      </c>
      <c r="EO89" s="11" t="str">
        <f ca="1">IF(History!ES$2="","",#REF!*$C$89)</f>
        <v/>
      </c>
      <c r="EP89" s="11" t="str">
        <f ca="1">IF(History!ET$2="","",#REF!*$C$89)</f>
        <v/>
      </c>
      <c r="EQ89" s="11" t="str">
        <f ca="1">IF(History!EU$2="","",#REF!*$C$89)</f>
        <v/>
      </c>
      <c r="ER89" s="11" t="str">
        <f ca="1">IF(History!EV$2="","",#REF!*$C$89)</f>
        <v/>
      </c>
      <c r="ES89" s="11" t="str">
        <f ca="1">IF(History!EW$2="","",#REF!*$C$89)</f>
        <v/>
      </c>
      <c r="ET89" s="11" t="str">
        <f ca="1">IF(History!EX$2="","",#REF!*$C$89)</f>
        <v/>
      </c>
      <c r="EU89" s="11" t="str">
        <f ca="1">IF(History!EY$2="","",#REF!*$C$89)</f>
        <v/>
      </c>
      <c r="EV89" s="11" t="str">
        <f ca="1">IF(History!EZ$2="","",#REF!*$C$89)</f>
        <v/>
      </c>
      <c r="EW89" s="11" t="str">
        <f ca="1">IF(History!FA$2="","",#REF!*$C$89)</f>
        <v/>
      </c>
      <c r="EX89" s="11" t="str">
        <f ca="1">IF(History!FB$2="","",#REF!*$C$89)</f>
        <v/>
      </c>
      <c r="EY89" s="11" t="str">
        <f ca="1">IF(History!FC$2="","",#REF!*$C$89)</f>
        <v/>
      </c>
      <c r="EZ89" s="11" t="str">
        <f ca="1">IF(History!FD$2="","",#REF!*$C$89)</f>
        <v/>
      </c>
      <c r="FA89" s="11" t="str">
        <f ca="1">IF(History!FE$2="","",#REF!*$C$89)</f>
        <v/>
      </c>
      <c r="FB89" s="11" t="str">
        <f ca="1">IF(History!FF$2="","",#REF!*$C$89)</f>
        <v/>
      </c>
      <c r="FC89" s="11" t="str">
        <f ca="1">IF(History!FG$2="","",#REF!*$C$89)</f>
        <v/>
      </c>
      <c r="FD89" s="11" t="str">
        <f ca="1">IF(History!FH$2="","",#REF!*$C$89)</f>
        <v/>
      </c>
      <c r="FE89" s="11" t="str">
        <f ca="1">IF(History!FI$2="","",#REF!*$C$89)</f>
        <v/>
      </c>
      <c r="FF89" s="11" t="str">
        <f ca="1">IF(History!FJ$2="","",#REF!*$C$89)</f>
        <v/>
      </c>
      <c r="FG89" s="11" t="str">
        <f ca="1">IF(History!FK$2="","",#REF!*$C$89)</f>
        <v/>
      </c>
      <c r="FH89" s="11" t="str">
        <f ca="1">IF(History!FL$2="","",#REF!*$C$89)</f>
        <v/>
      </c>
      <c r="FI89" s="11" t="str">
        <f ca="1">IF(History!FM$2="","",#REF!*$C$89)</f>
        <v/>
      </c>
      <c r="FJ89" s="11" t="str">
        <f ca="1">IF(History!FN$2="","",#REF!*$C$89)</f>
        <v/>
      </c>
      <c r="FK89" s="11" t="str">
        <f ca="1">IF(History!FO$2="","",#REF!*$C$89)</f>
        <v/>
      </c>
      <c r="FL89" s="11" t="str">
        <f ca="1">IF(History!FP$2="","",#REF!*$C$89)</f>
        <v/>
      </c>
      <c r="FM89" s="11" t="str">
        <f ca="1">IF(History!FQ$2="","",#REF!*$C$89)</f>
        <v/>
      </c>
      <c r="FN89" s="11" t="str">
        <f ca="1">IF(History!FR$2="","",#REF!*$C$89)</f>
        <v/>
      </c>
      <c r="FO89" s="11" t="str">
        <f ca="1">IF(History!FS$2="","",#REF!*$C$89)</f>
        <v/>
      </c>
      <c r="FP89" s="11" t="str">
        <f ca="1">IF(History!FT$2="","",#REF!*$C$89)</f>
        <v/>
      </c>
      <c r="FQ89" s="11" t="str">
        <f ca="1">IF(History!FU$2="","",#REF!*$C$89)</f>
        <v/>
      </c>
      <c r="FR89" s="11" t="str">
        <f ca="1">IF(History!FV$2="","",#REF!*$C$89)</f>
        <v/>
      </c>
      <c r="FS89" s="11" t="str">
        <f ca="1">IF(History!FW$2="","",#REF!*$C$89)</f>
        <v/>
      </c>
      <c r="FT89" s="11" t="str">
        <f ca="1">IF(History!FX$2="","",#REF!*$C$89)</f>
        <v/>
      </c>
      <c r="FU89" s="11" t="str">
        <f ca="1">IF(History!FY$2="","",#REF!*$C$89)</f>
        <v/>
      </c>
      <c r="FV89" s="11" t="str">
        <f ca="1">IF(History!FZ$2="","",#REF!*$C$89)</f>
        <v/>
      </c>
      <c r="FW89" s="11" t="str">
        <f ca="1">IF(History!GA$2="","",#REF!*$C$89)</f>
        <v/>
      </c>
      <c r="FX89" s="11" t="str">
        <f ca="1">IF(History!GB$2="","",#REF!*$C$89)</f>
        <v/>
      </c>
      <c r="FY89" s="11" t="str">
        <f ca="1">IF(History!GC$2="","",#REF!*$C$89)</f>
        <v/>
      </c>
      <c r="FZ89" s="11" t="str">
        <f ca="1">IF(History!GD$2="","",#REF!*$C$89)</f>
        <v/>
      </c>
      <c r="GA89" s="11" t="str">
        <f ca="1">IF(History!GE$2="","",#REF!*$C$89)</f>
        <v/>
      </c>
      <c r="GB89" s="11" t="str">
        <f ca="1">IF(History!GF$2="","",#REF!*$C$89)</f>
        <v/>
      </c>
      <c r="GC89" s="11" t="str">
        <f ca="1">IF(History!GG$2="","",#REF!*$C$89)</f>
        <v/>
      </c>
      <c r="GD89" s="11" t="str">
        <f ca="1">IF(History!GH$2="","",#REF!*$C$89)</f>
        <v/>
      </c>
      <c r="GE89" s="11" t="str">
        <f ca="1">IF(History!GI$2="","",#REF!*$C$89)</f>
        <v/>
      </c>
      <c r="GF89" s="11" t="str">
        <f ca="1">IF(History!GJ$2="","",#REF!*$C$89)</f>
        <v/>
      </c>
      <c r="GG89" s="11" t="str">
        <f ca="1">IF(History!GK$2="","",#REF!*$C$89)</f>
        <v/>
      </c>
      <c r="GH89" s="11" t="str">
        <f ca="1">IF(History!GL$2="","",#REF!*$C$89)</f>
        <v/>
      </c>
      <c r="GI89" s="11" t="str">
        <f ca="1">IF(History!GM$2="","",#REF!*$C$89)</f>
        <v/>
      </c>
      <c r="GJ89" s="11" t="str">
        <f ca="1">IF(History!GN$2="","",#REF!*$C$89)</f>
        <v/>
      </c>
      <c r="GK89" s="11" t="str">
        <f ca="1">IF(History!GO$2="","",#REF!*$C$89)</f>
        <v/>
      </c>
      <c r="GL89" s="11" t="str">
        <f ca="1">IF(History!GP$2="","",#REF!*$C$89)</f>
        <v/>
      </c>
      <c r="GM89" s="11" t="str">
        <f ca="1">IF(History!GQ$2="","",#REF!*$C$89)</f>
        <v/>
      </c>
      <c r="GN89" s="11" t="str">
        <f ca="1">IF(History!GR$2="","",#REF!*$C$89)</f>
        <v/>
      </c>
      <c r="GO89" s="11" t="str">
        <f ca="1">IF(History!GS$2="","",#REF!*$C$89)</f>
        <v/>
      </c>
      <c r="GP89" s="11" t="str">
        <f ca="1">IF(History!GT$2="","",#REF!*$C$89)</f>
        <v/>
      </c>
      <c r="GQ89" s="11" t="str">
        <f ca="1">IF(History!GU$2="","",#REF!*$C$89)</f>
        <v/>
      </c>
      <c r="GR89" s="11" t="str">
        <f ca="1">IF(History!GV$2="","",#REF!*$C$89)</f>
        <v/>
      </c>
      <c r="GS89" s="11" t="str">
        <f ca="1">IF(History!GW$2="","",#REF!*$C$89)</f>
        <v/>
      </c>
      <c r="GT89" s="11" t="str">
        <f ca="1">IF(History!GX$2="","",#REF!*$C$89)</f>
        <v/>
      </c>
      <c r="GU89" s="11" t="str">
        <f ca="1">IF(History!GY$2="","",#REF!*$C$89)</f>
        <v/>
      </c>
      <c r="GV89" s="11" t="str">
        <f ca="1">IF(History!GZ$2="","",#REF!*$C$89)</f>
        <v/>
      </c>
      <c r="GW89" s="11" t="str">
        <f ca="1">IF(History!HA$2="","",#REF!*$C$89)</f>
        <v/>
      </c>
      <c r="GX89" s="11" t="str">
        <f ca="1">IF(History!HB$2="","",#REF!*$C$89)</f>
        <v/>
      </c>
      <c r="GY89" s="11" t="str">
        <f ca="1">IF(History!HC$2="","",#REF!*$C$89)</f>
        <v/>
      </c>
      <c r="GZ89" s="11" t="str">
        <f ca="1">IF(History!HD$2="","",#REF!*$C$89)</f>
        <v/>
      </c>
      <c r="HA89" s="11" t="str">
        <f ca="1">IF(History!HE$2="","",#REF!*$C$89)</f>
        <v/>
      </c>
      <c r="HB89" s="11" t="str">
        <f ca="1">IF(History!HF$2="","",#REF!*$C$89)</f>
        <v/>
      </c>
      <c r="HC89" s="11" t="str">
        <f ca="1">IF(History!HG$2="","",#REF!*$C$89)</f>
        <v/>
      </c>
      <c r="HD89" s="11" t="str">
        <f ca="1">IF(History!HH$2="","",#REF!*$C$89)</f>
        <v/>
      </c>
      <c r="HE89" s="11" t="str">
        <f ca="1">IF(History!HI$2="","",#REF!*$C$89)</f>
        <v/>
      </c>
      <c r="HF89" s="11" t="str">
        <f ca="1">IF(History!HJ$2="","",#REF!*$C$89)</f>
        <v/>
      </c>
      <c r="HG89" s="11" t="str">
        <f ca="1">IF(History!HK$2="","",#REF!*$C$89)</f>
        <v/>
      </c>
      <c r="HH89" s="11" t="str">
        <f ca="1">IF(History!HL$2="","",#REF!*$C$89)</f>
        <v/>
      </c>
      <c r="HI89" s="11" t="str">
        <f ca="1">IF(History!HM$2="","",#REF!*$C$89)</f>
        <v/>
      </c>
      <c r="HJ89" s="11" t="str">
        <f ca="1">IF(History!HN$2="","",#REF!*$C$89)</f>
        <v/>
      </c>
      <c r="HK89" s="11" t="str">
        <f ca="1">IF(History!HO$2="","",#REF!*$C$89)</f>
        <v/>
      </c>
      <c r="HL89" s="11" t="str">
        <f ca="1">IF(History!HP$2="","",#REF!*$C$89)</f>
        <v/>
      </c>
      <c r="HM89" s="11" t="str">
        <f ca="1">IF(History!HQ$2="","",#REF!*$C$89)</f>
        <v/>
      </c>
      <c r="HN89" s="11" t="str">
        <f ca="1">IF(History!HR$2="","",#REF!*$C$89)</f>
        <v/>
      </c>
      <c r="HO89" s="11" t="str">
        <f ca="1">IF(History!HS$2="","",#REF!*$C$89)</f>
        <v/>
      </c>
      <c r="HP89" s="11" t="str">
        <f ca="1">IF(History!HT$2="","",#REF!*$C$89)</f>
        <v/>
      </c>
      <c r="HQ89" s="11" t="str">
        <f ca="1">IF(History!HU$2="","",#REF!*$C$89)</f>
        <v/>
      </c>
      <c r="HR89" s="11" t="str">
        <f ca="1">IF(History!HV$2="","",#REF!*$C$89)</f>
        <v/>
      </c>
      <c r="HS89" s="11" t="str">
        <f ca="1">IF(History!HW$2="","",#REF!*$C$89)</f>
        <v/>
      </c>
      <c r="HT89" s="11" t="str">
        <f ca="1">IF(History!HX$2="","",#REF!*$C$89)</f>
        <v/>
      </c>
      <c r="HU89" s="11" t="str">
        <f ca="1">IF(History!HY$2="","",#REF!*$C$89)</f>
        <v/>
      </c>
      <c r="HV89" s="11" t="str">
        <f ca="1">IF(History!HZ$2="","",#REF!*$C$89)</f>
        <v/>
      </c>
      <c r="HW89" s="11" t="str">
        <f ca="1">IF(History!IA$2="","",#REF!*$C$89)</f>
        <v/>
      </c>
      <c r="HX89" s="11" t="str">
        <f ca="1">IF(History!IB$2="","",#REF!*$C$89)</f>
        <v/>
      </c>
      <c r="HY89" s="11" t="str">
        <f ca="1">IF(History!IC$2="","",#REF!*$C$89)</f>
        <v/>
      </c>
      <c r="HZ89" s="11" t="str">
        <f ca="1">IF(History!ID$2="","",#REF!*$C$89)</f>
        <v/>
      </c>
      <c r="IA89" s="11" t="str">
        <f ca="1">IF(History!IE$2="","",#REF!*$C$89)</f>
        <v/>
      </c>
      <c r="IB89" s="11" t="str">
        <f ca="1">IF(History!IF$2="","",#REF!*$C$89)</f>
        <v/>
      </c>
      <c r="IC89" s="11" t="str">
        <f ca="1">IF(History!IG$2="","",#REF!*$C$89)</f>
        <v/>
      </c>
      <c r="ID89" s="11" t="str">
        <f ca="1">IF(History!IH$2="","",#REF!*$C$89)</f>
        <v/>
      </c>
      <c r="IE89" s="11" t="str">
        <f ca="1">IF(History!II$2="","",#REF!*$C$89)</f>
        <v/>
      </c>
      <c r="IF89" s="11" t="str">
        <f ca="1">IF(History!IJ$2="","",#REF!*$C$89)</f>
        <v/>
      </c>
      <c r="IG89" s="11" t="str">
        <f ca="1">IF(History!IK$2="","",#REF!*$C$89)</f>
        <v/>
      </c>
      <c r="IH89" s="11" t="str">
        <f ca="1">IF(History!IL$2="","",#REF!*$C$89)</f>
        <v/>
      </c>
      <c r="II89" s="11" t="str">
        <f ca="1">IF(History!IM$2="","",#REF!*$C$89)</f>
        <v/>
      </c>
      <c r="IJ89" s="11" t="str">
        <f ca="1">IF(History!IN$2="","",#REF!*$C$89)</f>
        <v/>
      </c>
      <c r="IK89" s="11" t="str">
        <f ca="1">IF(History!IO$2="","",#REF!*$C$89)</f>
        <v/>
      </c>
      <c r="IL89" s="11" t="str">
        <f ca="1">IF(History!IP$2="","",#REF!*$C$89)</f>
        <v/>
      </c>
      <c r="IM89" s="11" t="str">
        <f ca="1">IF(History!IQ$2="","",#REF!*$C$89)</f>
        <v/>
      </c>
      <c r="IN89" s="11" t="str">
        <f ca="1">IF(History!IR$2="","",#REF!*$C$89)</f>
        <v/>
      </c>
      <c r="IO89" s="11" t="str">
        <f ca="1">IF(History!IS$2="","",#REF!*$C$89)</f>
        <v/>
      </c>
      <c r="IP89" s="11" t="str">
        <f ca="1">IF(History!IT$2="","",#REF!*$C$89)</f>
        <v/>
      </c>
      <c r="IQ89" s="11" t="str">
        <f ca="1">IF(History!IU$2="","",#REF!*$C$89)</f>
        <v/>
      </c>
      <c r="IR89" s="11" t="str">
        <f ca="1">IF(History!IV$2="","",#REF!*$C$89)</f>
        <v/>
      </c>
      <c r="IS89" s="11" t="str">
        <f ca="1">IF(History!IW$2="","",#REF!*$C$89)</f>
        <v/>
      </c>
      <c r="IT89" s="11" t="str">
        <f ca="1">IF(History!IX$2="","",#REF!*$C$89)</f>
        <v/>
      </c>
      <c r="IU89" s="11" t="str">
        <f ca="1">IF(History!IY$2="","",#REF!*$C$89)</f>
        <v/>
      </c>
      <c r="IV89" s="11" t="str">
        <f ca="1">IF(History!IZ$2="","",#REF!*$C$89)</f>
        <v/>
      </c>
      <c r="IW89" s="11" t="str">
        <f ca="1">IF(History!JA$2="","",#REF!*$C$89)</f>
        <v/>
      </c>
      <c r="IX89" s="11" t="str">
        <f ca="1">IF(History!JB$2="","",#REF!*$C$89)</f>
        <v/>
      </c>
      <c r="IY89" s="11" t="str">
        <f ca="1">IF(History!JC$2="","",#REF!*$C$89)</f>
        <v/>
      </c>
      <c r="IZ89" s="11" t="str">
        <f ca="1">IF(History!JD$2="","",#REF!*$C$89)</f>
        <v/>
      </c>
      <c r="JA89" s="11" t="str">
        <f ca="1">IF(History!JE$2="","",#REF!*$C$89)</f>
        <v/>
      </c>
      <c r="JB89" s="11" t="str">
        <f ca="1">IF(History!JF$2="","",#REF!*$C$89)</f>
        <v/>
      </c>
      <c r="JC89" s="11" t="str">
        <f ca="1">IF(History!JG$2="","",#REF!*$C$89)</f>
        <v/>
      </c>
      <c r="JD89" s="11" t="str">
        <f ca="1">IF(History!JH$2="","",#REF!*$C$89)</f>
        <v/>
      </c>
      <c r="JE89" s="11" t="str">
        <f ca="1">IF(History!JI$2="","",#REF!*$C$89)</f>
        <v/>
      </c>
      <c r="JF89" s="11" t="str">
        <f ca="1">IF(History!JJ$2="","",#REF!*$C$89)</f>
        <v/>
      </c>
      <c r="JG89" s="11" t="str">
        <f ca="1">IF(History!JK$2="","",#REF!*$C$89)</f>
        <v/>
      </c>
      <c r="JH89" s="11" t="str">
        <f ca="1">IF(History!JL$2="","",#REF!*$C$89)</f>
        <v/>
      </c>
      <c r="JI89" s="11" t="str">
        <f ca="1">IF(History!JM$2="","",#REF!*$C$89)</f>
        <v/>
      </c>
      <c r="JJ89" s="11" t="str">
        <f ca="1">IF(History!JN$2="","",#REF!*$C$89)</f>
        <v/>
      </c>
      <c r="JK89" s="11" t="str">
        <f ca="1">IF(History!JO$2="","",#REF!*$C$89)</f>
        <v/>
      </c>
      <c r="JL89" s="11" t="str">
        <f ca="1">IF(History!JP$2="","",#REF!*$C$89)</f>
        <v/>
      </c>
      <c r="JM89" s="11" t="str">
        <f ca="1">IF(History!JQ$2="","",#REF!*$C$89)</f>
        <v/>
      </c>
      <c r="JN89" s="11" t="str">
        <f ca="1">IF(History!JR$2="","",#REF!*$C$89)</f>
        <v/>
      </c>
      <c r="JO89" s="11" t="str">
        <f ca="1">IF(History!JS$2="","",#REF!*$C$89)</f>
        <v/>
      </c>
      <c r="JP89" s="11" t="str">
        <f ca="1">IF(History!JT$2="","",#REF!*$C$89)</f>
        <v/>
      </c>
      <c r="JQ89" s="11" t="str">
        <f ca="1">IF(History!JU$2="","",#REF!*$C$89)</f>
        <v/>
      </c>
      <c r="JR89" s="11" t="str">
        <f ca="1">IF(History!JV$2="","",#REF!*$C$89)</f>
        <v/>
      </c>
      <c r="JS89" s="11" t="str">
        <f ca="1">IF(History!JW$2="","",#REF!*$C$89)</f>
        <v/>
      </c>
      <c r="JT89" s="11" t="str">
        <f ca="1">IF(History!JX$2="","",#REF!*$C$89)</f>
        <v/>
      </c>
      <c r="JU89" s="11" t="str">
        <f ca="1">IF(History!JY$2="","",#REF!*$C$89)</f>
        <v/>
      </c>
      <c r="JV89" s="11" t="str">
        <f ca="1">IF(History!JZ$2="","",#REF!*$C$89)</f>
        <v/>
      </c>
      <c r="JW89" s="11" t="str">
        <f ca="1">IF(History!KA$2="","",#REF!*$C$89)</f>
        <v/>
      </c>
      <c r="JX89" s="11" t="str">
        <f ca="1">IF(History!KB$2="","",#REF!*$C$89)</f>
        <v/>
      </c>
      <c r="JY89" s="11" t="str">
        <f ca="1">IF(History!KC$2="","",#REF!*$C$89)</f>
        <v/>
      </c>
      <c r="JZ89" s="11" t="str">
        <f ca="1">IF(History!KD$2="","",#REF!*$C$89)</f>
        <v/>
      </c>
      <c r="KA89" s="11" t="str">
        <f ca="1">IF(History!KE$2="","",#REF!*$C$89)</f>
        <v/>
      </c>
      <c r="KB89" s="11" t="str">
        <f ca="1">IF(History!KF$2="","",#REF!*$C$89)</f>
        <v/>
      </c>
    </row>
    <row r="90" spans="1:288" ht="13">
      <c r="A90" s="18" t="s">
        <v>140</v>
      </c>
      <c r="B90" s="6" t="s">
        <v>168</v>
      </c>
      <c r="C90" s="26">
        <v>27</v>
      </c>
      <c r="D90" s="11" t="e">
        <f ca="1">IF(History!H$2="","",#REF!*$C$90)</f>
        <v>#REF!</v>
      </c>
      <c r="E90" s="11" t="e">
        <f ca="1">IF(History!I$2="","",#REF!*$C$90)</f>
        <v>#REF!</v>
      </c>
      <c r="F90" s="11" t="e">
        <f ca="1">IF(History!J$2="","",#REF!*$C$90)</f>
        <v>#REF!</v>
      </c>
      <c r="G90" s="11" t="e">
        <f ca="1">IF(History!K$2="","",#REF!*$C$90)</f>
        <v>#REF!</v>
      </c>
      <c r="H90" s="11" t="e">
        <f ca="1">IF(History!L$2="","",#REF!*$C$90)</f>
        <v>#REF!</v>
      </c>
      <c r="I90" s="11" t="e">
        <f ca="1">IF(History!M$2="","",#REF!*$C$90)</f>
        <v>#REF!</v>
      </c>
      <c r="J90" s="11" t="e">
        <f ca="1">IF(History!N$2="","",#REF!*$C$90)</f>
        <v>#REF!</v>
      </c>
      <c r="K90" s="11" t="e">
        <f ca="1">IF(History!O$2="","",#REF!*$C$90)</f>
        <v>#REF!</v>
      </c>
      <c r="L90" s="11" t="e">
        <f ca="1">IF(History!P$2="","",#REF!*$C$90)</f>
        <v>#REF!</v>
      </c>
      <c r="M90" s="11" t="e">
        <f ca="1">IF(History!Q$2="","",#REF!*$C$90)</f>
        <v>#REF!</v>
      </c>
      <c r="N90" s="11" t="e">
        <f ca="1">IF(History!R$2="","",#REF!*$C$90)</f>
        <v>#REF!</v>
      </c>
      <c r="O90" s="11" t="e">
        <f ca="1">IF(History!S$2="","",#REF!*$C$90)</f>
        <v>#REF!</v>
      </c>
      <c r="P90" s="11" t="e">
        <f ca="1">IF(History!T$2="","",#REF!*$C$90)</f>
        <v>#REF!</v>
      </c>
      <c r="Q90" s="11" t="e">
        <f ca="1">IF(History!U$2="","",#REF!*$C$90)</f>
        <v>#REF!</v>
      </c>
      <c r="R90" s="11" t="e">
        <f ca="1">IF(History!V$2="","",#REF!*$C$90)</f>
        <v>#REF!</v>
      </c>
      <c r="S90" s="11" t="e">
        <f ca="1">IF(History!W$2="","",#REF!*$C$90)</f>
        <v>#REF!</v>
      </c>
      <c r="T90" s="11" t="e">
        <f ca="1">IF(History!X$2="","",#REF!*$C$90)</f>
        <v>#REF!</v>
      </c>
      <c r="U90" s="11" t="e">
        <f ca="1">IF(History!Y$2="","",#REF!*$C$90)</f>
        <v>#REF!</v>
      </c>
      <c r="V90" s="11" t="e">
        <f ca="1">IF(History!Z$2="","",#REF!*$C$90)</f>
        <v>#REF!</v>
      </c>
      <c r="W90" s="11" t="e">
        <f ca="1">IF(History!AA$2="","",#REF!*$C$90)</f>
        <v>#REF!</v>
      </c>
      <c r="X90" s="11" t="e">
        <f ca="1">IF(History!AB$2="","",#REF!*$C$90)</f>
        <v>#REF!</v>
      </c>
      <c r="Y90" s="11" t="e">
        <f ca="1">IF(History!AC$2="","",#REF!*$C$90)</f>
        <v>#REF!</v>
      </c>
      <c r="Z90" s="11" t="e">
        <f ca="1">IF(History!AD$2="","",#REF!*$C$90)</f>
        <v>#REF!</v>
      </c>
      <c r="AA90" s="11" t="e">
        <f ca="1">IF(History!AE$2="","",#REF!*$C$90)</f>
        <v>#REF!</v>
      </c>
      <c r="AB90" s="11" t="e">
        <f ca="1">IF(History!AF$2="","",#REF!*$C$90)</f>
        <v>#REF!</v>
      </c>
      <c r="AC90" s="11" t="e">
        <f ca="1">IF(History!AG$2="","",#REF!*$C$90)</f>
        <v>#REF!</v>
      </c>
      <c r="AD90" s="11" t="e">
        <f ca="1">IF(History!AH$2="","",#REF!*$C$90)</f>
        <v>#REF!</v>
      </c>
      <c r="AE90" s="11" t="e">
        <f ca="1">IF(History!AI$2="","",#REF!*$C$90)</f>
        <v>#REF!</v>
      </c>
      <c r="AF90" s="11" t="e">
        <f ca="1">IF(History!AJ$2="","",#REF!*$C$90)</f>
        <v>#REF!</v>
      </c>
      <c r="AG90" s="11" t="e">
        <f ca="1">IF(History!AK$2="","",#REF!*$C$90)</f>
        <v>#REF!</v>
      </c>
      <c r="AH90" s="11" t="e">
        <f ca="1">IF(History!AL$2="","",#REF!*$C$90)</f>
        <v>#REF!</v>
      </c>
      <c r="AI90" s="11" t="e">
        <f ca="1">IF(History!AM$2="","",#REF!*$C$90)</f>
        <v>#REF!</v>
      </c>
      <c r="AJ90" s="11" t="e">
        <f ca="1">IF(History!AN$2="","",#REF!*$C$90)</f>
        <v>#REF!</v>
      </c>
      <c r="AK90" s="11" t="e">
        <f ca="1">IF(History!AO$2="","",#REF!*$C$90)</f>
        <v>#REF!</v>
      </c>
      <c r="AL90" s="11" t="e">
        <f ca="1">IF(History!AP$2="","",#REF!*$C$90)</f>
        <v>#REF!</v>
      </c>
      <c r="AM90" s="11" t="e">
        <f ca="1">IF(History!AQ$2="","",#REF!*$C$90)</f>
        <v>#REF!</v>
      </c>
      <c r="AN90" s="11" t="e">
        <f ca="1">IF(History!AR$2="","",#REF!*$C$90)</f>
        <v>#REF!</v>
      </c>
      <c r="AO90" s="11" t="e">
        <f ca="1">IF(History!AS$2="","",#REF!*$C$90)</f>
        <v>#REF!</v>
      </c>
      <c r="AP90" s="11" t="e">
        <f ca="1">IF(History!AT$2="","",#REF!*$C$90)</f>
        <v>#REF!</v>
      </c>
      <c r="AQ90" s="11" t="e">
        <f ca="1">IF(History!AU$2="","",#REF!*$C$90)</f>
        <v>#REF!</v>
      </c>
      <c r="AR90" s="11" t="e">
        <f ca="1">IF(History!AV$2="","",#REF!*$C$90)</f>
        <v>#REF!</v>
      </c>
      <c r="AS90" s="11" t="e">
        <f ca="1">IF(History!AW$2="","",#REF!*$C$90)</f>
        <v>#REF!</v>
      </c>
      <c r="AT90" s="11" t="e">
        <f ca="1">IF(History!AX$2="","",#REF!*$C$90)</f>
        <v>#REF!</v>
      </c>
      <c r="AU90" s="11" t="e">
        <f ca="1">IF(History!AY$2="","",#REF!*$C$90)</f>
        <v>#REF!</v>
      </c>
      <c r="AV90" s="11" t="e">
        <f ca="1">IF(History!AZ$2="","",#REF!*$C$90)</f>
        <v>#REF!</v>
      </c>
      <c r="AW90" s="11" t="e">
        <f ca="1">IF(History!BA$2="","",#REF!*$C$90)</f>
        <v>#REF!</v>
      </c>
      <c r="AX90" s="11" t="e">
        <f ca="1">IF(History!BB$2="","",#REF!*$C$90)</f>
        <v>#REF!</v>
      </c>
      <c r="AY90" s="11" t="e">
        <f ca="1">IF(History!BC$2="","",#REF!*$C$90)</f>
        <v>#REF!</v>
      </c>
      <c r="AZ90" s="11" t="e">
        <f ca="1">IF(History!BD$2="","",#REF!*$C$90)</f>
        <v>#REF!</v>
      </c>
      <c r="BA90" s="11" t="e">
        <f ca="1">IF(History!BE$2="","",#REF!*$C$90)</f>
        <v>#REF!</v>
      </c>
      <c r="BB90" s="11" t="e">
        <f ca="1">IF(History!BF$2="","",#REF!*$C$90)</f>
        <v>#REF!</v>
      </c>
      <c r="BC90" s="11" t="e">
        <f ca="1">IF(History!BG$2="","",#REF!*$C$90)</f>
        <v>#REF!</v>
      </c>
      <c r="BD90" s="11" t="e">
        <f ca="1">IF(History!BH$2="","",#REF!*$C$90)</f>
        <v>#REF!</v>
      </c>
      <c r="BE90" s="11" t="e">
        <f ca="1">IF(History!BI$2="","",#REF!*$C$90)</f>
        <v>#REF!</v>
      </c>
      <c r="BF90" s="11" t="e">
        <f ca="1">IF(History!BJ$2="","",#REF!*$C$90)</f>
        <v>#REF!</v>
      </c>
      <c r="BG90" s="11" t="e">
        <f ca="1">IF(History!BK$2="","",#REF!*$C$90)</f>
        <v>#REF!</v>
      </c>
      <c r="BH90" s="11" t="e">
        <f ca="1">IF(History!BL$2="","",#REF!*$C$90)</f>
        <v>#REF!</v>
      </c>
      <c r="BI90" s="11" t="e">
        <f ca="1">IF(History!BM$2="","",#REF!*$C$90)</f>
        <v>#REF!</v>
      </c>
      <c r="BJ90" s="11" t="e">
        <f ca="1">IF(History!BN$2="","",#REF!*$C$90)</f>
        <v>#REF!</v>
      </c>
      <c r="BK90" s="11" t="e">
        <f ca="1">IF(History!BO$2="","",#REF!*$C$90)</f>
        <v>#REF!</v>
      </c>
      <c r="BL90" s="11" t="e">
        <f ca="1">IF(History!BP$2="","",#REF!*$C$90)</f>
        <v>#REF!</v>
      </c>
      <c r="BM90" s="11" t="e">
        <f ca="1">IF(History!BQ$2="","",#REF!*$C$90)</f>
        <v>#REF!</v>
      </c>
      <c r="BN90" s="11" t="e">
        <f ca="1">IF(History!BR$2="","",#REF!*$C$90)</f>
        <v>#REF!</v>
      </c>
      <c r="BO90" s="11" t="e">
        <f ca="1">IF(History!BS$2="","",#REF!*$C$90)</f>
        <v>#REF!</v>
      </c>
      <c r="BP90" s="11" t="e">
        <f ca="1">IF(History!BT$2="","",#REF!*$C$90)</f>
        <v>#REF!</v>
      </c>
      <c r="BQ90" s="11" t="e">
        <f ca="1">IF(History!BU$2="","",#REF!*$C$90)</f>
        <v>#REF!</v>
      </c>
      <c r="BR90" s="11" t="e">
        <f ca="1">IF(History!BV$2="","",#REF!*$C$90)</f>
        <v>#REF!</v>
      </c>
      <c r="BS90" s="11" t="e">
        <f ca="1">IF(History!BW$2="","",#REF!*$C$90)</f>
        <v>#REF!</v>
      </c>
      <c r="BT90" s="11" t="e">
        <f ca="1">IF(History!BX$2="","",#REF!*$C$90)</f>
        <v>#REF!</v>
      </c>
      <c r="BU90" s="11" t="e">
        <f ca="1">IF(History!BY$2="","",#REF!*$C$90)</f>
        <v>#REF!</v>
      </c>
      <c r="BV90" s="11" t="e">
        <f ca="1">IF(History!BZ$2="","",#REF!*$C$90)</f>
        <v>#REF!</v>
      </c>
      <c r="BW90" s="11" t="e">
        <f ca="1">IF(History!CA$2="","",#REF!*$C$90)</f>
        <v>#REF!</v>
      </c>
      <c r="BX90" s="11" t="e">
        <f ca="1">IF(History!CB$2="","",#REF!*$C$90)</f>
        <v>#REF!</v>
      </c>
      <c r="BY90" s="11" t="e">
        <f ca="1">IF(History!CC$2="","",#REF!*$C$90)</f>
        <v>#REF!</v>
      </c>
      <c r="BZ90" s="11" t="e">
        <f ca="1">IF(History!CD$2="","",#REF!*$C$90)</f>
        <v>#REF!</v>
      </c>
      <c r="CA90" s="11" t="e">
        <f ca="1">IF(History!CE$2="","",#REF!*$C$90)</f>
        <v>#REF!</v>
      </c>
      <c r="CB90" s="11" t="e">
        <f ca="1">IF(History!CF$2="","",#REF!*$C$90)</f>
        <v>#REF!</v>
      </c>
      <c r="CC90" s="11" t="e">
        <f ca="1">IF(History!CG$2="","",#REF!*$C$90)</f>
        <v>#REF!</v>
      </c>
      <c r="CD90" s="11" t="e">
        <f ca="1">IF(History!CH$2="","",#REF!*$C$90)</f>
        <v>#REF!</v>
      </c>
      <c r="CE90" s="11" t="e">
        <f ca="1">IF(History!CI$2="","",#REF!*$C$90)</f>
        <v>#REF!</v>
      </c>
      <c r="CF90" s="11" t="str">
        <f ca="1">IF(History!CJ$2="","",#REF!*$C$90)</f>
        <v/>
      </c>
      <c r="CG90" s="11" t="str">
        <f ca="1">IF(History!CK$2="","",#REF!*$C$90)</f>
        <v/>
      </c>
      <c r="CH90" s="11" t="str">
        <f ca="1">IF(History!CL$2="","",#REF!*$C$90)</f>
        <v/>
      </c>
      <c r="CI90" s="11" t="str">
        <f ca="1">IF(History!CM$2="","",#REF!*$C$90)</f>
        <v/>
      </c>
      <c r="CJ90" s="11" t="str">
        <f ca="1">IF(History!CN$2="","",#REF!*$C$90)</f>
        <v/>
      </c>
      <c r="CK90" s="11" t="str">
        <f ca="1">IF(History!CO$2="","",#REF!*$C$90)</f>
        <v/>
      </c>
      <c r="CL90" s="11" t="str">
        <f ca="1">IF(History!CP$2="","",#REF!*$C$90)</f>
        <v/>
      </c>
      <c r="CM90" s="11" t="str">
        <f ca="1">IF(History!CQ$2="","",#REF!*$C$90)</f>
        <v/>
      </c>
      <c r="CN90" s="11" t="str">
        <f ca="1">IF(History!CR$2="","",#REF!*$C$90)</f>
        <v/>
      </c>
      <c r="CO90" s="11" t="str">
        <f ca="1">IF(History!CS$2="","",#REF!*$C$90)</f>
        <v/>
      </c>
      <c r="CP90" s="11" t="str">
        <f ca="1">IF(History!CT$2="","",#REF!*$C$90)</f>
        <v/>
      </c>
      <c r="CQ90" s="11" t="str">
        <f ca="1">IF(History!CU$2="","",#REF!*$C$90)</f>
        <v/>
      </c>
      <c r="CR90" s="11" t="str">
        <f ca="1">IF(History!CV$2="","",#REF!*$C$90)</f>
        <v/>
      </c>
      <c r="CS90" s="11" t="str">
        <f ca="1">IF(History!CW$2="","",#REF!*$C$90)</f>
        <v/>
      </c>
      <c r="CT90" s="11" t="str">
        <f ca="1">IF(History!CX$2="","",#REF!*$C$90)</f>
        <v/>
      </c>
      <c r="CU90" s="11" t="str">
        <f ca="1">IF(History!CY$2="","",#REF!*$C$90)</f>
        <v/>
      </c>
      <c r="CV90" s="11" t="str">
        <f ca="1">IF(History!CZ$2="","",#REF!*$C$90)</f>
        <v/>
      </c>
      <c r="CW90" s="11" t="str">
        <f ca="1">IF(History!DA$2="","",#REF!*$C$90)</f>
        <v/>
      </c>
      <c r="CX90" s="11" t="str">
        <f ca="1">IF(History!DB$2="","",#REF!*$C$90)</f>
        <v/>
      </c>
      <c r="CY90" s="11" t="str">
        <f ca="1">IF(History!DC$2="","",#REF!*$C$90)</f>
        <v/>
      </c>
      <c r="CZ90" s="11" t="str">
        <f ca="1">IF(History!DD$2="","",#REF!*$C$90)</f>
        <v/>
      </c>
      <c r="DA90" s="11" t="str">
        <f ca="1">IF(History!DE$2="","",#REF!*$C$90)</f>
        <v/>
      </c>
      <c r="DB90" s="11" t="str">
        <f ca="1">IF(History!DF$2="","",#REF!*$C$90)</f>
        <v/>
      </c>
      <c r="DC90" s="11" t="str">
        <f ca="1">IF(History!DG$2="","",#REF!*$C$90)</f>
        <v/>
      </c>
      <c r="DD90" s="11" t="str">
        <f ca="1">IF(History!DH$2="","",#REF!*$C$90)</f>
        <v/>
      </c>
      <c r="DE90" s="11" t="str">
        <f ca="1">IF(History!DI$2="","",#REF!*$C$90)</f>
        <v/>
      </c>
      <c r="DF90" s="11" t="str">
        <f ca="1">IF(History!DJ$2="","",#REF!*$C$90)</f>
        <v/>
      </c>
      <c r="DG90" s="11" t="str">
        <f ca="1">IF(History!DK$2="","",#REF!*$C$90)</f>
        <v/>
      </c>
      <c r="DH90" s="11" t="str">
        <f ca="1">IF(History!DL$2="","",#REF!*$C$90)</f>
        <v/>
      </c>
      <c r="DI90" s="11" t="str">
        <f ca="1">IF(History!DM$2="","",#REF!*$C$90)</f>
        <v/>
      </c>
      <c r="DJ90" s="11" t="str">
        <f ca="1">IF(History!DN$2="","",#REF!*$C$90)</f>
        <v/>
      </c>
      <c r="DK90" s="11" t="str">
        <f ca="1">IF(History!DO$2="","",#REF!*$C$90)</f>
        <v/>
      </c>
      <c r="DL90" s="11" t="str">
        <f ca="1">IF(History!DP$2="","",#REF!*$C$90)</f>
        <v/>
      </c>
      <c r="DM90" s="11" t="str">
        <f ca="1">IF(History!DQ$2="","",#REF!*$C$90)</f>
        <v/>
      </c>
      <c r="DN90" s="11" t="str">
        <f ca="1">IF(History!DR$2="","",#REF!*$C$90)</f>
        <v/>
      </c>
      <c r="DO90" s="11" t="str">
        <f ca="1">IF(History!DS$2="","",#REF!*$C$90)</f>
        <v/>
      </c>
      <c r="DP90" s="11" t="str">
        <f ca="1">IF(History!DT$2="","",#REF!*$C$90)</f>
        <v/>
      </c>
      <c r="DQ90" s="11" t="str">
        <f ca="1">IF(History!DU$2="","",#REF!*$C$90)</f>
        <v/>
      </c>
      <c r="DR90" s="11" t="str">
        <f ca="1">IF(History!DV$2="","",#REF!*$C$90)</f>
        <v/>
      </c>
      <c r="DS90" s="11" t="str">
        <f ca="1">IF(History!DW$2="","",#REF!*$C$90)</f>
        <v/>
      </c>
      <c r="DT90" s="11" t="str">
        <f ca="1">IF(History!DX$2="","",#REF!*$C$90)</f>
        <v/>
      </c>
      <c r="DU90" s="11" t="str">
        <f ca="1">IF(History!DY$2="","",#REF!*$C$90)</f>
        <v/>
      </c>
      <c r="DV90" s="11" t="str">
        <f ca="1">IF(History!DZ$2="","",#REF!*$C$90)</f>
        <v/>
      </c>
      <c r="DW90" s="11" t="str">
        <f ca="1">IF(History!EA$2="","",#REF!*$C$90)</f>
        <v/>
      </c>
      <c r="DX90" s="11" t="str">
        <f ca="1">IF(History!EB$2="","",#REF!*$C$90)</f>
        <v/>
      </c>
      <c r="DY90" s="11" t="str">
        <f ca="1">IF(History!EC$2="","",#REF!*$C$90)</f>
        <v/>
      </c>
      <c r="DZ90" s="11" t="str">
        <f ca="1">IF(History!ED$2="","",#REF!*$C$90)</f>
        <v/>
      </c>
      <c r="EA90" s="11" t="str">
        <f ca="1">IF(History!EE$2="","",#REF!*$C$90)</f>
        <v/>
      </c>
      <c r="EB90" s="11" t="str">
        <f ca="1">IF(History!EF$2="","",#REF!*$C$90)</f>
        <v/>
      </c>
      <c r="EC90" s="11" t="str">
        <f ca="1">IF(History!EG$2="","",#REF!*$C$90)</f>
        <v/>
      </c>
      <c r="ED90" s="11" t="str">
        <f ca="1">IF(History!EH$2="","",#REF!*$C$90)</f>
        <v/>
      </c>
      <c r="EE90" s="11" t="str">
        <f ca="1">IF(History!EI$2="","",#REF!*$C$90)</f>
        <v/>
      </c>
      <c r="EF90" s="11" t="str">
        <f ca="1">IF(History!EJ$2="","",#REF!*$C$90)</f>
        <v/>
      </c>
      <c r="EG90" s="11" t="str">
        <f ca="1">IF(History!EK$2="","",#REF!*$C$90)</f>
        <v/>
      </c>
      <c r="EH90" s="11" t="str">
        <f ca="1">IF(History!EL$2="","",#REF!*$C$90)</f>
        <v/>
      </c>
      <c r="EI90" s="11" t="str">
        <f ca="1">IF(History!EM$2="","",#REF!*$C$90)</f>
        <v/>
      </c>
      <c r="EJ90" s="11" t="str">
        <f ca="1">IF(History!EN$2="","",#REF!*$C$90)</f>
        <v/>
      </c>
      <c r="EK90" s="11" t="str">
        <f ca="1">IF(History!EO$2="","",#REF!*$C$90)</f>
        <v/>
      </c>
      <c r="EL90" s="11" t="str">
        <f ca="1">IF(History!EP$2="","",#REF!*$C$90)</f>
        <v/>
      </c>
      <c r="EM90" s="11" t="str">
        <f ca="1">IF(History!EQ$2="","",#REF!*$C$90)</f>
        <v/>
      </c>
      <c r="EN90" s="11" t="str">
        <f ca="1">IF(History!ER$2="","",#REF!*$C$90)</f>
        <v/>
      </c>
      <c r="EO90" s="11" t="str">
        <f ca="1">IF(History!ES$2="","",#REF!*$C$90)</f>
        <v/>
      </c>
      <c r="EP90" s="11" t="str">
        <f ca="1">IF(History!ET$2="","",#REF!*$C$90)</f>
        <v/>
      </c>
      <c r="EQ90" s="11" t="str">
        <f ca="1">IF(History!EU$2="","",#REF!*$C$90)</f>
        <v/>
      </c>
      <c r="ER90" s="11" t="str">
        <f ca="1">IF(History!EV$2="","",#REF!*$C$90)</f>
        <v/>
      </c>
      <c r="ES90" s="11" t="str">
        <f ca="1">IF(History!EW$2="","",#REF!*$C$90)</f>
        <v/>
      </c>
      <c r="ET90" s="11" t="str">
        <f ca="1">IF(History!EX$2="","",#REF!*$C$90)</f>
        <v/>
      </c>
      <c r="EU90" s="11" t="str">
        <f ca="1">IF(History!EY$2="","",#REF!*$C$90)</f>
        <v/>
      </c>
      <c r="EV90" s="11" t="str">
        <f ca="1">IF(History!EZ$2="","",#REF!*$C$90)</f>
        <v/>
      </c>
      <c r="EW90" s="11" t="str">
        <f ca="1">IF(History!FA$2="","",#REF!*$C$90)</f>
        <v/>
      </c>
      <c r="EX90" s="11" t="str">
        <f ca="1">IF(History!FB$2="","",#REF!*$C$90)</f>
        <v/>
      </c>
      <c r="EY90" s="11" t="str">
        <f ca="1">IF(History!FC$2="","",#REF!*$C$90)</f>
        <v/>
      </c>
      <c r="EZ90" s="11" t="str">
        <f ca="1">IF(History!FD$2="","",#REF!*$C$90)</f>
        <v/>
      </c>
      <c r="FA90" s="11" t="str">
        <f ca="1">IF(History!FE$2="","",#REF!*$C$90)</f>
        <v/>
      </c>
      <c r="FB90" s="11" t="str">
        <f ca="1">IF(History!FF$2="","",#REF!*$C$90)</f>
        <v/>
      </c>
      <c r="FC90" s="11" t="str">
        <f ca="1">IF(History!FG$2="","",#REF!*$C$90)</f>
        <v/>
      </c>
      <c r="FD90" s="11" t="str">
        <f ca="1">IF(History!FH$2="","",#REF!*$C$90)</f>
        <v/>
      </c>
      <c r="FE90" s="11" t="str">
        <f ca="1">IF(History!FI$2="","",#REF!*$C$90)</f>
        <v/>
      </c>
      <c r="FF90" s="11" t="str">
        <f ca="1">IF(History!FJ$2="","",#REF!*$C$90)</f>
        <v/>
      </c>
      <c r="FG90" s="11" t="str">
        <f ca="1">IF(History!FK$2="","",#REF!*$C$90)</f>
        <v/>
      </c>
      <c r="FH90" s="11" t="str">
        <f ca="1">IF(History!FL$2="","",#REF!*$C$90)</f>
        <v/>
      </c>
      <c r="FI90" s="11" t="str">
        <f ca="1">IF(History!FM$2="","",#REF!*$C$90)</f>
        <v/>
      </c>
      <c r="FJ90" s="11" t="str">
        <f ca="1">IF(History!FN$2="","",#REF!*$C$90)</f>
        <v/>
      </c>
      <c r="FK90" s="11" t="str">
        <f ca="1">IF(History!FO$2="","",#REF!*$C$90)</f>
        <v/>
      </c>
      <c r="FL90" s="11" t="str">
        <f ca="1">IF(History!FP$2="","",#REF!*$C$90)</f>
        <v/>
      </c>
      <c r="FM90" s="11" t="str">
        <f ca="1">IF(History!FQ$2="","",#REF!*$C$90)</f>
        <v/>
      </c>
      <c r="FN90" s="11" t="str">
        <f ca="1">IF(History!FR$2="","",#REF!*$C$90)</f>
        <v/>
      </c>
      <c r="FO90" s="11" t="str">
        <f ca="1">IF(History!FS$2="","",#REF!*$C$90)</f>
        <v/>
      </c>
      <c r="FP90" s="11" t="str">
        <f ca="1">IF(History!FT$2="","",#REF!*$C$90)</f>
        <v/>
      </c>
      <c r="FQ90" s="11" t="str">
        <f ca="1">IF(History!FU$2="","",#REF!*$C$90)</f>
        <v/>
      </c>
      <c r="FR90" s="11" t="str">
        <f ca="1">IF(History!FV$2="","",#REF!*$C$90)</f>
        <v/>
      </c>
      <c r="FS90" s="11" t="str">
        <f ca="1">IF(History!FW$2="","",#REF!*$C$90)</f>
        <v/>
      </c>
      <c r="FT90" s="11" t="str">
        <f ca="1">IF(History!FX$2="","",#REF!*$C$90)</f>
        <v/>
      </c>
      <c r="FU90" s="11" t="str">
        <f ca="1">IF(History!FY$2="","",#REF!*$C$90)</f>
        <v/>
      </c>
      <c r="FV90" s="11" t="str">
        <f ca="1">IF(History!FZ$2="","",#REF!*$C$90)</f>
        <v/>
      </c>
      <c r="FW90" s="11" t="str">
        <f ca="1">IF(History!GA$2="","",#REF!*$C$90)</f>
        <v/>
      </c>
      <c r="FX90" s="11" t="str">
        <f ca="1">IF(History!GB$2="","",#REF!*$C$90)</f>
        <v/>
      </c>
      <c r="FY90" s="11" t="str">
        <f ca="1">IF(History!GC$2="","",#REF!*$C$90)</f>
        <v/>
      </c>
      <c r="FZ90" s="11" t="str">
        <f ca="1">IF(History!GD$2="","",#REF!*$C$90)</f>
        <v/>
      </c>
      <c r="GA90" s="11" t="str">
        <f ca="1">IF(History!GE$2="","",#REF!*$C$90)</f>
        <v/>
      </c>
      <c r="GB90" s="11" t="str">
        <f ca="1">IF(History!GF$2="","",#REF!*$C$90)</f>
        <v/>
      </c>
      <c r="GC90" s="11" t="str">
        <f ca="1">IF(History!GG$2="","",#REF!*$C$90)</f>
        <v/>
      </c>
      <c r="GD90" s="11" t="str">
        <f ca="1">IF(History!GH$2="","",#REF!*$C$90)</f>
        <v/>
      </c>
      <c r="GE90" s="11" t="str">
        <f ca="1">IF(History!GI$2="","",#REF!*$C$90)</f>
        <v/>
      </c>
      <c r="GF90" s="11" t="str">
        <f ca="1">IF(History!GJ$2="","",#REF!*$C$90)</f>
        <v/>
      </c>
      <c r="GG90" s="11" t="str">
        <f ca="1">IF(History!GK$2="","",#REF!*$C$90)</f>
        <v/>
      </c>
      <c r="GH90" s="11" t="str">
        <f ca="1">IF(History!GL$2="","",#REF!*$C$90)</f>
        <v/>
      </c>
      <c r="GI90" s="11" t="str">
        <f ca="1">IF(History!GM$2="","",#REF!*$C$90)</f>
        <v/>
      </c>
      <c r="GJ90" s="11" t="str">
        <f ca="1">IF(History!GN$2="","",#REF!*$C$90)</f>
        <v/>
      </c>
      <c r="GK90" s="11" t="str">
        <f ca="1">IF(History!GO$2="","",#REF!*$C$90)</f>
        <v/>
      </c>
      <c r="GL90" s="11" t="str">
        <f ca="1">IF(History!GP$2="","",#REF!*$C$90)</f>
        <v/>
      </c>
      <c r="GM90" s="11" t="str">
        <f ca="1">IF(History!GQ$2="","",#REF!*$C$90)</f>
        <v/>
      </c>
      <c r="GN90" s="11" t="str">
        <f ca="1">IF(History!GR$2="","",#REF!*$C$90)</f>
        <v/>
      </c>
      <c r="GO90" s="11" t="str">
        <f ca="1">IF(History!GS$2="","",#REF!*$C$90)</f>
        <v/>
      </c>
      <c r="GP90" s="11" t="str">
        <f ca="1">IF(History!GT$2="","",#REF!*$C$90)</f>
        <v/>
      </c>
      <c r="GQ90" s="11" t="str">
        <f ca="1">IF(History!GU$2="","",#REF!*$C$90)</f>
        <v/>
      </c>
      <c r="GR90" s="11" t="str">
        <f ca="1">IF(History!GV$2="","",#REF!*$C$90)</f>
        <v/>
      </c>
      <c r="GS90" s="11" t="str">
        <f ca="1">IF(History!GW$2="","",#REF!*$C$90)</f>
        <v/>
      </c>
      <c r="GT90" s="11" t="str">
        <f ca="1">IF(History!GX$2="","",#REF!*$C$90)</f>
        <v/>
      </c>
      <c r="GU90" s="11" t="str">
        <f ca="1">IF(History!GY$2="","",#REF!*$C$90)</f>
        <v/>
      </c>
      <c r="GV90" s="11" t="str">
        <f ca="1">IF(History!GZ$2="","",#REF!*$C$90)</f>
        <v/>
      </c>
      <c r="GW90" s="11" t="str">
        <f ca="1">IF(History!HA$2="","",#REF!*$C$90)</f>
        <v/>
      </c>
      <c r="GX90" s="11" t="str">
        <f ca="1">IF(History!HB$2="","",#REF!*$C$90)</f>
        <v/>
      </c>
      <c r="GY90" s="11" t="str">
        <f ca="1">IF(History!HC$2="","",#REF!*$C$90)</f>
        <v/>
      </c>
      <c r="GZ90" s="11" t="str">
        <f ca="1">IF(History!HD$2="","",#REF!*$C$90)</f>
        <v/>
      </c>
      <c r="HA90" s="11" t="str">
        <f ca="1">IF(History!HE$2="","",#REF!*$C$90)</f>
        <v/>
      </c>
      <c r="HB90" s="11" t="str">
        <f ca="1">IF(History!HF$2="","",#REF!*$C$90)</f>
        <v/>
      </c>
      <c r="HC90" s="11" t="str">
        <f ca="1">IF(History!HG$2="","",#REF!*$C$90)</f>
        <v/>
      </c>
      <c r="HD90" s="11" t="str">
        <f ca="1">IF(History!HH$2="","",#REF!*$C$90)</f>
        <v/>
      </c>
      <c r="HE90" s="11" t="str">
        <f ca="1">IF(History!HI$2="","",#REF!*$C$90)</f>
        <v/>
      </c>
      <c r="HF90" s="11" t="str">
        <f ca="1">IF(History!HJ$2="","",#REF!*$C$90)</f>
        <v/>
      </c>
      <c r="HG90" s="11" t="str">
        <f ca="1">IF(History!HK$2="","",#REF!*$C$90)</f>
        <v/>
      </c>
      <c r="HH90" s="11" t="str">
        <f ca="1">IF(History!HL$2="","",#REF!*$C$90)</f>
        <v/>
      </c>
      <c r="HI90" s="11" t="str">
        <f ca="1">IF(History!HM$2="","",#REF!*$C$90)</f>
        <v/>
      </c>
      <c r="HJ90" s="11" t="str">
        <f ca="1">IF(History!HN$2="","",#REF!*$C$90)</f>
        <v/>
      </c>
      <c r="HK90" s="11" t="str">
        <f ca="1">IF(History!HO$2="","",#REF!*$C$90)</f>
        <v/>
      </c>
      <c r="HL90" s="11" t="str">
        <f ca="1">IF(History!HP$2="","",#REF!*$C$90)</f>
        <v/>
      </c>
      <c r="HM90" s="11" t="str">
        <f ca="1">IF(History!HQ$2="","",#REF!*$C$90)</f>
        <v/>
      </c>
      <c r="HN90" s="11" t="str">
        <f ca="1">IF(History!HR$2="","",#REF!*$C$90)</f>
        <v/>
      </c>
      <c r="HO90" s="11" t="str">
        <f ca="1">IF(History!HS$2="","",#REF!*$C$90)</f>
        <v/>
      </c>
      <c r="HP90" s="11" t="str">
        <f ca="1">IF(History!HT$2="","",#REF!*$C$90)</f>
        <v/>
      </c>
      <c r="HQ90" s="11" t="str">
        <f ca="1">IF(History!HU$2="","",#REF!*$C$90)</f>
        <v/>
      </c>
      <c r="HR90" s="11" t="str">
        <f ca="1">IF(History!HV$2="","",#REF!*$C$90)</f>
        <v/>
      </c>
      <c r="HS90" s="11" t="str">
        <f ca="1">IF(History!HW$2="","",#REF!*$C$90)</f>
        <v/>
      </c>
      <c r="HT90" s="11" t="str">
        <f ca="1">IF(History!HX$2="","",#REF!*$C$90)</f>
        <v/>
      </c>
      <c r="HU90" s="11" t="str">
        <f ca="1">IF(History!HY$2="","",#REF!*$C$90)</f>
        <v/>
      </c>
      <c r="HV90" s="11" t="str">
        <f ca="1">IF(History!HZ$2="","",#REF!*$C$90)</f>
        <v/>
      </c>
      <c r="HW90" s="11" t="str">
        <f ca="1">IF(History!IA$2="","",#REF!*$C$90)</f>
        <v/>
      </c>
      <c r="HX90" s="11" t="str">
        <f ca="1">IF(History!IB$2="","",#REF!*$C$90)</f>
        <v/>
      </c>
      <c r="HY90" s="11" t="str">
        <f ca="1">IF(History!IC$2="","",#REF!*$C$90)</f>
        <v/>
      </c>
      <c r="HZ90" s="11" t="str">
        <f ca="1">IF(History!ID$2="","",#REF!*$C$90)</f>
        <v/>
      </c>
      <c r="IA90" s="11" t="str">
        <f ca="1">IF(History!IE$2="","",#REF!*$C$90)</f>
        <v/>
      </c>
      <c r="IB90" s="11" t="str">
        <f ca="1">IF(History!IF$2="","",#REF!*$C$90)</f>
        <v/>
      </c>
      <c r="IC90" s="11" t="str">
        <f ca="1">IF(History!IG$2="","",#REF!*$C$90)</f>
        <v/>
      </c>
      <c r="ID90" s="11" t="str">
        <f ca="1">IF(History!IH$2="","",#REF!*$C$90)</f>
        <v/>
      </c>
      <c r="IE90" s="11" t="str">
        <f ca="1">IF(History!II$2="","",#REF!*$C$90)</f>
        <v/>
      </c>
      <c r="IF90" s="11" t="str">
        <f ca="1">IF(History!IJ$2="","",#REF!*$C$90)</f>
        <v/>
      </c>
      <c r="IG90" s="11" t="str">
        <f ca="1">IF(History!IK$2="","",#REF!*$C$90)</f>
        <v/>
      </c>
      <c r="IH90" s="11" t="str">
        <f ca="1">IF(History!IL$2="","",#REF!*$C$90)</f>
        <v/>
      </c>
      <c r="II90" s="11" t="str">
        <f ca="1">IF(History!IM$2="","",#REF!*$C$90)</f>
        <v/>
      </c>
      <c r="IJ90" s="11" t="str">
        <f ca="1">IF(History!IN$2="","",#REF!*$C$90)</f>
        <v/>
      </c>
      <c r="IK90" s="11" t="str">
        <f ca="1">IF(History!IO$2="","",#REF!*$C$90)</f>
        <v/>
      </c>
      <c r="IL90" s="11" t="str">
        <f ca="1">IF(History!IP$2="","",#REF!*$C$90)</f>
        <v/>
      </c>
      <c r="IM90" s="11" t="str">
        <f ca="1">IF(History!IQ$2="","",#REF!*$C$90)</f>
        <v/>
      </c>
      <c r="IN90" s="11" t="str">
        <f ca="1">IF(History!IR$2="","",#REF!*$C$90)</f>
        <v/>
      </c>
      <c r="IO90" s="11" t="str">
        <f ca="1">IF(History!IS$2="","",#REF!*$C$90)</f>
        <v/>
      </c>
      <c r="IP90" s="11" t="str">
        <f ca="1">IF(History!IT$2="","",#REF!*$C$90)</f>
        <v/>
      </c>
      <c r="IQ90" s="11" t="str">
        <f ca="1">IF(History!IU$2="","",#REF!*$C$90)</f>
        <v/>
      </c>
      <c r="IR90" s="11" t="str">
        <f ca="1">IF(History!IV$2="","",#REF!*$C$90)</f>
        <v/>
      </c>
      <c r="IS90" s="11" t="str">
        <f ca="1">IF(History!IW$2="","",#REF!*$C$90)</f>
        <v/>
      </c>
      <c r="IT90" s="11" t="str">
        <f ca="1">IF(History!IX$2="","",#REF!*$C$90)</f>
        <v/>
      </c>
      <c r="IU90" s="11" t="str">
        <f ca="1">IF(History!IY$2="","",#REF!*$C$90)</f>
        <v/>
      </c>
      <c r="IV90" s="11" t="str">
        <f ca="1">IF(History!IZ$2="","",#REF!*$C$90)</f>
        <v/>
      </c>
      <c r="IW90" s="11" t="str">
        <f ca="1">IF(History!JA$2="","",#REF!*$C$90)</f>
        <v/>
      </c>
      <c r="IX90" s="11" t="str">
        <f ca="1">IF(History!JB$2="","",#REF!*$C$90)</f>
        <v/>
      </c>
      <c r="IY90" s="11" t="str">
        <f ca="1">IF(History!JC$2="","",#REF!*$C$90)</f>
        <v/>
      </c>
      <c r="IZ90" s="11" t="str">
        <f ca="1">IF(History!JD$2="","",#REF!*$C$90)</f>
        <v/>
      </c>
      <c r="JA90" s="11" t="str">
        <f ca="1">IF(History!JE$2="","",#REF!*$C$90)</f>
        <v/>
      </c>
      <c r="JB90" s="11" t="str">
        <f ca="1">IF(History!JF$2="","",#REF!*$C$90)</f>
        <v/>
      </c>
      <c r="JC90" s="11" t="str">
        <f ca="1">IF(History!JG$2="","",#REF!*$C$90)</f>
        <v/>
      </c>
      <c r="JD90" s="11" t="str">
        <f ca="1">IF(History!JH$2="","",#REF!*$C$90)</f>
        <v/>
      </c>
      <c r="JE90" s="11" t="str">
        <f ca="1">IF(History!JI$2="","",#REF!*$C$90)</f>
        <v/>
      </c>
      <c r="JF90" s="11" t="str">
        <f ca="1">IF(History!JJ$2="","",#REF!*$C$90)</f>
        <v/>
      </c>
      <c r="JG90" s="11" t="str">
        <f ca="1">IF(History!JK$2="","",#REF!*$C$90)</f>
        <v/>
      </c>
      <c r="JH90" s="11" t="str">
        <f ca="1">IF(History!JL$2="","",#REF!*$C$90)</f>
        <v/>
      </c>
      <c r="JI90" s="11" t="str">
        <f ca="1">IF(History!JM$2="","",#REF!*$C$90)</f>
        <v/>
      </c>
      <c r="JJ90" s="11" t="str">
        <f ca="1">IF(History!JN$2="","",#REF!*$C$90)</f>
        <v/>
      </c>
      <c r="JK90" s="11" t="str">
        <f ca="1">IF(History!JO$2="","",#REF!*$C$90)</f>
        <v/>
      </c>
      <c r="JL90" s="11" t="str">
        <f ca="1">IF(History!JP$2="","",#REF!*$C$90)</f>
        <v/>
      </c>
      <c r="JM90" s="11" t="str">
        <f ca="1">IF(History!JQ$2="","",#REF!*$C$90)</f>
        <v/>
      </c>
      <c r="JN90" s="11" t="str">
        <f ca="1">IF(History!JR$2="","",#REF!*$C$90)</f>
        <v/>
      </c>
      <c r="JO90" s="11" t="str">
        <f ca="1">IF(History!JS$2="","",#REF!*$C$90)</f>
        <v/>
      </c>
      <c r="JP90" s="11" t="str">
        <f ca="1">IF(History!JT$2="","",#REF!*$C$90)</f>
        <v/>
      </c>
      <c r="JQ90" s="11" t="str">
        <f ca="1">IF(History!JU$2="","",#REF!*$C$90)</f>
        <v/>
      </c>
      <c r="JR90" s="11" t="str">
        <f ca="1">IF(History!JV$2="","",#REF!*$C$90)</f>
        <v/>
      </c>
      <c r="JS90" s="11" t="str">
        <f ca="1">IF(History!JW$2="","",#REF!*$C$90)</f>
        <v/>
      </c>
      <c r="JT90" s="11" t="str">
        <f ca="1">IF(History!JX$2="","",#REF!*$C$90)</f>
        <v/>
      </c>
      <c r="JU90" s="11" t="str">
        <f ca="1">IF(History!JY$2="","",#REF!*$C$90)</f>
        <v/>
      </c>
      <c r="JV90" s="11" t="str">
        <f ca="1">IF(History!JZ$2="","",#REF!*$C$90)</f>
        <v/>
      </c>
      <c r="JW90" s="11" t="str">
        <f ca="1">IF(History!KA$2="","",#REF!*$C$90)</f>
        <v/>
      </c>
      <c r="JX90" s="11" t="str">
        <f ca="1">IF(History!KB$2="","",#REF!*$C$90)</f>
        <v/>
      </c>
      <c r="JY90" s="11" t="str">
        <f ca="1">IF(History!KC$2="","",#REF!*$C$90)</f>
        <v/>
      </c>
      <c r="JZ90" s="11" t="str">
        <f ca="1">IF(History!KD$2="","",#REF!*$C$90)</f>
        <v/>
      </c>
      <c r="KA90" s="11" t="str">
        <f ca="1">IF(History!KE$2="","",#REF!*$C$90)</f>
        <v/>
      </c>
      <c r="KB90" s="11" t="str">
        <f ca="1">IF(History!KF$2="","",#REF!*$C$90)</f>
        <v/>
      </c>
    </row>
    <row r="91" spans="1:288" ht="13">
      <c r="A91" s="18" t="s">
        <v>140</v>
      </c>
      <c r="B91" s="6" t="s">
        <v>169</v>
      </c>
      <c r="C91" s="26">
        <v>75</v>
      </c>
      <c r="D91" s="11" t="e">
        <f ca="1">IF(History!H$2="","",#REF!*$C$91)</f>
        <v>#REF!</v>
      </c>
      <c r="E91" s="11" t="e">
        <f ca="1">IF(History!I$2="","",#REF!*$C$91)</f>
        <v>#REF!</v>
      </c>
      <c r="F91" s="11" t="e">
        <f ca="1">IF(History!J$2="","",#REF!*$C$91)</f>
        <v>#REF!</v>
      </c>
      <c r="G91" s="11" t="e">
        <f ca="1">IF(History!K$2="","",#REF!*$C$91)</f>
        <v>#REF!</v>
      </c>
      <c r="H91" s="11" t="e">
        <f ca="1">IF(History!L$2="","",#REF!*$C$91)</f>
        <v>#REF!</v>
      </c>
      <c r="I91" s="11" t="e">
        <f ca="1">IF(History!M$2="","",#REF!*$C$91)</f>
        <v>#REF!</v>
      </c>
      <c r="J91" s="11" t="e">
        <f ca="1">IF(History!N$2="","",#REF!*$C$91)</f>
        <v>#REF!</v>
      </c>
      <c r="K91" s="11" t="e">
        <f ca="1">IF(History!O$2="","",#REF!*$C$91)</f>
        <v>#REF!</v>
      </c>
      <c r="L91" s="11" t="e">
        <f ca="1">IF(History!P$2="","",#REF!*$C$91)</f>
        <v>#REF!</v>
      </c>
      <c r="M91" s="11" t="e">
        <f ca="1">IF(History!Q$2="","",#REF!*$C$91)</f>
        <v>#REF!</v>
      </c>
      <c r="N91" s="11" t="e">
        <f ca="1">IF(History!R$2="","",#REF!*$C$91)</f>
        <v>#REF!</v>
      </c>
      <c r="O91" s="11" t="e">
        <f ca="1">IF(History!S$2="","",#REF!*$C$91)</f>
        <v>#REF!</v>
      </c>
      <c r="P91" s="11" t="e">
        <f ca="1">IF(History!T$2="","",#REF!*$C$91)</f>
        <v>#REF!</v>
      </c>
      <c r="Q91" s="11" t="e">
        <f ca="1">IF(History!U$2="","",#REF!*$C$91)</f>
        <v>#REF!</v>
      </c>
      <c r="R91" s="11" t="e">
        <f ca="1">IF(History!V$2="","",#REF!*$C$91)</f>
        <v>#REF!</v>
      </c>
      <c r="S91" s="11" t="e">
        <f ca="1">IF(History!W$2="","",#REF!*$C$91)</f>
        <v>#REF!</v>
      </c>
      <c r="T91" s="11" t="e">
        <f ca="1">IF(History!X$2="","",#REF!*$C$91)</f>
        <v>#REF!</v>
      </c>
      <c r="U91" s="11" t="e">
        <f ca="1">IF(History!Y$2="","",#REF!*$C$91)</f>
        <v>#REF!</v>
      </c>
      <c r="V91" s="11" t="e">
        <f ca="1">IF(History!Z$2="","",#REF!*$C$91)</f>
        <v>#REF!</v>
      </c>
      <c r="W91" s="11" t="e">
        <f ca="1">IF(History!AA$2="","",#REF!*$C$91)</f>
        <v>#REF!</v>
      </c>
      <c r="X91" s="11" t="e">
        <f ca="1">IF(History!AB$2="","",#REF!*$C$91)</f>
        <v>#REF!</v>
      </c>
      <c r="Y91" s="11" t="e">
        <f ca="1">IF(History!AC$2="","",#REF!*$C$91)</f>
        <v>#REF!</v>
      </c>
      <c r="Z91" s="11" t="e">
        <f ca="1">IF(History!AD$2="","",#REF!*$C$91)</f>
        <v>#REF!</v>
      </c>
      <c r="AA91" s="11" t="e">
        <f ca="1">IF(History!AE$2="","",#REF!*$C$91)</f>
        <v>#REF!</v>
      </c>
      <c r="AB91" s="11" t="e">
        <f ca="1">IF(History!AF$2="","",#REF!*$C$91)</f>
        <v>#REF!</v>
      </c>
      <c r="AC91" s="11" t="e">
        <f ca="1">IF(History!AG$2="","",#REF!*$C$91)</f>
        <v>#REF!</v>
      </c>
      <c r="AD91" s="11" t="e">
        <f ca="1">IF(History!AH$2="","",#REF!*$C$91)</f>
        <v>#REF!</v>
      </c>
      <c r="AE91" s="11" t="e">
        <f ca="1">IF(History!AI$2="","",#REF!*$C$91)</f>
        <v>#REF!</v>
      </c>
      <c r="AF91" s="11" t="e">
        <f ca="1">IF(History!AJ$2="","",#REF!*$C$91)</f>
        <v>#REF!</v>
      </c>
      <c r="AG91" s="11" t="e">
        <f ca="1">IF(History!AK$2="","",#REF!*$C$91)</f>
        <v>#REF!</v>
      </c>
      <c r="AH91" s="11" t="e">
        <f ca="1">IF(History!AL$2="","",#REF!*$C$91)</f>
        <v>#REF!</v>
      </c>
      <c r="AI91" s="11" t="e">
        <f ca="1">IF(History!AM$2="","",#REF!*$C$91)</f>
        <v>#REF!</v>
      </c>
      <c r="AJ91" s="11" t="e">
        <f ca="1">IF(History!AN$2="","",#REF!*$C$91)</f>
        <v>#REF!</v>
      </c>
      <c r="AK91" s="11" t="e">
        <f ca="1">IF(History!AO$2="","",#REF!*$C$91)</f>
        <v>#REF!</v>
      </c>
      <c r="AL91" s="11" t="e">
        <f ca="1">IF(History!AP$2="","",#REF!*$C$91)</f>
        <v>#REF!</v>
      </c>
      <c r="AM91" s="11" t="e">
        <f ca="1">IF(History!AQ$2="","",#REF!*$C$91)</f>
        <v>#REF!</v>
      </c>
      <c r="AN91" s="11" t="e">
        <f ca="1">IF(History!AR$2="","",#REF!*$C$91)</f>
        <v>#REF!</v>
      </c>
      <c r="AO91" s="11" t="e">
        <f ca="1">IF(History!AS$2="","",#REF!*$C$91)</f>
        <v>#REF!</v>
      </c>
      <c r="AP91" s="11" t="e">
        <f ca="1">IF(History!AT$2="","",#REF!*$C$91)</f>
        <v>#REF!</v>
      </c>
      <c r="AQ91" s="11" t="e">
        <f ca="1">IF(History!AU$2="","",#REF!*$C$91)</f>
        <v>#REF!</v>
      </c>
      <c r="AR91" s="11" t="e">
        <f ca="1">IF(History!AV$2="","",#REF!*$C$91)</f>
        <v>#REF!</v>
      </c>
      <c r="AS91" s="11" t="e">
        <f ca="1">IF(History!AW$2="","",#REF!*$C$91)</f>
        <v>#REF!</v>
      </c>
      <c r="AT91" s="11" t="e">
        <f ca="1">IF(History!AX$2="","",#REF!*$C$91)</f>
        <v>#REF!</v>
      </c>
      <c r="AU91" s="11" t="e">
        <f ca="1">IF(History!AY$2="","",#REF!*$C$91)</f>
        <v>#REF!</v>
      </c>
      <c r="AV91" s="11" t="e">
        <f ca="1">IF(History!AZ$2="","",#REF!*$C$91)</f>
        <v>#REF!</v>
      </c>
      <c r="AW91" s="11" t="e">
        <f ca="1">IF(History!BA$2="","",#REF!*$C$91)</f>
        <v>#REF!</v>
      </c>
      <c r="AX91" s="11" t="e">
        <f ca="1">IF(History!BB$2="","",#REF!*$C$91)</f>
        <v>#REF!</v>
      </c>
      <c r="AY91" s="11" t="e">
        <f ca="1">IF(History!BC$2="","",#REF!*$C$91)</f>
        <v>#REF!</v>
      </c>
      <c r="AZ91" s="11" t="e">
        <f ca="1">IF(History!BD$2="","",#REF!*$C$91)</f>
        <v>#REF!</v>
      </c>
      <c r="BA91" s="11" t="e">
        <f ca="1">IF(History!BE$2="","",#REF!*$C$91)</f>
        <v>#REF!</v>
      </c>
      <c r="BB91" s="11" t="e">
        <f ca="1">IF(History!BF$2="","",#REF!*$C$91)</f>
        <v>#REF!</v>
      </c>
      <c r="BC91" s="11" t="e">
        <f ca="1">IF(History!BG$2="","",#REF!*$C$91)</f>
        <v>#REF!</v>
      </c>
      <c r="BD91" s="11" t="e">
        <f ca="1">IF(History!BH$2="","",#REF!*$C$91)</f>
        <v>#REF!</v>
      </c>
      <c r="BE91" s="11" t="e">
        <f ca="1">IF(History!BI$2="","",#REF!*$C$91)</f>
        <v>#REF!</v>
      </c>
      <c r="BF91" s="11" t="e">
        <f ca="1">IF(History!BJ$2="","",#REF!*$C$91)</f>
        <v>#REF!</v>
      </c>
      <c r="BG91" s="11" t="e">
        <f ca="1">IF(History!BK$2="","",#REF!*$C$91)</f>
        <v>#REF!</v>
      </c>
      <c r="BH91" s="11" t="e">
        <f ca="1">IF(History!BL$2="","",#REF!*$C$91)</f>
        <v>#REF!</v>
      </c>
      <c r="BI91" s="11" t="e">
        <f ca="1">IF(History!BM$2="","",#REF!*$C$91)</f>
        <v>#REF!</v>
      </c>
      <c r="BJ91" s="11" t="e">
        <f ca="1">IF(History!BN$2="","",#REF!*$C$91)</f>
        <v>#REF!</v>
      </c>
      <c r="BK91" s="11" t="e">
        <f ca="1">IF(History!BO$2="","",#REF!*$C$91)</f>
        <v>#REF!</v>
      </c>
      <c r="BL91" s="11" t="e">
        <f ca="1">IF(History!BP$2="","",#REF!*$C$91)</f>
        <v>#REF!</v>
      </c>
      <c r="BM91" s="11" t="e">
        <f ca="1">IF(History!BQ$2="","",#REF!*$C$91)</f>
        <v>#REF!</v>
      </c>
      <c r="BN91" s="11" t="e">
        <f ca="1">IF(History!BR$2="","",#REF!*$C$91)</f>
        <v>#REF!</v>
      </c>
      <c r="BO91" s="11" t="e">
        <f ca="1">IF(History!BS$2="","",#REF!*$C$91)</f>
        <v>#REF!</v>
      </c>
      <c r="BP91" s="11" t="e">
        <f ca="1">IF(History!BT$2="","",#REF!*$C$91)</f>
        <v>#REF!</v>
      </c>
      <c r="BQ91" s="11" t="e">
        <f ca="1">IF(History!BU$2="","",#REF!*$C$91)</f>
        <v>#REF!</v>
      </c>
      <c r="BR91" s="11" t="e">
        <f ca="1">IF(History!BV$2="","",#REF!*$C$91)</f>
        <v>#REF!</v>
      </c>
      <c r="BS91" s="11" t="e">
        <f ca="1">IF(History!BW$2="","",#REF!*$C$91)</f>
        <v>#REF!</v>
      </c>
      <c r="BT91" s="11" t="e">
        <f ca="1">IF(History!BX$2="","",#REF!*$C$91)</f>
        <v>#REF!</v>
      </c>
      <c r="BU91" s="11" t="e">
        <f ca="1">IF(History!BY$2="","",#REF!*$C$91)</f>
        <v>#REF!</v>
      </c>
      <c r="BV91" s="11" t="e">
        <f ca="1">IF(History!BZ$2="","",#REF!*$C$91)</f>
        <v>#REF!</v>
      </c>
      <c r="BW91" s="11" t="e">
        <f ca="1">IF(History!CA$2="","",#REF!*$C$91)</f>
        <v>#REF!</v>
      </c>
      <c r="BX91" s="11" t="e">
        <f ca="1">IF(History!CB$2="","",#REF!*$C$91)</f>
        <v>#REF!</v>
      </c>
      <c r="BY91" s="11" t="e">
        <f ca="1">IF(History!CC$2="","",#REF!*$C$91)</f>
        <v>#REF!</v>
      </c>
      <c r="BZ91" s="11" t="e">
        <f ca="1">IF(History!CD$2="","",#REF!*$C$91)</f>
        <v>#REF!</v>
      </c>
      <c r="CA91" s="11" t="e">
        <f ca="1">IF(History!CE$2="","",#REF!*$C$91)</f>
        <v>#REF!</v>
      </c>
      <c r="CB91" s="11" t="e">
        <f ca="1">IF(History!CF$2="","",#REF!*$C$91)</f>
        <v>#REF!</v>
      </c>
      <c r="CC91" s="11" t="e">
        <f ca="1">IF(History!CG$2="","",#REF!*$C$91)</f>
        <v>#REF!</v>
      </c>
      <c r="CD91" s="11" t="e">
        <f ca="1">IF(History!CH$2="","",#REF!*$C$91)</f>
        <v>#REF!</v>
      </c>
      <c r="CE91" s="11" t="e">
        <f ca="1">IF(History!CI$2="","",#REF!*$C$91)</f>
        <v>#REF!</v>
      </c>
      <c r="CF91" s="11" t="str">
        <f ca="1">IF(History!CJ$2="","",#REF!*$C$91)</f>
        <v/>
      </c>
      <c r="CG91" s="11" t="str">
        <f ca="1">IF(History!CK$2="","",#REF!*$C$91)</f>
        <v/>
      </c>
      <c r="CH91" s="11" t="str">
        <f ca="1">IF(History!CL$2="","",#REF!*$C$91)</f>
        <v/>
      </c>
      <c r="CI91" s="11" t="str">
        <f ca="1">IF(History!CM$2="","",#REF!*$C$91)</f>
        <v/>
      </c>
      <c r="CJ91" s="11" t="str">
        <f ca="1">IF(History!CN$2="","",#REF!*$C$91)</f>
        <v/>
      </c>
      <c r="CK91" s="11" t="str">
        <f ca="1">IF(History!CO$2="","",#REF!*$C$91)</f>
        <v/>
      </c>
      <c r="CL91" s="11" t="str">
        <f ca="1">IF(History!CP$2="","",#REF!*$C$91)</f>
        <v/>
      </c>
      <c r="CM91" s="11" t="str">
        <f ca="1">IF(History!CQ$2="","",#REF!*$C$91)</f>
        <v/>
      </c>
      <c r="CN91" s="11" t="str">
        <f ca="1">IF(History!CR$2="","",#REF!*$C$91)</f>
        <v/>
      </c>
      <c r="CO91" s="11" t="str">
        <f ca="1">IF(History!CS$2="","",#REF!*$C$91)</f>
        <v/>
      </c>
      <c r="CP91" s="11" t="str">
        <f ca="1">IF(History!CT$2="","",#REF!*$C$91)</f>
        <v/>
      </c>
      <c r="CQ91" s="11" t="str">
        <f ca="1">IF(History!CU$2="","",#REF!*$C$91)</f>
        <v/>
      </c>
      <c r="CR91" s="11" t="str">
        <f ca="1">IF(History!CV$2="","",#REF!*$C$91)</f>
        <v/>
      </c>
      <c r="CS91" s="11" t="str">
        <f ca="1">IF(History!CW$2="","",#REF!*$C$91)</f>
        <v/>
      </c>
      <c r="CT91" s="11" t="str">
        <f ca="1">IF(History!CX$2="","",#REF!*$C$91)</f>
        <v/>
      </c>
      <c r="CU91" s="11" t="str">
        <f ca="1">IF(History!CY$2="","",#REF!*$C$91)</f>
        <v/>
      </c>
      <c r="CV91" s="11" t="str">
        <f ca="1">IF(History!CZ$2="","",#REF!*$C$91)</f>
        <v/>
      </c>
      <c r="CW91" s="11" t="str">
        <f ca="1">IF(History!DA$2="","",#REF!*$C$91)</f>
        <v/>
      </c>
      <c r="CX91" s="11" t="str">
        <f ca="1">IF(History!DB$2="","",#REF!*$C$91)</f>
        <v/>
      </c>
      <c r="CY91" s="11" t="str">
        <f ca="1">IF(History!DC$2="","",#REF!*$C$91)</f>
        <v/>
      </c>
      <c r="CZ91" s="11" t="str">
        <f ca="1">IF(History!DD$2="","",#REF!*$C$91)</f>
        <v/>
      </c>
      <c r="DA91" s="11" t="str">
        <f ca="1">IF(History!DE$2="","",#REF!*$C$91)</f>
        <v/>
      </c>
      <c r="DB91" s="11" t="str">
        <f ca="1">IF(History!DF$2="","",#REF!*$C$91)</f>
        <v/>
      </c>
      <c r="DC91" s="11" t="str">
        <f ca="1">IF(History!DG$2="","",#REF!*$C$91)</f>
        <v/>
      </c>
      <c r="DD91" s="11" t="str">
        <f ca="1">IF(History!DH$2="","",#REF!*$C$91)</f>
        <v/>
      </c>
      <c r="DE91" s="11" t="str">
        <f ca="1">IF(History!DI$2="","",#REF!*$C$91)</f>
        <v/>
      </c>
      <c r="DF91" s="11" t="str">
        <f ca="1">IF(History!DJ$2="","",#REF!*$C$91)</f>
        <v/>
      </c>
      <c r="DG91" s="11" t="str">
        <f ca="1">IF(History!DK$2="","",#REF!*$C$91)</f>
        <v/>
      </c>
      <c r="DH91" s="11" t="str">
        <f ca="1">IF(History!DL$2="","",#REF!*$C$91)</f>
        <v/>
      </c>
      <c r="DI91" s="11" t="str">
        <f ca="1">IF(History!DM$2="","",#REF!*$C$91)</f>
        <v/>
      </c>
      <c r="DJ91" s="11" t="str">
        <f ca="1">IF(History!DN$2="","",#REF!*$C$91)</f>
        <v/>
      </c>
      <c r="DK91" s="11" t="str">
        <f ca="1">IF(History!DO$2="","",#REF!*$C$91)</f>
        <v/>
      </c>
      <c r="DL91" s="11" t="str">
        <f ca="1">IF(History!DP$2="","",#REF!*$C$91)</f>
        <v/>
      </c>
      <c r="DM91" s="11" t="str">
        <f ca="1">IF(History!DQ$2="","",#REF!*$C$91)</f>
        <v/>
      </c>
      <c r="DN91" s="11" t="str">
        <f ca="1">IF(History!DR$2="","",#REF!*$C$91)</f>
        <v/>
      </c>
      <c r="DO91" s="11" t="str">
        <f ca="1">IF(History!DS$2="","",#REF!*$C$91)</f>
        <v/>
      </c>
      <c r="DP91" s="11" t="str">
        <f ca="1">IF(History!DT$2="","",#REF!*$C$91)</f>
        <v/>
      </c>
      <c r="DQ91" s="11" t="str">
        <f ca="1">IF(History!DU$2="","",#REF!*$C$91)</f>
        <v/>
      </c>
      <c r="DR91" s="11" t="str">
        <f ca="1">IF(History!DV$2="","",#REF!*$C$91)</f>
        <v/>
      </c>
      <c r="DS91" s="11" t="str">
        <f ca="1">IF(History!DW$2="","",#REF!*$C$91)</f>
        <v/>
      </c>
      <c r="DT91" s="11" t="str">
        <f ca="1">IF(History!DX$2="","",#REF!*$C$91)</f>
        <v/>
      </c>
      <c r="DU91" s="11" t="str">
        <f ca="1">IF(History!DY$2="","",#REF!*$C$91)</f>
        <v/>
      </c>
      <c r="DV91" s="11" t="str">
        <f ca="1">IF(History!DZ$2="","",#REF!*$C$91)</f>
        <v/>
      </c>
      <c r="DW91" s="11" t="str">
        <f ca="1">IF(History!EA$2="","",#REF!*$C$91)</f>
        <v/>
      </c>
      <c r="DX91" s="11" t="str">
        <f ca="1">IF(History!EB$2="","",#REF!*$C$91)</f>
        <v/>
      </c>
      <c r="DY91" s="11" t="str">
        <f ca="1">IF(History!EC$2="","",#REF!*$C$91)</f>
        <v/>
      </c>
      <c r="DZ91" s="11" t="str">
        <f ca="1">IF(History!ED$2="","",#REF!*$C$91)</f>
        <v/>
      </c>
      <c r="EA91" s="11" t="str">
        <f ca="1">IF(History!EE$2="","",#REF!*$C$91)</f>
        <v/>
      </c>
      <c r="EB91" s="11" t="str">
        <f ca="1">IF(History!EF$2="","",#REF!*$C$91)</f>
        <v/>
      </c>
      <c r="EC91" s="11" t="str">
        <f ca="1">IF(History!EG$2="","",#REF!*$C$91)</f>
        <v/>
      </c>
      <c r="ED91" s="11" t="str">
        <f ca="1">IF(History!EH$2="","",#REF!*$C$91)</f>
        <v/>
      </c>
      <c r="EE91" s="11" t="str">
        <f ca="1">IF(History!EI$2="","",#REF!*$C$91)</f>
        <v/>
      </c>
      <c r="EF91" s="11" t="str">
        <f ca="1">IF(History!EJ$2="","",#REF!*$C$91)</f>
        <v/>
      </c>
      <c r="EG91" s="11" t="str">
        <f ca="1">IF(History!EK$2="","",#REF!*$C$91)</f>
        <v/>
      </c>
      <c r="EH91" s="11" t="str">
        <f ca="1">IF(History!EL$2="","",#REF!*$C$91)</f>
        <v/>
      </c>
      <c r="EI91" s="11" t="str">
        <f ca="1">IF(History!EM$2="","",#REF!*$C$91)</f>
        <v/>
      </c>
      <c r="EJ91" s="11" t="str">
        <f ca="1">IF(History!EN$2="","",#REF!*$C$91)</f>
        <v/>
      </c>
      <c r="EK91" s="11" t="str">
        <f ca="1">IF(History!EO$2="","",#REF!*$C$91)</f>
        <v/>
      </c>
      <c r="EL91" s="11" t="str">
        <f ca="1">IF(History!EP$2="","",#REF!*$C$91)</f>
        <v/>
      </c>
      <c r="EM91" s="11" t="str">
        <f ca="1">IF(History!EQ$2="","",#REF!*$C$91)</f>
        <v/>
      </c>
      <c r="EN91" s="11" t="str">
        <f ca="1">IF(History!ER$2="","",#REF!*$C$91)</f>
        <v/>
      </c>
      <c r="EO91" s="11" t="str">
        <f ca="1">IF(History!ES$2="","",#REF!*$C$91)</f>
        <v/>
      </c>
      <c r="EP91" s="11" t="str">
        <f ca="1">IF(History!ET$2="","",#REF!*$C$91)</f>
        <v/>
      </c>
      <c r="EQ91" s="11" t="str">
        <f ca="1">IF(History!EU$2="","",#REF!*$C$91)</f>
        <v/>
      </c>
      <c r="ER91" s="11" t="str">
        <f ca="1">IF(History!EV$2="","",#REF!*$C$91)</f>
        <v/>
      </c>
      <c r="ES91" s="11" t="str">
        <f ca="1">IF(History!EW$2="","",#REF!*$C$91)</f>
        <v/>
      </c>
      <c r="ET91" s="11" t="str">
        <f ca="1">IF(History!EX$2="","",#REF!*$C$91)</f>
        <v/>
      </c>
      <c r="EU91" s="11" t="str">
        <f ca="1">IF(History!EY$2="","",#REF!*$C$91)</f>
        <v/>
      </c>
      <c r="EV91" s="11" t="str">
        <f ca="1">IF(History!EZ$2="","",#REF!*$C$91)</f>
        <v/>
      </c>
      <c r="EW91" s="11" t="str">
        <f ca="1">IF(History!FA$2="","",#REF!*$C$91)</f>
        <v/>
      </c>
      <c r="EX91" s="11" t="str">
        <f ca="1">IF(History!FB$2="","",#REF!*$C$91)</f>
        <v/>
      </c>
      <c r="EY91" s="11" t="str">
        <f ca="1">IF(History!FC$2="","",#REF!*$C$91)</f>
        <v/>
      </c>
      <c r="EZ91" s="11" t="str">
        <f ca="1">IF(History!FD$2="","",#REF!*$C$91)</f>
        <v/>
      </c>
      <c r="FA91" s="11" t="str">
        <f ca="1">IF(History!FE$2="","",#REF!*$C$91)</f>
        <v/>
      </c>
      <c r="FB91" s="11" t="str">
        <f ca="1">IF(History!FF$2="","",#REF!*$C$91)</f>
        <v/>
      </c>
      <c r="FC91" s="11" t="str">
        <f ca="1">IF(History!FG$2="","",#REF!*$C$91)</f>
        <v/>
      </c>
      <c r="FD91" s="11" t="str">
        <f ca="1">IF(History!FH$2="","",#REF!*$C$91)</f>
        <v/>
      </c>
      <c r="FE91" s="11" t="str">
        <f ca="1">IF(History!FI$2="","",#REF!*$C$91)</f>
        <v/>
      </c>
      <c r="FF91" s="11" t="str">
        <f ca="1">IF(History!FJ$2="","",#REF!*$C$91)</f>
        <v/>
      </c>
      <c r="FG91" s="11" t="str">
        <f ca="1">IF(History!FK$2="","",#REF!*$C$91)</f>
        <v/>
      </c>
      <c r="FH91" s="11" t="str">
        <f ca="1">IF(History!FL$2="","",#REF!*$C$91)</f>
        <v/>
      </c>
      <c r="FI91" s="11" t="str">
        <f ca="1">IF(History!FM$2="","",#REF!*$C$91)</f>
        <v/>
      </c>
      <c r="FJ91" s="11" t="str">
        <f ca="1">IF(History!FN$2="","",#REF!*$C$91)</f>
        <v/>
      </c>
      <c r="FK91" s="11" t="str">
        <f ca="1">IF(History!FO$2="","",#REF!*$C$91)</f>
        <v/>
      </c>
      <c r="FL91" s="11" t="str">
        <f ca="1">IF(History!FP$2="","",#REF!*$C$91)</f>
        <v/>
      </c>
      <c r="FM91" s="11" t="str">
        <f ca="1">IF(History!FQ$2="","",#REF!*$C$91)</f>
        <v/>
      </c>
      <c r="FN91" s="11" t="str">
        <f ca="1">IF(History!FR$2="","",#REF!*$C$91)</f>
        <v/>
      </c>
      <c r="FO91" s="11" t="str">
        <f ca="1">IF(History!FS$2="","",#REF!*$C$91)</f>
        <v/>
      </c>
      <c r="FP91" s="11" t="str">
        <f ca="1">IF(History!FT$2="","",#REF!*$C$91)</f>
        <v/>
      </c>
      <c r="FQ91" s="11" t="str">
        <f ca="1">IF(History!FU$2="","",#REF!*$C$91)</f>
        <v/>
      </c>
      <c r="FR91" s="11" t="str">
        <f ca="1">IF(History!FV$2="","",#REF!*$C$91)</f>
        <v/>
      </c>
      <c r="FS91" s="11" t="str">
        <f ca="1">IF(History!FW$2="","",#REF!*$C$91)</f>
        <v/>
      </c>
      <c r="FT91" s="11" t="str">
        <f ca="1">IF(History!FX$2="","",#REF!*$C$91)</f>
        <v/>
      </c>
      <c r="FU91" s="11" t="str">
        <f ca="1">IF(History!FY$2="","",#REF!*$C$91)</f>
        <v/>
      </c>
      <c r="FV91" s="11" t="str">
        <f ca="1">IF(History!FZ$2="","",#REF!*$C$91)</f>
        <v/>
      </c>
      <c r="FW91" s="11" t="str">
        <f ca="1">IF(History!GA$2="","",#REF!*$C$91)</f>
        <v/>
      </c>
      <c r="FX91" s="11" t="str">
        <f ca="1">IF(History!GB$2="","",#REF!*$C$91)</f>
        <v/>
      </c>
      <c r="FY91" s="11" t="str">
        <f ca="1">IF(History!GC$2="","",#REF!*$C$91)</f>
        <v/>
      </c>
      <c r="FZ91" s="11" t="str">
        <f ca="1">IF(History!GD$2="","",#REF!*$C$91)</f>
        <v/>
      </c>
      <c r="GA91" s="11" t="str">
        <f ca="1">IF(History!GE$2="","",#REF!*$C$91)</f>
        <v/>
      </c>
      <c r="GB91" s="11" t="str">
        <f ca="1">IF(History!GF$2="","",#REF!*$C$91)</f>
        <v/>
      </c>
      <c r="GC91" s="11" t="str">
        <f ca="1">IF(History!GG$2="","",#REF!*$C$91)</f>
        <v/>
      </c>
      <c r="GD91" s="11" t="str">
        <f ca="1">IF(History!GH$2="","",#REF!*$C$91)</f>
        <v/>
      </c>
      <c r="GE91" s="11" t="str">
        <f ca="1">IF(History!GI$2="","",#REF!*$C$91)</f>
        <v/>
      </c>
      <c r="GF91" s="11" t="str">
        <f ca="1">IF(History!GJ$2="","",#REF!*$C$91)</f>
        <v/>
      </c>
      <c r="GG91" s="11" t="str">
        <f ca="1">IF(History!GK$2="","",#REF!*$C$91)</f>
        <v/>
      </c>
      <c r="GH91" s="11" t="str">
        <f ca="1">IF(History!GL$2="","",#REF!*$C$91)</f>
        <v/>
      </c>
      <c r="GI91" s="11" t="str">
        <f ca="1">IF(History!GM$2="","",#REF!*$C$91)</f>
        <v/>
      </c>
      <c r="GJ91" s="11" t="str">
        <f ca="1">IF(History!GN$2="","",#REF!*$C$91)</f>
        <v/>
      </c>
      <c r="GK91" s="11" t="str">
        <f ca="1">IF(History!GO$2="","",#REF!*$C$91)</f>
        <v/>
      </c>
      <c r="GL91" s="11" t="str">
        <f ca="1">IF(History!GP$2="","",#REF!*$C$91)</f>
        <v/>
      </c>
      <c r="GM91" s="11" t="str">
        <f ca="1">IF(History!GQ$2="","",#REF!*$C$91)</f>
        <v/>
      </c>
      <c r="GN91" s="11" t="str">
        <f ca="1">IF(History!GR$2="","",#REF!*$C$91)</f>
        <v/>
      </c>
      <c r="GO91" s="11" t="str">
        <f ca="1">IF(History!GS$2="","",#REF!*$C$91)</f>
        <v/>
      </c>
      <c r="GP91" s="11" t="str">
        <f ca="1">IF(History!GT$2="","",#REF!*$C$91)</f>
        <v/>
      </c>
      <c r="GQ91" s="11" t="str">
        <f ca="1">IF(History!GU$2="","",#REF!*$C$91)</f>
        <v/>
      </c>
      <c r="GR91" s="11" t="str">
        <f ca="1">IF(History!GV$2="","",#REF!*$C$91)</f>
        <v/>
      </c>
      <c r="GS91" s="11" t="str">
        <f ca="1">IF(History!GW$2="","",#REF!*$C$91)</f>
        <v/>
      </c>
      <c r="GT91" s="11" t="str">
        <f ca="1">IF(History!GX$2="","",#REF!*$C$91)</f>
        <v/>
      </c>
      <c r="GU91" s="11" t="str">
        <f ca="1">IF(History!GY$2="","",#REF!*$C$91)</f>
        <v/>
      </c>
      <c r="GV91" s="11" t="str">
        <f ca="1">IF(History!GZ$2="","",#REF!*$C$91)</f>
        <v/>
      </c>
      <c r="GW91" s="11" t="str">
        <f ca="1">IF(History!HA$2="","",#REF!*$C$91)</f>
        <v/>
      </c>
      <c r="GX91" s="11" t="str">
        <f ca="1">IF(History!HB$2="","",#REF!*$C$91)</f>
        <v/>
      </c>
      <c r="GY91" s="11" t="str">
        <f ca="1">IF(History!HC$2="","",#REF!*$C$91)</f>
        <v/>
      </c>
      <c r="GZ91" s="11" t="str">
        <f ca="1">IF(History!HD$2="","",#REF!*$C$91)</f>
        <v/>
      </c>
      <c r="HA91" s="11" t="str">
        <f ca="1">IF(History!HE$2="","",#REF!*$C$91)</f>
        <v/>
      </c>
      <c r="HB91" s="11" t="str">
        <f ca="1">IF(History!HF$2="","",#REF!*$C$91)</f>
        <v/>
      </c>
      <c r="HC91" s="11" t="str">
        <f ca="1">IF(History!HG$2="","",#REF!*$C$91)</f>
        <v/>
      </c>
      <c r="HD91" s="11" t="str">
        <f ca="1">IF(History!HH$2="","",#REF!*$C$91)</f>
        <v/>
      </c>
      <c r="HE91" s="11" t="str">
        <f ca="1">IF(History!HI$2="","",#REF!*$C$91)</f>
        <v/>
      </c>
      <c r="HF91" s="11" t="str">
        <f ca="1">IF(History!HJ$2="","",#REF!*$C$91)</f>
        <v/>
      </c>
      <c r="HG91" s="11" t="str">
        <f ca="1">IF(History!HK$2="","",#REF!*$C$91)</f>
        <v/>
      </c>
      <c r="HH91" s="11" t="str">
        <f ca="1">IF(History!HL$2="","",#REF!*$C$91)</f>
        <v/>
      </c>
      <c r="HI91" s="11" t="str">
        <f ca="1">IF(History!HM$2="","",#REF!*$C$91)</f>
        <v/>
      </c>
      <c r="HJ91" s="11" t="str">
        <f ca="1">IF(History!HN$2="","",#REF!*$C$91)</f>
        <v/>
      </c>
      <c r="HK91" s="11" t="str">
        <f ca="1">IF(History!HO$2="","",#REF!*$C$91)</f>
        <v/>
      </c>
      <c r="HL91" s="11" t="str">
        <f ca="1">IF(History!HP$2="","",#REF!*$C$91)</f>
        <v/>
      </c>
      <c r="HM91" s="11" t="str">
        <f ca="1">IF(History!HQ$2="","",#REF!*$C$91)</f>
        <v/>
      </c>
      <c r="HN91" s="11" t="str">
        <f ca="1">IF(History!HR$2="","",#REF!*$C$91)</f>
        <v/>
      </c>
      <c r="HO91" s="11" t="str">
        <f ca="1">IF(History!HS$2="","",#REF!*$C$91)</f>
        <v/>
      </c>
      <c r="HP91" s="11" t="str">
        <f ca="1">IF(History!HT$2="","",#REF!*$C$91)</f>
        <v/>
      </c>
      <c r="HQ91" s="11" t="str">
        <f ca="1">IF(History!HU$2="","",#REF!*$C$91)</f>
        <v/>
      </c>
      <c r="HR91" s="11" t="str">
        <f ca="1">IF(History!HV$2="","",#REF!*$C$91)</f>
        <v/>
      </c>
      <c r="HS91" s="11" t="str">
        <f ca="1">IF(History!HW$2="","",#REF!*$C$91)</f>
        <v/>
      </c>
      <c r="HT91" s="11" t="str">
        <f ca="1">IF(History!HX$2="","",#REF!*$C$91)</f>
        <v/>
      </c>
      <c r="HU91" s="11" t="str">
        <f ca="1">IF(History!HY$2="","",#REF!*$C$91)</f>
        <v/>
      </c>
      <c r="HV91" s="11" t="str">
        <f ca="1">IF(History!HZ$2="","",#REF!*$C$91)</f>
        <v/>
      </c>
      <c r="HW91" s="11" t="str">
        <f ca="1">IF(History!IA$2="","",#REF!*$C$91)</f>
        <v/>
      </c>
      <c r="HX91" s="11" t="str">
        <f ca="1">IF(History!IB$2="","",#REF!*$C$91)</f>
        <v/>
      </c>
      <c r="HY91" s="11" t="str">
        <f ca="1">IF(History!IC$2="","",#REF!*$C$91)</f>
        <v/>
      </c>
      <c r="HZ91" s="11" t="str">
        <f ca="1">IF(History!ID$2="","",#REF!*$C$91)</f>
        <v/>
      </c>
      <c r="IA91" s="11" t="str">
        <f ca="1">IF(History!IE$2="","",#REF!*$C$91)</f>
        <v/>
      </c>
      <c r="IB91" s="11" t="str">
        <f ca="1">IF(History!IF$2="","",#REF!*$C$91)</f>
        <v/>
      </c>
      <c r="IC91" s="11" t="str">
        <f ca="1">IF(History!IG$2="","",#REF!*$C$91)</f>
        <v/>
      </c>
      <c r="ID91" s="11" t="str">
        <f ca="1">IF(History!IH$2="","",#REF!*$C$91)</f>
        <v/>
      </c>
      <c r="IE91" s="11" t="str">
        <f ca="1">IF(History!II$2="","",#REF!*$C$91)</f>
        <v/>
      </c>
      <c r="IF91" s="11" t="str">
        <f ca="1">IF(History!IJ$2="","",#REF!*$C$91)</f>
        <v/>
      </c>
      <c r="IG91" s="11" t="str">
        <f ca="1">IF(History!IK$2="","",#REF!*$C$91)</f>
        <v/>
      </c>
      <c r="IH91" s="11" t="str">
        <f ca="1">IF(History!IL$2="","",#REF!*$C$91)</f>
        <v/>
      </c>
      <c r="II91" s="11" t="str">
        <f ca="1">IF(History!IM$2="","",#REF!*$C$91)</f>
        <v/>
      </c>
      <c r="IJ91" s="11" t="str">
        <f ca="1">IF(History!IN$2="","",#REF!*$C$91)</f>
        <v/>
      </c>
      <c r="IK91" s="11" t="str">
        <f ca="1">IF(History!IO$2="","",#REF!*$C$91)</f>
        <v/>
      </c>
      <c r="IL91" s="11" t="str">
        <f ca="1">IF(History!IP$2="","",#REF!*$C$91)</f>
        <v/>
      </c>
      <c r="IM91" s="11" t="str">
        <f ca="1">IF(History!IQ$2="","",#REF!*$C$91)</f>
        <v/>
      </c>
      <c r="IN91" s="11" t="str">
        <f ca="1">IF(History!IR$2="","",#REF!*$C$91)</f>
        <v/>
      </c>
      <c r="IO91" s="11" t="str">
        <f ca="1">IF(History!IS$2="","",#REF!*$C$91)</f>
        <v/>
      </c>
      <c r="IP91" s="11" t="str">
        <f ca="1">IF(History!IT$2="","",#REF!*$C$91)</f>
        <v/>
      </c>
      <c r="IQ91" s="11" t="str">
        <f ca="1">IF(History!IU$2="","",#REF!*$C$91)</f>
        <v/>
      </c>
      <c r="IR91" s="11" t="str">
        <f ca="1">IF(History!IV$2="","",#REF!*$C$91)</f>
        <v/>
      </c>
      <c r="IS91" s="11" t="str">
        <f ca="1">IF(History!IW$2="","",#REF!*$C$91)</f>
        <v/>
      </c>
      <c r="IT91" s="11" t="str">
        <f ca="1">IF(History!IX$2="","",#REF!*$C$91)</f>
        <v/>
      </c>
      <c r="IU91" s="11" t="str">
        <f ca="1">IF(History!IY$2="","",#REF!*$C$91)</f>
        <v/>
      </c>
      <c r="IV91" s="11" t="str">
        <f ca="1">IF(History!IZ$2="","",#REF!*$C$91)</f>
        <v/>
      </c>
      <c r="IW91" s="11" t="str">
        <f ca="1">IF(History!JA$2="","",#REF!*$C$91)</f>
        <v/>
      </c>
      <c r="IX91" s="11" t="str">
        <f ca="1">IF(History!JB$2="","",#REF!*$C$91)</f>
        <v/>
      </c>
      <c r="IY91" s="11" t="str">
        <f ca="1">IF(History!JC$2="","",#REF!*$C$91)</f>
        <v/>
      </c>
      <c r="IZ91" s="11" t="str">
        <f ca="1">IF(History!JD$2="","",#REF!*$C$91)</f>
        <v/>
      </c>
      <c r="JA91" s="11" t="str">
        <f ca="1">IF(History!JE$2="","",#REF!*$C$91)</f>
        <v/>
      </c>
      <c r="JB91" s="11" t="str">
        <f ca="1">IF(History!JF$2="","",#REF!*$C$91)</f>
        <v/>
      </c>
      <c r="JC91" s="11" t="str">
        <f ca="1">IF(History!JG$2="","",#REF!*$C$91)</f>
        <v/>
      </c>
      <c r="JD91" s="11" t="str">
        <f ca="1">IF(History!JH$2="","",#REF!*$C$91)</f>
        <v/>
      </c>
      <c r="JE91" s="11" t="str">
        <f ca="1">IF(History!JI$2="","",#REF!*$C$91)</f>
        <v/>
      </c>
      <c r="JF91" s="11" t="str">
        <f ca="1">IF(History!JJ$2="","",#REF!*$C$91)</f>
        <v/>
      </c>
      <c r="JG91" s="11" t="str">
        <f ca="1">IF(History!JK$2="","",#REF!*$C$91)</f>
        <v/>
      </c>
      <c r="JH91" s="11" t="str">
        <f ca="1">IF(History!JL$2="","",#REF!*$C$91)</f>
        <v/>
      </c>
      <c r="JI91" s="11" t="str">
        <f ca="1">IF(History!JM$2="","",#REF!*$C$91)</f>
        <v/>
      </c>
      <c r="JJ91" s="11" t="str">
        <f ca="1">IF(History!JN$2="","",#REF!*$C$91)</f>
        <v/>
      </c>
      <c r="JK91" s="11" t="str">
        <f ca="1">IF(History!JO$2="","",#REF!*$C$91)</f>
        <v/>
      </c>
      <c r="JL91" s="11" t="str">
        <f ca="1">IF(History!JP$2="","",#REF!*$C$91)</f>
        <v/>
      </c>
      <c r="JM91" s="11" t="str">
        <f ca="1">IF(History!JQ$2="","",#REF!*$C$91)</f>
        <v/>
      </c>
      <c r="JN91" s="11" t="str">
        <f ca="1">IF(History!JR$2="","",#REF!*$C$91)</f>
        <v/>
      </c>
      <c r="JO91" s="11" t="str">
        <f ca="1">IF(History!JS$2="","",#REF!*$C$91)</f>
        <v/>
      </c>
      <c r="JP91" s="11" t="str">
        <f ca="1">IF(History!JT$2="","",#REF!*$C$91)</f>
        <v/>
      </c>
      <c r="JQ91" s="11" t="str">
        <f ca="1">IF(History!JU$2="","",#REF!*$C$91)</f>
        <v/>
      </c>
      <c r="JR91" s="11" t="str">
        <f ca="1">IF(History!JV$2="","",#REF!*$C$91)</f>
        <v/>
      </c>
      <c r="JS91" s="11" t="str">
        <f ca="1">IF(History!JW$2="","",#REF!*$C$91)</f>
        <v/>
      </c>
      <c r="JT91" s="11" t="str">
        <f ca="1">IF(History!JX$2="","",#REF!*$C$91)</f>
        <v/>
      </c>
      <c r="JU91" s="11" t="str">
        <f ca="1">IF(History!JY$2="","",#REF!*$C$91)</f>
        <v/>
      </c>
      <c r="JV91" s="11" t="str">
        <f ca="1">IF(History!JZ$2="","",#REF!*$C$91)</f>
        <v/>
      </c>
      <c r="JW91" s="11" t="str">
        <f ca="1">IF(History!KA$2="","",#REF!*$C$91)</f>
        <v/>
      </c>
      <c r="JX91" s="11" t="str">
        <f ca="1">IF(History!KB$2="","",#REF!*$C$91)</f>
        <v/>
      </c>
      <c r="JY91" s="11" t="str">
        <f ca="1">IF(History!KC$2="","",#REF!*$C$91)</f>
        <v/>
      </c>
      <c r="JZ91" s="11" t="str">
        <f ca="1">IF(History!KD$2="","",#REF!*$C$91)</f>
        <v/>
      </c>
      <c r="KA91" s="11" t="str">
        <f ca="1">IF(History!KE$2="","",#REF!*$C$91)</f>
        <v/>
      </c>
      <c r="KB91" s="11" t="str">
        <f ca="1">IF(History!KF$2="","",#REF!*$C$91)</f>
        <v/>
      </c>
    </row>
    <row r="92" spans="1:288" ht="13">
      <c r="A92" s="18" t="s">
        <v>140</v>
      </c>
      <c r="B92" s="6" t="s">
        <v>170</v>
      </c>
      <c r="C92" s="26">
        <v>33</v>
      </c>
      <c r="D92" s="11" t="e">
        <f ca="1">IF(History!H$2="","",#REF!*$C$92)</f>
        <v>#REF!</v>
      </c>
      <c r="E92" s="11" t="e">
        <f ca="1">IF(History!I$2="","",#REF!*$C$92)</f>
        <v>#REF!</v>
      </c>
      <c r="F92" s="11" t="e">
        <f ca="1">IF(History!J$2="","",#REF!*$C$92)</f>
        <v>#REF!</v>
      </c>
      <c r="G92" s="11" t="e">
        <f ca="1">IF(History!K$2="","",#REF!*$C$92)</f>
        <v>#REF!</v>
      </c>
      <c r="H92" s="11" t="e">
        <f ca="1">IF(History!L$2="","",#REF!*$C$92)</f>
        <v>#REF!</v>
      </c>
      <c r="I92" s="11" t="e">
        <f ca="1">IF(History!M$2="","",#REF!*$C$92)</f>
        <v>#REF!</v>
      </c>
      <c r="J92" s="11" t="e">
        <f ca="1">IF(History!N$2="","",#REF!*$C$92)</f>
        <v>#REF!</v>
      </c>
      <c r="K92" s="11" t="e">
        <f ca="1">IF(History!O$2="","",#REF!*$C$92)</f>
        <v>#REF!</v>
      </c>
      <c r="L92" s="11" t="e">
        <f ca="1">IF(History!P$2="","",#REF!*$C$92)</f>
        <v>#REF!</v>
      </c>
      <c r="M92" s="11" t="e">
        <f ca="1">IF(History!Q$2="","",#REF!*$C$92)</f>
        <v>#REF!</v>
      </c>
      <c r="N92" s="11" t="e">
        <f ca="1">IF(History!R$2="","",#REF!*$C$92)</f>
        <v>#REF!</v>
      </c>
      <c r="O92" s="11" t="e">
        <f ca="1">IF(History!S$2="","",#REF!*$C$92)</f>
        <v>#REF!</v>
      </c>
      <c r="P92" s="11" t="e">
        <f ca="1">IF(History!T$2="","",#REF!*$C$92)</f>
        <v>#REF!</v>
      </c>
      <c r="Q92" s="11" t="e">
        <f ca="1">IF(History!U$2="","",#REF!*$C$92)</f>
        <v>#REF!</v>
      </c>
      <c r="R92" s="11" t="e">
        <f ca="1">IF(History!V$2="","",#REF!*$C$92)</f>
        <v>#REF!</v>
      </c>
      <c r="S92" s="11" t="e">
        <f ca="1">IF(History!W$2="","",#REF!*$C$92)</f>
        <v>#REF!</v>
      </c>
      <c r="T92" s="11" t="e">
        <f ca="1">IF(History!X$2="","",#REF!*$C$92)</f>
        <v>#REF!</v>
      </c>
      <c r="U92" s="11" t="e">
        <f ca="1">IF(History!Y$2="","",#REF!*$C$92)</f>
        <v>#REF!</v>
      </c>
      <c r="V92" s="11" t="e">
        <f ca="1">IF(History!Z$2="","",#REF!*$C$92)</f>
        <v>#REF!</v>
      </c>
      <c r="W92" s="11" t="e">
        <f ca="1">IF(History!AA$2="","",#REF!*$C$92)</f>
        <v>#REF!</v>
      </c>
      <c r="X92" s="11" t="e">
        <f ca="1">IF(History!AB$2="","",#REF!*$C$92)</f>
        <v>#REF!</v>
      </c>
      <c r="Y92" s="11" t="e">
        <f ca="1">IF(History!AC$2="","",#REF!*$C$92)</f>
        <v>#REF!</v>
      </c>
      <c r="Z92" s="11" t="e">
        <f ca="1">IF(History!AD$2="","",#REF!*$C$92)</f>
        <v>#REF!</v>
      </c>
      <c r="AA92" s="11" t="e">
        <f ca="1">IF(History!AE$2="","",#REF!*$C$92)</f>
        <v>#REF!</v>
      </c>
      <c r="AB92" s="11" t="e">
        <f ca="1">IF(History!AF$2="","",#REF!*$C$92)</f>
        <v>#REF!</v>
      </c>
      <c r="AC92" s="11" t="e">
        <f ca="1">IF(History!AG$2="","",#REF!*$C$92)</f>
        <v>#REF!</v>
      </c>
      <c r="AD92" s="11" t="e">
        <f ca="1">IF(History!AH$2="","",#REF!*$C$92)</f>
        <v>#REF!</v>
      </c>
      <c r="AE92" s="11" t="e">
        <f ca="1">IF(History!AI$2="","",#REF!*$C$92)</f>
        <v>#REF!</v>
      </c>
      <c r="AF92" s="11" t="e">
        <f ca="1">IF(History!AJ$2="","",#REF!*$C$92)</f>
        <v>#REF!</v>
      </c>
      <c r="AG92" s="11" t="e">
        <f ca="1">IF(History!AK$2="","",#REF!*$C$92)</f>
        <v>#REF!</v>
      </c>
      <c r="AH92" s="11" t="e">
        <f ca="1">IF(History!AL$2="","",#REF!*$C$92)</f>
        <v>#REF!</v>
      </c>
      <c r="AI92" s="11" t="e">
        <f ca="1">IF(History!AM$2="","",#REF!*$C$92)</f>
        <v>#REF!</v>
      </c>
      <c r="AJ92" s="11" t="e">
        <f ca="1">IF(History!AN$2="","",#REF!*$C$92)</f>
        <v>#REF!</v>
      </c>
      <c r="AK92" s="11" t="e">
        <f ca="1">IF(History!AO$2="","",#REF!*$C$92)</f>
        <v>#REF!</v>
      </c>
      <c r="AL92" s="11" t="e">
        <f ca="1">IF(History!AP$2="","",#REF!*$C$92)</f>
        <v>#REF!</v>
      </c>
      <c r="AM92" s="11" t="e">
        <f ca="1">IF(History!AQ$2="","",#REF!*$C$92)</f>
        <v>#REF!</v>
      </c>
      <c r="AN92" s="11" t="e">
        <f ca="1">IF(History!AR$2="","",#REF!*$C$92)</f>
        <v>#REF!</v>
      </c>
      <c r="AO92" s="11" t="e">
        <f ca="1">IF(History!AS$2="","",#REF!*$C$92)</f>
        <v>#REF!</v>
      </c>
      <c r="AP92" s="11" t="e">
        <f ca="1">IF(History!AT$2="","",#REF!*$C$92)</f>
        <v>#REF!</v>
      </c>
      <c r="AQ92" s="11" t="e">
        <f ca="1">IF(History!AU$2="","",#REF!*$C$92)</f>
        <v>#REF!</v>
      </c>
      <c r="AR92" s="11" t="e">
        <f ca="1">IF(History!AV$2="","",#REF!*$C$92)</f>
        <v>#REF!</v>
      </c>
      <c r="AS92" s="11" t="e">
        <f ca="1">IF(History!AW$2="","",#REF!*$C$92)</f>
        <v>#REF!</v>
      </c>
      <c r="AT92" s="11" t="e">
        <f ca="1">IF(History!AX$2="","",#REF!*$C$92)</f>
        <v>#REF!</v>
      </c>
      <c r="AU92" s="11" t="e">
        <f ca="1">IF(History!AY$2="","",#REF!*$C$92)</f>
        <v>#REF!</v>
      </c>
      <c r="AV92" s="11" t="e">
        <f ca="1">IF(History!AZ$2="","",#REF!*$C$92)</f>
        <v>#REF!</v>
      </c>
      <c r="AW92" s="11" t="e">
        <f ca="1">IF(History!BA$2="","",#REF!*$C$92)</f>
        <v>#REF!</v>
      </c>
      <c r="AX92" s="11" t="e">
        <f ca="1">IF(History!BB$2="","",#REF!*$C$92)</f>
        <v>#REF!</v>
      </c>
      <c r="AY92" s="11" t="e">
        <f ca="1">IF(History!BC$2="","",#REF!*$C$92)</f>
        <v>#REF!</v>
      </c>
      <c r="AZ92" s="11" t="e">
        <f ca="1">IF(History!BD$2="","",#REF!*$C$92)</f>
        <v>#REF!</v>
      </c>
      <c r="BA92" s="11" t="e">
        <f ca="1">IF(History!BE$2="","",#REF!*$C$92)</f>
        <v>#REF!</v>
      </c>
      <c r="BB92" s="11" t="e">
        <f ca="1">IF(History!BF$2="","",#REF!*$C$92)</f>
        <v>#REF!</v>
      </c>
      <c r="BC92" s="11" t="e">
        <f ca="1">IF(History!BG$2="","",#REF!*$C$92)</f>
        <v>#REF!</v>
      </c>
      <c r="BD92" s="11" t="e">
        <f ca="1">IF(History!BH$2="","",#REF!*$C$92)</f>
        <v>#REF!</v>
      </c>
      <c r="BE92" s="11" t="e">
        <f ca="1">IF(History!BI$2="","",#REF!*$C$92)</f>
        <v>#REF!</v>
      </c>
      <c r="BF92" s="11" t="e">
        <f ca="1">IF(History!BJ$2="","",#REF!*$C$92)</f>
        <v>#REF!</v>
      </c>
      <c r="BG92" s="11" t="e">
        <f ca="1">IF(History!BK$2="","",#REF!*$C$92)</f>
        <v>#REF!</v>
      </c>
      <c r="BH92" s="11" t="e">
        <f ca="1">IF(History!BL$2="","",#REF!*$C$92)</f>
        <v>#REF!</v>
      </c>
      <c r="BI92" s="11" t="e">
        <f ca="1">IF(History!BM$2="","",#REF!*$C$92)</f>
        <v>#REF!</v>
      </c>
      <c r="BJ92" s="11" t="e">
        <f ca="1">IF(History!BN$2="","",#REF!*$C$92)</f>
        <v>#REF!</v>
      </c>
      <c r="BK92" s="11" t="e">
        <f ca="1">IF(History!BO$2="","",#REF!*$C$92)</f>
        <v>#REF!</v>
      </c>
      <c r="BL92" s="11" t="e">
        <f ca="1">IF(History!BP$2="","",#REF!*$C$92)</f>
        <v>#REF!</v>
      </c>
      <c r="BM92" s="11" t="e">
        <f ca="1">IF(History!BQ$2="","",#REF!*$C$92)</f>
        <v>#REF!</v>
      </c>
      <c r="BN92" s="11" t="e">
        <f ca="1">IF(History!BR$2="","",#REF!*$C$92)</f>
        <v>#REF!</v>
      </c>
      <c r="BO92" s="11" t="e">
        <f ca="1">IF(History!BS$2="","",#REF!*$C$92)</f>
        <v>#REF!</v>
      </c>
      <c r="BP92" s="11" t="e">
        <f ca="1">IF(History!BT$2="","",#REF!*$C$92)</f>
        <v>#REF!</v>
      </c>
      <c r="BQ92" s="11" t="e">
        <f ca="1">IF(History!BU$2="","",#REF!*$C$92)</f>
        <v>#REF!</v>
      </c>
      <c r="BR92" s="11" t="e">
        <f ca="1">IF(History!BV$2="","",#REF!*$C$92)</f>
        <v>#REF!</v>
      </c>
      <c r="BS92" s="11" t="e">
        <f ca="1">IF(History!BW$2="","",#REF!*$C$92)</f>
        <v>#REF!</v>
      </c>
      <c r="BT92" s="11" t="e">
        <f ca="1">IF(History!BX$2="","",#REF!*$C$92)</f>
        <v>#REF!</v>
      </c>
      <c r="BU92" s="11" t="e">
        <f ca="1">IF(History!BY$2="","",#REF!*$C$92)</f>
        <v>#REF!</v>
      </c>
      <c r="BV92" s="11" t="e">
        <f ca="1">IF(History!BZ$2="","",#REF!*$C$92)</f>
        <v>#REF!</v>
      </c>
      <c r="BW92" s="11" t="e">
        <f ca="1">IF(History!CA$2="","",#REF!*$C$92)</f>
        <v>#REF!</v>
      </c>
      <c r="BX92" s="11" t="e">
        <f ca="1">IF(History!CB$2="","",#REF!*$C$92)</f>
        <v>#REF!</v>
      </c>
      <c r="BY92" s="11" t="e">
        <f ca="1">IF(History!CC$2="","",#REF!*$C$92)</f>
        <v>#REF!</v>
      </c>
      <c r="BZ92" s="11" t="e">
        <f ca="1">IF(History!CD$2="","",#REF!*$C$92)</f>
        <v>#REF!</v>
      </c>
      <c r="CA92" s="11" t="e">
        <f ca="1">IF(History!CE$2="","",#REF!*$C$92)</f>
        <v>#REF!</v>
      </c>
      <c r="CB92" s="11" t="e">
        <f ca="1">IF(History!CF$2="","",#REF!*$C$92)</f>
        <v>#REF!</v>
      </c>
      <c r="CC92" s="11" t="e">
        <f ca="1">IF(History!CG$2="","",#REF!*$C$92)</f>
        <v>#REF!</v>
      </c>
      <c r="CD92" s="11" t="e">
        <f ca="1">IF(History!CH$2="","",#REF!*$C$92)</f>
        <v>#REF!</v>
      </c>
      <c r="CE92" s="11" t="e">
        <f ca="1">IF(History!CI$2="","",#REF!*$C$92)</f>
        <v>#REF!</v>
      </c>
      <c r="CF92" s="11" t="str">
        <f ca="1">IF(History!CJ$2="","",#REF!*$C$92)</f>
        <v/>
      </c>
      <c r="CG92" s="11" t="str">
        <f ca="1">IF(History!CK$2="","",#REF!*$C$92)</f>
        <v/>
      </c>
      <c r="CH92" s="11" t="str">
        <f ca="1">IF(History!CL$2="","",#REF!*$C$92)</f>
        <v/>
      </c>
      <c r="CI92" s="11" t="str">
        <f ca="1">IF(History!CM$2="","",#REF!*$C$92)</f>
        <v/>
      </c>
      <c r="CJ92" s="11" t="str">
        <f ca="1">IF(History!CN$2="","",#REF!*$C$92)</f>
        <v/>
      </c>
      <c r="CK92" s="11" t="str">
        <f ca="1">IF(History!CO$2="","",#REF!*$C$92)</f>
        <v/>
      </c>
      <c r="CL92" s="11" t="str">
        <f ca="1">IF(History!CP$2="","",#REF!*$C$92)</f>
        <v/>
      </c>
      <c r="CM92" s="11" t="str">
        <f ca="1">IF(History!CQ$2="","",#REF!*$C$92)</f>
        <v/>
      </c>
      <c r="CN92" s="11" t="str">
        <f ca="1">IF(History!CR$2="","",#REF!*$C$92)</f>
        <v/>
      </c>
      <c r="CO92" s="11" t="str">
        <f ca="1">IF(History!CS$2="","",#REF!*$C$92)</f>
        <v/>
      </c>
      <c r="CP92" s="11" t="str">
        <f ca="1">IF(History!CT$2="","",#REF!*$C$92)</f>
        <v/>
      </c>
      <c r="CQ92" s="11" t="str">
        <f ca="1">IF(History!CU$2="","",#REF!*$C$92)</f>
        <v/>
      </c>
      <c r="CR92" s="11" t="str">
        <f ca="1">IF(History!CV$2="","",#REF!*$C$92)</f>
        <v/>
      </c>
      <c r="CS92" s="11" t="str">
        <f ca="1">IF(History!CW$2="","",#REF!*$C$92)</f>
        <v/>
      </c>
      <c r="CT92" s="11" t="str">
        <f ca="1">IF(History!CX$2="","",#REF!*$C$92)</f>
        <v/>
      </c>
      <c r="CU92" s="11" t="str">
        <f ca="1">IF(History!CY$2="","",#REF!*$C$92)</f>
        <v/>
      </c>
      <c r="CV92" s="11" t="str">
        <f ca="1">IF(History!CZ$2="","",#REF!*$C$92)</f>
        <v/>
      </c>
      <c r="CW92" s="11" t="str">
        <f ca="1">IF(History!DA$2="","",#REF!*$C$92)</f>
        <v/>
      </c>
      <c r="CX92" s="11" t="str">
        <f ca="1">IF(History!DB$2="","",#REF!*$C$92)</f>
        <v/>
      </c>
      <c r="CY92" s="11" t="str">
        <f ca="1">IF(History!DC$2="","",#REF!*$C$92)</f>
        <v/>
      </c>
      <c r="CZ92" s="11" t="str">
        <f ca="1">IF(History!DD$2="","",#REF!*$C$92)</f>
        <v/>
      </c>
      <c r="DA92" s="11" t="str">
        <f ca="1">IF(History!DE$2="","",#REF!*$C$92)</f>
        <v/>
      </c>
      <c r="DB92" s="11" t="str">
        <f ca="1">IF(History!DF$2="","",#REF!*$C$92)</f>
        <v/>
      </c>
      <c r="DC92" s="11" t="str">
        <f ca="1">IF(History!DG$2="","",#REF!*$C$92)</f>
        <v/>
      </c>
      <c r="DD92" s="11" t="str">
        <f ca="1">IF(History!DH$2="","",#REF!*$C$92)</f>
        <v/>
      </c>
      <c r="DE92" s="11" t="str">
        <f ca="1">IF(History!DI$2="","",#REF!*$C$92)</f>
        <v/>
      </c>
      <c r="DF92" s="11" t="str">
        <f ca="1">IF(History!DJ$2="","",#REF!*$C$92)</f>
        <v/>
      </c>
      <c r="DG92" s="11" t="str">
        <f ca="1">IF(History!DK$2="","",#REF!*$C$92)</f>
        <v/>
      </c>
      <c r="DH92" s="11" t="str">
        <f ca="1">IF(History!DL$2="","",#REF!*$C$92)</f>
        <v/>
      </c>
      <c r="DI92" s="11" t="str">
        <f ca="1">IF(History!DM$2="","",#REF!*$C$92)</f>
        <v/>
      </c>
      <c r="DJ92" s="11" t="str">
        <f ca="1">IF(History!DN$2="","",#REF!*$C$92)</f>
        <v/>
      </c>
      <c r="DK92" s="11" t="str">
        <f ca="1">IF(History!DO$2="","",#REF!*$C$92)</f>
        <v/>
      </c>
      <c r="DL92" s="11" t="str">
        <f ca="1">IF(History!DP$2="","",#REF!*$C$92)</f>
        <v/>
      </c>
      <c r="DM92" s="11" t="str">
        <f ca="1">IF(History!DQ$2="","",#REF!*$C$92)</f>
        <v/>
      </c>
      <c r="DN92" s="11" t="str">
        <f ca="1">IF(History!DR$2="","",#REF!*$C$92)</f>
        <v/>
      </c>
      <c r="DO92" s="11" t="str">
        <f ca="1">IF(History!DS$2="","",#REF!*$C$92)</f>
        <v/>
      </c>
      <c r="DP92" s="11" t="str">
        <f ca="1">IF(History!DT$2="","",#REF!*$C$92)</f>
        <v/>
      </c>
      <c r="DQ92" s="11" t="str">
        <f ca="1">IF(History!DU$2="","",#REF!*$C$92)</f>
        <v/>
      </c>
      <c r="DR92" s="11" t="str">
        <f ca="1">IF(History!DV$2="","",#REF!*$C$92)</f>
        <v/>
      </c>
      <c r="DS92" s="11" t="str">
        <f ca="1">IF(History!DW$2="","",#REF!*$C$92)</f>
        <v/>
      </c>
      <c r="DT92" s="11" t="str">
        <f ca="1">IF(History!DX$2="","",#REF!*$C$92)</f>
        <v/>
      </c>
      <c r="DU92" s="11" t="str">
        <f ca="1">IF(History!DY$2="","",#REF!*$C$92)</f>
        <v/>
      </c>
      <c r="DV92" s="11" t="str">
        <f ca="1">IF(History!DZ$2="","",#REF!*$C$92)</f>
        <v/>
      </c>
      <c r="DW92" s="11" t="str">
        <f ca="1">IF(History!EA$2="","",#REF!*$C$92)</f>
        <v/>
      </c>
      <c r="DX92" s="11" t="str">
        <f ca="1">IF(History!EB$2="","",#REF!*$C$92)</f>
        <v/>
      </c>
      <c r="DY92" s="11" t="str">
        <f ca="1">IF(History!EC$2="","",#REF!*$C$92)</f>
        <v/>
      </c>
      <c r="DZ92" s="11" t="str">
        <f ca="1">IF(History!ED$2="","",#REF!*$C$92)</f>
        <v/>
      </c>
      <c r="EA92" s="11" t="str">
        <f ca="1">IF(History!EE$2="","",#REF!*$C$92)</f>
        <v/>
      </c>
      <c r="EB92" s="11" t="str">
        <f ca="1">IF(History!EF$2="","",#REF!*$C$92)</f>
        <v/>
      </c>
      <c r="EC92" s="11" t="str">
        <f ca="1">IF(History!EG$2="","",#REF!*$C$92)</f>
        <v/>
      </c>
      <c r="ED92" s="11" t="str">
        <f ca="1">IF(History!EH$2="","",#REF!*$C$92)</f>
        <v/>
      </c>
      <c r="EE92" s="11" t="str">
        <f ca="1">IF(History!EI$2="","",#REF!*$C$92)</f>
        <v/>
      </c>
      <c r="EF92" s="11" t="str">
        <f ca="1">IF(History!EJ$2="","",#REF!*$C$92)</f>
        <v/>
      </c>
      <c r="EG92" s="11" t="str">
        <f ca="1">IF(History!EK$2="","",#REF!*$C$92)</f>
        <v/>
      </c>
      <c r="EH92" s="11" t="str">
        <f ca="1">IF(History!EL$2="","",#REF!*$C$92)</f>
        <v/>
      </c>
      <c r="EI92" s="11" t="str">
        <f ca="1">IF(History!EM$2="","",#REF!*$C$92)</f>
        <v/>
      </c>
      <c r="EJ92" s="11" t="str">
        <f ca="1">IF(History!EN$2="","",#REF!*$C$92)</f>
        <v/>
      </c>
      <c r="EK92" s="11" t="str">
        <f ca="1">IF(History!EO$2="","",#REF!*$C$92)</f>
        <v/>
      </c>
      <c r="EL92" s="11" t="str">
        <f ca="1">IF(History!EP$2="","",#REF!*$C$92)</f>
        <v/>
      </c>
      <c r="EM92" s="11" t="str">
        <f ca="1">IF(History!EQ$2="","",#REF!*$C$92)</f>
        <v/>
      </c>
      <c r="EN92" s="11" t="str">
        <f ca="1">IF(History!ER$2="","",#REF!*$C$92)</f>
        <v/>
      </c>
      <c r="EO92" s="11" t="str">
        <f ca="1">IF(History!ES$2="","",#REF!*$C$92)</f>
        <v/>
      </c>
      <c r="EP92" s="11" t="str">
        <f ca="1">IF(History!ET$2="","",#REF!*$C$92)</f>
        <v/>
      </c>
      <c r="EQ92" s="11" t="str">
        <f ca="1">IF(History!EU$2="","",#REF!*$C$92)</f>
        <v/>
      </c>
      <c r="ER92" s="11" t="str">
        <f ca="1">IF(History!EV$2="","",#REF!*$C$92)</f>
        <v/>
      </c>
      <c r="ES92" s="11" t="str">
        <f ca="1">IF(History!EW$2="","",#REF!*$C$92)</f>
        <v/>
      </c>
      <c r="ET92" s="11" t="str">
        <f ca="1">IF(History!EX$2="","",#REF!*$C$92)</f>
        <v/>
      </c>
      <c r="EU92" s="11" t="str">
        <f ca="1">IF(History!EY$2="","",#REF!*$C$92)</f>
        <v/>
      </c>
      <c r="EV92" s="11" t="str">
        <f ca="1">IF(History!EZ$2="","",#REF!*$C$92)</f>
        <v/>
      </c>
      <c r="EW92" s="11" t="str">
        <f ca="1">IF(History!FA$2="","",#REF!*$C$92)</f>
        <v/>
      </c>
      <c r="EX92" s="11" t="str">
        <f ca="1">IF(History!FB$2="","",#REF!*$C$92)</f>
        <v/>
      </c>
      <c r="EY92" s="11" t="str">
        <f ca="1">IF(History!FC$2="","",#REF!*$C$92)</f>
        <v/>
      </c>
      <c r="EZ92" s="11" t="str">
        <f ca="1">IF(History!FD$2="","",#REF!*$C$92)</f>
        <v/>
      </c>
      <c r="FA92" s="11" t="str">
        <f ca="1">IF(History!FE$2="","",#REF!*$C$92)</f>
        <v/>
      </c>
      <c r="FB92" s="11" t="str">
        <f ca="1">IF(History!FF$2="","",#REF!*$C$92)</f>
        <v/>
      </c>
      <c r="FC92" s="11" t="str">
        <f ca="1">IF(History!FG$2="","",#REF!*$C$92)</f>
        <v/>
      </c>
      <c r="FD92" s="11" t="str">
        <f ca="1">IF(History!FH$2="","",#REF!*$C$92)</f>
        <v/>
      </c>
      <c r="FE92" s="11" t="str">
        <f ca="1">IF(History!FI$2="","",#REF!*$C$92)</f>
        <v/>
      </c>
      <c r="FF92" s="11" t="str">
        <f ca="1">IF(History!FJ$2="","",#REF!*$C$92)</f>
        <v/>
      </c>
      <c r="FG92" s="11" t="str">
        <f ca="1">IF(History!FK$2="","",#REF!*$C$92)</f>
        <v/>
      </c>
      <c r="FH92" s="11" t="str">
        <f ca="1">IF(History!FL$2="","",#REF!*$C$92)</f>
        <v/>
      </c>
      <c r="FI92" s="11" t="str">
        <f ca="1">IF(History!FM$2="","",#REF!*$C$92)</f>
        <v/>
      </c>
      <c r="FJ92" s="11" t="str">
        <f ca="1">IF(History!FN$2="","",#REF!*$C$92)</f>
        <v/>
      </c>
      <c r="FK92" s="11" t="str">
        <f ca="1">IF(History!FO$2="","",#REF!*$C$92)</f>
        <v/>
      </c>
      <c r="FL92" s="11" t="str">
        <f ca="1">IF(History!FP$2="","",#REF!*$C$92)</f>
        <v/>
      </c>
      <c r="FM92" s="11" t="str">
        <f ca="1">IF(History!FQ$2="","",#REF!*$C$92)</f>
        <v/>
      </c>
      <c r="FN92" s="11" t="str">
        <f ca="1">IF(History!FR$2="","",#REF!*$C$92)</f>
        <v/>
      </c>
      <c r="FO92" s="11" t="str">
        <f ca="1">IF(History!FS$2="","",#REF!*$C$92)</f>
        <v/>
      </c>
      <c r="FP92" s="11" t="str">
        <f ca="1">IF(History!FT$2="","",#REF!*$C$92)</f>
        <v/>
      </c>
      <c r="FQ92" s="11" t="str">
        <f ca="1">IF(History!FU$2="","",#REF!*$C$92)</f>
        <v/>
      </c>
      <c r="FR92" s="11" t="str">
        <f ca="1">IF(History!FV$2="","",#REF!*$C$92)</f>
        <v/>
      </c>
      <c r="FS92" s="11" t="str">
        <f ca="1">IF(History!FW$2="","",#REF!*$C$92)</f>
        <v/>
      </c>
      <c r="FT92" s="11" t="str">
        <f ca="1">IF(History!FX$2="","",#REF!*$C$92)</f>
        <v/>
      </c>
      <c r="FU92" s="11" t="str">
        <f ca="1">IF(History!FY$2="","",#REF!*$C$92)</f>
        <v/>
      </c>
      <c r="FV92" s="11" t="str">
        <f ca="1">IF(History!FZ$2="","",#REF!*$C$92)</f>
        <v/>
      </c>
      <c r="FW92" s="11" t="str">
        <f ca="1">IF(History!GA$2="","",#REF!*$C$92)</f>
        <v/>
      </c>
      <c r="FX92" s="11" t="str">
        <f ca="1">IF(History!GB$2="","",#REF!*$C$92)</f>
        <v/>
      </c>
      <c r="FY92" s="11" t="str">
        <f ca="1">IF(History!GC$2="","",#REF!*$C$92)</f>
        <v/>
      </c>
      <c r="FZ92" s="11" t="str">
        <f ca="1">IF(History!GD$2="","",#REF!*$C$92)</f>
        <v/>
      </c>
      <c r="GA92" s="11" t="str">
        <f ca="1">IF(History!GE$2="","",#REF!*$C$92)</f>
        <v/>
      </c>
      <c r="GB92" s="11" t="str">
        <f ca="1">IF(History!GF$2="","",#REF!*$C$92)</f>
        <v/>
      </c>
      <c r="GC92" s="11" t="str">
        <f ca="1">IF(History!GG$2="","",#REF!*$C$92)</f>
        <v/>
      </c>
      <c r="GD92" s="11" t="str">
        <f ca="1">IF(History!GH$2="","",#REF!*$C$92)</f>
        <v/>
      </c>
      <c r="GE92" s="11" t="str">
        <f ca="1">IF(History!GI$2="","",#REF!*$C$92)</f>
        <v/>
      </c>
      <c r="GF92" s="11" t="str">
        <f ca="1">IF(History!GJ$2="","",#REF!*$C$92)</f>
        <v/>
      </c>
      <c r="GG92" s="11" t="str">
        <f ca="1">IF(History!GK$2="","",#REF!*$C$92)</f>
        <v/>
      </c>
      <c r="GH92" s="11" t="str">
        <f ca="1">IF(History!GL$2="","",#REF!*$C$92)</f>
        <v/>
      </c>
      <c r="GI92" s="11" t="str">
        <f ca="1">IF(History!GM$2="","",#REF!*$C$92)</f>
        <v/>
      </c>
      <c r="GJ92" s="11" t="str">
        <f ca="1">IF(History!GN$2="","",#REF!*$C$92)</f>
        <v/>
      </c>
      <c r="GK92" s="11" t="str">
        <f ca="1">IF(History!GO$2="","",#REF!*$C$92)</f>
        <v/>
      </c>
      <c r="GL92" s="11" t="str">
        <f ca="1">IF(History!GP$2="","",#REF!*$C$92)</f>
        <v/>
      </c>
      <c r="GM92" s="11" t="str">
        <f ca="1">IF(History!GQ$2="","",#REF!*$C$92)</f>
        <v/>
      </c>
      <c r="GN92" s="11" t="str">
        <f ca="1">IF(History!GR$2="","",#REF!*$C$92)</f>
        <v/>
      </c>
      <c r="GO92" s="11" t="str">
        <f ca="1">IF(History!GS$2="","",#REF!*$C$92)</f>
        <v/>
      </c>
      <c r="GP92" s="11" t="str">
        <f ca="1">IF(History!GT$2="","",#REF!*$C$92)</f>
        <v/>
      </c>
      <c r="GQ92" s="11" t="str">
        <f ca="1">IF(History!GU$2="","",#REF!*$C$92)</f>
        <v/>
      </c>
      <c r="GR92" s="11" t="str">
        <f ca="1">IF(History!GV$2="","",#REF!*$C$92)</f>
        <v/>
      </c>
      <c r="GS92" s="11" t="str">
        <f ca="1">IF(History!GW$2="","",#REF!*$C$92)</f>
        <v/>
      </c>
      <c r="GT92" s="11" t="str">
        <f ca="1">IF(History!GX$2="","",#REF!*$C$92)</f>
        <v/>
      </c>
      <c r="GU92" s="11" t="str">
        <f ca="1">IF(History!GY$2="","",#REF!*$C$92)</f>
        <v/>
      </c>
      <c r="GV92" s="11" t="str">
        <f ca="1">IF(History!GZ$2="","",#REF!*$C$92)</f>
        <v/>
      </c>
      <c r="GW92" s="11" t="str">
        <f ca="1">IF(History!HA$2="","",#REF!*$C$92)</f>
        <v/>
      </c>
      <c r="GX92" s="11" t="str">
        <f ca="1">IF(History!HB$2="","",#REF!*$C$92)</f>
        <v/>
      </c>
      <c r="GY92" s="11" t="str">
        <f ca="1">IF(History!HC$2="","",#REF!*$C$92)</f>
        <v/>
      </c>
      <c r="GZ92" s="11" t="str">
        <f ca="1">IF(History!HD$2="","",#REF!*$C$92)</f>
        <v/>
      </c>
      <c r="HA92" s="11" t="str">
        <f ca="1">IF(History!HE$2="","",#REF!*$C$92)</f>
        <v/>
      </c>
      <c r="HB92" s="11" t="str">
        <f ca="1">IF(History!HF$2="","",#REF!*$C$92)</f>
        <v/>
      </c>
      <c r="HC92" s="11" t="str">
        <f ca="1">IF(History!HG$2="","",#REF!*$C$92)</f>
        <v/>
      </c>
      <c r="HD92" s="11" t="str">
        <f ca="1">IF(History!HH$2="","",#REF!*$C$92)</f>
        <v/>
      </c>
      <c r="HE92" s="11" t="str">
        <f ca="1">IF(History!HI$2="","",#REF!*$C$92)</f>
        <v/>
      </c>
      <c r="HF92" s="11" t="str">
        <f ca="1">IF(History!HJ$2="","",#REF!*$C$92)</f>
        <v/>
      </c>
      <c r="HG92" s="11" t="str">
        <f ca="1">IF(History!HK$2="","",#REF!*$C$92)</f>
        <v/>
      </c>
      <c r="HH92" s="11" t="str">
        <f ca="1">IF(History!HL$2="","",#REF!*$C$92)</f>
        <v/>
      </c>
      <c r="HI92" s="11" t="str">
        <f ca="1">IF(History!HM$2="","",#REF!*$C$92)</f>
        <v/>
      </c>
      <c r="HJ92" s="11" t="str">
        <f ca="1">IF(History!HN$2="","",#REF!*$C$92)</f>
        <v/>
      </c>
      <c r="HK92" s="11" t="str">
        <f ca="1">IF(History!HO$2="","",#REF!*$C$92)</f>
        <v/>
      </c>
      <c r="HL92" s="11" t="str">
        <f ca="1">IF(History!HP$2="","",#REF!*$C$92)</f>
        <v/>
      </c>
      <c r="HM92" s="11" t="str">
        <f ca="1">IF(History!HQ$2="","",#REF!*$C$92)</f>
        <v/>
      </c>
      <c r="HN92" s="11" t="str">
        <f ca="1">IF(History!HR$2="","",#REF!*$C$92)</f>
        <v/>
      </c>
      <c r="HO92" s="11" t="str">
        <f ca="1">IF(History!HS$2="","",#REF!*$C$92)</f>
        <v/>
      </c>
      <c r="HP92" s="11" t="str">
        <f ca="1">IF(History!HT$2="","",#REF!*$C$92)</f>
        <v/>
      </c>
      <c r="HQ92" s="11" t="str">
        <f ca="1">IF(History!HU$2="","",#REF!*$C$92)</f>
        <v/>
      </c>
      <c r="HR92" s="11" t="str">
        <f ca="1">IF(History!HV$2="","",#REF!*$C$92)</f>
        <v/>
      </c>
      <c r="HS92" s="11" t="str">
        <f ca="1">IF(History!HW$2="","",#REF!*$C$92)</f>
        <v/>
      </c>
      <c r="HT92" s="11" t="str">
        <f ca="1">IF(History!HX$2="","",#REF!*$C$92)</f>
        <v/>
      </c>
      <c r="HU92" s="11" t="str">
        <f ca="1">IF(History!HY$2="","",#REF!*$C$92)</f>
        <v/>
      </c>
      <c r="HV92" s="11" t="str">
        <f ca="1">IF(History!HZ$2="","",#REF!*$C$92)</f>
        <v/>
      </c>
      <c r="HW92" s="11" t="str">
        <f ca="1">IF(History!IA$2="","",#REF!*$C$92)</f>
        <v/>
      </c>
      <c r="HX92" s="11" t="str">
        <f ca="1">IF(History!IB$2="","",#REF!*$C$92)</f>
        <v/>
      </c>
      <c r="HY92" s="11" t="str">
        <f ca="1">IF(History!IC$2="","",#REF!*$C$92)</f>
        <v/>
      </c>
      <c r="HZ92" s="11" t="str">
        <f ca="1">IF(History!ID$2="","",#REF!*$C$92)</f>
        <v/>
      </c>
      <c r="IA92" s="11" t="str">
        <f ca="1">IF(History!IE$2="","",#REF!*$C$92)</f>
        <v/>
      </c>
      <c r="IB92" s="11" t="str">
        <f ca="1">IF(History!IF$2="","",#REF!*$C$92)</f>
        <v/>
      </c>
      <c r="IC92" s="11" t="str">
        <f ca="1">IF(History!IG$2="","",#REF!*$C$92)</f>
        <v/>
      </c>
      <c r="ID92" s="11" t="str">
        <f ca="1">IF(History!IH$2="","",#REF!*$C$92)</f>
        <v/>
      </c>
      <c r="IE92" s="11" t="str">
        <f ca="1">IF(History!II$2="","",#REF!*$C$92)</f>
        <v/>
      </c>
      <c r="IF92" s="11" t="str">
        <f ca="1">IF(History!IJ$2="","",#REF!*$C$92)</f>
        <v/>
      </c>
      <c r="IG92" s="11" t="str">
        <f ca="1">IF(History!IK$2="","",#REF!*$C$92)</f>
        <v/>
      </c>
      <c r="IH92" s="11" t="str">
        <f ca="1">IF(History!IL$2="","",#REF!*$C$92)</f>
        <v/>
      </c>
      <c r="II92" s="11" t="str">
        <f ca="1">IF(History!IM$2="","",#REF!*$C$92)</f>
        <v/>
      </c>
      <c r="IJ92" s="11" t="str">
        <f ca="1">IF(History!IN$2="","",#REF!*$C$92)</f>
        <v/>
      </c>
      <c r="IK92" s="11" t="str">
        <f ca="1">IF(History!IO$2="","",#REF!*$C$92)</f>
        <v/>
      </c>
      <c r="IL92" s="11" t="str">
        <f ca="1">IF(History!IP$2="","",#REF!*$C$92)</f>
        <v/>
      </c>
      <c r="IM92" s="11" t="str">
        <f ca="1">IF(History!IQ$2="","",#REF!*$C$92)</f>
        <v/>
      </c>
      <c r="IN92" s="11" t="str">
        <f ca="1">IF(History!IR$2="","",#REF!*$C$92)</f>
        <v/>
      </c>
      <c r="IO92" s="11" t="str">
        <f ca="1">IF(History!IS$2="","",#REF!*$C$92)</f>
        <v/>
      </c>
      <c r="IP92" s="11" t="str">
        <f ca="1">IF(History!IT$2="","",#REF!*$C$92)</f>
        <v/>
      </c>
      <c r="IQ92" s="11" t="str">
        <f ca="1">IF(History!IU$2="","",#REF!*$C$92)</f>
        <v/>
      </c>
      <c r="IR92" s="11" t="str">
        <f ca="1">IF(History!IV$2="","",#REF!*$C$92)</f>
        <v/>
      </c>
      <c r="IS92" s="11" t="str">
        <f ca="1">IF(History!IW$2="","",#REF!*$C$92)</f>
        <v/>
      </c>
      <c r="IT92" s="11" t="str">
        <f ca="1">IF(History!IX$2="","",#REF!*$C$92)</f>
        <v/>
      </c>
      <c r="IU92" s="11" t="str">
        <f ca="1">IF(History!IY$2="","",#REF!*$C$92)</f>
        <v/>
      </c>
      <c r="IV92" s="11" t="str">
        <f ca="1">IF(History!IZ$2="","",#REF!*$C$92)</f>
        <v/>
      </c>
      <c r="IW92" s="11" t="str">
        <f ca="1">IF(History!JA$2="","",#REF!*$C$92)</f>
        <v/>
      </c>
      <c r="IX92" s="11" t="str">
        <f ca="1">IF(History!JB$2="","",#REF!*$C$92)</f>
        <v/>
      </c>
      <c r="IY92" s="11" t="str">
        <f ca="1">IF(History!JC$2="","",#REF!*$C$92)</f>
        <v/>
      </c>
      <c r="IZ92" s="11" t="str">
        <f ca="1">IF(History!JD$2="","",#REF!*$C$92)</f>
        <v/>
      </c>
      <c r="JA92" s="11" t="str">
        <f ca="1">IF(History!JE$2="","",#REF!*$C$92)</f>
        <v/>
      </c>
      <c r="JB92" s="11" t="str">
        <f ca="1">IF(History!JF$2="","",#REF!*$C$92)</f>
        <v/>
      </c>
      <c r="JC92" s="11" t="str">
        <f ca="1">IF(History!JG$2="","",#REF!*$C$92)</f>
        <v/>
      </c>
      <c r="JD92" s="11" t="str">
        <f ca="1">IF(History!JH$2="","",#REF!*$C$92)</f>
        <v/>
      </c>
      <c r="JE92" s="11" t="str">
        <f ca="1">IF(History!JI$2="","",#REF!*$C$92)</f>
        <v/>
      </c>
      <c r="JF92" s="11" t="str">
        <f ca="1">IF(History!JJ$2="","",#REF!*$C$92)</f>
        <v/>
      </c>
      <c r="JG92" s="11" t="str">
        <f ca="1">IF(History!JK$2="","",#REF!*$C$92)</f>
        <v/>
      </c>
      <c r="JH92" s="11" t="str">
        <f ca="1">IF(History!JL$2="","",#REF!*$C$92)</f>
        <v/>
      </c>
      <c r="JI92" s="11" t="str">
        <f ca="1">IF(History!JM$2="","",#REF!*$C$92)</f>
        <v/>
      </c>
      <c r="JJ92" s="11" t="str">
        <f ca="1">IF(History!JN$2="","",#REF!*$C$92)</f>
        <v/>
      </c>
      <c r="JK92" s="11" t="str">
        <f ca="1">IF(History!JO$2="","",#REF!*$C$92)</f>
        <v/>
      </c>
      <c r="JL92" s="11" t="str">
        <f ca="1">IF(History!JP$2="","",#REF!*$C$92)</f>
        <v/>
      </c>
      <c r="JM92" s="11" t="str">
        <f ca="1">IF(History!JQ$2="","",#REF!*$C$92)</f>
        <v/>
      </c>
      <c r="JN92" s="11" t="str">
        <f ca="1">IF(History!JR$2="","",#REF!*$C$92)</f>
        <v/>
      </c>
      <c r="JO92" s="11" t="str">
        <f ca="1">IF(History!JS$2="","",#REF!*$C$92)</f>
        <v/>
      </c>
      <c r="JP92" s="11" t="str">
        <f ca="1">IF(History!JT$2="","",#REF!*$C$92)</f>
        <v/>
      </c>
      <c r="JQ92" s="11" t="str">
        <f ca="1">IF(History!JU$2="","",#REF!*$C$92)</f>
        <v/>
      </c>
      <c r="JR92" s="11" t="str">
        <f ca="1">IF(History!JV$2="","",#REF!*$C$92)</f>
        <v/>
      </c>
      <c r="JS92" s="11" t="str">
        <f ca="1">IF(History!JW$2="","",#REF!*$C$92)</f>
        <v/>
      </c>
      <c r="JT92" s="11" t="str">
        <f ca="1">IF(History!JX$2="","",#REF!*$C$92)</f>
        <v/>
      </c>
      <c r="JU92" s="11" t="str">
        <f ca="1">IF(History!JY$2="","",#REF!*$C$92)</f>
        <v/>
      </c>
      <c r="JV92" s="11" t="str">
        <f ca="1">IF(History!JZ$2="","",#REF!*$C$92)</f>
        <v/>
      </c>
      <c r="JW92" s="11" t="str">
        <f ca="1">IF(History!KA$2="","",#REF!*$C$92)</f>
        <v/>
      </c>
      <c r="JX92" s="11" t="str">
        <f ca="1">IF(History!KB$2="","",#REF!*$C$92)</f>
        <v/>
      </c>
      <c r="JY92" s="11" t="str">
        <f ca="1">IF(History!KC$2="","",#REF!*$C$92)</f>
        <v/>
      </c>
      <c r="JZ92" s="11" t="str">
        <f ca="1">IF(History!KD$2="","",#REF!*$C$92)</f>
        <v/>
      </c>
      <c r="KA92" s="11" t="str">
        <f ca="1">IF(History!KE$2="","",#REF!*$C$92)</f>
        <v/>
      </c>
      <c r="KB92" s="11" t="str">
        <f ca="1">IF(History!KF$2="","",#REF!*$C$92)</f>
        <v/>
      </c>
    </row>
    <row r="93" spans="1:288" ht="13">
      <c r="A93" s="18" t="s">
        <v>140</v>
      </c>
      <c r="B93" s="6" t="s">
        <v>26</v>
      </c>
      <c r="C93" s="26">
        <v>255</v>
      </c>
      <c r="D93" s="11" t="e">
        <f ca="1">IF(History!H$2="","",#REF!*$C$93)</f>
        <v>#REF!</v>
      </c>
      <c r="E93" s="11" t="e">
        <f ca="1">IF(History!I$2="","",#REF!*$C$93)</f>
        <v>#REF!</v>
      </c>
      <c r="F93" s="11" t="e">
        <f ca="1">IF(History!J$2="","",#REF!*$C$93)</f>
        <v>#REF!</v>
      </c>
      <c r="G93" s="11" t="e">
        <f ca="1">IF(History!K$2="","",#REF!*$C$93)</f>
        <v>#REF!</v>
      </c>
      <c r="H93" s="11" t="e">
        <f ca="1">IF(History!L$2="","",#REF!*$C$93)</f>
        <v>#REF!</v>
      </c>
      <c r="I93" s="11" t="e">
        <f ca="1">IF(History!M$2="","",#REF!*$C$93)</f>
        <v>#REF!</v>
      </c>
      <c r="J93" s="11" t="e">
        <f ca="1">IF(History!N$2="","",#REF!*$C$93)</f>
        <v>#REF!</v>
      </c>
      <c r="K93" s="11" t="e">
        <f ca="1">IF(History!O$2="","",#REF!*$C$93)</f>
        <v>#REF!</v>
      </c>
      <c r="L93" s="11" t="e">
        <f ca="1">IF(History!P$2="","",#REF!*$C$93)</f>
        <v>#REF!</v>
      </c>
      <c r="M93" s="11" t="e">
        <f ca="1">IF(History!Q$2="","",#REF!*$C$93)</f>
        <v>#REF!</v>
      </c>
      <c r="N93" s="11" t="e">
        <f ca="1">IF(History!R$2="","",#REF!*$C$93)</f>
        <v>#REF!</v>
      </c>
      <c r="O93" s="11" t="e">
        <f ca="1">IF(History!S$2="","",#REF!*$C$93)</f>
        <v>#REF!</v>
      </c>
      <c r="P93" s="11" t="e">
        <f ca="1">IF(History!T$2="","",#REF!*$C$93)</f>
        <v>#REF!</v>
      </c>
      <c r="Q93" s="11" t="e">
        <f ca="1">IF(History!U$2="","",#REF!*$C$93)</f>
        <v>#REF!</v>
      </c>
      <c r="R93" s="11" t="e">
        <f ca="1">IF(History!V$2="","",#REF!*$C$93)</f>
        <v>#REF!</v>
      </c>
      <c r="S93" s="11" t="e">
        <f ca="1">IF(History!W$2="","",#REF!*$C$93)</f>
        <v>#REF!</v>
      </c>
      <c r="T93" s="11" t="e">
        <f ca="1">IF(History!X$2="","",#REF!*$C$93)</f>
        <v>#REF!</v>
      </c>
      <c r="U93" s="11" t="e">
        <f ca="1">IF(History!Y$2="","",#REF!*$C$93)</f>
        <v>#REF!</v>
      </c>
      <c r="V93" s="11" t="e">
        <f ca="1">IF(History!Z$2="","",#REF!*$C$93)</f>
        <v>#REF!</v>
      </c>
      <c r="W93" s="11" t="e">
        <f ca="1">IF(History!AA$2="","",#REF!*$C$93)</f>
        <v>#REF!</v>
      </c>
      <c r="X93" s="11" t="e">
        <f ca="1">IF(History!AB$2="","",#REF!*$C$93)</f>
        <v>#REF!</v>
      </c>
      <c r="Y93" s="11" t="e">
        <f ca="1">IF(History!AC$2="","",#REF!*$C$93)</f>
        <v>#REF!</v>
      </c>
      <c r="Z93" s="11" t="e">
        <f ca="1">IF(History!AD$2="","",#REF!*$C$93)</f>
        <v>#REF!</v>
      </c>
      <c r="AA93" s="11" t="e">
        <f ca="1">IF(History!AE$2="","",#REF!*$C$93)</f>
        <v>#REF!</v>
      </c>
      <c r="AB93" s="11" t="e">
        <f ca="1">IF(History!AF$2="","",#REF!*$C$93)</f>
        <v>#REF!</v>
      </c>
      <c r="AC93" s="11" t="e">
        <f ca="1">IF(History!AG$2="","",#REF!*$C$93)</f>
        <v>#REF!</v>
      </c>
      <c r="AD93" s="11" t="e">
        <f ca="1">IF(History!AH$2="","",#REF!*$C$93)</f>
        <v>#REF!</v>
      </c>
      <c r="AE93" s="11" t="e">
        <f ca="1">IF(History!AI$2="","",#REF!*$C$93)</f>
        <v>#REF!</v>
      </c>
      <c r="AF93" s="11" t="e">
        <f ca="1">IF(History!AJ$2="","",#REF!*$C$93)</f>
        <v>#REF!</v>
      </c>
      <c r="AG93" s="11" t="e">
        <f ca="1">IF(History!AK$2="","",#REF!*$C$93)</f>
        <v>#REF!</v>
      </c>
      <c r="AH93" s="11" t="e">
        <f ca="1">IF(History!AL$2="","",#REF!*$C$93)</f>
        <v>#REF!</v>
      </c>
      <c r="AI93" s="11" t="e">
        <f ca="1">IF(History!AM$2="","",#REF!*$C$93)</f>
        <v>#REF!</v>
      </c>
      <c r="AJ93" s="11" t="e">
        <f ca="1">IF(History!AN$2="","",#REF!*$C$93)</f>
        <v>#REF!</v>
      </c>
      <c r="AK93" s="11" t="e">
        <f ca="1">IF(History!AO$2="","",#REF!*$C$93)</f>
        <v>#REF!</v>
      </c>
      <c r="AL93" s="11" t="e">
        <f ca="1">IF(History!AP$2="","",#REF!*$C$93)</f>
        <v>#REF!</v>
      </c>
      <c r="AM93" s="11" t="e">
        <f ca="1">IF(History!AQ$2="","",#REF!*$C$93)</f>
        <v>#REF!</v>
      </c>
      <c r="AN93" s="11" t="e">
        <f ca="1">IF(History!AR$2="","",#REF!*$C$93)</f>
        <v>#REF!</v>
      </c>
      <c r="AO93" s="11" t="e">
        <f ca="1">IF(History!AS$2="","",#REF!*$C$93)</f>
        <v>#REF!</v>
      </c>
      <c r="AP93" s="11" t="e">
        <f ca="1">IF(History!AT$2="","",#REF!*$C$93)</f>
        <v>#REF!</v>
      </c>
      <c r="AQ93" s="11" t="e">
        <f ca="1">IF(History!AU$2="","",#REF!*$C$93)</f>
        <v>#REF!</v>
      </c>
      <c r="AR93" s="11" t="e">
        <f ca="1">IF(History!AV$2="","",#REF!*$C$93)</f>
        <v>#REF!</v>
      </c>
      <c r="AS93" s="11" t="e">
        <f ca="1">IF(History!AW$2="","",#REF!*$C$93)</f>
        <v>#REF!</v>
      </c>
      <c r="AT93" s="11" t="e">
        <f ca="1">IF(History!AX$2="","",#REF!*$C$93)</f>
        <v>#REF!</v>
      </c>
      <c r="AU93" s="11" t="e">
        <f ca="1">IF(History!AY$2="","",#REF!*$C$93)</f>
        <v>#REF!</v>
      </c>
      <c r="AV93" s="11" t="e">
        <f ca="1">IF(History!AZ$2="","",#REF!*$C$93)</f>
        <v>#REF!</v>
      </c>
      <c r="AW93" s="11" t="e">
        <f ca="1">IF(History!BA$2="","",#REF!*$C$93)</f>
        <v>#REF!</v>
      </c>
      <c r="AX93" s="11" t="e">
        <f ca="1">IF(History!BB$2="","",#REF!*$C$93)</f>
        <v>#REF!</v>
      </c>
      <c r="AY93" s="11" t="e">
        <f ca="1">IF(History!BC$2="","",#REF!*$C$93)</f>
        <v>#REF!</v>
      </c>
      <c r="AZ93" s="11" t="e">
        <f ca="1">IF(History!BD$2="","",#REF!*$C$93)</f>
        <v>#REF!</v>
      </c>
      <c r="BA93" s="11" t="e">
        <f ca="1">IF(History!BE$2="","",#REF!*$C$93)</f>
        <v>#REF!</v>
      </c>
      <c r="BB93" s="11" t="e">
        <f ca="1">IF(History!BF$2="","",#REF!*$C$93)</f>
        <v>#REF!</v>
      </c>
      <c r="BC93" s="11" t="e">
        <f ca="1">IF(History!BG$2="","",#REF!*$C$93)</f>
        <v>#REF!</v>
      </c>
      <c r="BD93" s="11" t="e">
        <f ca="1">IF(History!BH$2="","",#REF!*$C$93)</f>
        <v>#REF!</v>
      </c>
      <c r="BE93" s="11" t="e">
        <f ca="1">IF(History!BI$2="","",#REF!*$C$93)</f>
        <v>#REF!</v>
      </c>
      <c r="BF93" s="11" t="e">
        <f ca="1">IF(History!BJ$2="","",#REF!*$C$93)</f>
        <v>#REF!</v>
      </c>
      <c r="BG93" s="11" t="e">
        <f ca="1">IF(History!BK$2="","",#REF!*$C$93)</f>
        <v>#REF!</v>
      </c>
      <c r="BH93" s="11" t="e">
        <f ca="1">IF(History!BL$2="","",#REF!*$C$93)</f>
        <v>#REF!</v>
      </c>
      <c r="BI93" s="11" t="e">
        <f ca="1">IF(History!BM$2="","",#REF!*$C$93)</f>
        <v>#REF!</v>
      </c>
      <c r="BJ93" s="11" t="e">
        <f ca="1">IF(History!BN$2="","",#REF!*$C$93)</f>
        <v>#REF!</v>
      </c>
      <c r="BK93" s="11" t="e">
        <f ca="1">IF(History!BO$2="","",#REF!*$C$93)</f>
        <v>#REF!</v>
      </c>
      <c r="BL93" s="11" t="e">
        <f ca="1">IF(History!BP$2="","",#REF!*$C$93)</f>
        <v>#REF!</v>
      </c>
      <c r="BM93" s="11" t="e">
        <f ca="1">IF(History!BQ$2="","",#REF!*$C$93)</f>
        <v>#REF!</v>
      </c>
      <c r="BN93" s="11" t="e">
        <f ca="1">IF(History!BR$2="","",#REF!*$C$93)</f>
        <v>#REF!</v>
      </c>
      <c r="BO93" s="11" t="e">
        <f ca="1">IF(History!BS$2="","",#REF!*$C$93)</f>
        <v>#REF!</v>
      </c>
      <c r="BP93" s="11" t="e">
        <f ca="1">IF(History!BT$2="","",#REF!*$C$93)</f>
        <v>#REF!</v>
      </c>
      <c r="BQ93" s="11" t="e">
        <f ca="1">IF(History!BU$2="","",#REF!*$C$93)</f>
        <v>#REF!</v>
      </c>
      <c r="BR93" s="11" t="e">
        <f ca="1">IF(History!BV$2="","",#REF!*$C$93)</f>
        <v>#REF!</v>
      </c>
      <c r="BS93" s="11" t="e">
        <f ca="1">IF(History!BW$2="","",#REF!*$C$93)</f>
        <v>#REF!</v>
      </c>
      <c r="BT93" s="11" t="e">
        <f ca="1">IF(History!BX$2="","",#REF!*$C$93)</f>
        <v>#REF!</v>
      </c>
      <c r="BU93" s="11" t="e">
        <f ca="1">IF(History!BY$2="","",#REF!*$C$93)</f>
        <v>#REF!</v>
      </c>
      <c r="BV93" s="11" t="e">
        <f ca="1">IF(History!BZ$2="","",#REF!*$C$93)</f>
        <v>#REF!</v>
      </c>
      <c r="BW93" s="11" t="e">
        <f ca="1">IF(History!CA$2="","",#REF!*$C$93)</f>
        <v>#REF!</v>
      </c>
      <c r="BX93" s="11" t="e">
        <f ca="1">IF(History!CB$2="","",#REF!*$C$93)</f>
        <v>#REF!</v>
      </c>
      <c r="BY93" s="11" t="e">
        <f ca="1">IF(History!CC$2="","",#REF!*$C$93)</f>
        <v>#REF!</v>
      </c>
      <c r="BZ93" s="11" t="e">
        <f ca="1">IF(History!CD$2="","",#REF!*$C$93)</f>
        <v>#REF!</v>
      </c>
      <c r="CA93" s="11" t="e">
        <f ca="1">IF(History!CE$2="","",#REF!*$C$93)</f>
        <v>#REF!</v>
      </c>
      <c r="CB93" s="11" t="e">
        <f ca="1">IF(History!CF$2="","",#REF!*$C$93)</f>
        <v>#REF!</v>
      </c>
      <c r="CC93" s="11" t="e">
        <f ca="1">IF(History!CG$2="","",#REF!*$C$93)</f>
        <v>#REF!</v>
      </c>
      <c r="CD93" s="11" t="e">
        <f ca="1">IF(History!CH$2="","",#REF!*$C$93)</f>
        <v>#REF!</v>
      </c>
      <c r="CE93" s="11" t="e">
        <f ca="1">IF(History!CI$2="","",#REF!*$C$93)</f>
        <v>#REF!</v>
      </c>
      <c r="CF93" s="11" t="str">
        <f ca="1">IF(History!CJ$2="","",#REF!*$C$93)</f>
        <v/>
      </c>
      <c r="CG93" s="11" t="str">
        <f ca="1">IF(History!CK$2="","",#REF!*$C$93)</f>
        <v/>
      </c>
      <c r="CH93" s="11" t="str">
        <f ca="1">IF(History!CL$2="","",#REF!*$C$93)</f>
        <v/>
      </c>
      <c r="CI93" s="11" t="str">
        <f ca="1">IF(History!CM$2="","",#REF!*$C$93)</f>
        <v/>
      </c>
      <c r="CJ93" s="11" t="str">
        <f ca="1">IF(History!CN$2="","",#REF!*$C$93)</f>
        <v/>
      </c>
      <c r="CK93" s="11" t="str">
        <f ca="1">IF(History!CO$2="","",#REF!*$C$93)</f>
        <v/>
      </c>
      <c r="CL93" s="11" t="str">
        <f ca="1">IF(History!CP$2="","",#REF!*$C$93)</f>
        <v/>
      </c>
      <c r="CM93" s="11" t="str">
        <f ca="1">IF(History!CQ$2="","",#REF!*$C$93)</f>
        <v/>
      </c>
      <c r="CN93" s="11" t="str">
        <f ca="1">IF(History!CR$2="","",#REF!*$C$93)</f>
        <v/>
      </c>
      <c r="CO93" s="11" t="str">
        <f ca="1">IF(History!CS$2="","",#REF!*$C$93)</f>
        <v/>
      </c>
      <c r="CP93" s="11" t="str">
        <f ca="1">IF(History!CT$2="","",#REF!*$C$93)</f>
        <v/>
      </c>
      <c r="CQ93" s="11" t="str">
        <f ca="1">IF(History!CU$2="","",#REF!*$C$93)</f>
        <v/>
      </c>
      <c r="CR93" s="11" t="str">
        <f ca="1">IF(History!CV$2="","",#REF!*$C$93)</f>
        <v/>
      </c>
      <c r="CS93" s="11" t="str">
        <f ca="1">IF(History!CW$2="","",#REF!*$C$93)</f>
        <v/>
      </c>
      <c r="CT93" s="11" t="str">
        <f ca="1">IF(History!CX$2="","",#REF!*$C$93)</f>
        <v/>
      </c>
      <c r="CU93" s="11" t="str">
        <f ca="1">IF(History!CY$2="","",#REF!*$C$93)</f>
        <v/>
      </c>
      <c r="CV93" s="11" t="str">
        <f ca="1">IF(History!CZ$2="","",#REF!*$C$93)</f>
        <v/>
      </c>
      <c r="CW93" s="11" t="str">
        <f ca="1">IF(History!DA$2="","",#REF!*$C$93)</f>
        <v/>
      </c>
      <c r="CX93" s="11" t="str">
        <f ca="1">IF(History!DB$2="","",#REF!*$C$93)</f>
        <v/>
      </c>
      <c r="CY93" s="11" t="str">
        <f ca="1">IF(History!DC$2="","",#REF!*$C$93)</f>
        <v/>
      </c>
      <c r="CZ93" s="11" t="str">
        <f ca="1">IF(History!DD$2="","",#REF!*$C$93)</f>
        <v/>
      </c>
      <c r="DA93" s="11" t="str">
        <f ca="1">IF(History!DE$2="","",#REF!*$C$93)</f>
        <v/>
      </c>
      <c r="DB93" s="11" t="str">
        <f ca="1">IF(History!DF$2="","",#REF!*$C$93)</f>
        <v/>
      </c>
      <c r="DC93" s="11" t="str">
        <f ca="1">IF(History!DG$2="","",#REF!*$C$93)</f>
        <v/>
      </c>
      <c r="DD93" s="11" t="str">
        <f ca="1">IF(History!DH$2="","",#REF!*$C$93)</f>
        <v/>
      </c>
      <c r="DE93" s="11" t="str">
        <f ca="1">IF(History!DI$2="","",#REF!*$C$93)</f>
        <v/>
      </c>
      <c r="DF93" s="11" t="str">
        <f ca="1">IF(History!DJ$2="","",#REF!*$C$93)</f>
        <v/>
      </c>
      <c r="DG93" s="11" t="str">
        <f ca="1">IF(History!DK$2="","",#REF!*$C$93)</f>
        <v/>
      </c>
      <c r="DH93" s="11" t="str">
        <f ca="1">IF(History!DL$2="","",#REF!*$C$93)</f>
        <v/>
      </c>
      <c r="DI93" s="11" t="str">
        <f ca="1">IF(History!DM$2="","",#REF!*$C$93)</f>
        <v/>
      </c>
      <c r="DJ93" s="11" t="str">
        <f ca="1">IF(History!DN$2="","",#REF!*$C$93)</f>
        <v/>
      </c>
      <c r="DK93" s="11" t="str">
        <f ca="1">IF(History!DO$2="","",#REF!*$C$93)</f>
        <v/>
      </c>
      <c r="DL93" s="11" t="str">
        <f ca="1">IF(History!DP$2="","",#REF!*$C$93)</f>
        <v/>
      </c>
      <c r="DM93" s="11" t="str">
        <f ca="1">IF(History!DQ$2="","",#REF!*$C$93)</f>
        <v/>
      </c>
      <c r="DN93" s="11" t="str">
        <f ca="1">IF(History!DR$2="","",#REF!*$C$93)</f>
        <v/>
      </c>
      <c r="DO93" s="11" t="str">
        <f ca="1">IF(History!DS$2="","",#REF!*$C$93)</f>
        <v/>
      </c>
      <c r="DP93" s="11" t="str">
        <f ca="1">IF(History!DT$2="","",#REF!*$C$93)</f>
        <v/>
      </c>
      <c r="DQ93" s="11" t="str">
        <f ca="1">IF(History!DU$2="","",#REF!*$C$93)</f>
        <v/>
      </c>
      <c r="DR93" s="11" t="str">
        <f ca="1">IF(History!DV$2="","",#REF!*$C$93)</f>
        <v/>
      </c>
      <c r="DS93" s="11" t="str">
        <f ca="1">IF(History!DW$2="","",#REF!*$C$93)</f>
        <v/>
      </c>
      <c r="DT93" s="11" t="str">
        <f ca="1">IF(History!DX$2="","",#REF!*$C$93)</f>
        <v/>
      </c>
      <c r="DU93" s="11" t="str">
        <f ca="1">IF(History!DY$2="","",#REF!*$C$93)</f>
        <v/>
      </c>
      <c r="DV93" s="11" t="str">
        <f ca="1">IF(History!DZ$2="","",#REF!*$C$93)</f>
        <v/>
      </c>
      <c r="DW93" s="11" t="str">
        <f ca="1">IF(History!EA$2="","",#REF!*$C$93)</f>
        <v/>
      </c>
      <c r="DX93" s="11" t="str">
        <f ca="1">IF(History!EB$2="","",#REF!*$C$93)</f>
        <v/>
      </c>
      <c r="DY93" s="11" t="str">
        <f ca="1">IF(History!EC$2="","",#REF!*$C$93)</f>
        <v/>
      </c>
      <c r="DZ93" s="11" t="str">
        <f ca="1">IF(History!ED$2="","",#REF!*$C$93)</f>
        <v/>
      </c>
      <c r="EA93" s="11" t="str">
        <f ca="1">IF(History!EE$2="","",#REF!*$C$93)</f>
        <v/>
      </c>
      <c r="EB93" s="11" t="str">
        <f ca="1">IF(History!EF$2="","",#REF!*$C$93)</f>
        <v/>
      </c>
      <c r="EC93" s="11" t="str">
        <f ca="1">IF(History!EG$2="","",#REF!*$C$93)</f>
        <v/>
      </c>
      <c r="ED93" s="11" t="str">
        <f ca="1">IF(History!EH$2="","",#REF!*$C$93)</f>
        <v/>
      </c>
      <c r="EE93" s="11" t="str">
        <f ca="1">IF(History!EI$2="","",#REF!*$C$93)</f>
        <v/>
      </c>
      <c r="EF93" s="11" t="str">
        <f ca="1">IF(History!EJ$2="","",#REF!*$C$93)</f>
        <v/>
      </c>
      <c r="EG93" s="11" t="str">
        <f ca="1">IF(History!EK$2="","",#REF!*$C$93)</f>
        <v/>
      </c>
      <c r="EH93" s="11" t="str">
        <f ca="1">IF(History!EL$2="","",#REF!*$C$93)</f>
        <v/>
      </c>
      <c r="EI93" s="11" t="str">
        <f ca="1">IF(History!EM$2="","",#REF!*$C$93)</f>
        <v/>
      </c>
      <c r="EJ93" s="11" t="str">
        <f ca="1">IF(History!EN$2="","",#REF!*$C$93)</f>
        <v/>
      </c>
      <c r="EK93" s="11" t="str">
        <f ca="1">IF(History!EO$2="","",#REF!*$C$93)</f>
        <v/>
      </c>
      <c r="EL93" s="11" t="str">
        <f ca="1">IF(History!EP$2="","",#REF!*$C$93)</f>
        <v/>
      </c>
      <c r="EM93" s="11" t="str">
        <f ca="1">IF(History!EQ$2="","",#REF!*$C$93)</f>
        <v/>
      </c>
      <c r="EN93" s="11" t="str">
        <f ca="1">IF(History!ER$2="","",#REF!*$C$93)</f>
        <v/>
      </c>
      <c r="EO93" s="11" t="str">
        <f ca="1">IF(History!ES$2="","",#REF!*$C$93)</f>
        <v/>
      </c>
      <c r="EP93" s="11" t="str">
        <f ca="1">IF(History!ET$2="","",#REF!*$C$93)</f>
        <v/>
      </c>
      <c r="EQ93" s="11" t="str">
        <f ca="1">IF(History!EU$2="","",#REF!*$C$93)</f>
        <v/>
      </c>
      <c r="ER93" s="11" t="str">
        <f ca="1">IF(History!EV$2="","",#REF!*$C$93)</f>
        <v/>
      </c>
      <c r="ES93" s="11" t="str">
        <f ca="1">IF(History!EW$2="","",#REF!*$C$93)</f>
        <v/>
      </c>
      <c r="ET93" s="11" t="str">
        <f ca="1">IF(History!EX$2="","",#REF!*$C$93)</f>
        <v/>
      </c>
      <c r="EU93" s="11" t="str">
        <f ca="1">IF(History!EY$2="","",#REF!*$C$93)</f>
        <v/>
      </c>
      <c r="EV93" s="11" t="str">
        <f ca="1">IF(History!EZ$2="","",#REF!*$C$93)</f>
        <v/>
      </c>
      <c r="EW93" s="11" t="str">
        <f ca="1">IF(History!FA$2="","",#REF!*$C$93)</f>
        <v/>
      </c>
      <c r="EX93" s="11" t="str">
        <f ca="1">IF(History!FB$2="","",#REF!*$C$93)</f>
        <v/>
      </c>
      <c r="EY93" s="11" t="str">
        <f ca="1">IF(History!FC$2="","",#REF!*$C$93)</f>
        <v/>
      </c>
      <c r="EZ93" s="11" t="str">
        <f ca="1">IF(History!FD$2="","",#REF!*$C$93)</f>
        <v/>
      </c>
      <c r="FA93" s="11" t="str">
        <f ca="1">IF(History!FE$2="","",#REF!*$C$93)</f>
        <v/>
      </c>
      <c r="FB93" s="11" t="str">
        <f ca="1">IF(History!FF$2="","",#REF!*$C$93)</f>
        <v/>
      </c>
      <c r="FC93" s="11" t="str">
        <f ca="1">IF(History!FG$2="","",#REF!*$C$93)</f>
        <v/>
      </c>
      <c r="FD93" s="11" t="str">
        <f ca="1">IF(History!FH$2="","",#REF!*$C$93)</f>
        <v/>
      </c>
      <c r="FE93" s="11" t="str">
        <f ca="1">IF(History!FI$2="","",#REF!*$C$93)</f>
        <v/>
      </c>
      <c r="FF93" s="11" t="str">
        <f ca="1">IF(History!FJ$2="","",#REF!*$C$93)</f>
        <v/>
      </c>
      <c r="FG93" s="11" t="str">
        <f ca="1">IF(History!FK$2="","",#REF!*$C$93)</f>
        <v/>
      </c>
      <c r="FH93" s="11" t="str">
        <f ca="1">IF(History!FL$2="","",#REF!*$C$93)</f>
        <v/>
      </c>
      <c r="FI93" s="11" t="str">
        <f ca="1">IF(History!FM$2="","",#REF!*$C$93)</f>
        <v/>
      </c>
      <c r="FJ93" s="11" t="str">
        <f ca="1">IF(History!FN$2="","",#REF!*$C$93)</f>
        <v/>
      </c>
      <c r="FK93" s="11" t="str">
        <f ca="1">IF(History!FO$2="","",#REF!*$C$93)</f>
        <v/>
      </c>
      <c r="FL93" s="11" t="str">
        <f ca="1">IF(History!FP$2="","",#REF!*$C$93)</f>
        <v/>
      </c>
      <c r="FM93" s="11" t="str">
        <f ca="1">IF(History!FQ$2="","",#REF!*$C$93)</f>
        <v/>
      </c>
      <c r="FN93" s="11" t="str">
        <f ca="1">IF(History!FR$2="","",#REF!*$C$93)</f>
        <v/>
      </c>
      <c r="FO93" s="11" t="str">
        <f ca="1">IF(History!FS$2="","",#REF!*$C$93)</f>
        <v/>
      </c>
      <c r="FP93" s="11" t="str">
        <f ca="1">IF(History!FT$2="","",#REF!*$C$93)</f>
        <v/>
      </c>
      <c r="FQ93" s="11" t="str">
        <f ca="1">IF(History!FU$2="","",#REF!*$C$93)</f>
        <v/>
      </c>
      <c r="FR93" s="11" t="str">
        <f ca="1">IF(History!FV$2="","",#REF!*$C$93)</f>
        <v/>
      </c>
      <c r="FS93" s="11" t="str">
        <f ca="1">IF(History!FW$2="","",#REF!*$C$93)</f>
        <v/>
      </c>
      <c r="FT93" s="11" t="str">
        <f ca="1">IF(History!FX$2="","",#REF!*$C$93)</f>
        <v/>
      </c>
      <c r="FU93" s="11" t="str">
        <f ca="1">IF(History!FY$2="","",#REF!*$C$93)</f>
        <v/>
      </c>
      <c r="FV93" s="11" t="str">
        <f ca="1">IF(History!FZ$2="","",#REF!*$C$93)</f>
        <v/>
      </c>
      <c r="FW93" s="11" t="str">
        <f ca="1">IF(History!GA$2="","",#REF!*$C$93)</f>
        <v/>
      </c>
      <c r="FX93" s="11" t="str">
        <f ca="1">IF(History!GB$2="","",#REF!*$C$93)</f>
        <v/>
      </c>
      <c r="FY93" s="11" t="str">
        <f ca="1">IF(History!GC$2="","",#REF!*$C$93)</f>
        <v/>
      </c>
      <c r="FZ93" s="11" t="str">
        <f ca="1">IF(History!GD$2="","",#REF!*$C$93)</f>
        <v/>
      </c>
      <c r="GA93" s="11" t="str">
        <f ca="1">IF(History!GE$2="","",#REF!*$C$93)</f>
        <v/>
      </c>
      <c r="GB93" s="11" t="str">
        <f ca="1">IF(History!GF$2="","",#REF!*$C$93)</f>
        <v/>
      </c>
      <c r="GC93" s="11" t="str">
        <f ca="1">IF(History!GG$2="","",#REF!*$C$93)</f>
        <v/>
      </c>
      <c r="GD93" s="11" t="str">
        <f ca="1">IF(History!GH$2="","",#REF!*$C$93)</f>
        <v/>
      </c>
      <c r="GE93" s="11" t="str">
        <f ca="1">IF(History!GI$2="","",#REF!*$C$93)</f>
        <v/>
      </c>
      <c r="GF93" s="11" t="str">
        <f ca="1">IF(History!GJ$2="","",#REF!*$C$93)</f>
        <v/>
      </c>
      <c r="GG93" s="11" t="str">
        <f ca="1">IF(History!GK$2="","",#REF!*$C$93)</f>
        <v/>
      </c>
      <c r="GH93" s="11" t="str">
        <f ca="1">IF(History!GL$2="","",#REF!*$C$93)</f>
        <v/>
      </c>
      <c r="GI93" s="11" t="str">
        <f ca="1">IF(History!GM$2="","",#REF!*$C$93)</f>
        <v/>
      </c>
      <c r="GJ93" s="11" t="str">
        <f ca="1">IF(History!GN$2="","",#REF!*$C$93)</f>
        <v/>
      </c>
      <c r="GK93" s="11" t="str">
        <f ca="1">IF(History!GO$2="","",#REF!*$C$93)</f>
        <v/>
      </c>
      <c r="GL93" s="11" t="str">
        <f ca="1">IF(History!GP$2="","",#REF!*$C$93)</f>
        <v/>
      </c>
      <c r="GM93" s="11" t="str">
        <f ca="1">IF(History!GQ$2="","",#REF!*$C$93)</f>
        <v/>
      </c>
      <c r="GN93" s="11" t="str">
        <f ca="1">IF(History!GR$2="","",#REF!*$C$93)</f>
        <v/>
      </c>
      <c r="GO93" s="11" t="str">
        <f ca="1">IF(History!GS$2="","",#REF!*$C$93)</f>
        <v/>
      </c>
      <c r="GP93" s="11" t="str">
        <f ca="1">IF(History!GT$2="","",#REF!*$C$93)</f>
        <v/>
      </c>
      <c r="GQ93" s="11" t="str">
        <f ca="1">IF(History!GU$2="","",#REF!*$C$93)</f>
        <v/>
      </c>
      <c r="GR93" s="11" t="str">
        <f ca="1">IF(History!GV$2="","",#REF!*$C$93)</f>
        <v/>
      </c>
      <c r="GS93" s="11" t="str">
        <f ca="1">IF(History!GW$2="","",#REF!*$C$93)</f>
        <v/>
      </c>
      <c r="GT93" s="11" t="str">
        <f ca="1">IF(History!GX$2="","",#REF!*$C$93)</f>
        <v/>
      </c>
      <c r="GU93" s="11" t="str">
        <f ca="1">IF(History!GY$2="","",#REF!*$C$93)</f>
        <v/>
      </c>
      <c r="GV93" s="11" t="str">
        <f ca="1">IF(History!GZ$2="","",#REF!*$C$93)</f>
        <v/>
      </c>
      <c r="GW93" s="11" t="str">
        <f ca="1">IF(History!HA$2="","",#REF!*$C$93)</f>
        <v/>
      </c>
      <c r="GX93" s="11" t="str">
        <f ca="1">IF(History!HB$2="","",#REF!*$C$93)</f>
        <v/>
      </c>
      <c r="GY93" s="11" t="str">
        <f ca="1">IF(History!HC$2="","",#REF!*$C$93)</f>
        <v/>
      </c>
      <c r="GZ93" s="11" t="str">
        <f ca="1">IF(History!HD$2="","",#REF!*$C$93)</f>
        <v/>
      </c>
      <c r="HA93" s="11" t="str">
        <f ca="1">IF(History!HE$2="","",#REF!*$C$93)</f>
        <v/>
      </c>
      <c r="HB93" s="11" t="str">
        <f ca="1">IF(History!HF$2="","",#REF!*$C$93)</f>
        <v/>
      </c>
      <c r="HC93" s="11" t="str">
        <f ca="1">IF(History!HG$2="","",#REF!*$C$93)</f>
        <v/>
      </c>
      <c r="HD93" s="11" t="str">
        <f ca="1">IF(History!HH$2="","",#REF!*$C$93)</f>
        <v/>
      </c>
      <c r="HE93" s="11" t="str">
        <f ca="1">IF(History!HI$2="","",#REF!*$C$93)</f>
        <v/>
      </c>
      <c r="HF93" s="11" t="str">
        <f ca="1">IF(History!HJ$2="","",#REF!*$C$93)</f>
        <v/>
      </c>
      <c r="HG93" s="11" t="str">
        <f ca="1">IF(History!HK$2="","",#REF!*$C$93)</f>
        <v/>
      </c>
      <c r="HH93" s="11" t="str">
        <f ca="1">IF(History!HL$2="","",#REF!*$C$93)</f>
        <v/>
      </c>
      <c r="HI93" s="11" t="str">
        <f ca="1">IF(History!HM$2="","",#REF!*$C$93)</f>
        <v/>
      </c>
      <c r="HJ93" s="11" t="str">
        <f ca="1">IF(History!HN$2="","",#REF!*$C$93)</f>
        <v/>
      </c>
      <c r="HK93" s="11" t="str">
        <f ca="1">IF(History!HO$2="","",#REF!*$C$93)</f>
        <v/>
      </c>
      <c r="HL93" s="11" t="str">
        <f ca="1">IF(History!HP$2="","",#REF!*$C$93)</f>
        <v/>
      </c>
      <c r="HM93" s="11" t="str">
        <f ca="1">IF(History!HQ$2="","",#REF!*$C$93)</f>
        <v/>
      </c>
      <c r="HN93" s="11" t="str">
        <f ca="1">IF(History!HR$2="","",#REF!*$C$93)</f>
        <v/>
      </c>
      <c r="HO93" s="11" t="str">
        <f ca="1">IF(History!HS$2="","",#REF!*$C$93)</f>
        <v/>
      </c>
      <c r="HP93" s="11" t="str">
        <f ca="1">IF(History!HT$2="","",#REF!*$C$93)</f>
        <v/>
      </c>
      <c r="HQ93" s="11" t="str">
        <f ca="1">IF(History!HU$2="","",#REF!*$C$93)</f>
        <v/>
      </c>
      <c r="HR93" s="11" t="str">
        <f ca="1">IF(History!HV$2="","",#REF!*$C$93)</f>
        <v/>
      </c>
      <c r="HS93" s="11" t="str">
        <f ca="1">IF(History!HW$2="","",#REF!*$C$93)</f>
        <v/>
      </c>
      <c r="HT93" s="11" t="str">
        <f ca="1">IF(History!HX$2="","",#REF!*$C$93)</f>
        <v/>
      </c>
      <c r="HU93" s="11" t="str">
        <f ca="1">IF(History!HY$2="","",#REF!*$C$93)</f>
        <v/>
      </c>
      <c r="HV93" s="11" t="str">
        <f ca="1">IF(History!HZ$2="","",#REF!*$C$93)</f>
        <v/>
      </c>
      <c r="HW93" s="11" t="str">
        <f ca="1">IF(History!IA$2="","",#REF!*$C$93)</f>
        <v/>
      </c>
      <c r="HX93" s="11" t="str">
        <f ca="1">IF(History!IB$2="","",#REF!*$C$93)</f>
        <v/>
      </c>
      <c r="HY93" s="11" t="str">
        <f ca="1">IF(History!IC$2="","",#REF!*$C$93)</f>
        <v/>
      </c>
      <c r="HZ93" s="11" t="str">
        <f ca="1">IF(History!ID$2="","",#REF!*$C$93)</f>
        <v/>
      </c>
      <c r="IA93" s="11" t="str">
        <f ca="1">IF(History!IE$2="","",#REF!*$C$93)</f>
        <v/>
      </c>
      <c r="IB93" s="11" t="str">
        <f ca="1">IF(History!IF$2="","",#REF!*$C$93)</f>
        <v/>
      </c>
      <c r="IC93" s="11" t="str">
        <f ca="1">IF(History!IG$2="","",#REF!*$C$93)</f>
        <v/>
      </c>
      <c r="ID93" s="11" t="str">
        <f ca="1">IF(History!IH$2="","",#REF!*$C$93)</f>
        <v/>
      </c>
      <c r="IE93" s="11" t="str">
        <f ca="1">IF(History!II$2="","",#REF!*$C$93)</f>
        <v/>
      </c>
      <c r="IF93" s="11" t="str">
        <f ca="1">IF(History!IJ$2="","",#REF!*$C$93)</f>
        <v/>
      </c>
      <c r="IG93" s="11" t="str">
        <f ca="1">IF(History!IK$2="","",#REF!*$C$93)</f>
        <v/>
      </c>
      <c r="IH93" s="11" t="str">
        <f ca="1">IF(History!IL$2="","",#REF!*$C$93)</f>
        <v/>
      </c>
      <c r="II93" s="11" t="str">
        <f ca="1">IF(History!IM$2="","",#REF!*$C$93)</f>
        <v/>
      </c>
      <c r="IJ93" s="11" t="str">
        <f ca="1">IF(History!IN$2="","",#REF!*$C$93)</f>
        <v/>
      </c>
      <c r="IK93" s="11" t="str">
        <f ca="1">IF(History!IO$2="","",#REF!*$C$93)</f>
        <v/>
      </c>
      <c r="IL93" s="11" t="str">
        <f ca="1">IF(History!IP$2="","",#REF!*$C$93)</f>
        <v/>
      </c>
      <c r="IM93" s="11" t="str">
        <f ca="1">IF(History!IQ$2="","",#REF!*$C$93)</f>
        <v/>
      </c>
      <c r="IN93" s="11" t="str">
        <f ca="1">IF(History!IR$2="","",#REF!*$C$93)</f>
        <v/>
      </c>
      <c r="IO93" s="11" t="str">
        <f ca="1">IF(History!IS$2="","",#REF!*$C$93)</f>
        <v/>
      </c>
      <c r="IP93" s="11" t="str">
        <f ca="1">IF(History!IT$2="","",#REF!*$C$93)</f>
        <v/>
      </c>
      <c r="IQ93" s="11" t="str">
        <f ca="1">IF(History!IU$2="","",#REF!*$C$93)</f>
        <v/>
      </c>
      <c r="IR93" s="11" t="str">
        <f ca="1">IF(History!IV$2="","",#REF!*$C$93)</f>
        <v/>
      </c>
      <c r="IS93" s="11" t="str">
        <f ca="1">IF(History!IW$2="","",#REF!*$C$93)</f>
        <v/>
      </c>
      <c r="IT93" s="11" t="str">
        <f ca="1">IF(History!IX$2="","",#REF!*$C$93)</f>
        <v/>
      </c>
      <c r="IU93" s="11" t="str">
        <f ca="1">IF(History!IY$2="","",#REF!*$C$93)</f>
        <v/>
      </c>
      <c r="IV93" s="11" t="str">
        <f ca="1">IF(History!IZ$2="","",#REF!*$C$93)</f>
        <v/>
      </c>
      <c r="IW93" s="11" t="str">
        <f ca="1">IF(History!JA$2="","",#REF!*$C$93)</f>
        <v/>
      </c>
      <c r="IX93" s="11" t="str">
        <f ca="1">IF(History!JB$2="","",#REF!*$C$93)</f>
        <v/>
      </c>
      <c r="IY93" s="11" t="str">
        <f ca="1">IF(History!JC$2="","",#REF!*$C$93)</f>
        <v/>
      </c>
      <c r="IZ93" s="11" t="str">
        <f ca="1">IF(History!JD$2="","",#REF!*$C$93)</f>
        <v/>
      </c>
      <c r="JA93" s="11" t="str">
        <f ca="1">IF(History!JE$2="","",#REF!*$C$93)</f>
        <v/>
      </c>
      <c r="JB93" s="11" t="str">
        <f ca="1">IF(History!JF$2="","",#REF!*$C$93)</f>
        <v/>
      </c>
      <c r="JC93" s="11" t="str">
        <f ca="1">IF(History!JG$2="","",#REF!*$C$93)</f>
        <v/>
      </c>
      <c r="JD93" s="11" t="str">
        <f ca="1">IF(History!JH$2="","",#REF!*$C$93)</f>
        <v/>
      </c>
      <c r="JE93" s="11" t="str">
        <f ca="1">IF(History!JI$2="","",#REF!*$C$93)</f>
        <v/>
      </c>
      <c r="JF93" s="11" t="str">
        <f ca="1">IF(History!JJ$2="","",#REF!*$C$93)</f>
        <v/>
      </c>
      <c r="JG93" s="11" t="str">
        <f ca="1">IF(History!JK$2="","",#REF!*$C$93)</f>
        <v/>
      </c>
      <c r="JH93" s="11" t="str">
        <f ca="1">IF(History!JL$2="","",#REF!*$C$93)</f>
        <v/>
      </c>
      <c r="JI93" s="11" t="str">
        <f ca="1">IF(History!JM$2="","",#REF!*$C$93)</f>
        <v/>
      </c>
      <c r="JJ93" s="11" t="str">
        <f ca="1">IF(History!JN$2="","",#REF!*$C$93)</f>
        <v/>
      </c>
      <c r="JK93" s="11" t="str">
        <f ca="1">IF(History!JO$2="","",#REF!*$C$93)</f>
        <v/>
      </c>
      <c r="JL93" s="11" t="str">
        <f ca="1">IF(History!JP$2="","",#REF!*$C$93)</f>
        <v/>
      </c>
      <c r="JM93" s="11" t="str">
        <f ca="1">IF(History!JQ$2="","",#REF!*$C$93)</f>
        <v/>
      </c>
      <c r="JN93" s="11" t="str">
        <f ca="1">IF(History!JR$2="","",#REF!*$C$93)</f>
        <v/>
      </c>
      <c r="JO93" s="11" t="str">
        <f ca="1">IF(History!JS$2="","",#REF!*$C$93)</f>
        <v/>
      </c>
      <c r="JP93" s="11" t="str">
        <f ca="1">IF(History!JT$2="","",#REF!*$C$93)</f>
        <v/>
      </c>
      <c r="JQ93" s="11" t="str">
        <f ca="1">IF(History!JU$2="","",#REF!*$C$93)</f>
        <v/>
      </c>
      <c r="JR93" s="11" t="str">
        <f ca="1">IF(History!JV$2="","",#REF!*$C$93)</f>
        <v/>
      </c>
      <c r="JS93" s="11" t="str">
        <f ca="1">IF(History!JW$2="","",#REF!*$C$93)</f>
        <v/>
      </c>
      <c r="JT93" s="11" t="str">
        <f ca="1">IF(History!JX$2="","",#REF!*$C$93)</f>
        <v/>
      </c>
      <c r="JU93" s="11" t="str">
        <f ca="1">IF(History!JY$2="","",#REF!*$C$93)</f>
        <v/>
      </c>
      <c r="JV93" s="11" t="str">
        <f ca="1">IF(History!JZ$2="","",#REF!*$C$93)</f>
        <v/>
      </c>
      <c r="JW93" s="11" t="str">
        <f ca="1">IF(History!KA$2="","",#REF!*$C$93)</f>
        <v/>
      </c>
      <c r="JX93" s="11" t="str">
        <f ca="1">IF(History!KB$2="","",#REF!*$C$93)</f>
        <v/>
      </c>
      <c r="JY93" s="11" t="str">
        <f ca="1">IF(History!KC$2="","",#REF!*$C$93)</f>
        <v/>
      </c>
      <c r="JZ93" s="11" t="str">
        <f ca="1">IF(History!KD$2="","",#REF!*$C$93)</f>
        <v/>
      </c>
      <c r="KA93" s="11" t="str">
        <f ca="1">IF(History!KE$2="","",#REF!*$C$93)</f>
        <v/>
      </c>
      <c r="KB93" s="11" t="str">
        <f ca="1">IF(History!KF$2="","",#REF!*$C$93)</f>
        <v/>
      </c>
    </row>
    <row r="94" spans="1:288" ht="13">
      <c r="A94" s="18" t="s">
        <v>140</v>
      </c>
      <c r="B94" s="6" t="s">
        <v>171</v>
      </c>
      <c r="C94" s="26">
        <v>400</v>
      </c>
      <c r="D94" s="11" t="e">
        <f ca="1">IF(History!H$2="","",#REF!*$C$94)</f>
        <v>#REF!</v>
      </c>
      <c r="E94" s="11" t="e">
        <f ca="1">IF(History!I$2="","",#REF!*$C$94)</f>
        <v>#REF!</v>
      </c>
      <c r="F94" s="11" t="e">
        <f ca="1">IF(History!J$2="","",#REF!*$C$94)</f>
        <v>#REF!</v>
      </c>
      <c r="G94" s="11" t="e">
        <f ca="1">IF(History!K$2="","",#REF!*$C$94)</f>
        <v>#REF!</v>
      </c>
      <c r="H94" s="11" t="e">
        <f ca="1">IF(History!L$2="","",#REF!*$C$94)</f>
        <v>#REF!</v>
      </c>
      <c r="I94" s="11" t="e">
        <f ca="1">IF(History!M$2="","",#REF!*$C$94)</f>
        <v>#REF!</v>
      </c>
      <c r="J94" s="11" t="e">
        <f ca="1">IF(History!N$2="","",#REF!*$C$94)</f>
        <v>#REF!</v>
      </c>
      <c r="K94" s="11" t="e">
        <f ca="1">IF(History!O$2="","",#REF!*$C$94)</f>
        <v>#REF!</v>
      </c>
      <c r="L94" s="11" t="e">
        <f ca="1">IF(History!P$2="","",#REF!*$C$94)</f>
        <v>#REF!</v>
      </c>
      <c r="M94" s="11" t="e">
        <f ca="1">IF(History!Q$2="","",#REF!*$C$94)</f>
        <v>#REF!</v>
      </c>
      <c r="N94" s="11" t="e">
        <f ca="1">IF(History!R$2="","",#REF!*$C$94)</f>
        <v>#REF!</v>
      </c>
      <c r="O94" s="11" t="e">
        <f ca="1">IF(History!S$2="","",#REF!*$C$94)</f>
        <v>#REF!</v>
      </c>
      <c r="P94" s="11" t="e">
        <f ca="1">IF(History!T$2="","",#REF!*$C$94)</f>
        <v>#REF!</v>
      </c>
      <c r="Q94" s="11" t="e">
        <f ca="1">IF(History!U$2="","",#REF!*$C$94)</f>
        <v>#REF!</v>
      </c>
      <c r="R94" s="11" t="e">
        <f ca="1">IF(History!V$2="","",#REF!*$C$94)</f>
        <v>#REF!</v>
      </c>
      <c r="S94" s="11" t="e">
        <f ca="1">IF(History!W$2="","",#REF!*$C$94)</f>
        <v>#REF!</v>
      </c>
      <c r="T94" s="11" t="e">
        <f ca="1">IF(History!X$2="","",#REF!*$C$94)</f>
        <v>#REF!</v>
      </c>
      <c r="U94" s="11" t="e">
        <f ca="1">IF(History!Y$2="","",#REF!*$C$94)</f>
        <v>#REF!</v>
      </c>
      <c r="V94" s="11" t="e">
        <f ca="1">IF(History!Z$2="","",#REF!*$C$94)</f>
        <v>#REF!</v>
      </c>
      <c r="W94" s="11" t="e">
        <f ca="1">IF(History!AA$2="","",#REF!*$C$94)</f>
        <v>#REF!</v>
      </c>
      <c r="X94" s="11" t="e">
        <f ca="1">IF(History!AB$2="","",#REF!*$C$94)</f>
        <v>#REF!</v>
      </c>
      <c r="Y94" s="11" t="e">
        <f ca="1">IF(History!AC$2="","",#REF!*$C$94)</f>
        <v>#REF!</v>
      </c>
      <c r="Z94" s="11" t="e">
        <f ca="1">IF(History!AD$2="","",#REF!*$C$94)</f>
        <v>#REF!</v>
      </c>
      <c r="AA94" s="11" t="e">
        <f ca="1">IF(History!AE$2="","",#REF!*$C$94)</f>
        <v>#REF!</v>
      </c>
      <c r="AB94" s="11" t="e">
        <f ca="1">IF(History!AF$2="","",#REF!*$C$94)</f>
        <v>#REF!</v>
      </c>
      <c r="AC94" s="11" t="e">
        <f ca="1">IF(History!AG$2="","",#REF!*$C$94)</f>
        <v>#REF!</v>
      </c>
      <c r="AD94" s="11" t="e">
        <f ca="1">IF(History!AH$2="","",#REF!*$C$94)</f>
        <v>#REF!</v>
      </c>
      <c r="AE94" s="11" t="e">
        <f ca="1">IF(History!AI$2="","",#REF!*$C$94)</f>
        <v>#REF!</v>
      </c>
      <c r="AF94" s="11" t="e">
        <f ca="1">IF(History!AJ$2="","",#REF!*$C$94)</f>
        <v>#REF!</v>
      </c>
      <c r="AG94" s="11" t="e">
        <f ca="1">IF(History!AK$2="","",#REF!*$C$94)</f>
        <v>#REF!</v>
      </c>
      <c r="AH94" s="11" t="e">
        <f ca="1">IF(History!AL$2="","",#REF!*$C$94)</f>
        <v>#REF!</v>
      </c>
      <c r="AI94" s="11" t="e">
        <f ca="1">IF(History!AM$2="","",#REF!*$C$94)</f>
        <v>#REF!</v>
      </c>
      <c r="AJ94" s="11" t="e">
        <f ca="1">IF(History!AN$2="","",#REF!*$C$94)</f>
        <v>#REF!</v>
      </c>
      <c r="AK94" s="11" t="e">
        <f ca="1">IF(History!AO$2="","",#REF!*$C$94)</f>
        <v>#REF!</v>
      </c>
      <c r="AL94" s="11" t="e">
        <f ca="1">IF(History!AP$2="","",#REF!*$C$94)</f>
        <v>#REF!</v>
      </c>
      <c r="AM94" s="11" t="e">
        <f ca="1">IF(History!AQ$2="","",#REF!*$C$94)</f>
        <v>#REF!</v>
      </c>
      <c r="AN94" s="11" t="e">
        <f ca="1">IF(History!AR$2="","",#REF!*$C$94)</f>
        <v>#REF!</v>
      </c>
      <c r="AO94" s="11" t="e">
        <f ca="1">IF(History!AS$2="","",#REF!*$C$94)</f>
        <v>#REF!</v>
      </c>
      <c r="AP94" s="11" t="e">
        <f ca="1">IF(History!AT$2="","",#REF!*$C$94)</f>
        <v>#REF!</v>
      </c>
      <c r="AQ94" s="11" t="e">
        <f ca="1">IF(History!AU$2="","",#REF!*$C$94)</f>
        <v>#REF!</v>
      </c>
      <c r="AR94" s="11" t="e">
        <f ca="1">IF(History!AV$2="","",#REF!*$C$94)</f>
        <v>#REF!</v>
      </c>
      <c r="AS94" s="11" t="e">
        <f ca="1">IF(History!AW$2="","",#REF!*$C$94)</f>
        <v>#REF!</v>
      </c>
      <c r="AT94" s="11" t="e">
        <f ca="1">IF(History!AX$2="","",#REF!*$C$94)</f>
        <v>#REF!</v>
      </c>
      <c r="AU94" s="11" t="e">
        <f ca="1">IF(History!AY$2="","",#REF!*$C$94)</f>
        <v>#REF!</v>
      </c>
      <c r="AV94" s="11" t="e">
        <f ca="1">IF(History!AZ$2="","",#REF!*$C$94)</f>
        <v>#REF!</v>
      </c>
      <c r="AW94" s="11" t="e">
        <f ca="1">IF(History!BA$2="","",#REF!*$C$94)</f>
        <v>#REF!</v>
      </c>
      <c r="AX94" s="11" t="e">
        <f ca="1">IF(History!BB$2="","",#REF!*$C$94)</f>
        <v>#REF!</v>
      </c>
      <c r="AY94" s="11" t="e">
        <f ca="1">IF(History!BC$2="","",#REF!*$C$94)</f>
        <v>#REF!</v>
      </c>
      <c r="AZ94" s="11" t="e">
        <f ca="1">IF(History!BD$2="","",#REF!*$C$94)</f>
        <v>#REF!</v>
      </c>
      <c r="BA94" s="11" t="e">
        <f ca="1">IF(History!BE$2="","",#REF!*$C$94)</f>
        <v>#REF!</v>
      </c>
      <c r="BB94" s="11" t="e">
        <f ca="1">IF(History!BF$2="","",#REF!*$C$94)</f>
        <v>#REF!</v>
      </c>
      <c r="BC94" s="11" t="e">
        <f ca="1">IF(History!BG$2="","",#REF!*$C$94)</f>
        <v>#REF!</v>
      </c>
      <c r="BD94" s="11" t="e">
        <f ca="1">IF(History!BH$2="","",#REF!*$C$94)</f>
        <v>#REF!</v>
      </c>
      <c r="BE94" s="11" t="e">
        <f ca="1">IF(History!BI$2="","",#REF!*$C$94)</f>
        <v>#REF!</v>
      </c>
      <c r="BF94" s="11" t="e">
        <f ca="1">IF(History!BJ$2="","",#REF!*$C$94)</f>
        <v>#REF!</v>
      </c>
      <c r="BG94" s="11" t="e">
        <f ca="1">IF(History!BK$2="","",#REF!*$C$94)</f>
        <v>#REF!</v>
      </c>
      <c r="BH94" s="11" t="e">
        <f ca="1">IF(History!BL$2="","",#REF!*$C$94)</f>
        <v>#REF!</v>
      </c>
      <c r="BI94" s="11" t="e">
        <f ca="1">IF(History!BM$2="","",#REF!*$C$94)</f>
        <v>#REF!</v>
      </c>
      <c r="BJ94" s="11" t="e">
        <f ca="1">IF(History!BN$2="","",#REF!*$C$94)</f>
        <v>#REF!</v>
      </c>
      <c r="BK94" s="11" t="e">
        <f ca="1">IF(History!BO$2="","",#REF!*$C$94)</f>
        <v>#REF!</v>
      </c>
      <c r="BL94" s="11" t="e">
        <f ca="1">IF(History!BP$2="","",#REF!*$C$94)</f>
        <v>#REF!</v>
      </c>
      <c r="BM94" s="11" t="e">
        <f ca="1">IF(History!BQ$2="","",#REF!*$C$94)</f>
        <v>#REF!</v>
      </c>
      <c r="BN94" s="11" t="e">
        <f ca="1">IF(History!BR$2="","",#REF!*$C$94)</f>
        <v>#REF!</v>
      </c>
      <c r="BO94" s="11" t="e">
        <f ca="1">IF(History!BS$2="","",#REF!*$C$94)</f>
        <v>#REF!</v>
      </c>
      <c r="BP94" s="11" t="e">
        <f ca="1">IF(History!BT$2="","",#REF!*$C$94)</f>
        <v>#REF!</v>
      </c>
      <c r="BQ94" s="11" t="e">
        <f ca="1">IF(History!BU$2="","",#REF!*$C$94)</f>
        <v>#REF!</v>
      </c>
      <c r="BR94" s="11" t="e">
        <f ca="1">IF(History!BV$2="","",#REF!*$C$94)</f>
        <v>#REF!</v>
      </c>
      <c r="BS94" s="11" t="e">
        <f ca="1">IF(History!BW$2="","",#REF!*$C$94)</f>
        <v>#REF!</v>
      </c>
      <c r="BT94" s="11" t="e">
        <f ca="1">IF(History!BX$2="","",#REF!*$C$94)</f>
        <v>#REF!</v>
      </c>
      <c r="BU94" s="11" t="e">
        <f ca="1">IF(History!BY$2="","",#REF!*$C$94)</f>
        <v>#REF!</v>
      </c>
      <c r="BV94" s="11" t="e">
        <f ca="1">IF(History!BZ$2="","",#REF!*$C$94)</f>
        <v>#REF!</v>
      </c>
      <c r="BW94" s="11" t="e">
        <f ca="1">IF(History!CA$2="","",#REF!*$C$94)</f>
        <v>#REF!</v>
      </c>
      <c r="BX94" s="11" t="e">
        <f ca="1">IF(History!CB$2="","",#REF!*$C$94)</f>
        <v>#REF!</v>
      </c>
      <c r="BY94" s="11" t="e">
        <f ca="1">IF(History!CC$2="","",#REF!*$C$94)</f>
        <v>#REF!</v>
      </c>
      <c r="BZ94" s="11" t="e">
        <f ca="1">IF(History!CD$2="","",#REF!*$C$94)</f>
        <v>#REF!</v>
      </c>
      <c r="CA94" s="11" t="e">
        <f ca="1">IF(History!CE$2="","",#REF!*$C$94)</f>
        <v>#REF!</v>
      </c>
      <c r="CB94" s="11" t="e">
        <f ca="1">IF(History!CF$2="","",#REF!*$C$94)</f>
        <v>#REF!</v>
      </c>
      <c r="CC94" s="11" t="e">
        <f ca="1">IF(History!CG$2="","",#REF!*$C$94)</f>
        <v>#REF!</v>
      </c>
      <c r="CD94" s="11" t="e">
        <f ca="1">IF(History!CH$2="","",#REF!*$C$94)</f>
        <v>#REF!</v>
      </c>
      <c r="CE94" s="11" t="e">
        <f ca="1">IF(History!CI$2="","",#REF!*$C$94)</f>
        <v>#REF!</v>
      </c>
      <c r="CF94" s="11" t="str">
        <f ca="1">IF(History!CJ$2="","",#REF!*$C$94)</f>
        <v/>
      </c>
      <c r="CG94" s="11" t="str">
        <f ca="1">IF(History!CK$2="","",#REF!*$C$94)</f>
        <v/>
      </c>
      <c r="CH94" s="11" t="str">
        <f ca="1">IF(History!CL$2="","",#REF!*$C$94)</f>
        <v/>
      </c>
      <c r="CI94" s="11" t="str">
        <f ca="1">IF(History!CM$2="","",#REF!*$C$94)</f>
        <v/>
      </c>
      <c r="CJ94" s="11" t="str">
        <f ca="1">IF(History!CN$2="","",#REF!*$C$94)</f>
        <v/>
      </c>
      <c r="CK94" s="11" t="str">
        <f ca="1">IF(History!CO$2="","",#REF!*$C$94)</f>
        <v/>
      </c>
      <c r="CL94" s="11" t="str">
        <f ca="1">IF(History!CP$2="","",#REF!*$C$94)</f>
        <v/>
      </c>
      <c r="CM94" s="11" t="str">
        <f ca="1">IF(History!CQ$2="","",#REF!*$C$94)</f>
        <v/>
      </c>
      <c r="CN94" s="11" t="str">
        <f ca="1">IF(History!CR$2="","",#REF!*$C$94)</f>
        <v/>
      </c>
      <c r="CO94" s="11" t="str">
        <f ca="1">IF(History!CS$2="","",#REF!*$C$94)</f>
        <v/>
      </c>
      <c r="CP94" s="11" t="str">
        <f ca="1">IF(History!CT$2="","",#REF!*$C$94)</f>
        <v/>
      </c>
      <c r="CQ94" s="11" t="str">
        <f ca="1">IF(History!CU$2="","",#REF!*$C$94)</f>
        <v/>
      </c>
      <c r="CR94" s="11" t="str">
        <f ca="1">IF(History!CV$2="","",#REF!*$C$94)</f>
        <v/>
      </c>
      <c r="CS94" s="11" t="str">
        <f ca="1">IF(History!CW$2="","",#REF!*$C$94)</f>
        <v/>
      </c>
      <c r="CT94" s="11" t="str">
        <f ca="1">IF(History!CX$2="","",#REF!*$C$94)</f>
        <v/>
      </c>
      <c r="CU94" s="11" t="str">
        <f ca="1">IF(History!CY$2="","",#REF!*$C$94)</f>
        <v/>
      </c>
      <c r="CV94" s="11" t="str">
        <f ca="1">IF(History!CZ$2="","",#REF!*$C$94)</f>
        <v/>
      </c>
      <c r="CW94" s="11" t="str">
        <f ca="1">IF(History!DA$2="","",#REF!*$C$94)</f>
        <v/>
      </c>
      <c r="CX94" s="11" t="str">
        <f ca="1">IF(History!DB$2="","",#REF!*$C$94)</f>
        <v/>
      </c>
      <c r="CY94" s="11" t="str">
        <f ca="1">IF(History!DC$2="","",#REF!*$C$94)</f>
        <v/>
      </c>
      <c r="CZ94" s="11" t="str">
        <f ca="1">IF(History!DD$2="","",#REF!*$C$94)</f>
        <v/>
      </c>
      <c r="DA94" s="11" t="str">
        <f ca="1">IF(History!DE$2="","",#REF!*$C$94)</f>
        <v/>
      </c>
      <c r="DB94" s="11" t="str">
        <f ca="1">IF(History!DF$2="","",#REF!*$C$94)</f>
        <v/>
      </c>
      <c r="DC94" s="11" t="str">
        <f ca="1">IF(History!DG$2="","",#REF!*$C$94)</f>
        <v/>
      </c>
      <c r="DD94" s="11" t="str">
        <f ca="1">IF(History!DH$2="","",#REF!*$C$94)</f>
        <v/>
      </c>
      <c r="DE94" s="11" t="str">
        <f ca="1">IF(History!DI$2="","",#REF!*$C$94)</f>
        <v/>
      </c>
      <c r="DF94" s="11" t="str">
        <f ca="1">IF(History!DJ$2="","",#REF!*$C$94)</f>
        <v/>
      </c>
      <c r="DG94" s="11" t="str">
        <f ca="1">IF(History!DK$2="","",#REF!*$C$94)</f>
        <v/>
      </c>
      <c r="DH94" s="11" t="str">
        <f ca="1">IF(History!DL$2="","",#REF!*$C$94)</f>
        <v/>
      </c>
      <c r="DI94" s="11" t="str">
        <f ca="1">IF(History!DM$2="","",#REF!*$C$94)</f>
        <v/>
      </c>
      <c r="DJ94" s="11" t="str">
        <f ca="1">IF(History!DN$2="","",#REF!*$C$94)</f>
        <v/>
      </c>
      <c r="DK94" s="11" t="str">
        <f ca="1">IF(History!DO$2="","",#REF!*$C$94)</f>
        <v/>
      </c>
      <c r="DL94" s="11" t="str">
        <f ca="1">IF(History!DP$2="","",#REF!*$C$94)</f>
        <v/>
      </c>
      <c r="DM94" s="11" t="str">
        <f ca="1">IF(History!DQ$2="","",#REF!*$C$94)</f>
        <v/>
      </c>
      <c r="DN94" s="11" t="str">
        <f ca="1">IF(History!DR$2="","",#REF!*$C$94)</f>
        <v/>
      </c>
      <c r="DO94" s="11" t="str">
        <f ca="1">IF(History!DS$2="","",#REF!*$C$94)</f>
        <v/>
      </c>
      <c r="DP94" s="11" t="str">
        <f ca="1">IF(History!DT$2="","",#REF!*$C$94)</f>
        <v/>
      </c>
      <c r="DQ94" s="11" t="str">
        <f ca="1">IF(History!DU$2="","",#REF!*$C$94)</f>
        <v/>
      </c>
      <c r="DR94" s="11" t="str">
        <f ca="1">IF(History!DV$2="","",#REF!*$C$94)</f>
        <v/>
      </c>
      <c r="DS94" s="11" t="str">
        <f ca="1">IF(History!DW$2="","",#REF!*$C$94)</f>
        <v/>
      </c>
      <c r="DT94" s="11" t="str">
        <f ca="1">IF(History!DX$2="","",#REF!*$C$94)</f>
        <v/>
      </c>
      <c r="DU94" s="11" t="str">
        <f ca="1">IF(History!DY$2="","",#REF!*$C$94)</f>
        <v/>
      </c>
      <c r="DV94" s="11" t="str">
        <f ca="1">IF(History!DZ$2="","",#REF!*$C$94)</f>
        <v/>
      </c>
      <c r="DW94" s="11" t="str">
        <f ca="1">IF(History!EA$2="","",#REF!*$C$94)</f>
        <v/>
      </c>
      <c r="DX94" s="11" t="str">
        <f ca="1">IF(History!EB$2="","",#REF!*$C$94)</f>
        <v/>
      </c>
      <c r="DY94" s="11" t="str">
        <f ca="1">IF(History!EC$2="","",#REF!*$C$94)</f>
        <v/>
      </c>
      <c r="DZ94" s="11" t="str">
        <f ca="1">IF(History!ED$2="","",#REF!*$C$94)</f>
        <v/>
      </c>
      <c r="EA94" s="11" t="str">
        <f ca="1">IF(History!EE$2="","",#REF!*$C$94)</f>
        <v/>
      </c>
      <c r="EB94" s="11" t="str">
        <f ca="1">IF(History!EF$2="","",#REF!*$C$94)</f>
        <v/>
      </c>
      <c r="EC94" s="11" t="str">
        <f ca="1">IF(History!EG$2="","",#REF!*$C$94)</f>
        <v/>
      </c>
      <c r="ED94" s="11" t="str">
        <f ca="1">IF(History!EH$2="","",#REF!*$C$94)</f>
        <v/>
      </c>
      <c r="EE94" s="11" t="str">
        <f ca="1">IF(History!EI$2="","",#REF!*$C$94)</f>
        <v/>
      </c>
      <c r="EF94" s="11" t="str">
        <f ca="1">IF(History!EJ$2="","",#REF!*$C$94)</f>
        <v/>
      </c>
      <c r="EG94" s="11" t="str">
        <f ca="1">IF(History!EK$2="","",#REF!*$C$94)</f>
        <v/>
      </c>
      <c r="EH94" s="11" t="str">
        <f ca="1">IF(History!EL$2="","",#REF!*$C$94)</f>
        <v/>
      </c>
      <c r="EI94" s="11" t="str">
        <f ca="1">IF(History!EM$2="","",#REF!*$C$94)</f>
        <v/>
      </c>
      <c r="EJ94" s="11" t="str">
        <f ca="1">IF(History!EN$2="","",#REF!*$C$94)</f>
        <v/>
      </c>
      <c r="EK94" s="11" t="str">
        <f ca="1">IF(History!EO$2="","",#REF!*$C$94)</f>
        <v/>
      </c>
      <c r="EL94" s="11" t="str">
        <f ca="1">IF(History!EP$2="","",#REF!*$C$94)</f>
        <v/>
      </c>
      <c r="EM94" s="11" t="str">
        <f ca="1">IF(History!EQ$2="","",#REF!*$C$94)</f>
        <v/>
      </c>
      <c r="EN94" s="11" t="str">
        <f ca="1">IF(History!ER$2="","",#REF!*$C$94)</f>
        <v/>
      </c>
      <c r="EO94" s="11" t="str">
        <f ca="1">IF(History!ES$2="","",#REF!*$C$94)</f>
        <v/>
      </c>
      <c r="EP94" s="11" t="str">
        <f ca="1">IF(History!ET$2="","",#REF!*$C$94)</f>
        <v/>
      </c>
      <c r="EQ94" s="11" t="str">
        <f ca="1">IF(History!EU$2="","",#REF!*$C$94)</f>
        <v/>
      </c>
      <c r="ER94" s="11" t="str">
        <f ca="1">IF(History!EV$2="","",#REF!*$C$94)</f>
        <v/>
      </c>
      <c r="ES94" s="11" t="str">
        <f ca="1">IF(History!EW$2="","",#REF!*$C$94)</f>
        <v/>
      </c>
      <c r="ET94" s="11" t="str">
        <f ca="1">IF(History!EX$2="","",#REF!*$C$94)</f>
        <v/>
      </c>
      <c r="EU94" s="11" t="str">
        <f ca="1">IF(History!EY$2="","",#REF!*$C$94)</f>
        <v/>
      </c>
      <c r="EV94" s="11" t="str">
        <f ca="1">IF(History!EZ$2="","",#REF!*$C$94)</f>
        <v/>
      </c>
      <c r="EW94" s="11" t="str">
        <f ca="1">IF(History!FA$2="","",#REF!*$C$94)</f>
        <v/>
      </c>
      <c r="EX94" s="11" t="str">
        <f ca="1">IF(History!FB$2="","",#REF!*$C$94)</f>
        <v/>
      </c>
      <c r="EY94" s="11" t="str">
        <f ca="1">IF(History!FC$2="","",#REF!*$C$94)</f>
        <v/>
      </c>
      <c r="EZ94" s="11" t="str">
        <f ca="1">IF(History!FD$2="","",#REF!*$C$94)</f>
        <v/>
      </c>
      <c r="FA94" s="11" t="str">
        <f ca="1">IF(History!FE$2="","",#REF!*$C$94)</f>
        <v/>
      </c>
      <c r="FB94" s="11" t="str">
        <f ca="1">IF(History!FF$2="","",#REF!*$C$94)</f>
        <v/>
      </c>
      <c r="FC94" s="11" t="str">
        <f ca="1">IF(History!FG$2="","",#REF!*$C$94)</f>
        <v/>
      </c>
      <c r="FD94" s="11" t="str">
        <f ca="1">IF(History!FH$2="","",#REF!*$C$94)</f>
        <v/>
      </c>
      <c r="FE94" s="11" t="str">
        <f ca="1">IF(History!FI$2="","",#REF!*$C$94)</f>
        <v/>
      </c>
      <c r="FF94" s="11" t="str">
        <f ca="1">IF(History!FJ$2="","",#REF!*$C$94)</f>
        <v/>
      </c>
      <c r="FG94" s="11" t="str">
        <f ca="1">IF(History!FK$2="","",#REF!*$C$94)</f>
        <v/>
      </c>
      <c r="FH94" s="11" t="str">
        <f ca="1">IF(History!FL$2="","",#REF!*$C$94)</f>
        <v/>
      </c>
      <c r="FI94" s="11" t="str">
        <f ca="1">IF(History!FM$2="","",#REF!*$C$94)</f>
        <v/>
      </c>
      <c r="FJ94" s="11" t="str">
        <f ca="1">IF(History!FN$2="","",#REF!*$C$94)</f>
        <v/>
      </c>
      <c r="FK94" s="11" t="str">
        <f ca="1">IF(History!FO$2="","",#REF!*$C$94)</f>
        <v/>
      </c>
      <c r="FL94" s="11" t="str">
        <f ca="1">IF(History!FP$2="","",#REF!*$C$94)</f>
        <v/>
      </c>
      <c r="FM94" s="11" t="str">
        <f ca="1">IF(History!FQ$2="","",#REF!*$C$94)</f>
        <v/>
      </c>
      <c r="FN94" s="11" t="str">
        <f ca="1">IF(History!FR$2="","",#REF!*$C$94)</f>
        <v/>
      </c>
      <c r="FO94" s="11" t="str">
        <f ca="1">IF(History!FS$2="","",#REF!*$C$94)</f>
        <v/>
      </c>
      <c r="FP94" s="11" t="str">
        <f ca="1">IF(History!FT$2="","",#REF!*$C$94)</f>
        <v/>
      </c>
      <c r="FQ94" s="11" t="str">
        <f ca="1">IF(History!FU$2="","",#REF!*$C$94)</f>
        <v/>
      </c>
      <c r="FR94" s="11" t="str">
        <f ca="1">IF(History!FV$2="","",#REF!*$C$94)</f>
        <v/>
      </c>
      <c r="FS94" s="11" t="str">
        <f ca="1">IF(History!FW$2="","",#REF!*$C$94)</f>
        <v/>
      </c>
      <c r="FT94" s="11" t="str">
        <f ca="1">IF(History!FX$2="","",#REF!*$C$94)</f>
        <v/>
      </c>
      <c r="FU94" s="11" t="str">
        <f ca="1">IF(History!FY$2="","",#REF!*$C$94)</f>
        <v/>
      </c>
      <c r="FV94" s="11" t="str">
        <f ca="1">IF(History!FZ$2="","",#REF!*$C$94)</f>
        <v/>
      </c>
      <c r="FW94" s="11" t="str">
        <f ca="1">IF(History!GA$2="","",#REF!*$C$94)</f>
        <v/>
      </c>
      <c r="FX94" s="11" t="str">
        <f ca="1">IF(History!GB$2="","",#REF!*$C$94)</f>
        <v/>
      </c>
      <c r="FY94" s="11" t="str">
        <f ca="1">IF(History!GC$2="","",#REF!*$C$94)</f>
        <v/>
      </c>
      <c r="FZ94" s="11" t="str">
        <f ca="1">IF(History!GD$2="","",#REF!*$C$94)</f>
        <v/>
      </c>
      <c r="GA94" s="11" t="str">
        <f ca="1">IF(History!GE$2="","",#REF!*$C$94)</f>
        <v/>
      </c>
      <c r="GB94" s="11" t="str">
        <f ca="1">IF(History!GF$2="","",#REF!*$C$94)</f>
        <v/>
      </c>
      <c r="GC94" s="11" t="str">
        <f ca="1">IF(History!GG$2="","",#REF!*$C$94)</f>
        <v/>
      </c>
      <c r="GD94" s="11" t="str">
        <f ca="1">IF(History!GH$2="","",#REF!*$C$94)</f>
        <v/>
      </c>
      <c r="GE94" s="11" t="str">
        <f ca="1">IF(History!GI$2="","",#REF!*$C$94)</f>
        <v/>
      </c>
      <c r="GF94" s="11" t="str">
        <f ca="1">IF(History!GJ$2="","",#REF!*$C$94)</f>
        <v/>
      </c>
      <c r="GG94" s="11" t="str">
        <f ca="1">IF(History!GK$2="","",#REF!*$C$94)</f>
        <v/>
      </c>
      <c r="GH94" s="11" t="str">
        <f ca="1">IF(History!GL$2="","",#REF!*$C$94)</f>
        <v/>
      </c>
      <c r="GI94" s="11" t="str">
        <f ca="1">IF(History!GM$2="","",#REF!*$C$94)</f>
        <v/>
      </c>
      <c r="GJ94" s="11" t="str">
        <f ca="1">IF(History!GN$2="","",#REF!*$C$94)</f>
        <v/>
      </c>
      <c r="GK94" s="11" t="str">
        <f ca="1">IF(History!GO$2="","",#REF!*$C$94)</f>
        <v/>
      </c>
      <c r="GL94" s="11" t="str">
        <f ca="1">IF(History!GP$2="","",#REF!*$C$94)</f>
        <v/>
      </c>
      <c r="GM94" s="11" t="str">
        <f ca="1">IF(History!GQ$2="","",#REF!*$C$94)</f>
        <v/>
      </c>
      <c r="GN94" s="11" t="str">
        <f ca="1">IF(History!GR$2="","",#REF!*$C$94)</f>
        <v/>
      </c>
      <c r="GO94" s="11" t="str">
        <f ca="1">IF(History!GS$2="","",#REF!*$C$94)</f>
        <v/>
      </c>
      <c r="GP94" s="11" t="str">
        <f ca="1">IF(History!GT$2="","",#REF!*$C$94)</f>
        <v/>
      </c>
      <c r="GQ94" s="11" t="str">
        <f ca="1">IF(History!GU$2="","",#REF!*$C$94)</f>
        <v/>
      </c>
      <c r="GR94" s="11" t="str">
        <f ca="1">IF(History!GV$2="","",#REF!*$C$94)</f>
        <v/>
      </c>
      <c r="GS94" s="11" t="str">
        <f ca="1">IF(History!GW$2="","",#REF!*$C$94)</f>
        <v/>
      </c>
      <c r="GT94" s="11" t="str">
        <f ca="1">IF(History!GX$2="","",#REF!*$C$94)</f>
        <v/>
      </c>
      <c r="GU94" s="11" t="str">
        <f ca="1">IF(History!GY$2="","",#REF!*$C$94)</f>
        <v/>
      </c>
      <c r="GV94" s="11" t="str">
        <f ca="1">IF(History!GZ$2="","",#REF!*$C$94)</f>
        <v/>
      </c>
      <c r="GW94" s="11" t="str">
        <f ca="1">IF(History!HA$2="","",#REF!*$C$94)</f>
        <v/>
      </c>
      <c r="GX94" s="11" t="str">
        <f ca="1">IF(History!HB$2="","",#REF!*$C$94)</f>
        <v/>
      </c>
      <c r="GY94" s="11" t="str">
        <f ca="1">IF(History!HC$2="","",#REF!*$C$94)</f>
        <v/>
      </c>
      <c r="GZ94" s="11" t="str">
        <f ca="1">IF(History!HD$2="","",#REF!*$C$94)</f>
        <v/>
      </c>
      <c r="HA94" s="11" t="str">
        <f ca="1">IF(History!HE$2="","",#REF!*$C$94)</f>
        <v/>
      </c>
      <c r="HB94" s="11" t="str">
        <f ca="1">IF(History!HF$2="","",#REF!*$C$94)</f>
        <v/>
      </c>
      <c r="HC94" s="11" t="str">
        <f ca="1">IF(History!HG$2="","",#REF!*$C$94)</f>
        <v/>
      </c>
      <c r="HD94" s="11" t="str">
        <f ca="1">IF(History!HH$2="","",#REF!*$C$94)</f>
        <v/>
      </c>
      <c r="HE94" s="11" t="str">
        <f ca="1">IF(History!HI$2="","",#REF!*$C$94)</f>
        <v/>
      </c>
      <c r="HF94" s="11" t="str">
        <f ca="1">IF(History!HJ$2="","",#REF!*$C$94)</f>
        <v/>
      </c>
      <c r="HG94" s="11" t="str">
        <f ca="1">IF(History!HK$2="","",#REF!*$C$94)</f>
        <v/>
      </c>
      <c r="HH94" s="11" t="str">
        <f ca="1">IF(History!HL$2="","",#REF!*$C$94)</f>
        <v/>
      </c>
      <c r="HI94" s="11" t="str">
        <f ca="1">IF(History!HM$2="","",#REF!*$C$94)</f>
        <v/>
      </c>
      <c r="HJ94" s="11" t="str">
        <f ca="1">IF(History!HN$2="","",#REF!*$C$94)</f>
        <v/>
      </c>
      <c r="HK94" s="11" t="str">
        <f ca="1">IF(History!HO$2="","",#REF!*$C$94)</f>
        <v/>
      </c>
      <c r="HL94" s="11" t="str">
        <f ca="1">IF(History!HP$2="","",#REF!*$C$94)</f>
        <v/>
      </c>
      <c r="HM94" s="11" t="str">
        <f ca="1">IF(History!HQ$2="","",#REF!*$C$94)</f>
        <v/>
      </c>
      <c r="HN94" s="11" t="str">
        <f ca="1">IF(History!HR$2="","",#REF!*$C$94)</f>
        <v/>
      </c>
      <c r="HO94" s="11" t="str">
        <f ca="1">IF(History!HS$2="","",#REF!*$C$94)</f>
        <v/>
      </c>
      <c r="HP94" s="11" t="str">
        <f ca="1">IF(History!HT$2="","",#REF!*$C$94)</f>
        <v/>
      </c>
      <c r="HQ94" s="11" t="str">
        <f ca="1">IF(History!HU$2="","",#REF!*$C$94)</f>
        <v/>
      </c>
      <c r="HR94" s="11" t="str">
        <f ca="1">IF(History!HV$2="","",#REF!*$C$94)</f>
        <v/>
      </c>
      <c r="HS94" s="11" t="str">
        <f ca="1">IF(History!HW$2="","",#REF!*$C$94)</f>
        <v/>
      </c>
      <c r="HT94" s="11" t="str">
        <f ca="1">IF(History!HX$2="","",#REF!*$C$94)</f>
        <v/>
      </c>
      <c r="HU94" s="11" t="str">
        <f ca="1">IF(History!HY$2="","",#REF!*$C$94)</f>
        <v/>
      </c>
      <c r="HV94" s="11" t="str">
        <f ca="1">IF(History!HZ$2="","",#REF!*$C$94)</f>
        <v/>
      </c>
      <c r="HW94" s="11" t="str">
        <f ca="1">IF(History!IA$2="","",#REF!*$C$94)</f>
        <v/>
      </c>
      <c r="HX94" s="11" t="str">
        <f ca="1">IF(History!IB$2="","",#REF!*$C$94)</f>
        <v/>
      </c>
      <c r="HY94" s="11" t="str">
        <f ca="1">IF(History!IC$2="","",#REF!*$C$94)</f>
        <v/>
      </c>
      <c r="HZ94" s="11" t="str">
        <f ca="1">IF(History!ID$2="","",#REF!*$C$94)</f>
        <v/>
      </c>
      <c r="IA94" s="11" t="str">
        <f ca="1">IF(History!IE$2="","",#REF!*$C$94)</f>
        <v/>
      </c>
      <c r="IB94" s="11" t="str">
        <f ca="1">IF(History!IF$2="","",#REF!*$C$94)</f>
        <v/>
      </c>
      <c r="IC94" s="11" t="str">
        <f ca="1">IF(History!IG$2="","",#REF!*$C$94)</f>
        <v/>
      </c>
      <c r="ID94" s="11" t="str">
        <f ca="1">IF(History!IH$2="","",#REF!*$C$94)</f>
        <v/>
      </c>
      <c r="IE94" s="11" t="str">
        <f ca="1">IF(History!II$2="","",#REF!*$C$94)</f>
        <v/>
      </c>
      <c r="IF94" s="11" t="str">
        <f ca="1">IF(History!IJ$2="","",#REF!*$C$94)</f>
        <v/>
      </c>
      <c r="IG94" s="11" t="str">
        <f ca="1">IF(History!IK$2="","",#REF!*$C$94)</f>
        <v/>
      </c>
      <c r="IH94" s="11" t="str">
        <f ca="1">IF(History!IL$2="","",#REF!*$C$94)</f>
        <v/>
      </c>
      <c r="II94" s="11" t="str">
        <f ca="1">IF(History!IM$2="","",#REF!*$C$94)</f>
        <v/>
      </c>
      <c r="IJ94" s="11" t="str">
        <f ca="1">IF(History!IN$2="","",#REF!*$C$94)</f>
        <v/>
      </c>
      <c r="IK94" s="11" t="str">
        <f ca="1">IF(History!IO$2="","",#REF!*$C$94)</f>
        <v/>
      </c>
      <c r="IL94" s="11" t="str">
        <f ca="1">IF(History!IP$2="","",#REF!*$C$94)</f>
        <v/>
      </c>
      <c r="IM94" s="11" t="str">
        <f ca="1">IF(History!IQ$2="","",#REF!*$C$94)</f>
        <v/>
      </c>
      <c r="IN94" s="11" t="str">
        <f ca="1">IF(History!IR$2="","",#REF!*$C$94)</f>
        <v/>
      </c>
      <c r="IO94" s="11" t="str">
        <f ca="1">IF(History!IS$2="","",#REF!*$C$94)</f>
        <v/>
      </c>
      <c r="IP94" s="11" t="str">
        <f ca="1">IF(History!IT$2="","",#REF!*$C$94)</f>
        <v/>
      </c>
      <c r="IQ94" s="11" t="str">
        <f ca="1">IF(History!IU$2="","",#REF!*$C$94)</f>
        <v/>
      </c>
      <c r="IR94" s="11" t="str">
        <f ca="1">IF(History!IV$2="","",#REF!*$C$94)</f>
        <v/>
      </c>
      <c r="IS94" s="11" t="str">
        <f ca="1">IF(History!IW$2="","",#REF!*$C$94)</f>
        <v/>
      </c>
      <c r="IT94" s="11" t="str">
        <f ca="1">IF(History!IX$2="","",#REF!*$C$94)</f>
        <v/>
      </c>
      <c r="IU94" s="11" t="str">
        <f ca="1">IF(History!IY$2="","",#REF!*$C$94)</f>
        <v/>
      </c>
      <c r="IV94" s="11" t="str">
        <f ca="1">IF(History!IZ$2="","",#REF!*$C$94)</f>
        <v/>
      </c>
      <c r="IW94" s="11" t="str">
        <f ca="1">IF(History!JA$2="","",#REF!*$C$94)</f>
        <v/>
      </c>
      <c r="IX94" s="11" t="str">
        <f ca="1">IF(History!JB$2="","",#REF!*$C$94)</f>
        <v/>
      </c>
      <c r="IY94" s="11" t="str">
        <f ca="1">IF(History!JC$2="","",#REF!*$C$94)</f>
        <v/>
      </c>
      <c r="IZ94" s="11" t="str">
        <f ca="1">IF(History!JD$2="","",#REF!*$C$94)</f>
        <v/>
      </c>
      <c r="JA94" s="11" t="str">
        <f ca="1">IF(History!JE$2="","",#REF!*$C$94)</f>
        <v/>
      </c>
      <c r="JB94" s="11" t="str">
        <f ca="1">IF(History!JF$2="","",#REF!*$C$94)</f>
        <v/>
      </c>
      <c r="JC94" s="11" t="str">
        <f ca="1">IF(History!JG$2="","",#REF!*$C$94)</f>
        <v/>
      </c>
      <c r="JD94" s="11" t="str">
        <f ca="1">IF(History!JH$2="","",#REF!*$C$94)</f>
        <v/>
      </c>
      <c r="JE94" s="11" t="str">
        <f ca="1">IF(History!JI$2="","",#REF!*$C$94)</f>
        <v/>
      </c>
      <c r="JF94" s="11" t="str">
        <f ca="1">IF(History!JJ$2="","",#REF!*$C$94)</f>
        <v/>
      </c>
      <c r="JG94" s="11" t="str">
        <f ca="1">IF(History!JK$2="","",#REF!*$C$94)</f>
        <v/>
      </c>
      <c r="JH94" s="11" t="str">
        <f ca="1">IF(History!JL$2="","",#REF!*$C$94)</f>
        <v/>
      </c>
      <c r="JI94" s="11" t="str">
        <f ca="1">IF(History!JM$2="","",#REF!*$C$94)</f>
        <v/>
      </c>
      <c r="JJ94" s="11" t="str">
        <f ca="1">IF(History!JN$2="","",#REF!*$C$94)</f>
        <v/>
      </c>
      <c r="JK94" s="11" t="str">
        <f ca="1">IF(History!JO$2="","",#REF!*$C$94)</f>
        <v/>
      </c>
      <c r="JL94" s="11" t="str">
        <f ca="1">IF(History!JP$2="","",#REF!*$C$94)</f>
        <v/>
      </c>
      <c r="JM94" s="11" t="str">
        <f ca="1">IF(History!JQ$2="","",#REF!*$C$94)</f>
        <v/>
      </c>
      <c r="JN94" s="11" t="str">
        <f ca="1">IF(History!JR$2="","",#REF!*$C$94)</f>
        <v/>
      </c>
      <c r="JO94" s="11" t="str">
        <f ca="1">IF(History!JS$2="","",#REF!*$C$94)</f>
        <v/>
      </c>
      <c r="JP94" s="11" t="str">
        <f ca="1">IF(History!JT$2="","",#REF!*$C$94)</f>
        <v/>
      </c>
      <c r="JQ94" s="11" t="str">
        <f ca="1">IF(History!JU$2="","",#REF!*$C$94)</f>
        <v/>
      </c>
      <c r="JR94" s="11" t="str">
        <f ca="1">IF(History!JV$2="","",#REF!*$C$94)</f>
        <v/>
      </c>
      <c r="JS94" s="11" t="str">
        <f ca="1">IF(History!JW$2="","",#REF!*$C$94)</f>
        <v/>
      </c>
      <c r="JT94" s="11" t="str">
        <f ca="1">IF(History!JX$2="","",#REF!*$C$94)</f>
        <v/>
      </c>
      <c r="JU94" s="11" t="str">
        <f ca="1">IF(History!JY$2="","",#REF!*$C$94)</f>
        <v/>
      </c>
      <c r="JV94" s="11" t="str">
        <f ca="1">IF(History!JZ$2="","",#REF!*$C$94)</f>
        <v/>
      </c>
      <c r="JW94" s="11" t="str">
        <f ca="1">IF(History!KA$2="","",#REF!*$C$94)</f>
        <v/>
      </c>
      <c r="JX94" s="11" t="str">
        <f ca="1">IF(History!KB$2="","",#REF!*$C$94)</f>
        <v/>
      </c>
      <c r="JY94" s="11" t="str">
        <f ca="1">IF(History!KC$2="","",#REF!*$C$94)</f>
        <v/>
      </c>
      <c r="JZ94" s="11" t="str">
        <f ca="1">IF(History!KD$2="","",#REF!*$C$94)</f>
        <v/>
      </c>
      <c r="KA94" s="11" t="str">
        <f ca="1">IF(History!KE$2="","",#REF!*$C$94)</f>
        <v/>
      </c>
      <c r="KB94" s="11" t="str">
        <f ca="1">IF(History!KF$2="","",#REF!*$C$94)</f>
        <v/>
      </c>
    </row>
    <row r="95" spans="1:288" ht="13">
      <c r="A95" s="18" t="s">
        <v>140</v>
      </c>
      <c r="B95" s="6" t="s">
        <v>172</v>
      </c>
      <c r="C95" s="26">
        <v>98</v>
      </c>
      <c r="D95" s="11" t="e">
        <f ca="1">IF(History!H$2="","",#REF!*$C$95)</f>
        <v>#REF!</v>
      </c>
      <c r="E95" s="11" t="e">
        <f ca="1">IF(History!I$2="","",#REF!*$C$95)</f>
        <v>#REF!</v>
      </c>
      <c r="F95" s="11" t="e">
        <f ca="1">IF(History!J$2="","",#REF!*$C$95)</f>
        <v>#REF!</v>
      </c>
      <c r="G95" s="11" t="e">
        <f ca="1">IF(History!K$2="","",#REF!*$C$95)</f>
        <v>#REF!</v>
      </c>
      <c r="H95" s="11" t="e">
        <f ca="1">IF(History!L$2="","",#REF!*$C$95)</f>
        <v>#REF!</v>
      </c>
      <c r="I95" s="11" t="e">
        <f ca="1">IF(History!M$2="","",#REF!*$C$95)</f>
        <v>#REF!</v>
      </c>
      <c r="J95" s="11" t="e">
        <f ca="1">IF(History!N$2="","",#REF!*$C$95)</f>
        <v>#REF!</v>
      </c>
      <c r="K95" s="11" t="e">
        <f ca="1">IF(History!O$2="","",#REF!*$C$95)</f>
        <v>#REF!</v>
      </c>
      <c r="L95" s="11" t="e">
        <f ca="1">IF(History!P$2="","",#REF!*$C$95)</f>
        <v>#REF!</v>
      </c>
      <c r="M95" s="11" t="e">
        <f ca="1">IF(History!Q$2="","",#REF!*$C$95)</f>
        <v>#REF!</v>
      </c>
      <c r="N95" s="11" t="e">
        <f ca="1">IF(History!R$2="","",#REF!*$C$95)</f>
        <v>#REF!</v>
      </c>
      <c r="O95" s="11" t="e">
        <f ca="1">IF(History!S$2="","",#REF!*$C$95)</f>
        <v>#REF!</v>
      </c>
      <c r="P95" s="11" t="e">
        <f ca="1">IF(History!T$2="","",#REF!*$C$95)</f>
        <v>#REF!</v>
      </c>
      <c r="Q95" s="11" t="e">
        <f ca="1">IF(History!U$2="","",#REF!*$C$95)</f>
        <v>#REF!</v>
      </c>
      <c r="R95" s="11" t="e">
        <f ca="1">IF(History!V$2="","",#REF!*$C$95)</f>
        <v>#REF!</v>
      </c>
      <c r="S95" s="11" t="e">
        <f ca="1">IF(History!W$2="","",#REF!*$C$95)</f>
        <v>#REF!</v>
      </c>
      <c r="T95" s="11" t="e">
        <f ca="1">IF(History!X$2="","",#REF!*$C$95)</f>
        <v>#REF!</v>
      </c>
      <c r="U95" s="11" t="e">
        <f ca="1">IF(History!Y$2="","",#REF!*$C$95)</f>
        <v>#REF!</v>
      </c>
      <c r="V95" s="11" t="e">
        <f ca="1">IF(History!Z$2="","",#REF!*$C$95)</f>
        <v>#REF!</v>
      </c>
      <c r="W95" s="11" t="e">
        <f ca="1">IF(History!AA$2="","",#REF!*$C$95)</f>
        <v>#REF!</v>
      </c>
      <c r="X95" s="11" t="e">
        <f ca="1">IF(History!AB$2="","",#REF!*$C$95)</f>
        <v>#REF!</v>
      </c>
      <c r="Y95" s="11" t="e">
        <f ca="1">IF(History!AC$2="","",#REF!*$C$95)</f>
        <v>#REF!</v>
      </c>
      <c r="Z95" s="11" t="e">
        <f ca="1">IF(History!AD$2="","",#REF!*$C$95)</f>
        <v>#REF!</v>
      </c>
      <c r="AA95" s="11" t="e">
        <f ca="1">IF(History!AE$2="","",#REF!*$C$95)</f>
        <v>#REF!</v>
      </c>
      <c r="AB95" s="11" t="e">
        <f ca="1">IF(History!AF$2="","",#REF!*$C$95)</f>
        <v>#REF!</v>
      </c>
      <c r="AC95" s="11" t="e">
        <f ca="1">IF(History!AG$2="","",#REF!*$C$95)</f>
        <v>#REF!</v>
      </c>
      <c r="AD95" s="11" t="e">
        <f ca="1">IF(History!AH$2="","",#REF!*$C$95)</f>
        <v>#REF!</v>
      </c>
      <c r="AE95" s="11" t="e">
        <f ca="1">IF(History!AI$2="","",#REF!*$C$95)</f>
        <v>#REF!</v>
      </c>
      <c r="AF95" s="11" t="e">
        <f ca="1">IF(History!AJ$2="","",#REF!*$C$95)</f>
        <v>#REF!</v>
      </c>
      <c r="AG95" s="11" t="e">
        <f ca="1">IF(History!AK$2="","",#REF!*$C$95)</f>
        <v>#REF!</v>
      </c>
      <c r="AH95" s="11" t="e">
        <f ca="1">IF(History!AL$2="","",#REF!*$C$95)</f>
        <v>#REF!</v>
      </c>
      <c r="AI95" s="11" t="e">
        <f ca="1">IF(History!AM$2="","",#REF!*$C$95)</f>
        <v>#REF!</v>
      </c>
      <c r="AJ95" s="11" t="e">
        <f ca="1">IF(History!AN$2="","",#REF!*$C$95)</f>
        <v>#REF!</v>
      </c>
      <c r="AK95" s="11" t="e">
        <f ca="1">IF(History!AO$2="","",#REF!*$C$95)</f>
        <v>#REF!</v>
      </c>
      <c r="AL95" s="11" t="e">
        <f ca="1">IF(History!AP$2="","",#REF!*$C$95)</f>
        <v>#REF!</v>
      </c>
      <c r="AM95" s="11" t="e">
        <f ca="1">IF(History!AQ$2="","",#REF!*$C$95)</f>
        <v>#REF!</v>
      </c>
      <c r="AN95" s="11" t="e">
        <f ca="1">IF(History!AR$2="","",#REF!*$C$95)</f>
        <v>#REF!</v>
      </c>
      <c r="AO95" s="11" t="e">
        <f ca="1">IF(History!AS$2="","",#REF!*$C$95)</f>
        <v>#REF!</v>
      </c>
      <c r="AP95" s="11" t="e">
        <f ca="1">IF(History!AT$2="","",#REF!*$C$95)</f>
        <v>#REF!</v>
      </c>
      <c r="AQ95" s="11" t="e">
        <f ca="1">IF(History!AU$2="","",#REF!*$C$95)</f>
        <v>#REF!</v>
      </c>
      <c r="AR95" s="11" t="e">
        <f ca="1">IF(History!AV$2="","",#REF!*$C$95)</f>
        <v>#REF!</v>
      </c>
      <c r="AS95" s="11" t="e">
        <f ca="1">IF(History!AW$2="","",#REF!*$C$95)</f>
        <v>#REF!</v>
      </c>
      <c r="AT95" s="11" t="e">
        <f ca="1">IF(History!AX$2="","",#REF!*$C$95)</f>
        <v>#REF!</v>
      </c>
      <c r="AU95" s="11" t="e">
        <f ca="1">IF(History!AY$2="","",#REF!*$C$95)</f>
        <v>#REF!</v>
      </c>
      <c r="AV95" s="11" t="e">
        <f ca="1">IF(History!AZ$2="","",#REF!*$C$95)</f>
        <v>#REF!</v>
      </c>
      <c r="AW95" s="11" t="e">
        <f ca="1">IF(History!BA$2="","",#REF!*$C$95)</f>
        <v>#REF!</v>
      </c>
      <c r="AX95" s="11" t="e">
        <f ca="1">IF(History!BB$2="","",#REF!*$C$95)</f>
        <v>#REF!</v>
      </c>
      <c r="AY95" s="11" t="e">
        <f ca="1">IF(History!BC$2="","",#REF!*$C$95)</f>
        <v>#REF!</v>
      </c>
      <c r="AZ95" s="11" t="e">
        <f ca="1">IF(History!BD$2="","",#REF!*$C$95)</f>
        <v>#REF!</v>
      </c>
      <c r="BA95" s="11" t="e">
        <f ca="1">IF(History!BE$2="","",#REF!*$C$95)</f>
        <v>#REF!</v>
      </c>
      <c r="BB95" s="11" t="e">
        <f ca="1">IF(History!BF$2="","",#REF!*$C$95)</f>
        <v>#REF!</v>
      </c>
      <c r="BC95" s="11" t="e">
        <f ca="1">IF(History!BG$2="","",#REF!*$C$95)</f>
        <v>#REF!</v>
      </c>
      <c r="BD95" s="11" t="e">
        <f ca="1">IF(History!BH$2="","",#REF!*$C$95)</f>
        <v>#REF!</v>
      </c>
      <c r="BE95" s="11" t="e">
        <f ca="1">IF(History!BI$2="","",#REF!*$C$95)</f>
        <v>#REF!</v>
      </c>
      <c r="BF95" s="11" t="e">
        <f ca="1">IF(History!BJ$2="","",#REF!*$C$95)</f>
        <v>#REF!</v>
      </c>
      <c r="BG95" s="11" t="e">
        <f ca="1">IF(History!BK$2="","",#REF!*$C$95)</f>
        <v>#REF!</v>
      </c>
      <c r="BH95" s="11" t="e">
        <f ca="1">IF(History!BL$2="","",#REF!*$C$95)</f>
        <v>#REF!</v>
      </c>
      <c r="BI95" s="11" t="e">
        <f ca="1">IF(History!BM$2="","",#REF!*$C$95)</f>
        <v>#REF!</v>
      </c>
      <c r="BJ95" s="11" t="e">
        <f ca="1">IF(History!BN$2="","",#REF!*$C$95)</f>
        <v>#REF!</v>
      </c>
      <c r="BK95" s="11" t="e">
        <f ca="1">IF(History!BO$2="","",#REF!*$C$95)</f>
        <v>#REF!</v>
      </c>
      <c r="BL95" s="11" t="e">
        <f ca="1">IF(History!BP$2="","",#REF!*$C$95)</f>
        <v>#REF!</v>
      </c>
      <c r="BM95" s="11" t="e">
        <f ca="1">IF(History!BQ$2="","",#REF!*$C$95)</f>
        <v>#REF!</v>
      </c>
      <c r="BN95" s="11" t="e">
        <f ca="1">IF(History!BR$2="","",#REF!*$C$95)</f>
        <v>#REF!</v>
      </c>
      <c r="BO95" s="11" t="e">
        <f ca="1">IF(History!BS$2="","",#REF!*$C$95)</f>
        <v>#REF!</v>
      </c>
      <c r="BP95" s="11" t="e">
        <f ca="1">IF(History!BT$2="","",#REF!*$C$95)</f>
        <v>#REF!</v>
      </c>
      <c r="BQ95" s="11" t="e">
        <f ca="1">IF(History!BU$2="","",#REF!*$C$95)</f>
        <v>#REF!</v>
      </c>
      <c r="BR95" s="11" t="e">
        <f ca="1">IF(History!BV$2="","",#REF!*$C$95)</f>
        <v>#REF!</v>
      </c>
      <c r="BS95" s="11" t="e">
        <f ca="1">IF(History!BW$2="","",#REF!*$C$95)</f>
        <v>#REF!</v>
      </c>
      <c r="BT95" s="11" t="e">
        <f ca="1">IF(History!BX$2="","",#REF!*$C$95)</f>
        <v>#REF!</v>
      </c>
      <c r="BU95" s="11" t="e">
        <f ca="1">IF(History!BY$2="","",#REF!*$C$95)</f>
        <v>#REF!</v>
      </c>
      <c r="BV95" s="11" t="e">
        <f ca="1">IF(History!BZ$2="","",#REF!*$C$95)</f>
        <v>#REF!</v>
      </c>
      <c r="BW95" s="11" t="e">
        <f ca="1">IF(History!CA$2="","",#REF!*$C$95)</f>
        <v>#REF!</v>
      </c>
      <c r="BX95" s="11" t="e">
        <f ca="1">IF(History!CB$2="","",#REF!*$C$95)</f>
        <v>#REF!</v>
      </c>
      <c r="BY95" s="11" t="e">
        <f ca="1">IF(History!CC$2="","",#REF!*$C$95)</f>
        <v>#REF!</v>
      </c>
      <c r="BZ95" s="11" t="e">
        <f ca="1">IF(History!CD$2="","",#REF!*$C$95)</f>
        <v>#REF!</v>
      </c>
      <c r="CA95" s="11" t="e">
        <f ca="1">IF(History!CE$2="","",#REF!*$C$95)</f>
        <v>#REF!</v>
      </c>
      <c r="CB95" s="11" t="e">
        <f ca="1">IF(History!CF$2="","",#REF!*$C$95)</f>
        <v>#REF!</v>
      </c>
      <c r="CC95" s="11" t="e">
        <f ca="1">IF(History!CG$2="","",#REF!*$C$95)</f>
        <v>#REF!</v>
      </c>
      <c r="CD95" s="11" t="e">
        <f ca="1">IF(History!CH$2="","",#REF!*$C$95)</f>
        <v>#REF!</v>
      </c>
      <c r="CE95" s="11" t="e">
        <f ca="1">IF(History!CI$2="","",#REF!*$C$95)</f>
        <v>#REF!</v>
      </c>
      <c r="CF95" s="11" t="str">
        <f ca="1">IF(History!CJ$2="","",#REF!*$C$95)</f>
        <v/>
      </c>
      <c r="CG95" s="11" t="str">
        <f ca="1">IF(History!CK$2="","",#REF!*$C$95)</f>
        <v/>
      </c>
      <c r="CH95" s="11" t="str">
        <f ca="1">IF(History!CL$2="","",#REF!*$C$95)</f>
        <v/>
      </c>
      <c r="CI95" s="11" t="str">
        <f ca="1">IF(History!CM$2="","",#REF!*$C$95)</f>
        <v/>
      </c>
      <c r="CJ95" s="11" t="str">
        <f ca="1">IF(History!CN$2="","",#REF!*$C$95)</f>
        <v/>
      </c>
      <c r="CK95" s="11" t="str">
        <f ca="1">IF(History!CO$2="","",#REF!*$C$95)</f>
        <v/>
      </c>
      <c r="CL95" s="11" t="str">
        <f ca="1">IF(History!CP$2="","",#REF!*$C$95)</f>
        <v/>
      </c>
      <c r="CM95" s="11" t="str">
        <f ca="1">IF(History!CQ$2="","",#REF!*$C$95)</f>
        <v/>
      </c>
      <c r="CN95" s="11" t="str">
        <f ca="1">IF(History!CR$2="","",#REF!*$C$95)</f>
        <v/>
      </c>
      <c r="CO95" s="11" t="str">
        <f ca="1">IF(History!CS$2="","",#REF!*$C$95)</f>
        <v/>
      </c>
      <c r="CP95" s="11" t="str">
        <f ca="1">IF(History!CT$2="","",#REF!*$C$95)</f>
        <v/>
      </c>
      <c r="CQ95" s="11" t="str">
        <f ca="1">IF(History!CU$2="","",#REF!*$C$95)</f>
        <v/>
      </c>
      <c r="CR95" s="11" t="str">
        <f ca="1">IF(History!CV$2="","",#REF!*$C$95)</f>
        <v/>
      </c>
      <c r="CS95" s="11" t="str">
        <f ca="1">IF(History!CW$2="","",#REF!*$C$95)</f>
        <v/>
      </c>
      <c r="CT95" s="11" t="str">
        <f ca="1">IF(History!CX$2="","",#REF!*$C$95)</f>
        <v/>
      </c>
      <c r="CU95" s="11" t="str">
        <f ca="1">IF(History!CY$2="","",#REF!*$C$95)</f>
        <v/>
      </c>
      <c r="CV95" s="11" t="str">
        <f ca="1">IF(History!CZ$2="","",#REF!*$C$95)</f>
        <v/>
      </c>
      <c r="CW95" s="11" t="str">
        <f ca="1">IF(History!DA$2="","",#REF!*$C$95)</f>
        <v/>
      </c>
      <c r="CX95" s="11" t="str">
        <f ca="1">IF(History!DB$2="","",#REF!*$C$95)</f>
        <v/>
      </c>
      <c r="CY95" s="11" t="str">
        <f ca="1">IF(History!DC$2="","",#REF!*$C$95)</f>
        <v/>
      </c>
      <c r="CZ95" s="11" t="str">
        <f ca="1">IF(History!DD$2="","",#REF!*$C$95)</f>
        <v/>
      </c>
      <c r="DA95" s="11" t="str">
        <f ca="1">IF(History!DE$2="","",#REF!*$C$95)</f>
        <v/>
      </c>
      <c r="DB95" s="11" t="str">
        <f ca="1">IF(History!DF$2="","",#REF!*$C$95)</f>
        <v/>
      </c>
      <c r="DC95" s="11" t="str">
        <f ca="1">IF(History!DG$2="","",#REF!*$C$95)</f>
        <v/>
      </c>
      <c r="DD95" s="11" t="str">
        <f ca="1">IF(History!DH$2="","",#REF!*$C$95)</f>
        <v/>
      </c>
      <c r="DE95" s="11" t="str">
        <f ca="1">IF(History!DI$2="","",#REF!*$C$95)</f>
        <v/>
      </c>
      <c r="DF95" s="11" t="str">
        <f ca="1">IF(History!DJ$2="","",#REF!*$C$95)</f>
        <v/>
      </c>
      <c r="DG95" s="11" t="str">
        <f ca="1">IF(History!DK$2="","",#REF!*$C$95)</f>
        <v/>
      </c>
      <c r="DH95" s="11" t="str">
        <f ca="1">IF(History!DL$2="","",#REF!*$C$95)</f>
        <v/>
      </c>
      <c r="DI95" s="11" t="str">
        <f ca="1">IF(History!DM$2="","",#REF!*$C$95)</f>
        <v/>
      </c>
      <c r="DJ95" s="11" t="str">
        <f ca="1">IF(History!DN$2="","",#REF!*$C$95)</f>
        <v/>
      </c>
      <c r="DK95" s="11" t="str">
        <f ca="1">IF(History!DO$2="","",#REF!*$C$95)</f>
        <v/>
      </c>
      <c r="DL95" s="11" t="str">
        <f ca="1">IF(History!DP$2="","",#REF!*$C$95)</f>
        <v/>
      </c>
      <c r="DM95" s="11" t="str">
        <f ca="1">IF(History!DQ$2="","",#REF!*$C$95)</f>
        <v/>
      </c>
      <c r="DN95" s="11" t="str">
        <f ca="1">IF(History!DR$2="","",#REF!*$C$95)</f>
        <v/>
      </c>
      <c r="DO95" s="11" t="str">
        <f ca="1">IF(History!DS$2="","",#REF!*$C$95)</f>
        <v/>
      </c>
      <c r="DP95" s="11" t="str">
        <f ca="1">IF(History!DT$2="","",#REF!*$C$95)</f>
        <v/>
      </c>
      <c r="DQ95" s="11" t="str">
        <f ca="1">IF(History!DU$2="","",#REF!*$C$95)</f>
        <v/>
      </c>
      <c r="DR95" s="11" t="str">
        <f ca="1">IF(History!DV$2="","",#REF!*$C$95)</f>
        <v/>
      </c>
      <c r="DS95" s="11" t="str">
        <f ca="1">IF(History!DW$2="","",#REF!*$C$95)</f>
        <v/>
      </c>
      <c r="DT95" s="11" t="str">
        <f ca="1">IF(History!DX$2="","",#REF!*$C$95)</f>
        <v/>
      </c>
      <c r="DU95" s="11" t="str">
        <f ca="1">IF(History!DY$2="","",#REF!*$C$95)</f>
        <v/>
      </c>
      <c r="DV95" s="11" t="str">
        <f ca="1">IF(History!DZ$2="","",#REF!*$C$95)</f>
        <v/>
      </c>
      <c r="DW95" s="11" t="str">
        <f ca="1">IF(History!EA$2="","",#REF!*$C$95)</f>
        <v/>
      </c>
      <c r="DX95" s="11" t="str">
        <f ca="1">IF(History!EB$2="","",#REF!*$C$95)</f>
        <v/>
      </c>
      <c r="DY95" s="11" t="str">
        <f ca="1">IF(History!EC$2="","",#REF!*$C$95)</f>
        <v/>
      </c>
      <c r="DZ95" s="11" t="str">
        <f ca="1">IF(History!ED$2="","",#REF!*$C$95)</f>
        <v/>
      </c>
      <c r="EA95" s="11" t="str">
        <f ca="1">IF(History!EE$2="","",#REF!*$C$95)</f>
        <v/>
      </c>
      <c r="EB95" s="11" t="str">
        <f ca="1">IF(History!EF$2="","",#REF!*$C$95)</f>
        <v/>
      </c>
      <c r="EC95" s="11" t="str">
        <f ca="1">IF(History!EG$2="","",#REF!*$C$95)</f>
        <v/>
      </c>
      <c r="ED95" s="11" t="str">
        <f ca="1">IF(History!EH$2="","",#REF!*$C$95)</f>
        <v/>
      </c>
      <c r="EE95" s="11" t="str">
        <f ca="1">IF(History!EI$2="","",#REF!*$C$95)</f>
        <v/>
      </c>
      <c r="EF95" s="11" t="str">
        <f ca="1">IF(History!EJ$2="","",#REF!*$C$95)</f>
        <v/>
      </c>
      <c r="EG95" s="11" t="str">
        <f ca="1">IF(History!EK$2="","",#REF!*$C$95)</f>
        <v/>
      </c>
      <c r="EH95" s="11" t="str">
        <f ca="1">IF(History!EL$2="","",#REF!*$C$95)</f>
        <v/>
      </c>
      <c r="EI95" s="11" t="str">
        <f ca="1">IF(History!EM$2="","",#REF!*$C$95)</f>
        <v/>
      </c>
      <c r="EJ95" s="11" t="str">
        <f ca="1">IF(History!EN$2="","",#REF!*$C$95)</f>
        <v/>
      </c>
      <c r="EK95" s="11" t="str">
        <f ca="1">IF(History!EO$2="","",#REF!*$C$95)</f>
        <v/>
      </c>
      <c r="EL95" s="11" t="str">
        <f ca="1">IF(History!EP$2="","",#REF!*$C$95)</f>
        <v/>
      </c>
      <c r="EM95" s="11" t="str">
        <f ca="1">IF(History!EQ$2="","",#REF!*$C$95)</f>
        <v/>
      </c>
      <c r="EN95" s="11" t="str">
        <f ca="1">IF(History!ER$2="","",#REF!*$C$95)</f>
        <v/>
      </c>
      <c r="EO95" s="11" t="str">
        <f ca="1">IF(History!ES$2="","",#REF!*$C$95)</f>
        <v/>
      </c>
      <c r="EP95" s="11" t="str">
        <f ca="1">IF(History!ET$2="","",#REF!*$C$95)</f>
        <v/>
      </c>
      <c r="EQ95" s="11" t="str">
        <f ca="1">IF(History!EU$2="","",#REF!*$C$95)</f>
        <v/>
      </c>
      <c r="ER95" s="11" t="str">
        <f ca="1">IF(History!EV$2="","",#REF!*$C$95)</f>
        <v/>
      </c>
      <c r="ES95" s="11" t="str">
        <f ca="1">IF(History!EW$2="","",#REF!*$C$95)</f>
        <v/>
      </c>
      <c r="ET95" s="11" t="str">
        <f ca="1">IF(History!EX$2="","",#REF!*$C$95)</f>
        <v/>
      </c>
      <c r="EU95" s="11" t="str">
        <f ca="1">IF(History!EY$2="","",#REF!*$C$95)</f>
        <v/>
      </c>
      <c r="EV95" s="11" t="str">
        <f ca="1">IF(History!EZ$2="","",#REF!*$C$95)</f>
        <v/>
      </c>
      <c r="EW95" s="11" t="str">
        <f ca="1">IF(History!FA$2="","",#REF!*$C$95)</f>
        <v/>
      </c>
      <c r="EX95" s="11" t="str">
        <f ca="1">IF(History!FB$2="","",#REF!*$C$95)</f>
        <v/>
      </c>
      <c r="EY95" s="11" t="str">
        <f ca="1">IF(History!FC$2="","",#REF!*$C$95)</f>
        <v/>
      </c>
      <c r="EZ95" s="11" t="str">
        <f ca="1">IF(History!FD$2="","",#REF!*$C$95)</f>
        <v/>
      </c>
      <c r="FA95" s="11" t="str">
        <f ca="1">IF(History!FE$2="","",#REF!*$C$95)</f>
        <v/>
      </c>
      <c r="FB95" s="11" t="str">
        <f ca="1">IF(History!FF$2="","",#REF!*$C$95)</f>
        <v/>
      </c>
      <c r="FC95" s="11" t="str">
        <f ca="1">IF(History!FG$2="","",#REF!*$C$95)</f>
        <v/>
      </c>
      <c r="FD95" s="11" t="str">
        <f ca="1">IF(History!FH$2="","",#REF!*$C$95)</f>
        <v/>
      </c>
      <c r="FE95" s="11" t="str">
        <f ca="1">IF(History!FI$2="","",#REF!*$C$95)</f>
        <v/>
      </c>
      <c r="FF95" s="11" t="str">
        <f ca="1">IF(History!FJ$2="","",#REF!*$C$95)</f>
        <v/>
      </c>
      <c r="FG95" s="11" t="str">
        <f ca="1">IF(History!FK$2="","",#REF!*$C$95)</f>
        <v/>
      </c>
      <c r="FH95" s="11" t="str">
        <f ca="1">IF(History!FL$2="","",#REF!*$C$95)</f>
        <v/>
      </c>
      <c r="FI95" s="11" t="str">
        <f ca="1">IF(History!FM$2="","",#REF!*$C$95)</f>
        <v/>
      </c>
      <c r="FJ95" s="11" t="str">
        <f ca="1">IF(History!FN$2="","",#REF!*$C$95)</f>
        <v/>
      </c>
      <c r="FK95" s="11" t="str">
        <f ca="1">IF(History!FO$2="","",#REF!*$C$95)</f>
        <v/>
      </c>
      <c r="FL95" s="11" t="str">
        <f ca="1">IF(History!FP$2="","",#REF!*$C$95)</f>
        <v/>
      </c>
      <c r="FM95" s="11" t="str">
        <f ca="1">IF(History!FQ$2="","",#REF!*$C$95)</f>
        <v/>
      </c>
      <c r="FN95" s="11" t="str">
        <f ca="1">IF(History!FR$2="","",#REF!*$C$95)</f>
        <v/>
      </c>
      <c r="FO95" s="11" t="str">
        <f ca="1">IF(History!FS$2="","",#REF!*$C$95)</f>
        <v/>
      </c>
      <c r="FP95" s="11" t="str">
        <f ca="1">IF(History!FT$2="","",#REF!*$C$95)</f>
        <v/>
      </c>
      <c r="FQ95" s="11" t="str">
        <f ca="1">IF(History!FU$2="","",#REF!*$C$95)</f>
        <v/>
      </c>
      <c r="FR95" s="11" t="str">
        <f ca="1">IF(History!FV$2="","",#REF!*$C$95)</f>
        <v/>
      </c>
      <c r="FS95" s="11" t="str">
        <f ca="1">IF(History!FW$2="","",#REF!*$C$95)</f>
        <v/>
      </c>
      <c r="FT95" s="11" t="str">
        <f ca="1">IF(History!FX$2="","",#REF!*$C$95)</f>
        <v/>
      </c>
      <c r="FU95" s="11" t="str">
        <f ca="1">IF(History!FY$2="","",#REF!*$C$95)</f>
        <v/>
      </c>
      <c r="FV95" s="11" t="str">
        <f ca="1">IF(History!FZ$2="","",#REF!*$C$95)</f>
        <v/>
      </c>
      <c r="FW95" s="11" t="str">
        <f ca="1">IF(History!GA$2="","",#REF!*$C$95)</f>
        <v/>
      </c>
      <c r="FX95" s="11" t="str">
        <f ca="1">IF(History!GB$2="","",#REF!*$C$95)</f>
        <v/>
      </c>
      <c r="FY95" s="11" t="str">
        <f ca="1">IF(History!GC$2="","",#REF!*$C$95)</f>
        <v/>
      </c>
      <c r="FZ95" s="11" t="str">
        <f ca="1">IF(History!GD$2="","",#REF!*$C$95)</f>
        <v/>
      </c>
      <c r="GA95" s="11" t="str">
        <f ca="1">IF(History!GE$2="","",#REF!*$C$95)</f>
        <v/>
      </c>
      <c r="GB95" s="11" t="str">
        <f ca="1">IF(History!GF$2="","",#REF!*$C$95)</f>
        <v/>
      </c>
      <c r="GC95" s="11" t="str">
        <f ca="1">IF(History!GG$2="","",#REF!*$C$95)</f>
        <v/>
      </c>
      <c r="GD95" s="11" t="str">
        <f ca="1">IF(History!GH$2="","",#REF!*$C$95)</f>
        <v/>
      </c>
      <c r="GE95" s="11" t="str">
        <f ca="1">IF(History!GI$2="","",#REF!*$C$95)</f>
        <v/>
      </c>
      <c r="GF95" s="11" t="str">
        <f ca="1">IF(History!GJ$2="","",#REF!*$C$95)</f>
        <v/>
      </c>
      <c r="GG95" s="11" t="str">
        <f ca="1">IF(History!GK$2="","",#REF!*$C$95)</f>
        <v/>
      </c>
      <c r="GH95" s="11" t="str">
        <f ca="1">IF(History!GL$2="","",#REF!*$C$95)</f>
        <v/>
      </c>
      <c r="GI95" s="11" t="str">
        <f ca="1">IF(History!GM$2="","",#REF!*$C$95)</f>
        <v/>
      </c>
      <c r="GJ95" s="11" t="str">
        <f ca="1">IF(History!GN$2="","",#REF!*$C$95)</f>
        <v/>
      </c>
      <c r="GK95" s="11" t="str">
        <f ca="1">IF(History!GO$2="","",#REF!*$C$95)</f>
        <v/>
      </c>
      <c r="GL95" s="11" t="str">
        <f ca="1">IF(History!GP$2="","",#REF!*$C$95)</f>
        <v/>
      </c>
      <c r="GM95" s="11" t="str">
        <f ca="1">IF(History!GQ$2="","",#REF!*$C$95)</f>
        <v/>
      </c>
      <c r="GN95" s="11" t="str">
        <f ca="1">IF(History!GR$2="","",#REF!*$C$95)</f>
        <v/>
      </c>
      <c r="GO95" s="11" t="str">
        <f ca="1">IF(History!GS$2="","",#REF!*$C$95)</f>
        <v/>
      </c>
      <c r="GP95" s="11" t="str">
        <f ca="1">IF(History!GT$2="","",#REF!*$C$95)</f>
        <v/>
      </c>
      <c r="GQ95" s="11" t="str">
        <f ca="1">IF(History!GU$2="","",#REF!*$C$95)</f>
        <v/>
      </c>
      <c r="GR95" s="11" t="str">
        <f ca="1">IF(History!GV$2="","",#REF!*$C$95)</f>
        <v/>
      </c>
      <c r="GS95" s="11" t="str">
        <f ca="1">IF(History!GW$2="","",#REF!*$C$95)</f>
        <v/>
      </c>
      <c r="GT95" s="11" t="str">
        <f ca="1">IF(History!GX$2="","",#REF!*$C$95)</f>
        <v/>
      </c>
      <c r="GU95" s="11" t="str">
        <f ca="1">IF(History!GY$2="","",#REF!*$C$95)</f>
        <v/>
      </c>
      <c r="GV95" s="11" t="str">
        <f ca="1">IF(History!GZ$2="","",#REF!*$C$95)</f>
        <v/>
      </c>
      <c r="GW95" s="11" t="str">
        <f ca="1">IF(History!HA$2="","",#REF!*$C$95)</f>
        <v/>
      </c>
      <c r="GX95" s="11" t="str">
        <f ca="1">IF(History!HB$2="","",#REF!*$C$95)</f>
        <v/>
      </c>
      <c r="GY95" s="11" t="str">
        <f ca="1">IF(History!HC$2="","",#REF!*$C$95)</f>
        <v/>
      </c>
      <c r="GZ95" s="11" t="str">
        <f ca="1">IF(History!HD$2="","",#REF!*$C$95)</f>
        <v/>
      </c>
      <c r="HA95" s="11" t="str">
        <f ca="1">IF(History!HE$2="","",#REF!*$C$95)</f>
        <v/>
      </c>
      <c r="HB95" s="11" t="str">
        <f ca="1">IF(History!HF$2="","",#REF!*$C$95)</f>
        <v/>
      </c>
      <c r="HC95" s="11" t="str">
        <f ca="1">IF(History!HG$2="","",#REF!*$C$95)</f>
        <v/>
      </c>
      <c r="HD95" s="11" t="str">
        <f ca="1">IF(History!HH$2="","",#REF!*$C$95)</f>
        <v/>
      </c>
      <c r="HE95" s="11" t="str">
        <f ca="1">IF(History!HI$2="","",#REF!*$C$95)</f>
        <v/>
      </c>
      <c r="HF95" s="11" t="str">
        <f ca="1">IF(History!HJ$2="","",#REF!*$C$95)</f>
        <v/>
      </c>
      <c r="HG95" s="11" t="str">
        <f ca="1">IF(History!HK$2="","",#REF!*$C$95)</f>
        <v/>
      </c>
      <c r="HH95" s="11" t="str">
        <f ca="1">IF(History!HL$2="","",#REF!*$C$95)</f>
        <v/>
      </c>
      <c r="HI95" s="11" t="str">
        <f ca="1">IF(History!HM$2="","",#REF!*$C$95)</f>
        <v/>
      </c>
      <c r="HJ95" s="11" t="str">
        <f ca="1">IF(History!HN$2="","",#REF!*$C$95)</f>
        <v/>
      </c>
      <c r="HK95" s="11" t="str">
        <f ca="1">IF(History!HO$2="","",#REF!*$C$95)</f>
        <v/>
      </c>
      <c r="HL95" s="11" t="str">
        <f ca="1">IF(History!HP$2="","",#REF!*$C$95)</f>
        <v/>
      </c>
      <c r="HM95" s="11" t="str">
        <f ca="1">IF(History!HQ$2="","",#REF!*$C$95)</f>
        <v/>
      </c>
      <c r="HN95" s="11" t="str">
        <f ca="1">IF(History!HR$2="","",#REF!*$C$95)</f>
        <v/>
      </c>
      <c r="HO95" s="11" t="str">
        <f ca="1">IF(History!HS$2="","",#REF!*$C$95)</f>
        <v/>
      </c>
      <c r="HP95" s="11" t="str">
        <f ca="1">IF(History!HT$2="","",#REF!*$C$95)</f>
        <v/>
      </c>
      <c r="HQ95" s="11" t="str">
        <f ca="1">IF(History!HU$2="","",#REF!*$C$95)</f>
        <v/>
      </c>
      <c r="HR95" s="11" t="str">
        <f ca="1">IF(History!HV$2="","",#REF!*$C$95)</f>
        <v/>
      </c>
      <c r="HS95" s="11" t="str">
        <f ca="1">IF(History!HW$2="","",#REF!*$C$95)</f>
        <v/>
      </c>
      <c r="HT95" s="11" t="str">
        <f ca="1">IF(History!HX$2="","",#REF!*$C$95)</f>
        <v/>
      </c>
      <c r="HU95" s="11" t="str">
        <f ca="1">IF(History!HY$2="","",#REF!*$C$95)</f>
        <v/>
      </c>
      <c r="HV95" s="11" t="str">
        <f ca="1">IF(History!HZ$2="","",#REF!*$C$95)</f>
        <v/>
      </c>
      <c r="HW95" s="11" t="str">
        <f ca="1">IF(History!IA$2="","",#REF!*$C$95)</f>
        <v/>
      </c>
      <c r="HX95" s="11" t="str">
        <f ca="1">IF(History!IB$2="","",#REF!*$C$95)</f>
        <v/>
      </c>
      <c r="HY95" s="11" t="str">
        <f ca="1">IF(History!IC$2="","",#REF!*$C$95)</f>
        <v/>
      </c>
      <c r="HZ95" s="11" t="str">
        <f ca="1">IF(History!ID$2="","",#REF!*$C$95)</f>
        <v/>
      </c>
      <c r="IA95" s="11" t="str">
        <f ca="1">IF(History!IE$2="","",#REF!*$C$95)</f>
        <v/>
      </c>
      <c r="IB95" s="11" t="str">
        <f ca="1">IF(History!IF$2="","",#REF!*$C$95)</f>
        <v/>
      </c>
      <c r="IC95" s="11" t="str">
        <f ca="1">IF(History!IG$2="","",#REF!*$C$95)</f>
        <v/>
      </c>
      <c r="ID95" s="11" t="str">
        <f ca="1">IF(History!IH$2="","",#REF!*$C$95)</f>
        <v/>
      </c>
      <c r="IE95" s="11" t="str">
        <f ca="1">IF(History!II$2="","",#REF!*$C$95)</f>
        <v/>
      </c>
      <c r="IF95" s="11" t="str">
        <f ca="1">IF(History!IJ$2="","",#REF!*$C$95)</f>
        <v/>
      </c>
      <c r="IG95" s="11" t="str">
        <f ca="1">IF(History!IK$2="","",#REF!*$C$95)</f>
        <v/>
      </c>
      <c r="IH95" s="11" t="str">
        <f ca="1">IF(History!IL$2="","",#REF!*$C$95)</f>
        <v/>
      </c>
      <c r="II95" s="11" t="str">
        <f ca="1">IF(History!IM$2="","",#REF!*$C$95)</f>
        <v/>
      </c>
      <c r="IJ95" s="11" t="str">
        <f ca="1">IF(History!IN$2="","",#REF!*$C$95)</f>
        <v/>
      </c>
      <c r="IK95" s="11" t="str">
        <f ca="1">IF(History!IO$2="","",#REF!*$C$95)</f>
        <v/>
      </c>
      <c r="IL95" s="11" t="str">
        <f ca="1">IF(History!IP$2="","",#REF!*$C$95)</f>
        <v/>
      </c>
      <c r="IM95" s="11" t="str">
        <f ca="1">IF(History!IQ$2="","",#REF!*$C$95)</f>
        <v/>
      </c>
      <c r="IN95" s="11" t="str">
        <f ca="1">IF(History!IR$2="","",#REF!*$C$95)</f>
        <v/>
      </c>
      <c r="IO95" s="11" t="str">
        <f ca="1">IF(History!IS$2="","",#REF!*$C$95)</f>
        <v/>
      </c>
      <c r="IP95" s="11" t="str">
        <f ca="1">IF(History!IT$2="","",#REF!*$C$95)</f>
        <v/>
      </c>
      <c r="IQ95" s="11" t="str">
        <f ca="1">IF(History!IU$2="","",#REF!*$C$95)</f>
        <v/>
      </c>
      <c r="IR95" s="11" t="str">
        <f ca="1">IF(History!IV$2="","",#REF!*$C$95)</f>
        <v/>
      </c>
      <c r="IS95" s="11" t="str">
        <f ca="1">IF(History!IW$2="","",#REF!*$C$95)</f>
        <v/>
      </c>
      <c r="IT95" s="11" t="str">
        <f ca="1">IF(History!IX$2="","",#REF!*$C$95)</f>
        <v/>
      </c>
      <c r="IU95" s="11" t="str">
        <f ca="1">IF(History!IY$2="","",#REF!*$C$95)</f>
        <v/>
      </c>
      <c r="IV95" s="11" t="str">
        <f ca="1">IF(History!IZ$2="","",#REF!*$C$95)</f>
        <v/>
      </c>
      <c r="IW95" s="11" t="str">
        <f ca="1">IF(History!JA$2="","",#REF!*$C$95)</f>
        <v/>
      </c>
      <c r="IX95" s="11" t="str">
        <f ca="1">IF(History!JB$2="","",#REF!*$C$95)</f>
        <v/>
      </c>
      <c r="IY95" s="11" t="str">
        <f ca="1">IF(History!JC$2="","",#REF!*$C$95)</f>
        <v/>
      </c>
      <c r="IZ95" s="11" t="str">
        <f ca="1">IF(History!JD$2="","",#REF!*$C$95)</f>
        <v/>
      </c>
      <c r="JA95" s="11" t="str">
        <f ca="1">IF(History!JE$2="","",#REF!*$C$95)</f>
        <v/>
      </c>
      <c r="JB95" s="11" t="str">
        <f ca="1">IF(History!JF$2="","",#REF!*$C$95)</f>
        <v/>
      </c>
      <c r="JC95" s="11" t="str">
        <f ca="1">IF(History!JG$2="","",#REF!*$C$95)</f>
        <v/>
      </c>
      <c r="JD95" s="11" t="str">
        <f ca="1">IF(History!JH$2="","",#REF!*$C$95)</f>
        <v/>
      </c>
      <c r="JE95" s="11" t="str">
        <f ca="1">IF(History!JI$2="","",#REF!*$C$95)</f>
        <v/>
      </c>
      <c r="JF95" s="11" t="str">
        <f ca="1">IF(History!JJ$2="","",#REF!*$C$95)</f>
        <v/>
      </c>
      <c r="JG95" s="11" t="str">
        <f ca="1">IF(History!JK$2="","",#REF!*$C$95)</f>
        <v/>
      </c>
      <c r="JH95" s="11" t="str">
        <f ca="1">IF(History!JL$2="","",#REF!*$C$95)</f>
        <v/>
      </c>
      <c r="JI95" s="11" t="str">
        <f ca="1">IF(History!JM$2="","",#REF!*$C$95)</f>
        <v/>
      </c>
      <c r="JJ95" s="11" t="str">
        <f ca="1">IF(History!JN$2="","",#REF!*$C$95)</f>
        <v/>
      </c>
      <c r="JK95" s="11" t="str">
        <f ca="1">IF(History!JO$2="","",#REF!*$C$95)</f>
        <v/>
      </c>
      <c r="JL95" s="11" t="str">
        <f ca="1">IF(History!JP$2="","",#REF!*$C$95)</f>
        <v/>
      </c>
      <c r="JM95" s="11" t="str">
        <f ca="1">IF(History!JQ$2="","",#REF!*$C$95)</f>
        <v/>
      </c>
      <c r="JN95" s="11" t="str">
        <f ca="1">IF(History!JR$2="","",#REF!*$C$95)</f>
        <v/>
      </c>
      <c r="JO95" s="11" t="str">
        <f ca="1">IF(History!JS$2="","",#REF!*$C$95)</f>
        <v/>
      </c>
      <c r="JP95" s="11" t="str">
        <f ca="1">IF(History!JT$2="","",#REF!*$C$95)</f>
        <v/>
      </c>
      <c r="JQ95" s="11" t="str">
        <f ca="1">IF(History!JU$2="","",#REF!*$C$95)</f>
        <v/>
      </c>
      <c r="JR95" s="11" t="str">
        <f ca="1">IF(History!JV$2="","",#REF!*$C$95)</f>
        <v/>
      </c>
      <c r="JS95" s="11" t="str">
        <f ca="1">IF(History!JW$2="","",#REF!*$C$95)</f>
        <v/>
      </c>
      <c r="JT95" s="11" t="str">
        <f ca="1">IF(History!JX$2="","",#REF!*$C$95)</f>
        <v/>
      </c>
      <c r="JU95" s="11" t="str">
        <f ca="1">IF(History!JY$2="","",#REF!*$C$95)</f>
        <v/>
      </c>
      <c r="JV95" s="11" t="str">
        <f ca="1">IF(History!JZ$2="","",#REF!*$C$95)</f>
        <v/>
      </c>
      <c r="JW95" s="11" t="str">
        <f ca="1">IF(History!KA$2="","",#REF!*$C$95)</f>
        <v/>
      </c>
      <c r="JX95" s="11" t="str">
        <f ca="1">IF(History!KB$2="","",#REF!*$C$95)</f>
        <v/>
      </c>
      <c r="JY95" s="11" t="str">
        <f ca="1">IF(History!KC$2="","",#REF!*$C$95)</f>
        <v/>
      </c>
      <c r="JZ95" s="11" t="str">
        <f ca="1">IF(History!KD$2="","",#REF!*$C$95)</f>
        <v/>
      </c>
      <c r="KA95" s="11" t="str">
        <f ca="1">IF(History!KE$2="","",#REF!*$C$95)</f>
        <v/>
      </c>
      <c r="KB95" s="11" t="str">
        <f ca="1">IF(History!KF$2="","",#REF!*$C$95)</f>
        <v/>
      </c>
    </row>
    <row r="96" spans="1:288" ht="13">
      <c r="A96" s="18" t="s">
        <v>140</v>
      </c>
      <c r="B96" s="6" t="s">
        <v>173</v>
      </c>
      <c r="C96" s="26">
        <v>76</v>
      </c>
      <c r="D96" s="11" t="e">
        <f ca="1">IF(History!H$2="","",#REF!*$C$96)</f>
        <v>#REF!</v>
      </c>
      <c r="E96" s="11" t="e">
        <f ca="1">IF(History!I$2="","",#REF!*$C$96)</f>
        <v>#REF!</v>
      </c>
      <c r="F96" s="11" t="e">
        <f ca="1">IF(History!J$2="","",#REF!*$C$96)</f>
        <v>#REF!</v>
      </c>
      <c r="G96" s="11" t="e">
        <f ca="1">IF(History!K$2="","",#REF!*$C$96)</f>
        <v>#REF!</v>
      </c>
      <c r="H96" s="11" t="e">
        <f ca="1">IF(History!L$2="","",#REF!*$C$96)</f>
        <v>#REF!</v>
      </c>
      <c r="I96" s="11" t="e">
        <f ca="1">IF(History!M$2="","",#REF!*$C$96)</f>
        <v>#REF!</v>
      </c>
      <c r="J96" s="11" t="e">
        <f ca="1">IF(History!N$2="","",#REF!*$C$96)</f>
        <v>#REF!</v>
      </c>
      <c r="K96" s="11" t="e">
        <f ca="1">IF(History!O$2="","",#REF!*$C$96)</f>
        <v>#REF!</v>
      </c>
      <c r="L96" s="11" t="e">
        <f ca="1">IF(History!P$2="","",#REF!*$C$96)</f>
        <v>#REF!</v>
      </c>
      <c r="M96" s="11" t="e">
        <f ca="1">IF(History!Q$2="","",#REF!*$C$96)</f>
        <v>#REF!</v>
      </c>
      <c r="N96" s="11" t="e">
        <f ca="1">IF(History!R$2="","",#REF!*$C$96)</f>
        <v>#REF!</v>
      </c>
      <c r="O96" s="11" t="e">
        <f ca="1">IF(History!S$2="","",#REF!*$C$96)</f>
        <v>#REF!</v>
      </c>
      <c r="P96" s="11" t="e">
        <f ca="1">IF(History!T$2="","",#REF!*$C$96)</f>
        <v>#REF!</v>
      </c>
      <c r="Q96" s="11" t="e">
        <f ca="1">IF(History!U$2="","",#REF!*$C$96)</f>
        <v>#REF!</v>
      </c>
      <c r="R96" s="11" t="e">
        <f ca="1">IF(History!V$2="","",#REF!*$C$96)</f>
        <v>#REF!</v>
      </c>
      <c r="S96" s="11" t="e">
        <f ca="1">IF(History!W$2="","",#REF!*$C$96)</f>
        <v>#REF!</v>
      </c>
      <c r="T96" s="11" t="e">
        <f ca="1">IF(History!X$2="","",#REF!*$C$96)</f>
        <v>#REF!</v>
      </c>
      <c r="U96" s="11" t="e">
        <f ca="1">IF(History!Y$2="","",#REF!*$C$96)</f>
        <v>#REF!</v>
      </c>
      <c r="V96" s="11" t="e">
        <f ca="1">IF(History!Z$2="","",#REF!*$C$96)</f>
        <v>#REF!</v>
      </c>
      <c r="W96" s="11" t="e">
        <f ca="1">IF(History!AA$2="","",#REF!*$C$96)</f>
        <v>#REF!</v>
      </c>
      <c r="X96" s="11" t="e">
        <f ca="1">IF(History!AB$2="","",#REF!*$C$96)</f>
        <v>#REF!</v>
      </c>
      <c r="Y96" s="11" t="e">
        <f ca="1">IF(History!AC$2="","",#REF!*$C$96)</f>
        <v>#REF!</v>
      </c>
      <c r="Z96" s="11" t="e">
        <f ca="1">IF(History!AD$2="","",#REF!*$C$96)</f>
        <v>#REF!</v>
      </c>
      <c r="AA96" s="11" t="e">
        <f ca="1">IF(History!AE$2="","",#REF!*$C$96)</f>
        <v>#REF!</v>
      </c>
      <c r="AB96" s="11" t="e">
        <f ca="1">IF(History!AF$2="","",#REF!*$C$96)</f>
        <v>#REF!</v>
      </c>
      <c r="AC96" s="11" t="e">
        <f ca="1">IF(History!AG$2="","",#REF!*$C$96)</f>
        <v>#REF!</v>
      </c>
      <c r="AD96" s="11" t="e">
        <f ca="1">IF(History!AH$2="","",#REF!*$C$96)</f>
        <v>#REF!</v>
      </c>
      <c r="AE96" s="11" t="e">
        <f ca="1">IF(History!AI$2="","",#REF!*$C$96)</f>
        <v>#REF!</v>
      </c>
      <c r="AF96" s="11" t="e">
        <f ca="1">IF(History!AJ$2="","",#REF!*$C$96)</f>
        <v>#REF!</v>
      </c>
      <c r="AG96" s="11" t="e">
        <f ca="1">IF(History!AK$2="","",#REF!*$C$96)</f>
        <v>#REF!</v>
      </c>
      <c r="AH96" s="11" t="e">
        <f ca="1">IF(History!AL$2="","",#REF!*$C$96)</f>
        <v>#REF!</v>
      </c>
      <c r="AI96" s="11" t="e">
        <f ca="1">IF(History!AM$2="","",#REF!*$C$96)</f>
        <v>#REF!</v>
      </c>
      <c r="AJ96" s="11" t="e">
        <f ca="1">IF(History!AN$2="","",#REF!*$C$96)</f>
        <v>#REF!</v>
      </c>
      <c r="AK96" s="11" t="e">
        <f ca="1">IF(History!AO$2="","",#REF!*$C$96)</f>
        <v>#REF!</v>
      </c>
      <c r="AL96" s="11" t="e">
        <f ca="1">IF(History!AP$2="","",#REF!*$C$96)</f>
        <v>#REF!</v>
      </c>
      <c r="AM96" s="11" t="e">
        <f ca="1">IF(History!AQ$2="","",#REF!*$C$96)</f>
        <v>#REF!</v>
      </c>
      <c r="AN96" s="11" t="e">
        <f ca="1">IF(History!AR$2="","",#REF!*$C$96)</f>
        <v>#REF!</v>
      </c>
      <c r="AO96" s="11" t="e">
        <f ca="1">IF(History!AS$2="","",#REF!*$C$96)</f>
        <v>#REF!</v>
      </c>
      <c r="AP96" s="11" t="e">
        <f ca="1">IF(History!AT$2="","",#REF!*$C$96)</f>
        <v>#REF!</v>
      </c>
      <c r="AQ96" s="11" t="e">
        <f ca="1">IF(History!AU$2="","",#REF!*$C$96)</f>
        <v>#REF!</v>
      </c>
      <c r="AR96" s="11" t="e">
        <f ca="1">IF(History!AV$2="","",#REF!*$C$96)</f>
        <v>#REF!</v>
      </c>
      <c r="AS96" s="11" t="e">
        <f ca="1">IF(History!AW$2="","",#REF!*$C$96)</f>
        <v>#REF!</v>
      </c>
      <c r="AT96" s="11" t="e">
        <f ca="1">IF(History!AX$2="","",#REF!*$C$96)</f>
        <v>#REF!</v>
      </c>
      <c r="AU96" s="11" t="e">
        <f ca="1">IF(History!AY$2="","",#REF!*$C$96)</f>
        <v>#REF!</v>
      </c>
      <c r="AV96" s="11" t="e">
        <f ca="1">IF(History!AZ$2="","",#REF!*$C$96)</f>
        <v>#REF!</v>
      </c>
      <c r="AW96" s="11" t="e">
        <f ca="1">IF(History!BA$2="","",#REF!*$C$96)</f>
        <v>#REF!</v>
      </c>
      <c r="AX96" s="11" t="e">
        <f ca="1">IF(History!BB$2="","",#REF!*$C$96)</f>
        <v>#REF!</v>
      </c>
      <c r="AY96" s="11" t="e">
        <f ca="1">IF(History!BC$2="","",#REF!*$C$96)</f>
        <v>#REF!</v>
      </c>
      <c r="AZ96" s="11" t="e">
        <f ca="1">IF(History!BD$2="","",#REF!*$C$96)</f>
        <v>#REF!</v>
      </c>
      <c r="BA96" s="11" t="e">
        <f ca="1">IF(History!BE$2="","",#REF!*$C$96)</f>
        <v>#REF!</v>
      </c>
      <c r="BB96" s="11" t="e">
        <f ca="1">IF(History!BF$2="","",#REF!*$C$96)</f>
        <v>#REF!</v>
      </c>
      <c r="BC96" s="11" t="e">
        <f ca="1">IF(History!BG$2="","",#REF!*$C$96)</f>
        <v>#REF!</v>
      </c>
      <c r="BD96" s="11" t="e">
        <f ca="1">IF(History!BH$2="","",#REF!*$C$96)</f>
        <v>#REF!</v>
      </c>
      <c r="BE96" s="11" t="e">
        <f ca="1">IF(History!BI$2="","",#REF!*$C$96)</f>
        <v>#REF!</v>
      </c>
      <c r="BF96" s="11" t="e">
        <f ca="1">IF(History!BJ$2="","",#REF!*$C$96)</f>
        <v>#REF!</v>
      </c>
      <c r="BG96" s="11" t="e">
        <f ca="1">IF(History!BK$2="","",#REF!*$C$96)</f>
        <v>#REF!</v>
      </c>
      <c r="BH96" s="11" t="e">
        <f ca="1">IF(History!BL$2="","",#REF!*$C$96)</f>
        <v>#REF!</v>
      </c>
      <c r="BI96" s="11" t="e">
        <f ca="1">IF(History!BM$2="","",#REF!*$C$96)</f>
        <v>#REF!</v>
      </c>
      <c r="BJ96" s="11" t="e">
        <f ca="1">IF(History!BN$2="","",#REF!*$C$96)</f>
        <v>#REF!</v>
      </c>
      <c r="BK96" s="11" t="e">
        <f ca="1">IF(History!BO$2="","",#REF!*$C$96)</f>
        <v>#REF!</v>
      </c>
      <c r="BL96" s="11" t="e">
        <f ca="1">IF(History!BP$2="","",#REF!*$C$96)</f>
        <v>#REF!</v>
      </c>
      <c r="BM96" s="11" t="e">
        <f ca="1">IF(History!BQ$2="","",#REF!*$C$96)</f>
        <v>#REF!</v>
      </c>
      <c r="BN96" s="11" t="e">
        <f ca="1">IF(History!BR$2="","",#REF!*$C$96)</f>
        <v>#REF!</v>
      </c>
      <c r="BO96" s="11" t="e">
        <f ca="1">IF(History!BS$2="","",#REF!*$C$96)</f>
        <v>#REF!</v>
      </c>
      <c r="BP96" s="11" t="e">
        <f ca="1">IF(History!BT$2="","",#REF!*$C$96)</f>
        <v>#REF!</v>
      </c>
      <c r="BQ96" s="11" t="e">
        <f ca="1">IF(History!BU$2="","",#REF!*$C$96)</f>
        <v>#REF!</v>
      </c>
      <c r="BR96" s="11" t="e">
        <f ca="1">IF(History!BV$2="","",#REF!*$C$96)</f>
        <v>#REF!</v>
      </c>
      <c r="BS96" s="11" t="e">
        <f ca="1">IF(History!BW$2="","",#REF!*$C$96)</f>
        <v>#REF!</v>
      </c>
      <c r="BT96" s="11" t="e">
        <f ca="1">IF(History!BX$2="","",#REF!*$C$96)</f>
        <v>#REF!</v>
      </c>
      <c r="BU96" s="11" t="e">
        <f ca="1">IF(History!BY$2="","",#REF!*$C$96)</f>
        <v>#REF!</v>
      </c>
      <c r="BV96" s="11" t="e">
        <f ca="1">IF(History!BZ$2="","",#REF!*$C$96)</f>
        <v>#REF!</v>
      </c>
      <c r="BW96" s="11" t="e">
        <f ca="1">IF(History!CA$2="","",#REF!*$C$96)</f>
        <v>#REF!</v>
      </c>
      <c r="BX96" s="11" t="e">
        <f ca="1">IF(History!CB$2="","",#REF!*$C$96)</f>
        <v>#REF!</v>
      </c>
      <c r="BY96" s="11" t="e">
        <f ca="1">IF(History!CC$2="","",#REF!*$C$96)</f>
        <v>#REF!</v>
      </c>
      <c r="BZ96" s="11" t="e">
        <f ca="1">IF(History!CD$2="","",#REF!*$C$96)</f>
        <v>#REF!</v>
      </c>
      <c r="CA96" s="11" t="e">
        <f ca="1">IF(History!CE$2="","",#REF!*$C$96)</f>
        <v>#REF!</v>
      </c>
      <c r="CB96" s="11" t="e">
        <f ca="1">IF(History!CF$2="","",#REF!*$C$96)</f>
        <v>#REF!</v>
      </c>
      <c r="CC96" s="11" t="e">
        <f ca="1">IF(History!CG$2="","",#REF!*$C$96)</f>
        <v>#REF!</v>
      </c>
      <c r="CD96" s="11" t="e">
        <f ca="1">IF(History!CH$2="","",#REF!*$C$96)</f>
        <v>#REF!</v>
      </c>
      <c r="CE96" s="11" t="e">
        <f ca="1">IF(History!CI$2="","",#REF!*$C$96)</f>
        <v>#REF!</v>
      </c>
      <c r="CF96" s="11" t="str">
        <f ca="1">IF(History!CJ$2="","",#REF!*$C$96)</f>
        <v/>
      </c>
      <c r="CG96" s="11" t="str">
        <f ca="1">IF(History!CK$2="","",#REF!*$C$96)</f>
        <v/>
      </c>
      <c r="CH96" s="11" t="str">
        <f ca="1">IF(History!CL$2="","",#REF!*$C$96)</f>
        <v/>
      </c>
      <c r="CI96" s="11" t="str">
        <f ca="1">IF(History!CM$2="","",#REF!*$C$96)</f>
        <v/>
      </c>
      <c r="CJ96" s="11" t="str">
        <f ca="1">IF(History!CN$2="","",#REF!*$C$96)</f>
        <v/>
      </c>
      <c r="CK96" s="11" t="str">
        <f ca="1">IF(History!CO$2="","",#REF!*$C$96)</f>
        <v/>
      </c>
      <c r="CL96" s="11" t="str">
        <f ca="1">IF(History!CP$2="","",#REF!*$C$96)</f>
        <v/>
      </c>
      <c r="CM96" s="11" t="str">
        <f ca="1">IF(History!CQ$2="","",#REF!*$C$96)</f>
        <v/>
      </c>
      <c r="CN96" s="11" t="str">
        <f ca="1">IF(History!CR$2="","",#REF!*$C$96)</f>
        <v/>
      </c>
      <c r="CO96" s="11" t="str">
        <f ca="1">IF(History!CS$2="","",#REF!*$C$96)</f>
        <v/>
      </c>
      <c r="CP96" s="11" t="str">
        <f ca="1">IF(History!CT$2="","",#REF!*$C$96)</f>
        <v/>
      </c>
      <c r="CQ96" s="11" t="str">
        <f ca="1">IF(History!CU$2="","",#REF!*$C$96)</f>
        <v/>
      </c>
      <c r="CR96" s="11" t="str">
        <f ca="1">IF(History!CV$2="","",#REF!*$C$96)</f>
        <v/>
      </c>
      <c r="CS96" s="11" t="str">
        <f ca="1">IF(History!CW$2="","",#REF!*$C$96)</f>
        <v/>
      </c>
      <c r="CT96" s="11" t="str">
        <f ca="1">IF(History!CX$2="","",#REF!*$C$96)</f>
        <v/>
      </c>
      <c r="CU96" s="11" t="str">
        <f ca="1">IF(History!CY$2="","",#REF!*$C$96)</f>
        <v/>
      </c>
      <c r="CV96" s="11" t="str">
        <f ca="1">IF(History!CZ$2="","",#REF!*$C$96)</f>
        <v/>
      </c>
      <c r="CW96" s="11" t="str">
        <f ca="1">IF(History!DA$2="","",#REF!*$C$96)</f>
        <v/>
      </c>
      <c r="CX96" s="11" t="str">
        <f ca="1">IF(History!DB$2="","",#REF!*$C$96)</f>
        <v/>
      </c>
      <c r="CY96" s="11" t="str">
        <f ca="1">IF(History!DC$2="","",#REF!*$C$96)</f>
        <v/>
      </c>
      <c r="CZ96" s="11" t="str">
        <f ca="1">IF(History!DD$2="","",#REF!*$C$96)</f>
        <v/>
      </c>
      <c r="DA96" s="11" t="str">
        <f ca="1">IF(History!DE$2="","",#REF!*$C$96)</f>
        <v/>
      </c>
      <c r="DB96" s="11" t="str">
        <f ca="1">IF(History!DF$2="","",#REF!*$C$96)</f>
        <v/>
      </c>
      <c r="DC96" s="11" t="str">
        <f ca="1">IF(History!DG$2="","",#REF!*$C$96)</f>
        <v/>
      </c>
      <c r="DD96" s="11" t="str">
        <f ca="1">IF(History!DH$2="","",#REF!*$C$96)</f>
        <v/>
      </c>
      <c r="DE96" s="11" t="str">
        <f ca="1">IF(History!DI$2="","",#REF!*$C$96)</f>
        <v/>
      </c>
      <c r="DF96" s="11" t="str">
        <f ca="1">IF(History!DJ$2="","",#REF!*$C$96)</f>
        <v/>
      </c>
      <c r="DG96" s="11" t="str">
        <f ca="1">IF(History!DK$2="","",#REF!*$C$96)</f>
        <v/>
      </c>
      <c r="DH96" s="11" t="str">
        <f ca="1">IF(History!DL$2="","",#REF!*$C$96)</f>
        <v/>
      </c>
      <c r="DI96" s="11" t="str">
        <f ca="1">IF(History!DM$2="","",#REF!*$C$96)</f>
        <v/>
      </c>
      <c r="DJ96" s="11" t="str">
        <f ca="1">IF(History!DN$2="","",#REF!*$C$96)</f>
        <v/>
      </c>
      <c r="DK96" s="11" t="str">
        <f ca="1">IF(History!DO$2="","",#REF!*$C$96)</f>
        <v/>
      </c>
      <c r="DL96" s="11" t="str">
        <f ca="1">IF(History!DP$2="","",#REF!*$C$96)</f>
        <v/>
      </c>
      <c r="DM96" s="11" t="str">
        <f ca="1">IF(History!DQ$2="","",#REF!*$C$96)</f>
        <v/>
      </c>
      <c r="DN96" s="11" t="str">
        <f ca="1">IF(History!DR$2="","",#REF!*$C$96)</f>
        <v/>
      </c>
      <c r="DO96" s="11" t="str">
        <f ca="1">IF(History!DS$2="","",#REF!*$C$96)</f>
        <v/>
      </c>
      <c r="DP96" s="11" t="str">
        <f ca="1">IF(History!DT$2="","",#REF!*$C$96)</f>
        <v/>
      </c>
      <c r="DQ96" s="11" t="str">
        <f ca="1">IF(History!DU$2="","",#REF!*$C$96)</f>
        <v/>
      </c>
      <c r="DR96" s="11" t="str">
        <f ca="1">IF(History!DV$2="","",#REF!*$C$96)</f>
        <v/>
      </c>
      <c r="DS96" s="11" t="str">
        <f ca="1">IF(History!DW$2="","",#REF!*$C$96)</f>
        <v/>
      </c>
      <c r="DT96" s="11" t="str">
        <f ca="1">IF(History!DX$2="","",#REF!*$C$96)</f>
        <v/>
      </c>
      <c r="DU96" s="11" t="str">
        <f ca="1">IF(History!DY$2="","",#REF!*$C$96)</f>
        <v/>
      </c>
      <c r="DV96" s="11" t="str">
        <f ca="1">IF(History!DZ$2="","",#REF!*$C$96)</f>
        <v/>
      </c>
      <c r="DW96" s="11" t="str">
        <f ca="1">IF(History!EA$2="","",#REF!*$C$96)</f>
        <v/>
      </c>
      <c r="DX96" s="11" t="str">
        <f ca="1">IF(History!EB$2="","",#REF!*$C$96)</f>
        <v/>
      </c>
      <c r="DY96" s="11" t="str">
        <f ca="1">IF(History!EC$2="","",#REF!*$C$96)</f>
        <v/>
      </c>
      <c r="DZ96" s="11" t="str">
        <f ca="1">IF(History!ED$2="","",#REF!*$C$96)</f>
        <v/>
      </c>
      <c r="EA96" s="11" t="str">
        <f ca="1">IF(History!EE$2="","",#REF!*$C$96)</f>
        <v/>
      </c>
      <c r="EB96" s="11" t="str">
        <f ca="1">IF(History!EF$2="","",#REF!*$C$96)</f>
        <v/>
      </c>
      <c r="EC96" s="11" t="str">
        <f ca="1">IF(History!EG$2="","",#REF!*$C$96)</f>
        <v/>
      </c>
      <c r="ED96" s="11" t="str">
        <f ca="1">IF(History!EH$2="","",#REF!*$C$96)</f>
        <v/>
      </c>
      <c r="EE96" s="11" t="str">
        <f ca="1">IF(History!EI$2="","",#REF!*$C$96)</f>
        <v/>
      </c>
      <c r="EF96" s="11" t="str">
        <f ca="1">IF(History!EJ$2="","",#REF!*$C$96)</f>
        <v/>
      </c>
      <c r="EG96" s="11" t="str">
        <f ca="1">IF(History!EK$2="","",#REF!*$C$96)</f>
        <v/>
      </c>
      <c r="EH96" s="11" t="str">
        <f ca="1">IF(History!EL$2="","",#REF!*$C$96)</f>
        <v/>
      </c>
      <c r="EI96" s="11" t="str">
        <f ca="1">IF(History!EM$2="","",#REF!*$C$96)</f>
        <v/>
      </c>
      <c r="EJ96" s="11" t="str">
        <f ca="1">IF(History!EN$2="","",#REF!*$C$96)</f>
        <v/>
      </c>
      <c r="EK96" s="11" t="str">
        <f ca="1">IF(History!EO$2="","",#REF!*$C$96)</f>
        <v/>
      </c>
      <c r="EL96" s="11" t="str">
        <f ca="1">IF(History!EP$2="","",#REF!*$C$96)</f>
        <v/>
      </c>
      <c r="EM96" s="11" t="str">
        <f ca="1">IF(History!EQ$2="","",#REF!*$C$96)</f>
        <v/>
      </c>
      <c r="EN96" s="11" t="str">
        <f ca="1">IF(History!ER$2="","",#REF!*$C$96)</f>
        <v/>
      </c>
      <c r="EO96" s="11" t="str">
        <f ca="1">IF(History!ES$2="","",#REF!*$C$96)</f>
        <v/>
      </c>
      <c r="EP96" s="11" t="str">
        <f ca="1">IF(History!ET$2="","",#REF!*$C$96)</f>
        <v/>
      </c>
      <c r="EQ96" s="11" t="str">
        <f ca="1">IF(History!EU$2="","",#REF!*$C$96)</f>
        <v/>
      </c>
      <c r="ER96" s="11" t="str">
        <f ca="1">IF(History!EV$2="","",#REF!*$C$96)</f>
        <v/>
      </c>
      <c r="ES96" s="11" t="str">
        <f ca="1">IF(History!EW$2="","",#REF!*$C$96)</f>
        <v/>
      </c>
      <c r="ET96" s="11" t="str">
        <f ca="1">IF(History!EX$2="","",#REF!*$C$96)</f>
        <v/>
      </c>
      <c r="EU96" s="11" t="str">
        <f ca="1">IF(History!EY$2="","",#REF!*$C$96)</f>
        <v/>
      </c>
      <c r="EV96" s="11" t="str">
        <f ca="1">IF(History!EZ$2="","",#REF!*$C$96)</f>
        <v/>
      </c>
      <c r="EW96" s="11" t="str">
        <f ca="1">IF(History!FA$2="","",#REF!*$C$96)</f>
        <v/>
      </c>
      <c r="EX96" s="11" t="str">
        <f ca="1">IF(History!FB$2="","",#REF!*$C$96)</f>
        <v/>
      </c>
      <c r="EY96" s="11" t="str">
        <f ca="1">IF(History!FC$2="","",#REF!*$C$96)</f>
        <v/>
      </c>
      <c r="EZ96" s="11" t="str">
        <f ca="1">IF(History!FD$2="","",#REF!*$C$96)</f>
        <v/>
      </c>
      <c r="FA96" s="11" t="str">
        <f ca="1">IF(History!FE$2="","",#REF!*$C$96)</f>
        <v/>
      </c>
      <c r="FB96" s="11" t="str">
        <f ca="1">IF(History!FF$2="","",#REF!*$C$96)</f>
        <v/>
      </c>
      <c r="FC96" s="11" t="str">
        <f ca="1">IF(History!FG$2="","",#REF!*$C$96)</f>
        <v/>
      </c>
      <c r="FD96" s="11" t="str">
        <f ca="1">IF(History!FH$2="","",#REF!*$C$96)</f>
        <v/>
      </c>
      <c r="FE96" s="11" t="str">
        <f ca="1">IF(History!FI$2="","",#REF!*$C$96)</f>
        <v/>
      </c>
      <c r="FF96" s="11" t="str">
        <f ca="1">IF(History!FJ$2="","",#REF!*$C$96)</f>
        <v/>
      </c>
      <c r="FG96" s="11" t="str">
        <f ca="1">IF(History!FK$2="","",#REF!*$C$96)</f>
        <v/>
      </c>
      <c r="FH96" s="11" t="str">
        <f ca="1">IF(History!FL$2="","",#REF!*$C$96)</f>
        <v/>
      </c>
      <c r="FI96" s="11" t="str">
        <f ca="1">IF(History!FM$2="","",#REF!*$C$96)</f>
        <v/>
      </c>
      <c r="FJ96" s="11" t="str">
        <f ca="1">IF(History!FN$2="","",#REF!*$C$96)</f>
        <v/>
      </c>
      <c r="FK96" s="11" t="str">
        <f ca="1">IF(History!FO$2="","",#REF!*$C$96)</f>
        <v/>
      </c>
      <c r="FL96" s="11" t="str">
        <f ca="1">IF(History!FP$2="","",#REF!*$C$96)</f>
        <v/>
      </c>
      <c r="FM96" s="11" t="str">
        <f ca="1">IF(History!FQ$2="","",#REF!*$C$96)</f>
        <v/>
      </c>
      <c r="FN96" s="11" t="str">
        <f ca="1">IF(History!FR$2="","",#REF!*$C$96)</f>
        <v/>
      </c>
      <c r="FO96" s="11" t="str">
        <f ca="1">IF(History!FS$2="","",#REF!*$C$96)</f>
        <v/>
      </c>
      <c r="FP96" s="11" t="str">
        <f ca="1">IF(History!FT$2="","",#REF!*$C$96)</f>
        <v/>
      </c>
      <c r="FQ96" s="11" t="str">
        <f ca="1">IF(History!FU$2="","",#REF!*$C$96)</f>
        <v/>
      </c>
      <c r="FR96" s="11" t="str">
        <f ca="1">IF(History!FV$2="","",#REF!*$C$96)</f>
        <v/>
      </c>
      <c r="FS96" s="11" t="str">
        <f ca="1">IF(History!FW$2="","",#REF!*$C$96)</f>
        <v/>
      </c>
      <c r="FT96" s="11" t="str">
        <f ca="1">IF(History!FX$2="","",#REF!*$C$96)</f>
        <v/>
      </c>
      <c r="FU96" s="11" t="str">
        <f ca="1">IF(History!FY$2="","",#REF!*$C$96)</f>
        <v/>
      </c>
      <c r="FV96" s="11" t="str">
        <f ca="1">IF(History!FZ$2="","",#REF!*$C$96)</f>
        <v/>
      </c>
      <c r="FW96" s="11" t="str">
        <f ca="1">IF(History!GA$2="","",#REF!*$C$96)</f>
        <v/>
      </c>
      <c r="FX96" s="11" t="str">
        <f ca="1">IF(History!GB$2="","",#REF!*$C$96)</f>
        <v/>
      </c>
      <c r="FY96" s="11" t="str">
        <f ca="1">IF(History!GC$2="","",#REF!*$C$96)</f>
        <v/>
      </c>
      <c r="FZ96" s="11" t="str">
        <f ca="1">IF(History!GD$2="","",#REF!*$C$96)</f>
        <v/>
      </c>
      <c r="GA96" s="11" t="str">
        <f ca="1">IF(History!GE$2="","",#REF!*$C$96)</f>
        <v/>
      </c>
      <c r="GB96" s="11" t="str">
        <f ca="1">IF(History!GF$2="","",#REF!*$C$96)</f>
        <v/>
      </c>
      <c r="GC96" s="11" t="str">
        <f ca="1">IF(History!GG$2="","",#REF!*$C$96)</f>
        <v/>
      </c>
      <c r="GD96" s="11" t="str">
        <f ca="1">IF(History!GH$2="","",#REF!*$C$96)</f>
        <v/>
      </c>
      <c r="GE96" s="11" t="str">
        <f ca="1">IF(History!GI$2="","",#REF!*$C$96)</f>
        <v/>
      </c>
      <c r="GF96" s="11" t="str">
        <f ca="1">IF(History!GJ$2="","",#REF!*$C$96)</f>
        <v/>
      </c>
      <c r="GG96" s="11" t="str">
        <f ca="1">IF(History!GK$2="","",#REF!*$C$96)</f>
        <v/>
      </c>
      <c r="GH96" s="11" t="str">
        <f ca="1">IF(History!GL$2="","",#REF!*$C$96)</f>
        <v/>
      </c>
      <c r="GI96" s="11" t="str">
        <f ca="1">IF(History!GM$2="","",#REF!*$C$96)</f>
        <v/>
      </c>
      <c r="GJ96" s="11" t="str">
        <f ca="1">IF(History!GN$2="","",#REF!*$C$96)</f>
        <v/>
      </c>
      <c r="GK96" s="11" t="str">
        <f ca="1">IF(History!GO$2="","",#REF!*$C$96)</f>
        <v/>
      </c>
      <c r="GL96" s="11" t="str">
        <f ca="1">IF(History!GP$2="","",#REF!*$C$96)</f>
        <v/>
      </c>
      <c r="GM96" s="11" t="str">
        <f ca="1">IF(History!GQ$2="","",#REF!*$C$96)</f>
        <v/>
      </c>
      <c r="GN96" s="11" t="str">
        <f ca="1">IF(History!GR$2="","",#REF!*$C$96)</f>
        <v/>
      </c>
      <c r="GO96" s="11" t="str">
        <f ca="1">IF(History!GS$2="","",#REF!*$C$96)</f>
        <v/>
      </c>
      <c r="GP96" s="11" t="str">
        <f ca="1">IF(History!GT$2="","",#REF!*$C$96)</f>
        <v/>
      </c>
      <c r="GQ96" s="11" t="str">
        <f ca="1">IF(History!GU$2="","",#REF!*$C$96)</f>
        <v/>
      </c>
      <c r="GR96" s="11" t="str">
        <f ca="1">IF(History!GV$2="","",#REF!*$C$96)</f>
        <v/>
      </c>
      <c r="GS96" s="11" t="str">
        <f ca="1">IF(History!GW$2="","",#REF!*$C$96)</f>
        <v/>
      </c>
      <c r="GT96" s="11" t="str">
        <f ca="1">IF(History!GX$2="","",#REF!*$C$96)</f>
        <v/>
      </c>
      <c r="GU96" s="11" t="str">
        <f ca="1">IF(History!GY$2="","",#REF!*$C$96)</f>
        <v/>
      </c>
      <c r="GV96" s="11" t="str">
        <f ca="1">IF(History!GZ$2="","",#REF!*$C$96)</f>
        <v/>
      </c>
      <c r="GW96" s="11" t="str">
        <f ca="1">IF(History!HA$2="","",#REF!*$C$96)</f>
        <v/>
      </c>
      <c r="GX96" s="11" t="str">
        <f ca="1">IF(History!HB$2="","",#REF!*$C$96)</f>
        <v/>
      </c>
      <c r="GY96" s="11" t="str">
        <f ca="1">IF(History!HC$2="","",#REF!*$C$96)</f>
        <v/>
      </c>
      <c r="GZ96" s="11" t="str">
        <f ca="1">IF(History!HD$2="","",#REF!*$C$96)</f>
        <v/>
      </c>
      <c r="HA96" s="11" t="str">
        <f ca="1">IF(History!HE$2="","",#REF!*$C$96)</f>
        <v/>
      </c>
      <c r="HB96" s="11" t="str">
        <f ca="1">IF(History!HF$2="","",#REF!*$C$96)</f>
        <v/>
      </c>
      <c r="HC96" s="11" t="str">
        <f ca="1">IF(History!HG$2="","",#REF!*$C$96)</f>
        <v/>
      </c>
      <c r="HD96" s="11" t="str">
        <f ca="1">IF(History!HH$2="","",#REF!*$C$96)</f>
        <v/>
      </c>
      <c r="HE96" s="11" t="str">
        <f ca="1">IF(History!HI$2="","",#REF!*$C$96)</f>
        <v/>
      </c>
      <c r="HF96" s="11" t="str">
        <f ca="1">IF(History!HJ$2="","",#REF!*$C$96)</f>
        <v/>
      </c>
      <c r="HG96" s="11" t="str">
        <f ca="1">IF(History!HK$2="","",#REF!*$C$96)</f>
        <v/>
      </c>
      <c r="HH96" s="11" t="str">
        <f ca="1">IF(History!HL$2="","",#REF!*$C$96)</f>
        <v/>
      </c>
      <c r="HI96" s="11" t="str">
        <f ca="1">IF(History!HM$2="","",#REF!*$C$96)</f>
        <v/>
      </c>
      <c r="HJ96" s="11" t="str">
        <f ca="1">IF(History!HN$2="","",#REF!*$C$96)</f>
        <v/>
      </c>
      <c r="HK96" s="11" t="str">
        <f ca="1">IF(History!HO$2="","",#REF!*$C$96)</f>
        <v/>
      </c>
      <c r="HL96" s="11" t="str">
        <f ca="1">IF(History!HP$2="","",#REF!*$C$96)</f>
        <v/>
      </c>
      <c r="HM96" s="11" t="str">
        <f ca="1">IF(History!HQ$2="","",#REF!*$C$96)</f>
        <v/>
      </c>
      <c r="HN96" s="11" t="str">
        <f ca="1">IF(History!HR$2="","",#REF!*$C$96)</f>
        <v/>
      </c>
      <c r="HO96" s="11" t="str">
        <f ca="1">IF(History!HS$2="","",#REF!*$C$96)</f>
        <v/>
      </c>
      <c r="HP96" s="11" t="str">
        <f ca="1">IF(History!HT$2="","",#REF!*$C$96)</f>
        <v/>
      </c>
      <c r="HQ96" s="11" t="str">
        <f ca="1">IF(History!HU$2="","",#REF!*$C$96)</f>
        <v/>
      </c>
      <c r="HR96" s="11" t="str">
        <f ca="1">IF(History!HV$2="","",#REF!*$C$96)</f>
        <v/>
      </c>
      <c r="HS96" s="11" t="str">
        <f ca="1">IF(History!HW$2="","",#REF!*$C$96)</f>
        <v/>
      </c>
      <c r="HT96" s="11" t="str">
        <f ca="1">IF(History!HX$2="","",#REF!*$C$96)</f>
        <v/>
      </c>
      <c r="HU96" s="11" t="str">
        <f ca="1">IF(History!HY$2="","",#REF!*$C$96)</f>
        <v/>
      </c>
      <c r="HV96" s="11" t="str">
        <f ca="1">IF(History!HZ$2="","",#REF!*$C$96)</f>
        <v/>
      </c>
      <c r="HW96" s="11" t="str">
        <f ca="1">IF(History!IA$2="","",#REF!*$C$96)</f>
        <v/>
      </c>
      <c r="HX96" s="11" t="str">
        <f ca="1">IF(History!IB$2="","",#REF!*$C$96)</f>
        <v/>
      </c>
      <c r="HY96" s="11" t="str">
        <f ca="1">IF(History!IC$2="","",#REF!*$C$96)</f>
        <v/>
      </c>
      <c r="HZ96" s="11" t="str">
        <f ca="1">IF(History!ID$2="","",#REF!*$C$96)</f>
        <v/>
      </c>
      <c r="IA96" s="11" t="str">
        <f ca="1">IF(History!IE$2="","",#REF!*$C$96)</f>
        <v/>
      </c>
      <c r="IB96" s="11" t="str">
        <f ca="1">IF(History!IF$2="","",#REF!*$C$96)</f>
        <v/>
      </c>
      <c r="IC96" s="11" t="str">
        <f ca="1">IF(History!IG$2="","",#REF!*$C$96)</f>
        <v/>
      </c>
      <c r="ID96" s="11" t="str">
        <f ca="1">IF(History!IH$2="","",#REF!*$C$96)</f>
        <v/>
      </c>
      <c r="IE96" s="11" t="str">
        <f ca="1">IF(History!II$2="","",#REF!*$C$96)</f>
        <v/>
      </c>
      <c r="IF96" s="11" t="str">
        <f ca="1">IF(History!IJ$2="","",#REF!*$C$96)</f>
        <v/>
      </c>
      <c r="IG96" s="11" t="str">
        <f ca="1">IF(History!IK$2="","",#REF!*$C$96)</f>
        <v/>
      </c>
      <c r="IH96" s="11" t="str">
        <f ca="1">IF(History!IL$2="","",#REF!*$C$96)</f>
        <v/>
      </c>
      <c r="II96" s="11" t="str">
        <f ca="1">IF(History!IM$2="","",#REF!*$C$96)</f>
        <v/>
      </c>
      <c r="IJ96" s="11" t="str">
        <f ca="1">IF(History!IN$2="","",#REF!*$C$96)</f>
        <v/>
      </c>
      <c r="IK96" s="11" t="str">
        <f ca="1">IF(History!IO$2="","",#REF!*$C$96)</f>
        <v/>
      </c>
      <c r="IL96" s="11" t="str">
        <f ca="1">IF(History!IP$2="","",#REF!*$C$96)</f>
        <v/>
      </c>
      <c r="IM96" s="11" t="str">
        <f ca="1">IF(History!IQ$2="","",#REF!*$C$96)</f>
        <v/>
      </c>
      <c r="IN96" s="11" t="str">
        <f ca="1">IF(History!IR$2="","",#REF!*$C$96)</f>
        <v/>
      </c>
      <c r="IO96" s="11" t="str">
        <f ca="1">IF(History!IS$2="","",#REF!*$C$96)</f>
        <v/>
      </c>
      <c r="IP96" s="11" t="str">
        <f ca="1">IF(History!IT$2="","",#REF!*$C$96)</f>
        <v/>
      </c>
      <c r="IQ96" s="11" t="str">
        <f ca="1">IF(History!IU$2="","",#REF!*$C$96)</f>
        <v/>
      </c>
      <c r="IR96" s="11" t="str">
        <f ca="1">IF(History!IV$2="","",#REF!*$C$96)</f>
        <v/>
      </c>
      <c r="IS96" s="11" t="str">
        <f ca="1">IF(History!IW$2="","",#REF!*$C$96)</f>
        <v/>
      </c>
      <c r="IT96" s="11" t="str">
        <f ca="1">IF(History!IX$2="","",#REF!*$C$96)</f>
        <v/>
      </c>
      <c r="IU96" s="11" t="str">
        <f ca="1">IF(History!IY$2="","",#REF!*$C$96)</f>
        <v/>
      </c>
      <c r="IV96" s="11" t="str">
        <f ca="1">IF(History!IZ$2="","",#REF!*$C$96)</f>
        <v/>
      </c>
      <c r="IW96" s="11" t="str">
        <f ca="1">IF(History!JA$2="","",#REF!*$C$96)</f>
        <v/>
      </c>
      <c r="IX96" s="11" t="str">
        <f ca="1">IF(History!JB$2="","",#REF!*$C$96)</f>
        <v/>
      </c>
      <c r="IY96" s="11" t="str">
        <f ca="1">IF(History!JC$2="","",#REF!*$C$96)</f>
        <v/>
      </c>
      <c r="IZ96" s="11" t="str">
        <f ca="1">IF(History!JD$2="","",#REF!*$C$96)</f>
        <v/>
      </c>
      <c r="JA96" s="11" t="str">
        <f ca="1">IF(History!JE$2="","",#REF!*$C$96)</f>
        <v/>
      </c>
      <c r="JB96" s="11" t="str">
        <f ca="1">IF(History!JF$2="","",#REF!*$C$96)</f>
        <v/>
      </c>
      <c r="JC96" s="11" t="str">
        <f ca="1">IF(History!JG$2="","",#REF!*$C$96)</f>
        <v/>
      </c>
      <c r="JD96" s="11" t="str">
        <f ca="1">IF(History!JH$2="","",#REF!*$C$96)</f>
        <v/>
      </c>
      <c r="JE96" s="11" t="str">
        <f ca="1">IF(History!JI$2="","",#REF!*$C$96)</f>
        <v/>
      </c>
      <c r="JF96" s="11" t="str">
        <f ca="1">IF(History!JJ$2="","",#REF!*$C$96)</f>
        <v/>
      </c>
      <c r="JG96" s="11" t="str">
        <f ca="1">IF(History!JK$2="","",#REF!*$C$96)</f>
        <v/>
      </c>
      <c r="JH96" s="11" t="str">
        <f ca="1">IF(History!JL$2="","",#REF!*$C$96)</f>
        <v/>
      </c>
      <c r="JI96" s="11" t="str">
        <f ca="1">IF(History!JM$2="","",#REF!*$C$96)</f>
        <v/>
      </c>
      <c r="JJ96" s="11" t="str">
        <f ca="1">IF(History!JN$2="","",#REF!*$C$96)</f>
        <v/>
      </c>
      <c r="JK96" s="11" t="str">
        <f ca="1">IF(History!JO$2="","",#REF!*$C$96)</f>
        <v/>
      </c>
      <c r="JL96" s="11" t="str">
        <f ca="1">IF(History!JP$2="","",#REF!*$C$96)</f>
        <v/>
      </c>
      <c r="JM96" s="11" t="str">
        <f ca="1">IF(History!JQ$2="","",#REF!*$C$96)</f>
        <v/>
      </c>
      <c r="JN96" s="11" t="str">
        <f ca="1">IF(History!JR$2="","",#REF!*$C$96)</f>
        <v/>
      </c>
      <c r="JO96" s="11" t="str">
        <f ca="1">IF(History!JS$2="","",#REF!*$C$96)</f>
        <v/>
      </c>
      <c r="JP96" s="11" t="str">
        <f ca="1">IF(History!JT$2="","",#REF!*$C$96)</f>
        <v/>
      </c>
      <c r="JQ96" s="11" t="str">
        <f ca="1">IF(History!JU$2="","",#REF!*$C$96)</f>
        <v/>
      </c>
      <c r="JR96" s="11" t="str">
        <f ca="1">IF(History!JV$2="","",#REF!*$C$96)</f>
        <v/>
      </c>
      <c r="JS96" s="11" t="str">
        <f ca="1">IF(History!JW$2="","",#REF!*$C$96)</f>
        <v/>
      </c>
      <c r="JT96" s="11" t="str">
        <f ca="1">IF(History!JX$2="","",#REF!*$C$96)</f>
        <v/>
      </c>
      <c r="JU96" s="11" t="str">
        <f ca="1">IF(History!JY$2="","",#REF!*$C$96)</f>
        <v/>
      </c>
      <c r="JV96" s="11" t="str">
        <f ca="1">IF(History!JZ$2="","",#REF!*$C$96)</f>
        <v/>
      </c>
      <c r="JW96" s="11" t="str">
        <f ca="1">IF(History!KA$2="","",#REF!*$C$96)</f>
        <v/>
      </c>
      <c r="JX96" s="11" t="str">
        <f ca="1">IF(History!KB$2="","",#REF!*$C$96)</f>
        <v/>
      </c>
      <c r="JY96" s="11" t="str">
        <f ca="1">IF(History!KC$2="","",#REF!*$C$96)</f>
        <v/>
      </c>
      <c r="JZ96" s="11" t="str">
        <f ca="1">IF(History!KD$2="","",#REF!*$C$96)</f>
        <v/>
      </c>
      <c r="KA96" s="11" t="str">
        <f ca="1">IF(History!KE$2="","",#REF!*$C$96)</f>
        <v/>
      </c>
      <c r="KB96" s="11" t="str">
        <f ca="1">IF(History!KF$2="","",#REF!*$C$96)</f>
        <v/>
      </c>
    </row>
    <row r="97" spans="1:288" ht="13">
      <c r="A97" s="18" t="s">
        <v>140</v>
      </c>
      <c r="B97" s="6" t="s">
        <v>174</v>
      </c>
      <c r="C97" s="26">
        <v>78</v>
      </c>
      <c r="D97" s="11" t="e">
        <f ca="1">IF(History!H$2="","",#REF!*$C$97)</f>
        <v>#REF!</v>
      </c>
      <c r="E97" s="11" t="e">
        <f ca="1">IF(History!I$2="","",#REF!*$C$97)</f>
        <v>#REF!</v>
      </c>
      <c r="F97" s="11" t="e">
        <f ca="1">IF(History!J$2="","",#REF!*$C$97)</f>
        <v>#REF!</v>
      </c>
      <c r="G97" s="11" t="e">
        <f ca="1">IF(History!K$2="","",#REF!*$C$97)</f>
        <v>#REF!</v>
      </c>
      <c r="H97" s="11" t="e">
        <f ca="1">IF(History!L$2="","",#REF!*$C$97)</f>
        <v>#REF!</v>
      </c>
      <c r="I97" s="11" t="e">
        <f ca="1">IF(History!M$2="","",#REF!*$C$97)</f>
        <v>#REF!</v>
      </c>
      <c r="J97" s="11" t="e">
        <f ca="1">IF(History!N$2="","",#REF!*$C$97)</f>
        <v>#REF!</v>
      </c>
      <c r="K97" s="11" t="e">
        <f ca="1">IF(History!O$2="","",#REF!*$C$97)</f>
        <v>#REF!</v>
      </c>
      <c r="L97" s="11" t="e">
        <f ca="1">IF(History!P$2="","",#REF!*$C$97)</f>
        <v>#REF!</v>
      </c>
      <c r="M97" s="11" t="e">
        <f ca="1">IF(History!Q$2="","",#REF!*$C$97)</f>
        <v>#REF!</v>
      </c>
      <c r="N97" s="11" t="e">
        <f ca="1">IF(History!R$2="","",#REF!*$C$97)</f>
        <v>#REF!</v>
      </c>
      <c r="O97" s="11" t="e">
        <f ca="1">IF(History!S$2="","",#REF!*$C$97)</f>
        <v>#REF!</v>
      </c>
      <c r="P97" s="11" t="e">
        <f ca="1">IF(History!T$2="","",#REF!*$C$97)</f>
        <v>#REF!</v>
      </c>
      <c r="Q97" s="11" t="e">
        <f ca="1">IF(History!U$2="","",#REF!*$C$97)</f>
        <v>#REF!</v>
      </c>
      <c r="R97" s="11" t="e">
        <f ca="1">IF(History!V$2="","",#REF!*$C$97)</f>
        <v>#REF!</v>
      </c>
      <c r="S97" s="11" t="e">
        <f ca="1">IF(History!W$2="","",#REF!*$C$97)</f>
        <v>#REF!</v>
      </c>
      <c r="T97" s="11" t="e">
        <f ca="1">IF(History!X$2="","",#REF!*$C$97)</f>
        <v>#REF!</v>
      </c>
      <c r="U97" s="11" t="e">
        <f ca="1">IF(History!Y$2="","",#REF!*$C$97)</f>
        <v>#REF!</v>
      </c>
      <c r="V97" s="11" t="e">
        <f ca="1">IF(History!Z$2="","",#REF!*$C$97)</f>
        <v>#REF!</v>
      </c>
      <c r="W97" s="11" t="e">
        <f ca="1">IF(History!AA$2="","",#REF!*$C$97)</f>
        <v>#REF!</v>
      </c>
      <c r="X97" s="11" t="e">
        <f ca="1">IF(History!AB$2="","",#REF!*$C$97)</f>
        <v>#REF!</v>
      </c>
      <c r="Y97" s="11" t="e">
        <f ca="1">IF(History!AC$2="","",#REF!*$C$97)</f>
        <v>#REF!</v>
      </c>
      <c r="Z97" s="11" t="e">
        <f ca="1">IF(History!AD$2="","",#REF!*$C$97)</f>
        <v>#REF!</v>
      </c>
      <c r="AA97" s="11" t="e">
        <f ca="1">IF(History!AE$2="","",#REF!*$C$97)</f>
        <v>#REF!</v>
      </c>
      <c r="AB97" s="11" t="e">
        <f ca="1">IF(History!AF$2="","",#REF!*$C$97)</f>
        <v>#REF!</v>
      </c>
      <c r="AC97" s="11" t="e">
        <f ca="1">IF(History!AG$2="","",#REF!*$C$97)</f>
        <v>#REF!</v>
      </c>
      <c r="AD97" s="11" t="e">
        <f ca="1">IF(History!AH$2="","",#REF!*$C$97)</f>
        <v>#REF!</v>
      </c>
      <c r="AE97" s="11" t="e">
        <f ca="1">IF(History!AI$2="","",#REF!*$C$97)</f>
        <v>#REF!</v>
      </c>
      <c r="AF97" s="11" t="e">
        <f ca="1">IF(History!AJ$2="","",#REF!*$C$97)</f>
        <v>#REF!</v>
      </c>
      <c r="AG97" s="11" t="e">
        <f ca="1">IF(History!AK$2="","",#REF!*$C$97)</f>
        <v>#REF!</v>
      </c>
      <c r="AH97" s="11" t="e">
        <f ca="1">IF(History!AL$2="","",#REF!*$C$97)</f>
        <v>#REF!</v>
      </c>
      <c r="AI97" s="11" t="e">
        <f ca="1">IF(History!AM$2="","",#REF!*$C$97)</f>
        <v>#REF!</v>
      </c>
      <c r="AJ97" s="11" t="e">
        <f ca="1">IF(History!AN$2="","",#REF!*$C$97)</f>
        <v>#REF!</v>
      </c>
      <c r="AK97" s="11" t="e">
        <f ca="1">IF(History!AO$2="","",#REF!*$C$97)</f>
        <v>#REF!</v>
      </c>
      <c r="AL97" s="11" t="e">
        <f ca="1">IF(History!AP$2="","",#REF!*$C$97)</f>
        <v>#REF!</v>
      </c>
      <c r="AM97" s="11" t="e">
        <f ca="1">IF(History!AQ$2="","",#REF!*$C$97)</f>
        <v>#REF!</v>
      </c>
      <c r="AN97" s="11" t="e">
        <f ca="1">IF(History!AR$2="","",#REF!*$C$97)</f>
        <v>#REF!</v>
      </c>
      <c r="AO97" s="11" t="e">
        <f ca="1">IF(History!AS$2="","",#REF!*$C$97)</f>
        <v>#REF!</v>
      </c>
      <c r="AP97" s="11" t="e">
        <f ca="1">IF(History!AT$2="","",#REF!*$C$97)</f>
        <v>#REF!</v>
      </c>
      <c r="AQ97" s="11" t="e">
        <f ca="1">IF(History!AU$2="","",#REF!*$C$97)</f>
        <v>#REF!</v>
      </c>
      <c r="AR97" s="11" t="e">
        <f ca="1">IF(History!AV$2="","",#REF!*$C$97)</f>
        <v>#REF!</v>
      </c>
      <c r="AS97" s="11" t="e">
        <f ca="1">IF(History!AW$2="","",#REF!*$C$97)</f>
        <v>#REF!</v>
      </c>
      <c r="AT97" s="11" t="e">
        <f ca="1">IF(History!AX$2="","",#REF!*$C$97)</f>
        <v>#REF!</v>
      </c>
      <c r="AU97" s="11" t="e">
        <f ca="1">IF(History!AY$2="","",#REF!*$C$97)</f>
        <v>#REF!</v>
      </c>
      <c r="AV97" s="11" t="e">
        <f ca="1">IF(History!AZ$2="","",#REF!*$C$97)</f>
        <v>#REF!</v>
      </c>
      <c r="AW97" s="11" t="e">
        <f ca="1">IF(History!BA$2="","",#REF!*$C$97)</f>
        <v>#REF!</v>
      </c>
      <c r="AX97" s="11" t="e">
        <f ca="1">IF(History!BB$2="","",#REF!*$C$97)</f>
        <v>#REF!</v>
      </c>
      <c r="AY97" s="11" t="e">
        <f ca="1">IF(History!BC$2="","",#REF!*$C$97)</f>
        <v>#REF!</v>
      </c>
      <c r="AZ97" s="11" t="e">
        <f ca="1">IF(History!BD$2="","",#REF!*$C$97)</f>
        <v>#REF!</v>
      </c>
      <c r="BA97" s="11" t="e">
        <f ca="1">IF(History!BE$2="","",#REF!*$C$97)</f>
        <v>#REF!</v>
      </c>
      <c r="BB97" s="11" t="e">
        <f ca="1">IF(History!BF$2="","",#REF!*$C$97)</f>
        <v>#REF!</v>
      </c>
      <c r="BC97" s="11" t="e">
        <f ca="1">IF(History!BG$2="","",#REF!*$C$97)</f>
        <v>#REF!</v>
      </c>
      <c r="BD97" s="11" t="e">
        <f ca="1">IF(History!BH$2="","",#REF!*$C$97)</f>
        <v>#REF!</v>
      </c>
      <c r="BE97" s="11" t="e">
        <f ca="1">IF(History!BI$2="","",#REF!*$C$97)</f>
        <v>#REF!</v>
      </c>
      <c r="BF97" s="11" t="e">
        <f ca="1">IF(History!BJ$2="","",#REF!*$C$97)</f>
        <v>#REF!</v>
      </c>
      <c r="BG97" s="11" t="e">
        <f ca="1">IF(History!BK$2="","",#REF!*$C$97)</f>
        <v>#REF!</v>
      </c>
      <c r="BH97" s="11" t="e">
        <f ca="1">IF(History!BL$2="","",#REF!*$C$97)</f>
        <v>#REF!</v>
      </c>
      <c r="BI97" s="11" t="e">
        <f ca="1">IF(History!BM$2="","",#REF!*$C$97)</f>
        <v>#REF!</v>
      </c>
      <c r="BJ97" s="11" t="e">
        <f ca="1">IF(History!BN$2="","",#REF!*$C$97)</f>
        <v>#REF!</v>
      </c>
      <c r="BK97" s="11" t="e">
        <f ca="1">IF(History!BO$2="","",#REF!*$C$97)</f>
        <v>#REF!</v>
      </c>
      <c r="BL97" s="11" t="e">
        <f ca="1">IF(History!BP$2="","",#REF!*$C$97)</f>
        <v>#REF!</v>
      </c>
      <c r="BM97" s="11" t="e">
        <f ca="1">IF(History!BQ$2="","",#REF!*$C$97)</f>
        <v>#REF!</v>
      </c>
      <c r="BN97" s="11" t="e">
        <f ca="1">IF(History!BR$2="","",#REF!*$C$97)</f>
        <v>#REF!</v>
      </c>
      <c r="BO97" s="11" t="e">
        <f ca="1">IF(History!BS$2="","",#REF!*$C$97)</f>
        <v>#REF!</v>
      </c>
      <c r="BP97" s="11" t="e">
        <f ca="1">IF(History!BT$2="","",#REF!*$C$97)</f>
        <v>#REF!</v>
      </c>
      <c r="BQ97" s="11" t="e">
        <f ca="1">IF(History!BU$2="","",#REF!*$C$97)</f>
        <v>#REF!</v>
      </c>
      <c r="BR97" s="11" t="e">
        <f ca="1">IF(History!BV$2="","",#REF!*$C$97)</f>
        <v>#REF!</v>
      </c>
      <c r="BS97" s="11" t="e">
        <f ca="1">IF(History!BW$2="","",#REF!*$C$97)</f>
        <v>#REF!</v>
      </c>
      <c r="BT97" s="11" t="e">
        <f ca="1">IF(History!BX$2="","",#REF!*$C$97)</f>
        <v>#REF!</v>
      </c>
      <c r="BU97" s="11" t="e">
        <f ca="1">IF(History!BY$2="","",#REF!*$C$97)</f>
        <v>#REF!</v>
      </c>
      <c r="BV97" s="11" t="e">
        <f ca="1">IF(History!BZ$2="","",#REF!*$C$97)</f>
        <v>#REF!</v>
      </c>
      <c r="BW97" s="11" t="e">
        <f ca="1">IF(History!CA$2="","",#REF!*$C$97)</f>
        <v>#REF!</v>
      </c>
      <c r="BX97" s="11" t="e">
        <f ca="1">IF(History!CB$2="","",#REF!*$C$97)</f>
        <v>#REF!</v>
      </c>
      <c r="BY97" s="11" t="e">
        <f ca="1">IF(History!CC$2="","",#REF!*$C$97)</f>
        <v>#REF!</v>
      </c>
      <c r="BZ97" s="11" t="e">
        <f ca="1">IF(History!CD$2="","",#REF!*$C$97)</f>
        <v>#REF!</v>
      </c>
      <c r="CA97" s="11" t="e">
        <f ca="1">IF(History!CE$2="","",#REF!*$C$97)</f>
        <v>#REF!</v>
      </c>
      <c r="CB97" s="11" t="e">
        <f ca="1">IF(History!CF$2="","",#REF!*$C$97)</f>
        <v>#REF!</v>
      </c>
      <c r="CC97" s="11" t="e">
        <f ca="1">IF(History!CG$2="","",#REF!*$C$97)</f>
        <v>#REF!</v>
      </c>
      <c r="CD97" s="11" t="e">
        <f ca="1">IF(History!CH$2="","",#REF!*$C$97)</f>
        <v>#REF!</v>
      </c>
      <c r="CE97" s="11" t="e">
        <f ca="1">IF(History!CI$2="","",#REF!*$C$97)</f>
        <v>#REF!</v>
      </c>
      <c r="CF97" s="11" t="str">
        <f ca="1">IF(History!CJ$2="","",#REF!*$C$97)</f>
        <v/>
      </c>
      <c r="CG97" s="11" t="str">
        <f ca="1">IF(History!CK$2="","",#REF!*$C$97)</f>
        <v/>
      </c>
      <c r="CH97" s="11" t="str">
        <f ca="1">IF(History!CL$2="","",#REF!*$C$97)</f>
        <v/>
      </c>
      <c r="CI97" s="11" t="str">
        <f ca="1">IF(History!CM$2="","",#REF!*$C$97)</f>
        <v/>
      </c>
      <c r="CJ97" s="11" t="str">
        <f ca="1">IF(History!CN$2="","",#REF!*$C$97)</f>
        <v/>
      </c>
      <c r="CK97" s="11" t="str">
        <f ca="1">IF(History!CO$2="","",#REF!*$C$97)</f>
        <v/>
      </c>
      <c r="CL97" s="11" t="str">
        <f ca="1">IF(History!CP$2="","",#REF!*$C$97)</f>
        <v/>
      </c>
      <c r="CM97" s="11" t="str">
        <f ca="1">IF(History!CQ$2="","",#REF!*$C$97)</f>
        <v/>
      </c>
      <c r="CN97" s="11" t="str">
        <f ca="1">IF(History!CR$2="","",#REF!*$C$97)</f>
        <v/>
      </c>
      <c r="CO97" s="11" t="str">
        <f ca="1">IF(History!CS$2="","",#REF!*$C$97)</f>
        <v/>
      </c>
      <c r="CP97" s="11" t="str">
        <f ca="1">IF(History!CT$2="","",#REF!*$C$97)</f>
        <v/>
      </c>
      <c r="CQ97" s="11" t="str">
        <f ca="1">IF(History!CU$2="","",#REF!*$C$97)</f>
        <v/>
      </c>
      <c r="CR97" s="11" t="str">
        <f ca="1">IF(History!CV$2="","",#REF!*$C$97)</f>
        <v/>
      </c>
      <c r="CS97" s="11" t="str">
        <f ca="1">IF(History!CW$2="","",#REF!*$C$97)</f>
        <v/>
      </c>
      <c r="CT97" s="11" t="str">
        <f ca="1">IF(History!CX$2="","",#REF!*$C$97)</f>
        <v/>
      </c>
      <c r="CU97" s="11" t="str">
        <f ca="1">IF(History!CY$2="","",#REF!*$C$97)</f>
        <v/>
      </c>
      <c r="CV97" s="11" t="str">
        <f ca="1">IF(History!CZ$2="","",#REF!*$C$97)</f>
        <v/>
      </c>
      <c r="CW97" s="11" t="str">
        <f ca="1">IF(History!DA$2="","",#REF!*$C$97)</f>
        <v/>
      </c>
      <c r="CX97" s="11" t="str">
        <f ca="1">IF(History!DB$2="","",#REF!*$C$97)</f>
        <v/>
      </c>
      <c r="CY97" s="11" t="str">
        <f ca="1">IF(History!DC$2="","",#REF!*$C$97)</f>
        <v/>
      </c>
      <c r="CZ97" s="11" t="str">
        <f ca="1">IF(History!DD$2="","",#REF!*$C$97)</f>
        <v/>
      </c>
      <c r="DA97" s="11" t="str">
        <f ca="1">IF(History!DE$2="","",#REF!*$C$97)</f>
        <v/>
      </c>
      <c r="DB97" s="11" t="str">
        <f ca="1">IF(History!DF$2="","",#REF!*$C$97)</f>
        <v/>
      </c>
      <c r="DC97" s="11" t="str">
        <f ca="1">IF(History!DG$2="","",#REF!*$C$97)</f>
        <v/>
      </c>
      <c r="DD97" s="11" t="str">
        <f ca="1">IF(History!DH$2="","",#REF!*$C$97)</f>
        <v/>
      </c>
      <c r="DE97" s="11" t="str">
        <f ca="1">IF(History!DI$2="","",#REF!*$C$97)</f>
        <v/>
      </c>
      <c r="DF97" s="11" t="str">
        <f ca="1">IF(History!DJ$2="","",#REF!*$C$97)</f>
        <v/>
      </c>
      <c r="DG97" s="11" t="str">
        <f ca="1">IF(History!DK$2="","",#REF!*$C$97)</f>
        <v/>
      </c>
      <c r="DH97" s="11" t="str">
        <f ca="1">IF(History!DL$2="","",#REF!*$C$97)</f>
        <v/>
      </c>
      <c r="DI97" s="11" t="str">
        <f ca="1">IF(History!DM$2="","",#REF!*$C$97)</f>
        <v/>
      </c>
      <c r="DJ97" s="11" t="str">
        <f ca="1">IF(History!DN$2="","",#REF!*$C$97)</f>
        <v/>
      </c>
      <c r="DK97" s="11" t="str">
        <f ca="1">IF(History!DO$2="","",#REF!*$C$97)</f>
        <v/>
      </c>
      <c r="DL97" s="11" t="str">
        <f ca="1">IF(History!DP$2="","",#REF!*$C$97)</f>
        <v/>
      </c>
      <c r="DM97" s="11" t="str">
        <f ca="1">IF(History!DQ$2="","",#REF!*$C$97)</f>
        <v/>
      </c>
      <c r="DN97" s="11" t="str">
        <f ca="1">IF(History!DR$2="","",#REF!*$C$97)</f>
        <v/>
      </c>
      <c r="DO97" s="11" t="str">
        <f ca="1">IF(History!DS$2="","",#REF!*$C$97)</f>
        <v/>
      </c>
      <c r="DP97" s="11" t="str">
        <f ca="1">IF(History!DT$2="","",#REF!*$C$97)</f>
        <v/>
      </c>
      <c r="DQ97" s="11" t="str">
        <f ca="1">IF(History!DU$2="","",#REF!*$C$97)</f>
        <v/>
      </c>
      <c r="DR97" s="11" t="str">
        <f ca="1">IF(History!DV$2="","",#REF!*$C$97)</f>
        <v/>
      </c>
      <c r="DS97" s="11" t="str">
        <f ca="1">IF(History!DW$2="","",#REF!*$C$97)</f>
        <v/>
      </c>
      <c r="DT97" s="11" t="str">
        <f ca="1">IF(History!DX$2="","",#REF!*$C$97)</f>
        <v/>
      </c>
      <c r="DU97" s="11" t="str">
        <f ca="1">IF(History!DY$2="","",#REF!*$C$97)</f>
        <v/>
      </c>
      <c r="DV97" s="11" t="str">
        <f ca="1">IF(History!DZ$2="","",#REF!*$C$97)</f>
        <v/>
      </c>
      <c r="DW97" s="11" t="str">
        <f ca="1">IF(History!EA$2="","",#REF!*$C$97)</f>
        <v/>
      </c>
      <c r="DX97" s="11" t="str">
        <f ca="1">IF(History!EB$2="","",#REF!*$C$97)</f>
        <v/>
      </c>
      <c r="DY97" s="11" t="str">
        <f ca="1">IF(History!EC$2="","",#REF!*$C$97)</f>
        <v/>
      </c>
      <c r="DZ97" s="11" t="str">
        <f ca="1">IF(History!ED$2="","",#REF!*$C$97)</f>
        <v/>
      </c>
      <c r="EA97" s="11" t="str">
        <f ca="1">IF(History!EE$2="","",#REF!*$C$97)</f>
        <v/>
      </c>
      <c r="EB97" s="11" t="str">
        <f ca="1">IF(History!EF$2="","",#REF!*$C$97)</f>
        <v/>
      </c>
      <c r="EC97" s="11" t="str">
        <f ca="1">IF(History!EG$2="","",#REF!*$C$97)</f>
        <v/>
      </c>
      <c r="ED97" s="11" t="str">
        <f ca="1">IF(History!EH$2="","",#REF!*$C$97)</f>
        <v/>
      </c>
      <c r="EE97" s="11" t="str">
        <f ca="1">IF(History!EI$2="","",#REF!*$C$97)</f>
        <v/>
      </c>
      <c r="EF97" s="11" t="str">
        <f ca="1">IF(History!EJ$2="","",#REF!*$C$97)</f>
        <v/>
      </c>
      <c r="EG97" s="11" t="str">
        <f ca="1">IF(History!EK$2="","",#REF!*$C$97)</f>
        <v/>
      </c>
      <c r="EH97" s="11" t="str">
        <f ca="1">IF(History!EL$2="","",#REF!*$C$97)</f>
        <v/>
      </c>
      <c r="EI97" s="11" t="str">
        <f ca="1">IF(History!EM$2="","",#REF!*$C$97)</f>
        <v/>
      </c>
      <c r="EJ97" s="11" t="str">
        <f ca="1">IF(History!EN$2="","",#REF!*$C$97)</f>
        <v/>
      </c>
      <c r="EK97" s="11" t="str">
        <f ca="1">IF(History!EO$2="","",#REF!*$C$97)</f>
        <v/>
      </c>
      <c r="EL97" s="11" t="str">
        <f ca="1">IF(History!EP$2="","",#REF!*$C$97)</f>
        <v/>
      </c>
      <c r="EM97" s="11" t="str">
        <f ca="1">IF(History!EQ$2="","",#REF!*$C$97)</f>
        <v/>
      </c>
      <c r="EN97" s="11" t="str">
        <f ca="1">IF(History!ER$2="","",#REF!*$C$97)</f>
        <v/>
      </c>
      <c r="EO97" s="11" t="str">
        <f ca="1">IF(History!ES$2="","",#REF!*$C$97)</f>
        <v/>
      </c>
      <c r="EP97" s="11" t="str">
        <f ca="1">IF(History!ET$2="","",#REF!*$C$97)</f>
        <v/>
      </c>
      <c r="EQ97" s="11" t="str">
        <f ca="1">IF(History!EU$2="","",#REF!*$C$97)</f>
        <v/>
      </c>
      <c r="ER97" s="11" t="str">
        <f ca="1">IF(History!EV$2="","",#REF!*$C$97)</f>
        <v/>
      </c>
      <c r="ES97" s="11" t="str">
        <f ca="1">IF(History!EW$2="","",#REF!*$C$97)</f>
        <v/>
      </c>
      <c r="ET97" s="11" t="str">
        <f ca="1">IF(History!EX$2="","",#REF!*$C$97)</f>
        <v/>
      </c>
      <c r="EU97" s="11" t="str">
        <f ca="1">IF(History!EY$2="","",#REF!*$C$97)</f>
        <v/>
      </c>
      <c r="EV97" s="11" t="str">
        <f ca="1">IF(History!EZ$2="","",#REF!*$C$97)</f>
        <v/>
      </c>
      <c r="EW97" s="11" t="str">
        <f ca="1">IF(History!FA$2="","",#REF!*$C$97)</f>
        <v/>
      </c>
      <c r="EX97" s="11" t="str">
        <f ca="1">IF(History!FB$2="","",#REF!*$C$97)</f>
        <v/>
      </c>
      <c r="EY97" s="11" t="str">
        <f ca="1">IF(History!FC$2="","",#REF!*$C$97)</f>
        <v/>
      </c>
      <c r="EZ97" s="11" t="str">
        <f ca="1">IF(History!FD$2="","",#REF!*$C$97)</f>
        <v/>
      </c>
      <c r="FA97" s="11" t="str">
        <f ca="1">IF(History!FE$2="","",#REF!*$C$97)</f>
        <v/>
      </c>
      <c r="FB97" s="11" t="str">
        <f ca="1">IF(History!FF$2="","",#REF!*$C$97)</f>
        <v/>
      </c>
      <c r="FC97" s="11" t="str">
        <f ca="1">IF(History!FG$2="","",#REF!*$C$97)</f>
        <v/>
      </c>
      <c r="FD97" s="11" t="str">
        <f ca="1">IF(History!FH$2="","",#REF!*$C$97)</f>
        <v/>
      </c>
      <c r="FE97" s="11" t="str">
        <f ca="1">IF(History!FI$2="","",#REF!*$C$97)</f>
        <v/>
      </c>
      <c r="FF97" s="11" t="str">
        <f ca="1">IF(History!FJ$2="","",#REF!*$C$97)</f>
        <v/>
      </c>
      <c r="FG97" s="11" t="str">
        <f ca="1">IF(History!FK$2="","",#REF!*$C$97)</f>
        <v/>
      </c>
      <c r="FH97" s="11" t="str">
        <f ca="1">IF(History!FL$2="","",#REF!*$C$97)</f>
        <v/>
      </c>
      <c r="FI97" s="11" t="str">
        <f ca="1">IF(History!FM$2="","",#REF!*$C$97)</f>
        <v/>
      </c>
      <c r="FJ97" s="11" t="str">
        <f ca="1">IF(History!FN$2="","",#REF!*$C$97)</f>
        <v/>
      </c>
      <c r="FK97" s="11" t="str">
        <f ca="1">IF(History!FO$2="","",#REF!*$C$97)</f>
        <v/>
      </c>
      <c r="FL97" s="11" t="str">
        <f ca="1">IF(History!FP$2="","",#REF!*$C$97)</f>
        <v/>
      </c>
      <c r="FM97" s="11" t="str">
        <f ca="1">IF(History!FQ$2="","",#REF!*$C$97)</f>
        <v/>
      </c>
      <c r="FN97" s="11" t="str">
        <f ca="1">IF(History!FR$2="","",#REF!*$C$97)</f>
        <v/>
      </c>
      <c r="FO97" s="11" t="str">
        <f ca="1">IF(History!FS$2="","",#REF!*$C$97)</f>
        <v/>
      </c>
      <c r="FP97" s="11" t="str">
        <f ca="1">IF(History!FT$2="","",#REF!*$C$97)</f>
        <v/>
      </c>
      <c r="FQ97" s="11" t="str">
        <f ca="1">IF(History!FU$2="","",#REF!*$C$97)</f>
        <v/>
      </c>
      <c r="FR97" s="11" t="str">
        <f ca="1">IF(History!FV$2="","",#REF!*$C$97)</f>
        <v/>
      </c>
      <c r="FS97" s="11" t="str">
        <f ca="1">IF(History!FW$2="","",#REF!*$C$97)</f>
        <v/>
      </c>
      <c r="FT97" s="11" t="str">
        <f ca="1">IF(History!FX$2="","",#REF!*$C$97)</f>
        <v/>
      </c>
      <c r="FU97" s="11" t="str">
        <f ca="1">IF(History!FY$2="","",#REF!*$C$97)</f>
        <v/>
      </c>
      <c r="FV97" s="11" t="str">
        <f ca="1">IF(History!FZ$2="","",#REF!*$C$97)</f>
        <v/>
      </c>
      <c r="FW97" s="11" t="str">
        <f ca="1">IF(History!GA$2="","",#REF!*$C$97)</f>
        <v/>
      </c>
      <c r="FX97" s="11" t="str">
        <f ca="1">IF(History!GB$2="","",#REF!*$C$97)</f>
        <v/>
      </c>
      <c r="FY97" s="11" t="str">
        <f ca="1">IF(History!GC$2="","",#REF!*$C$97)</f>
        <v/>
      </c>
      <c r="FZ97" s="11" t="str">
        <f ca="1">IF(History!GD$2="","",#REF!*$C$97)</f>
        <v/>
      </c>
      <c r="GA97" s="11" t="str">
        <f ca="1">IF(History!GE$2="","",#REF!*$C$97)</f>
        <v/>
      </c>
      <c r="GB97" s="11" t="str">
        <f ca="1">IF(History!GF$2="","",#REF!*$C$97)</f>
        <v/>
      </c>
      <c r="GC97" s="11" t="str">
        <f ca="1">IF(History!GG$2="","",#REF!*$C$97)</f>
        <v/>
      </c>
      <c r="GD97" s="11" t="str">
        <f ca="1">IF(History!GH$2="","",#REF!*$C$97)</f>
        <v/>
      </c>
      <c r="GE97" s="11" t="str">
        <f ca="1">IF(History!GI$2="","",#REF!*$C$97)</f>
        <v/>
      </c>
      <c r="GF97" s="11" t="str">
        <f ca="1">IF(History!GJ$2="","",#REF!*$C$97)</f>
        <v/>
      </c>
      <c r="GG97" s="11" t="str">
        <f ca="1">IF(History!GK$2="","",#REF!*$C$97)</f>
        <v/>
      </c>
      <c r="GH97" s="11" t="str">
        <f ca="1">IF(History!GL$2="","",#REF!*$C$97)</f>
        <v/>
      </c>
      <c r="GI97" s="11" t="str">
        <f ca="1">IF(History!GM$2="","",#REF!*$C$97)</f>
        <v/>
      </c>
      <c r="GJ97" s="11" t="str">
        <f ca="1">IF(History!GN$2="","",#REF!*$C$97)</f>
        <v/>
      </c>
      <c r="GK97" s="11" t="str">
        <f ca="1">IF(History!GO$2="","",#REF!*$C$97)</f>
        <v/>
      </c>
      <c r="GL97" s="11" t="str">
        <f ca="1">IF(History!GP$2="","",#REF!*$C$97)</f>
        <v/>
      </c>
      <c r="GM97" s="11" t="str">
        <f ca="1">IF(History!GQ$2="","",#REF!*$C$97)</f>
        <v/>
      </c>
      <c r="GN97" s="11" t="str">
        <f ca="1">IF(History!GR$2="","",#REF!*$C$97)</f>
        <v/>
      </c>
      <c r="GO97" s="11" t="str">
        <f ca="1">IF(History!GS$2="","",#REF!*$C$97)</f>
        <v/>
      </c>
      <c r="GP97" s="11" t="str">
        <f ca="1">IF(History!GT$2="","",#REF!*$C$97)</f>
        <v/>
      </c>
      <c r="GQ97" s="11" t="str">
        <f ca="1">IF(History!GU$2="","",#REF!*$C$97)</f>
        <v/>
      </c>
      <c r="GR97" s="11" t="str">
        <f ca="1">IF(History!GV$2="","",#REF!*$C$97)</f>
        <v/>
      </c>
      <c r="GS97" s="11" t="str">
        <f ca="1">IF(History!GW$2="","",#REF!*$C$97)</f>
        <v/>
      </c>
      <c r="GT97" s="11" t="str">
        <f ca="1">IF(History!GX$2="","",#REF!*$C$97)</f>
        <v/>
      </c>
      <c r="GU97" s="11" t="str">
        <f ca="1">IF(History!GY$2="","",#REF!*$C$97)</f>
        <v/>
      </c>
      <c r="GV97" s="11" t="str">
        <f ca="1">IF(History!GZ$2="","",#REF!*$C$97)</f>
        <v/>
      </c>
      <c r="GW97" s="11" t="str">
        <f ca="1">IF(History!HA$2="","",#REF!*$C$97)</f>
        <v/>
      </c>
      <c r="GX97" s="11" t="str">
        <f ca="1">IF(History!HB$2="","",#REF!*$C$97)</f>
        <v/>
      </c>
      <c r="GY97" s="11" t="str">
        <f ca="1">IF(History!HC$2="","",#REF!*$C$97)</f>
        <v/>
      </c>
      <c r="GZ97" s="11" t="str">
        <f ca="1">IF(History!HD$2="","",#REF!*$C$97)</f>
        <v/>
      </c>
      <c r="HA97" s="11" t="str">
        <f ca="1">IF(History!HE$2="","",#REF!*$C$97)</f>
        <v/>
      </c>
      <c r="HB97" s="11" t="str">
        <f ca="1">IF(History!HF$2="","",#REF!*$C$97)</f>
        <v/>
      </c>
      <c r="HC97" s="11" t="str">
        <f ca="1">IF(History!HG$2="","",#REF!*$C$97)</f>
        <v/>
      </c>
      <c r="HD97" s="11" t="str">
        <f ca="1">IF(History!HH$2="","",#REF!*$C$97)</f>
        <v/>
      </c>
      <c r="HE97" s="11" t="str">
        <f ca="1">IF(History!HI$2="","",#REF!*$C$97)</f>
        <v/>
      </c>
      <c r="HF97" s="11" t="str">
        <f ca="1">IF(History!HJ$2="","",#REF!*$C$97)</f>
        <v/>
      </c>
      <c r="HG97" s="11" t="str">
        <f ca="1">IF(History!HK$2="","",#REF!*$C$97)</f>
        <v/>
      </c>
      <c r="HH97" s="11" t="str">
        <f ca="1">IF(History!HL$2="","",#REF!*$C$97)</f>
        <v/>
      </c>
      <c r="HI97" s="11" t="str">
        <f ca="1">IF(History!HM$2="","",#REF!*$C$97)</f>
        <v/>
      </c>
      <c r="HJ97" s="11" t="str">
        <f ca="1">IF(History!HN$2="","",#REF!*$C$97)</f>
        <v/>
      </c>
      <c r="HK97" s="11" t="str">
        <f ca="1">IF(History!HO$2="","",#REF!*$C$97)</f>
        <v/>
      </c>
      <c r="HL97" s="11" t="str">
        <f ca="1">IF(History!HP$2="","",#REF!*$C$97)</f>
        <v/>
      </c>
      <c r="HM97" s="11" t="str">
        <f ca="1">IF(History!HQ$2="","",#REF!*$C$97)</f>
        <v/>
      </c>
      <c r="HN97" s="11" t="str">
        <f ca="1">IF(History!HR$2="","",#REF!*$C$97)</f>
        <v/>
      </c>
      <c r="HO97" s="11" t="str">
        <f ca="1">IF(History!HS$2="","",#REF!*$C$97)</f>
        <v/>
      </c>
      <c r="HP97" s="11" t="str">
        <f ca="1">IF(History!HT$2="","",#REF!*$C$97)</f>
        <v/>
      </c>
      <c r="HQ97" s="11" t="str">
        <f ca="1">IF(History!HU$2="","",#REF!*$C$97)</f>
        <v/>
      </c>
      <c r="HR97" s="11" t="str">
        <f ca="1">IF(History!HV$2="","",#REF!*$C$97)</f>
        <v/>
      </c>
      <c r="HS97" s="11" t="str">
        <f ca="1">IF(History!HW$2="","",#REF!*$C$97)</f>
        <v/>
      </c>
      <c r="HT97" s="11" t="str">
        <f ca="1">IF(History!HX$2="","",#REF!*$C$97)</f>
        <v/>
      </c>
      <c r="HU97" s="11" t="str">
        <f ca="1">IF(History!HY$2="","",#REF!*$C$97)</f>
        <v/>
      </c>
      <c r="HV97" s="11" t="str">
        <f ca="1">IF(History!HZ$2="","",#REF!*$C$97)</f>
        <v/>
      </c>
      <c r="HW97" s="11" t="str">
        <f ca="1">IF(History!IA$2="","",#REF!*$C$97)</f>
        <v/>
      </c>
      <c r="HX97" s="11" t="str">
        <f ca="1">IF(History!IB$2="","",#REF!*$C$97)</f>
        <v/>
      </c>
      <c r="HY97" s="11" t="str">
        <f ca="1">IF(History!IC$2="","",#REF!*$C$97)</f>
        <v/>
      </c>
      <c r="HZ97" s="11" t="str">
        <f ca="1">IF(History!ID$2="","",#REF!*$C$97)</f>
        <v/>
      </c>
      <c r="IA97" s="11" t="str">
        <f ca="1">IF(History!IE$2="","",#REF!*$C$97)</f>
        <v/>
      </c>
      <c r="IB97" s="11" t="str">
        <f ca="1">IF(History!IF$2="","",#REF!*$C$97)</f>
        <v/>
      </c>
      <c r="IC97" s="11" t="str">
        <f ca="1">IF(History!IG$2="","",#REF!*$C$97)</f>
        <v/>
      </c>
      <c r="ID97" s="11" t="str">
        <f ca="1">IF(History!IH$2="","",#REF!*$C$97)</f>
        <v/>
      </c>
      <c r="IE97" s="11" t="str">
        <f ca="1">IF(History!II$2="","",#REF!*$C$97)</f>
        <v/>
      </c>
      <c r="IF97" s="11" t="str">
        <f ca="1">IF(History!IJ$2="","",#REF!*$C$97)</f>
        <v/>
      </c>
      <c r="IG97" s="11" t="str">
        <f ca="1">IF(History!IK$2="","",#REF!*$C$97)</f>
        <v/>
      </c>
      <c r="IH97" s="11" t="str">
        <f ca="1">IF(History!IL$2="","",#REF!*$C$97)</f>
        <v/>
      </c>
      <c r="II97" s="11" t="str">
        <f ca="1">IF(History!IM$2="","",#REF!*$C$97)</f>
        <v/>
      </c>
      <c r="IJ97" s="11" t="str">
        <f ca="1">IF(History!IN$2="","",#REF!*$C$97)</f>
        <v/>
      </c>
      <c r="IK97" s="11" t="str">
        <f ca="1">IF(History!IO$2="","",#REF!*$C$97)</f>
        <v/>
      </c>
      <c r="IL97" s="11" t="str">
        <f ca="1">IF(History!IP$2="","",#REF!*$C$97)</f>
        <v/>
      </c>
      <c r="IM97" s="11" t="str">
        <f ca="1">IF(History!IQ$2="","",#REF!*$C$97)</f>
        <v/>
      </c>
      <c r="IN97" s="11" t="str">
        <f ca="1">IF(History!IR$2="","",#REF!*$C$97)</f>
        <v/>
      </c>
      <c r="IO97" s="11" t="str">
        <f ca="1">IF(History!IS$2="","",#REF!*$C$97)</f>
        <v/>
      </c>
      <c r="IP97" s="11" t="str">
        <f ca="1">IF(History!IT$2="","",#REF!*$C$97)</f>
        <v/>
      </c>
      <c r="IQ97" s="11" t="str">
        <f ca="1">IF(History!IU$2="","",#REF!*$C$97)</f>
        <v/>
      </c>
      <c r="IR97" s="11" t="str">
        <f ca="1">IF(History!IV$2="","",#REF!*$C$97)</f>
        <v/>
      </c>
      <c r="IS97" s="11" t="str">
        <f ca="1">IF(History!IW$2="","",#REF!*$C$97)</f>
        <v/>
      </c>
      <c r="IT97" s="11" t="str">
        <f ca="1">IF(History!IX$2="","",#REF!*$C$97)</f>
        <v/>
      </c>
      <c r="IU97" s="11" t="str">
        <f ca="1">IF(History!IY$2="","",#REF!*$C$97)</f>
        <v/>
      </c>
      <c r="IV97" s="11" t="str">
        <f ca="1">IF(History!IZ$2="","",#REF!*$C$97)</f>
        <v/>
      </c>
      <c r="IW97" s="11" t="str">
        <f ca="1">IF(History!JA$2="","",#REF!*$C$97)</f>
        <v/>
      </c>
      <c r="IX97" s="11" t="str">
        <f ca="1">IF(History!JB$2="","",#REF!*$C$97)</f>
        <v/>
      </c>
      <c r="IY97" s="11" t="str">
        <f ca="1">IF(History!JC$2="","",#REF!*$C$97)</f>
        <v/>
      </c>
      <c r="IZ97" s="11" t="str">
        <f ca="1">IF(History!JD$2="","",#REF!*$C$97)</f>
        <v/>
      </c>
      <c r="JA97" s="11" t="str">
        <f ca="1">IF(History!JE$2="","",#REF!*$C$97)</f>
        <v/>
      </c>
      <c r="JB97" s="11" t="str">
        <f ca="1">IF(History!JF$2="","",#REF!*$C$97)</f>
        <v/>
      </c>
      <c r="JC97" s="11" t="str">
        <f ca="1">IF(History!JG$2="","",#REF!*$C$97)</f>
        <v/>
      </c>
      <c r="JD97" s="11" t="str">
        <f ca="1">IF(History!JH$2="","",#REF!*$C$97)</f>
        <v/>
      </c>
      <c r="JE97" s="11" t="str">
        <f ca="1">IF(History!JI$2="","",#REF!*$C$97)</f>
        <v/>
      </c>
      <c r="JF97" s="11" t="str">
        <f ca="1">IF(History!JJ$2="","",#REF!*$C$97)</f>
        <v/>
      </c>
      <c r="JG97" s="11" t="str">
        <f ca="1">IF(History!JK$2="","",#REF!*$C$97)</f>
        <v/>
      </c>
      <c r="JH97" s="11" t="str">
        <f ca="1">IF(History!JL$2="","",#REF!*$C$97)</f>
        <v/>
      </c>
      <c r="JI97" s="11" t="str">
        <f ca="1">IF(History!JM$2="","",#REF!*$C$97)</f>
        <v/>
      </c>
      <c r="JJ97" s="11" t="str">
        <f ca="1">IF(History!JN$2="","",#REF!*$C$97)</f>
        <v/>
      </c>
      <c r="JK97" s="11" t="str">
        <f ca="1">IF(History!JO$2="","",#REF!*$C$97)</f>
        <v/>
      </c>
      <c r="JL97" s="11" t="str">
        <f ca="1">IF(History!JP$2="","",#REF!*$C$97)</f>
        <v/>
      </c>
      <c r="JM97" s="11" t="str">
        <f ca="1">IF(History!JQ$2="","",#REF!*$C$97)</f>
        <v/>
      </c>
      <c r="JN97" s="11" t="str">
        <f ca="1">IF(History!JR$2="","",#REF!*$C$97)</f>
        <v/>
      </c>
      <c r="JO97" s="11" t="str">
        <f ca="1">IF(History!JS$2="","",#REF!*$C$97)</f>
        <v/>
      </c>
      <c r="JP97" s="11" t="str">
        <f ca="1">IF(History!JT$2="","",#REF!*$C$97)</f>
        <v/>
      </c>
      <c r="JQ97" s="11" t="str">
        <f ca="1">IF(History!JU$2="","",#REF!*$C$97)</f>
        <v/>
      </c>
      <c r="JR97" s="11" t="str">
        <f ca="1">IF(History!JV$2="","",#REF!*$C$97)</f>
        <v/>
      </c>
      <c r="JS97" s="11" t="str">
        <f ca="1">IF(History!JW$2="","",#REF!*$C$97)</f>
        <v/>
      </c>
      <c r="JT97" s="11" t="str">
        <f ca="1">IF(History!JX$2="","",#REF!*$C$97)</f>
        <v/>
      </c>
      <c r="JU97" s="11" t="str">
        <f ca="1">IF(History!JY$2="","",#REF!*$C$97)</f>
        <v/>
      </c>
      <c r="JV97" s="11" t="str">
        <f ca="1">IF(History!JZ$2="","",#REF!*$C$97)</f>
        <v/>
      </c>
      <c r="JW97" s="11" t="str">
        <f ca="1">IF(History!KA$2="","",#REF!*$C$97)</f>
        <v/>
      </c>
      <c r="JX97" s="11" t="str">
        <f ca="1">IF(History!KB$2="","",#REF!*$C$97)</f>
        <v/>
      </c>
      <c r="JY97" s="11" t="str">
        <f ca="1">IF(History!KC$2="","",#REF!*$C$97)</f>
        <v/>
      </c>
      <c r="JZ97" s="11" t="str">
        <f ca="1">IF(History!KD$2="","",#REF!*$C$97)</f>
        <v/>
      </c>
      <c r="KA97" s="11" t="str">
        <f ca="1">IF(History!KE$2="","",#REF!*$C$97)</f>
        <v/>
      </c>
      <c r="KB97" s="11" t="str">
        <f ca="1">IF(History!KF$2="","",#REF!*$C$97)</f>
        <v/>
      </c>
    </row>
    <row r="98" spans="1:288" ht="13">
      <c r="A98" s="18" t="s">
        <v>140</v>
      </c>
      <c r="B98" s="6" t="s">
        <v>175</v>
      </c>
      <c r="C98" s="26">
        <v>52</v>
      </c>
      <c r="D98" s="11" t="e">
        <f ca="1">IF(History!H$2="","",#REF!*$C$98)</f>
        <v>#REF!</v>
      </c>
      <c r="E98" s="11" t="e">
        <f ca="1">IF(History!I$2="","",#REF!*$C$98)</f>
        <v>#REF!</v>
      </c>
      <c r="F98" s="11" t="e">
        <f ca="1">IF(History!J$2="","",#REF!*$C$98)</f>
        <v>#REF!</v>
      </c>
      <c r="G98" s="11" t="e">
        <f ca="1">IF(History!K$2="","",#REF!*$C$98)</f>
        <v>#REF!</v>
      </c>
      <c r="H98" s="11" t="e">
        <f ca="1">IF(History!L$2="","",#REF!*$C$98)</f>
        <v>#REF!</v>
      </c>
      <c r="I98" s="11" t="e">
        <f ca="1">IF(History!M$2="","",#REF!*$C$98)</f>
        <v>#REF!</v>
      </c>
      <c r="J98" s="11" t="e">
        <f ca="1">IF(History!N$2="","",#REF!*$C$98)</f>
        <v>#REF!</v>
      </c>
      <c r="K98" s="11" t="e">
        <f ca="1">IF(History!O$2="","",#REF!*$C$98)</f>
        <v>#REF!</v>
      </c>
      <c r="L98" s="11" t="e">
        <f ca="1">IF(History!P$2="","",#REF!*$C$98)</f>
        <v>#REF!</v>
      </c>
      <c r="M98" s="11" t="e">
        <f ca="1">IF(History!Q$2="","",#REF!*$C$98)</f>
        <v>#REF!</v>
      </c>
      <c r="N98" s="11" t="e">
        <f ca="1">IF(History!R$2="","",#REF!*$C$98)</f>
        <v>#REF!</v>
      </c>
      <c r="O98" s="11" t="e">
        <f ca="1">IF(History!S$2="","",#REF!*$C$98)</f>
        <v>#REF!</v>
      </c>
      <c r="P98" s="11" t="e">
        <f ca="1">IF(History!T$2="","",#REF!*$C$98)</f>
        <v>#REF!</v>
      </c>
      <c r="Q98" s="11" t="e">
        <f ca="1">IF(History!U$2="","",#REF!*$C$98)</f>
        <v>#REF!</v>
      </c>
      <c r="R98" s="11" t="e">
        <f ca="1">IF(History!V$2="","",#REF!*$C$98)</f>
        <v>#REF!</v>
      </c>
      <c r="S98" s="11" t="e">
        <f ca="1">IF(History!W$2="","",#REF!*$C$98)</f>
        <v>#REF!</v>
      </c>
      <c r="T98" s="11" t="e">
        <f ca="1">IF(History!X$2="","",#REF!*$C$98)</f>
        <v>#REF!</v>
      </c>
      <c r="U98" s="11" t="e">
        <f ca="1">IF(History!Y$2="","",#REF!*$C$98)</f>
        <v>#REF!</v>
      </c>
      <c r="V98" s="11" t="e">
        <f ca="1">IF(History!Z$2="","",#REF!*$C$98)</f>
        <v>#REF!</v>
      </c>
      <c r="W98" s="11" t="e">
        <f ca="1">IF(History!AA$2="","",#REF!*$C$98)</f>
        <v>#REF!</v>
      </c>
      <c r="X98" s="11" t="e">
        <f ca="1">IF(History!AB$2="","",#REF!*$C$98)</f>
        <v>#REF!</v>
      </c>
      <c r="Y98" s="11" t="e">
        <f ca="1">IF(History!AC$2="","",#REF!*$C$98)</f>
        <v>#REF!</v>
      </c>
      <c r="Z98" s="11" t="e">
        <f ca="1">IF(History!AD$2="","",#REF!*$C$98)</f>
        <v>#REF!</v>
      </c>
      <c r="AA98" s="11" t="e">
        <f ca="1">IF(History!AE$2="","",#REF!*$C$98)</f>
        <v>#REF!</v>
      </c>
      <c r="AB98" s="11" t="e">
        <f ca="1">IF(History!AF$2="","",#REF!*$C$98)</f>
        <v>#REF!</v>
      </c>
      <c r="AC98" s="11" t="e">
        <f ca="1">IF(History!AG$2="","",#REF!*$C$98)</f>
        <v>#REF!</v>
      </c>
      <c r="AD98" s="11" t="e">
        <f ca="1">IF(History!AH$2="","",#REF!*$C$98)</f>
        <v>#REF!</v>
      </c>
      <c r="AE98" s="11" t="e">
        <f ca="1">IF(History!AI$2="","",#REF!*$C$98)</f>
        <v>#REF!</v>
      </c>
      <c r="AF98" s="11" t="e">
        <f ca="1">IF(History!AJ$2="","",#REF!*$C$98)</f>
        <v>#REF!</v>
      </c>
      <c r="AG98" s="11" t="e">
        <f ca="1">IF(History!AK$2="","",#REF!*$C$98)</f>
        <v>#REF!</v>
      </c>
      <c r="AH98" s="11" t="e">
        <f ca="1">IF(History!AL$2="","",#REF!*$C$98)</f>
        <v>#REF!</v>
      </c>
      <c r="AI98" s="11" t="e">
        <f ca="1">IF(History!AM$2="","",#REF!*$C$98)</f>
        <v>#REF!</v>
      </c>
      <c r="AJ98" s="11" t="e">
        <f ca="1">IF(History!AN$2="","",#REF!*$C$98)</f>
        <v>#REF!</v>
      </c>
      <c r="AK98" s="11" t="e">
        <f ca="1">IF(History!AO$2="","",#REF!*$C$98)</f>
        <v>#REF!</v>
      </c>
      <c r="AL98" s="11" t="e">
        <f ca="1">IF(History!AP$2="","",#REF!*$C$98)</f>
        <v>#REF!</v>
      </c>
      <c r="AM98" s="11" t="e">
        <f ca="1">IF(History!AQ$2="","",#REF!*$C$98)</f>
        <v>#REF!</v>
      </c>
      <c r="AN98" s="11" t="e">
        <f ca="1">IF(History!AR$2="","",#REF!*$C$98)</f>
        <v>#REF!</v>
      </c>
      <c r="AO98" s="11" t="e">
        <f ca="1">IF(History!AS$2="","",#REF!*$C$98)</f>
        <v>#REF!</v>
      </c>
      <c r="AP98" s="11" t="e">
        <f ca="1">IF(History!AT$2="","",#REF!*$C$98)</f>
        <v>#REF!</v>
      </c>
      <c r="AQ98" s="11" t="e">
        <f ca="1">IF(History!AU$2="","",#REF!*$C$98)</f>
        <v>#REF!</v>
      </c>
      <c r="AR98" s="11" t="e">
        <f ca="1">IF(History!AV$2="","",#REF!*$C$98)</f>
        <v>#REF!</v>
      </c>
      <c r="AS98" s="11" t="e">
        <f ca="1">IF(History!AW$2="","",#REF!*$C$98)</f>
        <v>#REF!</v>
      </c>
      <c r="AT98" s="11" t="e">
        <f ca="1">IF(History!AX$2="","",#REF!*$C$98)</f>
        <v>#REF!</v>
      </c>
      <c r="AU98" s="11" t="e">
        <f ca="1">IF(History!AY$2="","",#REF!*$C$98)</f>
        <v>#REF!</v>
      </c>
      <c r="AV98" s="11" t="e">
        <f ca="1">IF(History!AZ$2="","",#REF!*$C$98)</f>
        <v>#REF!</v>
      </c>
      <c r="AW98" s="11" t="e">
        <f ca="1">IF(History!BA$2="","",#REF!*$C$98)</f>
        <v>#REF!</v>
      </c>
      <c r="AX98" s="11" t="e">
        <f ca="1">IF(History!BB$2="","",#REF!*$C$98)</f>
        <v>#REF!</v>
      </c>
      <c r="AY98" s="11" t="e">
        <f ca="1">IF(History!BC$2="","",#REF!*$C$98)</f>
        <v>#REF!</v>
      </c>
      <c r="AZ98" s="11" t="e">
        <f ca="1">IF(History!BD$2="","",#REF!*$C$98)</f>
        <v>#REF!</v>
      </c>
      <c r="BA98" s="11" t="e">
        <f ca="1">IF(History!BE$2="","",#REF!*$C$98)</f>
        <v>#REF!</v>
      </c>
      <c r="BB98" s="11" t="e">
        <f ca="1">IF(History!BF$2="","",#REF!*$C$98)</f>
        <v>#REF!</v>
      </c>
      <c r="BC98" s="11" t="e">
        <f ca="1">IF(History!BG$2="","",#REF!*$C$98)</f>
        <v>#REF!</v>
      </c>
      <c r="BD98" s="11" t="e">
        <f ca="1">IF(History!BH$2="","",#REF!*$C$98)</f>
        <v>#REF!</v>
      </c>
      <c r="BE98" s="11" t="e">
        <f ca="1">IF(History!BI$2="","",#REF!*$C$98)</f>
        <v>#REF!</v>
      </c>
      <c r="BF98" s="11" t="e">
        <f ca="1">IF(History!BJ$2="","",#REF!*$C$98)</f>
        <v>#REF!</v>
      </c>
      <c r="BG98" s="11" t="e">
        <f ca="1">IF(History!BK$2="","",#REF!*$C$98)</f>
        <v>#REF!</v>
      </c>
      <c r="BH98" s="11" t="e">
        <f ca="1">IF(History!BL$2="","",#REF!*$C$98)</f>
        <v>#REF!</v>
      </c>
      <c r="BI98" s="11" t="e">
        <f ca="1">IF(History!BM$2="","",#REF!*$C$98)</f>
        <v>#REF!</v>
      </c>
      <c r="BJ98" s="11" t="e">
        <f ca="1">IF(History!BN$2="","",#REF!*$C$98)</f>
        <v>#REF!</v>
      </c>
      <c r="BK98" s="11" t="e">
        <f ca="1">IF(History!BO$2="","",#REF!*$C$98)</f>
        <v>#REF!</v>
      </c>
      <c r="BL98" s="11" t="e">
        <f ca="1">IF(History!BP$2="","",#REF!*$C$98)</f>
        <v>#REF!</v>
      </c>
      <c r="BM98" s="11" t="e">
        <f ca="1">IF(History!BQ$2="","",#REF!*$C$98)</f>
        <v>#REF!</v>
      </c>
      <c r="BN98" s="11" t="e">
        <f ca="1">IF(History!BR$2="","",#REF!*$C$98)</f>
        <v>#REF!</v>
      </c>
      <c r="BO98" s="11" t="e">
        <f ca="1">IF(History!BS$2="","",#REF!*$C$98)</f>
        <v>#REF!</v>
      </c>
      <c r="BP98" s="11" t="e">
        <f ca="1">IF(History!BT$2="","",#REF!*$C$98)</f>
        <v>#REF!</v>
      </c>
      <c r="BQ98" s="11" t="e">
        <f ca="1">IF(History!BU$2="","",#REF!*$C$98)</f>
        <v>#REF!</v>
      </c>
      <c r="BR98" s="11" t="e">
        <f ca="1">IF(History!BV$2="","",#REF!*$C$98)</f>
        <v>#REF!</v>
      </c>
      <c r="BS98" s="11" t="e">
        <f ca="1">IF(History!BW$2="","",#REF!*$C$98)</f>
        <v>#REF!</v>
      </c>
      <c r="BT98" s="11" t="e">
        <f ca="1">IF(History!BX$2="","",#REF!*$C$98)</f>
        <v>#REF!</v>
      </c>
      <c r="BU98" s="11" t="e">
        <f ca="1">IF(History!BY$2="","",#REF!*$C$98)</f>
        <v>#REF!</v>
      </c>
      <c r="BV98" s="11" t="e">
        <f ca="1">IF(History!BZ$2="","",#REF!*$C$98)</f>
        <v>#REF!</v>
      </c>
      <c r="BW98" s="11" t="e">
        <f ca="1">IF(History!CA$2="","",#REF!*$C$98)</f>
        <v>#REF!</v>
      </c>
      <c r="BX98" s="11" t="e">
        <f ca="1">IF(History!CB$2="","",#REF!*$C$98)</f>
        <v>#REF!</v>
      </c>
      <c r="BY98" s="11" t="e">
        <f ca="1">IF(History!CC$2="","",#REF!*$C$98)</f>
        <v>#REF!</v>
      </c>
      <c r="BZ98" s="11" t="e">
        <f ca="1">IF(History!CD$2="","",#REF!*$C$98)</f>
        <v>#REF!</v>
      </c>
      <c r="CA98" s="11" t="e">
        <f ca="1">IF(History!CE$2="","",#REF!*$C$98)</f>
        <v>#REF!</v>
      </c>
      <c r="CB98" s="11" t="e">
        <f ca="1">IF(History!CF$2="","",#REF!*$C$98)</f>
        <v>#REF!</v>
      </c>
      <c r="CC98" s="11" t="e">
        <f ca="1">IF(History!CG$2="","",#REF!*$C$98)</f>
        <v>#REF!</v>
      </c>
      <c r="CD98" s="11" t="e">
        <f ca="1">IF(History!CH$2="","",#REF!*$C$98)</f>
        <v>#REF!</v>
      </c>
      <c r="CE98" s="11" t="e">
        <f ca="1">IF(History!CI$2="","",#REF!*$C$98)</f>
        <v>#REF!</v>
      </c>
      <c r="CF98" s="11" t="str">
        <f ca="1">IF(History!CJ$2="","",#REF!*$C$98)</f>
        <v/>
      </c>
      <c r="CG98" s="11" t="str">
        <f ca="1">IF(History!CK$2="","",#REF!*$C$98)</f>
        <v/>
      </c>
      <c r="CH98" s="11" t="str">
        <f ca="1">IF(History!CL$2="","",#REF!*$C$98)</f>
        <v/>
      </c>
      <c r="CI98" s="11" t="str">
        <f ca="1">IF(History!CM$2="","",#REF!*$C$98)</f>
        <v/>
      </c>
      <c r="CJ98" s="11" t="str">
        <f ca="1">IF(History!CN$2="","",#REF!*$C$98)</f>
        <v/>
      </c>
      <c r="CK98" s="11" t="str">
        <f ca="1">IF(History!CO$2="","",#REF!*$C$98)</f>
        <v/>
      </c>
      <c r="CL98" s="11" t="str">
        <f ca="1">IF(History!CP$2="","",#REF!*$C$98)</f>
        <v/>
      </c>
      <c r="CM98" s="11" t="str">
        <f ca="1">IF(History!CQ$2="","",#REF!*$C$98)</f>
        <v/>
      </c>
      <c r="CN98" s="11" t="str">
        <f ca="1">IF(History!CR$2="","",#REF!*$C$98)</f>
        <v/>
      </c>
      <c r="CO98" s="11" t="str">
        <f ca="1">IF(History!CS$2="","",#REF!*$C$98)</f>
        <v/>
      </c>
      <c r="CP98" s="11" t="str">
        <f ca="1">IF(History!CT$2="","",#REF!*$C$98)</f>
        <v/>
      </c>
      <c r="CQ98" s="11" t="str">
        <f ca="1">IF(History!CU$2="","",#REF!*$C$98)</f>
        <v/>
      </c>
      <c r="CR98" s="11" t="str">
        <f ca="1">IF(History!CV$2="","",#REF!*$C$98)</f>
        <v/>
      </c>
      <c r="CS98" s="11" t="str">
        <f ca="1">IF(History!CW$2="","",#REF!*$C$98)</f>
        <v/>
      </c>
      <c r="CT98" s="11" t="str">
        <f ca="1">IF(History!CX$2="","",#REF!*$C$98)</f>
        <v/>
      </c>
      <c r="CU98" s="11" t="str">
        <f ca="1">IF(History!CY$2="","",#REF!*$C$98)</f>
        <v/>
      </c>
      <c r="CV98" s="11" t="str">
        <f ca="1">IF(History!CZ$2="","",#REF!*$C$98)</f>
        <v/>
      </c>
      <c r="CW98" s="11" t="str">
        <f ca="1">IF(History!DA$2="","",#REF!*$C$98)</f>
        <v/>
      </c>
      <c r="CX98" s="11" t="str">
        <f ca="1">IF(History!DB$2="","",#REF!*$C$98)</f>
        <v/>
      </c>
      <c r="CY98" s="11" t="str">
        <f ca="1">IF(History!DC$2="","",#REF!*$C$98)</f>
        <v/>
      </c>
      <c r="CZ98" s="11" t="str">
        <f ca="1">IF(History!DD$2="","",#REF!*$C$98)</f>
        <v/>
      </c>
      <c r="DA98" s="11" t="str">
        <f ca="1">IF(History!DE$2="","",#REF!*$C$98)</f>
        <v/>
      </c>
      <c r="DB98" s="11" t="str">
        <f ca="1">IF(History!DF$2="","",#REF!*$C$98)</f>
        <v/>
      </c>
      <c r="DC98" s="11" t="str">
        <f ca="1">IF(History!DG$2="","",#REF!*$C$98)</f>
        <v/>
      </c>
      <c r="DD98" s="11" t="str">
        <f ca="1">IF(History!DH$2="","",#REF!*$C$98)</f>
        <v/>
      </c>
      <c r="DE98" s="11" t="str">
        <f ca="1">IF(History!DI$2="","",#REF!*$C$98)</f>
        <v/>
      </c>
      <c r="DF98" s="11" t="str">
        <f ca="1">IF(History!DJ$2="","",#REF!*$C$98)</f>
        <v/>
      </c>
      <c r="DG98" s="11" t="str">
        <f ca="1">IF(History!DK$2="","",#REF!*$C$98)</f>
        <v/>
      </c>
      <c r="DH98" s="11" t="str">
        <f ca="1">IF(History!DL$2="","",#REF!*$C$98)</f>
        <v/>
      </c>
      <c r="DI98" s="11" t="str">
        <f ca="1">IF(History!DM$2="","",#REF!*$C$98)</f>
        <v/>
      </c>
      <c r="DJ98" s="11" t="str">
        <f ca="1">IF(History!DN$2="","",#REF!*$C$98)</f>
        <v/>
      </c>
      <c r="DK98" s="11" t="str">
        <f ca="1">IF(History!DO$2="","",#REF!*$C$98)</f>
        <v/>
      </c>
      <c r="DL98" s="11" t="str">
        <f ca="1">IF(History!DP$2="","",#REF!*$C$98)</f>
        <v/>
      </c>
      <c r="DM98" s="11" t="str">
        <f ca="1">IF(History!DQ$2="","",#REF!*$C$98)</f>
        <v/>
      </c>
      <c r="DN98" s="11" t="str">
        <f ca="1">IF(History!DR$2="","",#REF!*$C$98)</f>
        <v/>
      </c>
      <c r="DO98" s="11" t="str">
        <f ca="1">IF(History!DS$2="","",#REF!*$C$98)</f>
        <v/>
      </c>
      <c r="DP98" s="11" t="str">
        <f ca="1">IF(History!DT$2="","",#REF!*$C$98)</f>
        <v/>
      </c>
      <c r="DQ98" s="11" t="str">
        <f ca="1">IF(History!DU$2="","",#REF!*$C$98)</f>
        <v/>
      </c>
      <c r="DR98" s="11" t="str">
        <f ca="1">IF(History!DV$2="","",#REF!*$C$98)</f>
        <v/>
      </c>
      <c r="DS98" s="11" t="str">
        <f ca="1">IF(History!DW$2="","",#REF!*$C$98)</f>
        <v/>
      </c>
      <c r="DT98" s="11" t="str">
        <f ca="1">IF(History!DX$2="","",#REF!*$C$98)</f>
        <v/>
      </c>
      <c r="DU98" s="11" t="str">
        <f ca="1">IF(History!DY$2="","",#REF!*$C$98)</f>
        <v/>
      </c>
      <c r="DV98" s="11" t="str">
        <f ca="1">IF(History!DZ$2="","",#REF!*$C$98)</f>
        <v/>
      </c>
      <c r="DW98" s="11" t="str">
        <f ca="1">IF(History!EA$2="","",#REF!*$C$98)</f>
        <v/>
      </c>
      <c r="DX98" s="11" t="str">
        <f ca="1">IF(History!EB$2="","",#REF!*$C$98)</f>
        <v/>
      </c>
      <c r="DY98" s="11" t="str">
        <f ca="1">IF(History!EC$2="","",#REF!*$C$98)</f>
        <v/>
      </c>
      <c r="DZ98" s="11" t="str">
        <f ca="1">IF(History!ED$2="","",#REF!*$C$98)</f>
        <v/>
      </c>
      <c r="EA98" s="11" t="str">
        <f ca="1">IF(History!EE$2="","",#REF!*$C$98)</f>
        <v/>
      </c>
      <c r="EB98" s="11" t="str">
        <f ca="1">IF(History!EF$2="","",#REF!*$C$98)</f>
        <v/>
      </c>
      <c r="EC98" s="11" t="str">
        <f ca="1">IF(History!EG$2="","",#REF!*$C$98)</f>
        <v/>
      </c>
      <c r="ED98" s="11" t="str">
        <f ca="1">IF(History!EH$2="","",#REF!*$C$98)</f>
        <v/>
      </c>
      <c r="EE98" s="11" t="str">
        <f ca="1">IF(History!EI$2="","",#REF!*$C$98)</f>
        <v/>
      </c>
      <c r="EF98" s="11" t="str">
        <f ca="1">IF(History!EJ$2="","",#REF!*$C$98)</f>
        <v/>
      </c>
      <c r="EG98" s="11" t="str">
        <f ca="1">IF(History!EK$2="","",#REF!*$C$98)</f>
        <v/>
      </c>
      <c r="EH98" s="11" t="str">
        <f ca="1">IF(History!EL$2="","",#REF!*$C$98)</f>
        <v/>
      </c>
      <c r="EI98" s="11" t="str">
        <f ca="1">IF(History!EM$2="","",#REF!*$C$98)</f>
        <v/>
      </c>
      <c r="EJ98" s="11" t="str">
        <f ca="1">IF(History!EN$2="","",#REF!*$C$98)</f>
        <v/>
      </c>
      <c r="EK98" s="11" t="str">
        <f ca="1">IF(History!EO$2="","",#REF!*$C$98)</f>
        <v/>
      </c>
      <c r="EL98" s="11" t="str">
        <f ca="1">IF(History!EP$2="","",#REF!*$C$98)</f>
        <v/>
      </c>
      <c r="EM98" s="11" t="str">
        <f ca="1">IF(History!EQ$2="","",#REF!*$C$98)</f>
        <v/>
      </c>
      <c r="EN98" s="11" t="str">
        <f ca="1">IF(History!ER$2="","",#REF!*$C$98)</f>
        <v/>
      </c>
      <c r="EO98" s="11" t="str">
        <f ca="1">IF(History!ES$2="","",#REF!*$C$98)</f>
        <v/>
      </c>
      <c r="EP98" s="11" t="str">
        <f ca="1">IF(History!ET$2="","",#REF!*$C$98)</f>
        <v/>
      </c>
      <c r="EQ98" s="11" t="str">
        <f ca="1">IF(History!EU$2="","",#REF!*$C$98)</f>
        <v/>
      </c>
      <c r="ER98" s="11" t="str">
        <f ca="1">IF(History!EV$2="","",#REF!*$C$98)</f>
        <v/>
      </c>
      <c r="ES98" s="11" t="str">
        <f ca="1">IF(History!EW$2="","",#REF!*$C$98)</f>
        <v/>
      </c>
      <c r="ET98" s="11" t="str">
        <f ca="1">IF(History!EX$2="","",#REF!*$C$98)</f>
        <v/>
      </c>
      <c r="EU98" s="11" t="str">
        <f ca="1">IF(History!EY$2="","",#REF!*$C$98)</f>
        <v/>
      </c>
      <c r="EV98" s="11" t="str">
        <f ca="1">IF(History!EZ$2="","",#REF!*$C$98)</f>
        <v/>
      </c>
      <c r="EW98" s="11" t="str">
        <f ca="1">IF(History!FA$2="","",#REF!*$C$98)</f>
        <v/>
      </c>
      <c r="EX98" s="11" t="str">
        <f ca="1">IF(History!FB$2="","",#REF!*$C$98)</f>
        <v/>
      </c>
      <c r="EY98" s="11" t="str">
        <f ca="1">IF(History!FC$2="","",#REF!*$C$98)</f>
        <v/>
      </c>
      <c r="EZ98" s="11" t="str">
        <f ca="1">IF(History!FD$2="","",#REF!*$C$98)</f>
        <v/>
      </c>
      <c r="FA98" s="11" t="str">
        <f ca="1">IF(History!FE$2="","",#REF!*$C$98)</f>
        <v/>
      </c>
      <c r="FB98" s="11" t="str">
        <f ca="1">IF(History!FF$2="","",#REF!*$C$98)</f>
        <v/>
      </c>
      <c r="FC98" s="11" t="str">
        <f ca="1">IF(History!FG$2="","",#REF!*$C$98)</f>
        <v/>
      </c>
      <c r="FD98" s="11" t="str">
        <f ca="1">IF(History!FH$2="","",#REF!*$C$98)</f>
        <v/>
      </c>
      <c r="FE98" s="11" t="str">
        <f ca="1">IF(History!FI$2="","",#REF!*$C$98)</f>
        <v/>
      </c>
      <c r="FF98" s="11" t="str">
        <f ca="1">IF(History!FJ$2="","",#REF!*$C$98)</f>
        <v/>
      </c>
      <c r="FG98" s="11" t="str">
        <f ca="1">IF(History!FK$2="","",#REF!*$C$98)</f>
        <v/>
      </c>
      <c r="FH98" s="11" t="str">
        <f ca="1">IF(History!FL$2="","",#REF!*$C$98)</f>
        <v/>
      </c>
      <c r="FI98" s="11" t="str">
        <f ca="1">IF(History!FM$2="","",#REF!*$C$98)</f>
        <v/>
      </c>
      <c r="FJ98" s="11" t="str">
        <f ca="1">IF(History!FN$2="","",#REF!*$C$98)</f>
        <v/>
      </c>
      <c r="FK98" s="11" t="str">
        <f ca="1">IF(History!FO$2="","",#REF!*$C$98)</f>
        <v/>
      </c>
      <c r="FL98" s="11" t="str">
        <f ca="1">IF(History!FP$2="","",#REF!*$C$98)</f>
        <v/>
      </c>
      <c r="FM98" s="11" t="str">
        <f ca="1">IF(History!FQ$2="","",#REF!*$C$98)</f>
        <v/>
      </c>
      <c r="FN98" s="11" t="str">
        <f ca="1">IF(History!FR$2="","",#REF!*$C$98)</f>
        <v/>
      </c>
      <c r="FO98" s="11" t="str">
        <f ca="1">IF(History!FS$2="","",#REF!*$C$98)</f>
        <v/>
      </c>
      <c r="FP98" s="11" t="str">
        <f ca="1">IF(History!FT$2="","",#REF!*$C$98)</f>
        <v/>
      </c>
      <c r="FQ98" s="11" t="str">
        <f ca="1">IF(History!FU$2="","",#REF!*$C$98)</f>
        <v/>
      </c>
      <c r="FR98" s="11" t="str">
        <f ca="1">IF(History!FV$2="","",#REF!*$C$98)</f>
        <v/>
      </c>
      <c r="FS98" s="11" t="str">
        <f ca="1">IF(History!FW$2="","",#REF!*$C$98)</f>
        <v/>
      </c>
      <c r="FT98" s="11" t="str">
        <f ca="1">IF(History!FX$2="","",#REF!*$C$98)</f>
        <v/>
      </c>
      <c r="FU98" s="11" t="str">
        <f ca="1">IF(History!FY$2="","",#REF!*$C$98)</f>
        <v/>
      </c>
      <c r="FV98" s="11" t="str">
        <f ca="1">IF(History!FZ$2="","",#REF!*$C$98)</f>
        <v/>
      </c>
      <c r="FW98" s="11" t="str">
        <f ca="1">IF(History!GA$2="","",#REF!*$C$98)</f>
        <v/>
      </c>
      <c r="FX98" s="11" t="str">
        <f ca="1">IF(History!GB$2="","",#REF!*$C$98)</f>
        <v/>
      </c>
      <c r="FY98" s="11" t="str">
        <f ca="1">IF(History!GC$2="","",#REF!*$C$98)</f>
        <v/>
      </c>
      <c r="FZ98" s="11" t="str">
        <f ca="1">IF(History!GD$2="","",#REF!*$C$98)</f>
        <v/>
      </c>
      <c r="GA98" s="11" t="str">
        <f ca="1">IF(History!GE$2="","",#REF!*$C$98)</f>
        <v/>
      </c>
      <c r="GB98" s="11" t="str">
        <f ca="1">IF(History!GF$2="","",#REF!*$C$98)</f>
        <v/>
      </c>
      <c r="GC98" s="11" t="str">
        <f ca="1">IF(History!GG$2="","",#REF!*$C$98)</f>
        <v/>
      </c>
      <c r="GD98" s="11" t="str">
        <f ca="1">IF(History!GH$2="","",#REF!*$C$98)</f>
        <v/>
      </c>
      <c r="GE98" s="11" t="str">
        <f ca="1">IF(History!GI$2="","",#REF!*$C$98)</f>
        <v/>
      </c>
      <c r="GF98" s="11" t="str">
        <f ca="1">IF(History!GJ$2="","",#REF!*$C$98)</f>
        <v/>
      </c>
      <c r="GG98" s="11" t="str">
        <f ca="1">IF(History!GK$2="","",#REF!*$C$98)</f>
        <v/>
      </c>
      <c r="GH98" s="11" t="str">
        <f ca="1">IF(History!GL$2="","",#REF!*$C$98)</f>
        <v/>
      </c>
      <c r="GI98" s="11" t="str">
        <f ca="1">IF(History!GM$2="","",#REF!*$C$98)</f>
        <v/>
      </c>
      <c r="GJ98" s="11" t="str">
        <f ca="1">IF(History!GN$2="","",#REF!*$C$98)</f>
        <v/>
      </c>
      <c r="GK98" s="11" t="str">
        <f ca="1">IF(History!GO$2="","",#REF!*$C$98)</f>
        <v/>
      </c>
      <c r="GL98" s="11" t="str">
        <f ca="1">IF(History!GP$2="","",#REF!*$C$98)</f>
        <v/>
      </c>
      <c r="GM98" s="11" t="str">
        <f ca="1">IF(History!GQ$2="","",#REF!*$C$98)</f>
        <v/>
      </c>
      <c r="GN98" s="11" t="str">
        <f ca="1">IF(History!GR$2="","",#REF!*$C$98)</f>
        <v/>
      </c>
      <c r="GO98" s="11" t="str">
        <f ca="1">IF(History!GS$2="","",#REF!*$C$98)</f>
        <v/>
      </c>
      <c r="GP98" s="11" t="str">
        <f ca="1">IF(History!GT$2="","",#REF!*$C$98)</f>
        <v/>
      </c>
      <c r="GQ98" s="11" t="str">
        <f ca="1">IF(History!GU$2="","",#REF!*$C$98)</f>
        <v/>
      </c>
      <c r="GR98" s="11" t="str">
        <f ca="1">IF(History!GV$2="","",#REF!*$C$98)</f>
        <v/>
      </c>
      <c r="GS98" s="11" t="str">
        <f ca="1">IF(History!GW$2="","",#REF!*$C$98)</f>
        <v/>
      </c>
      <c r="GT98" s="11" t="str">
        <f ca="1">IF(History!GX$2="","",#REF!*$C$98)</f>
        <v/>
      </c>
      <c r="GU98" s="11" t="str">
        <f ca="1">IF(History!GY$2="","",#REF!*$C$98)</f>
        <v/>
      </c>
      <c r="GV98" s="11" t="str">
        <f ca="1">IF(History!GZ$2="","",#REF!*$C$98)</f>
        <v/>
      </c>
      <c r="GW98" s="11" t="str">
        <f ca="1">IF(History!HA$2="","",#REF!*$C$98)</f>
        <v/>
      </c>
      <c r="GX98" s="11" t="str">
        <f ca="1">IF(History!HB$2="","",#REF!*$C$98)</f>
        <v/>
      </c>
      <c r="GY98" s="11" t="str">
        <f ca="1">IF(History!HC$2="","",#REF!*$C$98)</f>
        <v/>
      </c>
      <c r="GZ98" s="11" t="str">
        <f ca="1">IF(History!HD$2="","",#REF!*$C$98)</f>
        <v/>
      </c>
      <c r="HA98" s="11" t="str">
        <f ca="1">IF(History!HE$2="","",#REF!*$C$98)</f>
        <v/>
      </c>
      <c r="HB98" s="11" t="str">
        <f ca="1">IF(History!HF$2="","",#REF!*$C$98)</f>
        <v/>
      </c>
      <c r="HC98" s="11" t="str">
        <f ca="1">IF(History!HG$2="","",#REF!*$C$98)</f>
        <v/>
      </c>
      <c r="HD98" s="11" t="str">
        <f ca="1">IF(History!HH$2="","",#REF!*$C$98)</f>
        <v/>
      </c>
      <c r="HE98" s="11" t="str">
        <f ca="1">IF(History!HI$2="","",#REF!*$C$98)</f>
        <v/>
      </c>
      <c r="HF98" s="11" t="str">
        <f ca="1">IF(History!HJ$2="","",#REF!*$C$98)</f>
        <v/>
      </c>
      <c r="HG98" s="11" t="str">
        <f ca="1">IF(History!HK$2="","",#REF!*$C$98)</f>
        <v/>
      </c>
      <c r="HH98" s="11" t="str">
        <f ca="1">IF(History!HL$2="","",#REF!*$C$98)</f>
        <v/>
      </c>
      <c r="HI98" s="11" t="str">
        <f ca="1">IF(History!HM$2="","",#REF!*$C$98)</f>
        <v/>
      </c>
      <c r="HJ98" s="11" t="str">
        <f ca="1">IF(History!HN$2="","",#REF!*$C$98)</f>
        <v/>
      </c>
      <c r="HK98" s="11" t="str">
        <f ca="1">IF(History!HO$2="","",#REF!*$C$98)</f>
        <v/>
      </c>
      <c r="HL98" s="11" t="str">
        <f ca="1">IF(History!HP$2="","",#REF!*$C$98)</f>
        <v/>
      </c>
      <c r="HM98" s="11" t="str">
        <f ca="1">IF(History!HQ$2="","",#REF!*$C$98)</f>
        <v/>
      </c>
      <c r="HN98" s="11" t="str">
        <f ca="1">IF(History!HR$2="","",#REF!*$C$98)</f>
        <v/>
      </c>
      <c r="HO98" s="11" t="str">
        <f ca="1">IF(History!HS$2="","",#REF!*$C$98)</f>
        <v/>
      </c>
      <c r="HP98" s="11" t="str">
        <f ca="1">IF(History!HT$2="","",#REF!*$C$98)</f>
        <v/>
      </c>
      <c r="HQ98" s="11" t="str">
        <f ca="1">IF(History!HU$2="","",#REF!*$C$98)</f>
        <v/>
      </c>
      <c r="HR98" s="11" t="str">
        <f ca="1">IF(History!HV$2="","",#REF!*$C$98)</f>
        <v/>
      </c>
      <c r="HS98" s="11" t="str">
        <f ca="1">IF(History!HW$2="","",#REF!*$C$98)</f>
        <v/>
      </c>
      <c r="HT98" s="11" t="str">
        <f ca="1">IF(History!HX$2="","",#REF!*$C$98)</f>
        <v/>
      </c>
      <c r="HU98" s="11" t="str">
        <f ca="1">IF(History!HY$2="","",#REF!*$C$98)</f>
        <v/>
      </c>
      <c r="HV98" s="11" t="str">
        <f ca="1">IF(History!HZ$2="","",#REF!*$C$98)</f>
        <v/>
      </c>
      <c r="HW98" s="11" t="str">
        <f ca="1">IF(History!IA$2="","",#REF!*$C$98)</f>
        <v/>
      </c>
      <c r="HX98" s="11" t="str">
        <f ca="1">IF(History!IB$2="","",#REF!*$C$98)</f>
        <v/>
      </c>
      <c r="HY98" s="11" t="str">
        <f ca="1">IF(History!IC$2="","",#REF!*$C$98)</f>
        <v/>
      </c>
      <c r="HZ98" s="11" t="str">
        <f ca="1">IF(History!ID$2="","",#REF!*$C$98)</f>
        <v/>
      </c>
      <c r="IA98" s="11" t="str">
        <f ca="1">IF(History!IE$2="","",#REF!*$C$98)</f>
        <v/>
      </c>
      <c r="IB98" s="11" t="str">
        <f ca="1">IF(History!IF$2="","",#REF!*$C$98)</f>
        <v/>
      </c>
      <c r="IC98" s="11" t="str">
        <f ca="1">IF(History!IG$2="","",#REF!*$C$98)</f>
        <v/>
      </c>
      <c r="ID98" s="11" t="str">
        <f ca="1">IF(History!IH$2="","",#REF!*$C$98)</f>
        <v/>
      </c>
      <c r="IE98" s="11" t="str">
        <f ca="1">IF(History!II$2="","",#REF!*$C$98)</f>
        <v/>
      </c>
      <c r="IF98" s="11" t="str">
        <f ca="1">IF(History!IJ$2="","",#REF!*$C$98)</f>
        <v/>
      </c>
      <c r="IG98" s="11" t="str">
        <f ca="1">IF(History!IK$2="","",#REF!*$C$98)</f>
        <v/>
      </c>
      <c r="IH98" s="11" t="str">
        <f ca="1">IF(History!IL$2="","",#REF!*$C$98)</f>
        <v/>
      </c>
      <c r="II98" s="11" t="str">
        <f ca="1">IF(History!IM$2="","",#REF!*$C$98)</f>
        <v/>
      </c>
      <c r="IJ98" s="11" t="str">
        <f ca="1">IF(History!IN$2="","",#REF!*$C$98)</f>
        <v/>
      </c>
      <c r="IK98" s="11" t="str">
        <f ca="1">IF(History!IO$2="","",#REF!*$C$98)</f>
        <v/>
      </c>
      <c r="IL98" s="11" t="str">
        <f ca="1">IF(History!IP$2="","",#REF!*$C$98)</f>
        <v/>
      </c>
      <c r="IM98" s="11" t="str">
        <f ca="1">IF(History!IQ$2="","",#REF!*$C$98)</f>
        <v/>
      </c>
      <c r="IN98" s="11" t="str">
        <f ca="1">IF(History!IR$2="","",#REF!*$C$98)</f>
        <v/>
      </c>
      <c r="IO98" s="11" t="str">
        <f ca="1">IF(History!IS$2="","",#REF!*$C$98)</f>
        <v/>
      </c>
      <c r="IP98" s="11" t="str">
        <f ca="1">IF(History!IT$2="","",#REF!*$C$98)</f>
        <v/>
      </c>
      <c r="IQ98" s="11" t="str">
        <f ca="1">IF(History!IU$2="","",#REF!*$C$98)</f>
        <v/>
      </c>
      <c r="IR98" s="11" t="str">
        <f ca="1">IF(History!IV$2="","",#REF!*$C$98)</f>
        <v/>
      </c>
      <c r="IS98" s="11" t="str">
        <f ca="1">IF(History!IW$2="","",#REF!*$C$98)</f>
        <v/>
      </c>
      <c r="IT98" s="11" t="str">
        <f ca="1">IF(History!IX$2="","",#REF!*$C$98)</f>
        <v/>
      </c>
      <c r="IU98" s="11" t="str">
        <f ca="1">IF(History!IY$2="","",#REF!*$C$98)</f>
        <v/>
      </c>
      <c r="IV98" s="11" t="str">
        <f ca="1">IF(History!IZ$2="","",#REF!*$C$98)</f>
        <v/>
      </c>
      <c r="IW98" s="11" t="str">
        <f ca="1">IF(History!JA$2="","",#REF!*$C$98)</f>
        <v/>
      </c>
      <c r="IX98" s="11" t="str">
        <f ca="1">IF(History!JB$2="","",#REF!*$C$98)</f>
        <v/>
      </c>
      <c r="IY98" s="11" t="str">
        <f ca="1">IF(History!JC$2="","",#REF!*$C$98)</f>
        <v/>
      </c>
      <c r="IZ98" s="11" t="str">
        <f ca="1">IF(History!JD$2="","",#REF!*$C$98)</f>
        <v/>
      </c>
      <c r="JA98" s="11" t="str">
        <f ca="1">IF(History!JE$2="","",#REF!*$C$98)</f>
        <v/>
      </c>
      <c r="JB98" s="11" t="str">
        <f ca="1">IF(History!JF$2="","",#REF!*$C$98)</f>
        <v/>
      </c>
      <c r="JC98" s="11" t="str">
        <f ca="1">IF(History!JG$2="","",#REF!*$C$98)</f>
        <v/>
      </c>
      <c r="JD98" s="11" t="str">
        <f ca="1">IF(History!JH$2="","",#REF!*$C$98)</f>
        <v/>
      </c>
      <c r="JE98" s="11" t="str">
        <f ca="1">IF(History!JI$2="","",#REF!*$C$98)</f>
        <v/>
      </c>
      <c r="JF98" s="11" t="str">
        <f ca="1">IF(History!JJ$2="","",#REF!*$C$98)</f>
        <v/>
      </c>
      <c r="JG98" s="11" t="str">
        <f ca="1">IF(History!JK$2="","",#REF!*$C$98)</f>
        <v/>
      </c>
      <c r="JH98" s="11" t="str">
        <f ca="1">IF(History!JL$2="","",#REF!*$C$98)</f>
        <v/>
      </c>
      <c r="JI98" s="11" t="str">
        <f ca="1">IF(History!JM$2="","",#REF!*$C$98)</f>
        <v/>
      </c>
      <c r="JJ98" s="11" t="str">
        <f ca="1">IF(History!JN$2="","",#REF!*$C$98)</f>
        <v/>
      </c>
      <c r="JK98" s="11" t="str">
        <f ca="1">IF(History!JO$2="","",#REF!*$C$98)</f>
        <v/>
      </c>
      <c r="JL98" s="11" t="str">
        <f ca="1">IF(History!JP$2="","",#REF!*$C$98)</f>
        <v/>
      </c>
      <c r="JM98" s="11" t="str">
        <f ca="1">IF(History!JQ$2="","",#REF!*$C$98)</f>
        <v/>
      </c>
      <c r="JN98" s="11" t="str">
        <f ca="1">IF(History!JR$2="","",#REF!*$C$98)</f>
        <v/>
      </c>
      <c r="JO98" s="11" t="str">
        <f ca="1">IF(History!JS$2="","",#REF!*$C$98)</f>
        <v/>
      </c>
      <c r="JP98" s="11" t="str">
        <f ca="1">IF(History!JT$2="","",#REF!*$C$98)</f>
        <v/>
      </c>
      <c r="JQ98" s="11" t="str">
        <f ca="1">IF(History!JU$2="","",#REF!*$C$98)</f>
        <v/>
      </c>
      <c r="JR98" s="11" t="str">
        <f ca="1">IF(History!JV$2="","",#REF!*$C$98)</f>
        <v/>
      </c>
      <c r="JS98" s="11" t="str">
        <f ca="1">IF(History!JW$2="","",#REF!*$C$98)</f>
        <v/>
      </c>
      <c r="JT98" s="11" t="str">
        <f ca="1">IF(History!JX$2="","",#REF!*$C$98)</f>
        <v/>
      </c>
      <c r="JU98" s="11" t="str">
        <f ca="1">IF(History!JY$2="","",#REF!*$C$98)</f>
        <v/>
      </c>
      <c r="JV98" s="11" t="str">
        <f ca="1">IF(History!JZ$2="","",#REF!*$C$98)</f>
        <v/>
      </c>
      <c r="JW98" s="11" t="str">
        <f ca="1">IF(History!KA$2="","",#REF!*$C$98)</f>
        <v/>
      </c>
      <c r="JX98" s="11" t="str">
        <f ca="1">IF(History!KB$2="","",#REF!*$C$98)</f>
        <v/>
      </c>
      <c r="JY98" s="11" t="str">
        <f ca="1">IF(History!KC$2="","",#REF!*$C$98)</f>
        <v/>
      </c>
      <c r="JZ98" s="11" t="str">
        <f ca="1">IF(History!KD$2="","",#REF!*$C$98)</f>
        <v/>
      </c>
      <c r="KA98" s="11" t="str">
        <f ca="1">IF(History!KE$2="","",#REF!*$C$98)</f>
        <v/>
      </c>
      <c r="KB98" s="11" t="str">
        <f ca="1">IF(History!KF$2="","",#REF!*$C$98)</f>
        <v/>
      </c>
    </row>
    <row r="99" spans="1:288" ht="13">
      <c r="A99" s="18" t="s">
        <v>140</v>
      </c>
      <c r="B99" s="6" t="s">
        <v>176</v>
      </c>
      <c r="C99" s="26">
        <v>10</v>
      </c>
      <c r="D99" s="11" t="e">
        <f ca="1">IF(History!H$2="","",#REF!*$C$99)</f>
        <v>#REF!</v>
      </c>
      <c r="E99" s="11" t="e">
        <f ca="1">IF(History!I$2="","",#REF!*$C$99)</f>
        <v>#REF!</v>
      </c>
      <c r="F99" s="11" t="e">
        <f ca="1">IF(History!J$2="","",#REF!*$C$99)</f>
        <v>#REF!</v>
      </c>
      <c r="G99" s="11" t="e">
        <f ca="1">IF(History!K$2="","",#REF!*$C$99)</f>
        <v>#REF!</v>
      </c>
      <c r="H99" s="11" t="e">
        <f ca="1">IF(History!L$2="","",#REF!*$C$99)</f>
        <v>#REF!</v>
      </c>
      <c r="I99" s="11" t="e">
        <f ca="1">IF(History!M$2="","",#REF!*$C$99)</f>
        <v>#REF!</v>
      </c>
      <c r="J99" s="11" t="e">
        <f ca="1">IF(History!N$2="","",#REF!*$C$99)</f>
        <v>#REF!</v>
      </c>
      <c r="K99" s="11" t="e">
        <f ca="1">IF(History!O$2="","",#REF!*$C$99)</f>
        <v>#REF!</v>
      </c>
      <c r="L99" s="11" t="e">
        <f ca="1">IF(History!P$2="","",#REF!*$C$99)</f>
        <v>#REF!</v>
      </c>
      <c r="M99" s="11" t="e">
        <f ca="1">IF(History!Q$2="","",#REF!*$C$99)</f>
        <v>#REF!</v>
      </c>
      <c r="N99" s="11" t="e">
        <f ca="1">IF(History!R$2="","",#REF!*$C$99)</f>
        <v>#REF!</v>
      </c>
      <c r="O99" s="11" t="e">
        <f ca="1">IF(History!S$2="","",#REF!*$C$99)</f>
        <v>#REF!</v>
      </c>
      <c r="P99" s="11" t="e">
        <f ca="1">IF(History!T$2="","",#REF!*$C$99)</f>
        <v>#REF!</v>
      </c>
      <c r="Q99" s="11" t="e">
        <f ca="1">IF(History!U$2="","",#REF!*$C$99)</f>
        <v>#REF!</v>
      </c>
      <c r="R99" s="11" t="e">
        <f ca="1">IF(History!V$2="","",#REF!*$C$99)</f>
        <v>#REF!</v>
      </c>
      <c r="S99" s="11" t="e">
        <f ca="1">IF(History!W$2="","",#REF!*$C$99)</f>
        <v>#REF!</v>
      </c>
      <c r="T99" s="11" t="e">
        <f ca="1">IF(History!X$2="","",#REF!*$C$99)</f>
        <v>#REF!</v>
      </c>
      <c r="U99" s="11" t="e">
        <f ca="1">IF(History!Y$2="","",#REF!*$C$99)</f>
        <v>#REF!</v>
      </c>
      <c r="V99" s="11" t="e">
        <f ca="1">IF(History!Z$2="","",#REF!*$C$99)</f>
        <v>#REF!</v>
      </c>
      <c r="W99" s="11" t="e">
        <f ca="1">IF(History!AA$2="","",#REF!*$C$99)</f>
        <v>#REF!</v>
      </c>
      <c r="X99" s="11" t="e">
        <f ca="1">IF(History!AB$2="","",#REF!*$C$99)</f>
        <v>#REF!</v>
      </c>
      <c r="Y99" s="11" t="e">
        <f ca="1">IF(History!AC$2="","",#REF!*$C$99)</f>
        <v>#REF!</v>
      </c>
      <c r="Z99" s="11" t="e">
        <f ca="1">IF(History!AD$2="","",#REF!*$C$99)</f>
        <v>#REF!</v>
      </c>
      <c r="AA99" s="11" t="e">
        <f ca="1">IF(History!AE$2="","",#REF!*$C$99)</f>
        <v>#REF!</v>
      </c>
      <c r="AB99" s="11" t="e">
        <f ca="1">IF(History!AF$2="","",#REF!*$C$99)</f>
        <v>#REF!</v>
      </c>
      <c r="AC99" s="11" t="e">
        <f ca="1">IF(History!AG$2="","",#REF!*$C$99)</f>
        <v>#REF!</v>
      </c>
      <c r="AD99" s="11" t="e">
        <f ca="1">IF(History!AH$2="","",#REF!*$C$99)</f>
        <v>#REF!</v>
      </c>
      <c r="AE99" s="11" t="e">
        <f ca="1">IF(History!AI$2="","",#REF!*$C$99)</f>
        <v>#REF!</v>
      </c>
      <c r="AF99" s="11" t="e">
        <f ca="1">IF(History!AJ$2="","",#REF!*$C$99)</f>
        <v>#REF!</v>
      </c>
      <c r="AG99" s="11" t="e">
        <f ca="1">IF(History!AK$2="","",#REF!*$C$99)</f>
        <v>#REF!</v>
      </c>
      <c r="AH99" s="11" t="e">
        <f ca="1">IF(History!AL$2="","",#REF!*$C$99)</f>
        <v>#REF!</v>
      </c>
      <c r="AI99" s="11" t="e">
        <f ca="1">IF(History!AM$2="","",#REF!*$C$99)</f>
        <v>#REF!</v>
      </c>
      <c r="AJ99" s="11" t="e">
        <f ca="1">IF(History!AN$2="","",#REF!*$C$99)</f>
        <v>#REF!</v>
      </c>
      <c r="AK99" s="11" t="e">
        <f ca="1">IF(History!AO$2="","",#REF!*$C$99)</f>
        <v>#REF!</v>
      </c>
      <c r="AL99" s="11" t="e">
        <f ca="1">IF(History!AP$2="","",#REF!*$C$99)</f>
        <v>#REF!</v>
      </c>
      <c r="AM99" s="11" t="e">
        <f ca="1">IF(History!AQ$2="","",#REF!*$C$99)</f>
        <v>#REF!</v>
      </c>
      <c r="AN99" s="11" t="e">
        <f ca="1">IF(History!AR$2="","",#REF!*$C$99)</f>
        <v>#REF!</v>
      </c>
      <c r="AO99" s="11" t="e">
        <f ca="1">IF(History!AS$2="","",#REF!*$C$99)</f>
        <v>#REF!</v>
      </c>
      <c r="AP99" s="11" t="e">
        <f ca="1">IF(History!AT$2="","",#REF!*$C$99)</f>
        <v>#REF!</v>
      </c>
      <c r="AQ99" s="11" t="e">
        <f ca="1">IF(History!AU$2="","",#REF!*$C$99)</f>
        <v>#REF!</v>
      </c>
      <c r="AR99" s="11" t="e">
        <f ca="1">IF(History!AV$2="","",#REF!*$C$99)</f>
        <v>#REF!</v>
      </c>
      <c r="AS99" s="11" t="e">
        <f ca="1">IF(History!AW$2="","",#REF!*$C$99)</f>
        <v>#REF!</v>
      </c>
      <c r="AT99" s="11" t="e">
        <f ca="1">IF(History!AX$2="","",#REF!*$C$99)</f>
        <v>#REF!</v>
      </c>
      <c r="AU99" s="11" t="e">
        <f ca="1">IF(History!AY$2="","",#REF!*$C$99)</f>
        <v>#REF!</v>
      </c>
      <c r="AV99" s="11" t="e">
        <f ca="1">IF(History!AZ$2="","",#REF!*$C$99)</f>
        <v>#REF!</v>
      </c>
      <c r="AW99" s="11" t="e">
        <f ca="1">IF(History!BA$2="","",#REF!*$C$99)</f>
        <v>#REF!</v>
      </c>
      <c r="AX99" s="11" t="e">
        <f ca="1">IF(History!BB$2="","",#REF!*$C$99)</f>
        <v>#REF!</v>
      </c>
      <c r="AY99" s="11" t="e">
        <f ca="1">IF(History!BC$2="","",#REF!*$C$99)</f>
        <v>#REF!</v>
      </c>
      <c r="AZ99" s="11" t="e">
        <f ca="1">IF(History!BD$2="","",#REF!*$C$99)</f>
        <v>#REF!</v>
      </c>
      <c r="BA99" s="11" t="e">
        <f ca="1">IF(History!BE$2="","",#REF!*$C$99)</f>
        <v>#REF!</v>
      </c>
      <c r="BB99" s="11" t="e">
        <f ca="1">IF(History!BF$2="","",#REF!*$C$99)</f>
        <v>#REF!</v>
      </c>
      <c r="BC99" s="11" t="e">
        <f ca="1">IF(History!BG$2="","",#REF!*$C$99)</f>
        <v>#REF!</v>
      </c>
      <c r="BD99" s="11" t="e">
        <f ca="1">IF(History!BH$2="","",#REF!*$C$99)</f>
        <v>#REF!</v>
      </c>
      <c r="BE99" s="11" t="e">
        <f ca="1">IF(History!BI$2="","",#REF!*$C$99)</f>
        <v>#REF!</v>
      </c>
      <c r="BF99" s="11" t="e">
        <f ca="1">IF(History!BJ$2="","",#REF!*$C$99)</f>
        <v>#REF!</v>
      </c>
      <c r="BG99" s="11" t="e">
        <f ca="1">IF(History!BK$2="","",#REF!*$C$99)</f>
        <v>#REF!</v>
      </c>
      <c r="BH99" s="11" t="e">
        <f ca="1">IF(History!BL$2="","",#REF!*$C$99)</f>
        <v>#REF!</v>
      </c>
      <c r="BI99" s="11" t="e">
        <f ca="1">IF(History!BM$2="","",#REF!*$C$99)</f>
        <v>#REF!</v>
      </c>
      <c r="BJ99" s="11" t="e">
        <f ca="1">IF(History!BN$2="","",#REF!*$C$99)</f>
        <v>#REF!</v>
      </c>
      <c r="BK99" s="11" t="e">
        <f ca="1">IF(History!BO$2="","",#REF!*$C$99)</f>
        <v>#REF!</v>
      </c>
      <c r="BL99" s="11" t="e">
        <f ca="1">IF(History!BP$2="","",#REF!*$C$99)</f>
        <v>#REF!</v>
      </c>
      <c r="BM99" s="11" t="e">
        <f ca="1">IF(History!BQ$2="","",#REF!*$C$99)</f>
        <v>#REF!</v>
      </c>
      <c r="BN99" s="11" t="e">
        <f ca="1">IF(History!BR$2="","",#REF!*$C$99)</f>
        <v>#REF!</v>
      </c>
      <c r="BO99" s="11" t="e">
        <f ca="1">IF(History!BS$2="","",#REF!*$C$99)</f>
        <v>#REF!</v>
      </c>
      <c r="BP99" s="11" t="e">
        <f ca="1">IF(History!BT$2="","",#REF!*$C$99)</f>
        <v>#REF!</v>
      </c>
      <c r="BQ99" s="11" t="e">
        <f ca="1">IF(History!BU$2="","",#REF!*$C$99)</f>
        <v>#REF!</v>
      </c>
      <c r="BR99" s="11" t="e">
        <f ca="1">IF(History!BV$2="","",#REF!*$C$99)</f>
        <v>#REF!</v>
      </c>
      <c r="BS99" s="11" t="e">
        <f ca="1">IF(History!BW$2="","",#REF!*$C$99)</f>
        <v>#REF!</v>
      </c>
      <c r="BT99" s="11" t="e">
        <f ca="1">IF(History!BX$2="","",#REF!*$C$99)</f>
        <v>#REF!</v>
      </c>
      <c r="BU99" s="11" t="e">
        <f ca="1">IF(History!BY$2="","",#REF!*$C$99)</f>
        <v>#REF!</v>
      </c>
      <c r="BV99" s="11" t="e">
        <f ca="1">IF(History!BZ$2="","",#REF!*$C$99)</f>
        <v>#REF!</v>
      </c>
      <c r="BW99" s="11" t="e">
        <f ca="1">IF(History!CA$2="","",#REF!*$C$99)</f>
        <v>#REF!</v>
      </c>
      <c r="BX99" s="11" t="e">
        <f ca="1">IF(History!CB$2="","",#REF!*$C$99)</f>
        <v>#REF!</v>
      </c>
      <c r="BY99" s="11" t="e">
        <f ca="1">IF(History!CC$2="","",#REF!*$C$99)</f>
        <v>#REF!</v>
      </c>
      <c r="BZ99" s="11" t="e">
        <f ca="1">IF(History!CD$2="","",#REF!*$C$99)</f>
        <v>#REF!</v>
      </c>
      <c r="CA99" s="11" t="e">
        <f ca="1">IF(History!CE$2="","",#REF!*$C$99)</f>
        <v>#REF!</v>
      </c>
      <c r="CB99" s="11" t="e">
        <f ca="1">IF(History!CF$2="","",#REF!*$C$99)</f>
        <v>#REF!</v>
      </c>
      <c r="CC99" s="11" t="e">
        <f ca="1">IF(History!CG$2="","",#REF!*$C$99)</f>
        <v>#REF!</v>
      </c>
      <c r="CD99" s="11" t="e">
        <f ca="1">IF(History!CH$2="","",#REF!*$C$99)</f>
        <v>#REF!</v>
      </c>
      <c r="CE99" s="11" t="e">
        <f ca="1">IF(History!CI$2="","",#REF!*$C$99)</f>
        <v>#REF!</v>
      </c>
      <c r="CF99" s="11" t="str">
        <f ca="1">IF(History!CJ$2="","",#REF!*$C$99)</f>
        <v/>
      </c>
      <c r="CG99" s="11" t="str">
        <f ca="1">IF(History!CK$2="","",#REF!*$C$99)</f>
        <v/>
      </c>
      <c r="CH99" s="11" t="str">
        <f ca="1">IF(History!CL$2="","",#REF!*$C$99)</f>
        <v/>
      </c>
      <c r="CI99" s="11" t="str">
        <f ca="1">IF(History!CM$2="","",#REF!*$C$99)</f>
        <v/>
      </c>
      <c r="CJ99" s="11" t="str">
        <f ca="1">IF(History!CN$2="","",#REF!*$C$99)</f>
        <v/>
      </c>
      <c r="CK99" s="11" t="str">
        <f ca="1">IF(History!CO$2="","",#REF!*$C$99)</f>
        <v/>
      </c>
      <c r="CL99" s="11" t="str">
        <f ca="1">IF(History!CP$2="","",#REF!*$C$99)</f>
        <v/>
      </c>
      <c r="CM99" s="11" t="str">
        <f ca="1">IF(History!CQ$2="","",#REF!*$C$99)</f>
        <v/>
      </c>
      <c r="CN99" s="11" t="str">
        <f ca="1">IF(History!CR$2="","",#REF!*$C$99)</f>
        <v/>
      </c>
      <c r="CO99" s="11" t="str">
        <f ca="1">IF(History!CS$2="","",#REF!*$C$99)</f>
        <v/>
      </c>
      <c r="CP99" s="11" t="str">
        <f ca="1">IF(History!CT$2="","",#REF!*$C$99)</f>
        <v/>
      </c>
      <c r="CQ99" s="11" t="str">
        <f ca="1">IF(History!CU$2="","",#REF!*$C$99)</f>
        <v/>
      </c>
      <c r="CR99" s="11" t="str">
        <f ca="1">IF(History!CV$2="","",#REF!*$C$99)</f>
        <v/>
      </c>
      <c r="CS99" s="11" t="str">
        <f ca="1">IF(History!CW$2="","",#REF!*$C$99)</f>
        <v/>
      </c>
      <c r="CT99" s="11" t="str">
        <f ca="1">IF(History!CX$2="","",#REF!*$C$99)</f>
        <v/>
      </c>
      <c r="CU99" s="11" t="str">
        <f ca="1">IF(History!CY$2="","",#REF!*$C$99)</f>
        <v/>
      </c>
      <c r="CV99" s="11" t="str">
        <f ca="1">IF(History!CZ$2="","",#REF!*$C$99)</f>
        <v/>
      </c>
      <c r="CW99" s="11" t="str">
        <f ca="1">IF(History!DA$2="","",#REF!*$C$99)</f>
        <v/>
      </c>
      <c r="CX99" s="11" t="str">
        <f ca="1">IF(History!DB$2="","",#REF!*$C$99)</f>
        <v/>
      </c>
      <c r="CY99" s="11" t="str">
        <f ca="1">IF(History!DC$2="","",#REF!*$C$99)</f>
        <v/>
      </c>
      <c r="CZ99" s="11" t="str">
        <f ca="1">IF(History!DD$2="","",#REF!*$C$99)</f>
        <v/>
      </c>
      <c r="DA99" s="11" t="str">
        <f ca="1">IF(History!DE$2="","",#REF!*$C$99)</f>
        <v/>
      </c>
      <c r="DB99" s="11" t="str">
        <f ca="1">IF(History!DF$2="","",#REF!*$C$99)</f>
        <v/>
      </c>
      <c r="DC99" s="11" t="str">
        <f ca="1">IF(History!DG$2="","",#REF!*$C$99)</f>
        <v/>
      </c>
      <c r="DD99" s="11" t="str">
        <f ca="1">IF(History!DH$2="","",#REF!*$C$99)</f>
        <v/>
      </c>
      <c r="DE99" s="11" t="str">
        <f ca="1">IF(History!DI$2="","",#REF!*$C$99)</f>
        <v/>
      </c>
      <c r="DF99" s="11" t="str">
        <f ca="1">IF(History!DJ$2="","",#REF!*$C$99)</f>
        <v/>
      </c>
      <c r="DG99" s="11" t="str">
        <f ca="1">IF(History!DK$2="","",#REF!*$C$99)</f>
        <v/>
      </c>
      <c r="DH99" s="11" t="str">
        <f ca="1">IF(History!DL$2="","",#REF!*$C$99)</f>
        <v/>
      </c>
      <c r="DI99" s="11" t="str">
        <f ca="1">IF(History!DM$2="","",#REF!*$C$99)</f>
        <v/>
      </c>
      <c r="DJ99" s="11" t="str">
        <f ca="1">IF(History!DN$2="","",#REF!*$C$99)</f>
        <v/>
      </c>
      <c r="DK99" s="11" t="str">
        <f ca="1">IF(History!DO$2="","",#REF!*$C$99)</f>
        <v/>
      </c>
      <c r="DL99" s="11" t="str">
        <f ca="1">IF(History!DP$2="","",#REF!*$C$99)</f>
        <v/>
      </c>
      <c r="DM99" s="11" t="str">
        <f ca="1">IF(History!DQ$2="","",#REF!*$C$99)</f>
        <v/>
      </c>
      <c r="DN99" s="11" t="str">
        <f ca="1">IF(History!DR$2="","",#REF!*$C$99)</f>
        <v/>
      </c>
      <c r="DO99" s="11" t="str">
        <f ca="1">IF(History!DS$2="","",#REF!*$C$99)</f>
        <v/>
      </c>
      <c r="DP99" s="11" t="str">
        <f ca="1">IF(History!DT$2="","",#REF!*$C$99)</f>
        <v/>
      </c>
      <c r="DQ99" s="11" t="str">
        <f ca="1">IF(History!DU$2="","",#REF!*$C$99)</f>
        <v/>
      </c>
      <c r="DR99" s="11" t="str">
        <f ca="1">IF(History!DV$2="","",#REF!*$C$99)</f>
        <v/>
      </c>
      <c r="DS99" s="11" t="str">
        <f ca="1">IF(History!DW$2="","",#REF!*$C$99)</f>
        <v/>
      </c>
      <c r="DT99" s="11" t="str">
        <f ca="1">IF(History!DX$2="","",#REF!*$C$99)</f>
        <v/>
      </c>
      <c r="DU99" s="11" t="str">
        <f ca="1">IF(History!DY$2="","",#REF!*$C$99)</f>
        <v/>
      </c>
      <c r="DV99" s="11" t="str">
        <f ca="1">IF(History!DZ$2="","",#REF!*$C$99)</f>
        <v/>
      </c>
      <c r="DW99" s="11" t="str">
        <f ca="1">IF(History!EA$2="","",#REF!*$C$99)</f>
        <v/>
      </c>
      <c r="DX99" s="11" t="str">
        <f ca="1">IF(History!EB$2="","",#REF!*$C$99)</f>
        <v/>
      </c>
      <c r="DY99" s="11" t="str">
        <f ca="1">IF(History!EC$2="","",#REF!*$C$99)</f>
        <v/>
      </c>
      <c r="DZ99" s="11" t="str">
        <f ca="1">IF(History!ED$2="","",#REF!*$C$99)</f>
        <v/>
      </c>
      <c r="EA99" s="11" t="str">
        <f ca="1">IF(History!EE$2="","",#REF!*$C$99)</f>
        <v/>
      </c>
      <c r="EB99" s="11" t="str">
        <f ca="1">IF(History!EF$2="","",#REF!*$C$99)</f>
        <v/>
      </c>
      <c r="EC99" s="11" t="str">
        <f ca="1">IF(History!EG$2="","",#REF!*$C$99)</f>
        <v/>
      </c>
      <c r="ED99" s="11" t="str">
        <f ca="1">IF(History!EH$2="","",#REF!*$C$99)</f>
        <v/>
      </c>
      <c r="EE99" s="11" t="str">
        <f ca="1">IF(History!EI$2="","",#REF!*$C$99)</f>
        <v/>
      </c>
      <c r="EF99" s="11" t="str">
        <f ca="1">IF(History!EJ$2="","",#REF!*$C$99)</f>
        <v/>
      </c>
      <c r="EG99" s="11" t="str">
        <f ca="1">IF(History!EK$2="","",#REF!*$C$99)</f>
        <v/>
      </c>
      <c r="EH99" s="11" t="str">
        <f ca="1">IF(History!EL$2="","",#REF!*$C$99)</f>
        <v/>
      </c>
      <c r="EI99" s="11" t="str">
        <f ca="1">IF(History!EM$2="","",#REF!*$C$99)</f>
        <v/>
      </c>
      <c r="EJ99" s="11" t="str">
        <f ca="1">IF(History!EN$2="","",#REF!*$C$99)</f>
        <v/>
      </c>
      <c r="EK99" s="11" t="str">
        <f ca="1">IF(History!EO$2="","",#REF!*$C$99)</f>
        <v/>
      </c>
      <c r="EL99" s="11" t="str">
        <f ca="1">IF(History!EP$2="","",#REF!*$C$99)</f>
        <v/>
      </c>
      <c r="EM99" s="11" t="str">
        <f ca="1">IF(History!EQ$2="","",#REF!*$C$99)</f>
        <v/>
      </c>
      <c r="EN99" s="11" t="str">
        <f ca="1">IF(History!ER$2="","",#REF!*$C$99)</f>
        <v/>
      </c>
      <c r="EO99" s="11" t="str">
        <f ca="1">IF(History!ES$2="","",#REF!*$C$99)</f>
        <v/>
      </c>
      <c r="EP99" s="11" t="str">
        <f ca="1">IF(History!ET$2="","",#REF!*$C$99)</f>
        <v/>
      </c>
      <c r="EQ99" s="11" t="str">
        <f ca="1">IF(History!EU$2="","",#REF!*$C$99)</f>
        <v/>
      </c>
      <c r="ER99" s="11" t="str">
        <f ca="1">IF(History!EV$2="","",#REF!*$C$99)</f>
        <v/>
      </c>
      <c r="ES99" s="11" t="str">
        <f ca="1">IF(History!EW$2="","",#REF!*$C$99)</f>
        <v/>
      </c>
      <c r="ET99" s="11" t="str">
        <f ca="1">IF(History!EX$2="","",#REF!*$C$99)</f>
        <v/>
      </c>
      <c r="EU99" s="11" t="str">
        <f ca="1">IF(History!EY$2="","",#REF!*$C$99)</f>
        <v/>
      </c>
      <c r="EV99" s="11" t="str">
        <f ca="1">IF(History!EZ$2="","",#REF!*$C$99)</f>
        <v/>
      </c>
      <c r="EW99" s="11" t="str">
        <f ca="1">IF(History!FA$2="","",#REF!*$C$99)</f>
        <v/>
      </c>
      <c r="EX99" s="11" t="str">
        <f ca="1">IF(History!FB$2="","",#REF!*$C$99)</f>
        <v/>
      </c>
      <c r="EY99" s="11" t="str">
        <f ca="1">IF(History!FC$2="","",#REF!*$C$99)</f>
        <v/>
      </c>
      <c r="EZ99" s="11" t="str">
        <f ca="1">IF(History!FD$2="","",#REF!*$C$99)</f>
        <v/>
      </c>
      <c r="FA99" s="11" t="str">
        <f ca="1">IF(History!FE$2="","",#REF!*$C$99)</f>
        <v/>
      </c>
      <c r="FB99" s="11" t="str">
        <f ca="1">IF(History!FF$2="","",#REF!*$C$99)</f>
        <v/>
      </c>
      <c r="FC99" s="11" t="str">
        <f ca="1">IF(History!FG$2="","",#REF!*$C$99)</f>
        <v/>
      </c>
      <c r="FD99" s="11" t="str">
        <f ca="1">IF(History!FH$2="","",#REF!*$C$99)</f>
        <v/>
      </c>
      <c r="FE99" s="11" t="str">
        <f ca="1">IF(History!FI$2="","",#REF!*$C$99)</f>
        <v/>
      </c>
      <c r="FF99" s="11" t="str">
        <f ca="1">IF(History!FJ$2="","",#REF!*$C$99)</f>
        <v/>
      </c>
      <c r="FG99" s="11" t="str">
        <f ca="1">IF(History!FK$2="","",#REF!*$C$99)</f>
        <v/>
      </c>
      <c r="FH99" s="11" t="str">
        <f ca="1">IF(History!FL$2="","",#REF!*$C$99)</f>
        <v/>
      </c>
      <c r="FI99" s="11" t="str">
        <f ca="1">IF(History!FM$2="","",#REF!*$C$99)</f>
        <v/>
      </c>
      <c r="FJ99" s="11" t="str">
        <f ca="1">IF(History!FN$2="","",#REF!*$C$99)</f>
        <v/>
      </c>
      <c r="FK99" s="11" t="str">
        <f ca="1">IF(History!FO$2="","",#REF!*$C$99)</f>
        <v/>
      </c>
      <c r="FL99" s="11" t="str">
        <f ca="1">IF(History!FP$2="","",#REF!*$C$99)</f>
        <v/>
      </c>
      <c r="FM99" s="11" t="str">
        <f ca="1">IF(History!FQ$2="","",#REF!*$C$99)</f>
        <v/>
      </c>
      <c r="FN99" s="11" t="str">
        <f ca="1">IF(History!FR$2="","",#REF!*$C$99)</f>
        <v/>
      </c>
      <c r="FO99" s="11" t="str">
        <f ca="1">IF(History!FS$2="","",#REF!*$C$99)</f>
        <v/>
      </c>
      <c r="FP99" s="11" t="str">
        <f ca="1">IF(History!FT$2="","",#REF!*$C$99)</f>
        <v/>
      </c>
      <c r="FQ99" s="11" t="str">
        <f ca="1">IF(History!FU$2="","",#REF!*$C$99)</f>
        <v/>
      </c>
      <c r="FR99" s="11" t="str">
        <f ca="1">IF(History!FV$2="","",#REF!*$C$99)</f>
        <v/>
      </c>
      <c r="FS99" s="11" t="str">
        <f ca="1">IF(History!FW$2="","",#REF!*$C$99)</f>
        <v/>
      </c>
      <c r="FT99" s="11" t="str">
        <f ca="1">IF(History!FX$2="","",#REF!*$C$99)</f>
        <v/>
      </c>
      <c r="FU99" s="11" t="str">
        <f ca="1">IF(History!FY$2="","",#REF!*$C$99)</f>
        <v/>
      </c>
      <c r="FV99" s="11" t="str">
        <f ca="1">IF(History!FZ$2="","",#REF!*$C$99)</f>
        <v/>
      </c>
      <c r="FW99" s="11" t="str">
        <f ca="1">IF(History!GA$2="","",#REF!*$C$99)</f>
        <v/>
      </c>
      <c r="FX99" s="11" t="str">
        <f ca="1">IF(History!GB$2="","",#REF!*$C$99)</f>
        <v/>
      </c>
      <c r="FY99" s="11" t="str">
        <f ca="1">IF(History!GC$2="","",#REF!*$C$99)</f>
        <v/>
      </c>
      <c r="FZ99" s="11" t="str">
        <f ca="1">IF(History!GD$2="","",#REF!*$C$99)</f>
        <v/>
      </c>
      <c r="GA99" s="11" t="str">
        <f ca="1">IF(History!GE$2="","",#REF!*$C$99)</f>
        <v/>
      </c>
      <c r="GB99" s="11" t="str">
        <f ca="1">IF(History!GF$2="","",#REF!*$C$99)</f>
        <v/>
      </c>
      <c r="GC99" s="11" t="str">
        <f ca="1">IF(History!GG$2="","",#REF!*$C$99)</f>
        <v/>
      </c>
      <c r="GD99" s="11" t="str">
        <f ca="1">IF(History!GH$2="","",#REF!*$C$99)</f>
        <v/>
      </c>
      <c r="GE99" s="11" t="str">
        <f ca="1">IF(History!GI$2="","",#REF!*$C$99)</f>
        <v/>
      </c>
      <c r="GF99" s="11" t="str">
        <f ca="1">IF(History!GJ$2="","",#REF!*$C$99)</f>
        <v/>
      </c>
      <c r="GG99" s="11" t="str">
        <f ca="1">IF(History!GK$2="","",#REF!*$C$99)</f>
        <v/>
      </c>
      <c r="GH99" s="11" t="str">
        <f ca="1">IF(History!GL$2="","",#REF!*$C$99)</f>
        <v/>
      </c>
      <c r="GI99" s="11" t="str">
        <f ca="1">IF(History!GM$2="","",#REF!*$C$99)</f>
        <v/>
      </c>
      <c r="GJ99" s="11" t="str">
        <f ca="1">IF(History!GN$2="","",#REF!*$C$99)</f>
        <v/>
      </c>
      <c r="GK99" s="11" t="str">
        <f ca="1">IF(History!GO$2="","",#REF!*$C$99)</f>
        <v/>
      </c>
      <c r="GL99" s="11" t="str">
        <f ca="1">IF(History!GP$2="","",#REF!*$C$99)</f>
        <v/>
      </c>
      <c r="GM99" s="11" t="str">
        <f ca="1">IF(History!GQ$2="","",#REF!*$C$99)</f>
        <v/>
      </c>
      <c r="GN99" s="11" t="str">
        <f ca="1">IF(History!GR$2="","",#REF!*$C$99)</f>
        <v/>
      </c>
      <c r="GO99" s="11" t="str">
        <f ca="1">IF(History!GS$2="","",#REF!*$C$99)</f>
        <v/>
      </c>
      <c r="GP99" s="11" t="str">
        <f ca="1">IF(History!GT$2="","",#REF!*$C$99)</f>
        <v/>
      </c>
      <c r="GQ99" s="11" t="str">
        <f ca="1">IF(History!GU$2="","",#REF!*$C$99)</f>
        <v/>
      </c>
      <c r="GR99" s="11" t="str">
        <f ca="1">IF(History!GV$2="","",#REF!*$C$99)</f>
        <v/>
      </c>
      <c r="GS99" s="11" t="str">
        <f ca="1">IF(History!GW$2="","",#REF!*$C$99)</f>
        <v/>
      </c>
      <c r="GT99" s="11" t="str">
        <f ca="1">IF(History!GX$2="","",#REF!*$C$99)</f>
        <v/>
      </c>
      <c r="GU99" s="11" t="str">
        <f ca="1">IF(History!GY$2="","",#REF!*$C$99)</f>
        <v/>
      </c>
      <c r="GV99" s="11" t="str">
        <f ca="1">IF(History!GZ$2="","",#REF!*$C$99)</f>
        <v/>
      </c>
      <c r="GW99" s="11" t="str">
        <f ca="1">IF(History!HA$2="","",#REF!*$C$99)</f>
        <v/>
      </c>
      <c r="GX99" s="11" t="str">
        <f ca="1">IF(History!HB$2="","",#REF!*$C$99)</f>
        <v/>
      </c>
      <c r="GY99" s="11" t="str">
        <f ca="1">IF(History!HC$2="","",#REF!*$C$99)</f>
        <v/>
      </c>
      <c r="GZ99" s="11" t="str">
        <f ca="1">IF(History!HD$2="","",#REF!*$C$99)</f>
        <v/>
      </c>
      <c r="HA99" s="11" t="str">
        <f ca="1">IF(History!HE$2="","",#REF!*$C$99)</f>
        <v/>
      </c>
      <c r="HB99" s="11" t="str">
        <f ca="1">IF(History!HF$2="","",#REF!*$C$99)</f>
        <v/>
      </c>
      <c r="HC99" s="11" t="str">
        <f ca="1">IF(History!HG$2="","",#REF!*$C$99)</f>
        <v/>
      </c>
      <c r="HD99" s="11" t="str">
        <f ca="1">IF(History!HH$2="","",#REF!*$C$99)</f>
        <v/>
      </c>
      <c r="HE99" s="11" t="str">
        <f ca="1">IF(History!HI$2="","",#REF!*$C$99)</f>
        <v/>
      </c>
      <c r="HF99" s="11" t="str">
        <f ca="1">IF(History!HJ$2="","",#REF!*$C$99)</f>
        <v/>
      </c>
      <c r="HG99" s="11" t="str">
        <f ca="1">IF(History!HK$2="","",#REF!*$C$99)</f>
        <v/>
      </c>
      <c r="HH99" s="11" t="str">
        <f ca="1">IF(History!HL$2="","",#REF!*$C$99)</f>
        <v/>
      </c>
      <c r="HI99" s="11" t="str">
        <f ca="1">IF(History!HM$2="","",#REF!*$C$99)</f>
        <v/>
      </c>
      <c r="HJ99" s="11" t="str">
        <f ca="1">IF(History!HN$2="","",#REF!*$C$99)</f>
        <v/>
      </c>
      <c r="HK99" s="11" t="str">
        <f ca="1">IF(History!HO$2="","",#REF!*$C$99)</f>
        <v/>
      </c>
      <c r="HL99" s="11" t="str">
        <f ca="1">IF(History!HP$2="","",#REF!*$C$99)</f>
        <v/>
      </c>
      <c r="HM99" s="11" t="str">
        <f ca="1">IF(History!HQ$2="","",#REF!*$C$99)</f>
        <v/>
      </c>
      <c r="HN99" s="11" t="str">
        <f ca="1">IF(History!HR$2="","",#REF!*$C$99)</f>
        <v/>
      </c>
      <c r="HO99" s="11" t="str">
        <f ca="1">IF(History!HS$2="","",#REF!*$C$99)</f>
        <v/>
      </c>
      <c r="HP99" s="11" t="str">
        <f ca="1">IF(History!HT$2="","",#REF!*$C$99)</f>
        <v/>
      </c>
      <c r="HQ99" s="11" t="str">
        <f ca="1">IF(History!HU$2="","",#REF!*$C$99)</f>
        <v/>
      </c>
      <c r="HR99" s="11" t="str">
        <f ca="1">IF(History!HV$2="","",#REF!*$C$99)</f>
        <v/>
      </c>
      <c r="HS99" s="11" t="str">
        <f ca="1">IF(History!HW$2="","",#REF!*$C$99)</f>
        <v/>
      </c>
      <c r="HT99" s="11" t="str">
        <f ca="1">IF(History!HX$2="","",#REF!*$C$99)</f>
        <v/>
      </c>
      <c r="HU99" s="11" t="str">
        <f ca="1">IF(History!HY$2="","",#REF!*$C$99)</f>
        <v/>
      </c>
      <c r="HV99" s="11" t="str">
        <f ca="1">IF(History!HZ$2="","",#REF!*$C$99)</f>
        <v/>
      </c>
      <c r="HW99" s="11" t="str">
        <f ca="1">IF(History!IA$2="","",#REF!*$C$99)</f>
        <v/>
      </c>
      <c r="HX99" s="11" t="str">
        <f ca="1">IF(History!IB$2="","",#REF!*$C$99)</f>
        <v/>
      </c>
      <c r="HY99" s="11" t="str">
        <f ca="1">IF(History!IC$2="","",#REF!*$C$99)</f>
        <v/>
      </c>
      <c r="HZ99" s="11" t="str">
        <f ca="1">IF(History!ID$2="","",#REF!*$C$99)</f>
        <v/>
      </c>
      <c r="IA99" s="11" t="str">
        <f ca="1">IF(History!IE$2="","",#REF!*$C$99)</f>
        <v/>
      </c>
      <c r="IB99" s="11" t="str">
        <f ca="1">IF(History!IF$2="","",#REF!*$C$99)</f>
        <v/>
      </c>
      <c r="IC99" s="11" t="str">
        <f ca="1">IF(History!IG$2="","",#REF!*$C$99)</f>
        <v/>
      </c>
      <c r="ID99" s="11" t="str">
        <f ca="1">IF(History!IH$2="","",#REF!*$C$99)</f>
        <v/>
      </c>
      <c r="IE99" s="11" t="str">
        <f ca="1">IF(History!II$2="","",#REF!*$C$99)</f>
        <v/>
      </c>
      <c r="IF99" s="11" t="str">
        <f ca="1">IF(History!IJ$2="","",#REF!*$C$99)</f>
        <v/>
      </c>
      <c r="IG99" s="11" t="str">
        <f ca="1">IF(History!IK$2="","",#REF!*$C$99)</f>
        <v/>
      </c>
      <c r="IH99" s="11" t="str">
        <f ca="1">IF(History!IL$2="","",#REF!*$C$99)</f>
        <v/>
      </c>
      <c r="II99" s="11" t="str">
        <f ca="1">IF(History!IM$2="","",#REF!*$C$99)</f>
        <v/>
      </c>
      <c r="IJ99" s="11" t="str">
        <f ca="1">IF(History!IN$2="","",#REF!*$C$99)</f>
        <v/>
      </c>
      <c r="IK99" s="11" t="str">
        <f ca="1">IF(History!IO$2="","",#REF!*$C$99)</f>
        <v/>
      </c>
      <c r="IL99" s="11" t="str">
        <f ca="1">IF(History!IP$2="","",#REF!*$C$99)</f>
        <v/>
      </c>
      <c r="IM99" s="11" t="str">
        <f ca="1">IF(History!IQ$2="","",#REF!*$C$99)</f>
        <v/>
      </c>
      <c r="IN99" s="11" t="str">
        <f ca="1">IF(History!IR$2="","",#REF!*$C$99)</f>
        <v/>
      </c>
      <c r="IO99" s="11" t="str">
        <f ca="1">IF(History!IS$2="","",#REF!*$C$99)</f>
        <v/>
      </c>
      <c r="IP99" s="11" t="str">
        <f ca="1">IF(History!IT$2="","",#REF!*$C$99)</f>
        <v/>
      </c>
      <c r="IQ99" s="11" t="str">
        <f ca="1">IF(History!IU$2="","",#REF!*$C$99)</f>
        <v/>
      </c>
      <c r="IR99" s="11" t="str">
        <f ca="1">IF(History!IV$2="","",#REF!*$C$99)</f>
        <v/>
      </c>
      <c r="IS99" s="11" t="str">
        <f ca="1">IF(History!IW$2="","",#REF!*$C$99)</f>
        <v/>
      </c>
      <c r="IT99" s="11" t="str">
        <f ca="1">IF(History!IX$2="","",#REF!*$C$99)</f>
        <v/>
      </c>
      <c r="IU99" s="11" t="str">
        <f ca="1">IF(History!IY$2="","",#REF!*$C$99)</f>
        <v/>
      </c>
      <c r="IV99" s="11" t="str">
        <f ca="1">IF(History!IZ$2="","",#REF!*$C$99)</f>
        <v/>
      </c>
      <c r="IW99" s="11" t="str">
        <f ca="1">IF(History!JA$2="","",#REF!*$C$99)</f>
        <v/>
      </c>
      <c r="IX99" s="11" t="str">
        <f ca="1">IF(History!JB$2="","",#REF!*$C$99)</f>
        <v/>
      </c>
      <c r="IY99" s="11" t="str">
        <f ca="1">IF(History!JC$2="","",#REF!*$C$99)</f>
        <v/>
      </c>
      <c r="IZ99" s="11" t="str">
        <f ca="1">IF(History!JD$2="","",#REF!*$C$99)</f>
        <v/>
      </c>
      <c r="JA99" s="11" t="str">
        <f ca="1">IF(History!JE$2="","",#REF!*$C$99)</f>
        <v/>
      </c>
      <c r="JB99" s="11" t="str">
        <f ca="1">IF(History!JF$2="","",#REF!*$C$99)</f>
        <v/>
      </c>
      <c r="JC99" s="11" t="str">
        <f ca="1">IF(History!JG$2="","",#REF!*$C$99)</f>
        <v/>
      </c>
      <c r="JD99" s="11" t="str">
        <f ca="1">IF(History!JH$2="","",#REF!*$C$99)</f>
        <v/>
      </c>
      <c r="JE99" s="11" t="str">
        <f ca="1">IF(History!JI$2="","",#REF!*$C$99)</f>
        <v/>
      </c>
      <c r="JF99" s="11" t="str">
        <f ca="1">IF(History!JJ$2="","",#REF!*$C$99)</f>
        <v/>
      </c>
      <c r="JG99" s="11" t="str">
        <f ca="1">IF(History!JK$2="","",#REF!*$C$99)</f>
        <v/>
      </c>
      <c r="JH99" s="11" t="str">
        <f ca="1">IF(History!JL$2="","",#REF!*$C$99)</f>
        <v/>
      </c>
      <c r="JI99" s="11" t="str">
        <f ca="1">IF(History!JM$2="","",#REF!*$C$99)</f>
        <v/>
      </c>
      <c r="JJ99" s="11" t="str">
        <f ca="1">IF(History!JN$2="","",#REF!*$C$99)</f>
        <v/>
      </c>
      <c r="JK99" s="11" t="str">
        <f ca="1">IF(History!JO$2="","",#REF!*$C$99)</f>
        <v/>
      </c>
      <c r="JL99" s="11" t="str">
        <f ca="1">IF(History!JP$2="","",#REF!*$C$99)</f>
        <v/>
      </c>
      <c r="JM99" s="11" t="str">
        <f ca="1">IF(History!JQ$2="","",#REF!*$C$99)</f>
        <v/>
      </c>
      <c r="JN99" s="11" t="str">
        <f ca="1">IF(History!JR$2="","",#REF!*$C$99)</f>
        <v/>
      </c>
      <c r="JO99" s="11" t="str">
        <f ca="1">IF(History!JS$2="","",#REF!*$C$99)</f>
        <v/>
      </c>
      <c r="JP99" s="11" t="str">
        <f ca="1">IF(History!JT$2="","",#REF!*$C$99)</f>
        <v/>
      </c>
      <c r="JQ99" s="11" t="str">
        <f ca="1">IF(History!JU$2="","",#REF!*$C$99)</f>
        <v/>
      </c>
      <c r="JR99" s="11" t="str">
        <f ca="1">IF(History!JV$2="","",#REF!*$C$99)</f>
        <v/>
      </c>
      <c r="JS99" s="11" t="str">
        <f ca="1">IF(History!JW$2="","",#REF!*$C$99)</f>
        <v/>
      </c>
      <c r="JT99" s="11" t="str">
        <f ca="1">IF(History!JX$2="","",#REF!*$C$99)</f>
        <v/>
      </c>
      <c r="JU99" s="11" t="str">
        <f ca="1">IF(History!JY$2="","",#REF!*$C$99)</f>
        <v/>
      </c>
      <c r="JV99" s="11" t="str">
        <f ca="1">IF(History!JZ$2="","",#REF!*$C$99)</f>
        <v/>
      </c>
      <c r="JW99" s="11" t="str">
        <f ca="1">IF(History!KA$2="","",#REF!*$C$99)</f>
        <v/>
      </c>
      <c r="JX99" s="11" t="str">
        <f ca="1">IF(History!KB$2="","",#REF!*$C$99)</f>
        <v/>
      </c>
      <c r="JY99" s="11" t="str">
        <f ca="1">IF(History!KC$2="","",#REF!*$C$99)</f>
        <v/>
      </c>
      <c r="JZ99" s="11" t="str">
        <f ca="1">IF(History!KD$2="","",#REF!*$C$99)</f>
        <v/>
      </c>
      <c r="KA99" s="11" t="str">
        <f ca="1">IF(History!KE$2="","",#REF!*$C$99)</f>
        <v/>
      </c>
      <c r="KB99" s="11" t="str">
        <f ca="1">IF(History!KF$2="","",#REF!*$C$99)</f>
        <v/>
      </c>
    </row>
    <row r="100" spans="1:288" ht="13">
      <c r="A100" s="18" t="s">
        <v>140</v>
      </c>
      <c r="B100" s="6" t="s">
        <v>36</v>
      </c>
      <c r="C100" s="26">
        <v>27</v>
      </c>
      <c r="D100" s="11" t="e">
        <f ca="1">IF(History!H$2="","",#REF!*$C$100)</f>
        <v>#REF!</v>
      </c>
      <c r="E100" s="11" t="e">
        <f ca="1">IF(History!I$2="","",#REF!*$C$100)</f>
        <v>#REF!</v>
      </c>
      <c r="F100" s="11" t="e">
        <f ca="1">IF(History!J$2="","",#REF!*$C$100)</f>
        <v>#REF!</v>
      </c>
      <c r="G100" s="11" t="e">
        <f ca="1">IF(History!K$2="","",#REF!*$C$100)</f>
        <v>#REF!</v>
      </c>
      <c r="H100" s="11" t="e">
        <f ca="1">IF(History!L$2="","",#REF!*$C$100)</f>
        <v>#REF!</v>
      </c>
      <c r="I100" s="11" t="e">
        <f ca="1">IF(History!M$2="","",#REF!*$C$100)</f>
        <v>#REF!</v>
      </c>
      <c r="J100" s="11" t="e">
        <f ca="1">IF(History!N$2="","",#REF!*$C$100)</f>
        <v>#REF!</v>
      </c>
      <c r="K100" s="11" t="e">
        <f ca="1">IF(History!O$2="","",#REF!*$C$100)</f>
        <v>#REF!</v>
      </c>
      <c r="L100" s="11" t="e">
        <f ca="1">IF(History!P$2="","",#REF!*$C$100)</f>
        <v>#REF!</v>
      </c>
      <c r="M100" s="11" t="e">
        <f ca="1">IF(History!Q$2="","",#REF!*$C$100)</f>
        <v>#REF!</v>
      </c>
      <c r="N100" s="11" t="e">
        <f ca="1">IF(History!R$2="","",#REF!*$C$100)</f>
        <v>#REF!</v>
      </c>
      <c r="O100" s="11" t="e">
        <f ca="1">IF(History!S$2="","",#REF!*$C$100)</f>
        <v>#REF!</v>
      </c>
      <c r="P100" s="11" t="e">
        <f ca="1">IF(History!T$2="","",#REF!*$C$100)</f>
        <v>#REF!</v>
      </c>
      <c r="Q100" s="11" t="e">
        <f ca="1">IF(History!U$2="","",#REF!*$C$100)</f>
        <v>#REF!</v>
      </c>
      <c r="R100" s="11" t="e">
        <f ca="1">IF(History!V$2="","",#REF!*$C$100)</f>
        <v>#REF!</v>
      </c>
      <c r="S100" s="11" t="e">
        <f ca="1">IF(History!W$2="","",#REF!*$C$100)</f>
        <v>#REF!</v>
      </c>
      <c r="T100" s="11" t="e">
        <f ca="1">IF(History!X$2="","",#REF!*$C$100)</f>
        <v>#REF!</v>
      </c>
      <c r="U100" s="11" t="e">
        <f ca="1">IF(History!Y$2="","",#REF!*$C$100)</f>
        <v>#REF!</v>
      </c>
      <c r="V100" s="11" t="e">
        <f ca="1">IF(History!Z$2="","",#REF!*$C$100)</f>
        <v>#REF!</v>
      </c>
      <c r="W100" s="11" t="e">
        <f ca="1">IF(History!AA$2="","",#REF!*$C$100)</f>
        <v>#REF!</v>
      </c>
      <c r="X100" s="11" t="e">
        <f ca="1">IF(History!AB$2="","",#REF!*$C$100)</f>
        <v>#REF!</v>
      </c>
      <c r="Y100" s="11" t="e">
        <f ca="1">IF(History!AC$2="","",#REF!*$C$100)</f>
        <v>#REF!</v>
      </c>
      <c r="Z100" s="11" t="e">
        <f ca="1">IF(History!AD$2="","",#REF!*$C$100)</f>
        <v>#REF!</v>
      </c>
      <c r="AA100" s="11" t="e">
        <f ca="1">IF(History!AE$2="","",#REF!*$C$100)</f>
        <v>#REF!</v>
      </c>
      <c r="AB100" s="11" t="e">
        <f ca="1">IF(History!AF$2="","",#REF!*$C$100)</f>
        <v>#REF!</v>
      </c>
      <c r="AC100" s="11" t="e">
        <f ca="1">IF(History!AG$2="","",#REF!*$C$100)</f>
        <v>#REF!</v>
      </c>
      <c r="AD100" s="11" t="e">
        <f ca="1">IF(History!AH$2="","",#REF!*$C$100)</f>
        <v>#REF!</v>
      </c>
      <c r="AE100" s="11" t="e">
        <f ca="1">IF(History!AI$2="","",#REF!*$C$100)</f>
        <v>#REF!</v>
      </c>
      <c r="AF100" s="11" t="e">
        <f ca="1">IF(History!AJ$2="","",#REF!*$C$100)</f>
        <v>#REF!</v>
      </c>
      <c r="AG100" s="11" t="e">
        <f ca="1">IF(History!AK$2="","",#REF!*$C$100)</f>
        <v>#REF!</v>
      </c>
      <c r="AH100" s="11" t="e">
        <f ca="1">IF(History!AL$2="","",#REF!*$C$100)</f>
        <v>#REF!</v>
      </c>
      <c r="AI100" s="11" t="e">
        <f ca="1">IF(History!AM$2="","",#REF!*$C$100)</f>
        <v>#REF!</v>
      </c>
      <c r="AJ100" s="11" t="e">
        <f ca="1">IF(History!AN$2="","",#REF!*$C$100)</f>
        <v>#REF!</v>
      </c>
      <c r="AK100" s="11" t="e">
        <f ca="1">IF(History!AO$2="","",#REF!*$C$100)</f>
        <v>#REF!</v>
      </c>
      <c r="AL100" s="11" t="e">
        <f ca="1">IF(History!AP$2="","",#REF!*$C$100)</f>
        <v>#REF!</v>
      </c>
      <c r="AM100" s="11" t="e">
        <f ca="1">IF(History!AQ$2="","",#REF!*$C$100)</f>
        <v>#REF!</v>
      </c>
      <c r="AN100" s="11" t="e">
        <f ca="1">IF(History!AR$2="","",#REF!*$C$100)</f>
        <v>#REF!</v>
      </c>
      <c r="AO100" s="11" t="e">
        <f ca="1">IF(History!AS$2="","",#REF!*$C$100)</f>
        <v>#REF!</v>
      </c>
      <c r="AP100" s="11" t="e">
        <f ca="1">IF(History!AT$2="","",#REF!*$C$100)</f>
        <v>#REF!</v>
      </c>
      <c r="AQ100" s="11" t="e">
        <f ca="1">IF(History!AU$2="","",#REF!*$C$100)</f>
        <v>#REF!</v>
      </c>
      <c r="AR100" s="11" t="e">
        <f ca="1">IF(History!AV$2="","",#REF!*$C$100)</f>
        <v>#REF!</v>
      </c>
      <c r="AS100" s="11" t="e">
        <f ca="1">IF(History!AW$2="","",#REF!*$C$100)</f>
        <v>#REF!</v>
      </c>
      <c r="AT100" s="11" t="e">
        <f ca="1">IF(History!AX$2="","",#REF!*$C$100)</f>
        <v>#REF!</v>
      </c>
      <c r="AU100" s="11" t="e">
        <f ca="1">IF(History!AY$2="","",#REF!*$C$100)</f>
        <v>#REF!</v>
      </c>
      <c r="AV100" s="11" t="e">
        <f ca="1">IF(History!AZ$2="","",#REF!*$C$100)</f>
        <v>#REF!</v>
      </c>
      <c r="AW100" s="11" t="e">
        <f ca="1">IF(History!BA$2="","",#REF!*$C$100)</f>
        <v>#REF!</v>
      </c>
      <c r="AX100" s="11" t="e">
        <f ca="1">IF(History!BB$2="","",#REF!*$C$100)</f>
        <v>#REF!</v>
      </c>
      <c r="AY100" s="11" t="e">
        <f ca="1">IF(History!BC$2="","",#REF!*$C$100)</f>
        <v>#REF!</v>
      </c>
      <c r="AZ100" s="11" t="e">
        <f ca="1">IF(History!BD$2="","",#REF!*$C$100)</f>
        <v>#REF!</v>
      </c>
      <c r="BA100" s="11" t="e">
        <f ca="1">IF(History!BE$2="","",#REF!*$C$100)</f>
        <v>#REF!</v>
      </c>
      <c r="BB100" s="11" t="e">
        <f ca="1">IF(History!BF$2="","",#REF!*$C$100)</f>
        <v>#REF!</v>
      </c>
      <c r="BC100" s="11" t="e">
        <f ca="1">IF(History!BG$2="","",#REF!*$C$100)</f>
        <v>#REF!</v>
      </c>
      <c r="BD100" s="11" t="e">
        <f ca="1">IF(History!BH$2="","",#REF!*$C$100)</f>
        <v>#REF!</v>
      </c>
      <c r="BE100" s="11" t="e">
        <f ca="1">IF(History!BI$2="","",#REF!*$C$100)</f>
        <v>#REF!</v>
      </c>
      <c r="BF100" s="11" t="e">
        <f ca="1">IF(History!BJ$2="","",#REF!*$C$100)</f>
        <v>#REF!</v>
      </c>
      <c r="BG100" s="11" t="e">
        <f ca="1">IF(History!BK$2="","",#REF!*$C$100)</f>
        <v>#REF!</v>
      </c>
      <c r="BH100" s="11" t="e">
        <f ca="1">IF(History!BL$2="","",#REF!*$C$100)</f>
        <v>#REF!</v>
      </c>
      <c r="BI100" s="11" t="e">
        <f ca="1">IF(History!BM$2="","",#REF!*$C$100)</f>
        <v>#REF!</v>
      </c>
      <c r="BJ100" s="11" t="e">
        <f ca="1">IF(History!BN$2="","",#REF!*$C$100)</f>
        <v>#REF!</v>
      </c>
      <c r="BK100" s="11" t="e">
        <f ca="1">IF(History!BO$2="","",#REF!*$C$100)</f>
        <v>#REF!</v>
      </c>
      <c r="BL100" s="11" t="e">
        <f ca="1">IF(History!BP$2="","",#REF!*$C$100)</f>
        <v>#REF!</v>
      </c>
      <c r="BM100" s="11" t="e">
        <f ca="1">IF(History!BQ$2="","",#REF!*$C$100)</f>
        <v>#REF!</v>
      </c>
      <c r="BN100" s="11" t="e">
        <f ca="1">IF(History!BR$2="","",#REF!*$C$100)</f>
        <v>#REF!</v>
      </c>
      <c r="BO100" s="11" t="e">
        <f ca="1">IF(History!BS$2="","",#REF!*$C$100)</f>
        <v>#REF!</v>
      </c>
      <c r="BP100" s="11" t="e">
        <f ca="1">IF(History!BT$2="","",#REF!*$C$100)</f>
        <v>#REF!</v>
      </c>
      <c r="BQ100" s="11" t="e">
        <f ca="1">IF(History!BU$2="","",#REF!*$C$100)</f>
        <v>#REF!</v>
      </c>
      <c r="BR100" s="11" t="e">
        <f ca="1">IF(History!BV$2="","",#REF!*$C$100)</f>
        <v>#REF!</v>
      </c>
      <c r="BS100" s="11" t="e">
        <f ca="1">IF(History!BW$2="","",#REF!*$C$100)</f>
        <v>#REF!</v>
      </c>
      <c r="BT100" s="11" t="e">
        <f ca="1">IF(History!BX$2="","",#REF!*$C$100)</f>
        <v>#REF!</v>
      </c>
      <c r="BU100" s="11" t="e">
        <f ca="1">IF(History!BY$2="","",#REF!*$C$100)</f>
        <v>#REF!</v>
      </c>
      <c r="BV100" s="11" t="e">
        <f ca="1">IF(History!BZ$2="","",#REF!*$C$100)</f>
        <v>#REF!</v>
      </c>
      <c r="BW100" s="11" t="e">
        <f ca="1">IF(History!CA$2="","",#REF!*$C$100)</f>
        <v>#REF!</v>
      </c>
      <c r="BX100" s="11" t="e">
        <f ca="1">IF(History!CB$2="","",#REF!*$C$100)</f>
        <v>#REF!</v>
      </c>
      <c r="BY100" s="11" t="e">
        <f ca="1">IF(History!CC$2="","",#REF!*$C$100)</f>
        <v>#REF!</v>
      </c>
      <c r="BZ100" s="11" t="e">
        <f ca="1">IF(History!CD$2="","",#REF!*$C$100)</f>
        <v>#REF!</v>
      </c>
      <c r="CA100" s="11" t="e">
        <f ca="1">IF(History!CE$2="","",#REF!*$C$100)</f>
        <v>#REF!</v>
      </c>
      <c r="CB100" s="11" t="e">
        <f ca="1">IF(History!CF$2="","",#REF!*$C$100)</f>
        <v>#REF!</v>
      </c>
      <c r="CC100" s="11" t="e">
        <f ca="1">IF(History!CG$2="","",#REF!*$C$100)</f>
        <v>#REF!</v>
      </c>
      <c r="CD100" s="11" t="e">
        <f ca="1">IF(History!CH$2="","",#REF!*$C$100)</f>
        <v>#REF!</v>
      </c>
      <c r="CE100" s="11" t="e">
        <f ca="1">IF(History!CI$2="","",#REF!*$C$100)</f>
        <v>#REF!</v>
      </c>
      <c r="CF100" s="11" t="str">
        <f ca="1">IF(History!CJ$2="","",#REF!*$C$100)</f>
        <v/>
      </c>
      <c r="CG100" s="11" t="str">
        <f ca="1">IF(History!CK$2="","",#REF!*$C$100)</f>
        <v/>
      </c>
      <c r="CH100" s="11" t="str">
        <f ca="1">IF(History!CL$2="","",#REF!*$C$100)</f>
        <v/>
      </c>
      <c r="CI100" s="11" t="str">
        <f ca="1">IF(History!CM$2="","",#REF!*$C$100)</f>
        <v/>
      </c>
      <c r="CJ100" s="11" t="str">
        <f ca="1">IF(History!CN$2="","",#REF!*$C$100)</f>
        <v/>
      </c>
      <c r="CK100" s="11" t="str">
        <f ca="1">IF(History!CO$2="","",#REF!*$C$100)</f>
        <v/>
      </c>
      <c r="CL100" s="11" t="str">
        <f ca="1">IF(History!CP$2="","",#REF!*$C$100)</f>
        <v/>
      </c>
      <c r="CM100" s="11" t="str">
        <f ca="1">IF(History!CQ$2="","",#REF!*$C$100)</f>
        <v/>
      </c>
      <c r="CN100" s="11" t="str">
        <f ca="1">IF(History!CR$2="","",#REF!*$C$100)</f>
        <v/>
      </c>
      <c r="CO100" s="11" t="str">
        <f ca="1">IF(History!CS$2="","",#REF!*$C$100)</f>
        <v/>
      </c>
      <c r="CP100" s="11" t="str">
        <f ca="1">IF(History!CT$2="","",#REF!*$C$100)</f>
        <v/>
      </c>
      <c r="CQ100" s="11" t="str">
        <f ca="1">IF(History!CU$2="","",#REF!*$C$100)</f>
        <v/>
      </c>
      <c r="CR100" s="11" t="str">
        <f ca="1">IF(History!CV$2="","",#REF!*$C$100)</f>
        <v/>
      </c>
      <c r="CS100" s="11" t="str">
        <f ca="1">IF(History!CW$2="","",#REF!*$C$100)</f>
        <v/>
      </c>
      <c r="CT100" s="11" t="str">
        <f ca="1">IF(History!CX$2="","",#REF!*$C$100)</f>
        <v/>
      </c>
      <c r="CU100" s="11" t="str">
        <f ca="1">IF(History!CY$2="","",#REF!*$C$100)</f>
        <v/>
      </c>
      <c r="CV100" s="11" t="str">
        <f ca="1">IF(History!CZ$2="","",#REF!*$C$100)</f>
        <v/>
      </c>
      <c r="CW100" s="11" t="str">
        <f ca="1">IF(History!DA$2="","",#REF!*$C$100)</f>
        <v/>
      </c>
      <c r="CX100" s="11" t="str">
        <f ca="1">IF(History!DB$2="","",#REF!*$C$100)</f>
        <v/>
      </c>
      <c r="CY100" s="11" t="str">
        <f ca="1">IF(History!DC$2="","",#REF!*$C$100)</f>
        <v/>
      </c>
      <c r="CZ100" s="11" t="str">
        <f ca="1">IF(History!DD$2="","",#REF!*$C$100)</f>
        <v/>
      </c>
      <c r="DA100" s="11" t="str">
        <f ca="1">IF(History!DE$2="","",#REF!*$C$100)</f>
        <v/>
      </c>
      <c r="DB100" s="11" t="str">
        <f ca="1">IF(History!DF$2="","",#REF!*$C$100)</f>
        <v/>
      </c>
      <c r="DC100" s="11" t="str">
        <f ca="1">IF(History!DG$2="","",#REF!*$C$100)</f>
        <v/>
      </c>
      <c r="DD100" s="11" t="str">
        <f ca="1">IF(History!DH$2="","",#REF!*$C$100)</f>
        <v/>
      </c>
      <c r="DE100" s="11" t="str">
        <f ca="1">IF(History!DI$2="","",#REF!*$C$100)</f>
        <v/>
      </c>
      <c r="DF100" s="11" t="str">
        <f ca="1">IF(History!DJ$2="","",#REF!*$C$100)</f>
        <v/>
      </c>
      <c r="DG100" s="11" t="str">
        <f ca="1">IF(History!DK$2="","",#REF!*$C$100)</f>
        <v/>
      </c>
      <c r="DH100" s="11" t="str">
        <f ca="1">IF(History!DL$2="","",#REF!*$C$100)</f>
        <v/>
      </c>
      <c r="DI100" s="11" t="str">
        <f ca="1">IF(History!DM$2="","",#REF!*$C$100)</f>
        <v/>
      </c>
      <c r="DJ100" s="11" t="str">
        <f ca="1">IF(History!DN$2="","",#REF!*$C$100)</f>
        <v/>
      </c>
      <c r="DK100" s="11" t="str">
        <f ca="1">IF(History!DO$2="","",#REF!*$C$100)</f>
        <v/>
      </c>
      <c r="DL100" s="11" t="str">
        <f ca="1">IF(History!DP$2="","",#REF!*$C$100)</f>
        <v/>
      </c>
      <c r="DM100" s="11" t="str">
        <f ca="1">IF(History!DQ$2="","",#REF!*$C$100)</f>
        <v/>
      </c>
      <c r="DN100" s="11" t="str">
        <f ca="1">IF(History!DR$2="","",#REF!*$C$100)</f>
        <v/>
      </c>
      <c r="DO100" s="11" t="str">
        <f ca="1">IF(History!DS$2="","",#REF!*$C$100)</f>
        <v/>
      </c>
      <c r="DP100" s="11" t="str">
        <f ca="1">IF(History!DT$2="","",#REF!*$C$100)</f>
        <v/>
      </c>
      <c r="DQ100" s="11" t="str">
        <f ca="1">IF(History!DU$2="","",#REF!*$C$100)</f>
        <v/>
      </c>
      <c r="DR100" s="11" t="str">
        <f ca="1">IF(History!DV$2="","",#REF!*$C$100)</f>
        <v/>
      </c>
      <c r="DS100" s="11" t="str">
        <f ca="1">IF(History!DW$2="","",#REF!*$C$100)</f>
        <v/>
      </c>
      <c r="DT100" s="11" t="str">
        <f ca="1">IF(History!DX$2="","",#REF!*$C$100)</f>
        <v/>
      </c>
      <c r="DU100" s="11" t="str">
        <f ca="1">IF(History!DY$2="","",#REF!*$C$100)</f>
        <v/>
      </c>
      <c r="DV100" s="11" t="str">
        <f ca="1">IF(History!DZ$2="","",#REF!*$C$100)</f>
        <v/>
      </c>
      <c r="DW100" s="11" t="str">
        <f ca="1">IF(History!EA$2="","",#REF!*$C$100)</f>
        <v/>
      </c>
      <c r="DX100" s="11" t="str">
        <f ca="1">IF(History!EB$2="","",#REF!*$C$100)</f>
        <v/>
      </c>
      <c r="DY100" s="11" t="str">
        <f ca="1">IF(History!EC$2="","",#REF!*$C$100)</f>
        <v/>
      </c>
      <c r="DZ100" s="11" t="str">
        <f ca="1">IF(History!ED$2="","",#REF!*$C$100)</f>
        <v/>
      </c>
      <c r="EA100" s="11" t="str">
        <f ca="1">IF(History!EE$2="","",#REF!*$C$100)</f>
        <v/>
      </c>
      <c r="EB100" s="11" t="str">
        <f ca="1">IF(History!EF$2="","",#REF!*$C$100)</f>
        <v/>
      </c>
      <c r="EC100" s="11" t="str">
        <f ca="1">IF(History!EG$2="","",#REF!*$C$100)</f>
        <v/>
      </c>
      <c r="ED100" s="11" t="str">
        <f ca="1">IF(History!EH$2="","",#REF!*$C$100)</f>
        <v/>
      </c>
      <c r="EE100" s="11" t="str">
        <f ca="1">IF(History!EI$2="","",#REF!*$C$100)</f>
        <v/>
      </c>
      <c r="EF100" s="11" t="str">
        <f ca="1">IF(History!EJ$2="","",#REF!*$C$100)</f>
        <v/>
      </c>
      <c r="EG100" s="11" t="str">
        <f ca="1">IF(History!EK$2="","",#REF!*$C$100)</f>
        <v/>
      </c>
      <c r="EH100" s="11" t="str">
        <f ca="1">IF(History!EL$2="","",#REF!*$C$100)</f>
        <v/>
      </c>
      <c r="EI100" s="11" t="str">
        <f ca="1">IF(History!EM$2="","",#REF!*$C$100)</f>
        <v/>
      </c>
      <c r="EJ100" s="11" t="str">
        <f ca="1">IF(History!EN$2="","",#REF!*$C$100)</f>
        <v/>
      </c>
      <c r="EK100" s="11" t="str">
        <f ca="1">IF(History!EO$2="","",#REF!*$C$100)</f>
        <v/>
      </c>
      <c r="EL100" s="11" t="str">
        <f ca="1">IF(History!EP$2="","",#REF!*$C$100)</f>
        <v/>
      </c>
      <c r="EM100" s="11" t="str">
        <f ca="1">IF(History!EQ$2="","",#REF!*$C$100)</f>
        <v/>
      </c>
      <c r="EN100" s="11" t="str">
        <f ca="1">IF(History!ER$2="","",#REF!*$C$100)</f>
        <v/>
      </c>
      <c r="EO100" s="11" t="str">
        <f ca="1">IF(History!ES$2="","",#REF!*$C$100)</f>
        <v/>
      </c>
      <c r="EP100" s="11" t="str">
        <f ca="1">IF(History!ET$2="","",#REF!*$C$100)</f>
        <v/>
      </c>
      <c r="EQ100" s="11" t="str">
        <f ca="1">IF(History!EU$2="","",#REF!*$C$100)</f>
        <v/>
      </c>
      <c r="ER100" s="11" t="str">
        <f ca="1">IF(History!EV$2="","",#REF!*$C$100)</f>
        <v/>
      </c>
      <c r="ES100" s="11" t="str">
        <f ca="1">IF(History!EW$2="","",#REF!*$C$100)</f>
        <v/>
      </c>
      <c r="ET100" s="11" t="str">
        <f ca="1">IF(History!EX$2="","",#REF!*$C$100)</f>
        <v/>
      </c>
      <c r="EU100" s="11" t="str">
        <f ca="1">IF(History!EY$2="","",#REF!*$C$100)</f>
        <v/>
      </c>
      <c r="EV100" s="11" t="str">
        <f ca="1">IF(History!EZ$2="","",#REF!*$C$100)</f>
        <v/>
      </c>
      <c r="EW100" s="11" t="str">
        <f ca="1">IF(History!FA$2="","",#REF!*$C$100)</f>
        <v/>
      </c>
      <c r="EX100" s="11" t="str">
        <f ca="1">IF(History!FB$2="","",#REF!*$C$100)</f>
        <v/>
      </c>
      <c r="EY100" s="11" t="str">
        <f ca="1">IF(History!FC$2="","",#REF!*$C$100)</f>
        <v/>
      </c>
      <c r="EZ100" s="11" t="str">
        <f ca="1">IF(History!FD$2="","",#REF!*$C$100)</f>
        <v/>
      </c>
      <c r="FA100" s="11" t="str">
        <f ca="1">IF(History!FE$2="","",#REF!*$C$100)</f>
        <v/>
      </c>
      <c r="FB100" s="11" t="str">
        <f ca="1">IF(History!FF$2="","",#REF!*$C$100)</f>
        <v/>
      </c>
      <c r="FC100" s="11" t="str">
        <f ca="1">IF(History!FG$2="","",#REF!*$C$100)</f>
        <v/>
      </c>
      <c r="FD100" s="11" t="str">
        <f ca="1">IF(History!FH$2="","",#REF!*$C$100)</f>
        <v/>
      </c>
      <c r="FE100" s="11" t="str">
        <f ca="1">IF(History!FI$2="","",#REF!*$C$100)</f>
        <v/>
      </c>
      <c r="FF100" s="11" t="str">
        <f ca="1">IF(History!FJ$2="","",#REF!*$C$100)</f>
        <v/>
      </c>
      <c r="FG100" s="11" t="str">
        <f ca="1">IF(History!FK$2="","",#REF!*$C$100)</f>
        <v/>
      </c>
      <c r="FH100" s="11" t="str">
        <f ca="1">IF(History!FL$2="","",#REF!*$C$100)</f>
        <v/>
      </c>
      <c r="FI100" s="11" t="str">
        <f ca="1">IF(History!FM$2="","",#REF!*$C$100)</f>
        <v/>
      </c>
      <c r="FJ100" s="11" t="str">
        <f ca="1">IF(History!FN$2="","",#REF!*$C$100)</f>
        <v/>
      </c>
      <c r="FK100" s="11" t="str">
        <f ca="1">IF(History!FO$2="","",#REF!*$C$100)</f>
        <v/>
      </c>
      <c r="FL100" s="11" t="str">
        <f ca="1">IF(History!FP$2="","",#REF!*$C$100)</f>
        <v/>
      </c>
      <c r="FM100" s="11" t="str">
        <f ca="1">IF(History!FQ$2="","",#REF!*$C$100)</f>
        <v/>
      </c>
      <c r="FN100" s="11" t="str">
        <f ca="1">IF(History!FR$2="","",#REF!*$C$100)</f>
        <v/>
      </c>
      <c r="FO100" s="11" t="str">
        <f ca="1">IF(History!FS$2="","",#REF!*$C$100)</f>
        <v/>
      </c>
      <c r="FP100" s="11" t="str">
        <f ca="1">IF(History!FT$2="","",#REF!*$C$100)</f>
        <v/>
      </c>
      <c r="FQ100" s="11" t="str">
        <f ca="1">IF(History!FU$2="","",#REF!*$C$100)</f>
        <v/>
      </c>
      <c r="FR100" s="11" t="str">
        <f ca="1">IF(History!FV$2="","",#REF!*$C$100)</f>
        <v/>
      </c>
      <c r="FS100" s="11" t="str">
        <f ca="1">IF(History!FW$2="","",#REF!*$C$100)</f>
        <v/>
      </c>
      <c r="FT100" s="11" t="str">
        <f ca="1">IF(History!FX$2="","",#REF!*$C$100)</f>
        <v/>
      </c>
      <c r="FU100" s="11" t="str">
        <f ca="1">IF(History!FY$2="","",#REF!*$C$100)</f>
        <v/>
      </c>
      <c r="FV100" s="11" t="str">
        <f ca="1">IF(History!FZ$2="","",#REF!*$C$100)</f>
        <v/>
      </c>
      <c r="FW100" s="11" t="str">
        <f ca="1">IF(History!GA$2="","",#REF!*$C$100)</f>
        <v/>
      </c>
      <c r="FX100" s="11" t="str">
        <f ca="1">IF(History!GB$2="","",#REF!*$C$100)</f>
        <v/>
      </c>
      <c r="FY100" s="11" t="str">
        <f ca="1">IF(History!GC$2="","",#REF!*$C$100)</f>
        <v/>
      </c>
      <c r="FZ100" s="11" t="str">
        <f ca="1">IF(History!GD$2="","",#REF!*$C$100)</f>
        <v/>
      </c>
      <c r="GA100" s="11" t="str">
        <f ca="1">IF(History!GE$2="","",#REF!*$C$100)</f>
        <v/>
      </c>
      <c r="GB100" s="11" t="str">
        <f ca="1">IF(History!GF$2="","",#REF!*$C$100)</f>
        <v/>
      </c>
      <c r="GC100" s="11" t="str">
        <f ca="1">IF(History!GG$2="","",#REF!*$C$100)</f>
        <v/>
      </c>
      <c r="GD100" s="11" t="str">
        <f ca="1">IF(History!GH$2="","",#REF!*$C$100)</f>
        <v/>
      </c>
      <c r="GE100" s="11" t="str">
        <f ca="1">IF(History!GI$2="","",#REF!*$C$100)</f>
        <v/>
      </c>
      <c r="GF100" s="11" t="str">
        <f ca="1">IF(History!GJ$2="","",#REF!*$C$100)</f>
        <v/>
      </c>
      <c r="GG100" s="11" t="str">
        <f ca="1">IF(History!GK$2="","",#REF!*$C$100)</f>
        <v/>
      </c>
      <c r="GH100" s="11" t="str">
        <f ca="1">IF(History!GL$2="","",#REF!*$C$100)</f>
        <v/>
      </c>
      <c r="GI100" s="11" t="str">
        <f ca="1">IF(History!GM$2="","",#REF!*$C$100)</f>
        <v/>
      </c>
      <c r="GJ100" s="11" t="str">
        <f ca="1">IF(History!GN$2="","",#REF!*$C$100)</f>
        <v/>
      </c>
      <c r="GK100" s="11" t="str">
        <f ca="1">IF(History!GO$2="","",#REF!*$C$100)</f>
        <v/>
      </c>
      <c r="GL100" s="11" t="str">
        <f ca="1">IF(History!GP$2="","",#REF!*$C$100)</f>
        <v/>
      </c>
      <c r="GM100" s="11" t="str">
        <f ca="1">IF(History!GQ$2="","",#REF!*$C$100)</f>
        <v/>
      </c>
      <c r="GN100" s="11" t="str">
        <f ca="1">IF(History!GR$2="","",#REF!*$C$100)</f>
        <v/>
      </c>
      <c r="GO100" s="11" t="str">
        <f ca="1">IF(History!GS$2="","",#REF!*$C$100)</f>
        <v/>
      </c>
      <c r="GP100" s="11" t="str">
        <f ca="1">IF(History!GT$2="","",#REF!*$C$100)</f>
        <v/>
      </c>
      <c r="GQ100" s="11" t="str">
        <f ca="1">IF(History!GU$2="","",#REF!*$C$100)</f>
        <v/>
      </c>
      <c r="GR100" s="11" t="str">
        <f ca="1">IF(History!GV$2="","",#REF!*$C$100)</f>
        <v/>
      </c>
      <c r="GS100" s="11" t="str">
        <f ca="1">IF(History!GW$2="","",#REF!*$C$100)</f>
        <v/>
      </c>
      <c r="GT100" s="11" t="str">
        <f ca="1">IF(History!GX$2="","",#REF!*$C$100)</f>
        <v/>
      </c>
      <c r="GU100" s="11" t="str">
        <f ca="1">IF(History!GY$2="","",#REF!*$C$100)</f>
        <v/>
      </c>
      <c r="GV100" s="11" t="str">
        <f ca="1">IF(History!GZ$2="","",#REF!*$C$100)</f>
        <v/>
      </c>
      <c r="GW100" s="11" t="str">
        <f ca="1">IF(History!HA$2="","",#REF!*$C$100)</f>
        <v/>
      </c>
      <c r="GX100" s="11" t="str">
        <f ca="1">IF(History!HB$2="","",#REF!*$C$100)</f>
        <v/>
      </c>
      <c r="GY100" s="11" t="str">
        <f ca="1">IF(History!HC$2="","",#REF!*$C$100)</f>
        <v/>
      </c>
      <c r="GZ100" s="11" t="str">
        <f ca="1">IF(History!HD$2="","",#REF!*$C$100)</f>
        <v/>
      </c>
      <c r="HA100" s="11" t="str">
        <f ca="1">IF(History!HE$2="","",#REF!*$C$100)</f>
        <v/>
      </c>
      <c r="HB100" s="11" t="str">
        <f ca="1">IF(History!HF$2="","",#REF!*$C$100)</f>
        <v/>
      </c>
      <c r="HC100" s="11" t="str">
        <f ca="1">IF(History!HG$2="","",#REF!*$C$100)</f>
        <v/>
      </c>
      <c r="HD100" s="11" t="str">
        <f ca="1">IF(History!HH$2="","",#REF!*$C$100)</f>
        <v/>
      </c>
      <c r="HE100" s="11" t="str">
        <f ca="1">IF(History!HI$2="","",#REF!*$C$100)</f>
        <v/>
      </c>
      <c r="HF100" s="11" t="str">
        <f ca="1">IF(History!HJ$2="","",#REF!*$C$100)</f>
        <v/>
      </c>
      <c r="HG100" s="11" t="str">
        <f ca="1">IF(History!HK$2="","",#REF!*$C$100)</f>
        <v/>
      </c>
      <c r="HH100" s="11" t="str">
        <f ca="1">IF(History!HL$2="","",#REF!*$C$100)</f>
        <v/>
      </c>
      <c r="HI100" s="11" t="str">
        <f ca="1">IF(History!HM$2="","",#REF!*$C$100)</f>
        <v/>
      </c>
      <c r="HJ100" s="11" t="str">
        <f ca="1">IF(History!HN$2="","",#REF!*$C$100)</f>
        <v/>
      </c>
      <c r="HK100" s="11" t="str">
        <f ca="1">IF(History!HO$2="","",#REF!*$C$100)</f>
        <v/>
      </c>
      <c r="HL100" s="11" t="str">
        <f ca="1">IF(History!HP$2="","",#REF!*$C$100)</f>
        <v/>
      </c>
      <c r="HM100" s="11" t="str">
        <f ca="1">IF(History!HQ$2="","",#REF!*$C$100)</f>
        <v/>
      </c>
      <c r="HN100" s="11" t="str">
        <f ca="1">IF(History!HR$2="","",#REF!*$C$100)</f>
        <v/>
      </c>
      <c r="HO100" s="11" t="str">
        <f ca="1">IF(History!HS$2="","",#REF!*$C$100)</f>
        <v/>
      </c>
      <c r="HP100" s="11" t="str">
        <f ca="1">IF(History!HT$2="","",#REF!*$C$100)</f>
        <v/>
      </c>
      <c r="HQ100" s="11" t="str">
        <f ca="1">IF(History!HU$2="","",#REF!*$C$100)</f>
        <v/>
      </c>
      <c r="HR100" s="11" t="str">
        <f ca="1">IF(History!HV$2="","",#REF!*$C$100)</f>
        <v/>
      </c>
      <c r="HS100" s="11" t="str">
        <f ca="1">IF(History!HW$2="","",#REF!*$C$100)</f>
        <v/>
      </c>
      <c r="HT100" s="11" t="str">
        <f ca="1">IF(History!HX$2="","",#REF!*$C$100)</f>
        <v/>
      </c>
      <c r="HU100" s="11" t="str">
        <f ca="1">IF(History!HY$2="","",#REF!*$C$100)</f>
        <v/>
      </c>
      <c r="HV100" s="11" t="str">
        <f ca="1">IF(History!HZ$2="","",#REF!*$C$100)</f>
        <v/>
      </c>
      <c r="HW100" s="11" t="str">
        <f ca="1">IF(History!IA$2="","",#REF!*$C$100)</f>
        <v/>
      </c>
      <c r="HX100" s="11" t="str">
        <f ca="1">IF(History!IB$2="","",#REF!*$C$100)</f>
        <v/>
      </c>
      <c r="HY100" s="11" t="str">
        <f ca="1">IF(History!IC$2="","",#REF!*$C$100)</f>
        <v/>
      </c>
      <c r="HZ100" s="11" t="str">
        <f ca="1">IF(History!ID$2="","",#REF!*$C$100)</f>
        <v/>
      </c>
      <c r="IA100" s="11" t="str">
        <f ca="1">IF(History!IE$2="","",#REF!*$C$100)</f>
        <v/>
      </c>
      <c r="IB100" s="11" t="str">
        <f ca="1">IF(History!IF$2="","",#REF!*$C$100)</f>
        <v/>
      </c>
      <c r="IC100" s="11" t="str">
        <f ca="1">IF(History!IG$2="","",#REF!*$C$100)</f>
        <v/>
      </c>
      <c r="ID100" s="11" t="str">
        <f ca="1">IF(History!IH$2="","",#REF!*$C$100)</f>
        <v/>
      </c>
      <c r="IE100" s="11" t="str">
        <f ca="1">IF(History!II$2="","",#REF!*$C$100)</f>
        <v/>
      </c>
      <c r="IF100" s="11" t="str">
        <f ca="1">IF(History!IJ$2="","",#REF!*$C$100)</f>
        <v/>
      </c>
      <c r="IG100" s="11" t="str">
        <f ca="1">IF(History!IK$2="","",#REF!*$C$100)</f>
        <v/>
      </c>
      <c r="IH100" s="11" t="str">
        <f ca="1">IF(History!IL$2="","",#REF!*$C$100)</f>
        <v/>
      </c>
      <c r="II100" s="11" t="str">
        <f ca="1">IF(History!IM$2="","",#REF!*$C$100)</f>
        <v/>
      </c>
      <c r="IJ100" s="11" t="str">
        <f ca="1">IF(History!IN$2="","",#REF!*$C$100)</f>
        <v/>
      </c>
      <c r="IK100" s="11" t="str">
        <f ca="1">IF(History!IO$2="","",#REF!*$C$100)</f>
        <v/>
      </c>
      <c r="IL100" s="11" t="str">
        <f ca="1">IF(History!IP$2="","",#REF!*$C$100)</f>
        <v/>
      </c>
      <c r="IM100" s="11" t="str">
        <f ca="1">IF(History!IQ$2="","",#REF!*$C$100)</f>
        <v/>
      </c>
      <c r="IN100" s="11" t="str">
        <f ca="1">IF(History!IR$2="","",#REF!*$C$100)</f>
        <v/>
      </c>
      <c r="IO100" s="11" t="str">
        <f ca="1">IF(History!IS$2="","",#REF!*$C$100)</f>
        <v/>
      </c>
      <c r="IP100" s="11" t="str">
        <f ca="1">IF(History!IT$2="","",#REF!*$C$100)</f>
        <v/>
      </c>
      <c r="IQ100" s="11" t="str">
        <f ca="1">IF(History!IU$2="","",#REF!*$C$100)</f>
        <v/>
      </c>
      <c r="IR100" s="11" t="str">
        <f ca="1">IF(History!IV$2="","",#REF!*$C$100)</f>
        <v/>
      </c>
      <c r="IS100" s="11" t="str">
        <f ca="1">IF(History!IW$2="","",#REF!*$C$100)</f>
        <v/>
      </c>
      <c r="IT100" s="11" t="str">
        <f ca="1">IF(History!IX$2="","",#REF!*$C$100)</f>
        <v/>
      </c>
      <c r="IU100" s="11" t="str">
        <f ca="1">IF(History!IY$2="","",#REF!*$C$100)</f>
        <v/>
      </c>
      <c r="IV100" s="11" t="str">
        <f ca="1">IF(History!IZ$2="","",#REF!*$C$100)</f>
        <v/>
      </c>
      <c r="IW100" s="11" t="str">
        <f ca="1">IF(History!JA$2="","",#REF!*$C$100)</f>
        <v/>
      </c>
      <c r="IX100" s="11" t="str">
        <f ca="1">IF(History!JB$2="","",#REF!*$C$100)</f>
        <v/>
      </c>
      <c r="IY100" s="11" t="str">
        <f ca="1">IF(History!JC$2="","",#REF!*$C$100)</f>
        <v/>
      </c>
      <c r="IZ100" s="11" t="str">
        <f ca="1">IF(History!JD$2="","",#REF!*$C$100)</f>
        <v/>
      </c>
      <c r="JA100" s="11" t="str">
        <f ca="1">IF(History!JE$2="","",#REF!*$C$100)</f>
        <v/>
      </c>
      <c r="JB100" s="11" t="str">
        <f ca="1">IF(History!JF$2="","",#REF!*$C$100)</f>
        <v/>
      </c>
      <c r="JC100" s="11" t="str">
        <f ca="1">IF(History!JG$2="","",#REF!*$C$100)</f>
        <v/>
      </c>
      <c r="JD100" s="11" t="str">
        <f ca="1">IF(History!JH$2="","",#REF!*$C$100)</f>
        <v/>
      </c>
      <c r="JE100" s="11" t="str">
        <f ca="1">IF(History!JI$2="","",#REF!*$C$100)</f>
        <v/>
      </c>
      <c r="JF100" s="11" t="str">
        <f ca="1">IF(History!JJ$2="","",#REF!*$C$100)</f>
        <v/>
      </c>
      <c r="JG100" s="11" t="str">
        <f ca="1">IF(History!JK$2="","",#REF!*$C$100)</f>
        <v/>
      </c>
      <c r="JH100" s="11" t="str">
        <f ca="1">IF(History!JL$2="","",#REF!*$C$100)</f>
        <v/>
      </c>
      <c r="JI100" s="11" t="str">
        <f ca="1">IF(History!JM$2="","",#REF!*$C$100)</f>
        <v/>
      </c>
      <c r="JJ100" s="11" t="str">
        <f ca="1">IF(History!JN$2="","",#REF!*$C$100)</f>
        <v/>
      </c>
      <c r="JK100" s="11" t="str">
        <f ca="1">IF(History!JO$2="","",#REF!*$C$100)</f>
        <v/>
      </c>
      <c r="JL100" s="11" t="str">
        <f ca="1">IF(History!JP$2="","",#REF!*$C$100)</f>
        <v/>
      </c>
      <c r="JM100" s="11" t="str">
        <f ca="1">IF(History!JQ$2="","",#REF!*$C$100)</f>
        <v/>
      </c>
      <c r="JN100" s="11" t="str">
        <f ca="1">IF(History!JR$2="","",#REF!*$C$100)</f>
        <v/>
      </c>
      <c r="JO100" s="11" t="str">
        <f ca="1">IF(History!JS$2="","",#REF!*$C$100)</f>
        <v/>
      </c>
      <c r="JP100" s="11" t="str">
        <f ca="1">IF(History!JT$2="","",#REF!*$C$100)</f>
        <v/>
      </c>
      <c r="JQ100" s="11" t="str">
        <f ca="1">IF(History!JU$2="","",#REF!*$C$100)</f>
        <v/>
      </c>
      <c r="JR100" s="11" t="str">
        <f ca="1">IF(History!JV$2="","",#REF!*$C$100)</f>
        <v/>
      </c>
      <c r="JS100" s="11" t="str">
        <f ca="1">IF(History!JW$2="","",#REF!*$C$100)</f>
        <v/>
      </c>
      <c r="JT100" s="11" t="str">
        <f ca="1">IF(History!JX$2="","",#REF!*$C$100)</f>
        <v/>
      </c>
      <c r="JU100" s="11" t="str">
        <f ca="1">IF(History!JY$2="","",#REF!*$C$100)</f>
        <v/>
      </c>
      <c r="JV100" s="11" t="str">
        <f ca="1">IF(History!JZ$2="","",#REF!*$C$100)</f>
        <v/>
      </c>
      <c r="JW100" s="11" t="str">
        <f ca="1">IF(History!KA$2="","",#REF!*$C$100)</f>
        <v/>
      </c>
      <c r="JX100" s="11" t="str">
        <f ca="1">IF(History!KB$2="","",#REF!*$C$100)</f>
        <v/>
      </c>
      <c r="JY100" s="11" t="str">
        <f ca="1">IF(History!KC$2="","",#REF!*$C$100)</f>
        <v/>
      </c>
      <c r="JZ100" s="11" t="str">
        <f ca="1">IF(History!KD$2="","",#REF!*$C$100)</f>
        <v/>
      </c>
      <c r="KA100" s="11" t="str">
        <f ca="1">IF(History!KE$2="","",#REF!*$C$100)</f>
        <v/>
      </c>
      <c r="KB100" s="11" t="str">
        <f ca="1">IF(History!KF$2="","",#REF!*$C$100)</f>
        <v/>
      </c>
    </row>
    <row r="101" spans="1:288" ht="13">
      <c r="A101" s="18" t="s">
        <v>140</v>
      </c>
      <c r="B101" s="6" t="s">
        <v>177</v>
      </c>
      <c r="C101" s="26">
        <v>53</v>
      </c>
      <c r="D101" s="11" t="e">
        <f ca="1">IF(History!H$2="","",#REF!*$C$101)</f>
        <v>#REF!</v>
      </c>
      <c r="E101" s="11" t="e">
        <f ca="1">IF(History!I$2="","",#REF!*$C$101)</f>
        <v>#REF!</v>
      </c>
      <c r="F101" s="11" t="e">
        <f ca="1">IF(History!J$2="","",#REF!*$C$101)</f>
        <v>#REF!</v>
      </c>
      <c r="G101" s="11" t="e">
        <f ca="1">IF(History!K$2="","",#REF!*$C$101)</f>
        <v>#REF!</v>
      </c>
      <c r="H101" s="11" t="e">
        <f ca="1">IF(History!L$2="","",#REF!*$C$101)</f>
        <v>#REF!</v>
      </c>
      <c r="I101" s="11" t="e">
        <f ca="1">IF(History!M$2="","",#REF!*$C$101)</f>
        <v>#REF!</v>
      </c>
      <c r="J101" s="11" t="e">
        <f ca="1">IF(History!N$2="","",#REF!*$C$101)</f>
        <v>#REF!</v>
      </c>
      <c r="K101" s="11" t="e">
        <f ca="1">IF(History!O$2="","",#REF!*$C$101)</f>
        <v>#REF!</v>
      </c>
      <c r="L101" s="11" t="e">
        <f ca="1">IF(History!P$2="","",#REF!*$C$101)</f>
        <v>#REF!</v>
      </c>
      <c r="M101" s="11" t="e">
        <f ca="1">IF(History!Q$2="","",#REF!*$C$101)</f>
        <v>#REF!</v>
      </c>
      <c r="N101" s="11" t="e">
        <f ca="1">IF(History!R$2="","",#REF!*$C$101)</f>
        <v>#REF!</v>
      </c>
      <c r="O101" s="11" t="e">
        <f ca="1">IF(History!S$2="","",#REF!*$C$101)</f>
        <v>#REF!</v>
      </c>
      <c r="P101" s="11" t="e">
        <f ca="1">IF(History!T$2="","",#REF!*$C$101)</f>
        <v>#REF!</v>
      </c>
      <c r="Q101" s="11" t="e">
        <f ca="1">IF(History!U$2="","",#REF!*$C$101)</f>
        <v>#REF!</v>
      </c>
      <c r="R101" s="11" t="e">
        <f ca="1">IF(History!V$2="","",#REF!*$C$101)</f>
        <v>#REF!</v>
      </c>
      <c r="S101" s="11" t="e">
        <f ca="1">IF(History!W$2="","",#REF!*$C$101)</f>
        <v>#REF!</v>
      </c>
      <c r="T101" s="11" t="e">
        <f ca="1">IF(History!X$2="","",#REF!*$C$101)</f>
        <v>#REF!</v>
      </c>
      <c r="U101" s="11" t="e">
        <f ca="1">IF(History!Y$2="","",#REF!*$C$101)</f>
        <v>#REF!</v>
      </c>
      <c r="V101" s="11" t="e">
        <f ca="1">IF(History!Z$2="","",#REF!*$C$101)</f>
        <v>#REF!</v>
      </c>
      <c r="W101" s="11" t="e">
        <f ca="1">IF(History!AA$2="","",#REF!*$C$101)</f>
        <v>#REF!</v>
      </c>
      <c r="X101" s="11" t="e">
        <f ca="1">IF(History!AB$2="","",#REF!*$C$101)</f>
        <v>#REF!</v>
      </c>
      <c r="Y101" s="11" t="e">
        <f ca="1">IF(History!AC$2="","",#REF!*$C$101)</f>
        <v>#REF!</v>
      </c>
      <c r="Z101" s="11" t="e">
        <f ca="1">IF(History!AD$2="","",#REF!*$C$101)</f>
        <v>#REF!</v>
      </c>
      <c r="AA101" s="11" t="e">
        <f ca="1">IF(History!AE$2="","",#REF!*$C$101)</f>
        <v>#REF!</v>
      </c>
      <c r="AB101" s="11" t="e">
        <f ca="1">IF(History!AF$2="","",#REF!*$C$101)</f>
        <v>#REF!</v>
      </c>
      <c r="AC101" s="11" t="e">
        <f ca="1">IF(History!AG$2="","",#REF!*$C$101)</f>
        <v>#REF!</v>
      </c>
      <c r="AD101" s="11" t="e">
        <f ca="1">IF(History!AH$2="","",#REF!*$C$101)</f>
        <v>#REF!</v>
      </c>
      <c r="AE101" s="11" t="e">
        <f ca="1">IF(History!AI$2="","",#REF!*$C$101)</f>
        <v>#REF!</v>
      </c>
      <c r="AF101" s="11" t="e">
        <f ca="1">IF(History!AJ$2="","",#REF!*$C$101)</f>
        <v>#REF!</v>
      </c>
      <c r="AG101" s="11" t="e">
        <f ca="1">IF(History!AK$2="","",#REF!*$C$101)</f>
        <v>#REF!</v>
      </c>
      <c r="AH101" s="11" t="e">
        <f ca="1">IF(History!AL$2="","",#REF!*$C$101)</f>
        <v>#REF!</v>
      </c>
      <c r="AI101" s="11" t="e">
        <f ca="1">IF(History!AM$2="","",#REF!*$C$101)</f>
        <v>#REF!</v>
      </c>
      <c r="AJ101" s="11" t="e">
        <f ca="1">IF(History!AN$2="","",#REF!*$C$101)</f>
        <v>#REF!</v>
      </c>
      <c r="AK101" s="11" t="e">
        <f ca="1">IF(History!AO$2="","",#REF!*$C$101)</f>
        <v>#REF!</v>
      </c>
      <c r="AL101" s="11" t="e">
        <f ca="1">IF(History!AP$2="","",#REF!*$C$101)</f>
        <v>#REF!</v>
      </c>
      <c r="AM101" s="11" t="e">
        <f ca="1">IF(History!AQ$2="","",#REF!*$C$101)</f>
        <v>#REF!</v>
      </c>
      <c r="AN101" s="11" t="e">
        <f ca="1">IF(History!AR$2="","",#REF!*$C$101)</f>
        <v>#REF!</v>
      </c>
      <c r="AO101" s="11" t="e">
        <f ca="1">IF(History!AS$2="","",#REF!*$C$101)</f>
        <v>#REF!</v>
      </c>
      <c r="AP101" s="11" t="e">
        <f ca="1">IF(History!AT$2="","",#REF!*$C$101)</f>
        <v>#REF!</v>
      </c>
      <c r="AQ101" s="11" t="e">
        <f ca="1">IF(History!AU$2="","",#REF!*$C$101)</f>
        <v>#REF!</v>
      </c>
      <c r="AR101" s="11" t="e">
        <f ca="1">IF(History!AV$2="","",#REF!*$C$101)</f>
        <v>#REF!</v>
      </c>
      <c r="AS101" s="11" t="e">
        <f ca="1">IF(History!AW$2="","",#REF!*$C$101)</f>
        <v>#REF!</v>
      </c>
      <c r="AT101" s="11" t="e">
        <f ca="1">IF(History!AX$2="","",#REF!*$C$101)</f>
        <v>#REF!</v>
      </c>
      <c r="AU101" s="11" t="e">
        <f ca="1">IF(History!AY$2="","",#REF!*$C$101)</f>
        <v>#REF!</v>
      </c>
      <c r="AV101" s="11" t="e">
        <f ca="1">IF(History!AZ$2="","",#REF!*$C$101)</f>
        <v>#REF!</v>
      </c>
      <c r="AW101" s="11" t="e">
        <f ca="1">IF(History!BA$2="","",#REF!*$C$101)</f>
        <v>#REF!</v>
      </c>
      <c r="AX101" s="11" t="e">
        <f ca="1">IF(History!BB$2="","",#REF!*$C$101)</f>
        <v>#REF!</v>
      </c>
      <c r="AY101" s="11" t="e">
        <f ca="1">IF(History!BC$2="","",#REF!*$C$101)</f>
        <v>#REF!</v>
      </c>
      <c r="AZ101" s="11" t="e">
        <f ca="1">IF(History!BD$2="","",#REF!*$C$101)</f>
        <v>#REF!</v>
      </c>
      <c r="BA101" s="11" t="e">
        <f ca="1">IF(History!BE$2="","",#REF!*$C$101)</f>
        <v>#REF!</v>
      </c>
      <c r="BB101" s="11" t="e">
        <f ca="1">IF(History!BF$2="","",#REF!*$C$101)</f>
        <v>#REF!</v>
      </c>
      <c r="BC101" s="11" t="e">
        <f ca="1">IF(History!BG$2="","",#REF!*$C$101)</f>
        <v>#REF!</v>
      </c>
      <c r="BD101" s="11" t="e">
        <f ca="1">IF(History!BH$2="","",#REF!*$C$101)</f>
        <v>#REF!</v>
      </c>
      <c r="BE101" s="11" t="e">
        <f ca="1">IF(History!BI$2="","",#REF!*$C$101)</f>
        <v>#REF!</v>
      </c>
      <c r="BF101" s="11" t="e">
        <f ca="1">IF(History!BJ$2="","",#REF!*$C$101)</f>
        <v>#REF!</v>
      </c>
      <c r="BG101" s="11" t="e">
        <f ca="1">IF(History!BK$2="","",#REF!*$C$101)</f>
        <v>#REF!</v>
      </c>
      <c r="BH101" s="11" t="e">
        <f ca="1">IF(History!BL$2="","",#REF!*$C$101)</f>
        <v>#REF!</v>
      </c>
      <c r="BI101" s="11" t="e">
        <f ca="1">IF(History!BM$2="","",#REF!*$C$101)</f>
        <v>#REF!</v>
      </c>
      <c r="BJ101" s="11" t="e">
        <f ca="1">IF(History!BN$2="","",#REF!*$C$101)</f>
        <v>#REF!</v>
      </c>
      <c r="BK101" s="11" t="e">
        <f ca="1">IF(History!BO$2="","",#REF!*$C$101)</f>
        <v>#REF!</v>
      </c>
      <c r="BL101" s="11" t="e">
        <f ca="1">IF(History!BP$2="","",#REF!*$C$101)</f>
        <v>#REF!</v>
      </c>
      <c r="BM101" s="11" t="e">
        <f ca="1">IF(History!BQ$2="","",#REF!*$C$101)</f>
        <v>#REF!</v>
      </c>
      <c r="BN101" s="11" t="e">
        <f ca="1">IF(History!BR$2="","",#REF!*$C$101)</f>
        <v>#REF!</v>
      </c>
      <c r="BO101" s="11" t="e">
        <f ca="1">IF(History!BS$2="","",#REF!*$C$101)</f>
        <v>#REF!</v>
      </c>
      <c r="BP101" s="11" t="e">
        <f ca="1">IF(History!BT$2="","",#REF!*$C$101)</f>
        <v>#REF!</v>
      </c>
      <c r="BQ101" s="11" t="e">
        <f ca="1">IF(History!BU$2="","",#REF!*$C$101)</f>
        <v>#REF!</v>
      </c>
      <c r="BR101" s="11" t="e">
        <f ca="1">IF(History!BV$2="","",#REF!*$C$101)</f>
        <v>#REF!</v>
      </c>
      <c r="BS101" s="11" t="e">
        <f ca="1">IF(History!BW$2="","",#REF!*$C$101)</f>
        <v>#REF!</v>
      </c>
      <c r="BT101" s="11" t="e">
        <f ca="1">IF(History!BX$2="","",#REF!*$C$101)</f>
        <v>#REF!</v>
      </c>
      <c r="BU101" s="11" t="e">
        <f ca="1">IF(History!BY$2="","",#REF!*$C$101)</f>
        <v>#REF!</v>
      </c>
      <c r="BV101" s="11" t="e">
        <f ca="1">IF(History!BZ$2="","",#REF!*$C$101)</f>
        <v>#REF!</v>
      </c>
      <c r="BW101" s="11" t="e">
        <f ca="1">IF(History!CA$2="","",#REF!*$C$101)</f>
        <v>#REF!</v>
      </c>
      <c r="BX101" s="11" t="e">
        <f ca="1">IF(History!CB$2="","",#REF!*$C$101)</f>
        <v>#REF!</v>
      </c>
      <c r="BY101" s="11" t="e">
        <f ca="1">IF(History!CC$2="","",#REF!*$C$101)</f>
        <v>#REF!</v>
      </c>
      <c r="BZ101" s="11" t="e">
        <f ca="1">IF(History!CD$2="","",#REF!*$C$101)</f>
        <v>#REF!</v>
      </c>
      <c r="CA101" s="11" t="e">
        <f ca="1">IF(History!CE$2="","",#REF!*$C$101)</f>
        <v>#REF!</v>
      </c>
      <c r="CB101" s="11" t="e">
        <f ca="1">IF(History!CF$2="","",#REF!*$C$101)</f>
        <v>#REF!</v>
      </c>
      <c r="CC101" s="11" t="e">
        <f ca="1">IF(History!CG$2="","",#REF!*$C$101)</f>
        <v>#REF!</v>
      </c>
      <c r="CD101" s="11" t="e">
        <f ca="1">IF(History!CH$2="","",#REF!*$C$101)</f>
        <v>#REF!</v>
      </c>
      <c r="CE101" s="11" t="e">
        <f ca="1">IF(History!CI$2="","",#REF!*$C$101)</f>
        <v>#REF!</v>
      </c>
      <c r="CF101" s="11" t="str">
        <f ca="1">IF(History!CJ$2="","",#REF!*$C$101)</f>
        <v/>
      </c>
      <c r="CG101" s="11" t="str">
        <f ca="1">IF(History!CK$2="","",#REF!*$C$101)</f>
        <v/>
      </c>
      <c r="CH101" s="11" t="str">
        <f ca="1">IF(History!CL$2="","",#REF!*$C$101)</f>
        <v/>
      </c>
      <c r="CI101" s="11" t="str">
        <f ca="1">IF(History!CM$2="","",#REF!*$C$101)</f>
        <v/>
      </c>
      <c r="CJ101" s="11" t="str">
        <f ca="1">IF(History!CN$2="","",#REF!*$C$101)</f>
        <v/>
      </c>
      <c r="CK101" s="11" t="str">
        <f ca="1">IF(History!CO$2="","",#REF!*$C$101)</f>
        <v/>
      </c>
      <c r="CL101" s="11" t="str">
        <f ca="1">IF(History!CP$2="","",#REF!*$C$101)</f>
        <v/>
      </c>
      <c r="CM101" s="11" t="str">
        <f ca="1">IF(History!CQ$2="","",#REF!*$C$101)</f>
        <v/>
      </c>
      <c r="CN101" s="11" t="str">
        <f ca="1">IF(History!CR$2="","",#REF!*$C$101)</f>
        <v/>
      </c>
      <c r="CO101" s="11" t="str">
        <f ca="1">IF(History!CS$2="","",#REF!*$C$101)</f>
        <v/>
      </c>
      <c r="CP101" s="11" t="str">
        <f ca="1">IF(History!CT$2="","",#REF!*$C$101)</f>
        <v/>
      </c>
      <c r="CQ101" s="11" t="str">
        <f ca="1">IF(History!CU$2="","",#REF!*$C$101)</f>
        <v/>
      </c>
      <c r="CR101" s="11" t="str">
        <f ca="1">IF(History!CV$2="","",#REF!*$C$101)</f>
        <v/>
      </c>
      <c r="CS101" s="11" t="str">
        <f ca="1">IF(History!CW$2="","",#REF!*$C$101)</f>
        <v/>
      </c>
      <c r="CT101" s="11" t="str">
        <f ca="1">IF(History!CX$2="","",#REF!*$C$101)</f>
        <v/>
      </c>
      <c r="CU101" s="11" t="str">
        <f ca="1">IF(History!CY$2="","",#REF!*$C$101)</f>
        <v/>
      </c>
      <c r="CV101" s="11" t="str">
        <f ca="1">IF(History!CZ$2="","",#REF!*$C$101)</f>
        <v/>
      </c>
      <c r="CW101" s="11" t="str">
        <f ca="1">IF(History!DA$2="","",#REF!*$C$101)</f>
        <v/>
      </c>
      <c r="CX101" s="11" t="str">
        <f ca="1">IF(History!DB$2="","",#REF!*$C$101)</f>
        <v/>
      </c>
      <c r="CY101" s="11" t="str">
        <f ca="1">IF(History!DC$2="","",#REF!*$C$101)</f>
        <v/>
      </c>
      <c r="CZ101" s="11" t="str">
        <f ca="1">IF(History!DD$2="","",#REF!*$C$101)</f>
        <v/>
      </c>
      <c r="DA101" s="11" t="str">
        <f ca="1">IF(History!DE$2="","",#REF!*$C$101)</f>
        <v/>
      </c>
      <c r="DB101" s="11" t="str">
        <f ca="1">IF(History!DF$2="","",#REF!*$C$101)</f>
        <v/>
      </c>
      <c r="DC101" s="11" t="str">
        <f ca="1">IF(History!DG$2="","",#REF!*$C$101)</f>
        <v/>
      </c>
      <c r="DD101" s="11" t="str">
        <f ca="1">IF(History!DH$2="","",#REF!*$C$101)</f>
        <v/>
      </c>
      <c r="DE101" s="11" t="str">
        <f ca="1">IF(History!DI$2="","",#REF!*$C$101)</f>
        <v/>
      </c>
      <c r="DF101" s="11" t="str">
        <f ca="1">IF(History!DJ$2="","",#REF!*$C$101)</f>
        <v/>
      </c>
      <c r="DG101" s="11" t="str">
        <f ca="1">IF(History!DK$2="","",#REF!*$C$101)</f>
        <v/>
      </c>
      <c r="DH101" s="11" t="str">
        <f ca="1">IF(History!DL$2="","",#REF!*$C$101)</f>
        <v/>
      </c>
      <c r="DI101" s="11" t="str">
        <f ca="1">IF(History!DM$2="","",#REF!*$C$101)</f>
        <v/>
      </c>
      <c r="DJ101" s="11" t="str">
        <f ca="1">IF(History!DN$2="","",#REF!*$C$101)</f>
        <v/>
      </c>
      <c r="DK101" s="11" t="str">
        <f ca="1">IF(History!DO$2="","",#REF!*$C$101)</f>
        <v/>
      </c>
      <c r="DL101" s="11" t="str">
        <f ca="1">IF(History!DP$2="","",#REF!*$C$101)</f>
        <v/>
      </c>
      <c r="DM101" s="11" t="str">
        <f ca="1">IF(History!DQ$2="","",#REF!*$C$101)</f>
        <v/>
      </c>
      <c r="DN101" s="11" t="str">
        <f ca="1">IF(History!DR$2="","",#REF!*$C$101)</f>
        <v/>
      </c>
      <c r="DO101" s="11" t="str">
        <f ca="1">IF(History!DS$2="","",#REF!*$C$101)</f>
        <v/>
      </c>
      <c r="DP101" s="11" t="str">
        <f ca="1">IF(History!DT$2="","",#REF!*$C$101)</f>
        <v/>
      </c>
      <c r="DQ101" s="11" t="str">
        <f ca="1">IF(History!DU$2="","",#REF!*$C$101)</f>
        <v/>
      </c>
      <c r="DR101" s="11" t="str">
        <f ca="1">IF(History!DV$2="","",#REF!*$C$101)</f>
        <v/>
      </c>
      <c r="DS101" s="11" t="str">
        <f ca="1">IF(History!DW$2="","",#REF!*$C$101)</f>
        <v/>
      </c>
      <c r="DT101" s="11" t="str">
        <f ca="1">IF(History!DX$2="","",#REF!*$C$101)</f>
        <v/>
      </c>
      <c r="DU101" s="11" t="str">
        <f ca="1">IF(History!DY$2="","",#REF!*$C$101)</f>
        <v/>
      </c>
      <c r="DV101" s="11" t="str">
        <f ca="1">IF(History!DZ$2="","",#REF!*$C$101)</f>
        <v/>
      </c>
      <c r="DW101" s="11" t="str">
        <f ca="1">IF(History!EA$2="","",#REF!*$C$101)</f>
        <v/>
      </c>
      <c r="DX101" s="11" t="str">
        <f ca="1">IF(History!EB$2="","",#REF!*$C$101)</f>
        <v/>
      </c>
      <c r="DY101" s="11" t="str">
        <f ca="1">IF(History!EC$2="","",#REF!*$C$101)</f>
        <v/>
      </c>
      <c r="DZ101" s="11" t="str">
        <f ca="1">IF(History!ED$2="","",#REF!*$C$101)</f>
        <v/>
      </c>
      <c r="EA101" s="11" t="str">
        <f ca="1">IF(History!EE$2="","",#REF!*$C$101)</f>
        <v/>
      </c>
      <c r="EB101" s="11" t="str">
        <f ca="1">IF(History!EF$2="","",#REF!*$C$101)</f>
        <v/>
      </c>
      <c r="EC101" s="11" t="str">
        <f ca="1">IF(History!EG$2="","",#REF!*$C$101)</f>
        <v/>
      </c>
      <c r="ED101" s="11" t="str">
        <f ca="1">IF(History!EH$2="","",#REF!*$C$101)</f>
        <v/>
      </c>
      <c r="EE101" s="11" t="str">
        <f ca="1">IF(History!EI$2="","",#REF!*$C$101)</f>
        <v/>
      </c>
      <c r="EF101" s="11" t="str">
        <f ca="1">IF(History!EJ$2="","",#REF!*$C$101)</f>
        <v/>
      </c>
      <c r="EG101" s="11" t="str">
        <f ca="1">IF(History!EK$2="","",#REF!*$C$101)</f>
        <v/>
      </c>
      <c r="EH101" s="11" t="str">
        <f ca="1">IF(History!EL$2="","",#REF!*$C$101)</f>
        <v/>
      </c>
      <c r="EI101" s="11" t="str">
        <f ca="1">IF(History!EM$2="","",#REF!*$C$101)</f>
        <v/>
      </c>
      <c r="EJ101" s="11" t="str">
        <f ca="1">IF(History!EN$2="","",#REF!*$C$101)</f>
        <v/>
      </c>
      <c r="EK101" s="11" t="str">
        <f ca="1">IF(History!EO$2="","",#REF!*$C$101)</f>
        <v/>
      </c>
      <c r="EL101" s="11" t="str">
        <f ca="1">IF(History!EP$2="","",#REF!*$C$101)</f>
        <v/>
      </c>
      <c r="EM101" s="11" t="str">
        <f ca="1">IF(History!EQ$2="","",#REF!*$C$101)</f>
        <v/>
      </c>
      <c r="EN101" s="11" t="str">
        <f ca="1">IF(History!ER$2="","",#REF!*$C$101)</f>
        <v/>
      </c>
      <c r="EO101" s="11" t="str">
        <f ca="1">IF(History!ES$2="","",#REF!*$C$101)</f>
        <v/>
      </c>
      <c r="EP101" s="11" t="str">
        <f ca="1">IF(History!ET$2="","",#REF!*$C$101)</f>
        <v/>
      </c>
      <c r="EQ101" s="11" t="str">
        <f ca="1">IF(History!EU$2="","",#REF!*$C$101)</f>
        <v/>
      </c>
      <c r="ER101" s="11" t="str">
        <f ca="1">IF(History!EV$2="","",#REF!*$C$101)</f>
        <v/>
      </c>
      <c r="ES101" s="11" t="str">
        <f ca="1">IF(History!EW$2="","",#REF!*$C$101)</f>
        <v/>
      </c>
      <c r="ET101" s="11" t="str">
        <f ca="1">IF(History!EX$2="","",#REF!*$C$101)</f>
        <v/>
      </c>
      <c r="EU101" s="11" t="str">
        <f ca="1">IF(History!EY$2="","",#REF!*$C$101)</f>
        <v/>
      </c>
      <c r="EV101" s="11" t="str">
        <f ca="1">IF(History!EZ$2="","",#REF!*$C$101)</f>
        <v/>
      </c>
      <c r="EW101" s="11" t="str">
        <f ca="1">IF(History!FA$2="","",#REF!*$C$101)</f>
        <v/>
      </c>
      <c r="EX101" s="11" t="str">
        <f ca="1">IF(History!FB$2="","",#REF!*$C$101)</f>
        <v/>
      </c>
      <c r="EY101" s="11" t="str">
        <f ca="1">IF(History!FC$2="","",#REF!*$C$101)</f>
        <v/>
      </c>
      <c r="EZ101" s="11" t="str">
        <f ca="1">IF(History!FD$2="","",#REF!*$C$101)</f>
        <v/>
      </c>
      <c r="FA101" s="11" t="str">
        <f ca="1">IF(History!FE$2="","",#REF!*$C$101)</f>
        <v/>
      </c>
      <c r="FB101" s="11" t="str">
        <f ca="1">IF(History!FF$2="","",#REF!*$C$101)</f>
        <v/>
      </c>
      <c r="FC101" s="11" t="str">
        <f ca="1">IF(History!FG$2="","",#REF!*$C$101)</f>
        <v/>
      </c>
      <c r="FD101" s="11" t="str">
        <f ca="1">IF(History!FH$2="","",#REF!*$C$101)</f>
        <v/>
      </c>
      <c r="FE101" s="11" t="str">
        <f ca="1">IF(History!FI$2="","",#REF!*$C$101)</f>
        <v/>
      </c>
      <c r="FF101" s="11" t="str">
        <f ca="1">IF(History!FJ$2="","",#REF!*$C$101)</f>
        <v/>
      </c>
      <c r="FG101" s="11" t="str">
        <f ca="1">IF(History!FK$2="","",#REF!*$C$101)</f>
        <v/>
      </c>
      <c r="FH101" s="11" t="str">
        <f ca="1">IF(History!FL$2="","",#REF!*$C$101)</f>
        <v/>
      </c>
      <c r="FI101" s="11" t="str">
        <f ca="1">IF(History!FM$2="","",#REF!*$C$101)</f>
        <v/>
      </c>
      <c r="FJ101" s="11" t="str">
        <f ca="1">IF(History!FN$2="","",#REF!*$C$101)</f>
        <v/>
      </c>
      <c r="FK101" s="11" t="str">
        <f ca="1">IF(History!FO$2="","",#REF!*$C$101)</f>
        <v/>
      </c>
      <c r="FL101" s="11" t="str">
        <f ca="1">IF(History!FP$2="","",#REF!*$C$101)</f>
        <v/>
      </c>
      <c r="FM101" s="11" t="str">
        <f ca="1">IF(History!FQ$2="","",#REF!*$C$101)</f>
        <v/>
      </c>
      <c r="FN101" s="11" t="str">
        <f ca="1">IF(History!FR$2="","",#REF!*$C$101)</f>
        <v/>
      </c>
      <c r="FO101" s="11" t="str">
        <f ca="1">IF(History!FS$2="","",#REF!*$C$101)</f>
        <v/>
      </c>
      <c r="FP101" s="11" t="str">
        <f ca="1">IF(History!FT$2="","",#REF!*$C$101)</f>
        <v/>
      </c>
      <c r="FQ101" s="11" t="str">
        <f ca="1">IF(History!FU$2="","",#REF!*$C$101)</f>
        <v/>
      </c>
      <c r="FR101" s="11" t="str">
        <f ca="1">IF(History!FV$2="","",#REF!*$C$101)</f>
        <v/>
      </c>
      <c r="FS101" s="11" t="str">
        <f ca="1">IF(History!FW$2="","",#REF!*$C$101)</f>
        <v/>
      </c>
      <c r="FT101" s="11" t="str">
        <f ca="1">IF(History!FX$2="","",#REF!*$C$101)</f>
        <v/>
      </c>
      <c r="FU101" s="11" t="str">
        <f ca="1">IF(History!FY$2="","",#REF!*$C$101)</f>
        <v/>
      </c>
      <c r="FV101" s="11" t="str">
        <f ca="1">IF(History!FZ$2="","",#REF!*$C$101)</f>
        <v/>
      </c>
      <c r="FW101" s="11" t="str">
        <f ca="1">IF(History!GA$2="","",#REF!*$C$101)</f>
        <v/>
      </c>
      <c r="FX101" s="11" t="str">
        <f ca="1">IF(History!GB$2="","",#REF!*$C$101)</f>
        <v/>
      </c>
      <c r="FY101" s="11" t="str">
        <f ca="1">IF(History!GC$2="","",#REF!*$C$101)</f>
        <v/>
      </c>
      <c r="FZ101" s="11" t="str">
        <f ca="1">IF(History!GD$2="","",#REF!*$C$101)</f>
        <v/>
      </c>
      <c r="GA101" s="11" t="str">
        <f ca="1">IF(History!GE$2="","",#REF!*$C$101)</f>
        <v/>
      </c>
      <c r="GB101" s="11" t="str">
        <f ca="1">IF(History!GF$2="","",#REF!*$C$101)</f>
        <v/>
      </c>
      <c r="GC101" s="11" t="str">
        <f ca="1">IF(History!GG$2="","",#REF!*$C$101)</f>
        <v/>
      </c>
      <c r="GD101" s="11" t="str">
        <f ca="1">IF(History!GH$2="","",#REF!*$C$101)</f>
        <v/>
      </c>
      <c r="GE101" s="11" t="str">
        <f ca="1">IF(History!GI$2="","",#REF!*$C$101)</f>
        <v/>
      </c>
      <c r="GF101" s="11" t="str">
        <f ca="1">IF(History!GJ$2="","",#REF!*$C$101)</f>
        <v/>
      </c>
      <c r="GG101" s="11" t="str">
        <f ca="1">IF(History!GK$2="","",#REF!*$C$101)</f>
        <v/>
      </c>
      <c r="GH101" s="11" t="str">
        <f ca="1">IF(History!GL$2="","",#REF!*$C$101)</f>
        <v/>
      </c>
      <c r="GI101" s="11" t="str">
        <f ca="1">IF(History!GM$2="","",#REF!*$C$101)</f>
        <v/>
      </c>
      <c r="GJ101" s="11" t="str">
        <f ca="1">IF(History!GN$2="","",#REF!*$C$101)</f>
        <v/>
      </c>
      <c r="GK101" s="11" t="str">
        <f ca="1">IF(History!GO$2="","",#REF!*$C$101)</f>
        <v/>
      </c>
      <c r="GL101" s="11" t="str">
        <f ca="1">IF(History!GP$2="","",#REF!*$C$101)</f>
        <v/>
      </c>
      <c r="GM101" s="11" t="str">
        <f ca="1">IF(History!GQ$2="","",#REF!*$C$101)</f>
        <v/>
      </c>
      <c r="GN101" s="11" t="str">
        <f ca="1">IF(History!GR$2="","",#REF!*$C$101)</f>
        <v/>
      </c>
      <c r="GO101" s="11" t="str">
        <f ca="1">IF(History!GS$2="","",#REF!*$C$101)</f>
        <v/>
      </c>
      <c r="GP101" s="11" t="str">
        <f ca="1">IF(History!GT$2="","",#REF!*$C$101)</f>
        <v/>
      </c>
      <c r="GQ101" s="11" t="str">
        <f ca="1">IF(History!GU$2="","",#REF!*$C$101)</f>
        <v/>
      </c>
      <c r="GR101" s="11" t="str">
        <f ca="1">IF(History!GV$2="","",#REF!*$C$101)</f>
        <v/>
      </c>
      <c r="GS101" s="11" t="str">
        <f ca="1">IF(History!GW$2="","",#REF!*$C$101)</f>
        <v/>
      </c>
      <c r="GT101" s="11" t="str">
        <f ca="1">IF(History!GX$2="","",#REF!*$C$101)</f>
        <v/>
      </c>
      <c r="GU101" s="11" t="str">
        <f ca="1">IF(History!GY$2="","",#REF!*$C$101)</f>
        <v/>
      </c>
      <c r="GV101" s="11" t="str">
        <f ca="1">IF(History!GZ$2="","",#REF!*$C$101)</f>
        <v/>
      </c>
      <c r="GW101" s="11" t="str">
        <f ca="1">IF(History!HA$2="","",#REF!*$C$101)</f>
        <v/>
      </c>
      <c r="GX101" s="11" t="str">
        <f ca="1">IF(History!HB$2="","",#REF!*$C$101)</f>
        <v/>
      </c>
      <c r="GY101" s="11" t="str">
        <f ca="1">IF(History!HC$2="","",#REF!*$C$101)</f>
        <v/>
      </c>
      <c r="GZ101" s="11" t="str">
        <f ca="1">IF(History!HD$2="","",#REF!*$C$101)</f>
        <v/>
      </c>
      <c r="HA101" s="11" t="str">
        <f ca="1">IF(History!HE$2="","",#REF!*$C$101)</f>
        <v/>
      </c>
      <c r="HB101" s="11" t="str">
        <f ca="1">IF(History!HF$2="","",#REF!*$C$101)</f>
        <v/>
      </c>
      <c r="HC101" s="11" t="str">
        <f ca="1">IF(History!HG$2="","",#REF!*$C$101)</f>
        <v/>
      </c>
      <c r="HD101" s="11" t="str">
        <f ca="1">IF(History!HH$2="","",#REF!*$C$101)</f>
        <v/>
      </c>
      <c r="HE101" s="11" t="str">
        <f ca="1">IF(History!HI$2="","",#REF!*$C$101)</f>
        <v/>
      </c>
      <c r="HF101" s="11" t="str">
        <f ca="1">IF(History!HJ$2="","",#REF!*$C$101)</f>
        <v/>
      </c>
      <c r="HG101" s="11" t="str">
        <f ca="1">IF(History!HK$2="","",#REF!*$C$101)</f>
        <v/>
      </c>
      <c r="HH101" s="11" t="str">
        <f ca="1">IF(History!HL$2="","",#REF!*$C$101)</f>
        <v/>
      </c>
      <c r="HI101" s="11" t="str">
        <f ca="1">IF(History!HM$2="","",#REF!*$C$101)</f>
        <v/>
      </c>
      <c r="HJ101" s="11" t="str">
        <f ca="1">IF(History!HN$2="","",#REF!*$C$101)</f>
        <v/>
      </c>
      <c r="HK101" s="11" t="str">
        <f ca="1">IF(History!HO$2="","",#REF!*$C$101)</f>
        <v/>
      </c>
      <c r="HL101" s="11" t="str">
        <f ca="1">IF(History!HP$2="","",#REF!*$C$101)</f>
        <v/>
      </c>
      <c r="HM101" s="11" t="str">
        <f ca="1">IF(History!HQ$2="","",#REF!*$C$101)</f>
        <v/>
      </c>
      <c r="HN101" s="11" t="str">
        <f ca="1">IF(History!HR$2="","",#REF!*$C$101)</f>
        <v/>
      </c>
      <c r="HO101" s="11" t="str">
        <f ca="1">IF(History!HS$2="","",#REF!*$C$101)</f>
        <v/>
      </c>
      <c r="HP101" s="11" t="str">
        <f ca="1">IF(History!HT$2="","",#REF!*$C$101)</f>
        <v/>
      </c>
      <c r="HQ101" s="11" t="str">
        <f ca="1">IF(History!HU$2="","",#REF!*$C$101)</f>
        <v/>
      </c>
      <c r="HR101" s="11" t="str">
        <f ca="1">IF(History!HV$2="","",#REF!*$C$101)</f>
        <v/>
      </c>
      <c r="HS101" s="11" t="str">
        <f ca="1">IF(History!HW$2="","",#REF!*$C$101)</f>
        <v/>
      </c>
      <c r="HT101" s="11" t="str">
        <f ca="1">IF(History!HX$2="","",#REF!*$C$101)</f>
        <v/>
      </c>
      <c r="HU101" s="11" t="str">
        <f ca="1">IF(History!HY$2="","",#REF!*$C$101)</f>
        <v/>
      </c>
      <c r="HV101" s="11" t="str">
        <f ca="1">IF(History!HZ$2="","",#REF!*$C$101)</f>
        <v/>
      </c>
      <c r="HW101" s="11" t="str">
        <f ca="1">IF(History!IA$2="","",#REF!*$C$101)</f>
        <v/>
      </c>
      <c r="HX101" s="11" t="str">
        <f ca="1">IF(History!IB$2="","",#REF!*$C$101)</f>
        <v/>
      </c>
      <c r="HY101" s="11" t="str">
        <f ca="1">IF(History!IC$2="","",#REF!*$C$101)</f>
        <v/>
      </c>
      <c r="HZ101" s="11" t="str">
        <f ca="1">IF(History!ID$2="","",#REF!*$C$101)</f>
        <v/>
      </c>
      <c r="IA101" s="11" t="str">
        <f ca="1">IF(History!IE$2="","",#REF!*$C$101)</f>
        <v/>
      </c>
      <c r="IB101" s="11" t="str">
        <f ca="1">IF(History!IF$2="","",#REF!*$C$101)</f>
        <v/>
      </c>
      <c r="IC101" s="11" t="str">
        <f ca="1">IF(History!IG$2="","",#REF!*$C$101)</f>
        <v/>
      </c>
      <c r="ID101" s="11" t="str">
        <f ca="1">IF(History!IH$2="","",#REF!*$C$101)</f>
        <v/>
      </c>
      <c r="IE101" s="11" t="str">
        <f ca="1">IF(History!II$2="","",#REF!*$C$101)</f>
        <v/>
      </c>
      <c r="IF101" s="11" t="str">
        <f ca="1">IF(History!IJ$2="","",#REF!*$C$101)</f>
        <v/>
      </c>
      <c r="IG101" s="11" t="str">
        <f ca="1">IF(History!IK$2="","",#REF!*$C$101)</f>
        <v/>
      </c>
      <c r="IH101" s="11" t="str">
        <f ca="1">IF(History!IL$2="","",#REF!*$C$101)</f>
        <v/>
      </c>
      <c r="II101" s="11" t="str">
        <f ca="1">IF(History!IM$2="","",#REF!*$C$101)</f>
        <v/>
      </c>
      <c r="IJ101" s="11" t="str">
        <f ca="1">IF(History!IN$2="","",#REF!*$C$101)</f>
        <v/>
      </c>
      <c r="IK101" s="11" t="str">
        <f ca="1">IF(History!IO$2="","",#REF!*$C$101)</f>
        <v/>
      </c>
      <c r="IL101" s="11" t="str">
        <f ca="1">IF(History!IP$2="","",#REF!*$C$101)</f>
        <v/>
      </c>
      <c r="IM101" s="11" t="str">
        <f ca="1">IF(History!IQ$2="","",#REF!*$C$101)</f>
        <v/>
      </c>
      <c r="IN101" s="11" t="str">
        <f ca="1">IF(History!IR$2="","",#REF!*$C$101)</f>
        <v/>
      </c>
      <c r="IO101" s="11" t="str">
        <f ca="1">IF(History!IS$2="","",#REF!*$C$101)</f>
        <v/>
      </c>
      <c r="IP101" s="11" t="str">
        <f ca="1">IF(History!IT$2="","",#REF!*$C$101)</f>
        <v/>
      </c>
      <c r="IQ101" s="11" t="str">
        <f ca="1">IF(History!IU$2="","",#REF!*$C$101)</f>
        <v/>
      </c>
      <c r="IR101" s="11" t="str">
        <f ca="1">IF(History!IV$2="","",#REF!*$C$101)</f>
        <v/>
      </c>
      <c r="IS101" s="11" t="str">
        <f ca="1">IF(History!IW$2="","",#REF!*$C$101)</f>
        <v/>
      </c>
      <c r="IT101" s="11" t="str">
        <f ca="1">IF(History!IX$2="","",#REF!*$C$101)</f>
        <v/>
      </c>
      <c r="IU101" s="11" t="str">
        <f ca="1">IF(History!IY$2="","",#REF!*$C$101)</f>
        <v/>
      </c>
      <c r="IV101" s="11" t="str">
        <f ca="1">IF(History!IZ$2="","",#REF!*$C$101)</f>
        <v/>
      </c>
      <c r="IW101" s="11" t="str">
        <f ca="1">IF(History!JA$2="","",#REF!*$C$101)</f>
        <v/>
      </c>
      <c r="IX101" s="11" t="str">
        <f ca="1">IF(History!JB$2="","",#REF!*$C$101)</f>
        <v/>
      </c>
      <c r="IY101" s="11" t="str">
        <f ca="1">IF(History!JC$2="","",#REF!*$C$101)</f>
        <v/>
      </c>
      <c r="IZ101" s="11" t="str">
        <f ca="1">IF(History!JD$2="","",#REF!*$C$101)</f>
        <v/>
      </c>
      <c r="JA101" s="11" t="str">
        <f ca="1">IF(History!JE$2="","",#REF!*$C$101)</f>
        <v/>
      </c>
      <c r="JB101" s="11" t="str">
        <f ca="1">IF(History!JF$2="","",#REF!*$C$101)</f>
        <v/>
      </c>
      <c r="JC101" s="11" t="str">
        <f ca="1">IF(History!JG$2="","",#REF!*$C$101)</f>
        <v/>
      </c>
      <c r="JD101" s="11" t="str">
        <f ca="1">IF(History!JH$2="","",#REF!*$C$101)</f>
        <v/>
      </c>
      <c r="JE101" s="11" t="str">
        <f ca="1">IF(History!JI$2="","",#REF!*$C$101)</f>
        <v/>
      </c>
      <c r="JF101" s="11" t="str">
        <f ca="1">IF(History!JJ$2="","",#REF!*$C$101)</f>
        <v/>
      </c>
      <c r="JG101" s="11" t="str">
        <f ca="1">IF(History!JK$2="","",#REF!*$C$101)</f>
        <v/>
      </c>
      <c r="JH101" s="11" t="str">
        <f ca="1">IF(History!JL$2="","",#REF!*$C$101)</f>
        <v/>
      </c>
      <c r="JI101" s="11" t="str">
        <f ca="1">IF(History!JM$2="","",#REF!*$C$101)</f>
        <v/>
      </c>
      <c r="JJ101" s="11" t="str">
        <f ca="1">IF(History!JN$2="","",#REF!*$C$101)</f>
        <v/>
      </c>
      <c r="JK101" s="11" t="str">
        <f ca="1">IF(History!JO$2="","",#REF!*$C$101)</f>
        <v/>
      </c>
      <c r="JL101" s="11" t="str">
        <f ca="1">IF(History!JP$2="","",#REF!*$C$101)</f>
        <v/>
      </c>
      <c r="JM101" s="11" t="str">
        <f ca="1">IF(History!JQ$2="","",#REF!*$C$101)</f>
        <v/>
      </c>
      <c r="JN101" s="11" t="str">
        <f ca="1">IF(History!JR$2="","",#REF!*$C$101)</f>
        <v/>
      </c>
      <c r="JO101" s="11" t="str">
        <f ca="1">IF(History!JS$2="","",#REF!*$C$101)</f>
        <v/>
      </c>
      <c r="JP101" s="11" t="str">
        <f ca="1">IF(History!JT$2="","",#REF!*$C$101)</f>
        <v/>
      </c>
      <c r="JQ101" s="11" t="str">
        <f ca="1">IF(History!JU$2="","",#REF!*$C$101)</f>
        <v/>
      </c>
      <c r="JR101" s="11" t="str">
        <f ca="1">IF(History!JV$2="","",#REF!*$C$101)</f>
        <v/>
      </c>
      <c r="JS101" s="11" t="str">
        <f ca="1">IF(History!JW$2="","",#REF!*$C$101)</f>
        <v/>
      </c>
      <c r="JT101" s="11" t="str">
        <f ca="1">IF(History!JX$2="","",#REF!*$C$101)</f>
        <v/>
      </c>
      <c r="JU101" s="11" t="str">
        <f ca="1">IF(History!JY$2="","",#REF!*$C$101)</f>
        <v/>
      </c>
      <c r="JV101" s="11" t="str">
        <f ca="1">IF(History!JZ$2="","",#REF!*$C$101)</f>
        <v/>
      </c>
      <c r="JW101" s="11" t="str">
        <f ca="1">IF(History!KA$2="","",#REF!*$C$101)</f>
        <v/>
      </c>
      <c r="JX101" s="11" t="str">
        <f ca="1">IF(History!KB$2="","",#REF!*$C$101)</f>
        <v/>
      </c>
      <c r="JY101" s="11" t="str">
        <f ca="1">IF(History!KC$2="","",#REF!*$C$101)</f>
        <v/>
      </c>
      <c r="JZ101" s="11" t="str">
        <f ca="1">IF(History!KD$2="","",#REF!*$C$101)</f>
        <v/>
      </c>
      <c r="KA101" s="11" t="str">
        <f ca="1">IF(History!KE$2="","",#REF!*$C$101)</f>
        <v/>
      </c>
      <c r="KB101" s="11" t="str">
        <f ca="1">IF(History!KF$2="","",#REF!*$C$101)</f>
        <v/>
      </c>
    </row>
    <row r="102" spans="1:288" ht="13">
      <c r="A102" s="18" t="s">
        <v>140</v>
      </c>
      <c r="B102" s="6" t="s">
        <v>178</v>
      </c>
      <c r="C102" s="26">
        <v>112</v>
      </c>
      <c r="D102" s="11" t="e">
        <f ca="1">IF(History!H$2="","",#REF!*$C$102)</f>
        <v>#REF!</v>
      </c>
      <c r="E102" s="11" t="e">
        <f ca="1">IF(History!I$2="","",#REF!*$C$102)</f>
        <v>#REF!</v>
      </c>
      <c r="F102" s="11" t="e">
        <f ca="1">IF(History!J$2="","",#REF!*$C$102)</f>
        <v>#REF!</v>
      </c>
      <c r="G102" s="11" t="e">
        <f ca="1">IF(History!K$2="","",#REF!*$C$102)</f>
        <v>#REF!</v>
      </c>
      <c r="H102" s="11" t="e">
        <f ca="1">IF(History!L$2="","",#REF!*$C$102)</f>
        <v>#REF!</v>
      </c>
      <c r="I102" s="11" t="e">
        <f ca="1">IF(History!M$2="","",#REF!*$C$102)</f>
        <v>#REF!</v>
      </c>
      <c r="J102" s="11" t="e">
        <f ca="1">IF(History!N$2="","",#REF!*$C$102)</f>
        <v>#REF!</v>
      </c>
      <c r="K102" s="11" t="e">
        <f ca="1">IF(History!O$2="","",#REF!*$C$102)</f>
        <v>#REF!</v>
      </c>
      <c r="L102" s="11" t="e">
        <f ca="1">IF(History!P$2="","",#REF!*$C$102)</f>
        <v>#REF!</v>
      </c>
      <c r="M102" s="11" t="e">
        <f ca="1">IF(History!Q$2="","",#REF!*$C$102)</f>
        <v>#REF!</v>
      </c>
      <c r="N102" s="11" t="e">
        <f ca="1">IF(History!R$2="","",#REF!*$C$102)</f>
        <v>#REF!</v>
      </c>
      <c r="O102" s="11" t="e">
        <f ca="1">IF(History!S$2="","",#REF!*$C$102)</f>
        <v>#REF!</v>
      </c>
      <c r="P102" s="11" t="e">
        <f ca="1">IF(History!T$2="","",#REF!*$C$102)</f>
        <v>#REF!</v>
      </c>
      <c r="Q102" s="11" t="e">
        <f ca="1">IF(History!U$2="","",#REF!*$C$102)</f>
        <v>#REF!</v>
      </c>
      <c r="R102" s="11" t="e">
        <f ca="1">IF(History!V$2="","",#REF!*$C$102)</f>
        <v>#REF!</v>
      </c>
      <c r="S102" s="11" t="e">
        <f ca="1">IF(History!W$2="","",#REF!*$C$102)</f>
        <v>#REF!</v>
      </c>
      <c r="T102" s="11" t="e">
        <f ca="1">IF(History!X$2="","",#REF!*$C$102)</f>
        <v>#REF!</v>
      </c>
      <c r="U102" s="11" t="e">
        <f ca="1">IF(History!Y$2="","",#REF!*$C$102)</f>
        <v>#REF!</v>
      </c>
      <c r="V102" s="11" t="e">
        <f ca="1">IF(History!Z$2="","",#REF!*$C$102)</f>
        <v>#REF!</v>
      </c>
      <c r="W102" s="11" t="e">
        <f ca="1">IF(History!AA$2="","",#REF!*$C$102)</f>
        <v>#REF!</v>
      </c>
      <c r="X102" s="11" t="e">
        <f ca="1">IF(History!AB$2="","",#REF!*$C$102)</f>
        <v>#REF!</v>
      </c>
      <c r="Y102" s="11" t="e">
        <f ca="1">IF(History!AC$2="","",#REF!*$C$102)</f>
        <v>#REF!</v>
      </c>
      <c r="Z102" s="11" t="e">
        <f ca="1">IF(History!AD$2="","",#REF!*$C$102)</f>
        <v>#REF!</v>
      </c>
      <c r="AA102" s="11" t="e">
        <f ca="1">IF(History!AE$2="","",#REF!*$C$102)</f>
        <v>#REF!</v>
      </c>
      <c r="AB102" s="11" t="e">
        <f ca="1">IF(History!AF$2="","",#REF!*$C$102)</f>
        <v>#REF!</v>
      </c>
      <c r="AC102" s="11" t="e">
        <f ca="1">IF(History!AG$2="","",#REF!*$C$102)</f>
        <v>#REF!</v>
      </c>
      <c r="AD102" s="11" t="e">
        <f ca="1">IF(History!AH$2="","",#REF!*$C$102)</f>
        <v>#REF!</v>
      </c>
      <c r="AE102" s="11" t="e">
        <f ca="1">IF(History!AI$2="","",#REF!*$C$102)</f>
        <v>#REF!</v>
      </c>
      <c r="AF102" s="11" t="e">
        <f ca="1">IF(History!AJ$2="","",#REF!*$C$102)</f>
        <v>#REF!</v>
      </c>
      <c r="AG102" s="11" t="e">
        <f ca="1">IF(History!AK$2="","",#REF!*$C$102)</f>
        <v>#REF!</v>
      </c>
      <c r="AH102" s="11" t="e">
        <f ca="1">IF(History!AL$2="","",#REF!*$C$102)</f>
        <v>#REF!</v>
      </c>
      <c r="AI102" s="11" t="e">
        <f ca="1">IF(History!AM$2="","",#REF!*$C$102)</f>
        <v>#REF!</v>
      </c>
      <c r="AJ102" s="11" t="e">
        <f ca="1">IF(History!AN$2="","",#REF!*$C$102)</f>
        <v>#REF!</v>
      </c>
      <c r="AK102" s="11" t="e">
        <f ca="1">IF(History!AO$2="","",#REF!*$C$102)</f>
        <v>#REF!</v>
      </c>
      <c r="AL102" s="11" t="e">
        <f ca="1">IF(History!AP$2="","",#REF!*$C$102)</f>
        <v>#REF!</v>
      </c>
      <c r="AM102" s="11" t="e">
        <f ca="1">IF(History!AQ$2="","",#REF!*$C$102)</f>
        <v>#REF!</v>
      </c>
      <c r="AN102" s="11" t="e">
        <f ca="1">IF(History!AR$2="","",#REF!*$C$102)</f>
        <v>#REF!</v>
      </c>
      <c r="AO102" s="11" t="e">
        <f ca="1">IF(History!AS$2="","",#REF!*$C$102)</f>
        <v>#REF!</v>
      </c>
      <c r="AP102" s="11" t="e">
        <f ca="1">IF(History!AT$2="","",#REF!*$C$102)</f>
        <v>#REF!</v>
      </c>
      <c r="AQ102" s="11" t="e">
        <f ca="1">IF(History!AU$2="","",#REF!*$C$102)</f>
        <v>#REF!</v>
      </c>
      <c r="AR102" s="11" t="e">
        <f ca="1">IF(History!AV$2="","",#REF!*$C$102)</f>
        <v>#REF!</v>
      </c>
      <c r="AS102" s="11" t="e">
        <f ca="1">IF(History!AW$2="","",#REF!*$C$102)</f>
        <v>#REF!</v>
      </c>
      <c r="AT102" s="11" t="e">
        <f ca="1">IF(History!AX$2="","",#REF!*$C$102)</f>
        <v>#REF!</v>
      </c>
      <c r="AU102" s="11" t="e">
        <f ca="1">IF(History!AY$2="","",#REF!*$C$102)</f>
        <v>#REF!</v>
      </c>
      <c r="AV102" s="11" t="e">
        <f ca="1">IF(History!AZ$2="","",#REF!*$C$102)</f>
        <v>#REF!</v>
      </c>
      <c r="AW102" s="11" t="e">
        <f ca="1">IF(History!BA$2="","",#REF!*$C$102)</f>
        <v>#REF!</v>
      </c>
      <c r="AX102" s="11" t="e">
        <f ca="1">IF(History!BB$2="","",#REF!*$C$102)</f>
        <v>#REF!</v>
      </c>
      <c r="AY102" s="11" t="e">
        <f ca="1">IF(History!BC$2="","",#REF!*$C$102)</f>
        <v>#REF!</v>
      </c>
      <c r="AZ102" s="11" t="e">
        <f ca="1">IF(History!BD$2="","",#REF!*$C$102)</f>
        <v>#REF!</v>
      </c>
      <c r="BA102" s="11" t="e">
        <f ca="1">IF(History!BE$2="","",#REF!*$C$102)</f>
        <v>#REF!</v>
      </c>
      <c r="BB102" s="11" t="e">
        <f ca="1">IF(History!BF$2="","",#REF!*$C$102)</f>
        <v>#REF!</v>
      </c>
      <c r="BC102" s="11" t="e">
        <f ca="1">IF(History!BG$2="","",#REF!*$C$102)</f>
        <v>#REF!</v>
      </c>
      <c r="BD102" s="11" t="e">
        <f ca="1">IF(History!BH$2="","",#REF!*$C$102)</f>
        <v>#REF!</v>
      </c>
      <c r="BE102" s="11" t="e">
        <f ca="1">IF(History!BI$2="","",#REF!*$C$102)</f>
        <v>#REF!</v>
      </c>
      <c r="BF102" s="11" t="e">
        <f ca="1">IF(History!BJ$2="","",#REF!*$C$102)</f>
        <v>#REF!</v>
      </c>
      <c r="BG102" s="11" t="e">
        <f ca="1">IF(History!BK$2="","",#REF!*$C$102)</f>
        <v>#REF!</v>
      </c>
      <c r="BH102" s="11" t="e">
        <f ca="1">IF(History!BL$2="","",#REF!*$C$102)</f>
        <v>#REF!</v>
      </c>
      <c r="BI102" s="11" t="e">
        <f ca="1">IF(History!BM$2="","",#REF!*$C$102)</f>
        <v>#REF!</v>
      </c>
      <c r="BJ102" s="11" t="e">
        <f ca="1">IF(History!BN$2="","",#REF!*$C$102)</f>
        <v>#REF!</v>
      </c>
      <c r="BK102" s="11" t="e">
        <f ca="1">IF(History!BO$2="","",#REF!*$C$102)</f>
        <v>#REF!</v>
      </c>
      <c r="BL102" s="11" t="e">
        <f ca="1">IF(History!BP$2="","",#REF!*$C$102)</f>
        <v>#REF!</v>
      </c>
      <c r="BM102" s="11" t="e">
        <f ca="1">IF(History!BQ$2="","",#REF!*$C$102)</f>
        <v>#REF!</v>
      </c>
      <c r="BN102" s="11" t="e">
        <f ca="1">IF(History!BR$2="","",#REF!*$C$102)</f>
        <v>#REF!</v>
      </c>
      <c r="BO102" s="11" t="e">
        <f ca="1">IF(History!BS$2="","",#REF!*$C$102)</f>
        <v>#REF!</v>
      </c>
      <c r="BP102" s="11" t="e">
        <f ca="1">IF(History!BT$2="","",#REF!*$C$102)</f>
        <v>#REF!</v>
      </c>
      <c r="BQ102" s="11" t="e">
        <f ca="1">IF(History!BU$2="","",#REF!*$C$102)</f>
        <v>#REF!</v>
      </c>
      <c r="BR102" s="11" t="e">
        <f ca="1">IF(History!BV$2="","",#REF!*$C$102)</f>
        <v>#REF!</v>
      </c>
      <c r="BS102" s="11" t="e">
        <f ca="1">IF(History!BW$2="","",#REF!*$C$102)</f>
        <v>#REF!</v>
      </c>
      <c r="BT102" s="11" t="e">
        <f ca="1">IF(History!BX$2="","",#REF!*$C$102)</f>
        <v>#REF!</v>
      </c>
      <c r="BU102" s="11" t="e">
        <f ca="1">IF(History!BY$2="","",#REF!*$C$102)</f>
        <v>#REF!</v>
      </c>
      <c r="BV102" s="11" t="e">
        <f ca="1">IF(History!BZ$2="","",#REF!*$C$102)</f>
        <v>#REF!</v>
      </c>
      <c r="BW102" s="11" t="e">
        <f ca="1">IF(History!CA$2="","",#REF!*$C$102)</f>
        <v>#REF!</v>
      </c>
      <c r="BX102" s="11" t="e">
        <f ca="1">IF(History!CB$2="","",#REF!*$C$102)</f>
        <v>#REF!</v>
      </c>
      <c r="BY102" s="11" t="e">
        <f ca="1">IF(History!CC$2="","",#REF!*$C$102)</f>
        <v>#REF!</v>
      </c>
      <c r="BZ102" s="11" t="e">
        <f ca="1">IF(History!CD$2="","",#REF!*$C$102)</f>
        <v>#REF!</v>
      </c>
      <c r="CA102" s="11" t="e">
        <f ca="1">IF(History!CE$2="","",#REF!*$C$102)</f>
        <v>#REF!</v>
      </c>
      <c r="CB102" s="11" t="e">
        <f ca="1">IF(History!CF$2="","",#REF!*$C$102)</f>
        <v>#REF!</v>
      </c>
      <c r="CC102" s="11" t="e">
        <f ca="1">IF(History!CG$2="","",#REF!*$C$102)</f>
        <v>#REF!</v>
      </c>
      <c r="CD102" s="11" t="e">
        <f ca="1">IF(History!CH$2="","",#REF!*$C$102)</f>
        <v>#REF!</v>
      </c>
      <c r="CE102" s="11" t="e">
        <f ca="1">IF(History!CI$2="","",#REF!*$C$102)</f>
        <v>#REF!</v>
      </c>
      <c r="CF102" s="11" t="str">
        <f ca="1">IF(History!CJ$2="","",#REF!*$C$102)</f>
        <v/>
      </c>
      <c r="CG102" s="11" t="str">
        <f ca="1">IF(History!CK$2="","",#REF!*$C$102)</f>
        <v/>
      </c>
      <c r="CH102" s="11" t="str">
        <f ca="1">IF(History!CL$2="","",#REF!*$C$102)</f>
        <v/>
      </c>
      <c r="CI102" s="11" t="str">
        <f ca="1">IF(History!CM$2="","",#REF!*$C$102)</f>
        <v/>
      </c>
      <c r="CJ102" s="11" t="str">
        <f ca="1">IF(History!CN$2="","",#REF!*$C$102)</f>
        <v/>
      </c>
      <c r="CK102" s="11" t="str">
        <f ca="1">IF(History!CO$2="","",#REF!*$C$102)</f>
        <v/>
      </c>
      <c r="CL102" s="11" t="str">
        <f ca="1">IF(History!CP$2="","",#REF!*$C$102)</f>
        <v/>
      </c>
      <c r="CM102" s="11" t="str">
        <f ca="1">IF(History!CQ$2="","",#REF!*$C$102)</f>
        <v/>
      </c>
      <c r="CN102" s="11" t="str">
        <f ca="1">IF(History!CR$2="","",#REF!*$C$102)</f>
        <v/>
      </c>
      <c r="CO102" s="11" t="str">
        <f ca="1">IF(History!CS$2="","",#REF!*$C$102)</f>
        <v/>
      </c>
      <c r="CP102" s="11" t="str">
        <f ca="1">IF(History!CT$2="","",#REF!*$C$102)</f>
        <v/>
      </c>
      <c r="CQ102" s="11" t="str">
        <f ca="1">IF(History!CU$2="","",#REF!*$C$102)</f>
        <v/>
      </c>
      <c r="CR102" s="11" t="str">
        <f ca="1">IF(History!CV$2="","",#REF!*$C$102)</f>
        <v/>
      </c>
      <c r="CS102" s="11" t="str">
        <f ca="1">IF(History!CW$2="","",#REF!*$C$102)</f>
        <v/>
      </c>
      <c r="CT102" s="11" t="str">
        <f ca="1">IF(History!CX$2="","",#REF!*$C$102)</f>
        <v/>
      </c>
      <c r="CU102" s="11" t="str">
        <f ca="1">IF(History!CY$2="","",#REF!*$C$102)</f>
        <v/>
      </c>
      <c r="CV102" s="11" t="str">
        <f ca="1">IF(History!CZ$2="","",#REF!*$C$102)</f>
        <v/>
      </c>
      <c r="CW102" s="11" t="str">
        <f ca="1">IF(History!DA$2="","",#REF!*$C$102)</f>
        <v/>
      </c>
      <c r="CX102" s="11" t="str">
        <f ca="1">IF(History!DB$2="","",#REF!*$C$102)</f>
        <v/>
      </c>
      <c r="CY102" s="11" t="str">
        <f ca="1">IF(History!DC$2="","",#REF!*$C$102)</f>
        <v/>
      </c>
      <c r="CZ102" s="11" t="str">
        <f ca="1">IF(History!DD$2="","",#REF!*$C$102)</f>
        <v/>
      </c>
      <c r="DA102" s="11" t="str">
        <f ca="1">IF(History!DE$2="","",#REF!*$C$102)</f>
        <v/>
      </c>
      <c r="DB102" s="11" t="str">
        <f ca="1">IF(History!DF$2="","",#REF!*$C$102)</f>
        <v/>
      </c>
      <c r="DC102" s="11" t="str">
        <f ca="1">IF(History!DG$2="","",#REF!*$C$102)</f>
        <v/>
      </c>
      <c r="DD102" s="11" t="str">
        <f ca="1">IF(History!DH$2="","",#REF!*$C$102)</f>
        <v/>
      </c>
      <c r="DE102" s="11" t="str">
        <f ca="1">IF(History!DI$2="","",#REF!*$C$102)</f>
        <v/>
      </c>
      <c r="DF102" s="11" t="str">
        <f ca="1">IF(History!DJ$2="","",#REF!*$C$102)</f>
        <v/>
      </c>
      <c r="DG102" s="11" t="str">
        <f ca="1">IF(History!DK$2="","",#REF!*$C$102)</f>
        <v/>
      </c>
      <c r="DH102" s="11" t="str">
        <f ca="1">IF(History!DL$2="","",#REF!*$C$102)</f>
        <v/>
      </c>
      <c r="DI102" s="11" t="str">
        <f ca="1">IF(History!DM$2="","",#REF!*$C$102)</f>
        <v/>
      </c>
      <c r="DJ102" s="11" t="str">
        <f ca="1">IF(History!DN$2="","",#REF!*$C$102)</f>
        <v/>
      </c>
      <c r="DK102" s="11" t="str">
        <f ca="1">IF(History!DO$2="","",#REF!*$C$102)</f>
        <v/>
      </c>
      <c r="DL102" s="11" t="str">
        <f ca="1">IF(History!DP$2="","",#REF!*$C$102)</f>
        <v/>
      </c>
      <c r="DM102" s="11" t="str">
        <f ca="1">IF(History!DQ$2="","",#REF!*$C$102)</f>
        <v/>
      </c>
      <c r="DN102" s="11" t="str">
        <f ca="1">IF(History!DR$2="","",#REF!*$C$102)</f>
        <v/>
      </c>
      <c r="DO102" s="11" t="str">
        <f ca="1">IF(History!DS$2="","",#REF!*$C$102)</f>
        <v/>
      </c>
      <c r="DP102" s="11" t="str">
        <f ca="1">IF(History!DT$2="","",#REF!*$C$102)</f>
        <v/>
      </c>
      <c r="DQ102" s="11" t="str">
        <f ca="1">IF(History!DU$2="","",#REF!*$C$102)</f>
        <v/>
      </c>
      <c r="DR102" s="11" t="str">
        <f ca="1">IF(History!DV$2="","",#REF!*$C$102)</f>
        <v/>
      </c>
      <c r="DS102" s="11" t="str">
        <f ca="1">IF(History!DW$2="","",#REF!*$C$102)</f>
        <v/>
      </c>
      <c r="DT102" s="11" t="str">
        <f ca="1">IF(History!DX$2="","",#REF!*$C$102)</f>
        <v/>
      </c>
      <c r="DU102" s="11" t="str">
        <f ca="1">IF(History!DY$2="","",#REF!*$C$102)</f>
        <v/>
      </c>
      <c r="DV102" s="11" t="str">
        <f ca="1">IF(History!DZ$2="","",#REF!*$C$102)</f>
        <v/>
      </c>
      <c r="DW102" s="11" t="str">
        <f ca="1">IF(History!EA$2="","",#REF!*$C$102)</f>
        <v/>
      </c>
      <c r="DX102" s="11" t="str">
        <f ca="1">IF(History!EB$2="","",#REF!*$C$102)</f>
        <v/>
      </c>
      <c r="DY102" s="11" t="str">
        <f ca="1">IF(History!EC$2="","",#REF!*$C$102)</f>
        <v/>
      </c>
      <c r="DZ102" s="11" t="str">
        <f ca="1">IF(History!ED$2="","",#REF!*$C$102)</f>
        <v/>
      </c>
      <c r="EA102" s="11" t="str">
        <f ca="1">IF(History!EE$2="","",#REF!*$C$102)</f>
        <v/>
      </c>
      <c r="EB102" s="11" t="str">
        <f ca="1">IF(History!EF$2="","",#REF!*$C$102)</f>
        <v/>
      </c>
      <c r="EC102" s="11" t="str">
        <f ca="1">IF(History!EG$2="","",#REF!*$C$102)</f>
        <v/>
      </c>
      <c r="ED102" s="11" t="str">
        <f ca="1">IF(History!EH$2="","",#REF!*$C$102)</f>
        <v/>
      </c>
      <c r="EE102" s="11" t="str">
        <f ca="1">IF(History!EI$2="","",#REF!*$C$102)</f>
        <v/>
      </c>
      <c r="EF102" s="11" t="str">
        <f ca="1">IF(History!EJ$2="","",#REF!*$C$102)</f>
        <v/>
      </c>
      <c r="EG102" s="11" t="str">
        <f ca="1">IF(History!EK$2="","",#REF!*$C$102)</f>
        <v/>
      </c>
      <c r="EH102" s="11" t="str">
        <f ca="1">IF(History!EL$2="","",#REF!*$C$102)</f>
        <v/>
      </c>
      <c r="EI102" s="11" t="str">
        <f ca="1">IF(History!EM$2="","",#REF!*$C$102)</f>
        <v/>
      </c>
      <c r="EJ102" s="11" t="str">
        <f ca="1">IF(History!EN$2="","",#REF!*$C$102)</f>
        <v/>
      </c>
      <c r="EK102" s="11" t="str">
        <f ca="1">IF(History!EO$2="","",#REF!*$C$102)</f>
        <v/>
      </c>
      <c r="EL102" s="11" t="str">
        <f ca="1">IF(History!EP$2="","",#REF!*$C$102)</f>
        <v/>
      </c>
      <c r="EM102" s="11" t="str">
        <f ca="1">IF(History!EQ$2="","",#REF!*$C$102)</f>
        <v/>
      </c>
      <c r="EN102" s="11" t="str">
        <f ca="1">IF(History!ER$2="","",#REF!*$C$102)</f>
        <v/>
      </c>
      <c r="EO102" s="11" t="str">
        <f ca="1">IF(History!ES$2="","",#REF!*$C$102)</f>
        <v/>
      </c>
      <c r="EP102" s="11" t="str">
        <f ca="1">IF(History!ET$2="","",#REF!*$C$102)</f>
        <v/>
      </c>
      <c r="EQ102" s="11" t="str">
        <f ca="1">IF(History!EU$2="","",#REF!*$C$102)</f>
        <v/>
      </c>
      <c r="ER102" s="11" t="str">
        <f ca="1">IF(History!EV$2="","",#REF!*$C$102)</f>
        <v/>
      </c>
      <c r="ES102" s="11" t="str">
        <f ca="1">IF(History!EW$2="","",#REF!*$C$102)</f>
        <v/>
      </c>
      <c r="ET102" s="11" t="str">
        <f ca="1">IF(History!EX$2="","",#REF!*$C$102)</f>
        <v/>
      </c>
      <c r="EU102" s="11" t="str">
        <f ca="1">IF(History!EY$2="","",#REF!*$C$102)</f>
        <v/>
      </c>
      <c r="EV102" s="11" t="str">
        <f ca="1">IF(History!EZ$2="","",#REF!*$C$102)</f>
        <v/>
      </c>
      <c r="EW102" s="11" t="str">
        <f ca="1">IF(History!FA$2="","",#REF!*$C$102)</f>
        <v/>
      </c>
      <c r="EX102" s="11" t="str">
        <f ca="1">IF(History!FB$2="","",#REF!*$C$102)</f>
        <v/>
      </c>
      <c r="EY102" s="11" t="str">
        <f ca="1">IF(History!FC$2="","",#REF!*$C$102)</f>
        <v/>
      </c>
      <c r="EZ102" s="11" t="str">
        <f ca="1">IF(History!FD$2="","",#REF!*$C$102)</f>
        <v/>
      </c>
      <c r="FA102" s="11" t="str">
        <f ca="1">IF(History!FE$2="","",#REF!*$C$102)</f>
        <v/>
      </c>
      <c r="FB102" s="11" t="str">
        <f ca="1">IF(History!FF$2="","",#REF!*$C$102)</f>
        <v/>
      </c>
      <c r="FC102" s="11" t="str">
        <f ca="1">IF(History!FG$2="","",#REF!*$C$102)</f>
        <v/>
      </c>
      <c r="FD102" s="11" t="str">
        <f ca="1">IF(History!FH$2="","",#REF!*$C$102)</f>
        <v/>
      </c>
      <c r="FE102" s="11" t="str">
        <f ca="1">IF(History!FI$2="","",#REF!*$C$102)</f>
        <v/>
      </c>
      <c r="FF102" s="11" t="str">
        <f ca="1">IF(History!FJ$2="","",#REF!*$C$102)</f>
        <v/>
      </c>
      <c r="FG102" s="11" t="str">
        <f ca="1">IF(History!FK$2="","",#REF!*$C$102)</f>
        <v/>
      </c>
      <c r="FH102" s="11" t="str">
        <f ca="1">IF(History!FL$2="","",#REF!*$C$102)</f>
        <v/>
      </c>
      <c r="FI102" s="11" t="str">
        <f ca="1">IF(History!FM$2="","",#REF!*$C$102)</f>
        <v/>
      </c>
      <c r="FJ102" s="11" t="str">
        <f ca="1">IF(History!FN$2="","",#REF!*$C$102)</f>
        <v/>
      </c>
      <c r="FK102" s="11" t="str">
        <f ca="1">IF(History!FO$2="","",#REF!*$C$102)</f>
        <v/>
      </c>
      <c r="FL102" s="11" t="str">
        <f ca="1">IF(History!FP$2="","",#REF!*$C$102)</f>
        <v/>
      </c>
      <c r="FM102" s="11" t="str">
        <f ca="1">IF(History!FQ$2="","",#REF!*$C$102)</f>
        <v/>
      </c>
      <c r="FN102" s="11" t="str">
        <f ca="1">IF(History!FR$2="","",#REF!*$C$102)</f>
        <v/>
      </c>
      <c r="FO102" s="11" t="str">
        <f ca="1">IF(History!FS$2="","",#REF!*$C$102)</f>
        <v/>
      </c>
      <c r="FP102" s="11" t="str">
        <f ca="1">IF(History!FT$2="","",#REF!*$C$102)</f>
        <v/>
      </c>
      <c r="FQ102" s="11" t="str">
        <f ca="1">IF(History!FU$2="","",#REF!*$C$102)</f>
        <v/>
      </c>
      <c r="FR102" s="11" t="str">
        <f ca="1">IF(History!FV$2="","",#REF!*$C$102)</f>
        <v/>
      </c>
      <c r="FS102" s="11" t="str">
        <f ca="1">IF(History!FW$2="","",#REF!*$C$102)</f>
        <v/>
      </c>
      <c r="FT102" s="11" t="str">
        <f ca="1">IF(History!FX$2="","",#REF!*$C$102)</f>
        <v/>
      </c>
      <c r="FU102" s="11" t="str">
        <f ca="1">IF(History!FY$2="","",#REF!*$C$102)</f>
        <v/>
      </c>
      <c r="FV102" s="11" t="str">
        <f ca="1">IF(History!FZ$2="","",#REF!*$C$102)</f>
        <v/>
      </c>
      <c r="FW102" s="11" t="str">
        <f ca="1">IF(History!GA$2="","",#REF!*$C$102)</f>
        <v/>
      </c>
      <c r="FX102" s="11" t="str">
        <f ca="1">IF(History!GB$2="","",#REF!*$C$102)</f>
        <v/>
      </c>
      <c r="FY102" s="11" t="str">
        <f ca="1">IF(History!GC$2="","",#REF!*$C$102)</f>
        <v/>
      </c>
      <c r="FZ102" s="11" t="str">
        <f ca="1">IF(History!GD$2="","",#REF!*$C$102)</f>
        <v/>
      </c>
      <c r="GA102" s="11" t="str">
        <f ca="1">IF(History!GE$2="","",#REF!*$C$102)</f>
        <v/>
      </c>
      <c r="GB102" s="11" t="str">
        <f ca="1">IF(History!GF$2="","",#REF!*$C$102)</f>
        <v/>
      </c>
      <c r="GC102" s="11" t="str">
        <f ca="1">IF(History!GG$2="","",#REF!*$C$102)</f>
        <v/>
      </c>
      <c r="GD102" s="11" t="str">
        <f ca="1">IF(History!GH$2="","",#REF!*$C$102)</f>
        <v/>
      </c>
      <c r="GE102" s="11" t="str">
        <f ca="1">IF(History!GI$2="","",#REF!*$C$102)</f>
        <v/>
      </c>
      <c r="GF102" s="11" t="str">
        <f ca="1">IF(History!GJ$2="","",#REF!*$C$102)</f>
        <v/>
      </c>
      <c r="GG102" s="11" t="str">
        <f ca="1">IF(History!GK$2="","",#REF!*$C$102)</f>
        <v/>
      </c>
      <c r="GH102" s="11" t="str">
        <f ca="1">IF(History!GL$2="","",#REF!*$C$102)</f>
        <v/>
      </c>
      <c r="GI102" s="11" t="str">
        <f ca="1">IF(History!GM$2="","",#REF!*$C$102)</f>
        <v/>
      </c>
      <c r="GJ102" s="11" t="str">
        <f ca="1">IF(History!GN$2="","",#REF!*$C$102)</f>
        <v/>
      </c>
      <c r="GK102" s="11" t="str">
        <f ca="1">IF(History!GO$2="","",#REF!*$C$102)</f>
        <v/>
      </c>
      <c r="GL102" s="11" t="str">
        <f ca="1">IF(History!GP$2="","",#REF!*$C$102)</f>
        <v/>
      </c>
      <c r="GM102" s="11" t="str">
        <f ca="1">IF(History!GQ$2="","",#REF!*$C$102)</f>
        <v/>
      </c>
      <c r="GN102" s="11" t="str">
        <f ca="1">IF(History!GR$2="","",#REF!*$C$102)</f>
        <v/>
      </c>
      <c r="GO102" s="11" t="str">
        <f ca="1">IF(History!GS$2="","",#REF!*$C$102)</f>
        <v/>
      </c>
      <c r="GP102" s="11" t="str">
        <f ca="1">IF(History!GT$2="","",#REF!*$C$102)</f>
        <v/>
      </c>
      <c r="GQ102" s="11" t="str">
        <f ca="1">IF(History!GU$2="","",#REF!*$C$102)</f>
        <v/>
      </c>
      <c r="GR102" s="11" t="str">
        <f ca="1">IF(History!GV$2="","",#REF!*$C$102)</f>
        <v/>
      </c>
      <c r="GS102" s="11" t="str">
        <f ca="1">IF(History!GW$2="","",#REF!*$C$102)</f>
        <v/>
      </c>
      <c r="GT102" s="11" t="str">
        <f ca="1">IF(History!GX$2="","",#REF!*$C$102)</f>
        <v/>
      </c>
      <c r="GU102" s="11" t="str">
        <f ca="1">IF(History!GY$2="","",#REF!*$C$102)</f>
        <v/>
      </c>
      <c r="GV102" s="11" t="str">
        <f ca="1">IF(History!GZ$2="","",#REF!*$C$102)</f>
        <v/>
      </c>
      <c r="GW102" s="11" t="str">
        <f ca="1">IF(History!HA$2="","",#REF!*$C$102)</f>
        <v/>
      </c>
      <c r="GX102" s="11" t="str">
        <f ca="1">IF(History!HB$2="","",#REF!*$C$102)</f>
        <v/>
      </c>
      <c r="GY102" s="11" t="str">
        <f ca="1">IF(History!HC$2="","",#REF!*$C$102)</f>
        <v/>
      </c>
      <c r="GZ102" s="11" t="str">
        <f ca="1">IF(History!HD$2="","",#REF!*$C$102)</f>
        <v/>
      </c>
      <c r="HA102" s="11" t="str">
        <f ca="1">IF(History!HE$2="","",#REF!*$C$102)</f>
        <v/>
      </c>
      <c r="HB102" s="11" t="str">
        <f ca="1">IF(History!HF$2="","",#REF!*$C$102)</f>
        <v/>
      </c>
      <c r="HC102" s="11" t="str">
        <f ca="1">IF(History!HG$2="","",#REF!*$C$102)</f>
        <v/>
      </c>
      <c r="HD102" s="11" t="str">
        <f ca="1">IF(History!HH$2="","",#REF!*$C$102)</f>
        <v/>
      </c>
      <c r="HE102" s="11" t="str">
        <f ca="1">IF(History!HI$2="","",#REF!*$C$102)</f>
        <v/>
      </c>
      <c r="HF102" s="11" t="str">
        <f ca="1">IF(History!HJ$2="","",#REF!*$C$102)</f>
        <v/>
      </c>
      <c r="HG102" s="11" t="str">
        <f ca="1">IF(History!HK$2="","",#REF!*$C$102)</f>
        <v/>
      </c>
      <c r="HH102" s="11" t="str">
        <f ca="1">IF(History!HL$2="","",#REF!*$C$102)</f>
        <v/>
      </c>
      <c r="HI102" s="11" t="str">
        <f ca="1">IF(History!HM$2="","",#REF!*$C$102)</f>
        <v/>
      </c>
      <c r="HJ102" s="11" t="str">
        <f ca="1">IF(History!HN$2="","",#REF!*$C$102)</f>
        <v/>
      </c>
      <c r="HK102" s="11" t="str">
        <f ca="1">IF(History!HO$2="","",#REF!*$C$102)</f>
        <v/>
      </c>
      <c r="HL102" s="11" t="str">
        <f ca="1">IF(History!HP$2="","",#REF!*$C$102)</f>
        <v/>
      </c>
      <c r="HM102" s="11" t="str">
        <f ca="1">IF(History!HQ$2="","",#REF!*$C$102)</f>
        <v/>
      </c>
      <c r="HN102" s="11" t="str">
        <f ca="1">IF(History!HR$2="","",#REF!*$C$102)</f>
        <v/>
      </c>
      <c r="HO102" s="11" t="str">
        <f ca="1">IF(History!HS$2="","",#REF!*$C$102)</f>
        <v/>
      </c>
      <c r="HP102" s="11" t="str">
        <f ca="1">IF(History!HT$2="","",#REF!*$C$102)</f>
        <v/>
      </c>
      <c r="HQ102" s="11" t="str">
        <f ca="1">IF(History!HU$2="","",#REF!*$C$102)</f>
        <v/>
      </c>
      <c r="HR102" s="11" t="str">
        <f ca="1">IF(History!HV$2="","",#REF!*$C$102)</f>
        <v/>
      </c>
      <c r="HS102" s="11" t="str">
        <f ca="1">IF(History!HW$2="","",#REF!*$C$102)</f>
        <v/>
      </c>
      <c r="HT102" s="11" t="str">
        <f ca="1">IF(History!HX$2="","",#REF!*$C$102)</f>
        <v/>
      </c>
      <c r="HU102" s="11" t="str">
        <f ca="1">IF(History!HY$2="","",#REF!*$C$102)</f>
        <v/>
      </c>
      <c r="HV102" s="11" t="str">
        <f ca="1">IF(History!HZ$2="","",#REF!*$C$102)</f>
        <v/>
      </c>
      <c r="HW102" s="11" t="str">
        <f ca="1">IF(History!IA$2="","",#REF!*$C$102)</f>
        <v/>
      </c>
      <c r="HX102" s="11" t="str">
        <f ca="1">IF(History!IB$2="","",#REF!*$C$102)</f>
        <v/>
      </c>
      <c r="HY102" s="11" t="str">
        <f ca="1">IF(History!IC$2="","",#REF!*$C$102)</f>
        <v/>
      </c>
      <c r="HZ102" s="11" t="str">
        <f ca="1">IF(History!ID$2="","",#REF!*$C$102)</f>
        <v/>
      </c>
      <c r="IA102" s="11" t="str">
        <f ca="1">IF(History!IE$2="","",#REF!*$C$102)</f>
        <v/>
      </c>
      <c r="IB102" s="11" t="str">
        <f ca="1">IF(History!IF$2="","",#REF!*$C$102)</f>
        <v/>
      </c>
      <c r="IC102" s="11" t="str">
        <f ca="1">IF(History!IG$2="","",#REF!*$C$102)</f>
        <v/>
      </c>
      <c r="ID102" s="11" t="str">
        <f ca="1">IF(History!IH$2="","",#REF!*$C$102)</f>
        <v/>
      </c>
      <c r="IE102" s="11" t="str">
        <f ca="1">IF(History!II$2="","",#REF!*$C$102)</f>
        <v/>
      </c>
      <c r="IF102" s="11" t="str">
        <f ca="1">IF(History!IJ$2="","",#REF!*$C$102)</f>
        <v/>
      </c>
      <c r="IG102" s="11" t="str">
        <f ca="1">IF(History!IK$2="","",#REF!*$C$102)</f>
        <v/>
      </c>
      <c r="IH102" s="11" t="str">
        <f ca="1">IF(History!IL$2="","",#REF!*$C$102)</f>
        <v/>
      </c>
      <c r="II102" s="11" t="str">
        <f ca="1">IF(History!IM$2="","",#REF!*$C$102)</f>
        <v/>
      </c>
      <c r="IJ102" s="11" t="str">
        <f ca="1">IF(History!IN$2="","",#REF!*$C$102)</f>
        <v/>
      </c>
      <c r="IK102" s="11" t="str">
        <f ca="1">IF(History!IO$2="","",#REF!*$C$102)</f>
        <v/>
      </c>
      <c r="IL102" s="11" t="str">
        <f ca="1">IF(History!IP$2="","",#REF!*$C$102)</f>
        <v/>
      </c>
      <c r="IM102" s="11" t="str">
        <f ca="1">IF(History!IQ$2="","",#REF!*$C$102)</f>
        <v/>
      </c>
      <c r="IN102" s="11" t="str">
        <f ca="1">IF(History!IR$2="","",#REF!*$C$102)</f>
        <v/>
      </c>
      <c r="IO102" s="11" t="str">
        <f ca="1">IF(History!IS$2="","",#REF!*$C$102)</f>
        <v/>
      </c>
      <c r="IP102" s="11" t="str">
        <f ca="1">IF(History!IT$2="","",#REF!*$C$102)</f>
        <v/>
      </c>
      <c r="IQ102" s="11" t="str">
        <f ca="1">IF(History!IU$2="","",#REF!*$C$102)</f>
        <v/>
      </c>
      <c r="IR102" s="11" t="str">
        <f ca="1">IF(History!IV$2="","",#REF!*$C$102)</f>
        <v/>
      </c>
      <c r="IS102" s="11" t="str">
        <f ca="1">IF(History!IW$2="","",#REF!*$C$102)</f>
        <v/>
      </c>
      <c r="IT102" s="11" t="str">
        <f ca="1">IF(History!IX$2="","",#REF!*$C$102)</f>
        <v/>
      </c>
      <c r="IU102" s="11" t="str">
        <f ca="1">IF(History!IY$2="","",#REF!*$C$102)</f>
        <v/>
      </c>
      <c r="IV102" s="11" t="str">
        <f ca="1">IF(History!IZ$2="","",#REF!*$C$102)</f>
        <v/>
      </c>
      <c r="IW102" s="11" t="str">
        <f ca="1">IF(History!JA$2="","",#REF!*$C$102)</f>
        <v/>
      </c>
      <c r="IX102" s="11" t="str">
        <f ca="1">IF(History!JB$2="","",#REF!*$C$102)</f>
        <v/>
      </c>
      <c r="IY102" s="11" t="str">
        <f ca="1">IF(History!JC$2="","",#REF!*$C$102)</f>
        <v/>
      </c>
      <c r="IZ102" s="11" t="str">
        <f ca="1">IF(History!JD$2="","",#REF!*$C$102)</f>
        <v/>
      </c>
      <c r="JA102" s="11" t="str">
        <f ca="1">IF(History!JE$2="","",#REF!*$C$102)</f>
        <v/>
      </c>
      <c r="JB102" s="11" t="str">
        <f ca="1">IF(History!JF$2="","",#REF!*$C$102)</f>
        <v/>
      </c>
      <c r="JC102" s="11" t="str">
        <f ca="1">IF(History!JG$2="","",#REF!*$C$102)</f>
        <v/>
      </c>
      <c r="JD102" s="11" t="str">
        <f ca="1">IF(History!JH$2="","",#REF!*$C$102)</f>
        <v/>
      </c>
      <c r="JE102" s="11" t="str">
        <f ca="1">IF(History!JI$2="","",#REF!*$C$102)</f>
        <v/>
      </c>
      <c r="JF102" s="11" t="str">
        <f ca="1">IF(History!JJ$2="","",#REF!*$C$102)</f>
        <v/>
      </c>
      <c r="JG102" s="11" t="str">
        <f ca="1">IF(History!JK$2="","",#REF!*$C$102)</f>
        <v/>
      </c>
      <c r="JH102" s="11" t="str">
        <f ca="1">IF(History!JL$2="","",#REF!*$C$102)</f>
        <v/>
      </c>
      <c r="JI102" s="11" t="str">
        <f ca="1">IF(History!JM$2="","",#REF!*$C$102)</f>
        <v/>
      </c>
      <c r="JJ102" s="11" t="str">
        <f ca="1">IF(History!JN$2="","",#REF!*$C$102)</f>
        <v/>
      </c>
      <c r="JK102" s="11" t="str">
        <f ca="1">IF(History!JO$2="","",#REF!*$C$102)</f>
        <v/>
      </c>
      <c r="JL102" s="11" t="str">
        <f ca="1">IF(History!JP$2="","",#REF!*$C$102)</f>
        <v/>
      </c>
      <c r="JM102" s="11" t="str">
        <f ca="1">IF(History!JQ$2="","",#REF!*$C$102)</f>
        <v/>
      </c>
      <c r="JN102" s="11" t="str">
        <f ca="1">IF(History!JR$2="","",#REF!*$C$102)</f>
        <v/>
      </c>
      <c r="JO102" s="11" t="str">
        <f ca="1">IF(History!JS$2="","",#REF!*$C$102)</f>
        <v/>
      </c>
      <c r="JP102" s="11" t="str">
        <f ca="1">IF(History!JT$2="","",#REF!*$C$102)</f>
        <v/>
      </c>
      <c r="JQ102" s="11" t="str">
        <f ca="1">IF(History!JU$2="","",#REF!*$C$102)</f>
        <v/>
      </c>
      <c r="JR102" s="11" t="str">
        <f ca="1">IF(History!JV$2="","",#REF!*$C$102)</f>
        <v/>
      </c>
      <c r="JS102" s="11" t="str">
        <f ca="1">IF(History!JW$2="","",#REF!*$C$102)</f>
        <v/>
      </c>
      <c r="JT102" s="11" t="str">
        <f ca="1">IF(History!JX$2="","",#REF!*$C$102)</f>
        <v/>
      </c>
      <c r="JU102" s="11" t="str">
        <f ca="1">IF(History!JY$2="","",#REF!*$C$102)</f>
        <v/>
      </c>
      <c r="JV102" s="11" t="str">
        <f ca="1">IF(History!JZ$2="","",#REF!*$C$102)</f>
        <v/>
      </c>
      <c r="JW102" s="11" t="str">
        <f ca="1">IF(History!KA$2="","",#REF!*$C$102)</f>
        <v/>
      </c>
      <c r="JX102" s="11" t="str">
        <f ca="1">IF(History!KB$2="","",#REF!*$C$102)</f>
        <v/>
      </c>
      <c r="JY102" s="11" t="str">
        <f ca="1">IF(History!KC$2="","",#REF!*$C$102)</f>
        <v/>
      </c>
      <c r="JZ102" s="11" t="str">
        <f ca="1">IF(History!KD$2="","",#REF!*$C$102)</f>
        <v/>
      </c>
      <c r="KA102" s="11" t="str">
        <f ca="1">IF(History!KE$2="","",#REF!*$C$102)</f>
        <v/>
      </c>
      <c r="KB102" s="11" t="str">
        <f ca="1">IF(History!KF$2="","",#REF!*$C$102)</f>
        <v/>
      </c>
    </row>
    <row r="103" spans="1:288" ht="13">
      <c r="A103" s="18" t="s">
        <v>140</v>
      </c>
      <c r="B103" s="6" t="s">
        <v>179</v>
      </c>
      <c r="C103" s="26">
        <v>9</v>
      </c>
      <c r="D103" s="11" t="e">
        <f ca="1">IF(History!H$2="","",#REF!*$C$103)</f>
        <v>#REF!</v>
      </c>
      <c r="E103" s="11" t="e">
        <f ca="1">IF(History!I$2="","",#REF!*$C$103)</f>
        <v>#REF!</v>
      </c>
      <c r="F103" s="11" t="e">
        <f ca="1">IF(History!J$2="","",#REF!*$C$103)</f>
        <v>#REF!</v>
      </c>
      <c r="G103" s="11" t="e">
        <f ca="1">IF(History!K$2="","",#REF!*$C$103)</f>
        <v>#REF!</v>
      </c>
      <c r="H103" s="11" t="e">
        <f ca="1">IF(History!L$2="","",#REF!*$C$103)</f>
        <v>#REF!</v>
      </c>
      <c r="I103" s="11" t="e">
        <f ca="1">IF(History!M$2="","",#REF!*$C$103)</f>
        <v>#REF!</v>
      </c>
      <c r="J103" s="11" t="e">
        <f ca="1">IF(History!N$2="","",#REF!*$C$103)</f>
        <v>#REF!</v>
      </c>
      <c r="K103" s="11" t="e">
        <f ca="1">IF(History!O$2="","",#REF!*$C$103)</f>
        <v>#REF!</v>
      </c>
      <c r="L103" s="11" t="e">
        <f ca="1">IF(History!P$2="","",#REF!*$C$103)</f>
        <v>#REF!</v>
      </c>
      <c r="M103" s="11" t="e">
        <f ca="1">IF(History!Q$2="","",#REF!*$C$103)</f>
        <v>#REF!</v>
      </c>
      <c r="N103" s="11" t="e">
        <f ca="1">IF(History!R$2="","",#REF!*$C$103)</f>
        <v>#REF!</v>
      </c>
      <c r="O103" s="11" t="e">
        <f ca="1">IF(History!S$2="","",#REF!*$C$103)</f>
        <v>#REF!</v>
      </c>
      <c r="P103" s="11" t="e">
        <f ca="1">IF(History!T$2="","",#REF!*$C$103)</f>
        <v>#REF!</v>
      </c>
      <c r="Q103" s="11" t="e">
        <f ca="1">IF(History!U$2="","",#REF!*$C$103)</f>
        <v>#REF!</v>
      </c>
      <c r="R103" s="11" t="e">
        <f ca="1">IF(History!V$2="","",#REF!*$C$103)</f>
        <v>#REF!</v>
      </c>
      <c r="S103" s="11" t="e">
        <f ca="1">IF(History!W$2="","",#REF!*$C$103)</f>
        <v>#REF!</v>
      </c>
      <c r="T103" s="11" t="e">
        <f ca="1">IF(History!X$2="","",#REF!*$C$103)</f>
        <v>#REF!</v>
      </c>
      <c r="U103" s="11" t="e">
        <f ca="1">IF(History!Y$2="","",#REF!*$C$103)</f>
        <v>#REF!</v>
      </c>
      <c r="V103" s="11" t="e">
        <f ca="1">IF(History!Z$2="","",#REF!*$C$103)</f>
        <v>#REF!</v>
      </c>
      <c r="W103" s="11" t="e">
        <f ca="1">IF(History!AA$2="","",#REF!*$C$103)</f>
        <v>#REF!</v>
      </c>
      <c r="X103" s="11" t="e">
        <f ca="1">IF(History!AB$2="","",#REF!*$C$103)</f>
        <v>#REF!</v>
      </c>
      <c r="Y103" s="11" t="e">
        <f ca="1">IF(History!AC$2="","",#REF!*$C$103)</f>
        <v>#REF!</v>
      </c>
      <c r="Z103" s="11" t="e">
        <f ca="1">IF(History!AD$2="","",#REF!*$C$103)</f>
        <v>#REF!</v>
      </c>
      <c r="AA103" s="11" t="e">
        <f ca="1">IF(History!AE$2="","",#REF!*$C$103)</f>
        <v>#REF!</v>
      </c>
      <c r="AB103" s="11" t="e">
        <f ca="1">IF(History!AF$2="","",#REF!*$C$103)</f>
        <v>#REF!</v>
      </c>
      <c r="AC103" s="11" t="e">
        <f ca="1">IF(History!AG$2="","",#REF!*$C$103)</f>
        <v>#REF!</v>
      </c>
      <c r="AD103" s="11" t="e">
        <f ca="1">IF(History!AH$2="","",#REF!*$C$103)</f>
        <v>#REF!</v>
      </c>
      <c r="AE103" s="11" t="e">
        <f ca="1">IF(History!AI$2="","",#REF!*$C$103)</f>
        <v>#REF!</v>
      </c>
      <c r="AF103" s="11" t="e">
        <f ca="1">IF(History!AJ$2="","",#REF!*$C$103)</f>
        <v>#REF!</v>
      </c>
      <c r="AG103" s="11" t="e">
        <f ca="1">IF(History!AK$2="","",#REF!*$C$103)</f>
        <v>#REF!</v>
      </c>
      <c r="AH103" s="11" t="e">
        <f ca="1">IF(History!AL$2="","",#REF!*$C$103)</f>
        <v>#REF!</v>
      </c>
      <c r="AI103" s="11" t="e">
        <f ca="1">IF(History!AM$2="","",#REF!*$C$103)</f>
        <v>#REF!</v>
      </c>
      <c r="AJ103" s="11" t="e">
        <f ca="1">IF(History!AN$2="","",#REF!*$C$103)</f>
        <v>#REF!</v>
      </c>
      <c r="AK103" s="11" t="e">
        <f ca="1">IF(History!AO$2="","",#REF!*$C$103)</f>
        <v>#REF!</v>
      </c>
      <c r="AL103" s="11" t="e">
        <f ca="1">IF(History!AP$2="","",#REF!*$C$103)</f>
        <v>#REF!</v>
      </c>
      <c r="AM103" s="11" t="e">
        <f ca="1">IF(History!AQ$2="","",#REF!*$C$103)</f>
        <v>#REF!</v>
      </c>
      <c r="AN103" s="11" t="e">
        <f ca="1">IF(History!AR$2="","",#REF!*$C$103)</f>
        <v>#REF!</v>
      </c>
      <c r="AO103" s="11" t="e">
        <f ca="1">IF(History!AS$2="","",#REF!*$C$103)</f>
        <v>#REF!</v>
      </c>
      <c r="AP103" s="11" t="e">
        <f ca="1">IF(History!AT$2="","",#REF!*$C$103)</f>
        <v>#REF!</v>
      </c>
      <c r="AQ103" s="11" t="e">
        <f ca="1">IF(History!AU$2="","",#REF!*$C$103)</f>
        <v>#REF!</v>
      </c>
      <c r="AR103" s="11" t="e">
        <f ca="1">IF(History!AV$2="","",#REF!*$C$103)</f>
        <v>#REF!</v>
      </c>
      <c r="AS103" s="11" t="e">
        <f ca="1">IF(History!AW$2="","",#REF!*$C$103)</f>
        <v>#REF!</v>
      </c>
      <c r="AT103" s="11" t="e">
        <f ca="1">IF(History!AX$2="","",#REF!*$C$103)</f>
        <v>#REF!</v>
      </c>
      <c r="AU103" s="11" t="e">
        <f ca="1">IF(History!AY$2="","",#REF!*$C$103)</f>
        <v>#REF!</v>
      </c>
      <c r="AV103" s="11" t="e">
        <f ca="1">IF(History!AZ$2="","",#REF!*$C$103)</f>
        <v>#REF!</v>
      </c>
      <c r="AW103" s="11" t="e">
        <f ca="1">IF(History!BA$2="","",#REF!*$C$103)</f>
        <v>#REF!</v>
      </c>
      <c r="AX103" s="11" t="e">
        <f ca="1">IF(History!BB$2="","",#REF!*$C$103)</f>
        <v>#REF!</v>
      </c>
      <c r="AY103" s="11" t="e">
        <f ca="1">IF(History!BC$2="","",#REF!*$C$103)</f>
        <v>#REF!</v>
      </c>
      <c r="AZ103" s="11" t="e">
        <f ca="1">IF(History!BD$2="","",#REF!*$C$103)</f>
        <v>#REF!</v>
      </c>
      <c r="BA103" s="11" t="e">
        <f ca="1">IF(History!BE$2="","",#REF!*$C$103)</f>
        <v>#REF!</v>
      </c>
      <c r="BB103" s="11" t="e">
        <f ca="1">IF(History!BF$2="","",#REF!*$C$103)</f>
        <v>#REF!</v>
      </c>
      <c r="BC103" s="11" t="e">
        <f ca="1">IF(History!BG$2="","",#REF!*$C$103)</f>
        <v>#REF!</v>
      </c>
      <c r="BD103" s="11" t="e">
        <f ca="1">IF(History!BH$2="","",#REF!*$C$103)</f>
        <v>#REF!</v>
      </c>
      <c r="BE103" s="11" t="e">
        <f ca="1">IF(History!BI$2="","",#REF!*$C$103)</f>
        <v>#REF!</v>
      </c>
      <c r="BF103" s="11" t="e">
        <f ca="1">IF(History!BJ$2="","",#REF!*$C$103)</f>
        <v>#REF!</v>
      </c>
      <c r="BG103" s="11" t="e">
        <f ca="1">IF(History!BK$2="","",#REF!*$C$103)</f>
        <v>#REF!</v>
      </c>
      <c r="BH103" s="11" t="e">
        <f ca="1">IF(History!BL$2="","",#REF!*$C$103)</f>
        <v>#REF!</v>
      </c>
      <c r="BI103" s="11" t="e">
        <f ca="1">IF(History!BM$2="","",#REF!*$C$103)</f>
        <v>#REF!</v>
      </c>
      <c r="BJ103" s="11" t="e">
        <f ca="1">IF(History!BN$2="","",#REF!*$C$103)</f>
        <v>#REF!</v>
      </c>
      <c r="BK103" s="11" t="e">
        <f ca="1">IF(History!BO$2="","",#REF!*$C$103)</f>
        <v>#REF!</v>
      </c>
      <c r="BL103" s="11" t="e">
        <f ca="1">IF(History!BP$2="","",#REF!*$C$103)</f>
        <v>#REF!</v>
      </c>
      <c r="BM103" s="11" t="e">
        <f ca="1">IF(History!BQ$2="","",#REF!*$C$103)</f>
        <v>#REF!</v>
      </c>
      <c r="BN103" s="11" t="e">
        <f ca="1">IF(History!BR$2="","",#REF!*$C$103)</f>
        <v>#REF!</v>
      </c>
      <c r="BO103" s="11" t="e">
        <f ca="1">IF(History!BS$2="","",#REF!*$C$103)</f>
        <v>#REF!</v>
      </c>
      <c r="BP103" s="11" t="e">
        <f ca="1">IF(History!BT$2="","",#REF!*$C$103)</f>
        <v>#REF!</v>
      </c>
      <c r="BQ103" s="11" t="e">
        <f ca="1">IF(History!BU$2="","",#REF!*$C$103)</f>
        <v>#REF!</v>
      </c>
      <c r="BR103" s="11" t="e">
        <f ca="1">IF(History!BV$2="","",#REF!*$C$103)</f>
        <v>#REF!</v>
      </c>
      <c r="BS103" s="11" t="e">
        <f ca="1">IF(History!BW$2="","",#REF!*$C$103)</f>
        <v>#REF!</v>
      </c>
      <c r="BT103" s="11" t="e">
        <f ca="1">IF(History!BX$2="","",#REF!*$C$103)</f>
        <v>#REF!</v>
      </c>
      <c r="BU103" s="11" t="e">
        <f ca="1">IF(History!BY$2="","",#REF!*$C$103)</f>
        <v>#REF!</v>
      </c>
      <c r="BV103" s="11" t="e">
        <f ca="1">IF(History!BZ$2="","",#REF!*$C$103)</f>
        <v>#REF!</v>
      </c>
      <c r="BW103" s="11" t="e">
        <f ca="1">IF(History!CA$2="","",#REF!*$C$103)</f>
        <v>#REF!</v>
      </c>
      <c r="BX103" s="11" t="e">
        <f ca="1">IF(History!CB$2="","",#REF!*$C$103)</f>
        <v>#REF!</v>
      </c>
      <c r="BY103" s="11" t="e">
        <f ca="1">IF(History!CC$2="","",#REF!*$C$103)</f>
        <v>#REF!</v>
      </c>
      <c r="BZ103" s="11" t="e">
        <f ca="1">IF(History!CD$2="","",#REF!*$C$103)</f>
        <v>#REF!</v>
      </c>
      <c r="CA103" s="11" t="e">
        <f ca="1">IF(History!CE$2="","",#REF!*$C$103)</f>
        <v>#REF!</v>
      </c>
      <c r="CB103" s="11" t="e">
        <f ca="1">IF(History!CF$2="","",#REF!*$C$103)</f>
        <v>#REF!</v>
      </c>
      <c r="CC103" s="11" t="e">
        <f ca="1">IF(History!CG$2="","",#REF!*$C$103)</f>
        <v>#REF!</v>
      </c>
      <c r="CD103" s="11" t="e">
        <f ca="1">IF(History!CH$2="","",#REF!*$C$103)</f>
        <v>#REF!</v>
      </c>
      <c r="CE103" s="11" t="e">
        <f ca="1">IF(History!CI$2="","",#REF!*$C$103)</f>
        <v>#REF!</v>
      </c>
      <c r="CF103" s="11" t="str">
        <f ca="1">IF(History!CJ$2="","",#REF!*$C$103)</f>
        <v/>
      </c>
      <c r="CG103" s="11" t="str">
        <f ca="1">IF(History!CK$2="","",#REF!*$C$103)</f>
        <v/>
      </c>
      <c r="CH103" s="11" t="str">
        <f ca="1">IF(History!CL$2="","",#REF!*$C$103)</f>
        <v/>
      </c>
      <c r="CI103" s="11" t="str">
        <f ca="1">IF(History!CM$2="","",#REF!*$C$103)</f>
        <v/>
      </c>
      <c r="CJ103" s="11" t="str">
        <f ca="1">IF(History!CN$2="","",#REF!*$C$103)</f>
        <v/>
      </c>
      <c r="CK103" s="11" t="str">
        <f ca="1">IF(History!CO$2="","",#REF!*$C$103)</f>
        <v/>
      </c>
      <c r="CL103" s="11" t="str">
        <f ca="1">IF(History!CP$2="","",#REF!*$C$103)</f>
        <v/>
      </c>
      <c r="CM103" s="11" t="str">
        <f ca="1">IF(History!CQ$2="","",#REF!*$C$103)</f>
        <v/>
      </c>
      <c r="CN103" s="11" t="str">
        <f ca="1">IF(History!CR$2="","",#REF!*$C$103)</f>
        <v/>
      </c>
      <c r="CO103" s="11" t="str">
        <f ca="1">IF(History!CS$2="","",#REF!*$C$103)</f>
        <v/>
      </c>
      <c r="CP103" s="11" t="str">
        <f ca="1">IF(History!CT$2="","",#REF!*$C$103)</f>
        <v/>
      </c>
      <c r="CQ103" s="11" t="str">
        <f ca="1">IF(History!CU$2="","",#REF!*$C$103)</f>
        <v/>
      </c>
      <c r="CR103" s="11" t="str">
        <f ca="1">IF(History!CV$2="","",#REF!*$C$103)</f>
        <v/>
      </c>
      <c r="CS103" s="11" t="str">
        <f ca="1">IF(History!CW$2="","",#REF!*$C$103)</f>
        <v/>
      </c>
      <c r="CT103" s="11" t="str">
        <f ca="1">IF(History!CX$2="","",#REF!*$C$103)</f>
        <v/>
      </c>
      <c r="CU103" s="11" t="str">
        <f ca="1">IF(History!CY$2="","",#REF!*$C$103)</f>
        <v/>
      </c>
      <c r="CV103" s="11" t="str">
        <f ca="1">IF(History!CZ$2="","",#REF!*$C$103)</f>
        <v/>
      </c>
      <c r="CW103" s="11" t="str">
        <f ca="1">IF(History!DA$2="","",#REF!*$C$103)</f>
        <v/>
      </c>
      <c r="CX103" s="11" t="str">
        <f ca="1">IF(History!DB$2="","",#REF!*$C$103)</f>
        <v/>
      </c>
      <c r="CY103" s="11" t="str">
        <f ca="1">IF(History!DC$2="","",#REF!*$C$103)</f>
        <v/>
      </c>
      <c r="CZ103" s="11" t="str">
        <f ca="1">IF(History!DD$2="","",#REF!*$C$103)</f>
        <v/>
      </c>
      <c r="DA103" s="11" t="str">
        <f ca="1">IF(History!DE$2="","",#REF!*$C$103)</f>
        <v/>
      </c>
      <c r="DB103" s="11" t="str">
        <f ca="1">IF(History!DF$2="","",#REF!*$C$103)</f>
        <v/>
      </c>
      <c r="DC103" s="11" t="str">
        <f ca="1">IF(History!DG$2="","",#REF!*$C$103)</f>
        <v/>
      </c>
      <c r="DD103" s="11" t="str">
        <f ca="1">IF(History!DH$2="","",#REF!*$C$103)</f>
        <v/>
      </c>
      <c r="DE103" s="11" t="str">
        <f ca="1">IF(History!DI$2="","",#REF!*$C$103)</f>
        <v/>
      </c>
      <c r="DF103" s="11" t="str">
        <f ca="1">IF(History!DJ$2="","",#REF!*$C$103)</f>
        <v/>
      </c>
      <c r="DG103" s="11" t="str">
        <f ca="1">IF(History!DK$2="","",#REF!*$C$103)</f>
        <v/>
      </c>
      <c r="DH103" s="11" t="str">
        <f ca="1">IF(History!DL$2="","",#REF!*$C$103)</f>
        <v/>
      </c>
      <c r="DI103" s="11" t="str">
        <f ca="1">IF(History!DM$2="","",#REF!*$C$103)</f>
        <v/>
      </c>
      <c r="DJ103" s="11" t="str">
        <f ca="1">IF(History!DN$2="","",#REF!*$C$103)</f>
        <v/>
      </c>
      <c r="DK103" s="11" t="str">
        <f ca="1">IF(History!DO$2="","",#REF!*$C$103)</f>
        <v/>
      </c>
      <c r="DL103" s="11" t="str">
        <f ca="1">IF(History!DP$2="","",#REF!*$C$103)</f>
        <v/>
      </c>
      <c r="DM103" s="11" t="str">
        <f ca="1">IF(History!DQ$2="","",#REF!*$C$103)</f>
        <v/>
      </c>
      <c r="DN103" s="11" t="str">
        <f ca="1">IF(History!DR$2="","",#REF!*$C$103)</f>
        <v/>
      </c>
      <c r="DO103" s="11" t="str">
        <f ca="1">IF(History!DS$2="","",#REF!*$C$103)</f>
        <v/>
      </c>
      <c r="DP103" s="11" t="str">
        <f ca="1">IF(History!DT$2="","",#REF!*$C$103)</f>
        <v/>
      </c>
      <c r="DQ103" s="11" t="str">
        <f ca="1">IF(History!DU$2="","",#REF!*$C$103)</f>
        <v/>
      </c>
      <c r="DR103" s="11" t="str">
        <f ca="1">IF(History!DV$2="","",#REF!*$C$103)</f>
        <v/>
      </c>
      <c r="DS103" s="11" t="str">
        <f ca="1">IF(History!DW$2="","",#REF!*$C$103)</f>
        <v/>
      </c>
      <c r="DT103" s="11" t="str">
        <f ca="1">IF(History!DX$2="","",#REF!*$C$103)</f>
        <v/>
      </c>
      <c r="DU103" s="11" t="str">
        <f ca="1">IF(History!DY$2="","",#REF!*$C$103)</f>
        <v/>
      </c>
      <c r="DV103" s="11" t="str">
        <f ca="1">IF(History!DZ$2="","",#REF!*$C$103)</f>
        <v/>
      </c>
      <c r="DW103" s="11" t="str">
        <f ca="1">IF(History!EA$2="","",#REF!*$C$103)</f>
        <v/>
      </c>
      <c r="DX103" s="11" t="str">
        <f ca="1">IF(History!EB$2="","",#REF!*$C$103)</f>
        <v/>
      </c>
      <c r="DY103" s="11" t="str">
        <f ca="1">IF(History!EC$2="","",#REF!*$C$103)</f>
        <v/>
      </c>
      <c r="DZ103" s="11" t="str">
        <f ca="1">IF(History!ED$2="","",#REF!*$C$103)</f>
        <v/>
      </c>
      <c r="EA103" s="11" t="str">
        <f ca="1">IF(History!EE$2="","",#REF!*$C$103)</f>
        <v/>
      </c>
      <c r="EB103" s="11" t="str">
        <f ca="1">IF(History!EF$2="","",#REF!*$C$103)</f>
        <v/>
      </c>
      <c r="EC103" s="11" t="str">
        <f ca="1">IF(History!EG$2="","",#REF!*$C$103)</f>
        <v/>
      </c>
      <c r="ED103" s="11" t="str">
        <f ca="1">IF(History!EH$2="","",#REF!*$C$103)</f>
        <v/>
      </c>
      <c r="EE103" s="11" t="str">
        <f ca="1">IF(History!EI$2="","",#REF!*$C$103)</f>
        <v/>
      </c>
      <c r="EF103" s="11" t="str">
        <f ca="1">IF(History!EJ$2="","",#REF!*$C$103)</f>
        <v/>
      </c>
      <c r="EG103" s="11" t="str">
        <f ca="1">IF(History!EK$2="","",#REF!*$C$103)</f>
        <v/>
      </c>
      <c r="EH103" s="11" t="str">
        <f ca="1">IF(History!EL$2="","",#REF!*$C$103)</f>
        <v/>
      </c>
      <c r="EI103" s="11" t="str">
        <f ca="1">IF(History!EM$2="","",#REF!*$C$103)</f>
        <v/>
      </c>
      <c r="EJ103" s="11" t="str">
        <f ca="1">IF(History!EN$2="","",#REF!*$C$103)</f>
        <v/>
      </c>
      <c r="EK103" s="11" t="str">
        <f ca="1">IF(History!EO$2="","",#REF!*$C$103)</f>
        <v/>
      </c>
      <c r="EL103" s="11" t="str">
        <f ca="1">IF(History!EP$2="","",#REF!*$C$103)</f>
        <v/>
      </c>
      <c r="EM103" s="11" t="str">
        <f ca="1">IF(History!EQ$2="","",#REF!*$C$103)</f>
        <v/>
      </c>
      <c r="EN103" s="11" t="str">
        <f ca="1">IF(History!ER$2="","",#REF!*$C$103)</f>
        <v/>
      </c>
      <c r="EO103" s="11" t="str">
        <f ca="1">IF(History!ES$2="","",#REF!*$C$103)</f>
        <v/>
      </c>
      <c r="EP103" s="11" t="str">
        <f ca="1">IF(History!ET$2="","",#REF!*$C$103)</f>
        <v/>
      </c>
      <c r="EQ103" s="11" t="str">
        <f ca="1">IF(History!EU$2="","",#REF!*$C$103)</f>
        <v/>
      </c>
      <c r="ER103" s="11" t="str">
        <f ca="1">IF(History!EV$2="","",#REF!*$C$103)</f>
        <v/>
      </c>
      <c r="ES103" s="11" t="str">
        <f ca="1">IF(History!EW$2="","",#REF!*$C$103)</f>
        <v/>
      </c>
      <c r="ET103" s="11" t="str">
        <f ca="1">IF(History!EX$2="","",#REF!*$C$103)</f>
        <v/>
      </c>
      <c r="EU103" s="11" t="str">
        <f ca="1">IF(History!EY$2="","",#REF!*$C$103)</f>
        <v/>
      </c>
      <c r="EV103" s="11" t="str">
        <f ca="1">IF(History!EZ$2="","",#REF!*$C$103)</f>
        <v/>
      </c>
      <c r="EW103" s="11" t="str">
        <f ca="1">IF(History!FA$2="","",#REF!*$C$103)</f>
        <v/>
      </c>
      <c r="EX103" s="11" t="str">
        <f ca="1">IF(History!FB$2="","",#REF!*$C$103)</f>
        <v/>
      </c>
      <c r="EY103" s="11" t="str">
        <f ca="1">IF(History!FC$2="","",#REF!*$C$103)</f>
        <v/>
      </c>
      <c r="EZ103" s="11" t="str">
        <f ca="1">IF(History!FD$2="","",#REF!*$C$103)</f>
        <v/>
      </c>
      <c r="FA103" s="11" t="str">
        <f ca="1">IF(History!FE$2="","",#REF!*$C$103)</f>
        <v/>
      </c>
      <c r="FB103" s="11" t="str">
        <f ca="1">IF(History!FF$2="","",#REF!*$C$103)</f>
        <v/>
      </c>
      <c r="FC103" s="11" t="str">
        <f ca="1">IF(History!FG$2="","",#REF!*$C$103)</f>
        <v/>
      </c>
      <c r="FD103" s="11" t="str">
        <f ca="1">IF(History!FH$2="","",#REF!*$C$103)</f>
        <v/>
      </c>
      <c r="FE103" s="11" t="str">
        <f ca="1">IF(History!FI$2="","",#REF!*$C$103)</f>
        <v/>
      </c>
      <c r="FF103" s="11" t="str">
        <f ca="1">IF(History!FJ$2="","",#REF!*$C$103)</f>
        <v/>
      </c>
      <c r="FG103" s="11" t="str">
        <f ca="1">IF(History!FK$2="","",#REF!*$C$103)</f>
        <v/>
      </c>
      <c r="FH103" s="11" t="str">
        <f ca="1">IF(History!FL$2="","",#REF!*$C$103)</f>
        <v/>
      </c>
      <c r="FI103" s="11" t="str">
        <f ca="1">IF(History!FM$2="","",#REF!*$C$103)</f>
        <v/>
      </c>
      <c r="FJ103" s="11" t="str">
        <f ca="1">IF(History!FN$2="","",#REF!*$C$103)</f>
        <v/>
      </c>
      <c r="FK103" s="11" t="str">
        <f ca="1">IF(History!FO$2="","",#REF!*$C$103)</f>
        <v/>
      </c>
      <c r="FL103" s="11" t="str">
        <f ca="1">IF(History!FP$2="","",#REF!*$C$103)</f>
        <v/>
      </c>
      <c r="FM103" s="11" t="str">
        <f ca="1">IF(History!FQ$2="","",#REF!*$C$103)</f>
        <v/>
      </c>
      <c r="FN103" s="11" t="str">
        <f ca="1">IF(History!FR$2="","",#REF!*$C$103)</f>
        <v/>
      </c>
      <c r="FO103" s="11" t="str">
        <f ca="1">IF(History!FS$2="","",#REF!*$C$103)</f>
        <v/>
      </c>
      <c r="FP103" s="11" t="str">
        <f ca="1">IF(History!FT$2="","",#REF!*$C$103)</f>
        <v/>
      </c>
      <c r="FQ103" s="11" t="str">
        <f ca="1">IF(History!FU$2="","",#REF!*$C$103)</f>
        <v/>
      </c>
      <c r="FR103" s="11" t="str">
        <f ca="1">IF(History!FV$2="","",#REF!*$C$103)</f>
        <v/>
      </c>
      <c r="FS103" s="11" t="str">
        <f ca="1">IF(History!FW$2="","",#REF!*$C$103)</f>
        <v/>
      </c>
      <c r="FT103" s="11" t="str">
        <f ca="1">IF(History!FX$2="","",#REF!*$C$103)</f>
        <v/>
      </c>
      <c r="FU103" s="11" t="str">
        <f ca="1">IF(History!FY$2="","",#REF!*$C$103)</f>
        <v/>
      </c>
      <c r="FV103" s="11" t="str">
        <f ca="1">IF(History!FZ$2="","",#REF!*$C$103)</f>
        <v/>
      </c>
      <c r="FW103" s="11" t="str">
        <f ca="1">IF(History!GA$2="","",#REF!*$C$103)</f>
        <v/>
      </c>
      <c r="FX103" s="11" t="str">
        <f ca="1">IF(History!GB$2="","",#REF!*$C$103)</f>
        <v/>
      </c>
      <c r="FY103" s="11" t="str">
        <f ca="1">IF(History!GC$2="","",#REF!*$C$103)</f>
        <v/>
      </c>
      <c r="FZ103" s="11" t="str">
        <f ca="1">IF(History!GD$2="","",#REF!*$C$103)</f>
        <v/>
      </c>
      <c r="GA103" s="11" t="str">
        <f ca="1">IF(History!GE$2="","",#REF!*$C$103)</f>
        <v/>
      </c>
      <c r="GB103" s="11" t="str">
        <f ca="1">IF(History!GF$2="","",#REF!*$C$103)</f>
        <v/>
      </c>
      <c r="GC103" s="11" t="str">
        <f ca="1">IF(History!GG$2="","",#REF!*$C$103)</f>
        <v/>
      </c>
      <c r="GD103" s="11" t="str">
        <f ca="1">IF(History!GH$2="","",#REF!*$C$103)</f>
        <v/>
      </c>
      <c r="GE103" s="11" t="str">
        <f ca="1">IF(History!GI$2="","",#REF!*$C$103)</f>
        <v/>
      </c>
      <c r="GF103" s="11" t="str">
        <f ca="1">IF(History!GJ$2="","",#REF!*$C$103)</f>
        <v/>
      </c>
      <c r="GG103" s="11" t="str">
        <f ca="1">IF(History!GK$2="","",#REF!*$C$103)</f>
        <v/>
      </c>
      <c r="GH103" s="11" t="str">
        <f ca="1">IF(History!GL$2="","",#REF!*$C$103)</f>
        <v/>
      </c>
      <c r="GI103" s="11" t="str">
        <f ca="1">IF(History!GM$2="","",#REF!*$C$103)</f>
        <v/>
      </c>
      <c r="GJ103" s="11" t="str">
        <f ca="1">IF(History!GN$2="","",#REF!*$C$103)</f>
        <v/>
      </c>
      <c r="GK103" s="11" t="str">
        <f ca="1">IF(History!GO$2="","",#REF!*$C$103)</f>
        <v/>
      </c>
      <c r="GL103" s="11" t="str">
        <f ca="1">IF(History!GP$2="","",#REF!*$C$103)</f>
        <v/>
      </c>
      <c r="GM103" s="11" t="str">
        <f ca="1">IF(History!GQ$2="","",#REF!*$C$103)</f>
        <v/>
      </c>
      <c r="GN103" s="11" t="str">
        <f ca="1">IF(History!GR$2="","",#REF!*$C$103)</f>
        <v/>
      </c>
      <c r="GO103" s="11" t="str">
        <f ca="1">IF(History!GS$2="","",#REF!*$C$103)</f>
        <v/>
      </c>
      <c r="GP103" s="11" t="str">
        <f ca="1">IF(History!GT$2="","",#REF!*$C$103)</f>
        <v/>
      </c>
      <c r="GQ103" s="11" t="str">
        <f ca="1">IF(History!GU$2="","",#REF!*$C$103)</f>
        <v/>
      </c>
      <c r="GR103" s="11" t="str">
        <f ca="1">IF(History!GV$2="","",#REF!*$C$103)</f>
        <v/>
      </c>
      <c r="GS103" s="11" t="str">
        <f ca="1">IF(History!GW$2="","",#REF!*$C$103)</f>
        <v/>
      </c>
      <c r="GT103" s="11" t="str">
        <f ca="1">IF(History!GX$2="","",#REF!*$C$103)</f>
        <v/>
      </c>
      <c r="GU103" s="11" t="str">
        <f ca="1">IF(History!GY$2="","",#REF!*$C$103)</f>
        <v/>
      </c>
      <c r="GV103" s="11" t="str">
        <f ca="1">IF(History!GZ$2="","",#REF!*$C$103)</f>
        <v/>
      </c>
      <c r="GW103" s="11" t="str">
        <f ca="1">IF(History!HA$2="","",#REF!*$C$103)</f>
        <v/>
      </c>
      <c r="GX103" s="11" t="str">
        <f ca="1">IF(History!HB$2="","",#REF!*$C$103)</f>
        <v/>
      </c>
      <c r="GY103" s="11" t="str">
        <f ca="1">IF(History!HC$2="","",#REF!*$C$103)</f>
        <v/>
      </c>
      <c r="GZ103" s="11" t="str">
        <f ca="1">IF(History!HD$2="","",#REF!*$C$103)</f>
        <v/>
      </c>
      <c r="HA103" s="11" t="str">
        <f ca="1">IF(History!HE$2="","",#REF!*$C$103)</f>
        <v/>
      </c>
      <c r="HB103" s="11" t="str">
        <f ca="1">IF(History!HF$2="","",#REF!*$C$103)</f>
        <v/>
      </c>
      <c r="HC103" s="11" t="str">
        <f ca="1">IF(History!HG$2="","",#REF!*$C$103)</f>
        <v/>
      </c>
      <c r="HD103" s="11" t="str">
        <f ca="1">IF(History!HH$2="","",#REF!*$C$103)</f>
        <v/>
      </c>
      <c r="HE103" s="11" t="str">
        <f ca="1">IF(History!HI$2="","",#REF!*$C$103)</f>
        <v/>
      </c>
      <c r="HF103" s="11" t="str">
        <f ca="1">IF(History!HJ$2="","",#REF!*$C$103)</f>
        <v/>
      </c>
      <c r="HG103" s="11" t="str">
        <f ca="1">IF(History!HK$2="","",#REF!*$C$103)</f>
        <v/>
      </c>
      <c r="HH103" s="11" t="str">
        <f ca="1">IF(History!HL$2="","",#REF!*$C$103)</f>
        <v/>
      </c>
      <c r="HI103" s="11" t="str">
        <f ca="1">IF(History!HM$2="","",#REF!*$C$103)</f>
        <v/>
      </c>
      <c r="HJ103" s="11" t="str">
        <f ca="1">IF(History!HN$2="","",#REF!*$C$103)</f>
        <v/>
      </c>
      <c r="HK103" s="11" t="str">
        <f ca="1">IF(History!HO$2="","",#REF!*$C$103)</f>
        <v/>
      </c>
      <c r="HL103" s="11" t="str">
        <f ca="1">IF(History!HP$2="","",#REF!*$C$103)</f>
        <v/>
      </c>
      <c r="HM103" s="11" t="str">
        <f ca="1">IF(History!HQ$2="","",#REF!*$C$103)</f>
        <v/>
      </c>
      <c r="HN103" s="11" t="str">
        <f ca="1">IF(History!HR$2="","",#REF!*$C$103)</f>
        <v/>
      </c>
      <c r="HO103" s="11" t="str">
        <f ca="1">IF(History!HS$2="","",#REF!*$C$103)</f>
        <v/>
      </c>
      <c r="HP103" s="11" t="str">
        <f ca="1">IF(History!HT$2="","",#REF!*$C$103)</f>
        <v/>
      </c>
      <c r="HQ103" s="11" t="str">
        <f ca="1">IF(History!HU$2="","",#REF!*$C$103)</f>
        <v/>
      </c>
      <c r="HR103" s="11" t="str">
        <f ca="1">IF(History!HV$2="","",#REF!*$C$103)</f>
        <v/>
      </c>
      <c r="HS103" s="11" t="str">
        <f ca="1">IF(History!HW$2="","",#REF!*$C$103)</f>
        <v/>
      </c>
      <c r="HT103" s="11" t="str">
        <f ca="1">IF(History!HX$2="","",#REF!*$C$103)</f>
        <v/>
      </c>
      <c r="HU103" s="11" t="str">
        <f ca="1">IF(History!HY$2="","",#REF!*$C$103)</f>
        <v/>
      </c>
      <c r="HV103" s="11" t="str">
        <f ca="1">IF(History!HZ$2="","",#REF!*$C$103)</f>
        <v/>
      </c>
      <c r="HW103" s="11" t="str">
        <f ca="1">IF(History!IA$2="","",#REF!*$C$103)</f>
        <v/>
      </c>
      <c r="HX103" s="11" t="str">
        <f ca="1">IF(History!IB$2="","",#REF!*$C$103)</f>
        <v/>
      </c>
      <c r="HY103" s="11" t="str">
        <f ca="1">IF(History!IC$2="","",#REF!*$C$103)</f>
        <v/>
      </c>
      <c r="HZ103" s="11" t="str">
        <f ca="1">IF(History!ID$2="","",#REF!*$C$103)</f>
        <v/>
      </c>
      <c r="IA103" s="11" t="str">
        <f ca="1">IF(History!IE$2="","",#REF!*$C$103)</f>
        <v/>
      </c>
      <c r="IB103" s="11" t="str">
        <f ca="1">IF(History!IF$2="","",#REF!*$C$103)</f>
        <v/>
      </c>
      <c r="IC103" s="11" t="str">
        <f ca="1">IF(History!IG$2="","",#REF!*$C$103)</f>
        <v/>
      </c>
      <c r="ID103" s="11" t="str">
        <f ca="1">IF(History!IH$2="","",#REF!*$C$103)</f>
        <v/>
      </c>
      <c r="IE103" s="11" t="str">
        <f ca="1">IF(History!II$2="","",#REF!*$C$103)</f>
        <v/>
      </c>
      <c r="IF103" s="11" t="str">
        <f ca="1">IF(History!IJ$2="","",#REF!*$C$103)</f>
        <v/>
      </c>
      <c r="IG103" s="11" t="str">
        <f ca="1">IF(History!IK$2="","",#REF!*$C$103)</f>
        <v/>
      </c>
      <c r="IH103" s="11" t="str">
        <f ca="1">IF(History!IL$2="","",#REF!*$C$103)</f>
        <v/>
      </c>
      <c r="II103" s="11" t="str">
        <f ca="1">IF(History!IM$2="","",#REF!*$C$103)</f>
        <v/>
      </c>
      <c r="IJ103" s="11" t="str">
        <f ca="1">IF(History!IN$2="","",#REF!*$C$103)</f>
        <v/>
      </c>
      <c r="IK103" s="11" t="str">
        <f ca="1">IF(History!IO$2="","",#REF!*$C$103)</f>
        <v/>
      </c>
      <c r="IL103" s="11" t="str">
        <f ca="1">IF(History!IP$2="","",#REF!*$C$103)</f>
        <v/>
      </c>
      <c r="IM103" s="11" t="str">
        <f ca="1">IF(History!IQ$2="","",#REF!*$C$103)</f>
        <v/>
      </c>
      <c r="IN103" s="11" t="str">
        <f ca="1">IF(History!IR$2="","",#REF!*$C$103)</f>
        <v/>
      </c>
      <c r="IO103" s="11" t="str">
        <f ca="1">IF(History!IS$2="","",#REF!*$C$103)</f>
        <v/>
      </c>
      <c r="IP103" s="11" t="str">
        <f ca="1">IF(History!IT$2="","",#REF!*$C$103)</f>
        <v/>
      </c>
      <c r="IQ103" s="11" t="str">
        <f ca="1">IF(History!IU$2="","",#REF!*$C$103)</f>
        <v/>
      </c>
      <c r="IR103" s="11" t="str">
        <f ca="1">IF(History!IV$2="","",#REF!*$C$103)</f>
        <v/>
      </c>
      <c r="IS103" s="11" t="str">
        <f ca="1">IF(History!IW$2="","",#REF!*$C$103)</f>
        <v/>
      </c>
      <c r="IT103" s="11" t="str">
        <f ca="1">IF(History!IX$2="","",#REF!*$C$103)</f>
        <v/>
      </c>
      <c r="IU103" s="11" t="str">
        <f ca="1">IF(History!IY$2="","",#REF!*$C$103)</f>
        <v/>
      </c>
      <c r="IV103" s="11" t="str">
        <f ca="1">IF(History!IZ$2="","",#REF!*$C$103)</f>
        <v/>
      </c>
      <c r="IW103" s="11" t="str">
        <f ca="1">IF(History!JA$2="","",#REF!*$C$103)</f>
        <v/>
      </c>
      <c r="IX103" s="11" t="str">
        <f ca="1">IF(History!JB$2="","",#REF!*$C$103)</f>
        <v/>
      </c>
      <c r="IY103" s="11" t="str">
        <f ca="1">IF(History!JC$2="","",#REF!*$C$103)</f>
        <v/>
      </c>
      <c r="IZ103" s="11" t="str">
        <f ca="1">IF(History!JD$2="","",#REF!*$C$103)</f>
        <v/>
      </c>
      <c r="JA103" s="11" t="str">
        <f ca="1">IF(History!JE$2="","",#REF!*$C$103)</f>
        <v/>
      </c>
      <c r="JB103" s="11" t="str">
        <f ca="1">IF(History!JF$2="","",#REF!*$C$103)</f>
        <v/>
      </c>
      <c r="JC103" s="11" t="str">
        <f ca="1">IF(History!JG$2="","",#REF!*$C$103)</f>
        <v/>
      </c>
      <c r="JD103" s="11" t="str">
        <f ca="1">IF(History!JH$2="","",#REF!*$C$103)</f>
        <v/>
      </c>
      <c r="JE103" s="11" t="str">
        <f ca="1">IF(History!JI$2="","",#REF!*$C$103)</f>
        <v/>
      </c>
      <c r="JF103" s="11" t="str">
        <f ca="1">IF(History!JJ$2="","",#REF!*$C$103)</f>
        <v/>
      </c>
      <c r="JG103" s="11" t="str">
        <f ca="1">IF(History!JK$2="","",#REF!*$C$103)</f>
        <v/>
      </c>
      <c r="JH103" s="11" t="str">
        <f ca="1">IF(History!JL$2="","",#REF!*$C$103)</f>
        <v/>
      </c>
      <c r="JI103" s="11" t="str">
        <f ca="1">IF(History!JM$2="","",#REF!*$C$103)</f>
        <v/>
      </c>
      <c r="JJ103" s="11" t="str">
        <f ca="1">IF(History!JN$2="","",#REF!*$C$103)</f>
        <v/>
      </c>
      <c r="JK103" s="11" t="str">
        <f ca="1">IF(History!JO$2="","",#REF!*$C$103)</f>
        <v/>
      </c>
      <c r="JL103" s="11" t="str">
        <f ca="1">IF(History!JP$2="","",#REF!*$C$103)</f>
        <v/>
      </c>
      <c r="JM103" s="11" t="str">
        <f ca="1">IF(History!JQ$2="","",#REF!*$C$103)</f>
        <v/>
      </c>
      <c r="JN103" s="11" t="str">
        <f ca="1">IF(History!JR$2="","",#REF!*$C$103)</f>
        <v/>
      </c>
      <c r="JO103" s="11" t="str">
        <f ca="1">IF(History!JS$2="","",#REF!*$C$103)</f>
        <v/>
      </c>
      <c r="JP103" s="11" t="str">
        <f ca="1">IF(History!JT$2="","",#REF!*$C$103)</f>
        <v/>
      </c>
      <c r="JQ103" s="11" t="str">
        <f ca="1">IF(History!JU$2="","",#REF!*$C$103)</f>
        <v/>
      </c>
      <c r="JR103" s="11" t="str">
        <f ca="1">IF(History!JV$2="","",#REF!*$C$103)</f>
        <v/>
      </c>
      <c r="JS103" s="11" t="str">
        <f ca="1">IF(History!JW$2="","",#REF!*$C$103)</f>
        <v/>
      </c>
      <c r="JT103" s="11" t="str">
        <f ca="1">IF(History!JX$2="","",#REF!*$C$103)</f>
        <v/>
      </c>
      <c r="JU103" s="11" t="str">
        <f ca="1">IF(History!JY$2="","",#REF!*$C$103)</f>
        <v/>
      </c>
      <c r="JV103" s="11" t="str">
        <f ca="1">IF(History!JZ$2="","",#REF!*$C$103)</f>
        <v/>
      </c>
      <c r="JW103" s="11" t="str">
        <f ca="1">IF(History!KA$2="","",#REF!*$C$103)</f>
        <v/>
      </c>
      <c r="JX103" s="11" t="str">
        <f ca="1">IF(History!KB$2="","",#REF!*$C$103)</f>
        <v/>
      </c>
      <c r="JY103" s="11" t="str">
        <f ca="1">IF(History!KC$2="","",#REF!*$C$103)</f>
        <v/>
      </c>
      <c r="JZ103" s="11" t="str">
        <f ca="1">IF(History!KD$2="","",#REF!*$C$103)</f>
        <v/>
      </c>
      <c r="KA103" s="11" t="str">
        <f ca="1">IF(History!KE$2="","",#REF!*$C$103)</f>
        <v/>
      </c>
      <c r="KB103" s="11" t="str">
        <f ca="1">IF(History!KF$2="","",#REF!*$C$103)</f>
        <v/>
      </c>
    </row>
    <row r="104" spans="1:288" ht="13">
      <c r="A104" s="18" t="s">
        <v>140</v>
      </c>
      <c r="B104" s="6" t="s">
        <v>180</v>
      </c>
      <c r="C104" s="26">
        <v>59</v>
      </c>
      <c r="D104" s="11" t="e">
        <f ca="1">IF(History!H$2="","",#REF!*$C$104)</f>
        <v>#REF!</v>
      </c>
      <c r="E104" s="11" t="e">
        <f ca="1">IF(History!I$2="","",#REF!*$C$104)</f>
        <v>#REF!</v>
      </c>
      <c r="F104" s="11" t="e">
        <f ca="1">IF(History!J$2="","",#REF!*$C$104)</f>
        <v>#REF!</v>
      </c>
      <c r="G104" s="11" t="e">
        <f ca="1">IF(History!K$2="","",#REF!*$C$104)</f>
        <v>#REF!</v>
      </c>
      <c r="H104" s="11" t="e">
        <f ca="1">IF(History!L$2="","",#REF!*$C$104)</f>
        <v>#REF!</v>
      </c>
      <c r="I104" s="11" t="e">
        <f ca="1">IF(History!M$2="","",#REF!*$C$104)</f>
        <v>#REF!</v>
      </c>
      <c r="J104" s="11" t="e">
        <f ca="1">IF(History!N$2="","",#REF!*$C$104)</f>
        <v>#REF!</v>
      </c>
      <c r="K104" s="11" t="e">
        <f ca="1">IF(History!O$2="","",#REF!*$C$104)</f>
        <v>#REF!</v>
      </c>
      <c r="L104" s="11" t="e">
        <f ca="1">IF(History!P$2="","",#REF!*$C$104)</f>
        <v>#REF!</v>
      </c>
      <c r="M104" s="11" t="e">
        <f ca="1">IF(History!Q$2="","",#REF!*$C$104)</f>
        <v>#REF!</v>
      </c>
      <c r="N104" s="11" t="e">
        <f ca="1">IF(History!R$2="","",#REF!*$C$104)</f>
        <v>#REF!</v>
      </c>
      <c r="O104" s="11" t="e">
        <f ca="1">IF(History!S$2="","",#REF!*$C$104)</f>
        <v>#REF!</v>
      </c>
      <c r="P104" s="11" t="e">
        <f ca="1">IF(History!T$2="","",#REF!*$C$104)</f>
        <v>#REF!</v>
      </c>
      <c r="Q104" s="11" t="e">
        <f ca="1">IF(History!U$2="","",#REF!*$C$104)</f>
        <v>#REF!</v>
      </c>
      <c r="R104" s="11" t="e">
        <f ca="1">IF(History!V$2="","",#REF!*$C$104)</f>
        <v>#REF!</v>
      </c>
      <c r="S104" s="11" t="e">
        <f ca="1">IF(History!W$2="","",#REF!*$C$104)</f>
        <v>#REF!</v>
      </c>
      <c r="T104" s="11" t="e">
        <f ca="1">IF(History!X$2="","",#REF!*$C$104)</f>
        <v>#REF!</v>
      </c>
      <c r="U104" s="11" t="e">
        <f ca="1">IF(History!Y$2="","",#REF!*$C$104)</f>
        <v>#REF!</v>
      </c>
      <c r="V104" s="11" t="e">
        <f ca="1">IF(History!Z$2="","",#REF!*$C$104)</f>
        <v>#REF!</v>
      </c>
      <c r="W104" s="11" t="e">
        <f ca="1">IF(History!AA$2="","",#REF!*$C$104)</f>
        <v>#REF!</v>
      </c>
      <c r="X104" s="11" t="e">
        <f ca="1">IF(History!AB$2="","",#REF!*$C$104)</f>
        <v>#REF!</v>
      </c>
      <c r="Y104" s="11" t="e">
        <f ca="1">IF(History!AC$2="","",#REF!*$C$104)</f>
        <v>#REF!</v>
      </c>
      <c r="Z104" s="11" t="e">
        <f ca="1">IF(History!AD$2="","",#REF!*$C$104)</f>
        <v>#REF!</v>
      </c>
      <c r="AA104" s="11" t="e">
        <f ca="1">IF(History!AE$2="","",#REF!*$C$104)</f>
        <v>#REF!</v>
      </c>
      <c r="AB104" s="11" t="e">
        <f ca="1">IF(History!AF$2="","",#REF!*$C$104)</f>
        <v>#REF!</v>
      </c>
      <c r="AC104" s="11" t="e">
        <f ca="1">IF(History!AG$2="","",#REF!*$C$104)</f>
        <v>#REF!</v>
      </c>
      <c r="AD104" s="11" t="e">
        <f ca="1">IF(History!AH$2="","",#REF!*$C$104)</f>
        <v>#REF!</v>
      </c>
      <c r="AE104" s="11" t="e">
        <f ca="1">IF(History!AI$2="","",#REF!*$C$104)</f>
        <v>#REF!</v>
      </c>
      <c r="AF104" s="11" t="e">
        <f ca="1">IF(History!AJ$2="","",#REF!*$C$104)</f>
        <v>#REF!</v>
      </c>
      <c r="AG104" s="11" t="e">
        <f ca="1">IF(History!AK$2="","",#REF!*$C$104)</f>
        <v>#REF!</v>
      </c>
      <c r="AH104" s="11" t="e">
        <f ca="1">IF(History!AL$2="","",#REF!*$C$104)</f>
        <v>#REF!</v>
      </c>
      <c r="AI104" s="11" t="e">
        <f ca="1">IF(History!AM$2="","",#REF!*$C$104)</f>
        <v>#REF!</v>
      </c>
      <c r="AJ104" s="11" t="e">
        <f ca="1">IF(History!AN$2="","",#REF!*$C$104)</f>
        <v>#REF!</v>
      </c>
      <c r="AK104" s="11" t="e">
        <f ca="1">IF(History!AO$2="","",#REF!*$C$104)</f>
        <v>#REF!</v>
      </c>
      <c r="AL104" s="11" t="e">
        <f ca="1">IF(History!AP$2="","",#REF!*$C$104)</f>
        <v>#REF!</v>
      </c>
      <c r="AM104" s="11" t="e">
        <f ca="1">IF(History!AQ$2="","",#REF!*$C$104)</f>
        <v>#REF!</v>
      </c>
      <c r="AN104" s="11" t="e">
        <f ca="1">IF(History!AR$2="","",#REF!*$C$104)</f>
        <v>#REF!</v>
      </c>
      <c r="AO104" s="11" t="e">
        <f ca="1">IF(History!AS$2="","",#REF!*$C$104)</f>
        <v>#REF!</v>
      </c>
      <c r="AP104" s="11" t="e">
        <f ca="1">IF(History!AT$2="","",#REF!*$C$104)</f>
        <v>#REF!</v>
      </c>
      <c r="AQ104" s="11" t="e">
        <f ca="1">IF(History!AU$2="","",#REF!*$C$104)</f>
        <v>#REF!</v>
      </c>
      <c r="AR104" s="11" t="e">
        <f ca="1">IF(History!AV$2="","",#REF!*$C$104)</f>
        <v>#REF!</v>
      </c>
      <c r="AS104" s="11" t="e">
        <f ca="1">IF(History!AW$2="","",#REF!*$C$104)</f>
        <v>#REF!</v>
      </c>
      <c r="AT104" s="11" t="e">
        <f ca="1">IF(History!AX$2="","",#REF!*$C$104)</f>
        <v>#REF!</v>
      </c>
      <c r="AU104" s="11" t="e">
        <f ca="1">IF(History!AY$2="","",#REF!*$C$104)</f>
        <v>#REF!</v>
      </c>
      <c r="AV104" s="11" t="e">
        <f ca="1">IF(History!AZ$2="","",#REF!*$C$104)</f>
        <v>#REF!</v>
      </c>
      <c r="AW104" s="11" t="e">
        <f ca="1">IF(History!BA$2="","",#REF!*$C$104)</f>
        <v>#REF!</v>
      </c>
      <c r="AX104" s="11" t="e">
        <f ca="1">IF(History!BB$2="","",#REF!*$C$104)</f>
        <v>#REF!</v>
      </c>
      <c r="AY104" s="11" t="e">
        <f ca="1">IF(History!BC$2="","",#REF!*$C$104)</f>
        <v>#REF!</v>
      </c>
      <c r="AZ104" s="11" t="e">
        <f ca="1">IF(History!BD$2="","",#REF!*$C$104)</f>
        <v>#REF!</v>
      </c>
      <c r="BA104" s="11" t="e">
        <f ca="1">IF(History!BE$2="","",#REF!*$C$104)</f>
        <v>#REF!</v>
      </c>
      <c r="BB104" s="11" t="e">
        <f ca="1">IF(History!BF$2="","",#REF!*$C$104)</f>
        <v>#REF!</v>
      </c>
      <c r="BC104" s="11" t="e">
        <f ca="1">IF(History!BG$2="","",#REF!*$C$104)</f>
        <v>#REF!</v>
      </c>
      <c r="BD104" s="11" t="e">
        <f ca="1">IF(History!BH$2="","",#REF!*$C$104)</f>
        <v>#REF!</v>
      </c>
      <c r="BE104" s="11" t="e">
        <f ca="1">IF(History!BI$2="","",#REF!*$C$104)</f>
        <v>#REF!</v>
      </c>
      <c r="BF104" s="11" t="e">
        <f ca="1">IF(History!BJ$2="","",#REF!*$C$104)</f>
        <v>#REF!</v>
      </c>
      <c r="BG104" s="11" t="e">
        <f ca="1">IF(History!BK$2="","",#REF!*$C$104)</f>
        <v>#REF!</v>
      </c>
      <c r="BH104" s="11" t="e">
        <f ca="1">IF(History!BL$2="","",#REF!*$C$104)</f>
        <v>#REF!</v>
      </c>
      <c r="BI104" s="11" t="e">
        <f ca="1">IF(History!BM$2="","",#REF!*$C$104)</f>
        <v>#REF!</v>
      </c>
      <c r="BJ104" s="11" t="e">
        <f ca="1">IF(History!BN$2="","",#REF!*$C$104)</f>
        <v>#REF!</v>
      </c>
      <c r="BK104" s="11" t="e">
        <f ca="1">IF(History!BO$2="","",#REF!*$C$104)</f>
        <v>#REF!</v>
      </c>
      <c r="BL104" s="11" t="e">
        <f ca="1">IF(History!BP$2="","",#REF!*$C$104)</f>
        <v>#REF!</v>
      </c>
      <c r="BM104" s="11" t="e">
        <f ca="1">IF(History!BQ$2="","",#REF!*$C$104)</f>
        <v>#REF!</v>
      </c>
      <c r="BN104" s="11" t="e">
        <f ca="1">IF(History!BR$2="","",#REF!*$C$104)</f>
        <v>#REF!</v>
      </c>
      <c r="BO104" s="11" t="e">
        <f ca="1">IF(History!BS$2="","",#REF!*$C$104)</f>
        <v>#REF!</v>
      </c>
      <c r="BP104" s="11" t="e">
        <f ca="1">IF(History!BT$2="","",#REF!*$C$104)</f>
        <v>#REF!</v>
      </c>
      <c r="BQ104" s="11" t="e">
        <f ca="1">IF(History!BU$2="","",#REF!*$C$104)</f>
        <v>#REF!</v>
      </c>
      <c r="BR104" s="11" t="e">
        <f ca="1">IF(History!BV$2="","",#REF!*$C$104)</f>
        <v>#REF!</v>
      </c>
      <c r="BS104" s="11" t="e">
        <f ca="1">IF(History!BW$2="","",#REF!*$C$104)</f>
        <v>#REF!</v>
      </c>
      <c r="BT104" s="11" t="e">
        <f ca="1">IF(History!BX$2="","",#REF!*$C$104)</f>
        <v>#REF!</v>
      </c>
      <c r="BU104" s="11" t="e">
        <f ca="1">IF(History!BY$2="","",#REF!*$C$104)</f>
        <v>#REF!</v>
      </c>
      <c r="BV104" s="11" t="e">
        <f ca="1">IF(History!BZ$2="","",#REF!*$C$104)</f>
        <v>#REF!</v>
      </c>
      <c r="BW104" s="11" t="e">
        <f ca="1">IF(History!CA$2="","",#REF!*$C$104)</f>
        <v>#REF!</v>
      </c>
      <c r="BX104" s="11" t="e">
        <f ca="1">IF(History!CB$2="","",#REF!*$C$104)</f>
        <v>#REF!</v>
      </c>
      <c r="BY104" s="11" t="e">
        <f ca="1">IF(History!CC$2="","",#REF!*$C$104)</f>
        <v>#REF!</v>
      </c>
      <c r="BZ104" s="11" t="e">
        <f ca="1">IF(History!CD$2="","",#REF!*$C$104)</f>
        <v>#REF!</v>
      </c>
      <c r="CA104" s="11" t="e">
        <f ca="1">IF(History!CE$2="","",#REF!*$C$104)</f>
        <v>#REF!</v>
      </c>
      <c r="CB104" s="11" t="e">
        <f ca="1">IF(History!CF$2="","",#REF!*$C$104)</f>
        <v>#REF!</v>
      </c>
      <c r="CC104" s="11" t="e">
        <f ca="1">IF(History!CG$2="","",#REF!*$C$104)</f>
        <v>#REF!</v>
      </c>
      <c r="CD104" s="11" t="e">
        <f ca="1">IF(History!CH$2="","",#REF!*$C$104)</f>
        <v>#REF!</v>
      </c>
      <c r="CE104" s="11" t="e">
        <f ca="1">IF(History!CI$2="","",#REF!*$C$104)</f>
        <v>#REF!</v>
      </c>
      <c r="CF104" s="11" t="str">
        <f ca="1">IF(History!CJ$2="","",#REF!*$C$104)</f>
        <v/>
      </c>
      <c r="CG104" s="11" t="str">
        <f ca="1">IF(History!CK$2="","",#REF!*$C$104)</f>
        <v/>
      </c>
      <c r="CH104" s="11" t="str">
        <f ca="1">IF(History!CL$2="","",#REF!*$C$104)</f>
        <v/>
      </c>
      <c r="CI104" s="11" t="str">
        <f ca="1">IF(History!CM$2="","",#REF!*$C$104)</f>
        <v/>
      </c>
      <c r="CJ104" s="11" t="str">
        <f ca="1">IF(History!CN$2="","",#REF!*$C$104)</f>
        <v/>
      </c>
      <c r="CK104" s="11" t="str">
        <f ca="1">IF(History!CO$2="","",#REF!*$C$104)</f>
        <v/>
      </c>
      <c r="CL104" s="11" t="str">
        <f ca="1">IF(History!CP$2="","",#REF!*$C$104)</f>
        <v/>
      </c>
      <c r="CM104" s="11" t="str">
        <f ca="1">IF(History!CQ$2="","",#REF!*$C$104)</f>
        <v/>
      </c>
      <c r="CN104" s="11" t="str">
        <f ca="1">IF(History!CR$2="","",#REF!*$C$104)</f>
        <v/>
      </c>
      <c r="CO104" s="11" t="str">
        <f ca="1">IF(History!CS$2="","",#REF!*$C$104)</f>
        <v/>
      </c>
      <c r="CP104" s="11" t="str">
        <f ca="1">IF(History!CT$2="","",#REF!*$C$104)</f>
        <v/>
      </c>
      <c r="CQ104" s="11" t="str">
        <f ca="1">IF(History!CU$2="","",#REF!*$C$104)</f>
        <v/>
      </c>
      <c r="CR104" s="11" t="str">
        <f ca="1">IF(History!CV$2="","",#REF!*$C$104)</f>
        <v/>
      </c>
      <c r="CS104" s="11" t="str">
        <f ca="1">IF(History!CW$2="","",#REF!*$C$104)</f>
        <v/>
      </c>
      <c r="CT104" s="11" t="str">
        <f ca="1">IF(History!CX$2="","",#REF!*$C$104)</f>
        <v/>
      </c>
      <c r="CU104" s="11" t="str">
        <f ca="1">IF(History!CY$2="","",#REF!*$C$104)</f>
        <v/>
      </c>
      <c r="CV104" s="11" t="str">
        <f ca="1">IF(History!CZ$2="","",#REF!*$C$104)</f>
        <v/>
      </c>
      <c r="CW104" s="11" t="str">
        <f ca="1">IF(History!DA$2="","",#REF!*$C$104)</f>
        <v/>
      </c>
      <c r="CX104" s="11" t="str">
        <f ca="1">IF(History!DB$2="","",#REF!*$C$104)</f>
        <v/>
      </c>
      <c r="CY104" s="11" t="str">
        <f ca="1">IF(History!DC$2="","",#REF!*$C$104)</f>
        <v/>
      </c>
      <c r="CZ104" s="11" t="str">
        <f ca="1">IF(History!DD$2="","",#REF!*$C$104)</f>
        <v/>
      </c>
      <c r="DA104" s="11" t="str">
        <f ca="1">IF(History!DE$2="","",#REF!*$C$104)</f>
        <v/>
      </c>
      <c r="DB104" s="11" t="str">
        <f ca="1">IF(History!DF$2="","",#REF!*$C$104)</f>
        <v/>
      </c>
      <c r="DC104" s="11" t="str">
        <f ca="1">IF(History!DG$2="","",#REF!*$C$104)</f>
        <v/>
      </c>
      <c r="DD104" s="11" t="str">
        <f ca="1">IF(History!DH$2="","",#REF!*$C$104)</f>
        <v/>
      </c>
      <c r="DE104" s="11" t="str">
        <f ca="1">IF(History!DI$2="","",#REF!*$C$104)</f>
        <v/>
      </c>
      <c r="DF104" s="11" t="str">
        <f ca="1">IF(History!DJ$2="","",#REF!*$C$104)</f>
        <v/>
      </c>
      <c r="DG104" s="11" t="str">
        <f ca="1">IF(History!DK$2="","",#REF!*$C$104)</f>
        <v/>
      </c>
      <c r="DH104" s="11" t="str">
        <f ca="1">IF(History!DL$2="","",#REF!*$C$104)</f>
        <v/>
      </c>
      <c r="DI104" s="11" t="str">
        <f ca="1">IF(History!DM$2="","",#REF!*$C$104)</f>
        <v/>
      </c>
      <c r="DJ104" s="11" t="str">
        <f ca="1">IF(History!DN$2="","",#REF!*$C$104)</f>
        <v/>
      </c>
      <c r="DK104" s="11" t="str">
        <f ca="1">IF(History!DO$2="","",#REF!*$C$104)</f>
        <v/>
      </c>
      <c r="DL104" s="11" t="str">
        <f ca="1">IF(History!DP$2="","",#REF!*$C$104)</f>
        <v/>
      </c>
      <c r="DM104" s="11" t="str">
        <f ca="1">IF(History!DQ$2="","",#REF!*$C$104)</f>
        <v/>
      </c>
      <c r="DN104" s="11" t="str">
        <f ca="1">IF(History!DR$2="","",#REF!*$C$104)</f>
        <v/>
      </c>
      <c r="DO104" s="11" t="str">
        <f ca="1">IF(History!DS$2="","",#REF!*$C$104)</f>
        <v/>
      </c>
      <c r="DP104" s="11" t="str">
        <f ca="1">IF(History!DT$2="","",#REF!*$C$104)</f>
        <v/>
      </c>
      <c r="DQ104" s="11" t="str">
        <f ca="1">IF(History!DU$2="","",#REF!*$C$104)</f>
        <v/>
      </c>
      <c r="DR104" s="11" t="str">
        <f ca="1">IF(History!DV$2="","",#REF!*$C$104)</f>
        <v/>
      </c>
      <c r="DS104" s="11" t="str">
        <f ca="1">IF(History!DW$2="","",#REF!*$C$104)</f>
        <v/>
      </c>
      <c r="DT104" s="11" t="str">
        <f ca="1">IF(History!DX$2="","",#REF!*$C$104)</f>
        <v/>
      </c>
      <c r="DU104" s="11" t="str">
        <f ca="1">IF(History!DY$2="","",#REF!*$C$104)</f>
        <v/>
      </c>
      <c r="DV104" s="11" t="str">
        <f ca="1">IF(History!DZ$2="","",#REF!*$C$104)</f>
        <v/>
      </c>
      <c r="DW104" s="11" t="str">
        <f ca="1">IF(History!EA$2="","",#REF!*$C$104)</f>
        <v/>
      </c>
      <c r="DX104" s="11" t="str">
        <f ca="1">IF(History!EB$2="","",#REF!*$C$104)</f>
        <v/>
      </c>
      <c r="DY104" s="11" t="str">
        <f ca="1">IF(History!EC$2="","",#REF!*$C$104)</f>
        <v/>
      </c>
      <c r="DZ104" s="11" t="str">
        <f ca="1">IF(History!ED$2="","",#REF!*$C$104)</f>
        <v/>
      </c>
      <c r="EA104" s="11" t="str">
        <f ca="1">IF(History!EE$2="","",#REF!*$C$104)</f>
        <v/>
      </c>
      <c r="EB104" s="11" t="str">
        <f ca="1">IF(History!EF$2="","",#REF!*$C$104)</f>
        <v/>
      </c>
      <c r="EC104" s="11" t="str">
        <f ca="1">IF(History!EG$2="","",#REF!*$C$104)</f>
        <v/>
      </c>
      <c r="ED104" s="11" t="str">
        <f ca="1">IF(History!EH$2="","",#REF!*$C$104)</f>
        <v/>
      </c>
      <c r="EE104" s="11" t="str">
        <f ca="1">IF(History!EI$2="","",#REF!*$C$104)</f>
        <v/>
      </c>
      <c r="EF104" s="11" t="str">
        <f ca="1">IF(History!EJ$2="","",#REF!*$C$104)</f>
        <v/>
      </c>
      <c r="EG104" s="11" t="str">
        <f ca="1">IF(History!EK$2="","",#REF!*$C$104)</f>
        <v/>
      </c>
      <c r="EH104" s="11" t="str">
        <f ca="1">IF(History!EL$2="","",#REF!*$C$104)</f>
        <v/>
      </c>
      <c r="EI104" s="11" t="str">
        <f ca="1">IF(History!EM$2="","",#REF!*$C$104)</f>
        <v/>
      </c>
      <c r="EJ104" s="11" t="str">
        <f ca="1">IF(History!EN$2="","",#REF!*$C$104)</f>
        <v/>
      </c>
      <c r="EK104" s="11" t="str">
        <f ca="1">IF(History!EO$2="","",#REF!*$C$104)</f>
        <v/>
      </c>
      <c r="EL104" s="11" t="str">
        <f ca="1">IF(History!EP$2="","",#REF!*$C$104)</f>
        <v/>
      </c>
      <c r="EM104" s="11" t="str">
        <f ca="1">IF(History!EQ$2="","",#REF!*$C$104)</f>
        <v/>
      </c>
      <c r="EN104" s="11" t="str">
        <f ca="1">IF(History!ER$2="","",#REF!*$C$104)</f>
        <v/>
      </c>
      <c r="EO104" s="11" t="str">
        <f ca="1">IF(History!ES$2="","",#REF!*$C$104)</f>
        <v/>
      </c>
      <c r="EP104" s="11" t="str">
        <f ca="1">IF(History!ET$2="","",#REF!*$C$104)</f>
        <v/>
      </c>
      <c r="EQ104" s="11" t="str">
        <f ca="1">IF(History!EU$2="","",#REF!*$C$104)</f>
        <v/>
      </c>
      <c r="ER104" s="11" t="str">
        <f ca="1">IF(History!EV$2="","",#REF!*$C$104)</f>
        <v/>
      </c>
      <c r="ES104" s="11" t="str">
        <f ca="1">IF(History!EW$2="","",#REF!*$C$104)</f>
        <v/>
      </c>
      <c r="ET104" s="11" t="str">
        <f ca="1">IF(History!EX$2="","",#REF!*$C$104)</f>
        <v/>
      </c>
      <c r="EU104" s="11" t="str">
        <f ca="1">IF(History!EY$2="","",#REF!*$C$104)</f>
        <v/>
      </c>
      <c r="EV104" s="11" t="str">
        <f ca="1">IF(History!EZ$2="","",#REF!*$C$104)</f>
        <v/>
      </c>
      <c r="EW104" s="11" t="str">
        <f ca="1">IF(History!FA$2="","",#REF!*$C$104)</f>
        <v/>
      </c>
      <c r="EX104" s="11" t="str">
        <f ca="1">IF(History!FB$2="","",#REF!*$C$104)</f>
        <v/>
      </c>
      <c r="EY104" s="11" t="str">
        <f ca="1">IF(History!FC$2="","",#REF!*$C$104)</f>
        <v/>
      </c>
      <c r="EZ104" s="11" t="str">
        <f ca="1">IF(History!FD$2="","",#REF!*$C$104)</f>
        <v/>
      </c>
      <c r="FA104" s="11" t="str">
        <f ca="1">IF(History!FE$2="","",#REF!*$C$104)</f>
        <v/>
      </c>
      <c r="FB104" s="11" t="str">
        <f ca="1">IF(History!FF$2="","",#REF!*$C$104)</f>
        <v/>
      </c>
      <c r="FC104" s="11" t="str">
        <f ca="1">IF(History!FG$2="","",#REF!*$C$104)</f>
        <v/>
      </c>
      <c r="FD104" s="11" t="str">
        <f ca="1">IF(History!FH$2="","",#REF!*$C$104)</f>
        <v/>
      </c>
      <c r="FE104" s="11" t="str">
        <f ca="1">IF(History!FI$2="","",#REF!*$C$104)</f>
        <v/>
      </c>
      <c r="FF104" s="11" t="str">
        <f ca="1">IF(History!FJ$2="","",#REF!*$C$104)</f>
        <v/>
      </c>
      <c r="FG104" s="11" t="str">
        <f ca="1">IF(History!FK$2="","",#REF!*$C$104)</f>
        <v/>
      </c>
      <c r="FH104" s="11" t="str">
        <f ca="1">IF(History!FL$2="","",#REF!*$C$104)</f>
        <v/>
      </c>
      <c r="FI104" s="11" t="str">
        <f ca="1">IF(History!FM$2="","",#REF!*$C$104)</f>
        <v/>
      </c>
      <c r="FJ104" s="11" t="str">
        <f ca="1">IF(History!FN$2="","",#REF!*$C$104)</f>
        <v/>
      </c>
      <c r="FK104" s="11" t="str">
        <f ca="1">IF(History!FO$2="","",#REF!*$C$104)</f>
        <v/>
      </c>
      <c r="FL104" s="11" t="str">
        <f ca="1">IF(History!FP$2="","",#REF!*$C$104)</f>
        <v/>
      </c>
      <c r="FM104" s="11" t="str">
        <f ca="1">IF(History!FQ$2="","",#REF!*$C$104)</f>
        <v/>
      </c>
      <c r="FN104" s="11" t="str">
        <f ca="1">IF(History!FR$2="","",#REF!*$C$104)</f>
        <v/>
      </c>
      <c r="FO104" s="11" t="str">
        <f ca="1">IF(History!FS$2="","",#REF!*$C$104)</f>
        <v/>
      </c>
      <c r="FP104" s="11" t="str">
        <f ca="1">IF(History!FT$2="","",#REF!*$C$104)</f>
        <v/>
      </c>
      <c r="FQ104" s="11" t="str">
        <f ca="1">IF(History!FU$2="","",#REF!*$C$104)</f>
        <v/>
      </c>
      <c r="FR104" s="11" t="str">
        <f ca="1">IF(History!FV$2="","",#REF!*$C$104)</f>
        <v/>
      </c>
      <c r="FS104" s="11" t="str">
        <f ca="1">IF(History!FW$2="","",#REF!*$C$104)</f>
        <v/>
      </c>
      <c r="FT104" s="11" t="str">
        <f ca="1">IF(History!FX$2="","",#REF!*$C$104)</f>
        <v/>
      </c>
      <c r="FU104" s="11" t="str">
        <f ca="1">IF(History!FY$2="","",#REF!*$C$104)</f>
        <v/>
      </c>
      <c r="FV104" s="11" t="str">
        <f ca="1">IF(History!FZ$2="","",#REF!*$C$104)</f>
        <v/>
      </c>
      <c r="FW104" s="11" t="str">
        <f ca="1">IF(History!GA$2="","",#REF!*$C$104)</f>
        <v/>
      </c>
      <c r="FX104" s="11" t="str">
        <f ca="1">IF(History!GB$2="","",#REF!*$C$104)</f>
        <v/>
      </c>
      <c r="FY104" s="11" t="str">
        <f ca="1">IF(History!GC$2="","",#REF!*$C$104)</f>
        <v/>
      </c>
      <c r="FZ104" s="11" t="str">
        <f ca="1">IF(History!GD$2="","",#REF!*$C$104)</f>
        <v/>
      </c>
      <c r="GA104" s="11" t="str">
        <f ca="1">IF(History!GE$2="","",#REF!*$C$104)</f>
        <v/>
      </c>
      <c r="GB104" s="11" t="str">
        <f ca="1">IF(History!GF$2="","",#REF!*$C$104)</f>
        <v/>
      </c>
      <c r="GC104" s="11" t="str">
        <f ca="1">IF(History!GG$2="","",#REF!*$C$104)</f>
        <v/>
      </c>
      <c r="GD104" s="11" t="str">
        <f ca="1">IF(History!GH$2="","",#REF!*$C$104)</f>
        <v/>
      </c>
      <c r="GE104" s="11" t="str">
        <f ca="1">IF(History!GI$2="","",#REF!*$C$104)</f>
        <v/>
      </c>
      <c r="GF104" s="11" t="str">
        <f ca="1">IF(History!GJ$2="","",#REF!*$C$104)</f>
        <v/>
      </c>
      <c r="GG104" s="11" t="str">
        <f ca="1">IF(History!GK$2="","",#REF!*$C$104)</f>
        <v/>
      </c>
      <c r="GH104" s="11" t="str">
        <f ca="1">IF(History!GL$2="","",#REF!*$C$104)</f>
        <v/>
      </c>
      <c r="GI104" s="11" t="str">
        <f ca="1">IF(History!GM$2="","",#REF!*$C$104)</f>
        <v/>
      </c>
      <c r="GJ104" s="11" t="str">
        <f ca="1">IF(History!GN$2="","",#REF!*$C$104)</f>
        <v/>
      </c>
      <c r="GK104" s="11" t="str">
        <f ca="1">IF(History!GO$2="","",#REF!*$C$104)</f>
        <v/>
      </c>
      <c r="GL104" s="11" t="str">
        <f ca="1">IF(History!GP$2="","",#REF!*$C$104)</f>
        <v/>
      </c>
      <c r="GM104" s="11" t="str">
        <f ca="1">IF(History!GQ$2="","",#REF!*$C$104)</f>
        <v/>
      </c>
      <c r="GN104" s="11" t="str">
        <f ca="1">IF(History!GR$2="","",#REF!*$C$104)</f>
        <v/>
      </c>
      <c r="GO104" s="11" t="str">
        <f ca="1">IF(History!GS$2="","",#REF!*$C$104)</f>
        <v/>
      </c>
      <c r="GP104" s="11" t="str">
        <f ca="1">IF(History!GT$2="","",#REF!*$C$104)</f>
        <v/>
      </c>
      <c r="GQ104" s="11" t="str">
        <f ca="1">IF(History!GU$2="","",#REF!*$C$104)</f>
        <v/>
      </c>
      <c r="GR104" s="11" t="str">
        <f ca="1">IF(History!GV$2="","",#REF!*$C$104)</f>
        <v/>
      </c>
      <c r="GS104" s="11" t="str">
        <f ca="1">IF(History!GW$2="","",#REF!*$C$104)</f>
        <v/>
      </c>
      <c r="GT104" s="11" t="str">
        <f ca="1">IF(History!GX$2="","",#REF!*$C$104)</f>
        <v/>
      </c>
      <c r="GU104" s="11" t="str">
        <f ca="1">IF(History!GY$2="","",#REF!*$C$104)</f>
        <v/>
      </c>
      <c r="GV104" s="11" t="str">
        <f ca="1">IF(History!GZ$2="","",#REF!*$C$104)</f>
        <v/>
      </c>
      <c r="GW104" s="11" t="str">
        <f ca="1">IF(History!HA$2="","",#REF!*$C$104)</f>
        <v/>
      </c>
      <c r="GX104" s="11" t="str">
        <f ca="1">IF(History!HB$2="","",#REF!*$C$104)</f>
        <v/>
      </c>
      <c r="GY104" s="11" t="str">
        <f ca="1">IF(History!HC$2="","",#REF!*$C$104)</f>
        <v/>
      </c>
      <c r="GZ104" s="11" t="str">
        <f ca="1">IF(History!HD$2="","",#REF!*$C$104)</f>
        <v/>
      </c>
      <c r="HA104" s="11" t="str">
        <f ca="1">IF(History!HE$2="","",#REF!*$C$104)</f>
        <v/>
      </c>
      <c r="HB104" s="11" t="str">
        <f ca="1">IF(History!HF$2="","",#REF!*$C$104)</f>
        <v/>
      </c>
      <c r="HC104" s="11" t="str">
        <f ca="1">IF(History!HG$2="","",#REF!*$C$104)</f>
        <v/>
      </c>
      <c r="HD104" s="11" t="str">
        <f ca="1">IF(History!HH$2="","",#REF!*$C$104)</f>
        <v/>
      </c>
      <c r="HE104" s="11" t="str">
        <f ca="1">IF(History!HI$2="","",#REF!*$C$104)</f>
        <v/>
      </c>
      <c r="HF104" s="11" t="str">
        <f ca="1">IF(History!HJ$2="","",#REF!*$C$104)</f>
        <v/>
      </c>
      <c r="HG104" s="11" t="str">
        <f ca="1">IF(History!HK$2="","",#REF!*$C$104)</f>
        <v/>
      </c>
      <c r="HH104" s="11" t="str">
        <f ca="1">IF(History!HL$2="","",#REF!*$C$104)</f>
        <v/>
      </c>
      <c r="HI104" s="11" t="str">
        <f ca="1">IF(History!HM$2="","",#REF!*$C$104)</f>
        <v/>
      </c>
      <c r="HJ104" s="11" t="str">
        <f ca="1">IF(History!HN$2="","",#REF!*$C$104)</f>
        <v/>
      </c>
      <c r="HK104" s="11" t="str">
        <f ca="1">IF(History!HO$2="","",#REF!*$C$104)</f>
        <v/>
      </c>
      <c r="HL104" s="11" t="str">
        <f ca="1">IF(History!HP$2="","",#REF!*$C$104)</f>
        <v/>
      </c>
      <c r="HM104" s="11" t="str">
        <f ca="1">IF(History!HQ$2="","",#REF!*$C$104)</f>
        <v/>
      </c>
      <c r="HN104" s="11" t="str">
        <f ca="1">IF(History!HR$2="","",#REF!*$C$104)</f>
        <v/>
      </c>
      <c r="HO104" s="11" t="str">
        <f ca="1">IF(History!HS$2="","",#REF!*$C$104)</f>
        <v/>
      </c>
      <c r="HP104" s="11" t="str">
        <f ca="1">IF(History!HT$2="","",#REF!*$C$104)</f>
        <v/>
      </c>
      <c r="HQ104" s="11" t="str">
        <f ca="1">IF(History!HU$2="","",#REF!*$C$104)</f>
        <v/>
      </c>
      <c r="HR104" s="11" t="str">
        <f ca="1">IF(History!HV$2="","",#REF!*$C$104)</f>
        <v/>
      </c>
      <c r="HS104" s="11" t="str">
        <f ca="1">IF(History!HW$2="","",#REF!*$C$104)</f>
        <v/>
      </c>
      <c r="HT104" s="11" t="str">
        <f ca="1">IF(History!HX$2="","",#REF!*$C$104)</f>
        <v/>
      </c>
      <c r="HU104" s="11" t="str">
        <f ca="1">IF(History!HY$2="","",#REF!*$C$104)</f>
        <v/>
      </c>
      <c r="HV104" s="11" t="str">
        <f ca="1">IF(History!HZ$2="","",#REF!*$C$104)</f>
        <v/>
      </c>
      <c r="HW104" s="11" t="str">
        <f ca="1">IF(History!IA$2="","",#REF!*$C$104)</f>
        <v/>
      </c>
      <c r="HX104" s="11" t="str">
        <f ca="1">IF(History!IB$2="","",#REF!*$C$104)</f>
        <v/>
      </c>
      <c r="HY104" s="11" t="str">
        <f ca="1">IF(History!IC$2="","",#REF!*$C$104)</f>
        <v/>
      </c>
      <c r="HZ104" s="11" t="str">
        <f ca="1">IF(History!ID$2="","",#REF!*$C$104)</f>
        <v/>
      </c>
      <c r="IA104" s="11" t="str">
        <f ca="1">IF(History!IE$2="","",#REF!*$C$104)</f>
        <v/>
      </c>
      <c r="IB104" s="11" t="str">
        <f ca="1">IF(History!IF$2="","",#REF!*$C$104)</f>
        <v/>
      </c>
      <c r="IC104" s="11" t="str">
        <f ca="1">IF(History!IG$2="","",#REF!*$C$104)</f>
        <v/>
      </c>
      <c r="ID104" s="11" t="str">
        <f ca="1">IF(History!IH$2="","",#REF!*$C$104)</f>
        <v/>
      </c>
      <c r="IE104" s="11" t="str">
        <f ca="1">IF(History!II$2="","",#REF!*$C$104)</f>
        <v/>
      </c>
      <c r="IF104" s="11" t="str">
        <f ca="1">IF(History!IJ$2="","",#REF!*$C$104)</f>
        <v/>
      </c>
      <c r="IG104" s="11" t="str">
        <f ca="1">IF(History!IK$2="","",#REF!*$C$104)</f>
        <v/>
      </c>
      <c r="IH104" s="11" t="str">
        <f ca="1">IF(History!IL$2="","",#REF!*$C$104)</f>
        <v/>
      </c>
      <c r="II104" s="11" t="str">
        <f ca="1">IF(History!IM$2="","",#REF!*$C$104)</f>
        <v/>
      </c>
      <c r="IJ104" s="11" t="str">
        <f ca="1">IF(History!IN$2="","",#REF!*$C$104)</f>
        <v/>
      </c>
      <c r="IK104" s="11" t="str">
        <f ca="1">IF(History!IO$2="","",#REF!*$C$104)</f>
        <v/>
      </c>
      <c r="IL104" s="11" t="str">
        <f ca="1">IF(History!IP$2="","",#REF!*$C$104)</f>
        <v/>
      </c>
      <c r="IM104" s="11" t="str">
        <f ca="1">IF(History!IQ$2="","",#REF!*$C$104)</f>
        <v/>
      </c>
      <c r="IN104" s="11" t="str">
        <f ca="1">IF(History!IR$2="","",#REF!*$C$104)</f>
        <v/>
      </c>
      <c r="IO104" s="11" t="str">
        <f ca="1">IF(History!IS$2="","",#REF!*$C$104)</f>
        <v/>
      </c>
      <c r="IP104" s="11" t="str">
        <f ca="1">IF(History!IT$2="","",#REF!*$C$104)</f>
        <v/>
      </c>
      <c r="IQ104" s="11" t="str">
        <f ca="1">IF(History!IU$2="","",#REF!*$C$104)</f>
        <v/>
      </c>
      <c r="IR104" s="11" t="str">
        <f ca="1">IF(History!IV$2="","",#REF!*$C$104)</f>
        <v/>
      </c>
      <c r="IS104" s="11" t="str">
        <f ca="1">IF(History!IW$2="","",#REF!*$C$104)</f>
        <v/>
      </c>
      <c r="IT104" s="11" t="str">
        <f ca="1">IF(History!IX$2="","",#REF!*$C$104)</f>
        <v/>
      </c>
      <c r="IU104" s="11" t="str">
        <f ca="1">IF(History!IY$2="","",#REF!*$C$104)</f>
        <v/>
      </c>
      <c r="IV104" s="11" t="str">
        <f ca="1">IF(History!IZ$2="","",#REF!*$C$104)</f>
        <v/>
      </c>
      <c r="IW104" s="11" t="str">
        <f ca="1">IF(History!JA$2="","",#REF!*$C$104)</f>
        <v/>
      </c>
      <c r="IX104" s="11" t="str">
        <f ca="1">IF(History!JB$2="","",#REF!*$C$104)</f>
        <v/>
      </c>
      <c r="IY104" s="11" t="str">
        <f ca="1">IF(History!JC$2="","",#REF!*$C$104)</f>
        <v/>
      </c>
      <c r="IZ104" s="11" t="str">
        <f ca="1">IF(History!JD$2="","",#REF!*$C$104)</f>
        <v/>
      </c>
      <c r="JA104" s="11" t="str">
        <f ca="1">IF(History!JE$2="","",#REF!*$C$104)</f>
        <v/>
      </c>
      <c r="JB104" s="11" t="str">
        <f ca="1">IF(History!JF$2="","",#REF!*$C$104)</f>
        <v/>
      </c>
      <c r="JC104" s="11" t="str">
        <f ca="1">IF(History!JG$2="","",#REF!*$C$104)</f>
        <v/>
      </c>
      <c r="JD104" s="11" t="str">
        <f ca="1">IF(History!JH$2="","",#REF!*$C$104)</f>
        <v/>
      </c>
      <c r="JE104" s="11" t="str">
        <f ca="1">IF(History!JI$2="","",#REF!*$C$104)</f>
        <v/>
      </c>
      <c r="JF104" s="11" t="str">
        <f ca="1">IF(History!JJ$2="","",#REF!*$C$104)</f>
        <v/>
      </c>
      <c r="JG104" s="11" t="str">
        <f ca="1">IF(History!JK$2="","",#REF!*$C$104)</f>
        <v/>
      </c>
      <c r="JH104" s="11" t="str">
        <f ca="1">IF(History!JL$2="","",#REF!*$C$104)</f>
        <v/>
      </c>
      <c r="JI104" s="11" t="str">
        <f ca="1">IF(History!JM$2="","",#REF!*$C$104)</f>
        <v/>
      </c>
      <c r="JJ104" s="11" t="str">
        <f ca="1">IF(History!JN$2="","",#REF!*$C$104)</f>
        <v/>
      </c>
      <c r="JK104" s="11" t="str">
        <f ca="1">IF(History!JO$2="","",#REF!*$C$104)</f>
        <v/>
      </c>
      <c r="JL104" s="11" t="str">
        <f ca="1">IF(History!JP$2="","",#REF!*$C$104)</f>
        <v/>
      </c>
      <c r="JM104" s="11" t="str">
        <f ca="1">IF(History!JQ$2="","",#REF!*$C$104)</f>
        <v/>
      </c>
      <c r="JN104" s="11" t="str">
        <f ca="1">IF(History!JR$2="","",#REF!*$C$104)</f>
        <v/>
      </c>
      <c r="JO104" s="11" t="str">
        <f ca="1">IF(History!JS$2="","",#REF!*$C$104)</f>
        <v/>
      </c>
      <c r="JP104" s="11" t="str">
        <f ca="1">IF(History!JT$2="","",#REF!*$C$104)</f>
        <v/>
      </c>
      <c r="JQ104" s="11" t="str">
        <f ca="1">IF(History!JU$2="","",#REF!*$C$104)</f>
        <v/>
      </c>
      <c r="JR104" s="11" t="str">
        <f ca="1">IF(History!JV$2="","",#REF!*$C$104)</f>
        <v/>
      </c>
      <c r="JS104" s="11" t="str">
        <f ca="1">IF(History!JW$2="","",#REF!*$C$104)</f>
        <v/>
      </c>
      <c r="JT104" s="11" t="str">
        <f ca="1">IF(History!JX$2="","",#REF!*$C$104)</f>
        <v/>
      </c>
      <c r="JU104" s="11" t="str">
        <f ca="1">IF(History!JY$2="","",#REF!*$C$104)</f>
        <v/>
      </c>
      <c r="JV104" s="11" t="str">
        <f ca="1">IF(History!JZ$2="","",#REF!*$C$104)</f>
        <v/>
      </c>
      <c r="JW104" s="11" t="str">
        <f ca="1">IF(History!KA$2="","",#REF!*$C$104)</f>
        <v/>
      </c>
      <c r="JX104" s="11" t="str">
        <f ca="1">IF(History!KB$2="","",#REF!*$C$104)</f>
        <v/>
      </c>
      <c r="JY104" s="11" t="str">
        <f ca="1">IF(History!KC$2="","",#REF!*$C$104)</f>
        <v/>
      </c>
      <c r="JZ104" s="11" t="str">
        <f ca="1">IF(History!KD$2="","",#REF!*$C$104)</f>
        <v/>
      </c>
      <c r="KA104" s="11" t="str">
        <f ca="1">IF(History!KE$2="","",#REF!*$C$104)</f>
        <v/>
      </c>
      <c r="KB104" s="11" t="str">
        <f ca="1">IF(History!KF$2="","",#REF!*$C$104)</f>
        <v/>
      </c>
    </row>
    <row r="105" spans="1:288" ht="13">
      <c r="A105" s="18" t="s">
        <v>140</v>
      </c>
      <c r="B105" s="6" t="s">
        <v>181</v>
      </c>
      <c r="C105" s="26">
        <v>45</v>
      </c>
      <c r="D105" s="11" t="e">
        <f ca="1">IF(History!H$2="","",#REF!*$C$105)</f>
        <v>#REF!</v>
      </c>
      <c r="E105" s="11" t="e">
        <f ca="1">IF(History!I$2="","",#REF!*$C$105)</f>
        <v>#REF!</v>
      </c>
      <c r="F105" s="11" t="e">
        <f ca="1">IF(History!J$2="","",#REF!*$C$105)</f>
        <v>#REF!</v>
      </c>
      <c r="G105" s="11" t="e">
        <f ca="1">IF(History!K$2="","",#REF!*$C$105)</f>
        <v>#REF!</v>
      </c>
      <c r="H105" s="11" t="e">
        <f ca="1">IF(History!L$2="","",#REF!*$C$105)</f>
        <v>#REF!</v>
      </c>
      <c r="I105" s="11" t="e">
        <f ca="1">IF(History!M$2="","",#REF!*$C$105)</f>
        <v>#REF!</v>
      </c>
      <c r="J105" s="11" t="e">
        <f ca="1">IF(History!N$2="","",#REF!*$C$105)</f>
        <v>#REF!</v>
      </c>
      <c r="K105" s="11" t="e">
        <f ca="1">IF(History!O$2="","",#REF!*$C$105)</f>
        <v>#REF!</v>
      </c>
      <c r="L105" s="11" t="e">
        <f ca="1">IF(History!P$2="","",#REF!*$C$105)</f>
        <v>#REF!</v>
      </c>
      <c r="M105" s="11" t="e">
        <f ca="1">IF(History!Q$2="","",#REF!*$C$105)</f>
        <v>#REF!</v>
      </c>
      <c r="N105" s="11" t="e">
        <f ca="1">IF(History!R$2="","",#REF!*$C$105)</f>
        <v>#REF!</v>
      </c>
      <c r="O105" s="11" t="e">
        <f ca="1">IF(History!S$2="","",#REF!*$C$105)</f>
        <v>#REF!</v>
      </c>
      <c r="P105" s="11" t="e">
        <f ca="1">IF(History!T$2="","",#REF!*$C$105)</f>
        <v>#REF!</v>
      </c>
      <c r="Q105" s="11" t="e">
        <f ca="1">IF(History!U$2="","",#REF!*$C$105)</f>
        <v>#REF!</v>
      </c>
      <c r="R105" s="11" t="e">
        <f ca="1">IF(History!V$2="","",#REF!*$C$105)</f>
        <v>#REF!</v>
      </c>
      <c r="S105" s="11" t="e">
        <f ca="1">IF(History!W$2="","",#REF!*$C$105)</f>
        <v>#REF!</v>
      </c>
      <c r="T105" s="11" t="e">
        <f ca="1">IF(History!X$2="","",#REF!*$C$105)</f>
        <v>#REF!</v>
      </c>
      <c r="U105" s="11" t="e">
        <f ca="1">IF(History!Y$2="","",#REF!*$C$105)</f>
        <v>#REF!</v>
      </c>
      <c r="V105" s="11" t="e">
        <f ca="1">IF(History!Z$2="","",#REF!*$C$105)</f>
        <v>#REF!</v>
      </c>
      <c r="W105" s="11" t="e">
        <f ca="1">IF(History!AA$2="","",#REF!*$C$105)</f>
        <v>#REF!</v>
      </c>
      <c r="X105" s="11" t="e">
        <f ca="1">IF(History!AB$2="","",#REF!*$C$105)</f>
        <v>#REF!</v>
      </c>
      <c r="Y105" s="11" t="e">
        <f ca="1">IF(History!AC$2="","",#REF!*$C$105)</f>
        <v>#REF!</v>
      </c>
      <c r="Z105" s="11" t="e">
        <f ca="1">IF(History!AD$2="","",#REF!*$C$105)</f>
        <v>#REF!</v>
      </c>
      <c r="AA105" s="11" t="e">
        <f ca="1">IF(History!AE$2="","",#REF!*$C$105)</f>
        <v>#REF!</v>
      </c>
      <c r="AB105" s="11" t="e">
        <f ca="1">IF(History!AF$2="","",#REF!*$C$105)</f>
        <v>#REF!</v>
      </c>
      <c r="AC105" s="11" t="e">
        <f ca="1">IF(History!AG$2="","",#REF!*$C$105)</f>
        <v>#REF!</v>
      </c>
      <c r="AD105" s="11" t="e">
        <f ca="1">IF(History!AH$2="","",#REF!*$C$105)</f>
        <v>#REF!</v>
      </c>
      <c r="AE105" s="11" t="e">
        <f ca="1">IF(History!AI$2="","",#REF!*$C$105)</f>
        <v>#REF!</v>
      </c>
      <c r="AF105" s="11" t="e">
        <f ca="1">IF(History!AJ$2="","",#REF!*$C$105)</f>
        <v>#REF!</v>
      </c>
      <c r="AG105" s="11" t="e">
        <f ca="1">IF(History!AK$2="","",#REF!*$C$105)</f>
        <v>#REF!</v>
      </c>
      <c r="AH105" s="11" t="e">
        <f ca="1">IF(History!AL$2="","",#REF!*$C$105)</f>
        <v>#REF!</v>
      </c>
      <c r="AI105" s="11" t="e">
        <f ca="1">IF(History!AM$2="","",#REF!*$C$105)</f>
        <v>#REF!</v>
      </c>
      <c r="AJ105" s="11" t="e">
        <f ca="1">IF(History!AN$2="","",#REF!*$C$105)</f>
        <v>#REF!</v>
      </c>
      <c r="AK105" s="11" t="e">
        <f ca="1">IF(History!AO$2="","",#REF!*$C$105)</f>
        <v>#REF!</v>
      </c>
      <c r="AL105" s="11" t="e">
        <f ca="1">IF(History!AP$2="","",#REF!*$C$105)</f>
        <v>#REF!</v>
      </c>
      <c r="AM105" s="11" t="e">
        <f ca="1">IF(History!AQ$2="","",#REF!*$C$105)</f>
        <v>#REF!</v>
      </c>
      <c r="AN105" s="11" t="e">
        <f ca="1">IF(History!AR$2="","",#REF!*$C$105)</f>
        <v>#REF!</v>
      </c>
      <c r="AO105" s="11" t="e">
        <f ca="1">IF(History!AS$2="","",#REF!*$C$105)</f>
        <v>#REF!</v>
      </c>
      <c r="AP105" s="11" t="e">
        <f ca="1">IF(History!AT$2="","",#REF!*$C$105)</f>
        <v>#REF!</v>
      </c>
      <c r="AQ105" s="11" t="e">
        <f ca="1">IF(History!AU$2="","",#REF!*$C$105)</f>
        <v>#REF!</v>
      </c>
      <c r="AR105" s="11" t="e">
        <f ca="1">IF(History!AV$2="","",#REF!*$C$105)</f>
        <v>#REF!</v>
      </c>
      <c r="AS105" s="11" t="e">
        <f ca="1">IF(History!AW$2="","",#REF!*$C$105)</f>
        <v>#REF!</v>
      </c>
      <c r="AT105" s="11" t="e">
        <f ca="1">IF(History!AX$2="","",#REF!*$C$105)</f>
        <v>#REF!</v>
      </c>
      <c r="AU105" s="11" t="e">
        <f ca="1">IF(History!AY$2="","",#REF!*$C$105)</f>
        <v>#REF!</v>
      </c>
      <c r="AV105" s="11" t="e">
        <f ca="1">IF(History!AZ$2="","",#REF!*$C$105)</f>
        <v>#REF!</v>
      </c>
      <c r="AW105" s="11" t="e">
        <f ca="1">IF(History!BA$2="","",#REF!*$C$105)</f>
        <v>#REF!</v>
      </c>
      <c r="AX105" s="11" t="e">
        <f ca="1">IF(History!BB$2="","",#REF!*$C$105)</f>
        <v>#REF!</v>
      </c>
      <c r="AY105" s="11" t="e">
        <f ca="1">IF(History!BC$2="","",#REF!*$C$105)</f>
        <v>#REF!</v>
      </c>
      <c r="AZ105" s="11" t="e">
        <f ca="1">IF(History!BD$2="","",#REF!*$C$105)</f>
        <v>#REF!</v>
      </c>
      <c r="BA105" s="11" t="e">
        <f ca="1">IF(History!BE$2="","",#REF!*$C$105)</f>
        <v>#REF!</v>
      </c>
      <c r="BB105" s="11" t="e">
        <f ca="1">IF(History!BF$2="","",#REF!*$C$105)</f>
        <v>#REF!</v>
      </c>
      <c r="BC105" s="11" t="e">
        <f ca="1">IF(History!BG$2="","",#REF!*$C$105)</f>
        <v>#REF!</v>
      </c>
      <c r="BD105" s="11" t="e">
        <f ca="1">IF(History!BH$2="","",#REF!*$C$105)</f>
        <v>#REF!</v>
      </c>
      <c r="BE105" s="11" t="e">
        <f ca="1">IF(History!BI$2="","",#REF!*$C$105)</f>
        <v>#REF!</v>
      </c>
      <c r="BF105" s="11" t="e">
        <f ca="1">IF(History!BJ$2="","",#REF!*$C$105)</f>
        <v>#REF!</v>
      </c>
      <c r="BG105" s="11" t="e">
        <f ca="1">IF(History!BK$2="","",#REF!*$C$105)</f>
        <v>#REF!</v>
      </c>
      <c r="BH105" s="11" t="e">
        <f ca="1">IF(History!BL$2="","",#REF!*$C$105)</f>
        <v>#REF!</v>
      </c>
      <c r="BI105" s="11" t="e">
        <f ca="1">IF(History!BM$2="","",#REF!*$C$105)</f>
        <v>#REF!</v>
      </c>
      <c r="BJ105" s="11" t="e">
        <f ca="1">IF(History!BN$2="","",#REF!*$C$105)</f>
        <v>#REF!</v>
      </c>
      <c r="BK105" s="11" t="e">
        <f ca="1">IF(History!BO$2="","",#REF!*$C$105)</f>
        <v>#REF!</v>
      </c>
      <c r="BL105" s="11" t="e">
        <f ca="1">IF(History!BP$2="","",#REF!*$C$105)</f>
        <v>#REF!</v>
      </c>
      <c r="BM105" s="11" t="e">
        <f ca="1">IF(History!BQ$2="","",#REF!*$C$105)</f>
        <v>#REF!</v>
      </c>
      <c r="BN105" s="11" t="e">
        <f ca="1">IF(History!BR$2="","",#REF!*$C$105)</f>
        <v>#REF!</v>
      </c>
      <c r="BO105" s="11" t="e">
        <f ca="1">IF(History!BS$2="","",#REF!*$C$105)</f>
        <v>#REF!</v>
      </c>
      <c r="BP105" s="11" t="e">
        <f ca="1">IF(History!BT$2="","",#REF!*$C$105)</f>
        <v>#REF!</v>
      </c>
      <c r="BQ105" s="11" t="e">
        <f ca="1">IF(History!BU$2="","",#REF!*$C$105)</f>
        <v>#REF!</v>
      </c>
      <c r="BR105" s="11" t="e">
        <f ca="1">IF(History!BV$2="","",#REF!*$C$105)</f>
        <v>#REF!</v>
      </c>
      <c r="BS105" s="11" t="e">
        <f ca="1">IF(History!BW$2="","",#REF!*$C$105)</f>
        <v>#REF!</v>
      </c>
      <c r="BT105" s="11" t="e">
        <f ca="1">IF(History!BX$2="","",#REF!*$C$105)</f>
        <v>#REF!</v>
      </c>
      <c r="BU105" s="11" t="e">
        <f ca="1">IF(History!BY$2="","",#REF!*$C$105)</f>
        <v>#REF!</v>
      </c>
      <c r="BV105" s="11" t="e">
        <f ca="1">IF(History!BZ$2="","",#REF!*$C$105)</f>
        <v>#REF!</v>
      </c>
      <c r="BW105" s="11" t="e">
        <f ca="1">IF(History!CA$2="","",#REF!*$C$105)</f>
        <v>#REF!</v>
      </c>
      <c r="BX105" s="11" t="e">
        <f ca="1">IF(History!CB$2="","",#REF!*$C$105)</f>
        <v>#REF!</v>
      </c>
      <c r="BY105" s="11" t="e">
        <f ca="1">IF(History!CC$2="","",#REF!*$C$105)</f>
        <v>#REF!</v>
      </c>
      <c r="BZ105" s="11" t="e">
        <f ca="1">IF(History!CD$2="","",#REF!*$C$105)</f>
        <v>#REF!</v>
      </c>
      <c r="CA105" s="11" t="e">
        <f ca="1">IF(History!CE$2="","",#REF!*$C$105)</f>
        <v>#REF!</v>
      </c>
      <c r="CB105" s="11" t="e">
        <f ca="1">IF(History!CF$2="","",#REF!*$C$105)</f>
        <v>#REF!</v>
      </c>
      <c r="CC105" s="11" t="e">
        <f ca="1">IF(History!CG$2="","",#REF!*$C$105)</f>
        <v>#REF!</v>
      </c>
      <c r="CD105" s="11" t="e">
        <f ca="1">IF(History!CH$2="","",#REF!*$C$105)</f>
        <v>#REF!</v>
      </c>
      <c r="CE105" s="11" t="e">
        <f ca="1">IF(History!CI$2="","",#REF!*$C$105)</f>
        <v>#REF!</v>
      </c>
      <c r="CF105" s="11" t="str">
        <f ca="1">IF(History!CJ$2="","",#REF!*$C$105)</f>
        <v/>
      </c>
      <c r="CG105" s="11" t="str">
        <f ca="1">IF(History!CK$2="","",#REF!*$C$105)</f>
        <v/>
      </c>
      <c r="CH105" s="11" t="str">
        <f ca="1">IF(History!CL$2="","",#REF!*$C$105)</f>
        <v/>
      </c>
      <c r="CI105" s="11" t="str">
        <f ca="1">IF(History!CM$2="","",#REF!*$C$105)</f>
        <v/>
      </c>
      <c r="CJ105" s="11" t="str">
        <f ca="1">IF(History!CN$2="","",#REF!*$C$105)</f>
        <v/>
      </c>
      <c r="CK105" s="11" t="str">
        <f ca="1">IF(History!CO$2="","",#REF!*$C$105)</f>
        <v/>
      </c>
      <c r="CL105" s="11" t="str">
        <f ca="1">IF(History!CP$2="","",#REF!*$C$105)</f>
        <v/>
      </c>
      <c r="CM105" s="11" t="str">
        <f ca="1">IF(History!CQ$2="","",#REF!*$C$105)</f>
        <v/>
      </c>
      <c r="CN105" s="11" t="str">
        <f ca="1">IF(History!CR$2="","",#REF!*$C$105)</f>
        <v/>
      </c>
      <c r="CO105" s="11" t="str">
        <f ca="1">IF(History!CS$2="","",#REF!*$C$105)</f>
        <v/>
      </c>
      <c r="CP105" s="11" t="str">
        <f ca="1">IF(History!CT$2="","",#REF!*$C$105)</f>
        <v/>
      </c>
      <c r="CQ105" s="11" t="str">
        <f ca="1">IF(History!CU$2="","",#REF!*$C$105)</f>
        <v/>
      </c>
      <c r="CR105" s="11" t="str">
        <f ca="1">IF(History!CV$2="","",#REF!*$C$105)</f>
        <v/>
      </c>
      <c r="CS105" s="11" t="str">
        <f ca="1">IF(History!CW$2="","",#REF!*$C$105)</f>
        <v/>
      </c>
      <c r="CT105" s="11" t="str">
        <f ca="1">IF(History!CX$2="","",#REF!*$C$105)</f>
        <v/>
      </c>
      <c r="CU105" s="11" t="str">
        <f ca="1">IF(History!CY$2="","",#REF!*$C$105)</f>
        <v/>
      </c>
      <c r="CV105" s="11" t="str">
        <f ca="1">IF(History!CZ$2="","",#REF!*$C$105)</f>
        <v/>
      </c>
      <c r="CW105" s="11" t="str">
        <f ca="1">IF(History!DA$2="","",#REF!*$C$105)</f>
        <v/>
      </c>
      <c r="CX105" s="11" t="str">
        <f ca="1">IF(History!DB$2="","",#REF!*$C$105)</f>
        <v/>
      </c>
      <c r="CY105" s="11" t="str">
        <f ca="1">IF(History!DC$2="","",#REF!*$C$105)</f>
        <v/>
      </c>
      <c r="CZ105" s="11" t="str">
        <f ca="1">IF(History!DD$2="","",#REF!*$C$105)</f>
        <v/>
      </c>
      <c r="DA105" s="11" t="str">
        <f ca="1">IF(History!DE$2="","",#REF!*$C$105)</f>
        <v/>
      </c>
      <c r="DB105" s="11" t="str">
        <f ca="1">IF(History!DF$2="","",#REF!*$C$105)</f>
        <v/>
      </c>
      <c r="DC105" s="11" t="str">
        <f ca="1">IF(History!DG$2="","",#REF!*$C$105)</f>
        <v/>
      </c>
      <c r="DD105" s="11" t="str">
        <f ca="1">IF(History!DH$2="","",#REF!*$C$105)</f>
        <v/>
      </c>
      <c r="DE105" s="11" t="str">
        <f ca="1">IF(History!DI$2="","",#REF!*$C$105)</f>
        <v/>
      </c>
      <c r="DF105" s="11" t="str">
        <f ca="1">IF(History!DJ$2="","",#REF!*$C$105)</f>
        <v/>
      </c>
      <c r="DG105" s="11" t="str">
        <f ca="1">IF(History!DK$2="","",#REF!*$C$105)</f>
        <v/>
      </c>
      <c r="DH105" s="11" t="str">
        <f ca="1">IF(History!DL$2="","",#REF!*$C$105)</f>
        <v/>
      </c>
      <c r="DI105" s="11" t="str">
        <f ca="1">IF(History!DM$2="","",#REF!*$C$105)</f>
        <v/>
      </c>
      <c r="DJ105" s="11" t="str">
        <f ca="1">IF(History!DN$2="","",#REF!*$C$105)</f>
        <v/>
      </c>
      <c r="DK105" s="11" t="str">
        <f ca="1">IF(History!DO$2="","",#REF!*$C$105)</f>
        <v/>
      </c>
      <c r="DL105" s="11" t="str">
        <f ca="1">IF(History!DP$2="","",#REF!*$C$105)</f>
        <v/>
      </c>
      <c r="DM105" s="11" t="str">
        <f ca="1">IF(History!DQ$2="","",#REF!*$C$105)</f>
        <v/>
      </c>
      <c r="DN105" s="11" t="str">
        <f ca="1">IF(History!DR$2="","",#REF!*$C$105)</f>
        <v/>
      </c>
      <c r="DO105" s="11" t="str">
        <f ca="1">IF(History!DS$2="","",#REF!*$C$105)</f>
        <v/>
      </c>
      <c r="DP105" s="11" t="str">
        <f ca="1">IF(History!DT$2="","",#REF!*$C$105)</f>
        <v/>
      </c>
      <c r="DQ105" s="11" t="str">
        <f ca="1">IF(History!DU$2="","",#REF!*$C$105)</f>
        <v/>
      </c>
      <c r="DR105" s="11" t="str">
        <f ca="1">IF(History!DV$2="","",#REF!*$C$105)</f>
        <v/>
      </c>
      <c r="DS105" s="11" t="str">
        <f ca="1">IF(History!DW$2="","",#REF!*$C$105)</f>
        <v/>
      </c>
      <c r="DT105" s="11" t="str">
        <f ca="1">IF(History!DX$2="","",#REF!*$C$105)</f>
        <v/>
      </c>
      <c r="DU105" s="11" t="str">
        <f ca="1">IF(History!DY$2="","",#REF!*$C$105)</f>
        <v/>
      </c>
      <c r="DV105" s="11" t="str">
        <f ca="1">IF(History!DZ$2="","",#REF!*$C$105)</f>
        <v/>
      </c>
      <c r="DW105" s="11" t="str">
        <f ca="1">IF(History!EA$2="","",#REF!*$C$105)</f>
        <v/>
      </c>
      <c r="DX105" s="11" t="str">
        <f ca="1">IF(History!EB$2="","",#REF!*$C$105)</f>
        <v/>
      </c>
      <c r="DY105" s="11" t="str">
        <f ca="1">IF(History!EC$2="","",#REF!*$C$105)</f>
        <v/>
      </c>
      <c r="DZ105" s="11" t="str">
        <f ca="1">IF(History!ED$2="","",#REF!*$C$105)</f>
        <v/>
      </c>
      <c r="EA105" s="11" t="str">
        <f ca="1">IF(History!EE$2="","",#REF!*$C$105)</f>
        <v/>
      </c>
      <c r="EB105" s="11" t="str">
        <f ca="1">IF(History!EF$2="","",#REF!*$C$105)</f>
        <v/>
      </c>
      <c r="EC105" s="11" t="str">
        <f ca="1">IF(History!EG$2="","",#REF!*$C$105)</f>
        <v/>
      </c>
      <c r="ED105" s="11" t="str">
        <f ca="1">IF(History!EH$2="","",#REF!*$C$105)</f>
        <v/>
      </c>
      <c r="EE105" s="11" t="str">
        <f ca="1">IF(History!EI$2="","",#REF!*$C$105)</f>
        <v/>
      </c>
      <c r="EF105" s="11" t="str">
        <f ca="1">IF(History!EJ$2="","",#REF!*$C$105)</f>
        <v/>
      </c>
      <c r="EG105" s="11" t="str">
        <f ca="1">IF(History!EK$2="","",#REF!*$C$105)</f>
        <v/>
      </c>
      <c r="EH105" s="11" t="str">
        <f ca="1">IF(History!EL$2="","",#REF!*$C$105)</f>
        <v/>
      </c>
      <c r="EI105" s="11" t="str">
        <f ca="1">IF(History!EM$2="","",#REF!*$C$105)</f>
        <v/>
      </c>
      <c r="EJ105" s="11" t="str">
        <f ca="1">IF(History!EN$2="","",#REF!*$C$105)</f>
        <v/>
      </c>
      <c r="EK105" s="11" t="str">
        <f ca="1">IF(History!EO$2="","",#REF!*$C$105)</f>
        <v/>
      </c>
      <c r="EL105" s="11" t="str">
        <f ca="1">IF(History!EP$2="","",#REF!*$C$105)</f>
        <v/>
      </c>
      <c r="EM105" s="11" t="str">
        <f ca="1">IF(History!EQ$2="","",#REF!*$C$105)</f>
        <v/>
      </c>
      <c r="EN105" s="11" t="str">
        <f ca="1">IF(History!ER$2="","",#REF!*$C$105)</f>
        <v/>
      </c>
      <c r="EO105" s="11" t="str">
        <f ca="1">IF(History!ES$2="","",#REF!*$C$105)</f>
        <v/>
      </c>
      <c r="EP105" s="11" t="str">
        <f ca="1">IF(History!ET$2="","",#REF!*$C$105)</f>
        <v/>
      </c>
      <c r="EQ105" s="11" t="str">
        <f ca="1">IF(History!EU$2="","",#REF!*$C$105)</f>
        <v/>
      </c>
      <c r="ER105" s="11" t="str">
        <f ca="1">IF(History!EV$2="","",#REF!*$C$105)</f>
        <v/>
      </c>
      <c r="ES105" s="11" t="str">
        <f ca="1">IF(History!EW$2="","",#REF!*$C$105)</f>
        <v/>
      </c>
      <c r="ET105" s="11" t="str">
        <f ca="1">IF(History!EX$2="","",#REF!*$C$105)</f>
        <v/>
      </c>
      <c r="EU105" s="11" t="str">
        <f ca="1">IF(History!EY$2="","",#REF!*$C$105)</f>
        <v/>
      </c>
      <c r="EV105" s="11" t="str">
        <f ca="1">IF(History!EZ$2="","",#REF!*$C$105)</f>
        <v/>
      </c>
      <c r="EW105" s="11" t="str">
        <f ca="1">IF(History!FA$2="","",#REF!*$C$105)</f>
        <v/>
      </c>
      <c r="EX105" s="11" t="str">
        <f ca="1">IF(History!FB$2="","",#REF!*$C$105)</f>
        <v/>
      </c>
      <c r="EY105" s="11" t="str">
        <f ca="1">IF(History!FC$2="","",#REF!*$C$105)</f>
        <v/>
      </c>
      <c r="EZ105" s="11" t="str">
        <f ca="1">IF(History!FD$2="","",#REF!*$C$105)</f>
        <v/>
      </c>
      <c r="FA105" s="11" t="str">
        <f ca="1">IF(History!FE$2="","",#REF!*$C$105)</f>
        <v/>
      </c>
      <c r="FB105" s="11" t="str">
        <f ca="1">IF(History!FF$2="","",#REF!*$C$105)</f>
        <v/>
      </c>
      <c r="FC105" s="11" t="str">
        <f ca="1">IF(History!FG$2="","",#REF!*$C$105)</f>
        <v/>
      </c>
      <c r="FD105" s="11" t="str">
        <f ca="1">IF(History!FH$2="","",#REF!*$C$105)</f>
        <v/>
      </c>
      <c r="FE105" s="11" t="str">
        <f ca="1">IF(History!FI$2="","",#REF!*$C$105)</f>
        <v/>
      </c>
      <c r="FF105" s="11" t="str">
        <f ca="1">IF(History!FJ$2="","",#REF!*$C$105)</f>
        <v/>
      </c>
      <c r="FG105" s="11" t="str">
        <f ca="1">IF(History!FK$2="","",#REF!*$C$105)</f>
        <v/>
      </c>
      <c r="FH105" s="11" t="str">
        <f ca="1">IF(History!FL$2="","",#REF!*$C$105)</f>
        <v/>
      </c>
      <c r="FI105" s="11" t="str">
        <f ca="1">IF(History!FM$2="","",#REF!*$C$105)</f>
        <v/>
      </c>
      <c r="FJ105" s="11" t="str">
        <f ca="1">IF(History!FN$2="","",#REF!*$C$105)</f>
        <v/>
      </c>
      <c r="FK105" s="11" t="str">
        <f ca="1">IF(History!FO$2="","",#REF!*$C$105)</f>
        <v/>
      </c>
      <c r="FL105" s="11" t="str">
        <f ca="1">IF(History!FP$2="","",#REF!*$C$105)</f>
        <v/>
      </c>
      <c r="FM105" s="11" t="str">
        <f ca="1">IF(History!FQ$2="","",#REF!*$C$105)</f>
        <v/>
      </c>
      <c r="FN105" s="11" t="str">
        <f ca="1">IF(History!FR$2="","",#REF!*$C$105)</f>
        <v/>
      </c>
      <c r="FO105" s="11" t="str">
        <f ca="1">IF(History!FS$2="","",#REF!*$C$105)</f>
        <v/>
      </c>
      <c r="FP105" s="11" t="str">
        <f ca="1">IF(History!FT$2="","",#REF!*$C$105)</f>
        <v/>
      </c>
      <c r="FQ105" s="11" t="str">
        <f ca="1">IF(History!FU$2="","",#REF!*$C$105)</f>
        <v/>
      </c>
      <c r="FR105" s="11" t="str">
        <f ca="1">IF(History!FV$2="","",#REF!*$C$105)</f>
        <v/>
      </c>
      <c r="FS105" s="11" t="str">
        <f ca="1">IF(History!FW$2="","",#REF!*$C$105)</f>
        <v/>
      </c>
      <c r="FT105" s="11" t="str">
        <f ca="1">IF(History!FX$2="","",#REF!*$C$105)</f>
        <v/>
      </c>
      <c r="FU105" s="11" t="str">
        <f ca="1">IF(History!FY$2="","",#REF!*$C$105)</f>
        <v/>
      </c>
      <c r="FV105" s="11" t="str">
        <f ca="1">IF(History!FZ$2="","",#REF!*$C$105)</f>
        <v/>
      </c>
      <c r="FW105" s="11" t="str">
        <f ca="1">IF(History!GA$2="","",#REF!*$C$105)</f>
        <v/>
      </c>
      <c r="FX105" s="11" t="str">
        <f ca="1">IF(History!GB$2="","",#REF!*$C$105)</f>
        <v/>
      </c>
      <c r="FY105" s="11" t="str">
        <f ca="1">IF(History!GC$2="","",#REF!*$C$105)</f>
        <v/>
      </c>
      <c r="FZ105" s="11" t="str">
        <f ca="1">IF(History!GD$2="","",#REF!*$C$105)</f>
        <v/>
      </c>
      <c r="GA105" s="11" t="str">
        <f ca="1">IF(History!GE$2="","",#REF!*$C$105)</f>
        <v/>
      </c>
      <c r="GB105" s="11" t="str">
        <f ca="1">IF(History!GF$2="","",#REF!*$C$105)</f>
        <v/>
      </c>
      <c r="GC105" s="11" t="str">
        <f ca="1">IF(History!GG$2="","",#REF!*$C$105)</f>
        <v/>
      </c>
      <c r="GD105" s="11" t="str">
        <f ca="1">IF(History!GH$2="","",#REF!*$C$105)</f>
        <v/>
      </c>
      <c r="GE105" s="11" t="str">
        <f ca="1">IF(History!GI$2="","",#REF!*$C$105)</f>
        <v/>
      </c>
      <c r="GF105" s="11" t="str">
        <f ca="1">IF(History!GJ$2="","",#REF!*$C$105)</f>
        <v/>
      </c>
      <c r="GG105" s="11" t="str">
        <f ca="1">IF(History!GK$2="","",#REF!*$C$105)</f>
        <v/>
      </c>
      <c r="GH105" s="11" t="str">
        <f ca="1">IF(History!GL$2="","",#REF!*$C$105)</f>
        <v/>
      </c>
      <c r="GI105" s="11" t="str">
        <f ca="1">IF(History!GM$2="","",#REF!*$C$105)</f>
        <v/>
      </c>
      <c r="GJ105" s="11" t="str">
        <f ca="1">IF(History!GN$2="","",#REF!*$C$105)</f>
        <v/>
      </c>
      <c r="GK105" s="11" t="str">
        <f ca="1">IF(History!GO$2="","",#REF!*$C$105)</f>
        <v/>
      </c>
      <c r="GL105" s="11" t="str">
        <f ca="1">IF(History!GP$2="","",#REF!*$C$105)</f>
        <v/>
      </c>
      <c r="GM105" s="11" t="str">
        <f ca="1">IF(History!GQ$2="","",#REF!*$C$105)</f>
        <v/>
      </c>
      <c r="GN105" s="11" t="str">
        <f ca="1">IF(History!GR$2="","",#REF!*$C$105)</f>
        <v/>
      </c>
      <c r="GO105" s="11" t="str">
        <f ca="1">IF(History!GS$2="","",#REF!*$C$105)</f>
        <v/>
      </c>
      <c r="GP105" s="11" t="str">
        <f ca="1">IF(History!GT$2="","",#REF!*$C$105)</f>
        <v/>
      </c>
      <c r="GQ105" s="11" t="str">
        <f ca="1">IF(History!GU$2="","",#REF!*$C$105)</f>
        <v/>
      </c>
      <c r="GR105" s="11" t="str">
        <f ca="1">IF(History!GV$2="","",#REF!*$C$105)</f>
        <v/>
      </c>
      <c r="GS105" s="11" t="str">
        <f ca="1">IF(History!GW$2="","",#REF!*$C$105)</f>
        <v/>
      </c>
      <c r="GT105" s="11" t="str">
        <f ca="1">IF(History!GX$2="","",#REF!*$C$105)</f>
        <v/>
      </c>
      <c r="GU105" s="11" t="str">
        <f ca="1">IF(History!GY$2="","",#REF!*$C$105)</f>
        <v/>
      </c>
      <c r="GV105" s="11" t="str">
        <f ca="1">IF(History!GZ$2="","",#REF!*$C$105)</f>
        <v/>
      </c>
      <c r="GW105" s="11" t="str">
        <f ca="1">IF(History!HA$2="","",#REF!*$C$105)</f>
        <v/>
      </c>
      <c r="GX105" s="11" t="str">
        <f ca="1">IF(History!HB$2="","",#REF!*$C$105)</f>
        <v/>
      </c>
      <c r="GY105" s="11" t="str">
        <f ca="1">IF(History!HC$2="","",#REF!*$C$105)</f>
        <v/>
      </c>
      <c r="GZ105" s="11" t="str">
        <f ca="1">IF(History!HD$2="","",#REF!*$C$105)</f>
        <v/>
      </c>
      <c r="HA105" s="11" t="str">
        <f ca="1">IF(History!HE$2="","",#REF!*$C$105)</f>
        <v/>
      </c>
      <c r="HB105" s="11" t="str">
        <f ca="1">IF(History!HF$2="","",#REF!*$C$105)</f>
        <v/>
      </c>
      <c r="HC105" s="11" t="str">
        <f ca="1">IF(History!HG$2="","",#REF!*$C$105)</f>
        <v/>
      </c>
      <c r="HD105" s="11" t="str">
        <f ca="1">IF(History!HH$2="","",#REF!*$C$105)</f>
        <v/>
      </c>
      <c r="HE105" s="11" t="str">
        <f ca="1">IF(History!HI$2="","",#REF!*$C$105)</f>
        <v/>
      </c>
      <c r="HF105" s="11" t="str">
        <f ca="1">IF(History!HJ$2="","",#REF!*$C$105)</f>
        <v/>
      </c>
      <c r="HG105" s="11" t="str">
        <f ca="1">IF(History!HK$2="","",#REF!*$C$105)</f>
        <v/>
      </c>
      <c r="HH105" s="11" t="str">
        <f ca="1">IF(History!HL$2="","",#REF!*$C$105)</f>
        <v/>
      </c>
      <c r="HI105" s="11" t="str">
        <f ca="1">IF(History!HM$2="","",#REF!*$C$105)</f>
        <v/>
      </c>
      <c r="HJ105" s="11" t="str">
        <f ca="1">IF(History!HN$2="","",#REF!*$C$105)</f>
        <v/>
      </c>
      <c r="HK105" s="11" t="str">
        <f ca="1">IF(History!HO$2="","",#REF!*$C$105)</f>
        <v/>
      </c>
      <c r="HL105" s="11" t="str">
        <f ca="1">IF(History!HP$2="","",#REF!*$C$105)</f>
        <v/>
      </c>
      <c r="HM105" s="11" t="str">
        <f ca="1">IF(History!HQ$2="","",#REF!*$C$105)</f>
        <v/>
      </c>
      <c r="HN105" s="11" t="str">
        <f ca="1">IF(History!HR$2="","",#REF!*$C$105)</f>
        <v/>
      </c>
      <c r="HO105" s="11" t="str">
        <f ca="1">IF(History!HS$2="","",#REF!*$C$105)</f>
        <v/>
      </c>
      <c r="HP105" s="11" t="str">
        <f ca="1">IF(History!HT$2="","",#REF!*$C$105)</f>
        <v/>
      </c>
      <c r="HQ105" s="11" t="str">
        <f ca="1">IF(History!HU$2="","",#REF!*$C$105)</f>
        <v/>
      </c>
      <c r="HR105" s="11" t="str">
        <f ca="1">IF(History!HV$2="","",#REF!*$C$105)</f>
        <v/>
      </c>
      <c r="HS105" s="11" t="str">
        <f ca="1">IF(History!HW$2="","",#REF!*$C$105)</f>
        <v/>
      </c>
      <c r="HT105" s="11" t="str">
        <f ca="1">IF(History!HX$2="","",#REF!*$C$105)</f>
        <v/>
      </c>
      <c r="HU105" s="11" t="str">
        <f ca="1">IF(History!HY$2="","",#REF!*$C$105)</f>
        <v/>
      </c>
      <c r="HV105" s="11" t="str">
        <f ca="1">IF(History!HZ$2="","",#REF!*$C$105)</f>
        <v/>
      </c>
      <c r="HW105" s="11" t="str">
        <f ca="1">IF(History!IA$2="","",#REF!*$C$105)</f>
        <v/>
      </c>
      <c r="HX105" s="11" t="str">
        <f ca="1">IF(History!IB$2="","",#REF!*$C$105)</f>
        <v/>
      </c>
      <c r="HY105" s="11" t="str">
        <f ca="1">IF(History!IC$2="","",#REF!*$C$105)</f>
        <v/>
      </c>
      <c r="HZ105" s="11" t="str">
        <f ca="1">IF(History!ID$2="","",#REF!*$C$105)</f>
        <v/>
      </c>
      <c r="IA105" s="11" t="str">
        <f ca="1">IF(History!IE$2="","",#REF!*$C$105)</f>
        <v/>
      </c>
      <c r="IB105" s="11" t="str">
        <f ca="1">IF(History!IF$2="","",#REF!*$C$105)</f>
        <v/>
      </c>
      <c r="IC105" s="11" t="str">
        <f ca="1">IF(History!IG$2="","",#REF!*$C$105)</f>
        <v/>
      </c>
      <c r="ID105" s="11" t="str">
        <f ca="1">IF(History!IH$2="","",#REF!*$C$105)</f>
        <v/>
      </c>
      <c r="IE105" s="11" t="str">
        <f ca="1">IF(History!II$2="","",#REF!*$C$105)</f>
        <v/>
      </c>
      <c r="IF105" s="11" t="str">
        <f ca="1">IF(History!IJ$2="","",#REF!*$C$105)</f>
        <v/>
      </c>
      <c r="IG105" s="11" t="str">
        <f ca="1">IF(History!IK$2="","",#REF!*$C$105)</f>
        <v/>
      </c>
      <c r="IH105" s="11" t="str">
        <f ca="1">IF(History!IL$2="","",#REF!*$C$105)</f>
        <v/>
      </c>
      <c r="II105" s="11" t="str">
        <f ca="1">IF(History!IM$2="","",#REF!*$C$105)</f>
        <v/>
      </c>
      <c r="IJ105" s="11" t="str">
        <f ca="1">IF(History!IN$2="","",#REF!*$C$105)</f>
        <v/>
      </c>
      <c r="IK105" s="11" t="str">
        <f ca="1">IF(History!IO$2="","",#REF!*$C$105)</f>
        <v/>
      </c>
      <c r="IL105" s="11" t="str">
        <f ca="1">IF(History!IP$2="","",#REF!*$C$105)</f>
        <v/>
      </c>
      <c r="IM105" s="11" t="str">
        <f ca="1">IF(History!IQ$2="","",#REF!*$C$105)</f>
        <v/>
      </c>
      <c r="IN105" s="11" t="str">
        <f ca="1">IF(History!IR$2="","",#REF!*$C$105)</f>
        <v/>
      </c>
      <c r="IO105" s="11" t="str">
        <f ca="1">IF(History!IS$2="","",#REF!*$C$105)</f>
        <v/>
      </c>
      <c r="IP105" s="11" t="str">
        <f ca="1">IF(History!IT$2="","",#REF!*$C$105)</f>
        <v/>
      </c>
      <c r="IQ105" s="11" t="str">
        <f ca="1">IF(History!IU$2="","",#REF!*$C$105)</f>
        <v/>
      </c>
      <c r="IR105" s="11" t="str">
        <f ca="1">IF(History!IV$2="","",#REF!*$C$105)</f>
        <v/>
      </c>
      <c r="IS105" s="11" t="str">
        <f ca="1">IF(History!IW$2="","",#REF!*$C$105)</f>
        <v/>
      </c>
      <c r="IT105" s="11" t="str">
        <f ca="1">IF(History!IX$2="","",#REF!*$C$105)</f>
        <v/>
      </c>
      <c r="IU105" s="11" t="str">
        <f ca="1">IF(History!IY$2="","",#REF!*$C$105)</f>
        <v/>
      </c>
      <c r="IV105" s="11" t="str">
        <f ca="1">IF(History!IZ$2="","",#REF!*$C$105)</f>
        <v/>
      </c>
      <c r="IW105" s="11" t="str">
        <f ca="1">IF(History!JA$2="","",#REF!*$C$105)</f>
        <v/>
      </c>
      <c r="IX105" s="11" t="str">
        <f ca="1">IF(History!JB$2="","",#REF!*$C$105)</f>
        <v/>
      </c>
      <c r="IY105" s="11" t="str">
        <f ca="1">IF(History!JC$2="","",#REF!*$C$105)</f>
        <v/>
      </c>
      <c r="IZ105" s="11" t="str">
        <f ca="1">IF(History!JD$2="","",#REF!*$C$105)</f>
        <v/>
      </c>
      <c r="JA105" s="11" t="str">
        <f ca="1">IF(History!JE$2="","",#REF!*$C$105)</f>
        <v/>
      </c>
      <c r="JB105" s="11" t="str">
        <f ca="1">IF(History!JF$2="","",#REF!*$C$105)</f>
        <v/>
      </c>
      <c r="JC105" s="11" t="str">
        <f ca="1">IF(History!JG$2="","",#REF!*$C$105)</f>
        <v/>
      </c>
      <c r="JD105" s="11" t="str">
        <f ca="1">IF(History!JH$2="","",#REF!*$C$105)</f>
        <v/>
      </c>
      <c r="JE105" s="11" t="str">
        <f ca="1">IF(History!JI$2="","",#REF!*$C$105)</f>
        <v/>
      </c>
      <c r="JF105" s="11" t="str">
        <f ca="1">IF(History!JJ$2="","",#REF!*$C$105)</f>
        <v/>
      </c>
      <c r="JG105" s="11" t="str">
        <f ca="1">IF(History!JK$2="","",#REF!*$C$105)</f>
        <v/>
      </c>
      <c r="JH105" s="11" t="str">
        <f ca="1">IF(History!JL$2="","",#REF!*$C$105)</f>
        <v/>
      </c>
      <c r="JI105" s="11" t="str">
        <f ca="1">IF(History!JM$2="","",#REF!*$C$105)</f>
        <v/>
      </c>
      <c r="JJ105" s="11" t="str">
        <f ca="1">IF(History!JN$2="","",#REF!*$C$105)</f>
        <v/>
      </c>
      <c r="JK105" s="11" t="str">
        <f ca="1">IF(History!JO$2="","",#REF!*$C$105)</f>
        <v/>
      </c>
      <c r="JL105" s="11" t="str">
        <f ca="1">IF(History!JP$2="","",#REF!*$C$105)</f>
        <v/>
      </c>
      <c r="JM105" s="11" t="str">
        <f ca="1">IF(History!JQ$2="","",#REF!*$C$105)</f>
        <v/>
      </c>
      <c r="JN105" s="11" t="str">
        <f ca="1">IF(History!JR$2="","",#REF!*$C$105)</f>
        <v/>
      </c>
      <c r="JO105" s="11" t="str">
        <f ca="1">IF(History!JS$2="","",#REF!*$C$105)</f>
        <v/>
      </c>
      <c r="JP105" s="11" t="str">
        <f ca="1">IF(History!JT$2="","",#REF!*$C$105)</f>
        <v/>
      </c>
      <c r="JQ105" s="11" t="str">
        <f ca="1">IF(History!JU$2="","",#REF!*$C$105)</f>
        <v/>
      </c>
      <c r="JR105" s="11" t="str">
        <f ca="1">IF(History!JV$2="","",#REF!*$C$105)</f>
        <v/>
      </c>
      <c r="JS105" s="11" t="str">
        <f ca="1">IF(History!JW$2="","",#REF!*$C$105)</f>
        <v/>
      </c>
      <c r="JT105" s="11" t="str">
        <f ca="1">IF(History!JX$2="","",#REF!*$C$105)</f>
        <v/>
      </c>
      <c r="JU105" s="11" t="str">
        <f ca="1">IF(History!JY$2="","",#REF!*$C$105)</f>
        <v/>
      </c>
      <c r="JV105" s="11" t="str">
        <f ca="1">IF(History!JZ$2="","",#REF!*$C$105)</f>
        <v/>
      </c>
      <c r="JW105" s="11" t="str">
        <f ca="1">IF(History!KA$2="","",#REF!*$C$105)</f>
        <v/>
      </c>
      <c r="JX105" s="11" t="str">
        <f ca="1">IF(History!KB$2="","",#REF!*$C$105)</f>
        <v/>
      </c>
      <c r="JY105" s="11" t="str">
        <f ca="1">IF(History!KC$2="","",#REF!*$C$105)</f>
        <v/>
      </c>
      <c r="JZ105" s="11" t="str">
        <f ca="1">IF(History!KD$2="","",#REF!*$C$105)</f>
        <v/>
      </c>
      <c r="KA105" s="11" t="str">
        <f ca="1">IF(History!KE$2="","",#REF!*$C$105)</f>
        <v/>
      </c>
      <c r="KB105" s="11" t="str">
        <f ca="1">IF(History!KF$2="","",#REF!*$C$105)</f>
        <v/>
      </c>
    </row>
    <row r="106" spans="1:288" ht="13">
      <c r="A106" s="18" t="s">
        <v>140</v>
      </c>
      <c r="B106" s="6" t="s">
        <v>182</v>
      </c>
      <c r="C106" s="26">
        <v>30</v>
      </c>
      <c r="D106" s="11" t="e">
        <f ca="1">IF(History!H$2="","",#REF!*$C$106)</f>
        <v>#REF!</v>
      </c>
      <c r="E106" s="11" t="e">
        <f ca="1">IF(History!I$2="","",#REF!*$C$106)</f>
        <v>#REF!</v>
      </c>
      <c r="F106" s="11" t="e">
        <f ca="1">IF(History!J$2="","",#REF!*$C$106)</f>
        <v>#REF!</v>
      </c>
      <c r="G106" s="11" t="e">
        <f ca="1">IF(History!K$2="","",#REF!*$C$106)</f>
        <v>#REF!</v>
      </c>
      <c r="H106" s="11" t="e">
        <f ca="1">IF(History!L$2="","",#REF!*$C$106)</f>
        <v>#REF!</v>
      </c>
      <c r="I106" s="11" t="e">
        <f ca="1">IF(History!M$2="","",#REF!*$C$106)</f>
        <v>#REF!</v>
      </c>
      <c r="J106" s="11" t="e">
        <f ca="1">IF(History!N$2="","",#REF!*$C$106)</f>
        <v>#REF!</v>
      </c>
      <c r="K106" s="11" t="e">
        <f ca="1">IF(History!O$2="","",#REF!*$C$106)</f>
        <v>#REF!</v>
      </c>
      <c r="L106" s="11" t="e">
        <f ca="1">IF(History!P$2="","",#REF!*$C$106)</f>
        <v>#REF!</v>
      </c>
      <c r="M106" s="11" t="e">
        <f ca="1">IF(History!Q$2="","",#REF!*$C$106)</f>
        <v>#REF!</v>
      </c>
      <c r="N106" s="11" t="e">
        <f ca="1">IF(History!R$2="","",#REF!*$C$106)</f>
        <v>#REF!</v>
      </c>
      <c r="O106" s="11" t="e">
        <f ca="1">IF(History!S$2="","",#REF!*$C$106)</f>
        <v>#REF!</v>
      </c>
      <c r="P106" s="11" t="e">
        <f ca="1">IF(History!T$2="","",#REF!*$C$106)</f>
        <v>#REF!</v>
      </c>
      <c r="Q106" s="11" t="e">
        <f ca="1">IF(History!U$2="","",#REF!*$C$106)</f>
        <v>#REF!</v>
      </c>
      <c r="R106" s="11" t="e">
        <f ca="1">IF(History!V$2="","",#REF!*$C$106)</f>
        <v>#REF!</v>
      </c>
      <c r="S106" s="11" t="e">
        <f ca="1">IF(History!W$2="","",#REF!*$C$106)</f>
        <v>#REF!</v>
      </c>
      <c r="T106" s="11" t="e">
        <f ca="1">IF(History!X$2="","",#REF!*$C$106)</f>
        <v>#REF!</v>
      </c>
      <c r="U106" s="11" t="e">
        <f ca="1">IF(History!Y$2="","",#REF!*$C$106)</f>
        <v>#REF!</v>
      </c>
      <c r="V106" s="11" t="e">
        <f ca="1">IF(History!Z$2="","",#REF!*$C$106)</f>
        <v>#REF!</v>
      </c>
      <c r="W106" s="11" t="e">
        <f ca="1">IF(History!AA$2="","",#REF!*$C$106)</f>
        <v>#REF!</v>
      </c>
      <c r="X106" s="11" t="e">
        <f ca="1">IF(History!AB$2="","",#REF!*$C$106)</f>
        <v>#REF!</v>
      </c>
      <c r="Y106" s="11" t="e">
        <f ca="1">IF(History!AC$2="","",#REF!*$C$106)</f>
        <v>#REF!</v>
      </c>
      <c r="Z106" s="11" t="e">
        <f ca="1">IF(History!AD$2="","",#REF!*$C$106)</f>
        <v>#REF!</v>
      </c>
      <c r="AA106" s="11" t="e">
        <f ca="1">IF(History!AE$2="","",#REF!*$C$106)</f>
        <v>#REF!</v>
      </c>
      <c r="AB106" s="11" t="e">
        <f ca="1">IF(History!AF$2="","",#REF!*$C$106)</f>
        <v>#REF!</v>
      </c>
      <c r="AC106" s="11" t="e">
        <f ca="1">IF(History!AG$2="","",#REF!*$C$106)</f>
        <v>#REF!</v>
      </c>
      <c r="AD106" s="11" t="e">
        <f ca="1">IF(History!AH$2="","",#REF!*$C$106)</f>
        <v>#REF!</v>
      </c>
      <c r="AE106" s="11" t="e">
        <f ca="1">IF(History!AI$2="","",#REF!*$C$106)</f>
        <v>#REF!</v>
      </c>
      <c r="AF106" s="11" t="e">
        <f ca="1">IF(History!AJ$2="","",#REF!*$C$106)</f>
        <v>#REF!</v>
      </c>
      <c r="AG106" s="11" t="e">
        <f ca="1">IF(History!AK$2="","",#REF!*$C$106)</f>
        <v>#REF!</v>
      </c>
      <c r="AH106" s="11" t="e">
        <f ca="1">IF(History!AL$2="","",#REF!*$C$106)</f>
        <v>#REF!</v>
      </c>
      <c r="AI106" s="11" t="e">
        <f ca="1">IF(History!AM$2="","",#REF!*$C$106)</f>
        <v>#REF!</v>
      </c>
      <c r="AJ106" s="11" t="e">
        <f ca="1">IF(History!AN$2="","",#REF!*$C$106)</f>
        <v>#REF!</v>
      </c>
      <c r="AK106" s="11" t="e">
        <f ca="1">IF(History!AO$2="","",#REF!*$C$106)</f>
        <v>#REF!</v>
      </c>
      <c r="AL106" s="11" t="e">
        <f ca="1">IF(History!AP$2="","",#REF!*$C$106)</f>
        <v>#REF!</v>
      </c>
      <c r="AM106" s="11" t="e">
        <f ca="1">IF(History!AQ$2="","",#REF!*$C$106)</f>
        <v>#REF!</v>
      </c>
      <c r="AN106" s="11" t="e">
        <f ca="1">IF(History!AR$2="","",#REF!*$C$106)</f>
        <v>#REF!</v>
      </c>
      <c r="AO106" s="11" t="e">
        <f ca="1">IF(History!AS$2="","",#REF!*$C$106)</f>
        <v>#REF!</v>
      </c>
      <c r="AP106" s="11" t="e">
        <f ca="1">IF(History!AT$2="","",#REF!*$C$106)</f>
        <v>#REF!</v>
      </c>
      <c r="AQ106" s="11" t="e">
        <f ca="1">IF(History!AU$2="","",#REF!*$C$106)</f>
        <v>#REF!</v>
      </c>
      <c r="AR106" s="11" t="e">
        <f ca="1">IF(History!AV$2="","",#REF!*$C$106)</f>
        <v>#REF!</v>
      </c>
      <c r="AS106" s="11" t="e">
        <f ca="1">IF(History!AW$2="","",#REF!*$C$106)</f>
        <v>#REF!</v>
      </c>
      <c r="AT106" s="11" t="e">
        <f ca="1">IF(History!AX$2="","",#REF!*$C$106)</f>
        <v>#REF!</v>
      </c>
      <c r="AU106" s="11" t="e">
        <f ca="1">IF(History!AY$2="","",#REF!*$C$106)</f>
        <v>#REF!</v>
      </c>
      <c r="AV106" s="11" t="e">
        <f ca="1">IF(History!AZ$2="","",#REF!*$C$106)</f>
        <v>#REF!</v>
      </c>
      <c r="AW106" s="11" t="e">
        <f ca="1">IF(History!BA$2="","",#REF!*$C$106)</f>
        <v>#REF!</v>
      </c>
      <c r="AX106" s="11" t="e">
        <f ca="1">IF(History!BB$2="","",#REF!*$C$106)</f>
        <v>#REF!</v>
      </c>
      <c r="AY106" s="11" t="e">
        <f ca="1">IF(History!BC$2="","",#REF!*$C$106)</f>
        <v>#REF!</v>
      </c>
      <c r="AZ106" s="11" t="e">
        <f ca="1">IF(History!BD$2="","",#REF!*$C$106)</f>
        <v>#REF!</v>
      </c>
      <c r="BA106" s="11" t="e">
        <f ca="1">IF(History!BE$2="","",#REF!*$C$106)</f>
        <v>#REF!</v>
      </c>
      <c r="BB106" s="11" t="e">
        <f ca="1">IF(History!BF$2="","",#REF!*$C$106)</f>
        <v>#REF!</v>
      </c>
      <c r="BC106" s="11" t="e">
        <f ca="1">IF(History!BG$2="","",#REF!*$C$106)</f>
        <v>#REF!</v>
      </c>
      <c r="BD106" s="11" t="e">
        <f ca="1">IF(History!BH$2="","",#REF!*$C$106)</f>
        <v>#REF!</v>
      </c>
      <c r="BE106" s="11" t="e">
        <f ca="1">IF(History!BI$2="","",#REF!*$C$106)</f>
        <v>#REF!</v>
      </c>
      <c r="BF106" s="11" t="e">
        <f ca="1">IF(History!BJ$2="","",#REF!*$C$106)</f>
        <v>#REF!</v>
      </c>
      <c r="BG106" s="11" t="e">
        <f ca="1">IF(History!BK$2="","",#REF!*$C$106)</f>
        <v>#REF!</v>
      </c>
      <c r="BH106" s="11" t="e">
        <f ca="1">IF(History!BL$2="","",#REF!*$C$106)</f>
        <v>#REF!</v>
      </c>
      <c r="BI106" s="11" t="e">
        <f ca="1">IF(History!BM$2="","",#REF!*$C$106)</f>
        <v>#REF!</v>
      </c>
      <c r="BJ106" s="11" t="e">
        <f ca="1">IF(History!BN$2="","",#REF!*$C$106)</f>
        <v>#REF!</v>
      </c>
      <c r="BK106" s="11" t="e">
        <f ca="1">IF(History!BO$2="","",#REF!*$C$106)</f>
        <v>#REF!</v>
      </c>
      <c r="BL106" s="11" t="e">
        <f ca="1">IF(History!BP$2="","",#REF!*$C$106)</f>
        <v>#REF!</v>
      </c>
      <c r="BM106" s="11" t="e">
        <f ca="1">IF(History!BQ$2="","",#REF!*$C$106)</f>
        <v>#REF!</v>
      </c>
      <c r="BN106" s="11" t="e">
        <f ca="1">IF(History!BR$2="","",#REF!*$C$106)</f>
        <v>#REF!</v>
      </c>
      <c r="BO106" s="11" t="e">
        <f ca="1">IF(History!BS$2="","",#REF!*$C$106)</f>
        <v>#REF!</v>
      </c>
      <c r="BP106" s="11" t="e">
        <f ca="1">IF(History!BT$2="","",#REF!*$C$106)</f>
        <v>#REF!</v>
      </c>
      <c r="BQ106" s="11" t="e">
        <f ca="1">IF(History!BU$2="","",#REF!*$C$106)</f>
        <v>#REF!</v>
      </c>
      <c r="BR106" s="11" t="e">
        <f ca="1">IF(History!BV$2="","",#REF!*$C$106)</f>
        <v>#REF!</v>
      </c>
      <c r="BS106" s="11" t="e">
        <f ca="1">IF(History!BW$2="","",#REF!*$C$106)</f>
        <v>#REF!</v>
      </c>
      <c r="BT106" s="11" t="e">
        <f ca="1">IF(History!BX$2="","",#REF!*$C$106)</f>
        <v>#REF!</v>
      </c>
      <c r="BU106" s="11" t="e">
        <f ca="1">IF(History!BY$2="","",#REF!*$C$106)</f>
        <v>#REF!</v>
      </c>
      <c r="BV106" s="11" t="e">
        <f ca="1">IF(History!BZ$2="","",#REF!*$C$106)</f>
        <v>#REF!</v>
      </c>
      <c r="BW106" s="11" t="e">
        <f ca="1">IF(History!CA$2="","",#REF!*$C$106)</f>
        <v>#REF!</v>
      </c>
      <c r="BX106" s="11" t="e">
        <f ca="1">IF(History!CB$2="","",#REF!*$C$106)</f>
        <v>#REF!</v>
      </c>
      <c r="BY106" s="11" t="e">
        <f ca="1">IF(History!CC$2="","",#REF!*$C$106)</f>
        <v>#REF!</v>
      </c>
      <c r="BZ106" s="11" t="e">
        <f ca="1">IF(History!CD$2="","",#REF!*$C$106)</f>
        <v>#REF!</v>
      </c>
      <c r="CA106" s="11" t="e">
        <f ca="1">IF(History!CE$2="","",#REF!*$C$106)</f>
        <v>#REF!</v>
      </c>
      <c r="CB106" s="11" t="e">
        <f ca="1">IF(History!CF$2="","",#REF!*$C$106)</f>
        <v>#REF!</v>
      </c>
      <c r="CC106" s="11" t="e">
        <f ca="1">IF(History!CG$2="","",#REF!*$C$106)</f>
        <v>#REF!</v>
      </c>
      <c r="CD106" s="11" t="e">
        <f ca="1">IF(History!CH$2="","",#REF!*$C$106)</f>
        <v>#REF!</v>
      </c>
      <c r="CE106" s="11" t="e">
        <f ca="1">IF(History!CI$2="","",#REF!*$C$106)</f>
        <v>#REF!</v>
      </c>
      <c r="CF106" s="11" t="str">
        <f ca="1">IF(History!CJ$2="","",#REF!*$C$106)</f>
        <v/>
      </c>
      <c r="CG106" s="11" t="str">
        <f ca="1">IF(History!CK$2="","",#REF!*$C$106)</f>
        <v/>
      </c>
      <c r="CH106" s="11" t="str">
        <f ca="1">IF(History!CL$2="","",#REF!*$C$106)</f>
        <v/>
      </c>
      <c r="CI106" s="11" t="str">
        <f ca="1">IF(History!CM$2="","",#REF!*$C$106)</f>
        <v/>
      </c>
      <c r="CJ106" s="11" t="str">
        <f ca="1">IF(History!CN$2="","",#REF!*$C$106)</f>
        <v/>
      </c>
      <c r="CK106" s="11" t="str">
        <f ca="1">IF(History!CO$2="","",#REF!*$C$106)</f>
        <v/>
      </c>
      <c r="CL106" s="11" t="str">
        <f ca="1">IF(History!CP$2="","",#REF!*$C$106)</f>
        <v/>
      </c>
      <c r="CM106" s="11" t="str">
        <f ca="1">IF(History!CQ$2="","",#REF!*$C$106)</f>
        <v/>
      </c>
      <c r="CN106" s="11" t="str">
        <f ca="1">IF(History!CR$2="","",#REF!*$C$106)</f>
        <v/>
      </c>
      <c r="CO106" s="11" t="str">
        <f ca="1">IF(History!CS$2="","",#REF!*$C$106)</f>
        <v/>
      </c>
      <c r="CP106" s="11" t="str">
        <f ca="1">IF(History!CT$2="","",#REF!*$C$106)</f>
        <v/>
      </c>
      <c r="CQ106" s="11" t="str">
        <f ca="1">IF(History!CU$2="","",#REF!*$C$106)</f>
        <v/>
      </c>
      <c r="CR106" s="11" t="str">
        <f ca="1">IF(History!CV$2="","",#REF!*$C$106)</f>
        <v/>
      </c>
      <c r="CS106" s="11" t="str">
        <f ca="1">IF(History!CW$2="","",#REF!*$C$106)</f>
        <v/>
      </c>
      <c r="CT106" s="11" t="str">
        <f ca="1">IF(History!CX$2="","",#REF!*$C$106)</f>
        <v/>
      </c>
      <c r="CU106" s="11" t="str">
        <f ca="1">IF(History!CY$2="","",#REF!*$C$106)</f>
        <v/>
      </c>
      <c r="CV106" s="11" t="str">
        <f ca="1">IF(History!CZ$2="","",#REF!*$C$106)</f>
        <v/>
      </c>
      <c r="CW106" s="11" t="str">
        <f ca="1">IF(History!DA$2="","",#REF!*$C$106)</f>
        <v/>
      </c>
      <c r="CX106" s="11" t="str">
        <f ca="1">IF(History!DB$2="","",#REF!*$C$106)</f>
        <v/>
      </c>
      <c r="CY106" s="11" t="str">
        <f ca="1">IF(History!DC$2="","",#REF!*$C$106)</f>
        <v/>
      </c>
      <c r="CZ106" s="11" t="str">
        <f ca="1">IF(History!DD$2="","",#REF!*$C$106)</f>
        <v/>
      </c>
      <c r="DA106" s="11" t="str">
        <f ca="1">IF(History!DE$2="","",#REF!*$C$106)</f>
        <v/>
      </c>
      <c r="DB106" s="11" t="str">
        <f ca="1">IF(History!DF$2="","",#REF!*$C$106)</f>
        <v/>
      </c>
      <c r="DC106" s="11" t="str">
        <f ca="1">IF(History!DG$2="","",#REF!*$C$106)</f>
        <v/>
      </c>
      <c r="DD106" s="11" t="str">
        <f ca="1">IF(History!DH$2="","",#REF!*$C$106)</f>
        <v/>
      </c>
      <c r="DE106" s="11" t="str">
        <f ca="1">IF(History!DI$2="","",#REF!*$C$106)</f>
        <v/>
      </c>
      <c r="DF106" s="11" t="str">
        <f ca="1">IF(History!DJ$2="","",#REF!*$C$106)</f>
        <v/>
      </c>
      <c r="DG106" s="11" t="str">
        <f ca="1">IF(History!DK$2="","",#REF!*$C$106)</f>
        <v/>
      </c>
      <c r="DH106" s="11" t="str">
        <f ca="1">IF(History!DL$2="","",#REF!*$C$106)</f>
        <v/>
      </c>
      <c r="DI106" s="11" t="str">
        <f ca="1">IF(History!DM$2="","",#REF!*$C$106)</f>
        <v/>
      </c>
      <c r="DJ106" s="11" t="str">
        <f ca="1">IF(History!DN$2="","",#REF!*$C$106)</f>
        <v/>
      </c>
      <c r="DK106" s="11" t="str">
        <f ca="1">IF(History!DO$2="","",#REF!*$C$106)</f>
        <v/>
      </c>
      <c r="DL106" s="11" t="str">
        <f ca="1">IF(History!DP$2="","",#REF!*$C$106)</f>
        <v/>
      </c>
      <c r="DM106" s="11" t="str">
        <f ca="1">IF(History!DQ$2="","",#REF!*$C$106)</f>
        <v/>
      </c>
      <c r="DN106" s="11" t="str">
        <f ca="1">IF(History!DR$2="","",#REF!*$C$106)</f>
        <v/>
      </c>
      <c r="DO106" s="11" t="str">
        <f ca="1">IF(History!DS$2="","",#REF!*$C$106)</f>
        <v/>
      </c>
      <c r="DP106" s="11" t="str">
        <f ca="1">IF(History!DT$2="","",#REF!*$C$106)</f>
        <v/>
      </c>
      <c r="DQ106" s="11" t="str">
        <f ca="1">IF(History!DU$2="","",#REF!*$C$106)</f>
        <v/>
      </c>
      <c r="DR106" s="11" t="str">
        <f ca="1">IF(History!DV$2="","",#REF!*$C$106)</f>
        <v/>
      </c>
      <c r="DS106" s="11" t="str">
        <f ca="1">IF(History!DW$2="","",#REF!*$C$106)</f>
        <v/>
      </c>
      <c r="DT106" s="11" t="str">
        <f ca="1">IF(History!DX$2="","",#REF!*$C$106)</f>
        <v/>
      </c>
      <c r="DU106" s="11" t="str">
        <f ca="1">IF(History!DY$2="","",#REF!*$C$106)</f>
        <v/>
      </c>
      <c r="DV106" s="11" t="str">
        <f ca="1">IF(History!DZ$2="","",#REF!*$C$106)</f>
        <v/>
      </c>
      <c r="DW106" s="11" t="str">
        <f ca="1">IF(History!EA$2="","",#REF!*$C$106)</f>
        <v/>
      </c>
      <c r="DX106" s="11" t="str">
        <f ca="1">IF(History!EB$2="","",#REF!*$C$106)</f>
        <v/>
      </c>
      <c r="DY106" s="11" t="str">
        <f ca="1">IF(History!EC$2="","",#REF!*$C$106)</f>
        <v/>
      </c>
      <c r="DZ106" s="11" t="str">
        <f ca="1">IF(History!ED$2="","",#REF!*$C$106)</f>
        <v/>
      </c>
      <c r="EA106" s="11" t="str">
        <f ca="1">IF(History!EE$2="","",#REF!*$C$106)</f>
        <v/>
      </c>
      <c r="EB106" s="11" t="str">
        <f ca="1">IF(History!EF$2="","",#REF!*$C$106)</f>
        <v/>
      </c>
      <c r="EC106" s="11" t="str">
        <f ca="1">IF(History!EG$2="","",#REF!*$C$106)</f>
        <v/>
      </c>
      <c r="ED106" s="11" t="str">
        <f ca="1">IF(History!EH$2="","",#REF!*$C$106)</f>
        <v/>
      </c>
      <c r="EE106" s="11" t="str">
        <f ca="1">IF(History!EI$2="","",#REF!*$C$106)</f>
        <v/>
      </c>
      <c r="EF106" s="11" t="str">
        <f ca="1">IF(History!EJ$2="","",#REF!*$C$106)</f>
        <v/>
      </c>
      <c r="EG106" s="11" t="str">
        <f ca="1">IF(History!EK$2="","",#REF!*$C$106)</f>
        <v/>
      </c>
      <c r="EH106" s="11" t="str">
        <f ca="1">IF(History!EL$2="","",#REF!*$C$106)</f>
        <v/>
      </c>
      <c r="EI106" s="11" t="str">
        <f ca="1">IF(History!EM$2="","",#REF!*$C$106)</f>
        <v/>
      </c>
      <c r="EJ106" s="11" t="str">
        <f ca="1">IF(History!EN$2="","",#REF!*$C$106)</f>
        <v/>
      </c>
      <c r="EK106" s="11" t="str">
        <f ca="1">IF(History!EO$2="","",#REF!*$C$106)</f>
        <v/>
      </c>
      <c r="EL106" s="11" t="str">
        <f ca="1">IF(History!EP$2="","",#REF!*$C$106)</f>
        <v/>
      </c>
      <c r="EM106" s="11" t="str">
        <f ca="1">IF(History!EQ$2="","",#REF!*$C$106)</f>
        <v/>
      </c>
      <c r="EN106" s="11" t="str">
        <f ca="1">IF(History!ER$2="","",#REF!*$C$106)</f>
        <v/>
      </c>
      <c r="EO106" s="11" t="str">
        <f ca="1">IF(History!ES$2="","",#REF!*$C$106)</f>
        <v/>
      </c>
      <c r="EP106" s="11" t="str">
        <f ca="1">IF(History!ET$2="","",#REF!*$C$106)</f>
        <v/>
      </c>
      <c r="EQ106" s="11" t="str">
        <f ca="1">IF(History!EU$2="","",#REF!*$C$106)</f>
        <v/>
      </c>
      <c r="ER106" s="11" t="str">
        <f ca="1">IF(History!EV$2="","",#REF!*$C$106)</f>
        <v/>
      </c>
      <c r="ES106" s="11" t="str">
        <f ca="1">IF(History!EW$2="","",#REF!*$C$106)</f>
        <v/>
      </c>
      <c r="ET106" s="11" t="str">
        <f ca="1">IF(History!EX$2="","",#REF!*$C$106)</f>
        <v/>
      </c>
      <c r="EU106" s="11" t="str">
        <f ca="1">IF(History!EY$2="","",#REF!*$C$106)</f>
        <v/>
      </c>
      <c r="EV106" s="11" t="str">
        <f ca="1">IF(History!EZ$2="","",#REF!*$C$106)</f>
        <v/>
      </c>
      <c r="EW106" s="11" t="str">
        <f ca="1">IF(History!FA$2="","",#REF!*$C$106)</f>
        <v/>
      </c>
      <c r="EX106" s="11" t="str">
        <f ca="1">IF(History!FB$2="","",#REF!*$C$106)</f>
        <v/>
      </c>
      <c r="EY106" s="11" t="str">
        <f ca="1">IF(History!FC$2="","",#REF!*$C$106)</f>
        <v/>
      </c>
      <c r="EZ106" s="11" t="str">
        <f ca="1">IF(History!FD$2="","",#REF!*$C$106)</f>
        <v/>
      </c>
      <c r="FA106" s="11" t="str">
        <f ca="1">IF(History!FE$2="","",#REF!*$C$106)</f>
        <v/>
      </c>
      <c r="FB106" s="11" t="str">
        <f ca="1">IF(History!FF$2="","",#REF!*$C$106)</f>
        <v/>
      </c>
      <c r="FC106" s="11" t="str">
        <f ca="1">IF(History!FG$2="","",#REF!*$C$106)</f>
        <v/>
      </c>
      <c r="FD106" s="11" t="str">
        <f ca="1">IF(History!FH$2="","",#REF!*$C$106)</f>
        <v/>
      </c>
      <c r="FE106" s="11" t="str">
        <f ca="1">IF(History!FI$2="","",#REF!*$C$106)</f>
        <v/>
      </c>
      <c r="FF106" s="11" t="str">
        <f ca="1">IF(History!FJ$2="","",#REF!*$C$106)</f>
        <v/>
      </c>
      <c r="FG106" s="11" t="str">
        <f ca="1">IF(History!FK$2="","",#REF!*$C$106)</f>
        <v/>
      </c>
      <c r="FH106" s="11" t="str">
        <f ca="1">IF(History!FL$2="","",#REF!*$C$106)</f>
        <v/>
      </c>
      <c r="FI106" s="11" t="str">
        <f ca="1">IF(History!FM$2="","",#REF!*$C$106)</f>
        <v/>
      </c>
      <c r="FJ106" s="11" t="str">
        <f ca="1">IF(History!FN$2="","",#REF!*$C$106)</f>
        <v/>
      </c>
      <c r="FK106" s="11" t="str">
        <f ca="1">IF(History!FO$2="","",#REF!*$C$106)</f>
        <v/>
      </c>
      <c r="FL106" s="11" t="str">
        <f ca="1">IF(History!FP$2="","",#REF!*$C$106)</f>
        <v/>
      </c>
      <c r="FM106" s="11" t="str">
        <f ca="1">IF(History!FQ$2="","",#REF!*$C$106)</f>
        <v/>
      </c>
      <c r="FN106" s="11" t="str">
        <f ca="1">IF(History!FR$2="","",#REF!*$C$106)</f>
        <v/>
      </c>
      <c r="FO106" s="11" t="str">
        <f ca="1">IF(History!FS$2="","",#REF!*$C$106)</f>
        <v/>
      </c>
      <c r="FP106" s="11" t="str">
        <f ca="1">IF(History!FT$2="","",#REF!*$C$106)</f>
        <v/>
      </c>
      <c r="FQ106" s="11" t="str">
        <f ca="1">IF(History!FU$2="","",#REF!*$C$106)</f>
        <v/>
      </c>
      <c r="FR106" s="11" t="str">
        <f ca="1">IF(History!FV$2="","",#REF!*$C$106)</f>
        <v/>
      </c>
      <c r="FS106" s="11" t="str">
        <f ca="1">IF(History!FW$2="","",#REF!*$C$106)</f>
        <v/>
      </c>
      <c r="FT106" s="11" t="str">
        <f ca="1">IF(History!FX$2="","",#REF!*$C$106)</f>
        <v/>
      </c>
      <c r="FU106" s="11" t="str">
        <f ca="1">IF(History!FY$2="","",#REF!*$C$106)</f>
        <v/>
      </c>
      <c r="FV106" s="11" t="str">
        <f ca="1">IF(History!FZ$2="","",#REF!*$C$106)</f>
        <v/>
      </c>
      <c r="FW106" s="11" t="str">
        <f ca="1">IF(History!GA$2="","",#REF!*$C$106)</f>
        <v/>
      </c>
      <c r="FX106" s="11" t="str">
        <f ca="1">IF(History!GB$2="","",#REF!*$C$106)</f>
        <v/>
      </c>
      <c r="FY106" s="11" t="str">
        <f ca="1">IF(History!GC$2="","",#REF!*$C$106)</f>
        <v/>
      </c>
      <c r="FZ106" s="11" t="str">
        <f ca="1">IF(History!GD$2="","",#REF!*$C$106)</f>
        <v/>
      </c>
      <c r="GA106" s="11" t="str">
        <f ca="1">IF(History!GE$2="","",#REF!*$C$106)</f>
        <v/>
      </c>
      <c r="GB106" s="11" t="str">
        <f ca="1">IF(History!GF$2="","",#REF!*$C$106)</f>
        <v/>
      </c>
      <c r="GC106" s="11" t="str">
        <f ca="1">IF(History!GG$2="","",#REF!*$C$106)</f>
        <v/>
      </c>
      <c r="GD106" s="11" t="str">
        <f ca="1">IF(History!GH$2="","",#REF!*$C$106)</f>
        <v/>
      </c>
      <c r="GE106" s="11" t="str">
        <f ca="1">IF(History!GI$2="","",#REF!*$C$106)</f>
        <v/>
      </c>
      <c r="GF106" s="11" t="str">
        <f ca="1">IF(History!GJ$2="","",#REF!*$C$106)</f>
        <v/>
      </c>
      <c r="GG106" s="11" t="str">
        <f ca="1">IF(History!GK$2="","",#REF!*$C$106)</f>
        <v/>
      </c>
      <c r="GH106" s="11" t="str">
        <f ca="1">IF(History!GL$2="","",#REF!*$C$106)</f>
        <v/>
      </c>
      <c r="GI106" s="11" t="str">
        <f ca="1">IF(History!GM$2="","",#REF!*$C$106)</f>
        <v/>
      </c>
      <c r="GJ106" s="11" t="str">
        <f ca="1">IF(History!GN$2="","",#REF!*$C$106)</f>
        <v/>
      </c>
      <c r="GK106" s="11" t="str">
        <f ca="1">IF(History!GO$2="","",#REF!*$C$106)</f>
        <v/>
      </c>
      <c r="GL106" s="11" t="str">
        <f ca="1">IF(History!GP$2="","",#REF!*$C$106)</f>
        <v/>
      </c>
      <c r="GM106" s="11" t="str">
        <f ca="1">IF(History!GQ$2="","",#REF!*$C$106)</f>
        <v/>
      </c>
      <c r="GN106" s="11" t="str">
        <f ca="1">IF(History!GR$2="","",#REF!*$C$106)</f>
        <v/>
      </c>
      <c r="GO106" s="11" t="str">
        <f ca="1">IF(History!GS$2="","",#REF!*$C$106)</f>
        <v/>
      </c>
      <c r="GP106" s="11" t="str">
        <f ca="1">IF(History!GT$2="","",#REF!*$C$106)</f>
        <v/>
      </c>
      <c r="GQ106" s="11" t="str">
        <f ca="1">IF(History!GU$2="","",#REF!*$C$106)</f>
        <v/>
      </c>
      <c r="GR106" s="11" t="str">
        <f ca="1">IF(History!GV$2="","",#REF!*$C$106)</f>
        <v/>
      </c>
      <c r="GS106" s="11" t="str">
        <f ca="1">IF(History!GW$2="","",#REF!*$C$106)</f>
        <v/>
      </c>
      <c r="GT106" s="11" t="str">
        <f ca="1">IF(History!GX$2="","",#REF!*$C$106)</f>
        <v/>
      </c>
      <c r="GU106" s="11" t="str">
        <f ca="1">IF(History!GY$2="","",#REF!*$C$106)</f>
        <v/>
      </c>
      <c r="GV106" s="11" t="str">
        <f ca="1">IF(History!GZ$2="","",#REF!*$C$106)</f>
        <v/>
      </c>
      <c r="GW106" s="11" t="str">
        <f ca="1">IF(History!HA$2="","",#REF!*$C$106)</f>
        <v/>
      </c>
      <c r="GX106" s="11" t="str">
        <f ca="1">IF(History!HB$2="","",#REF!*$C$106)</f>
        <v/>
      </c>
      <c r="GY106" s="11" t="str">
        <f ca="1">IF(History!HC$2="","",#REF!*$C$106)</f>
        <v/>
      </c>
      <c r="GZ106" s="11" t="str">
        <f ca="1">IF(History!HD$2="","",#REF!*$C$106)</f>
        <v/>
      </c>
      <c r="HA106" s="11" t="str">
        <f ca="1">IF(History!HE$2="","",#REF!*$C$106)</f>
        <v/>
      </c>
      <c r="HB106" s="11" t="str">
        <f ca="1">IF(History!HF$2="","",#REF!*$C$106)</f>
        <v/>
      </c>
      <c r="HC106" s="11" t="str">
        <f ca="1">IF(History!HG$2="","",#REF!*$C$106)</f>
        <v/>
      </c>
      <c r="HD106" s="11" t="str">
        <f ca="1">IF(History!HH$2="","",#REF!*$C$106)</f>
        <v/>
      </c>
      <c r="HE106" s="11" t="str">
        <f ca="1">IF(History!HI$2="","",#REF!*$C$106)</f>
        <v/>
      </c>
      <c r="HF106" s="11" t="str">
        <f ca="1">IF(History!HJ$2="","",#REF!*$C$106)</f>
        <v/>
      </c>
      <c r="HG106" s="11" t="str">
        <f ca="1">IF(History!HK$2="","",#REF!*$C$106)</f>
        <v/>
      </c>
      <c r="HH106" s="11" t="str">
        <f ca="1">IF(History!HL$2="","",#REF!*$C$106)</f>
        <v/>
      </c>
      <c r="HI106" s="11" t="str">
        <f ca="1">IF(History!HM$2="","",#REF!*$C$106)</f>
        <v/>
      </c>
      <c r="HJ106" s="11" t="str">
        <f ca="1">IF(History!HN$2="","",#REF!*$C$106)</f>
        <v/>
      </c>
      <c r="HK106" s="11" t="str">
        <f ca="1">IF(History!HO$2="","",#REF!*$C$106)</f>
        <v/>
      </c>
      <c r="HL106" s="11" t="str">
        <f ca="1">IF(History!HP$2="","",#REF!*$C$106)</f>
        <v/>
      </c>
      <c r="HM106" s="11" t="str">
        <f ca="1">IF(History!HQ$2="","",#REF!*$C$106)</f>
        <v/>
      </c>
      <c r="HN106" s="11" t="str">
        <f ca="1">IF(History!HR$2="","",#REF!*$C$106)</f>
        <v/>
      </c>
      <c r="HO106" s="11" t="str">
        <f ca="1">IF(History!HS$2="","",#REF!*$C$106)</f>
        <v/>
      </c>
      <c r="HP106" s="11" t="str">
        <f ca="1">IF(History!HT$2="","",#REF!*$C$106)</f>
        <v/>
      </c>
      <c r="HQ106" s="11" t="str">
        <f ca="1">IF(History!HU$2="","",#REF!*$C$106)</f>
        <v/>
      </c>
      <c r="HR106" s="11" t="str">
        <f ca="1">IF(History!HV$2="","",#REF!*$C$106)</f>
        <v/>
      </c>
      <c r="HS106" s="11" t="str">
        <f ca="1">IF(History!HW$2="","",#REF!*$C$106)</f>
        <v/>
      </c>
      <c r="HT106" s="11" t="str">
        <f ca="1">IF(History!HX$2="","",#REF!*$C$106)</f>
        <v/>
      </c>
      <c r="HU106" s="11" t="str">
        <f ca="1">IF(History!HY$2="","",#REF!*$C$106)</f>
        <v/>
      </c>
      <c r="HV106" s="11" t="str">
        <f ca="1">IF(History!HZ$2="","",#REF!*$C$106)</f>
        <v/>
      </c>
      <c r="HW106" s="11" t="str">
        <f ca="1">IF(History!IA$2="","",#REF!*$C$106)</f>
        <v/>
      </c>
      <c r="HX106" s="11" t="str">
        <f ca="1">IF(History!IB$2="","",#REF!*$C$106)</f>
        <v/>
      </c>
      <c r="HY106" s="11" t="str">
        <f ca="1">IF(History!IC$2="","",#REF!*$C$106)</f>
        <v/>
      </c>
      <c r="HZ106" s="11" t="str">
        <f ca="1">IF(History!ID$2="","",#REF!*$C$106)</f>
        <v/>
      </c>
      <c r="IA106" s="11" t="str">
        <f ca="1">IF(History!IE$2="","",#REF!*$C$106)</f>
        <v/>
      </c>
      <c r="IB106" s="11" t="str">
        <f ca="1">IF(History!IF$2="","",#REF!*$C$106)</f>
        <v/>
      </c>
      <c r="IC106" s="11" t="str">
        <f ca="1">IF(History!IG$2="","",#REF!*$C$106)</f>
        <v/>
      </c>
      <c r="ID106" s="11" t="str">
        <f ca="1">IF(History!IH$2="","",#REF!*$C$106)</f>
        <v/>
      </c>
      <c r="IE106" s="11" t="str">
        <f ca="1">IF(History!II$2="","",#REF!*$C$106)</f>
        <v/>
      </c>
      <c r="IF106" s="11" t="str">
        <f ca="1">IF(History!IJ$2="","",#REF!*$C$106)</f>
        <v/>
      </c>
      <c r="IG106" s="11" t="str">
        <f ca="1">IF(History!IK$2="","",#REF!*$C$106)</f>
        <v/>
      </c>
      <c r="IH106" s="11" t="str">
        <f ca="1">IF(History!IL$2="","",#REF!*$C$106)</f>
        <v/>
      </c>
      <c r="II106" s="11" t="str">
        <f ca="1">IF(History!IM$2="","",#REF!*$C$106)</f>
        <v/>
      </c>
      <c r="IJ106" s="11" t="str">
        <f ca="1">IF(History!IN$2="","",#REF!*$C$106)</f>
        <v/>
      </c>
      <c r="IK106" s="11" t="str">
        <f ca="1">IF(History!IO$2="","",#REF!*$C$106)</f>
        <v/>
      </c>
      <c r="IL106" s="11" t="str">
        <f ca="1">IF(History!IP$2="","",#REF!*$C$106)</f>
        <v/>
      </c>
      <c r="IM106" s="11" t="str">
        <f ca="1">IF(History!IQ$2="","",#REF!*$C$106)</f>
        <v/>
      </c>
      <c r="IN106" s="11" t="str">
        <f ca="1">IF(History!IR$2="","",#REF!*$C$106)</f>
        <v/>
      </c>
      <c r="IO106" s="11" t="str">
        <f ca="1">IF(History!IS$2="","",#REF!*$C$106)</f>
        <v/>
      </c>
      <c r="IP106" s="11" t="str">
        <f ca="1">IF(History!IT$2="","",#REF!*$C$106)</f>
        <v/>
      </c>
      <c r="IQ106" s="11" t="str">
        <f ca="1">IF(History!IU$2="","",#REF!*$C$106)</f>
        <v/>
      </c>
      <c r="IR106" s="11" t="str">
        <f ca="1">IF(History!IV$2="","",#REF!*$C$106)</f>
        <v/>
      </c>
      <c r="IS106" s="11" t="str">
        <f ca="1">IF(History!IW$2="","",#REF!*$C$106)</f>
        <v/>
      </c>
      <c r="IT106" s="11" t="str">
        <f ca="1">IF(History!IX$2="","",#REF!*$C$106)</f>
        <v/>
      </c>
      <c r="IU106" s="11" t="str">
        <f ca="1">IF(History!IY$2="","",#REF!*$C$106)</f>
        <v/>
      </c>
      <c r="IV106" s="11" t="str">
        <f ca="1">IF(History!IZ$2="","",#REF!*$C$106)</f>
        <v/>
      </c>
      <c r="IW106" s="11" t="str">
        <f ca="1">IF(History!JA$2="","",#REF!*$C$106)</f>
        <v/>
      </c>
      <c r="IX106" s="11" t="str">
        <f ca="1">IF(History!JB$2="","",#REF!*$C$106)</f>
        <v/>
      </c>
      <c r="IY106" s="11" t="str">
        <f ca="1">IF(History!JC$2="","",#REF!*$C$106)</f>
        <v/>
      </c>
      <c r="IZ106" s="11" t="str">
        <f ca="1">IF(History!JD$2="","",#REF!*$C$106)</f>
        <v/>
      </c>
      <c r="JA106" s="11" t="str">
        <f ca="1">IF(History!JE$2="","",#REF!*$C$106)</f>
        <v/>
      </c>
      <c r="JB106" s="11" t="str">
        <f ca="1">IF(History!JF$2="","",#REF!*$C$106)</f>
        <v/>
      </c>
      <c r="JC106" s="11" t="str">
        <f ca="1">IF(History!JG$2="","",#REF!*$C$106)</f>
        <v/>
      </c>
      <c r="JD106" s="11" t="str">
        <f ca="1">IF(History!JH$2="","",#REF!*$C$106)</f>
        <v/>
      </c>
      <c r="JE106" s="11" t="str">
        <f ca="1">IF(History!JI$2="","",#REF!*$C$106)</f>
        <v/>
      </c>
      <c r="JF106" s="11" t="str">
        <f ca="1">IF(History!JJ$2="","",#REF!*$C$106)</f>
        <v/>
      </c>
      <c r="JG106" s="11" t="str">
        <f ca="1">IF(History!JK$2="","",#REF!*$C$106)</f>
        <v/>
      </c>
      <c r="JH106" s="11" t="str">
        <f ca="1">IF(History!JL$2="","",#REF!*$C$106)</f>
        <v/>
      </c>
      <c r="JI106" s="11" t="str">
        <f ca="1">IF(History!JM$2="","",#REF!*$C$106)</f>
        <v/>
      </c>
      <c r="JJ106" s="11" t="str">
        <f ca="1">IF(History!JN$2="","",#REF!*$C$106)</f>
        <v/>
      </c>
      <c r="JK106" s="11" t="str">
        <f ca="1">IF(History!JO$2="","",#REF!*$C$106)</f>
        <v/>
      </c>
      <c r="JL106" s="11" t="str">
        <f ca="1">IF(History!JP$2="","",#REF!*$C$106)</f>
        <v/>
      </c>
      <c r="JM106" s="11" t="str">
        <f ca="1">IF(History!JQ$2="","",#REF!*$C$106)</f>
        <v/>
      </c>
      <c r="JN106" s="11" t="str">
        <f ca="1">IF(History!JR$2="","",#REF!*$C$106)</f>
        <v/>
      </c>
      <c r="JO106" s="11" t="str">
        <f ca="1">IF(History!JS$2="","",#REF!*$C$106)</f>
        <v/>
      </c>
      <c r="JP106" s="11" t="str">
        <f ca="1">IF(History!JT$2="","",#REF!*$C$106)</f>
        <v/>
      </c>
      <c r="JQ106" s="11" t="str">
        <f ca="1">IF(History!JU$2="","",#REF!*$C$106)</f>
        <v/>
      </c>
      <c r="JR106" s="11" t="str">
        <f ca="1">IF(History!JV$2="","",#REF!*$C$106)</f>
        <v/>
      </c>
      <c r="JS106" s="11" t="str">
        <f ca="1">IF(History!JW$2="","",#REF!*$C$106)</f>
        <v/>
      </c>
      <c r="JT106" s="11" t="str">
        <f ca="1">IF(History!JX$2="","",#REF!*$C$106)</f>
        <v/>
      </c>
      <c r="JU106" s="11" t="str">
        <f ca="1">IF(History!JY$2="","",#REF!*$C$106)</f>
        <v/>
      </c>
      <c r="JV106" s="11" t="str">
        <f ca="1">IF(History!JZ$2="","",#REF!*$C$106)</f>
        <v/>
      </c>
      <c r="JW106" s="11" t="str">
        <f ca="1">IF(History!KA$2="","",#REF!*$C$106)</f>
        <v/>
      </c>
      <c r="JX106" s="11" t="str">
        <f ca="1">IF(History!KB$2="","",#REF!*$C$106)</f>
        <v/>
      </c>
      <c r="JY106" s="11" t="str">
        <f ca="1">IF(History!KC$2="","",#REF!*$C$106)</f>
        <v/>
      </c>
      <c r="JZ106" s="11" t="str">
        <f ca="1">IF(History!KD$2="","",#REF!*$C$106)</f>
        <v/>
      </c>
      <c r="KA106" s="11" t="str">
        <f ca="1">IF(History!KE$2="","",#REF!*$C$106)</f>
        <v/>
      </c>
      <c r="KB106" s="11" t="str">
        <f ca="1">IF(History!KF$2="","",#REF!*$C$106)</f>
        <v/>
      </c>
    </row>
    <row r="107" spans="1:288" ht="13">
      <c r="A107" s="18" t="s">
        <v>140</v>
      </c>
      <c r="B107" s="6" t="s">
        <v>183</v>
      </c>
      <c r="C107" s="26">
        <v>27</v>
      </c>
      <c r="D107" s="11" t="e">
        <f ca="1">IF(History!H$2="","",#REF!*$C$107)</f>
        <v>#REF!</v>
      </c>
      <c r="E107" s="11" t="e">
        <f ca="1">IF(History!I$2="","",#REF!*$C$107)</f>
        <v>#REF!</v>
      </c>
      <c r="F107" s="11" t="e">
        <f ca="1">IF(History!J$2="","",#REF!*$C$107)</f>
        <v>#REF!</v>
      </c>
      <c r="G107" s="11" t="e">
        <f ca="1">IF(History!K$2="","",#REF!*$C$107)</f>
        <v>#REF!</v>
      </c>
      <c r="H107" s="11" t="e">
        <f ca="1">IF(History!L$2="","",#REF!*$C$107)</f>
        <v>#REF!</v>
      </c>
      <c r="I107" s="11" t="e">
        <f ca="1">IF(History!M$2="","",#REF!*$C$107)</f>
        <v>#REF!</v>
      </c>
      <c r="J107" s="11" t="e">
        <f ca="1">IF(History!N$2="","",#REF!*$C$107)</f>
        <v>#REF!</v>
      </c>
      <c r="K107" s="11" t="e">
        <f ca="1">IF(History!O$2="","",#REF!*$C$107)</f>
        <v>#REF!</v>
      </c>
      <c r="L107" s="11" t="e">
        <f ca="1">IF(History!P$2="","",#REF!*$C$107)</f>
        <v>#REF!</v>
      </c>
      <c r="M107" s="11" t="e">
        <f ca="1">IF(History!Q$2="","",#REF!*$C$107)</f>
        <v>#REF!</v>
      </c>
      <c r="N107" s="11" t="e">
        <f ca="1">IF(History!R$2="","",#REF!*$C$107)</f>
        <v>#REF!</v>
      </c>
      <c r="O107" s="11" t="e">
        <f ca="1">IF(History!S$2="","",#REF!*$C$107)</f>
        <v>#REF!</v>
      </c>
      <c r="P107" s="11" t="e">
        <f ca="1">IF(History!T$2="","",#REF!*$C$107)</f>
        <v>#REF!</v>
      </c>
      <c r="Q107" s="11" t="e">
        <f ca="1">IF(History!U$2="","",#REF!*$C$107)</f>
        <v>#REF!</v>
      </c>
      <c r="R107" s="11" t="e">
        <f ca="1">IF(History!V$2="","",#REF!*$C$107)</f>
        <v>#REF!</v>
      </c>
      <c r="S107" s="11" t="e">
        <f ca="1">IF(History!W$2="","",#REF!*$C$107)</f>
        <v>#REF!</v>
      </c>
      <c r="T107" s="11" t="e">
        <f ca="1">IF(History!X$2="","",#REF!*$C$107)</f>
        <v>#REF!</v>
      </c>
      <c r="U107" s="11" t="e">
        <f ca="1">IF(History!Y$2="","",#REF!*$C$107)</f>
        <v>#REF!</v>
      </c>
      <c r="V107" s="11" t="e">
        <f ca="1">IF(History!Z$2="","",#REF!*$C$107)</f>
        <v>#REF!</v>
      </c>
      <c r="W107" s="11" t="e">
        <f ca="1">IF(History!AA$2="","",#REF!*$C$107)</f>
        <v>#REF!</v>
      </c>
      <c r="X107" s="11" t="e">
        <f ca="1">IF(History!AB$2="","",#REF!*$C$107)</f>
        <v>#REF!</v>
      </c>
      <c r="Y107" s="11" t="e">
        <f ca="1">IF(History!AC$2="","",#REF!*$C$107)</f>
        <v>#REF!</v>
      </c>
      <c r="Z107" s="11" t="e">
        <f ca="1">IF(History!AD$2="","",#REF!*$C$107)</f>
        <v>#REF!</v>
      </c>
      <c r="AA107" s="11" t="e">
        <f ca="1">IF(History!AE$2="","",#REF!*$C$107)</f>
        <v>#REF!</v>
      </c>
      <c r="AB107" s="11" t="e">
        <f ca="1">IF(History!AF$2="","",#REF!*$C$107)</f>
        <v>#REF!</v>
      </c>
      <c r="AC107" s="11" t="e">
        <f ca="1">IF(History!AG$2="","",#REF!*$C$107)</f>
        <v>#REF!</v>
      </c>
      <c r="AD107" s="11" t="e">
        <f ca="1">IF(History!AH$2="","",#REF!*$C$107)</f>
        <v>#REF!</v>
      </c>
      <c r="AE107" s="11" t="e">
        <f ca="1">IF(History!AI$2="","",#REF!*$C$107)</f>
        <v>#REF!</v>
      </c>
      <c r="AF107" s="11" t="e">
        <f ca="1">IF(History!AJ$2="","",#REF!*$C$107)</f>
        <v>#REF!</v>
      </c>
      <c r="AG107" s="11" t="e">
        <f ca="1">IF(History!AK$2="","",#REF!*$C$107)</f>
        <v>#REF!</v>
      </c>
      <c r="AH107" s="11" t="e">
        <f ca="1">IF(History!AL$2="","",#REF!*$C$107)</f>
        <v>#REF!</v>
      </c>
      <c r="AI107" s="11" t="e">
        <f ca="1">IF(History!AM$2="","",#REF!*$C$107)</f>
        <v>#REF!</v>
      </c>
      <c r="AJ107" s="11" t="e">
        <f ca="1">IF(History!AN$2="","",#REF!*$C$107)</f>
        <v>#REF!</v>
      </c>
      <c r="AK107" s="11" t="e">
        <f ca="1">IF(History!AO$2="","",#REF!*$C$107)</f>
        <v>#REF!</v>
      </c>
      <c r="AL107" s="11" t="e">
        <f ca="1">IF(History!AP$2="","",#REF!*$C$107)</f>
        <v>#REF!</v>
      </c>
      <c r="AM107" s="11" t="e">
        <f ca="1">IF(History!AQ$2="","",#REF!*$C$107)</f>
        <v>#REF!</v>
      </c>
      <c r="AN107" s="11" t="e">
        <f ca="1">IF(History!AR$2="","",#REF!*$C$107)</f>
        <v>#REF!</v>
      </c>
      <c r="AO107" s="11" t="e">
        <f ca="1">IF(History!AS$2="","",#REF!*$C$107)</f>
        <v>#REF!</v>
      </c>
      <c r="AP107" s="11" t="e">
        <f ca="1">IF(History!AT$2="","",#REF!*$C$107)</f>
        <v>#REF!</v>
      </c>
      <c r="AQ107" s="11" t="e">
        <f ca="1">IF(History!AU$2="","",#REF!*$C$107)</f>
        <v>#REF!</v>
      </c>
      <c r="AR107" s="11" t="e">
        <f ca="1">IF(History!AV$2="","",#REF!*$C$107)</f>
        <v>#REF!</v>
      </c>
      <c r="AS107" s="11" t="e">
        <f ca="1">IF(History!AW$2="","",#REF!*$C$107)</f>
        <v>#REF!</v>
      </c>
      <c r="AT107" s="11" t="e">
        <f ca="1">IF(History!AX$2="","",#REF!*$C$107)</f>
        <v>#REF!</v>
      </c>
      <c r="AU107" s="11" t="e">
        <f ca="1">IF(History!AY$2="","",#REF!*$C$107)</f>
        <v>#REF!</v>
      </c>
      <c r="AV107" s="11" t="e">
        <f ca="1">IF(History!AZ$2="","",#REF!*$C$107)</f>
        <v>#REF!</v>
      </c>
      <c r="AW107" s="11" t="e">
        <f ca="1">IF(History!BA$2="","",#REF!*$C$107)</f>
        <v>#REF!</v>
      </c>
      <c r="AX107" s="11" t="e">
        <f ca="1">IF(History!BB$2="","",#REF!*$C$107)</f>
        <v>#REF!</v>
      </c>
      <c r="AY107" s="11" t="e">
        <f ca="1">IF(History!BC$2="","",#REF!*$C$107)</f>
        <v>#REF!</v>
      </c>
      <c r="AZ107" s="11" t="e">
        <f ca="1">IF(History!BD$2="","",#REF!*$C$107)</f>
        <v>#REF!</v>
      </c>
      <c r="BA107" s="11" t="e">
        <f ca="1">IF(History!BE$2="","",#REF!*$C$107)</f>
        <v>#REF!</v>
      </c>
      <c r="BB107" s="11" t="e">
        <f ca="1">IF(History!BF$2="","",#REF!*$C$107)</f>
        <v>#REF!</v>
      </c>
      <c r="BC107" s="11" t="e">
        <f ca="1">IF(History!BG$2="","",#REF!*$C$107)</f>
        <v>#REF!</v>
      </c>
      <c r="BD107" s="11" t="e">
        <f ca="1">IF(History!BH$2="","",#REF!*$C$107)</f>
        <v>#REF!</v>
      </c>
      <c r="BE107" s="11" t="e">
        <f ca="1">IF(History!BI$2="","",#REF!*$C$107)</f>
        <v>#REF!</v>
      </c>
      <c r="BF107" s="11" t="e">
        <f ca="1">IF(History!BJ$2="","",#REF!*$C$107)</f>
        <v>#REF!</v>
      </c>
      <c r="BG107" s="11" t="e">
        <f ca="1">IF(History!BK$2="","",#REF!*$C$107)</f>
        <v>#REF!</v>
      </c>
      <c r="BH107" s="11" t="e">
        <f ca="1">IF(History!BL$2="","",#REF!*$C$107)</f>
        <v>#REF!</v>
      </c>
      <c r="BI107" s="11" t="e">
        <f ca="1">IF(History!BM$2="","",#REF!*$C$107)</f>
        <v>#REF!</v>
      </c>
      <c r="BJ107" s="11" t="e">
        <f ca="1">IF(History!BN$2="","",#REF!*$C$107)</f>
        <v>#REF!</v>
      </c>
      <c r="BK107" s="11" t="e">
        <f ca="1">IF(History!BO$2="","",#REF!*$C$107)</f>
        <v>#REF!</v>
      </c>
      <c r="BL107" s="11" t="e">
        <f ca="1">IF(History!BP$2="","",#REF!*$C$107)</f>
        <v>#REF!</v>
      </c>
      <c r="BM107" s="11" t="e">
        <f ca="1">IF(History!BQ$2="","",#REF!*$C$107)</f>
        <v>#REF!</v>
      </c>
      <c r="BN107" s="11" t="e">
        <f ca="1">IF(History!BR$2="","",#REF!*$C$107)</f>
        <v>#REF!</v>
      </c>
      <c r="BO107" s="11" t="e">
        <f ca="1">IF(History!BS$2="","",#REF!*$C$107)</f>
        <v>#REF!</v>
      </c>
      <c r="BP107" s="11" t="e">
        <f ca="1">IF(History!BT$2="","",#REF!*$C$107)</f>
        <v>#REF!</v>
      </c>
      <c r="BQ107" s="11" t="e">
        <f ca="1">IF(History!BU$2="","",#REF!*$C$107)</f>
        <v>#REF!</v>
      </c>
      <c r="BR107" s="11" t="e">
        <f ca="1">IF(History!BV$2="","",#REF!*$C$107)</f>
        <v>#REF!</v>
      </c>
      <c r="BS107" s="11" t="e">
        <f ca="1">IF(History!BW$2="","",#REF!*$C$107)</f>
        <v>#REF!</v>
      </c>
      <c r="BT107" s="11" t="e">
        <f ca="1">IF(History!BX$2="","",#REF!*$C$107)</f>
        <v>#REF!</v>
      </c>
      <c r="BU107" s="11" t="e">
        <f ca="1">IF(History!BY$2="","",#REF!*$C$107)</f>
        <v>#REF!</v>
      </c>
      <c r="BV107" s="11" t="e">
        <f ca="1">IF(History!BZ$2="","",#REF!*$C$107)</f>
        <v>#REF!</v>
      </c>
      <c r="BW107" s="11" t="e">
        <f ca="1">IF(History!CA$2="","",#REF!*$C$107)</f>
        <v>#REF!</v>
      </c>
      <c r="BX107" s="11" t="e">
        <f ca="1">IF(History!CB$2="","",#REF!*$C$107)</f>
        <v>#REF!</v>
      </c>
      <c r="BY107" s="11" t="e">
        <f ca="1">IF(History!CC$2="","",#REF!*$C$107)</f>
        <v>#REF!</v>
      </c>
      <c r="BZ107" s="11" t="e">
        <f ca="1">IF(History!CD$2="","",#REF!*$C$107)</f>
        <v>#REF!</v>
      </c>
      <c r="CA107" s="11" t="e">
        <f ca="1">IF(History!CE$2="","",#REF!*$C$107)</f>
        <v>#REF!</v>
      </c>
      <c r="CB107" s="11" t="e">
        <f ca="1">IF(History!CF$2="","",#REF!*$C$107)</f>
        <v>#REF!</v>
      </c>
      <c r="CC107" s="11" t="e">
        <f ca="1">IF(History!CG$2="","",#REF!*$C$107)</f>
        <v>#REF!</v>
      </c>
      <c r="CD107" s="11" t="e">
        <f ca="1">IF(History!CH$2="","",#REF!*$C$107)</f>
        <v>#REF!</v>
      </c>
      <c r="CE107" s="11" t="e">
        <f ca="1">IF(History!CI$2="","",#REF!*$C$107)</f>
        <v>#REF!</v>
      </c>
      <c r="CF107" s="11" t="str">
        <f ca="1">IF(History!CJ$2="","",#REF!*$C$107)</f>
        <v/>
      </c>
      <c r="CG107" s="11" t="str">
        <f ca="1">IF(History!CK$2="","",#REF!*$C$107)</f>
        <v/>
      </c>
      <c r="CH107" s="11" t="str">
        <f ca="1">IF(History!CL$2="","",#REF!*$C$107)</f>
        <v/>
      </c>
      <c r="CI107" s="11" t="str">
        <f ca="1">IF(History!CM$2="","",#REF!*$C$107)</f>
        <v/>
      </c>
      <c r="CJ107" s="11" t="str">
        <f ca="1">IF(History!CN$2="","",#REF!*$C$107)</f>
        <v/>
      </c>
      <c r="CK107" s="11" t="str">
        <f ca="1">IF(History!CO$2="","",#REF!*$C$107)</f>
        <v/>
      </c>
      <c r="CL107" s="11" t="str">
        <f ca="1">IF(History!CP$2="","",#REF!*$C$107)</f>
        <v/>
      </c>
      <c r="CM107" s="11" t="str">
        <f ca="1">IF(History!CQ$2="","",#REF!*$C$107)</f>
        <v/>
      </c>
      <c r="CN107" s="11" t="str">
        <f ca="1">IF(History!CR$2="","",#REF!*$C$107)</f>
        <v/>
      </c>
      <c r="CO107" s="11" t="str">
        <f ca="1">IF(History!CS$2="","",#REF!*$C$107)</f>
        <v/>
      </c>
      <c r="CP107" s="11" t="str">
        <f ca="1">IF(History!CT$2="","",#REF!*$C$107)</f>
        <v/>
      </c>
      <c r="CQ107" s="11" t="str">
        <f ca="1">IF(History!CU$2="","",#REF!*$C$107)</f>
        <v/>
      </c>
      <c r="CR107" s="11" t="str">
        <f ca="1">IF(History!CV$2="","",#REF!*$C$107)</f>
        <v/>
      </c>
      <c r="CS107" s="11" t="str">
        <f ca="1">IF(History!CW$2="","",#REF!*$C$107)</f>
        <v/>
      </c>
      <c r="CT107" s="11" t="str">
        <f ca="1">IF(History!CX$2="","",#REF!*$C$107)</f>
        <v/>
      </c>
      <c r="CU107" s="11" t="str">
        <f ca="1">IF(History!CY$2="","",#REF!*$C$107)</f>
        <v/>
      </c>
      <c r="CV107" s="11" t="str">
        <f ca="1">IF(History!CZ$2="","",#REF!*$C$107)</f>
        <v/>
      </c>
      <c r="CW107" s="11" t="str">
        <f ca="1">IF(History!DA$2="","",#REF!*$C$107)</f>
        <v/>
      </c>
      <c r="CX107" s="11" t="str">
        <f ca="1">IF(History!DB$2="","",#REF!*$C$107)</f>
        <v/>
      </c>
      <c r="CY107" s="11" t="str">
        <f ca="1">IF(History!DC$2="","",#REF!*$C$107)</f>
        <v/>
      </c>
      <c r="CZ107" s="11" t="str">
        <f ca="1">IF(History!DD$2="","",#REF!*$C$107)</f>
        <v/>
      </c>
      <c r="DA107" s="11" t="str">
        <f ca="1">IF(History!DE$2="","",#REF!*$C$107)</f>
        <v/>
      </c>
      <c r="DB107" s="11" t="str">
        <f ca="1">IF(History!DF$2="","",#REF!*$C$107)</f>
        <v/>
      </c>
      <c r="DC107" s="11" t="str">
        <f ca="1">IF(History!DG$2="","",#REF!*$C$107)</f>
        <v/>
      </c>
      <c r="DD107" s="11" t="str">
        <f ca="1">IF(History!DH$2="","",#REF!*$C$107)</f>
        <v/>
      </c>
      <c r="DE107" s="11" t="str">
        <f ca="1">IF(History!DI$2="","",#REF!*$C$107)</f>
        <v/>
      </c>
      <c r="DF107" s="11" t="str">
        <f ca="1">IF(History!DJ$2="","",#REF!*$C$107)</f>
        <v/>
      </c>
      <c r="DG107" s="11" t="str">
        <f ca="1">IF(History!DK$2="","",#REF!*$C$107)</f>
        <v/>
      </c>
      <c r="DH107" s="11" t="str">
        <f ca="1">IF(History!DL$2="","",#REF!*$C$107)</f>
        <v/>
      </c>
      <c r="DI107" s="11" t="str">
        <f ca="1">IF(History!DM$2="","",#REF!*$C$107)</f>
        <v/>
      </c>
      <c r="DJ107" s="11" t="str">
        <f ca="1">IF(History!DN$2="","",#REF!*$C$107)</f>
        <v/>
      </c>
      <c r="DK107" s="11" t="str">
        <f ca="1">IF(History!DO$2="","",#REF!*$C$107)</f>
        <v/>
      </c>
      <c r="DL107" s="11" t="str">
        <f ca="1">IF(History!DP$2="","",#REF!*$C$107)</f>
        <v/>
      </c>
      <c r="DM107" s="11" t="str">
        <f ca="1">IF(History!DQ$2="","",#REF!*$C$107)</f>
        <v/>
      </c>
      <c r="DN107" s="11" t="str">
        <f ca="1">IF(History!DR$2="","",#REF!*$C$107)</f>
        <v/>
      </c>
      <c r="DO107" s="11" t="str">
        <f ca="1">IF(History!DS$2="","",#REF!*$C$107)</f>
        <v/>
      </c>
      <c r="DP107" s="11" t="str">
        <f ca="1">IF(History!DT$2="","",#REF!*$C$107)</f>
        <v/>
      </c>
      <c r="DQ107" s="11" t="str">
        <f ca="1">IF(History!DU$2="","",#REF!*$C$107)</f>
        <v/>
      </c>
      <c r="DR107" s="11" t="str">
        <f ca="1">IF(History!DV$2="","",#REF!*$C$107)</f>
        <v/>
      </c>
      <c r="DS107" s="11" t="str">
        <f ca="1">IF(History!DW$2="","",#REF!*$C$107)</f>
        <v/>
      </c>
      <c r="DT107" s="11" t="str">
        <f ca="1">IF(History!DX$2="","",#REF!*$C$107)</f>
        <v/>
      </c>
      <c r="DU107" s="11" t="str">
        <f ca="1">IF(History!DY$2="","",#REF!*$C$107)</f>
        <v/>
      </c>
      <c r="DV107" s="11" t="str">
        <f ca="1">IF(History!DZ$2="","",#REF!*$C$107)</f>
        <v/>
      </c>
      <c r="DW107" s="11" t="str">
        <f ca="1">IF(History!EA$2="","",#REF!*$C$107)</f>
        <v/>
      </c>
      <c r="DX107" s="11" t="str">
        <f ca="1">IF(History!EB$2="","",#REF!*$C$107)</f>
        <v/>
      </c>
      <c r="DY107" s="11" t="str">
        <f ca="1">IF(History!EC$2="","",#REF!*$C$107)</f>
        <v/>
      </c>
      <c r="DZ107" s="11" t="str">
        <f ca="1">IF(History!ED$2="","",#REF!*$C$107)</f>
        <v/>
      </c>
      <c r="EA107" s="11" t="str">
        <f ca="1">IF(History!EE$2="","",#REF!*$C$107)</f>
        <v/>
      </c>
      <c r="EB107" s="11" t="str">
        <f ca="1">IF(History!EF$2="","",#REF!*$C$107)</f>
        <v/>
      </c>
      <c r="EC107" s="11" t="str">
        <f ca="1">IF(History!EG$2="","",#REF!*$C$107)</f>
        <v/>
      </c>
      <c r="ED107" s="11" t="str">
        <f ca="1">IF(History!EH$2="","",#REF!*$C$107)</f>
        <v/>
      </c>
      <c r="EE107" s="11" t="str">
        <f ca="1">IF(History!EI$2="","",#REF!*$C$107)</f>
        <v/>
      </c>
      <c r="EF107" s="11" t="str">
        <f ca="1">IF(History!EJ$2="","",#REF!*$C$107)</f>
        <v/>
      </c>
      <c r="EG107" s="11" t="str">
        <f ca="1">IF(History!EK$2="","",#REF!*$C$107)</f>
        <v/>
      </c>
      <c r="EH107" s="11" t="str">
        <f ca="1">IF(History!EL$2="","",#REF!*$C$107)</f>
        <v/>
      </c>
      <c r="EI107" s="11" t="str">
        <f ca="1">IF(History!EM$2="","",#REF!*$C$107)</f>
        <v/>
      </c>
      <c r="EJ107" s="11" t="str">
        <f ca="1">IF(History!EN$2="","",#REF!*$C$107)</f>
        <v/>
      </c>
      <c r="EK107" s="11" t="str">
        <f ca="1">IF(History!EO$2="","",#REF!*$C$107)</f>
        <v/>
      </c>
      <c r="EL107" s="11" t="str">
        <f ca="1">IF(History!EP$2="","",#REF!*$C$107)</f>
        <v/>
      </c>
      <c r="EM107" s="11" t="str">
        <f ca="1">IF(History!EQ$2="","",#REF!*$C$107)</f>
        <v/>
      </c>
      <c r="EN107" s="11" t="str">
        <f ca="1">IF(History!ER$2="","",#REF!*$C$107)</f>
        <v/>
      </c>
      <c r="EO107" s="11" t="str">
        <f ca="1">IF(History!ES$2="","",#REF!*$C$107)</f>
        <v/>
      </c>
      <c r="EP107" s="11" t="str">
        <f ca="1">IF(History!ET$2="","",#REF!*$C$107)</f>
        <v/>
      </c>
      <c r="EQ107" s="11" t="str">
        <f ca="1">IF(History!EU$2="","",#REF!*$C$107)</f>
        <v/>
      </c>
      <c r="ER107" s="11" t="str">
        <f ca="1">IF(History!EV$2="","",#REF!*$C$107)</f>
        <v/>
      </c>
      <c r="ES107" s="11" t="str">
        <f ca="1">IF(History!EW$2="","",#REF!*$C$107)</f>
        <v/>
      </c>
      <c r="ET107" s="11" t="str">
        <f ca="1">IF(History!EX$2="","",#REF!*$C$107)</f>
        <v/>
      </c>
      <c r="EU107" s="11" t="str">
        <f ca="1">IF(History!EY$2="","",#REF!*$C$107)</f>
        <v/>
      </c>
      <c r="EV107" s="11" t="str">
        <f ca="1">IF(History!EZ$2="","",#REF!*$C$107)</f>
        <v/>
      </c>
      <c r="EW107" s="11" t="str">
        <f ca="1">IF(History!FA$2="","",#REF!*$C$107)</f>
        <v/>
      </c>
      <c r="EX107" s="11" t="str">
        <f ca="1">IF(History!FB$2="","",#REF!*$C$107)</f>
        <v/>
      </c>
      <c r="EY107" s="11" t="str">
        <f ca="1">IF(History!FC$2="","",#REF!*$C$107)</f>
        <v/>
      </c>
      <c r="EZ107" s="11" t="str">
        <f ca="1">IF(History!FD$2="","",#REF!*$C$107)</f>
        <v/>
      </c>
      <c r="FA107" s="11" t="str">
        <f ca="1">IF(History!FE$2="","",#REF!*$C$107)</f>
        <v/>
      </c>
      <c r="FB107" s="11" t="str">
        <f ca="1">IF(History!FF$2="","",#REF!*$C$107)</f>
        <v/>
      </c>
      <c r="FC107" s="11" t="str">
        <f ca="1">IF(History!FG$2="","",#REF!*$C$107)</f>
        <v/>
      </c>
      <c r="FD107" s="11" t="str">
        <f ca="1">IF(History!FH$2="","",#REF!*$C$107)</f>
        <v/>
      </c>
      <c r="FE107" s="11" t="str">
        <f ca="1">IF(History!FI$2="","",#REF!*$C$107)</f>
        <v/>
      </c>
      <c r="FF107" s="11" t="str">
        <f ca="1">IF(History!FJ$2="","",#REF!*$C$107)</f>
        <v/>
      </c>
      <c r="FG107" s="11" t="str">
        <f ca="1">IF(History!FK$2="","",#REF!*$C$107)</f>
        <v/>
      </c>
      <c r="FH107" s="11" t="str">
        <f ca="1">IF(History!FL$2="","",#REF!*$C$107)</f>
        <v/>
      </c>
      <c r="FI107" s="11" t="str">
        <f ca="1">IF(History!FM$2="","",#REF!*$C$107)</f>
        <v/>
      </c>
      <c r="FJ107" s="11" t="str">
        <f ca="1">IF(History!FN$2="","",#REF!*$C$107)</f>
        <v/>
      </c>
      <c r="FK107" s="11" t="str">
        <f ca="1">IF(History!FO$2="","",#REF!*$C$107)</f>
        <v/>
      </c>
      <c r="FL107" s="11" t="str">
        <f ca="1">IF(History!FP$2="","",#REF!*$C$107)</f>
        <v/>
      </c>
      <c r="FM107" s="11" t="str">
        <f ca="1">IF(History!FQ$2="","",#REF!*$C$107)</f>
        <v/>
      </c>
      <c r="FN107" s="11" t="str">
        <f ca="1">IF(History!FR$2="","",#REF!*$C$107)</f>
        <v/>
      </c>
      <c r="FO107" s="11" t="str">
        <f ca="1">IF(History!FS$2="","",#REF!*$C$107)</f>
        <v/>
      </c>
      <c r="FP107" s="11" t="str">
        <f ca="1">IF(History!FT$2="","",#REF!*$C$107)</f>
        <v/>
      </c>
      <c r="FQ107" s="11" t="str">
        <f ca="1">IF(History!FU$2="","",#REF!*$C$107)</f>
        <v/>
      </c>
      <c r="FR107" s="11" t="str">
        <f ca="1">IF(History!FV$2="","",#REF!*$C$107)</f>
        <v/>
      </c>
      <c r="FS107" s="11" t="str">
        <f ca="1">IF(History!FW$2="","",#REF!*$C$107)</f>
        <v/>
      </c>
      <c r="FT107" s="11" t="str">
        <f ca="1">IF(History!FX$2="","",#REF!*$C$107)</f>
        <v/>
      </c>
      <c r="FU107" s="11" t="str">
        <f ca="1">IF(History!FY$2="","",#REF!*$C$107)</f>
        <v/>
      </c>
      <c r="FV107" s="11" t="str">
        <f ca="1">IF(History!FZ$2="","",#REF!*$C$107)</f>
        <v/>
      </c>
      <c r="FW107" s="11" t="str">
        <f ca="1">IF(History!GA$2="","",#REF!*$C$107)</f>
        <v/>
      </c>
      <c r="FX107" s="11" t="str">
        <f ca="1">IF(History!GB$2="","",#REF!*$C$107)</f>
        <v/>
      </c>
      <c r="FY107" s="11" t="str">
        <f ca="1">IF(History!GC$2="","",#REF!*$C$107)</f>
        <v/>
      </c>
      <c r="FZ107" s="11" t="str">
        <f ca="1">IF(History!GD$2="","",#REF!*$C$107)</f>
        <v/>
      </c>
      <c r="GA107" s="11" t="str">
        <f ca="1">IF(History!GE$2="","",#REF!*$C$107)</f>
        <v/>
      </c>
      <c r="GB107" s="11" t="str">
        <f ca="1">IF(History!GF$2="","",#REF!*$C$107)</f>
        <v/>
      </c>
      <c r="GC107" s="11" t="str">
        <f ca="1">IF(History!GG$2="","",#REF!*$C$107)</f>
        <v/>
      </c>
      <c r="GD107" s="11" t="str">
        <f ca="1">IF(History!GH$2="","",#REF!*$C$107)</f>
        <v/>
      </c>
      <c r="GE107" s="11" t="str">
        <f ca="1">IF(History!GI$2="","",#REF!*$C$107)</f>
        <v/>
      </c>
      <c r="GF107" s="11" t="str">
        <f ca="1">IF(History!GJ$2="","",#REF!*$C$107)</f>
        <v/>
      </c>
      <c r="GG107" s="11" t="str">
        <f ca="1">IF(History!GK$2="","",#REF!*$C$107)</f>
        <v/>
      </c>
      <c r="GH107" s="11" t="str">
        <f ca="1">IF(History!GL$2="","",#REF!*$C$107)</f>
        <v/>
      </c>
      <c r="GI107" s="11" t="str">
        <f ca="1">IF(History!GM$2="","",#REF!*$C$107)</f>
        <v/>
      </c>
      <c r="GJ107" s="11" t="str">
        <f ca="1">IF(History!GN$2="","",#REF!*$C$107)</f>
        <v/>
      </c>
      <c r="GK107" s="11" t="str">
        <f ca="1">IF(History!GO$2="","",#REF!*$C$107)</f>
        <v/>
      </c>
      <c r="GL107" s="11" t="str">
        <f ca="1">IF(History!GP$2="","",#REF!*$C$107)</f>
        <v/>
      </c>
      <c r="GM107" s="11" t="str">
        <f ca="1">IF(History!GQ$2="","",#REF!*$C$107)</f>
        <v/>
      </c>
      <c r="GN107" s="11" t="str">
        <f ca="1">IF(History!GR$2="","",#REF!*$C$107)</f>
        <v/>
      </c>
      <c r="GO107" s="11" t="str">
        <f ca="1">IF(History!GS$2="","",#REF!*$C$107)</f>
        <v/>
      </c>
      <c r="GP107" s="11" t="str">
        <f ca="1">IF(History!GT$2="","",#REF!*$C$107)</f>
        <v/>
      </c>
      <c r="GQ107" s="11" t="str">
        <f ca="1">IF(History!GU$2="","",#REF!*$C$107)</f>
        <v/>
      </c>
      <c r="GR107" s="11" t="str">
        <f ca="1">IF(History!GV$2="","",#REF!*$C$107)</f>
        <v/>
      </c>
      <c r="GS107" s="11" t="str">
        <f ca="1">IF(History!GW$2="","",#REF!*$C$107)</f>
        <v/>
      </c>
      <c r="GT107" s="11" t="str">
        <f ca="1">IF(History!GX$2="","",#REF!*$C$107)</f>
        <v/>
      </c>
      <c r="GU107" s="11" t="str">
        <f ca="1">IF(History!GY$2="","",#REF!*$C$107)</f>
        <v/>
      </c>
      <c r="GV107" s="11" t="str">
        <f ca="1">IF(History!GZ$2="","",#REF!*$C$107)</f>
        <v/>
      </c>
      <c r="GW107" s="11" t="str">
        <f ca="1">IF(History!HA$2="","",#REF!*$C$107)</f>
        <v/>
      </c>
      <c r="GX107" s="11" t="str">
        <f ca="1">IF(History!HB$2="","",#REF!*$C$107)</f>
        <v/>
      </c>
      <c r="GY107" s="11" t="str">
        <f ca="1">IF(History!HC$2="","",#REF!*$C$107)</f>
        <v/>
      </c>
      <c r="GZ107" s="11" t="str">
        <f ca="1">IF(History!HD$2="","",#REF!*$C$107)</f>
        <v/>
      </c>
      <c r="HA107" s="11" t="str">
        <f ca="1">IF(History!HE$2="","",#REF!*$C$107)</f>
        <v/>
      </c>
      <c r="HB107" s="11" t="str">
        <f ca="1">IF(History!HF$2="","",#REF!*$C$107)</f>
        <v/>
      </c>
      <c r="HC107" s="11" t="str">
        <f ca="1">IF(History!HG$2="","",#REF!*$C$107)</f>
        <v/>
      </c>
      <c r="HD107" s="11" t="str">
        <f ca="1">IF(History!HH$2="","",#REF!*$C$107)</f>
        <v/>
      </c>
      <c r="HE107" s="11" t="str">
        <f ca="1">IF(History!HI$2="","",#REF!*$C$107)</f>
        <v/>
      </c>
      <c r="HF107" s="11" t="str">
        <f ca="1">IF(History!HJ$2="","",#REF!*$C$107)</f>
        <v/>
      </c>
      <c r="HG107" s="11" t="str">
        <f ca="1">IF(History!HK$2="","",#REF!*$C$107)</f>
        <v/>
      </c>
      <c r="HH107" s="11" t="str">
        <f ca="1">IF(History!HL$2="","",#REF!*$C$107)</f>
        <v/>
      </c>
      <c r="HI107" s="11" t="str">
        <f ca="1">IF(History!HM$2="","",#REF!*$C$107)</f>
        <v/>
      </c>
      <c r="HJ107" s="11" t="str">
        <f ca="1">IF(History!HN$2="","",#REF!*$C$107)</f>
        <v/>
      </c>
      <c r="HK107" s="11" t="str">
        <f ca="1">IF(History!HO$2="","",#REF!*$C$107)</f>
        <v/>
      </c>
      <c r="HL107" s="11" t="str">
        <f ca="1">IF(History!HP$2="","",#REF!*$C$107)</f>
        <v/>
      </c>
      <c r="HM107" s="11" t="str">
        <f ca="1">IF(History!HQ$2="","",#REF!*$C$107)</f>
        <v/>
      </c>
      <c r="HN107" s="11" t="str">
        <f ca="1">IF(History!HR$2="","",#REF!*$C$107)</f>
        <v/>
      </c>
      <c r="HO107" s="11" t="str">
        <f ca="1">IF(History!HS$2="","",#REF!*$C$107)</f>
        <v/>
      </c>
      <c r="HP107" s="11" t="str">
        <f ca="1">IF(History!HT$2="","",#REF!*$C$107)</f>
        <v/>
      </c>
      <c r="HQ107" s="11" t="str">
        <f ca="1">IF(History!HU$2="","",#REF!*$C$107)</f>
        <v/>
      </c>
      <c r="HR107" s="11" t="str">
        <f ca="1">IF(History!HV$2="","",#REF!*$C$107)</f>
        <v/>
      </c>
      <c r="HS107" s="11" t="str">
        <f ca="1">IF(History!HW$2="","",#REF!*$C$107)</f>
        <v/>
      </c>
      <c r="HT107" s="11" t="str">
        <f ca="1">IF(History!HX$2="","",#REF!*$C$107)</f>
        <v/>
      </c>
      <c r="HU107" s="11" t="str">
        <f ca="1">IF(History!HY$2="","",#REF!*$C$107)</f>
        <v/>
      </c>
      <c r="HV107" s="11" t="str">
        <f ca="1">IF(History!HZ$2="","",#REF!*$C$107)</f>
        <v/>
      </c>
      <c r="HW107" s="11" t="str">
        <f ca="1">IF(History!IA$2="","",#REF!*$C$107)</f>
        <v/>
      </c>
      <c r="HX107" s="11" t="str">
        <f ca="1">IF(History!IB$2="","",#REF!*$C$107)</f>
        <v/>
      </c>
      <c r="HY107" s="11" t="str">
        <f ca="1">IF(History!IC$2="","",#REF!*$C$107)</f>
        <v/>
      </c>
      <c r="HZ107" s="11" t="str">
        <f ca="1">IF(History!ID$2="","",#REF!*$C$107)</f>
        <v/>
      </c>
      <c r="IA107" s="11" t="str">
        <f ca="1">IF(History!IE$2="","",#REF!*$C$107)</f>
        <v/>
      </c>
      <c r="IB107" s="11" t="str">
        <f ca="1">IF(History!IF$2="","",#REF!*$C$107)</f>
        <v/>
      </c>
      <c r="IC107" s="11" t="str">
        <f ca="1">IF(History!IG$2="","",#REF!*$C$107)</f>
        <v/>
      </c>
      <c r="ID107" s="11" t="str">
        <f ca="1">IF(History!IH$2="","",#REF!*$C$107)</f>
        <v/>
      </c>
      <c r="IE107" s="11" t="str">
        <f ca="1">IF(History!II$2="","",#REF!*$C$107)</f>
        <v/>
      </c>
      <c r="IF107" s="11" t="str">
        <f ca="1">IF(History!IJ$2="","",#REF!*$C$107)</f>
        <v/>
      </c>
      <c r="IG107" s="11" t="str">
        <f ca="1">IF(History!IK$2="","",#REF!*$C$107)</f>
        <v/>
      </c>
      <c r="IH107" s="11" t="str">
        <f ca="1">IF(History!IL$2="","",#REF!*$C$107)</f>
        <v/>
      </c>
      <c r="II107" s="11" t="str">
        <f ca="1">IF(History!IM$2="","",#REF!*$C$107)</f>
        <v/>
      </c>
      <c r="IJ107" s="11" t="str">
        <f ca="1">IF(History!IN$2="","",#REF!*$C$107)</f>
        <v/>
      </c>
      <c r="IK107" s="11" t="str">
        <f ca="1">IF(History!IO$2="","",#REF!*$C$107)</f>
        <v/>
      </c>
      <c r="IL107" s="11" t="str">
        <f ca="1">IF(History!IP$2="","",#REF!*$C$107)</f>
        <v/>
      </c>
      <c r="IM107" s="11" t="str">
        <f ca="1">IF(History!IQ$2="","",#REF!*$C$107)</f>
        <v/>
      </c>
      <c r="IN107" s="11" t="str">
        <f ca="1">IF(History!IR$2="","",#REF!*$C$107)</f>
        <v/>
      </c>
      <c r="IO107" s="11" t="str">
        <f ca="1">IF(History!IS$2="","",#REF!*$C$107)</f>
        <v/>
      </c>
      <c r="IP107" s="11" t="str">
        <f ca="1">IF(History!IT$2="","",#REF!*$C$107)</f>
        <v/>
      </c>
      <c r="IQ107" s="11" t="str">
        <f ca="1">IF(History!IU$2="","",#REF!*$C$107)</f>
        <v/>
      </c>
      <c r="IR107" s="11" t="str">
        <f ca="1">IF(History!IV$2="","",#REF!*$C$107)</f>
        <v/>
      </c>
      <c r="IS107" s="11" t="str">
        <f ca="1">IF(History!IW$2="","",#REF!*$C$107)</f>
        <v/>
      </c>
      <c r="IT107" s="11" t="str">
        <f ca="1">IF(History!IX$2="","",#REF!*$C$107)</f>
        <v/>
      </c>
      <c r="IU107" s="11" t="str">
        <f ca="1">IF(History!IY$2="","",#REF!*$C$107)</f>
        <v/>
      </c>
      <c r="IV107" s="11" t="str">
        <f ca="1">IF(History!IZ$2="","",#REF!*$C$107)</f>
        <v/>
      </c>
      <c r="IW107" s="11" t="str">
        <f ca="1">IF(History!JA$2="","",#REF!*$C$107)</f>
        <v/>
      </c>
      <c r="IX107" s="11" t="str">
        <f ca="1">IF(History!JB$2="","",#REF!*$C$107)</f>
        <v/>
      </c>
      <c r="IY107" s="11" t="str">
        <f ca="1">IF(History!JC$2="","",#REF!*$C$107)</f>
        <v/>
      </c>
      <c r="IZ107" s="11" t="str">
        <f ca="1">IF(History!JD$2="","",#REF!*$C$107)</f>
        <v/>
      </c>
      <c r="JA107" s="11" t="str">
        <f ca="1">IF(History!JE$2="","",#REF!*$C$107)</f>
        <v/>
      </c>
      <c r="JB107" s="11" t="str">
        <f ca="1">IF(History!JF$2="","",#REF!*$C$107)</f>
        <v/>
      </c>
      <c r="JC107" s="11" t="str">
        <f ca="1">IF(History!JG$2="","",#REF!*$C$107)</f>
        <v/>
      </c>
      <c r="JD107" s="11" t="str">
        <f ca="1">IF(History!JH$2="","",#REF!*$C$107)</f>
        <v/>
      </c>
      <c r="JE107" s="11" t="str">
        <f ca="1">IF(History!JI$2="","",#REF!*$C$107)</f>
        <v/>
      </c>
      <c r="JF107" s="11" t="str">
        <f ca="1">IF(History!JJ$2="","",#REF!*$C$107)</f>
        <v/>
      </c>
      <c r="JG107" s="11" t="str">
        <f ca="1">IF(History!JK$2="","",#REF!*$C$107)</f>
        <v/>
      </c>
      <c r="JH107" s="11" t="str">
        <f ca="1">IF(History!JL$2="","",#REF!*$C$107)</f>
        <v/>
      </c>
      <c r="JI107" s="11" t="str">
        <f ca="1">IF(History!JM$2="","",#REF!*$C$107)</f>
        <v/>
      </c>
      <c r="JJ107" s="11" t="str">
        <f ca="1">IF(History!JN$2="","",#REF!*$C$107)</f>
        <v/>
      </c>
      <c r="JK107" s="11" t="str">
        <f ca="1">IF(History!JO$2="","",#REF!*$C$107)</f>
        <v/>
      </c>
      <c r="JL107" s="11" t="str">
        <f ca="1">IF(History!JP$2="","",#REF!*$C$107)</f>
        <v/>
      </c>
      <c r="JM107" s="11" t="str">
        <f ca="1">IF(History!JQ$2="","",#REF!*$C$107)</f>
        <v/>
      </c>
      <c r="JN107" s="11" t="str">
        <f ca="1">IF(History!JR$2="","",#REF!*$C$107)</f>
        <v/>
      </c>
      <c r="JO107" s="11" t="str">
        <f ca="1">IF(History!JS$2="","",#REF!*$C$107)</f>
        <v/>
      </c>
      <c r="JP107" s="11" t="str">
        <f ca="1">IF(History!JT$2="","",#REF!*$C$107)</f>
        <v/>
      </c>
      <c r="JQ107" s="11" t="str">
        <f ca="1">IF(History!JU$2="","",#REF!*$C$107)</f>
        <v/>
      </c>
      <c r="JR107" s="11" t="str">
        <f ca="1">IF(History!JV$2="","",#REF!*$C$107)</f>
        <v/>
      </c>
      <c r="JS107" s="11" t="str">
        <f ca="1">IF(History!JW$2="","",#REF!*$C$107)</f>
        <v/>
      </c>
      <c r="JT107" s="11" t="str">
        <f ca="1">IF(History!JX$2="","",#REF!*$C$107)</f>
        <v/>
      </c>
      <c r="JU107" s="11" t="str">
        <f ca="1">IF(History!JY$2="","",#REF!*$C$107)</f>
        <v/>
      </c>
      <c r="JV107" s="11" t="str">
        <f ca="1">IF(History!JZ$2="","",#REF!*$C$107)</f>
        <v/>
      </c>
      <c r="JW107" s="11" t="str">
        <f ca="1">IF(History!KA$2="","",#REF!*$C$107)</f>
        <v/>
      </c>
      <c r="JX107" s="11" t="str">
        <f ca="1">IF(History!KB$2="","",#REF!*$C$107)</f>
        <v/>
      </c>
      <c r="JY107" s="11" t="str">
        <f ca="1">IF(History!KC$2="","",#REF!*$C$107)</f>
        <v/>
      </c>
      <c r="JZ107" s="11" t="str">
        <f ca="1">IF(History!KD$2="","",#REF!*$C$107)</f>
        <v/>
      </c>
      <c r="KA107" s="11" t="str">
        <f ca="1">IF(History!KE$2="","",#REF!*$C$107)</f>
        <v/>
      </c>
      <c r="KB107" s="11" t="str">
        <f ca="1">IF(History!KF$2="","",#REF!*$C$107)</f>
        <v/>
      </c>
    </row>
    <row r="108" spans="1:288" ht="13">
      <c r="A108" s="18" t="s">
        <v>140</v>
      </c>
      <c r="B108" s="6" t="s">
        <v>184</v>
      </c>
      <c r="C108" s="26">
        <v>21</v>
      </c>
      <c r="D108" s="11" t="e">
        <f ca="1">IF(History!H$2="","",#REF!*$C$108)</f>
        <v>#REF!</v>
      </c>
      <c r="E108" s="11" t="e">
        <f ca="1">IF(History!I$2="","",#REF!*$C$108)</f>
        <v>#REF!</v>
      </c>
      <c r="F108" s="11" t="e">
        <f ca="1">IF(History!J$2="","",#REF!*$C$108)</f>
        <v>#REF!</v>
      </c>
      <c r="G108" s="11" t="e">
        <f ca="1">IF(History!K$2="","",#REF!*$C$108)</f>
        <v>#REF!</v>
      </c>
      <c r="H108" s="11" t="e">
        <f ca="1">IF(History!L$2="","",#REF!*$C$108)</f>
        <v>#REF!</v>
      </c>
      <c r="I108" s="11" t="e">
        <f ca="1">IF(History!M$2="","",#REF!*$C$108)</f>
        <v>#REF!</v>
      </c>
      <c r="J108" s="11" t="e">
        <f ca="1">IF(History!N$2="","",#REF!*$C$108)</f>
        <v>#REF!</v>
      </c>
      <c r="K108" s="11" t="e">
        <f ca="1">IF(History!O$2="","",#REF!*$C$108)</f>
        <v>#REF!</v>
      </c>
      <c r="L108" s="11" t="e">
        <f ca="1">IF(History!P$2="","",#REF!*$C$108)</f>
        <v>#REF!</v>
      </c>
      <c r="M108" s="11" t="e">
        <f ca="1">IF(History!Q$2="","",#REF!*$C$108)</f>
        <v>#REF!</v>
      </c>
      <c r="N108" s="11" t="e">
        <f ca="1">IF(History!R$2="","",#REF!*$C$108)</f>
        <v>#REF!</v>
      </c>
      <c r="O108" s="11" t="e">
        <f ca="1">IF(History!S$2="","",#REF!*$C$108)</f>
        <v>#REF!</v>
      </c>
      <c r="P108" s="11" t="e">
        <f ca="1">IF(History!T$2="","",#REF!*$C$108)</f>
        <v>#REF!</v>
      </c>
      <c r="Q108" s="11" t="e">
        <f ca="1">IF(History!U$2="","",#REF!*$C$108)</f>
        <v>#REF!</v>
      </c>
      <c r="R108" s="11" t="e">
        <f ca="1">IF(History!V$2="","",#REF!*$C$108)</f>
        <v>#REF!</v>
      </c>
      <c r="S108" s="11" t="e">
        <f ca="1">IF(History!W$2="","",#REF!*$C$108)</f>
        <v>#REF!</v>
      </c>
      <c r="T108" s="11" t="e">
        <f ca="1">IF(History!X$2="","",#REF!*$C$108)</f>
        <v>#REF!</v>
      </c>
      <c r="U108" s="11" t="e">
        <f ca="1">IF(History!Y$2="","",#REF!*$C$108)</f>
        <v>#REF!</v>
      </c>
      <c r="V108" s="11" t="e">
        <f ca="1">IF(History!Z$2="","",#REF!*$C$108)</f>
        <v>#REF!</v>
      </c>
      <c r="W108" s="11" t="e">
        <f ca="1">IF(History!AA$2="","",#REF!*$C$108)</f>
        <v>#REF!</v>
      </c>
      <c r="X108" s="11" t="e">
        <f ca="1">IF(History!AB$2="","",#REF!*$C$108)</f>
        <v>#REF!</v>
      </c>
      <c r="Y108" s="11" t="e">
        <f ca="1">IF(History!AC$2="","",#REF!*$C$108)</f>
        <v>#REF!</v>
      </c>
      <c r="Z108" s="11" t="e">
        <f ca="1">IF(History!AD$2="","",#REF!*$C$108)</f>
        <v>#REF!</v>
      </c>
      <c r="AA108" s="11" t="e">
        <f ca="1">IF(History!AE$2="","",#REF!*$C$108)</f>
        <v>#REF!</v>
      </c>
      <c r="AB108" s="11" t="e">
        <f ca="1">IF(History!AF$2="","",#REF!*$C$108)</f>
        <v>#REF!</v>
      </c>
      <c r="AC108" s="11" t="e">
        <f ca="1">IF(History!AG$2="","",#REF!*$C$108)</f>
        <v>#REF!</v>
      </c>
      <c r="AD108" s="11" t="e">
        <f ca="1">IF(History!AH$2="","",#REF!*$C$108)</f>
        <v>#REF!</v>
      </c>
      <c r="AE108" s="11" t="e">
        <f ca="1">IF(History!AI$2="","",#REF!*$C$108)</f>
        <v>#REF!</v>
      </c>
      <c r="AF108" s="11" t="e">
        <f ca="1">IF(History!AJ$2="","",#REF!*$C$108)</f>
        <v>#REF!</v>
      </c>
      <c r="AG108" s="11" t="e">
        <f ca="1">IF(History!AK$2="","",#REF!*$C$108)</f>
        <v>#REF!</v>
      </c>
      <c r="AH108" s="11" t="e">
        <f ca="1">IF(History!AL$2="","",#REF!*$C$108)</f>
        <v>#REF!</v>
      </c>
      <c r="AI108" s="11" t="e">
        <f ca="1">IF(History!AM$2="","",#REF!*$C$108)</f>
        <v>#REF!</v>
      </c>
      <c r="AJ108" s="11" t="e">
        <f ca="1">IF(History!AN$2="","",#REF!*$C$108)</f>
        <v>#REF!</v>
      </c>
      <c r="AK108" s="11" t="e">
        <f ca="1">IF(History!AO$2="","",#REF!*$C$108)</f>
        <v>#REF!</v>
      </c>
      <c r="AL108" s="11" t="e">
        <f ca="1">IF(History!AP$2="","",#REF!*$C$108)</f>
        <v>#REF!</v>
      </c>
      <c r="AM108" s="11" t="e">
        <f ca="1">IF(History!AQ$2="","",#REF!*$C$108)</f>
        <v>#REF!</v>
      </c>
      <c r="AN108" s="11" t="e">
        <f ca="1">IF(History!AR$2="","",#REF!*$C$108)</f>
        <v>#REF!</v>
      </c>
      <c r="AO108" s="11" t="e">
        <f ca="1">IF(History!AS$2="","",#REF!*$C$108)</f>
        <v>#REF!</v>
      </c>
      <c r="AP108" s="11" t="e">
        <f ca="1">IF(History!AT$2="","",#REF!*$C$108)</f>
        <v>#REF!</v>
      </c>
      <c r="AQ108" s="11" t="e">
        <f ca="1">IF(History!AU$2="","",#REF!*$C$108)</f>
        <v>#REF!</v>
      </c>
      <c r="AR108" s="11" t="e">
        <f ca="1">IF(History!AV$2="","",#REF!*$C$108)</f>
        <v>#REF!</v>
      </c>
      <c r="AS108" s="11" t="e">
        <f ca="1">IF(History!AW$2="","",#REF!*$C$108)</f>
        <v>#REF!</v>
      </c>
      <c r="AT108" s="11" t="e">
        <f ca="1">IF(History!AX$2="","",#REF!*$C$108)</f>
        <v>#REF!</v>
      </c>
      <c r="AU108" s="11" t="e">
        <f ca="1">IF(History!AY$2="","",#REF!*$C$108)</f>
        <v>#REF!</v>
      </c>
      <c r="AV108" s="11" t="e">
        <f ca="1">IF(History!AZ$2="","",#REF!*$C$108)</f>
        <v>#REF!</v>
      </c>
      <c r="AW108" s="11" t="e">
        <f ca="1">IF(History!BA$2="","",#REF!*$C$108)</f>
        <v>#REF!</v>
      </c>
      <c r="AX108" s="11" t="e">
        <f ca="1">IF(History!BB$2="","",#REF!*$C$108)</f>
        <v>#REF!</v>
      </c>
      <c r="AY108" s="11" t="e">
        <f ca="1">IF(History!BC$2="","",#REF!*$C$108)</f>
        <v>#REF!</v>
      </c>
      <c r="AZ108" s="11" t="e">
        <f ca="1">IF(History!BD$2="","",#REF!*$C$108)</f>
        <v>#REF!</v>
      </c>
      <c r="BA108" s="11" t="e">
        <f ca="1">IF(History!BE$2="","",#REF!*$C$108)</f>
        <v>#REF!</v>
      </c>
      <c r="BB108" s="11" t="e">
        <f ca="1">IF(History!BF$2="","",#REF!*$C$108)</f>
        <v>#REF!</v>
      </c>
      <c r="BC108" s="11" t="e">
        <f ca="1">IF(History!BG$2="","",#REF!*$C$108)</f>
        <v>#REF!</v>
      </c>
      <c r="BD108" s="11" t="e">
        <f ca="1">IF(History!BH$2="","",#REF!*$C$108)</f>
        <v>#REF!</v>
      </c>
      <c r="BE108" s="11" t="e">
        <f ca="1">IF(History!BI$2="","",#REF!*$C$108)</f>
        <v>#REF!</v>
      </c>
      <c r="BF108" s="11" t="e">
        <f ca="1">IF(History!BJ$2="","",#REF!*$C$108)</f>
        <v>#REF!</v>
      </c>
      <c r="BG108" s="11" t="e">
        <f ca="1">IF(History!BK$2="","",#REF!*$C$108)</f>
        <v>#REF!</v>
      </c>
      <c r="BH108" s="11" t="e">
        <f ca="1">IF(History!BL$2="","",#REF!*$C$108)</f>
        <v>#REF!</v>
      </c>
      <c r="BI108" s="11" t="e">
        <f ca="1">IF(History!BM$2="","",#REF!*$C$108)</f>
        <v>#REF!</v>
      </c>
      <c r="BJ108" s="11" t="e">
        <f ca="1">IF(History!BN$2="","",#REF!*$C$108)</f>
        <v>#REF!</v>
      </c>
      <c r="BK108" s="11" t="e">
        <f ca="1">IF(History!BO$2="","",#REF!*$C$108)</f>
        <v>#REF!</v>
      </c>
      <c r="BL108" s="11" t="e">
        <f ca="1">IF(History!BP$2="","",#REF!*$C$108)</f>
        <v>#REF!</v>
      </c>
      <c r="BM108" s="11" t="e">
        <f ca="1">IF(History!BQ$2="","",#REF!*$C$108)</f>
        <v>#REF!</v>
      </c>
      <c r="BN108" s="11" t="e">
        <f ca="1">IF(History!BR$2="","",#REF!*$C$108)</f>
        <v>#REF!</v>
      </c>
      <c r="BO108" s="11" t="e">
        <f ca="1">IF(History!BS$2="","",#REF!*$C$108)</f>
        <v>#REF!</v>
      </c>
      <c r="BP108" s="11" t="e">
        <f ca="1">IF(History!BT$2="","",#REF!*$C$108)</f>
        <v>#REF!</v>
      </c>
      <c r="BQ108" s="11" t="e">
        <f ca="1">IF(History!BU$2="","",#REF!*$C$108)</f>
        <v>#REF!</v>
      </c>
      <c r="BR108" s="11" t="e">
        <f ca="1">IF(History!BV$2="","",#REF!*$C$108)</f>
        <v>#REF!</v>
      </c>
      <c r="BS108" s="11" t="e">
        <f ca="1">IF(History!BW$2="","",#REF!*$C$108)</f>
        <v>#REF!</v>
      </c>
      <c r="BT108" s="11" t="e">
        <f ca="1">IF(History!BX$2="","",#REF!*$C$108)</f>
        <v>#REF!</v>
      </c>
      <c r="BU108" s="11" t="e">
        <f ca="1">IF(History!BY$2="","",#REF!*$C$108)</f>
        <v>#REF!</v>
      </c>
      <c r="BV108" s="11" t="e">
        <f ca="1">IF(History!BZ$2="","",#REF!*$C$108)</f>
        <v>#REF!</v>
      </c>
      <c r="BW108" s="11" t="e">
        <f ca="1">IF(History!CA$2="","",#REF!*$C$108)</f>
        <v>#REF!</v>
      </c>
      <c r="BX108" s="11" t="e">
        <f ca="1">IF(History!CB$2="","",#REF!*$C$108)</f>
        <v>#REF!</v>
      </c>
      <c r="BY108" s="11" t="e">
        <f ca="1">IF(History!CC$2="","",#REF!*$C$108)</f>
        <v>#REF!</v>
      </c>
      <c r="BZ108" s="11" t="e">
        <f ca="1">IF(History!CD$2="","",#REF!*$C$108)</f>
        <v>#REF!</v>
      </c>
      <c r="CA108" s="11" t="e">
        <f ca="1">IF(History!CE$2="","",#REF!*$C$108)</f>
        <v>#REF!</v>
      </c>
      <c r="CB108" s="11" t="e">
        <f ca="1">IF(History!CF$2="","",#REF!*$C$108)</f>
        <v>#REF!</v>
      </c>
      <c r="CC108" s="11" t="e">
        <f ca="1">IF(History!CG$2="","",#REF!*$C$108)</f>
        <v>#REF!</v>
      </c>
      <c r="CD108" s="11" t="e">
        <f ca="1">IF(History!CH$2="","",#REF!*$C$108)</f>
        <v>#REF!</v>
      </c>
      <c r="CE108" s="11" t="e">
        <f ca="1">IF(History!CI$2="","",#REF!*$C$108)</f>
        <v>#REF!</v>
      </c>
      <c r="CF108" s="11" t="str">
        <f ca="1">IF(History!CJ$2="","",#REF!*$C$108)</f>
        <v/>
      </c>
      <c r="CG108" s="11" t="str">
        <f ca="1">IF(History!CK$2="","",#REF!*$C$108)</f>
        <v/>
      </c>
      <c r="CH108" s="11" t="str">
        <f ca="1">IF(History!CL$2="","",#REF!*$C$108)</f>
        <v/>
      </c>
      <c r="CI108" s="11" t="str">
        <f ca="1">IF(History!CM$2="","",#REF!*$C$108)</f>
        <v/>
      </c>
      <c r="CJ108" s="11" t="str">
        <f ca="1">IF(History!CN$2="","",#REF!*$C$108)</f>
        <v/>
      </c>
      <c r="CK108" s="11" t="str">
        <f ca="1">IF(History!CO$2="","",#REF!*$C$108)</f>
        <v/>
      </c>
      <c r="CL108" s="11" t="str">
        <f ca="1">IF(History!CP$2="","",#REF!*$C$108)</f>
        <v/>
      </c>
      <c r="CM108" s="11" t="str">
        <f ca="1">IF(History!CQ$2="","",#REF!*$C$108)</f>
        <v/>
      </c>
      <c r="CN108" s="11" t="str">
        <f ca="1">IF(History!CR$2="","",#REF!*$C$108)</f>
        <v/>
      </c>
      <c r="CO108" s="11" t="str">
        <f ca="1">IF(History!CS$2="","",#REF!*$C$108)</f>
        <v/>
      </c>
      <c r="CP108" s="11" t="str">
        <f ca="1">IF(History!CT$2="","",#REF!*$C$108)</f>
        <v/>
      </c>
      <c r="CQ108" s="11" t="str">
        <f ca="1">IF(History!CU$2="","",#REF!*$C$108)</f>
        <v/>
      </c>
      <c r="CR108" s="11" t="str">
        <f ca="1">IF(History!CV$2="","",#REF!*$C$108)</f>
        <v/>
      </c>
      <c r="CS108" s="11" t="str">
        <f ca="1">IF(History!CW$2="","",#REF!*$C$108)</f>
        <v/>
      </c>
      <c r="CT108" s="11" t="str">
        <f ca="1">IF(History!CX$2="","",#REF!*$C$108)</f>
        <v/>
      </c>
      <c r="CU108" s="11" t="str">
        <f ca="1">IF(History!CY$2="","",#REF!*$C$108)</f>
        <v/>
      </c>
      <c r="CV108" s="11" t="str">
        <f ca="1">IF(History!CZ$2="","",#REF!*$C$108)</f>
        <v/>
      </c>
      <c r="CW108" s="11" t="str">
        <f ca="1">IF(History!DA$2="","",#REF!*$C$108)</f>
        <v/>
      </c>
      <c r="CX108" s="11" t="str">
        <f ca="1">IF(History!DB$2="","",#REF!*$C$108)</f>
        <v/>
      </c>
      <c r="CY108" s="11" t="str">
        <f ca="1">IF(History!DC$2="","",#REF!*$C$108)</f>
        <v/>
      </c>
      <c r="CZ108" s="11" t="str">
        <f ca="1">IF(History!DD$2="","",#REF!*$C$108)</f>
        <v/>
      </c>
      <c r="DA108" s="11" t="str">
        <f ca="1">IF(History!DE$2="","",#REF!*$C$108)</f>
        <v/>
      </c>
      <c r="DB108" s="11" t="str">
        <f ca="1">IF(History!DF$2="","",#REF!*$C$108)</f>
        <v/>
      </c>
      <c r="DC108" s="11" t="str">
        <f ca="1">IF(History!DG$2="","",#REF!*$C$108)</f>
        <v/>
      </c>
      <c r="DD108" s="11" t="str">
        <f ca="1">IF(History!DH$2="","",#REF!*$C$108)</f>
        <v/>
      </c>
      <c r="DE108" s="11" t="str">
        <f ca="1">IF(History!DI$2="","",#REF!*$C$108)</f>
        <v/>
      </c>
      <c r="DF108" s="11" t="str">
        <f ca="1">IF(History!DJ$2="","",#REF!*$C$108)</f>
        <v/>
      </c>
      <c r="DG108" s="11" t="str">
        <f ca="1">IF(History!DK$2="","",#REF!*$C$108)</f>
        <v/>
      </c>
      <c r="DH108" s="11" t="str">
        <f ca="1">IF(History!DL$2="","",#REF!*$C$108)</f>
        <v/>
      </c>
      <c r="DI108" s="11" t="str">
        <f ca="1">IF(History!DM$2="","",#REF!*$C$108)</f>
        <v/>
      </c>
      <c r="DJ108" s="11" t="str">
        <f ca="1">IF(History!DN$2="","",#REF!*$C$108)</f>
        <v/>
      </c>
      <c r="DK108" s="11" t="str">
        <f ca="1">IF(History!DO$2="","",#REF!*$C$108)</f>
        <v/>
      </c>
      <c r="DL108" s="11" t="str">
        <f ca="1">IF(History!DP$2="","",#REF!*$C$108)</f>
        <v/>
      </c>
      <c r="DM108" s="11" t="str">
        <f ca="1">IF(History!DQ$2="","",#REF!*$C$108)</f>
        <v/>
      </c>
      <c r="DN108" s="11" t="str">
        <f ca="1">IF(History!DR$2="","",#REF!*$C$108)</f>
        <v/>
      </c>
      <c r="DO108" s="11" t="str">
        <f ca="1">IF(History!DS$2="","",#REF!*$C$108)</f>
        <v/>
      </c>
      <c r="DP108" s="11" t="str">
        <f ca="1">IF(History!DT$2="","",#REF!*$C$108)</f>
        <v/>
      </c>
      <c r="DQ108" s="11" t="str">
        <f ca="1">IF(History!DU$2="","",#REF!*$C$108)</f>
        <v/>
      </c>
      <c r="DR108" s="11" t="str">
        <f ca="1">IF(History!DV$2="","",#REF!*$C$108)</f>
        <v/>
      </c>
      <c r="DS108" s="11" t="str">
        <f ca="1">IF(History!DW$2="","",#REF!*$C$108)</f>
        <v/>
      </c>
      <c r="DT108" s="11" t="str">
        <f ca="1">IF(History!DX$2="","",#REF!*$C$108)</f>
        <v/>
      </c>
      <c r="DU108" s="11" t="str">
        <f ca="1">IF(History!DY$2="","",#REF!*$C$108)</f>
        <v/>
      </c>
      <c r="DV108" s="11" t="str">
        <f ca="1">IF(History!DZ$2="","",#REF!*$C$108)</f>
        <v/>
      </c>
      <c r="DW108" s="11" t="str">
        <f ca="1">IF(History!EA$2="","",#REF!*$C$108)</f>
        <v/>
      </c>
      <c r="DX108" s="11" t="str">
        <f ca="1">IF(History!EB$2="","",#REF!*$C$108)</f>
        <v/>
      </c>
      <c r="DY108" s="11" t="str">
        <f ca="1">IF(History!EC$2="","",#REF!*$C$108)</f>
        <v/>
      </c>
      <c r="DZ108" s="11" t="str">
        <f ca="1">IF(History!ED$2="","",#REF!*$C$108)</f>
        <v/>
      </c>
      <c r="EA108" s="11" t="str">
        <f ca="1">IF(History!EE$2="","",#REF!*$C$108)</f>
        <v/>
      </c>
      <c r="EB108" s="11" t="str">
        <f ca="1">IF(History!EF$2="","",#REF!*$C$108)</f>
        <v/>
      </c>
      <c r="EC108" s="11" t="str">
        <f ca="1">IF(History!EG$2="","",#REF!*$C$108)</f>
        <v/>
      </c>
      <c r="ED108" s="11" t="str">
        <f ca="1">IF(History!EH$2="","",#REF!*$C$108)</f>
        <v/>
      </c>
      <c r="EE108" s="11" t="str">
        <f ca="1">IF(History!EI$2="","",#REF!*$C$108)</f>
        <v/>
      </c>
      <c r="EF108" s="11" t="str">
        <f ca="1">IF(History!EJ$2="","",#REF!*$C$108)</f>
        <v/>
      </c>
      <c r="EG108" s="11" t="str">
        <f ca="1">IF(History!EK$2="","",#REF!*$C$108)</f>
        <v/>
      </c>
      <c r="EH108" s="11" t="str">
        <f ca="1">IF(History!EL$2="","",#REF!*$C$108)</f>
        <v/>
      </c>
      <c r="EI108" s="11" t="str">
        <f ca="1">IF(History!EM$2="","",#REF!*$C$108)</f>
        <v/>
      </c>
      <c r="EJ108" s="11" t="str">
        <f ca="1">IF(History!EN$2="","",#REF!*$C$108)</f>
        <v/>
      </c>
      <c r="EK108" s="11" t="str">
        <f ca="1">IF(History!EO$2="","",#REF!*$C$108)</f>
        <v/>
      </c>
      <c r="EL108" s="11" t="str">
        <f ca="1">IF(History!EP$2="","",#REF!*$C$108)</f>
        <v/>
      </c>
      <c r="EM108" s="11" t="str">
        <f ca="1">IF(History!EQ$2="","",#REF!*$C$108)</f>
        <v/>
      </c>
      <c r="EN108" s="11" t="str">
        <f ca="1">IF(History!ER$2="","",#REF!*$C$108)</f>
        <v/>
      </c>
      <c r="EO108" s="11" t="str">
        <f ca="1">IF(History!ES$2="","",#REF!*$C$108)</f>
        <v/>
      </c>
      <c r="EP108" s="11" t="str">
        <f ca="1">IF(History!ET$2="","",#REF!*$C$108)</f>
        <v/>
      </c>
      <c r="EQ108" s="11" t="str">
        <f ca="1">IF(History!EU$2="","",#REF!*$C$108)</f>
        <v/>
      </c>
      <c r="ER108" s="11" t="str">
        <f ca="1">IF(History!EV$2="","",#REF!*$C$108)</f>
        <v/>
      </c>
      <c r="ES108" s="11" t="str">
        <f ca="1">IF(History!EW$2="","",#REF!*$C$108)</f>
        <v/>
      </c>
      <c r="ET108" s="11" t="str">
        <f ca="1">IF(History!EX$2="","",#REF!*$C$108)</f>
        <v/>
      </c>
      <c r="EU108" s="11" t="str">
        <f ca="1">IF(History!EY$2="","",#REF!*$C$108)</f>
        <v/>
      </c>
      <c r="EV108" s="11" t="str">
        <f ca="1">IF(History!EZ$2="","",#REF!*$C$108)</f>
        <v/>
      </c>
      <c r="EW108" s="11" t="str">
        <f ca="1">IF(History!FA$2="","",#REF!*$C$108)</f>
        <v/>
      </c>
      <c r="EX108" s="11" t="str">
        <f ca="1">IF(History!FB$2="","",#REF!*$C$108)</f>
        <v/>
      </c>
      <c r="EY108" s="11" t="str">
        <f ca="1">IF(History!FC$2="","",#REF!*$C$108)</f>
        <v/>
      </c>
      <c r="EZ108" s="11" t="str">
        <f ca="1">IF(History!FD$2="","",#REF!*$C$108)</f>
        <v/>
      </c>
      <c r="FA108" s="11" t="str">
        <f ca="1">IF(History!FE$2="","",#REF!*$C$108)</f>
        <v/>
      </c>
      <c r="FB108" s="11" t="str">
        <f ca="1">IF(History!FF$2="","",#REF!*$C$108)</f>
        <v/>
      </c>
      <c r="FC108" s="11" t="str">
        <f ca="1">IF(History!FG$2="","",#REF!*$C$108)</f>
        <v/>
      </c>
      <c r="FD108" s="11" t="str">
        <f ca="1">IF(History!FH$2="","",#REF!*$C$108)</f>
        <v/>
      </c>
      <c r="FE108" s="11" t="str">
        <f ca="1">IF(History!FI$2="","",#REF!*$C$108)</f>
        <v/>
      </c>
      <c r="FF108" s="11" t="str">
        <f ca="1">IF(History!FJ$2="","",#REF!*$C$108)</f>
        <v/>
      </c>
      <c r="FG108" s="11" t="str">
        <f ca="1">IF(History!FK$2="","",#REF!*$C$108)</f>
        <v/>
      </c>
      <c r="FH108" s="11" t="str">
        <f ca="1">IF(History!FL$2="","",#REF!*$C$108)</f>
        <v/>
      </c>
      <c r="FI108" s="11" t="str">
        <f ca="1">IF(History!FM$2="","",#REF!*$C$108)</f>
        <v/>
      </c>
      <c r="FJ108" s="11" t="str">
        <f ca="1">IF(History!FN$2="","",#REF!*$C$108)</f>
        <v/>
      </c>
      <c r="FK108" s="11" t="str">
        <f ca="1">IF(History!FO$2="","",#REF!*$C$108)</f>
        <v/>
      </c>
      <c r="FL108" s="11" t="str">
        <f ca="1">IF(History!FP$2="","",#REF!*$C$108)</f>
        <v/>
      </c>
      <c r="FM108" s="11" t="str">
        <f ca="1">IF(History!FQ$2="","",#REF!*$C$108)</f>
        <v/>
      </c>
      <c r="FN108" s="11" t="str">
        <f ca="1">IF(History!FR$2="","",#REF!*$C$108)</f>
        <v/>
      </c>
      <c r="FO108" s="11" t="str">
        <f ca="1">IF(History!FS$2="","",#REF!*$C$108)</f>
        <v/>
      </c>
      <c r="FP108" s="11" t="str">
        <f ca="1">IF(History!FT$2="","",#REF!*$C$108)</f>
        <v/>
      </c>
      <c r="FQ108" s="11" t="str">
        <f ca="1">IF(History!FU$2="","",#REF!*$C$108)</f>
        <v/>
      </c>
      <c r="FR108" s="11" t="str">
        <f ca="1">IF(History!FV$2="","",#REF!*$C$108)</f>
        <v/>
      </c>
      <c r="FS108" s="11" t="str">
        <f ca="1">IF(History!FW$2="","",#REF!*$C$108)</f>
        <v/>
      </c>
      <c r="FT108" s="11" t="str">
        <f ca="1">IF(History!FX$2="","",#REF!*$C$108)</f>
        <v/>
      </c>
      <c r="FU108" s="11" t="str">
        <f ca="1">IF(History!FY$2="","",#REF!*$C$108)</f>
        <v/>
      </c>
      <c r="FV108" s="11" t="str">
        <f ca="1">IF(History!FZ$2="","",#REF!*$C$108)</f>
        <v/>
      </c>
      <c r="FW108" s="11" t="str">
        <f ca="1">IF(History!GA$2="","",#REF!*$C$108)</f>
        <v/>
      </c>
      <c r="FX108" s="11" t="str">
        <f ca="1">IF(History!GB$2="","",#REF!*$C$108)</f>
        <v/>
      </c>
      <c r="FY108" s="11" t="str">
        <f ca="1">IF(History!GC$2="","",#REF!*$C$108)</f>
        <v/>
      </c>
      <c r="FZ108" s="11" t="str">
        <f ca="1">IF(History!GD$2="","",#REF!*$C$108)</f>
        <v/>
      </c>
      <c r="GA108" s="11" t="str">
        <f ca="1">IF(History!GE$2="","",#REF!*$C$108)</f>
        <v/>
      </c>
      <c r="GB108" s="11" t="str">
        <f ca="1">IF(History!GF$2="","",#REF!*$C$108)</f>
        <v/>
      </c>
      <c r="GC108" s="11" t="str">
        <f ca="1">IF(History!GG$2="","",#REF!*$C$108)</f>
        <v/>
      </c>
      <c r="GD108" s="11" t="str">
        <f ca="1">IF(History!GH$2="","",#REF!*$C$108)</f>
        <v/>
      </c>
      <c r="GE108" s="11" t="str">
        <f ca="1">IF(History!GI$2="","",#REF!*$C$108)</f>
        <v/>
      </c>
      <c r="GF108" s="11" t="str">
        <f ca="1">IF(History!GJ$2="","",#REF!*$C$108)</f>
        <v/>
      </c>
      <c r="GG108" s="11" t="str">
        <f ca="1">IF(History!GK$2="","",#REF!*$C$108)</f>
        <v/>
      </c>
      <c r="GH108" s="11" t="str">
        <f ca="1">IF(History!GL$2="","",#REF!*$C$108)</f>
        <v/>
      </c>
      <c r="GI108" s="11" t="str">
        <f ca="1">IF(History!GM$2="","",#REF!*$C$108)</f>
        <v/>
      </c>
      <c r="GJ108" s="11" t="str">
        <f ca="1">IF(History!GN$2="","",#REF!*$C$108)</f>
        <v/>
      </c>
      <c r="GK108" s="11" t="str">
        <f ca="1">IF(History!GO$2="","",#REF!*$C$108)</f>
        <v/>
      </c>
      <c r="GL108" s="11" t="str">
        <f ca="1">IF(History!GP$2="","",#REF!*$C$108)</f>
        <v/>
      </c>
      <c r="GM108" s="11" t="str">
        <f ca="1">IF(History!GQ$2="","",#REF!*$C$108)</f>
        <v/>
      </c>
      <c r="GN108" s="11" t="str">
        <f ca="1">IF(History!GR$2="","",#REF!*$C$108)</f>
        <v/>
      </c>
      <c r="GO108" s="11" t="str">
        <f ca="1">IF(History!GS$2="","",#REF!*$C$108)</f>
        <v/>
      </c>
      <c r="GP108" s="11" t="str">
        <f ca="1">IF(History!GT$2="","",#REF!*$C$108)</f>
        <v/>
      </c>
      <c r="GQ108" s="11" t="str">
        <f ca="1">IF(History!GU$2="","",#REF!*$C$108)</f>
        <v/>
      </c>
      <c r="GR108" s="11" t="str">
        <f ca="1">IF(History!GV$2="","",#REF!*$C$108)</f>
        <v/>
      </c>
      <c r="GS108" s="11" t="str">
        <f ca="1">IF(History!GW$2="","",#REF!*$C$108)</f>
        <v/>
      </c>
      <c r="GT108" s="11" t="str">
        <f ca="1">IF(History!GX$2="","",#REF!*$C$108)</f>
        <v/>
      </c>
      <c r="GU108" s="11" t="str">
        <f ca="1">IF(History!GY$2="","",#REF!*$C$108)</f>
        <v/>
      </c>
      <c r="GV108" s="11" t="str">
        <f ca="1">IF(History!GZ$2="","",#REF!*$C$108)</f>
        <v/>
      </c>
      <c r="GW108" s="11" t="str">
        <f ca="1">IF(History!HA$2="","",#REF!*$C$108)</f>
        <v/>
      </c>
      <c r="GX108" s="11" t="str">
        <f ca="1">IF(History!HB$2="","",#REF!*$C$108)</f>
        <v/>
      </c>
      <c r="GY108" s="11" t="str">
        <f ca="1">IF(History!HC$2="","",#REF!*$C$108)</f>
        <v/>
      </c>
      <c r="GZ108" s="11" t="str">
        <f ca="1">IF(History!HD$2="","",#REF!*$C$108)</f>
        <v/>
      </c>
      <c r="HA108" s="11" t="str">
        <f ca="1">IF(History!HE$2="","",#REF!*$C$108)</f>
        <v/>
      </c>
      <c r="HB108" s="11" t="str">
        <f ca="1">IF(History!HF$2="","",#REF!*$C$108)</f>
        <v/>
      </c>
      <c r="HC108" s="11" t="str">
        <f ca="1">IF(History!HG$2="","",#REF!*$C$108)</f>
        <v/>
      </c>
      <c r="HD108" s="11" t="str">
        <f ca="1">IF(History!HH$2="","",#REF!*$C$108)</f>
        <v/>
      </c>
      <c r="HE108" s="11" t="str">
        <f ca="1">IF(History!HI$2="","",#REF!*$C$108)</f>
        <v/>
      </c>
      <c r="HF108" s="11" t="str">
        <f ca="1">IF(History!HJ$2="","",#REF!*$C$108)</f>
        <v/>
      </c>
      <c r="HG108" s="11" t="str">
        <f ca="1">IF(History!HK$2="","",#REF!*$C$108)</f>
        <v/>
      </c>
      <c r="HH108" s="11" t="str">
        <f ca="1">IF(History!HL$2="","",#REF!*$C$108)</f>
        <v/>
      </c>
      <c r="HI108" s="11" t="str">
        <f ca="1">IF(History!HM$2="","",#REF!*$C$108)</f>
        <v/>
      </c>
      <c r="HJ108" s="11" t="str">
        <f ca="1">IF(History!HN$2="","",#REF!*$C$108)</f>
        <v/>
      </c>
      <c r="HK108" s="11" t="str">
        <f ca="1">IF(History!HO$2="","",#REF!*$C$108)</f>
        <v/>
      </c>
      <c r="HL108" s="11" t="str">
        <f ca="1">IF(History!HP$2="","",#REF!*$C$108)</f>
        <v/>
      </c>
      <c r="HM108" s="11" t="str">
        <f ca="1">IF(History!HQ$2="","",#REF!*$C$108)</f>
        <v/>
      </c>
      <c r="HN108" s="11" t="str">
        <f ca="1">IF(History!HR$2="","",#REF!*$C$108)</f>
        <v/>
      </c>
      <c r="HO108" s="11" t="str">
        <f ca="1">IF(History!HS$2="","",#REF!*$C$108)</f>
        <v/>
      </c>
      <c r="HP108" s="11" t="str">
        <f ca="1">IF(History!HT$2="","",#REF!*$C$108)</f>
        <v/>
      </c>
      <c r="HQ108" s="11" t="str">
        <f ca="1">IF(History!HU$2="","",#REF!*$C$108)</f>
        <v/>
      </c>
      <c r="HR108" s="11" t="str">
        <f ca="1">IF(History!HV$2="","",#REF!*$C$108)</f>
        <v/>
      </c>
      <c r="HS108" s="11" t="str">
        <f ca="1">IF(History!HW$2="","",#REF!*$C$108)</f>
        <v/>
      </c>
      <c r="HT108" s="11" t="str">
        <f ca="1">IF(History!HX$2="","",#REF!*$C$108)</f>
        <v/>
      </c>
      <c r="HU108" s="11" t="str">
        <f ca="1">IF(History!HY$2="","",#REF!*$C$108)</f>
        <v/>
      </c>
      <c r="HV108" s="11" t="str">
        <f ca="1">IF(History!HZ$2="","",#REF!*$C$108)</f>
        <v/>
      </c>
      <c r="HW108" s="11" t="str">
        <f ca="1">IF(History!IA$2="","",#REF!*$C$108)</f>
        <v/>
      </c>
      <c r="HX108" s="11" t="str">
        <f ca="1">IF(History!IB$2="","",#REF!*$C$108)</f>
        <v/>
      </c>
      <c r="HY108" s="11" t="str">
        <f ca="1">IF(History!IC$2="","",#REF!*$C$108)</f>
        <v/>
      </c>
      <c r="HZ108" s="11" t="str">
        <f ca="1">IF(History!ID$2="","",#REF!*$C$108)</f>
        <v/>
      </c>
      <c r="IA108" s="11" t="str">
        <f ca="1">IF(History!IE$2="","",#REF!*$C$108)</f>
        <v/>
      </c>
      <c r="IB108" s="11" t="str">
        <f ca="1">IF(History!IF$2="","",#REF!*$C$108)</f>
        <v/>
      </c>
      <c r="IC108" s="11" t="str">
        <f ca="1">IF(History!IG$2="","",#REF!*$C$108)</f>
        <v/>
      </c>
      <c r="ID108" s="11" t="str">
        <f ca="1">IF(History!IH$2="","",#REF!*$C$108)</f>
        <v/>
      </c>
      <c r="IE108" s="11" t="str">
        <f ca="1">IF(History!II$2="","",#REF!*$C$108)</f>
        <v/>
      </c>
      <c r="IF108" s="11" t="str">
        <f ca="1">IF(History!IJ$2="","",#REF!*$C$108)</f>
        <v/>
      </c>
      <c r="IG108" s="11" t="str">
        <f ca="1">IF(History!IK$2="","",#REF!*$C$108)</f>
        <v/>
      </c>
      <c r="IH108" s="11" t="str">
        <f ca="1">IF(History!IL$2="","",#REF!*$C$108)</f>
        <v/>
      </c>
      <c r="II108" s="11" t="str">
        <f ca="1">IF(History!IM$2="","",#REF!*$C$108)</f>
        <v/>
      </c>
      <c r="IJ108" s="11" t="str">
        <f ca="1">IF(History!IN$2="","",#REF!*$C$108)</f>
        <v/>
      </c>
      <c r="IK108" s="11" t="str">
        <f ca="1">IF(History!IO$2="","",#REF!*$C$108)</f>
        <v/>
      </c>
      <c r="IL108" s="11" t="str">
        <f ca="1">IF(History!IP$2="","",#REF!*$C$108)</f>
        <v/>
      </c>
      <c r="IM108" s="11" t="str">
        <f ca="1">IF(History!IQ$2="","",#REF!*$C$108)</f>
        <v/>
      </c>
      <c r="IN108" s="11" t="str">
        <f ca="1">IF(History!IR$2="","",#REF!*$C$108)</f>
        <v/>
      </c>
      <c r="IO108" s="11" t="str">
        <f ca="1">IF(History!IS$2="","",#REF!*$C$108)</f>
        <v/>
      </c>
      <c r="IP108" s="11" t="str">
        <f ca="1">IF(History!IT$2="","",#REF!*$C$108)</f>
        <v/>
      </c>
      <c r="IQ108" s="11" t="str">
        <f ca="1">IF(History!IU$2="","",#REF!*$C$108)</f>
        <v/>
      </c>
      <c r="IR108" s="11" t="str">
        <f ca="1">IF(History!IV$2="","",#REF!*$C$108)</f>
        <v/>
      </c>
      <c r="IS108" s="11" t="str">
        <f ca="1">IF(History!IW$2="","",#REF!*$C$108)</f>
        <v/>
      </c>
      <c r="IT108" s="11" t="str">
        <f ca="1">IF(History!IX$2="","",#REF!*$C$108)</f>
        <v/>
      </c>
      <c r="IU108" s="11" t="str">
        <f ca="1">IF(History!IY$2="","",#REF!*$C$108)</f>
        <v/>
      </c>
      <c r="IV108" s="11" t="str">
        <f ca="1">IF(History!IZ$2="","",#REF!*$C$108)</f>
        <v/>
      </c>
      <c r="IW108" s="11" t="str">
        <f ca="1">IF(History!JA$2="","",#REF!*$C$108)</f>
        <v/>
      </c>
      <c r="IX108" s="11" t="str">
        <f ca="1">IF(History!JB$2="","",#REF!*$C$108)</f>
        <v/>
      </c>
      <c r="IY108" s="11" t="str">
        <f ca="1">IF(History!JC$2="","",#REF!*$C$108)</f>
        <v/>
      </c>
      <c r="IZ108" s="11" t="str">
        <f ca="1">IF(History!JD$2="","",#REF!*$C$108)</f>
        <v/>
      </c>
      <c r="JA108" s="11" t="str">
        <f ca="1">IF(History!JE$2="","",#REF!*$C$108)</f>
        <v/>
      </c>
      <c r="JB108" s="11" t="str">
        <f ca="1">IF(History!JF$2="","",#REF!*$C$108)</f>
        <v/>
      </c>
      <c r="JC108" s="11" t="str">
        <f ca="1">IF(History!JG$2="","",#REF!*$C$108)</f>
        <v/>
      </c>
      <c r="JD108" s="11" t="str">
        <f ca="1">IF(History!JH$2="","",#REF!*$C$108)</f>
        <v/>
      </c>
      <c r="JE108" s="11" t="str">
        <f ca="1">IF(History!JI$2="","",#REF!*$C$108)</f>
        <v/>
      </c>
      <c r="JF108" s="11" t="str">
        <f ca="1">IF(History!JJ$2="","",#REF!*$C$108)</f>
        <v/>
      </c>
      <c r="JG108" s="11" t="str">
        <f ca="1">IF(History!JK$2="","",#REF!*$C$108)</f>
        <v/>
      </c>
      <c r="JH108" s="11" t="str">
        <f ca="1">IF(History!JL$2="","",#REF!*$C$108)</f>
        <v/>
      </c>
      <c r="JI108" s="11" t="str">
        <f ca="1">IF(History!JM$2="","",#REF!*$C$108)</f>
        <v/>
      </c>
      <c r="JJ108" s="11" t="str">
        <f ca="1">IF(History!JN$2="","",#REF!*$C$108)</f>
        <v/>
      </c>
      <c r="JK108" s="11" t="str">
        <f ca="1">IF(History!JO$2="","",#REF!*$C$108)</f>
        <v/>
      </c>
      <c r="JL108" s="11" t="str">
        <f ca="1">IF(History!JP$2="","",#REF!*$C$108)</f>
        <v/>
      </c>
      <c r="JM108" s="11" t="str">
        <f ca="1">IF(History!JQ$2="","",#REF!*$C$108)</f>
        <v/>
      </c>
      <c r="JN108" s="11" t="str">
        <f ca="1">IF(History!JR$2="","",#REF!*$C$108)</f>
        <v/>
      </c>
      <c r="JO108" s="11" t="str">
        <f ca="1">IF(History!JS$2="","",#REF!*$C$108)</f>
        <v/>
      </c>
      <c r="JP108" s="11" t="str">
        <f ca="1">IF(History!JT$2="","",#REF!*$C$108)</f>
        <v/>
      </c>
      <c r="JQ108" s="11" t="str">
        <f ca="1">IF(History!JU$2="","",#REF!*$C$108)</f>
        <v/>
      </c>
      <c r="JR108" s="11" t="str">
        <f ca="1">IF(History!JV$2="","",#REF!*$C$108)</f>
        <v/>
      </c>
      <c r="JS108" s="11" t="str">
        <f ca="1">IF(History!JW$2="","",#REF!*$C$108)</f>
        <v/>
      </c>
      <c r="JT108" s="11" t="str">
        <f ca="1">IF(History!JX$2="","",#REF!*$C$108)</f>
        <v/>
      </c>
      <c r="JU108" s="11" t="str">
        <f ca="1">IF(History!JY$2="","",#REF!*$C$108)</f>
        <v/>
      </c>
      <c r="JV108" s="11" t="str">
        <f ca="1">IF(History!JZ$2="","",#REF!*$C$108)</f>
        <v/>
      </c>
      <c r="JW108" s="11" t="str">
        <f ca="1">IF(History!KA$2="","",#REF!*$C$108)</f>
        <v/>
      </c>
      <c r="JX108" s="11" t="str">
        <f ca="1">IF(History!KB$2="","",#REF!*$C$108)</f>
        <v/>
      </c>
      <c r="JY108" s="11" t="str">
        <f ca="1">IF(History!KC$2="","",#REF!*$C$108)</f>
        <v/>
      </c>
      <c r="JZ108" s="11" t="str">
        <f ca="1">IF(History!KD$2="","",#REF!*$C$108)</f>
        <v/>
      </c>
      <c r="KA108" s="11" t="str">
        <f ca="1">IF(History!KE$2="","",#REF!*$C$108)</f>
        <v/>
      </c>
      <c r="KB108" s="11" t="str">
        <f ca="1">IF(History!KF$2="","",#REF!*$C$108)</f>
        <v/>
      </c>
    </row>
    <row r="109" spans="1:288" ht="13">
      <c r="A109" s="18" t="s">
        <v>140</v>
      </c>
      <c r="B109" s="6" t="s">
        <v>185</v>
      </c>
      <c r="C109" s="26">
        <v>24</v>
      </c>
      <c r="D109" s="11" t="e">
        <f ca="1">IF(History!H$2="","",#REF!*$C$109)</f>
        <v>#REF!</v>
      </c>
      <c r="E109" s="11" t="e">
        <f ca="1">IF(History!I$2="","",#REF!*$C$109)</f>
        <v>#REF!</v>
      </c>
      <c r="F109" s="11" t="e">
        <f ca="1">IF(History!J$2="","",#REF!*$C$109)</f>
        <v>#REF!</v>
      </c>
      <c r="G109" s="11" t="e">
        <f ca="1">IF(History!K$2="","",#REF!*$C$109)</f>
        <v>#REF!</v>
      </c>
      <c r="H109" s="11" t="e">
        <f ca="1">IF(History!L$2="","",#REF!*$C$109)</f>
        <v>#REF!</v>
      </c>
      <c r="I109" s="11" t="e">
        <f ca="1">IF(History!M$2="","",#REF!*$C$109)</f>
        <v>#REF!</v>
      </c>
      <c r="J109" s="11" t="e">
        <f ca="1">IF(History!N$2="","",#REF!*$C$109)</f>
        <v>#REF!</v>
      </c>
      <c r="K109" s="11" t="e">
        <f ca="1">IF(History!O$2="","",#REF!*$C$109)</f>
        <v>#REF!</v>
      </c>
      <c r="L109" s="11" t="e">
        <f ca="1">IF(History!P$2="","",#REF!*$C$109)</f>
        <v>#REF!</v>
      </c>
      <c r="M109" s="11" t="e">
        <f ca="1">IF(History!Q$2="","",#REF!*$C$109)</f>
        <v>#REF!</v>
      </c>
      <c r="N109" s="11" t="e">
        <f ca="1">IF(History!R$2="","",#REF!*$C$109)</f>
        <v>#REF!</v>
      </c>
      <c r="O109" s="11" t="e">
        <f ca="1">IF(History!S$2="","",#REF!*$C$109)</f>
        <v>#REF!</v>
      </c>
      <c r="P109" s="11" t="e">
        <f ca="1">IF(History!T$2="","",#REF!*$C$109)</f>
        <v>#REF!</v>
      </c>
      <c r="Q109" s="11" t="e">
        <f ca="1">IF(History!U$2="","",#REF!*$C$109)</f>
        <v>#REF!</v>
      </c>
      <c r="R109" s="11" t="e">
        <f ca="1">IF(History!V$2="","",#REF!*$C$109)</f>
        <v>#REF!</v>
      </c>
      <c r="S109" s="11" t="e">
        <f ca="1">IF(History!W$2="","",#REF!*$C$109)</f>
        <v>#REF!</v>
      </c>
      <c r="T109" s="11" t="e">
        <f ca="1">IF(History!X$2="","",#REF!*$C$109)</f>
        <v>#REF!</v>
      </c>
      <c r="U109" s="11" t="e">
        <f ca="1">IF(History!Y$2="","",#REF!*$C$109)</f>
        <v>#REF!</v>
      </c>
      <c r="V109" s="11" t="e">
        <f ca="1">IF(History!Z$2="","",#REF!*$C$109)</f>
        <v>#REF!</v>
      </c>
      <c r="W109" s="11" t="e">
        <f ca="1">IF(History!AA$2="","",#REF!*$C$109)</f>
        <v>#REF!</v>
      </c>
      <c r="X109" s="11" t="e">
        <f ca="1">IF(History!AB$2="","",#REF!*$C$109)</f>
        <v>#REF!</v>
      </c>
      <c r="Y109" s="11" t="e">
        <f ca="1">IF(History!AC$2="","",#REF!*$C$109)</f>
        <v>#REF!</v>
      </c>
      <c r="Z109" s="11" t="e">
        <f ca="1">IF(History!AD$2="","",#REF!*$C$109)</f>
        <v>#REF!</v>
      </c>
      <c r="AA109" s="11" t="e">
        <f ca="1">IF(History!AE$2="","",#REF!*$C$109)</f>
        <v>#REF!</v>
      </c>
      <c r="AB109" s="11" t="e">
        <f ca="1">IF(History!AF$2="","",#REF!*$C$109)</f>
        <v>#REF!</v>
      </c>
      <c r="AC109" s="11" t="e">
        <f ca="1">IF(History!AG$2="","",#REF!*$C$109)</f>
        <v>#REF!</v>
      </c>
      <c r="AD109" s="11" t="e">
        <f ca="1">IF(History!AH$2="","",#REF!*$C$109)</f>
        <v>#REF!</v>
      </c>
      <c r="AE109" s="11" t="e">
        <f ca="1">IF(History!AI$2="","",#REF!*$C$109)</f>
        <v>#REF!</v>
      </c>
      <c r="AF109" s="11" t="e">
        <f ca="1">IF(History!AJ$2="","",#REF!*$C$109)</f>
        <v>#REF!</v>
      </c>
      <c r="AG109" s="11" t="e">
        <f ca="1">IF(History!AK$2="","",#REF!*$C$109)</f>
        <v>#REF!</v>
      </c>
      <c r="AH109" s="11" t="e">
        <f ca="1">IF(History!AL$2="","",#REF!*$C$109)</f>
        <v>#REF!</v>
      </c>
      <c r="AI109" s="11" t="e">
        <f ca="1">IF(History!AM$2="","",#REF!*$C$109)</f>
        <v>#REF!</v>
      </c>
      <c r="AJ109" s="11" t="e">
        <f ca="1">IF(History!AN$2="","",#REF!*$C$109)</f>
        <v>#REF!</v>
      </c>
      <c r="AK109" s="11" t="e">
        <f ca="1">IF(History!AO$2="","",#REF!*$C$109)</f>
        <v>#REF!</v>
      </c>
      <c r="AL109" s="11" t="e">
        <f ca="1">IF(History!AP$2="","",#REF!*$C$109)</f>
        <v>#REF!</v>
      </c>
      <c r="AM109" s="11" t="e">
        <f ca="1">IF(History!AQ$2="","",#REF!*$C$109)</f>
        <v>#REF!</v>
      </c>
      <c r="AN109" s="11" t="e">
        <f ca="1">IF(History!AR$2="","",#REF!*$C$109)</f>
        <v>#REF!</v>
      </c>
      <c r="AO109" s="11" t="e">
        <f ca="1">IF(History!AS$2="","",#REF!*$C$109)</f>
        <v>#REF!</v>
      </c>
      <c r="AP109" s="11" t="e">
        <f ca="1">IF(History!AT$2="","",#REF!*$C$109)</f>
        <v>#REF!</v>
      </c>
      <c r="AQ109" s="11" t="e">
        <f ca="1">IF(History!AU$2="","",#REF!*$C$109)</f>
        <v>#REF!</v>
      </c>
      <c r="AR109" s="11" t="e">
        <f ca="1">IF(History!AV$2="","",#REF!*$C$109)</f>
        <v>#REF!</v>
      </c>
      <c r="AS109" s="11" t="e">
        <f ca="1">IF(History!AW$2="","",#REF!*$C$109)</f>
        <v>#REF!</v>
      </c>
      <c r="AT109" s="11" t="e">
        <f ca="1">IF(History!AX$2="","",#REF!*$C$109)</f>
        <v>#REF!</v>
      </c>
      <c r="AU109" s="11" t="e">
        <f ca="1">IF(History!AY$2="","",#REF!*$C$109)</f>
        <v>#REF!</v>
      </c>
      <c r="AV109" s="11" t="e">
        <f ca="1">IF(History!AZ$2="","",#REF!*$C$109)</f>
        <v>#REF!</v>
      </c>
      <c r="AW109" s="11" t="e">
        <f ca="1">IF(History!BA$2="","",#REF!*$C$109)</f>
        <v>#REF!</v>
      </c>
      <c r="AX109" s="11" t="e">
        <f ca="1">IF(History!BB$2="","",#REF!*$C$109)</f>
        <v>#REF!</v>
      </c>
      <c r="AY109" s="11" t="e">
        <f ca="1">IF(History!BC$2="","",#REF!*$C$109)</f>
        <v>#REF!</v>
      </c>
      <c r="AZ109" s="11" t="e">
        <f ca="1">IF(History!BD$2="","",#REF!*$C$109)</f>
        <v>#REF!</v>
      </c>
      <c r="BA109" s="11" t="e">
        <f ca="1">IF(History!BE$2="","",#REF!*$C$109)</f>
        <v>#REF!</v>
      </c>
      <c r="BB109" s="11" t="e">
        <f ca="1">IF(History!BF$2="","",#REF!*$C$109)</f>
        <v>#REF!</v>
      </c>
      <c r="BC109" s="11" t="e">
        <f ca="1">IF(History!BG$2="","",#REF!*$C$109)</f>
        <v>#REF!</v>
      </c>
      <c r="BD109" s="11" t="e">
        <f ca="1">IF(History!BH$2="","",#REF!*$C$109)</f>
        <v>#REF!</v>
      </c>
      <c r="BE109" s="11" t="e">
        <f ca="1">IF(History!BI$2="","",#REF!*$C$109)</f>
        <v>#REF!</v>
      </c>
      <c r="BF109" s="11" t="e">
        <f ca="1">IF(History!BJ$2="","",#REF!*$C$109)</f>
        <v>#REF!</v>
      </c>
      <c r="BG109" s="11" t="e">
        <f ca="1">IF(History!BK$2="","",#REF!*$C$109)</f>
        <v>#REF!</v>
      </c>
      <c r="BH109" s="11" t="e">
        <f ca="1">IF(History!BL$2="","",#REF!*$C$109)</f>
        <v>#REF!</v>
      </c>
      <c r="BI109" s="11" t="e">
        <f ca="1">IF(History!BM$2="","",#REF!*$C$109)</f>
        <v>#REF!</v>
      </c>
      <c r="BJ109" s="11" t="e">
        <f ca="1">IF(History!BN$2="","",#REF!*$C$109)</f>
        <v>#REF!</v>
      </c>
      <c r="BK109" s="11" t="e">
        <f ca="1">IF(History!BO$2="","",#REF!*$C$109)</f>
        <v>#REF!</v>
      </c>
      <c r="BL109" s="11" t="e">
        <f ca="1">IF(History!BP$2="","",#REF!*$C$109)</f>
        <v>#REF!</v>
      </c>
      <c r="BM109" s="11" t="e">
        <f ca="1">IF(History!BQ$2="","",#REF!*$C$109)</f>
        <v>#REF!</v>
      </c>
      <c r="BN109" s="11" t="e">
        <f ca="1">IF(History!BR$2="","",#REF!*$C$109)</f>
        <v>#REF!</v>
      </c>
      <c r="BO109" s="11" t="e">
        <f ca="1">IF(History!BS$2="","",#REF!*$C$109)</f>
        <v>#REF!</v>
      </c>
      <c r="BP109" s="11" t="e">
        <f ca="1">IF(History!BT$2="","",#REF!*$C$109)</f>
        <v>#REF!</v>
      </c>
      <c r="BQ109" s="11" t="e">
        <f ca="1">IF(History!BU$2="","",#REF!*$C$109)</f>
        <v>#REF!</v>
      </c>
      <c r="BR109" s="11" t="e">
        <f ca="1">IF(History!BV$2="","",#REF!*$C$109)</f>
        <v>#REF!</v>
      </c>
      <c r="BS109" s="11" t="e">
        <f ca="1">IF(History!BW$2="","",#REF!*$C$109)</f>
        <v>#REF!</v>
      </c>
      <c r="BT109" s="11" t="e">
        <f ca="1">IF(History!BX$2="","",#REF!*$C$109)</f>
        <v>#REF!</v>
      </c>
      <c r="BU109" s="11" t="e">
        <f ca="1">IF(History!BY$2="","",#REF!*$C$109)</f>
        <v>#REF!</v>
      </c>
      <c r="BV109" s="11" t="e">
        <f ca="1">IF(History!BZ$2="","",#REF!*$C$109)</f>
        <v>#REF!</v>
      </c>
      <c r="BW109" s="11" t="e">
        <f ca="1">IF(History!CA$2="","",#REF!*$C$109)</f>
        <v>#REF!</v>
      </c>
      <c r="BX109" s="11" t="e">
        <f ca="1">IF(History!CB$2="","",#REF!*$C$109)</f>
        <v>#REF!</v>
      </c>
      <c r="BY109" s="11" t="e">
        <f ca="1">IF(History!CC$2="","",#REF!*$C$109)</f>
        <v>#REF!</v>
      </c>
      <c r="BZ109" s="11" t="e">
        <f ca="1">IF(History!CD$2="","",#REF!*$C$109)</f>
        <v>#REF!</v>
      </c>
      <c r="CA109" s="11" t="e">
        <f ca="1">IF(History!CE$2="","",#REF!*$C$109)</f>
        <v>#REF!</v>
      </c>
      <c r="CB109" s="11" t="e">
        <f ca="1">IF(History!CF$2="","",#REF!*$C$109)</f>
        <v>#REF!</v>
      </c>
      <c r="CC109" s="11" t="e">
        <f ca="1">IF(History!CG$2="","",#REF!*$C$109)</f>
        <v>#REF!</v>
      </c>
      <c r="CD109" s="11" t="e">
        <f ca="1">IF(History!CH$2="","",#REF!*$C$109)</f>
        <v>#REF!</v>
      </c>
      <c r="CE109" s="11" t="e">
        <f ca="1">IF(History!CI$2="","",#REF!*$C$109)</f>
        <v>#REF!</v>
      </c>
      <c r="CF109" s="11" t="str">
        <f ca="1">IF(History!CJ$2="","",#REF!*$C$109)</f>
        <v/>
      </c>
      <c r="CG109" s="11" t="str">
        <f ca="1">IF(History!CK$2="","",#REF!*$C$109)</f>
        <v/>
      </c>
      <c r="CH109" s="11" t="str">
        <f ca="1">IF(History!CL$2="","",#REF!*$C$109)</f>
        <v/>
      </c>
      <c r="CI109" s="11" t="str">
        <f ca="1">IF(History!CM$2="","",#REF!*$C$109)</f>
        <v/>
      </c>
      <c r="CJ109" s="11" t="str">
        <f ca="1">IF(History!CN$2="","",#REF!*$C$109)</f>
        <v/>
      </c>
      <c r="CK109" s="11" t="str">
        <f ca="1">IF(History!CO$2="","",#REF!*$C$109)</f>
        <v/>
      </c>
      <c r="CL109" s="11" t="str">
        <f ca="1">IF(History!CP$2="","",#REF!*$C$109)</f>
        <v/>
      </c>
      <c r="CM109" s="11" t="str">
        <f ca="1">IF(History!CQ$2="","",#REF!*$C$109)</f>
        <v/>
      </c>
      <c r="CN109" s="11" t="str">
        <f ca="1">IF(History!CR$2="","",#REF!*$C$109)</f>
        <v/>
      </c>
      <c r="CO109" s="11" t="str">
        <f ca="1">IF(History!CS$2="","",#REF!*$C$109)</f>
        <v/>
      </c>
      <c r="CP109" s="11" t="str">
        <f ca="1">IF(History!CT$2="","",#REF!*$C$109)</f>
        <v/>
      </c>
      <c r="CQ109" s="11" t="str">
        <f ca="1">IF(History!CU$2="","",#REF!*$C$109)</f>
        <v/>
      </c>
      <c r="CR109" s="11" t="str">
        <f ca="1">IF(History!CV$2="","",#REF!*$C$109)</f>
        <v/>
      </c>
      <c r="CS109" s="11" t="str">
        <f ca="1">IF(History!CW$2="","",#REF!*$C$109)</f>
        <v/>
      </c>
      <c r="CT109" s="11" t="str">
        <f ca="1">IF(History!CX$2="","",#REF!*$C$109)</f>
        <v/>
      </c>
      <c r="CU109" s="11" t="str">
        <f ca="1">IF(History!CY$2="","",#REF!*$C$109)</f>
        <v/>
      </c>
      <c r="CV109" s="11" t="str">
        <f ca="1">IF(History!CZ$2="","",#REF!*$C$109)</f>
        <v/>
      </c>
      <c r="CW109" s="11" t="str">
        <f ca="1">IF(History!DA$2="","",#REF!*$C$109)</f>
        <v/>
      </c>
      <c r="CX109" s="11" t="str">
        <f ca="1">IF(History!DB$2="","",#REF!*$C$109)</f>
        <v/>
      </c>
      <c r="CY109" s="11" t="str">
        <f ca="1">IF(History!DC$2="","",#REF!*$C$109)</f>
        <v/>
      </c>
      <c r="CZ109" s="11" t="str">
        <f ca="1">IF(History!DD$2="","",#REF!*$C$109)</f>
        <v/>
      </c>
      <c r="DA109" s="11" t="str">
        <f ca="1">IF(History!DE$2="","",#REF!*$C$109)</f>
        <v/>
      </c>
      <c r="DB109" s="11" t="str">
        <f ca="1">IF(History!DF$2="","",#REF!*$C$109)</f>
        <v/>
      </c>
      <c r="DC109" s="11" t="str">
        <f ca="1">IF(History!DG$2="","",#REF!*$C$109)</f>
        <v/>
      </c>
      <c r="DD109" s="11" t="str">
        <f ca="1">IF(History!DH$2="","",#REF!*$C$109)</f>
        <v/>
      </c>
      <c r="DE109" s="11" t="str">
        <f ca="1">IF(History!DI$2="","",#REF!*$C$109)</f>
        <v/>
      </c>
      <c r="DF109" s="11" t="str">
        <f ca="1">IF(History!DJ$2="","",#REF!*$C$109)</f>
        <v/>
      </c>
      <c r="DG109" s="11" t="str">
        <f ca="1">IF(History!DK$2="","",#REF!*$C$109)</f>
        <v/>
      </c>
      <c r="DH109" s="11" t="str">
        <f ca="1">IF(History!DL$2="","",#REF!*$C$109)</f>
        <v/>
      </c>
      <c r="DI109" s="11" t="str">
        <f ca="1">IF(History!DM$2="","",#REF!*$C$109)</f>
        <v/>
      </c>
      <c r="DJ109" s="11" t="str">
        <f ca="1">IF(History!DN$2="","",#REF!*$C$109)</f>
        <v/>
      </c>
      <c r="DK109" s="11" t="str">
        <f ca="1">IF(History!DO$2="","",#REF!*$C$109)</f>
        <v/>
      </c>
      <c r="DL109" s="11" t="str">
        <f ca="1">IF(History!DP$2="","",#REF!*$C$109)</f>
        <v/>
      </c>
      <c r="DM109" s="11" t="str">
        <f ca="1">IF(History!DQ$2="","",#REF!*$C$109)</f>
        <v/>
      </c>
      <c r="DN109" s="11" t="str">
        <f ca="1">IF(History!DR$2="","",#REF!*$C$109)</f>
        <v/>
      </c>
      <c r="DO109" s="11" t="str">
        <f ca="1">IF(History!DS$2="","",#REF!*$C$109)</f>
        <v/>
      </c>
      <c r="DP109" s="11" t="str">
        <f ca="1">IF(History!DT$2="","",#REF!*$C$109)</f>
        <v/>
      </c>
      <c r="DQ109" s="11" t="str">
        <f ca="1">IF(History!DU$2="","",#REF!*$C$109)</f>
        <v/>
      </c>
      <c r="DR109" s="11" t="str">
        <f ca="1">IF(History!DV$2="","",#REF!*$C$109)</f>
        <v/>
      </c>
      <c r="DS109" s="11" t="str">
        <f ca="1">IF(History!DW$2="","",#REF!*$C$109)</f>
        <v/>
      </c>
      <c r="DT109" s="11" t="str">
        <f ca="1">IF(History!DX$2="","",#REF!*$C$109)</f>
        <v/>
      </c>
      <c r="DU109" s="11" t="str">
        <f ca="1">IF(History!DY$2="","",#REF!*$C$109)</f>
        <v/>
      </c>
      <c r="DV109" s="11" t="str">
        <f ca="1">IF(History!DZ$2="","",#REF!*$C$109)</f>
        <v/>
      </c>
      <c r="DW109" s="11" t="str">
        <f ca="1">IF(History!EA$2="","",#REF!*$C$109)</f>
        <v/>
      </c>
      <c r="DX109" s="11" t="str">
        <f ca="1">IF(History!EB$2="","",#REF!*$C$109)</f>
        <v/>
      </c>
      <c r="DY109" s="11" t="str">
        <f ca="1">IF(History!EC$2="","",#REF!*$C$109)</f>
        <v/>
      </c>
      <c r="DZ109" s="11" t="str">
        <f ca="1">IF(History!ED$2="","",#REF!*$C$109)</f>
        <v/>
      </c>
      <c r="EA109" s="11" t="str">
        <f ca="1">IF(History!EE$2="","",#REF!*$C$109)</f>
        <v/>
      </c>
      <c r="EB109" s="11" t="str">
        <f ca="1">IF(History!EF$2="","",#REF!*$C$109)</f>
        <v/>
      </c>
      <c r="EC109" s="11" t="str">
        <f ca="1">IF(History!EG$2="","",#REF!*$C$109)</f>
        <v/>
      </c>
      <c r="ED109" s="11" t="str">
        <f ca="1">IF(History!EH$2="","",#REF!*$C$109)</f>
        <v/>
      </c>
      <c r="EE109" s="11" t="str">
        <f ca="1">IF(History!EI$2="","",#REF!*$C$109)</f>
        <v/>
      </c>
      <c r="EF109" s="11" t="str">
        <f ca="1">IF(History!EJ$2="","",#REF!*$C$109)</f>
        <v/>
      </c>
      <c r="EG109" s="11" t="str">
        <f ca="1">IF(History!EK$2="","",#REF!*$C$109)</f>
        <v/>
      </c>
      <c r="EH109" s="11" t="str">
        <f ca="1">IF(History!EL$2="","",#REF!*$C$109)</f>
        <v/>
      </c>
      <c r="EI109" s="11" t="str">
        <f ca="1">IF(History!EM$2="","",#REF!*$C$109)</f>
        <v/>
      </c>
      <c r="EJ109" s="11" t="str">
        <f ca="1">IF(History!EN$2="","",#REF!*$C$109)</f>
        <v/>
      </c>
      <c r="EK109" s="11" t="str">
        <f ca="1">IF(History!EO$2="","",#REF!*$C$109)</f>
        <v/>
      </c>
      <c r="EL109" s="11" t="str">
        <f ca="1">IF(History!EP$2="","",#REF!*$C$109)</f>
        <v/>
      </c>
      <c r="EM109" s="11" t="str">
        <f ca="1">IF(History!EQ$2="","",#REF!*$C$109)</f>
        <v/>
      </c>
      <c r="EN109" s="11" t="str">
        <f ca="1">IF(History!ER$2="","",#REF!*$C$109)</f>
        <v/>
      </c>
      <c r="EO109" s="11" t="str">
        <f ca="1">IF(History!ES$2="","",#REF!*$C$109)</f>
        <v/>
      </c>
      <c r="EP109" s="11" t="str">
        <f ca="1">IF(History!ET$2="","",#REF!*$C$109)</f>
        <v/>
      </c>
      <c r="EQ109" s="11" t="str">
        <f ca="1">IF(History!EU$2="","",#REF!*$C$109)</f>
        <v/>
      </c>
      <c r="ER109" s="11" t="str">
        <f ca="1">IF(History!EV$2="","",#REF!*$C$109)</f>
        <v/>
      </c>
      <c r="ES109" s="11" t="str">
        <f ca="1">IF(History!EW$2="","",#REF!*$C$109)</f>
        <v/>
      </c>
      <c r="ET109" s="11" t="str">
        <f ca="1">IF(History!EX$2="","",#REF!*$C$109)</f>
        <v/>
      </c>
      <c r="EU109" s="11" t="str">
        <f ca="1">IF(History!EY$2="","",#REF!*$C$109)</f>
        <v/>
      </c>
      <c r="EV109" s="11" t="str">
        <f ca="1">IF(History!EZ$2="","",#REF!*$C$109)</f>
        <v/>
      </c>
      <c r="EW109" s="11" t="str">
        <f ca="1">IF(History!FA$2="","",#REF!*$C$109)</f>
        <v/>
      </c>
      <c r="EX109" s="11" t="str">
        <f ca="1">IF(History!FB$2="","",#REF!*$C$109)</f>
        <v/>
      </c>
      <c r="EY109" s="11" t="str">
        <f ca="1">IF(History!FC$2="","",#REF!*$C$109)</f>
        <v/>
      </c>
      <c r="EZ109" s="11" t="str">
        <f ca="1">IF(History!FD$2="","",#REF!*$C$109)</f>
        <v/>
      </c>
      <c r="FA109" s="11" t="str">
        <f ca="1">IF(History!FE$2="","",#REF!*$C$109)</f>
        <v/>
      </c>
      <c r="FB109" s="11" t="str">
        <f ca="1">IF(History!FF$2="","",#REF!*$C$109)</f>
        <v/>
      </c>
      <c r="FC109" s="11" t="str">
        <f ca="1">IF(History!FG$2="","",#REF!*$C$109)</f>
        <v/>
      </c>
      <c r="FD109" s="11" t="str">
        <f ca="1">IF(History!FH$2="","",#REF!*$C$109)</f>
        <v/>
      </c>
      <c r="FE109" s="11" t="str">
        <f ca="1">IF(History!FI$2="","",#REF!*$C$109)</f>
        <v/>
      </c>
      <c r="FF109" s="11" t="str">
        <f ca="1">IF(History!FJ$2="","",#REF!*$C$109)</f>
        <v/>
      </c>
      <c r="FG109" s="11" t="str">
        <f ca="1">IF(History!FK$2="","",#REF!*$C$109)</f>
        <v/>
      </c>
      <c r="FH109" s="11" t="str">
        <f ca="1">IF(History!FL$2="","",#REF!*$C$109)</f>
        <v/>
      </c>
      <c r="FI109" s="11" t="str">
        <f ca="1">IF(History!FM$2="","",#REF!*$C$109)</f>
        <v/>
      </c>
      <c r="FJ109" s="11" t="str">
        <f ca="1">IF(History!FN$2="","",#REF!*$C$109)</f>
        <v/>
      </c>
      <c r="FK109" s="11" t="str">
        <f ca="1">IF(History!FO$2="","",#REF!*$C$109)</f>
        <v/>
      </c>
      <c r="FL109" s="11" t="str">
        <f ca="1">IF(History!FP$2="","",#REF!*$C$109)</f>
        <v/>
      </c>
      <c r="FM109" s="11" t="str">
        <f ca="1">IF(History!FQ$2="","",#REF!*$C$109)</f>
        <v/>
      </c>
      <c r="FN109" s="11" t="str">
        <f ca="1">IF(History!FR$2="","",#REF!*$C$109)</f>
        <v/>
      </c>
      <c r="FO109" s="11" t="str">
        <f ca="1">IF(History!FS$2="","",#REF!*$C$109)</f>
        <v/>
      </c>
      <c r="FP109" s="11" t="str">
        <f ca="1">IF(History!FT$2="","",#REF!*$C$109)</f>
        <v/>
      </c>
      <c r="FQ109" s="11" t="str">
        <f ca="1">IF(History!FU$2="","",#REF!*$C$109)</f>
        <v/>
      </c>
      <c r="FR109" s="11" t="str">
        <f ca="1">IF(History!FV$2="","",#REF!*$C$109)</f>
        <v/>
      </c>
      <c r="FS109" s="11" t="str">
        <f ca="1">IF(History!FW$2="","",#REF!*$C$109)</f>
        <v/>
      </c>
      <c r="FT109" s="11" t="str">
        <f ca="1">IF(History!FX$2="","",#REF!*$C$109)</f>
        <v/>
      </c>
      <c r="FU109" s="11" t="str">
        <f ca="1">IF(History!FY$2="","",#REF!*$C$109)</f>
        <v/>
      </c>
      <c r="FV109" s="11" t="str">
        <f ca="1">IF(History!FZ$2="","",#REF!*$C$109)</f>
        <v/>
      </c>
      <c r="FW109" s="11" t="str">
        <f ca="1">IF(History!GA$2="","",#REF!*$C$109)</f>
        <v/>
      </c>
      <c r="FX109" s="11" t="str">
        <f ca="1">IF(History!GB$2="","",#REF!*$C$109)</f>
        <v/>
      </c>
      <c r="FY109" s="11" t="str">
        <f ca="1">IF(History!GC$2="","",#REF!*$C$109)</f>
        <v/>
      </c>
      <c r="FZ109" s="11" t="str">
        <f ca="1">IF(History!GD$2="","",#REF!*$C$109)</f>
        <v/>
      </c>
      <c r="GA109" s="11" t="str">
        <f ca="1">IF(History!GE$2="","",#REF!*$C$109)</f>
        <v/>
      </c>
      <c r="GB109" s="11" t="str">
        <f ca="1">IF(History!GF$2="","",#REF!*$C$109)</f>
        <v/>
      </c>
      <c r="GC109" s="11" t="str">
        <f ca="1">IF(History!GG$2="","",#REF!*$C$109)</f>
        <v/>
      </c>
      <c r="GD109" s="11" t="str">
        <f ca="1">IF(History!GH$2="","",#REF!*$C$109)</f>
        <v/>
      </c>
      <c r="GE109" s="11" t="str">
        <f ca="1">IF(History!GI$2="","",#REF!*$C$109)</f>
        <v/>
      </c>
      <c r="GF109" s="11" t="str">
        <f ca="1">IF(History!GJ$2="","",#REF!*$C$109)</f>
        <v/>
      </c>
      <c r="GG109" s="11" t="str">
        <f ca="1">IF(History!GK$2="","",#REF!*$C$109)</f>
        <v/>
      </c>
      <c r="GH109" s="11" t="str">
        <f ca="1">IF(History!GL$2="","",#REF!*$C$109)</f>
        <v/>
      </c>
      <c r="GI109" s="11" t="str">
        <f ca="1">IF(History!GM$2="","",#REF!*$C$109)</f>
        <v/>
      </c>
      <c r="GJ109" s="11" t="str">
        <f ca="1">IF(History!GN$2="","",#REF!*$C$109)</f>
        <v/>
      </c>
      <c r="GK109" s="11" t="str">
        <f ca="1">IF(History!GO$2="","",#REF!*$C$109)</f>
        <v/>
      </c>
      <c r="GL109" s="11" t="str">
        <f ca="1">IF(History!GP$2="","",#REF!*$C$109)</f>
        <v/>
      </c>
      <c r="GM109" s="11" t="str">
        <f ca="1">IF(History!GQ$2="","",#REF!*$C$109)</f>
        <v/>
      </c>
      <c r="GN109" s="11" t="str">
        <f ca="1">IF(History!GR$2="","",#REF!*$C$109)</f>
        <v/>
      </c>
      <c r="GO109" s="11" t="str">
        <f ca="1">IF(History!GS$2="","",#REF!*$C$109)</f>
        <v/>
      </c>
      <c r="GP109" s="11" t="str">
        <f ca="1">IF(History!GT$2="","",#REF!*$C$109)</f>
        <v/>
      </c>
      <c r="GQ109" s="11" t="str">
        <f ca="1">IF(History!GU$2="","",#REF!*$C$109)</f>
        <v/>
      </c>
      <c r="GR109" s="11" t="str">
        <f ca="1">IF(History!GV$2="","",#REF!*$C$109)</f>
        <v/>
      </c>
      <c r="GS109" s="11" t="str">
        <f ca="1">IF(History!GW$2="","",#REF!*$C$109)</f>
        <v/>
      </c>
      <c r="GT109" s="11" t="str">
        <f ca="1">IF(History!GX$2="","",#REF!*$C$109)</f>
        <v/>
      </c>
      <c r="GU109" s="11" t="str">
        <f ca="1">IF(History!GY$2="","",#REF!*$C$109)</f>
        <v/>
      </c>
      <c r="GV109" s="11" t="str">
        <f ca="1">IF(History!GZ$2="","",#REF!*$C$109)</f>
        <v/>
      </c>
      <c r="GW109" s="11" t="str">
        <f ca="1">IF(History!HA$2="","",#REF!*$C$109)</f>
        <v/>
      </c>
      <c r="GX109" s="11" t="str">
        <f ca="1">IF(History!HB$2="","",#REF!*$C$109)</f>
        <v/>
      </c>
      <c r="GY109" s="11" t="str">
        <f ca="1">IF(History!HC$2="","",#REF!*$C$109)</f>
        <v/>
      </c>
      <c r="GZ109" s="11" t="str">
        <f ca="1">IF(History!HD$2="","",#REF!*$C$109)</f>
        <v/>
      </c>
      <c r="HA109" s="11" t="str">
        <f ca="1">IF(History!HE$2="","",#REF!*$C$109)</f>
        <v/>
      </c>
      <c r="HB109" s="11" t="str">
        <f ca="1">IF(History!HF$2="","",#REF!*$C$109)</f>
        <v/>
      </c>
      <c r="HC109" s="11" t="str">
        <f ca="1">IF(History!HG$2="","",#REF!*$C$109)</f>
        <v/>
      </c>
      <c r="HD109" s="11" t="str">
        <f ca="1">IF(History!HH$2="","",#REF!*$C$109)</f>
        <v/>
      </c>
      <c r="HE109" s="11" t="str">
        <f ca="1">IF(History!HI$2="","",#REF!*$C$109)</f>
        <v/>
      </c>
      <c r="HF109" s="11" t="str">
        <f ca="1">IF(History!HJ$2="","",#REF!*$C$109)</f>
        <v/>
      </c>
      <c r="HG109" s="11" t="str">
        <f ca="1">IF(History!HK$2="","",#REF!*$C$109)</f>
        <v/>
      </c>
      <c r="HH109" s="11" t="str">
        <f ca="1">IF(History!HL$2="","",#REF!*$C$109)</f>
        <v/>
      </c>
      <c r="HI109" s="11" t="str">
        <f ca="1">IF(History!HM$2="","",#REF!*$C$109)</f>
        <v/>
      </c>
      <c r="HJ109" s="11" t="str">
        <f ca="1">IF(History!HN$2="","",#REF!*$C$109)</f>
        <v/>
      </c>
      <c r="HK109" s="11" t="str">
        <f ca="1">IF(History!HO$2="","",#REF!*$C$109)</f>
        <v/>
      </c>
      <c r="HL109" s="11" t="str">
        <f ca="1">IF(History!HP$2="","",#REF!*$C$109)</f>
        <v/>
      </c>
      <c r="HM109" s="11" t="str">
        <f ca="1">IF(History!HQ$2="","",#REF!*$C$109)</f>
        <v/>
      </c>
      <c r="HN109" s="11" t="str">
        <f ca="1">IF(History!HR$2="","",#REF!*$C$109)</f>
        <v/>
      </c>
      <c r="HO109" s="11" t="str">
        <f ca="1">IF(History!HS$2="","",#REF!*$C$109)</f>
        <v/>
      </c>
      <c r="HP109" s="11" t="str">
        <f ca="1">IF(History!HT$2="","",#REF!*$C$109)</f>
        <v/>
      </c>
      <c r="HQ109" s="11" t="str">
        <f ca="1">IF(History!HU$2="","",#REF!*$C$109)</f>
        <v/>
      </c>
      <c r="HR109" s="11" t="str">
        <f ca="1">IF(History!HV$2="","",#REF!*$C$109)</f>
        <v/>
      </c>
      <c r="HS109" s="11" t="str">
        <f ca="1">IF(History!HW$2="","",#REF!*$C$109)</f>
        <v/>
      </c>
      <c r="HT109" s="11" t="str">
        <f ca="1">IF(History!HX$2="","",#REF!*$C$109)</f>
        <v/>
      </c>
      <c r="HU109" s="11" t="str">
        <f ca="1">IF(History!HY$2="","",#REF!*$C$109)</f>
        <v/>
      </c>
      <c r="HV109" s="11" t="str">
        <f ca="1">IF(History!HZ$2="","",#REF!*$C$109)</f>
        <v/>
      </c>
      <c r="HW109" s="11" t="str">
        <f ca="1">IF(History!IA$2="","",#REF!*$C$109)</f>
        <v/>
      </c>
      <c r="HX109" s="11" t="str">
        <f ca="1">IF(History!IB$2="","",#REF!*$C$109)</f>
        <v/>
      </c>
      <c r="HY109" s="11" t="str">
        <f ca="1">IF(History!IC$2="","",#REF!*$C$109)</f>
        <v/>
      </c>
      <c r="HZ109" s="11" t="str">
        <f ca="1">IF(History!ID$2="","",#REF!*$C$109)</f>
        <v/>
      </c>
      <c r="IA109" s="11" t="str">
        <f ca="1">IF(History!IE$2="","",#REF!*$C$109)</f>
        <v/>
      </c>
      <c r="IB109" s="11" t="str">
        <f ca="1">IF(History!IF$2="","",#REF!*$C$109)</f>
        <v/>
      </c>
      <c r="IC109" s="11" t="str">
        <f ca="1">IF(History!IG$2="","",#REF!*$C$109)</f>
        <v/>
      </c>
      <c r="ID109" s="11" t="str">
        <f ca="1">IF(History!IH$2="","",#REF!*$C$109)</f>
        <v/>
      </c>
      <c r="IE109" s="11" t="str">
        <f ca="1">IF(History!II$2="","",#REF!*$C$109)</f>
        <v/>
      </c>
      <c r="IF109" s="11" t="str">
        <f ca="1">IF(History!IJ$2="","",#REF!*$C$109)</f>
        <v/>
      </c>
      <c r="IG109" s="11" t="str">
        <f ca="1">IF(History!IK$2="","",#REF!*$C$109)</f>
        <v/>
      </c>
      <c r="IH109" s="11" t="str">
        <f ca="1">IF(History!IL$2="","",#REF!*$C$109)</f>
        <v/>
      </c>
      <c r="II109" s="11" t="str">
        <f ca="1">IF(History!IM$2="","",#REF!*$C$109)</f>
        <v/>
      </c>
      <c r="IJ109" s="11" t="str">
        <f ca="1">IF(History!IN$2="","",#REF!*$C$109)</f>
        <v/>
      </c>
      <c r="IK109" s="11" t="str">
        <f ca="1">IF(History!IO$2="","",#REF!*$C$109)</f>
        <v/>
      </c>
      <c r="IL109" s="11" t="str">
        <f ca="1">IF(History!IP$2="","",#REF!*$C$109)</f>
        <v/>
      </c>
      <c r="IM109" s="11" t="str">
        <f ca="1">IF(History!IQ$2="","",#REF!*$C$109)</f>
        <v/>
      </c>
      <c r="IN109" s="11" t="str">
        <f ca="1">IF(History!IR$2="","",#REF!*$C$109)</f>
        <v/>
      </c>
      <c r="IO109" s="11" t="str">
        <f ca="1">IF(History!IS$2="","",#REF!*$C$109)</f>
        <v/>
      </c>
      <c r="IP109" s="11" t="str">
        <f ca="1">IF(History!IT$2="","",#REF!*$C$109)</f>
        <v/>
      </c>
      <c r="IQ109" s="11" t="str">
        <f ca="1">IF(History!IU$2="","",#REF!*$C$109)</f>
        <v/>
      </c>
      <c r="IR109" s="11" t="str">
        <f ca="1">IF(History!IV$2="","",#REF!*$C$109)</f>
        <v/>
      </c>
      <c r="IS109" s="11" t="str">
        <f ca="1">IF(History!IW$2="","",#REF!*$C$109)</f>
        <v/>
      </c>
      <c r="IT109" s="11" t="str">
        <f ca="1">IF(History!IX$2="","",#REF!*$C$109)</f>
        <v/>
      </c>
      <c r="IU109" s="11" t="str">
        <f ca="1">IF(History!IY$2="","",#REF!*$C$109)</f>
        <v/>
      </c>
      <c r="IV109" s="11" t="str">
        <f ca="1">IF(History!IZ$2="","",#REF!*$C$109)</f>
        <v/>
      </c>
      <c r="IW109" s="11" t="str">
        <f ca="1">IF(History!JA$2="","",#REF!*$C$109)</f>
        <v/>
      </c>
      <c r="IX109" s="11" t="str">
        <f ca="1">IF(History!JB$2="","",#REF!*$C$109)</f>
        <v/>
      </c>
      <c r="IY109" s="11" t="str">
        <f ca="1">IF(History!JC$2="","",#REF!*$C$109)</f>
        <v/>
      </c>
      <c r="IZ109" s="11" t="str">
        <f ca="1">IF(History!JD$2="","",#REF!*$C$109)</f>
        <v/>
      </c>
      <c r="JA109" s="11" t="str">
        <f ca="1">IF(History!JE$2="","",#REF!*$C$109)</f>
        <v/>
      </c>
      <c r="JB109" s="11" t="str">
        <f ca="1">IF(History!JF$2="","",#REF!*$C$109)</f>
        <v/>
      </c>
      <c r="JC109" s="11" t="str">
        <f ca="1">IF(History!JG$2="","",#REF!*$C$109)</f>
        <v/>
      </c>
      <c r="JD109" s="11" t="str">
        <f ca="1">IF(History!JH$2="","",#REF!*$C$109)</f>
        <v/>
      </c>
      <c r="JE109" s="11" t="str">
        <f ca="1">IF(History!JI$2="","",#REF!*$C$109)</f>
        <v/>
      </c>
      <c r="JF109" s="11" t="str">
        <f ca="1">IF(History!JJ$2="","",#REF!*$C$109)</f>
        <v/>
      </c>
      <c r="JG109" s="11" t="str">
        <f ca="1">IF(History!JK$2="","",#REF!*$C$109)</f>
        <v/>
      </c>
      <c r="JH109" s="11" t="str">
        <f ca="1">IF(History!JL$2="","",#REF!*$C$109)</f>
        <v/>
      </c>
      <c r="JI109" s="11" t="str">
        <f ca="1">IF(History!JM$2="","",#REF!*$C$109)</f>
        <v/>
      </c>
      <c r="JJ109" s="11" t="str">
        <f ca="1">IF(History!JN$2="","",#REF!*$C$109)</f>
        <v/>
      </c>
      <c r="JK109" s="11" t="str">
        <f ca="1">IF(History!JO$2="","",#REF!*$C$109)</f>
        <v/>
      </c>
      <c r="JL109" s="11" t="str">
        <f ca="1">IF(History!JP$2="","",#REF!*$C$109)</f>
        <v/>
      </c>
      <c r="JM109" s="11" t="str">
        <f ca="1">IF(History!JQ$2="","",#REF!*$C$109)</f>
        <v/>
      </c>
      <c r="JN109" s="11" t="str">
        <f ca="1">IF(History!JR$2="","",#REF!*$C$109)</f>
        <v/>
      </c>
      <c r="JO109" s="11" t="str">
        <f ca="1">IF(History!JS$2="","",#REF!*$C$109)</f>
        <v/>
      </c>
      <c r="JP109" s="11" t="str">
        <f ca="1">IF(History!JT$2="","",#REF!*$C$109)</f>
        <v/>
      </c>
      <c r="JQ109" s="11" t="str">
        <f ca="1">IF(History!JU$2="","",#REF!*$C$109)</f>
        <v/>
      </c>
      <c r="JR109" s="11" t="str">
        <f ca="1">IF(History!JV$2="","",#REF!*$C$109)</f>
        <v/>
      </c>
      <c r="JS109" s="11" t="str">
        <f ca="1">IF(History!JW$2="","",#REF!*$C$109)</f>
        <v/>
      </c>
      <c r="JT109" s="11" t="str">
        <f ca="1">IF(History!JX$2="","",#REF!*$C$109)</f>
        <v/>
      </c>
      <c r="JU109" s="11" t="str">
        <f ca="1">IF(History!JY$2="","",#REF!*$C$109)</f>
        <v/>
      </c>
      <c r="JV109" s="11" t="str">
        <f ca="1">IF(History!JZ$2="","",#REF!*$C$109)</f>
        <v/>
      </c>
      <c r="JW109" s="11" t="str">
        <f ca="1">IF(History!KA$2="","",#REF!*$C$109)</f>
        <v/>
      </c>
      <c r="JX109" s="11" t="str">
        <f ca="1">IF(History!KB$2="","",#REF!*$C$109)</f>
        <v/>
      </c>
      <c r="JY109" s="11" t="str">
        <f ca="1">IF(History!KC$2="","",#REF!*$C$109)</f>
        <v/>
      </c>
      <c r="JZ109" s="11" t="str">
        <f ca="1">IF(History!KD$2="","",#REF!*$C$109)</f>
        <v/>
      </c>
      <c r="KA109" s="11" t="str">
        <f ca="1">IF(History!KE$2="","",#REF!*$C$109)</f>
        <v/>
      </c>
      <c r="KB109" s="11" t="str">
        <f ca="1">IF(History!KF$2="","",#REF!*$C$109)</f>
        <v/>
      </c>
    </row>
    <row r="110" spans="1:288" ht="13">
      <c r="A110" s="18" t="s">
        <v>140</v>
      </c>
      <c r="B110" s="6" t="s">
        <v>186</v>
      </c>
      <c r="C110" s="26">
        <v>20</v>
      </c>
      <c r="D110" s="11" t="e">
        <f ca="1">IF(History!H$2="","",#REF!*$C$110)</f>
        <v>#REF!</v>
      </c>
      <c r="E110" s="11" t="e">
        <f ca="1">IF(History!I$2="","",#REF!*$C$110)</f>
        <v>#REF!</v>
      </c>
      <c r="F110" s="11" t="e">
        <f ca="1">IF(History!J$2="","",#REF!*$C$110)</f>
        <v>#REF!</v>
      </c>
      <c r="G110" s="11" t="e">
        <f ca="1">IF(History!K$2="","",#REF!*$C$110)</f>
        <v>#REF!</v>
      </c>
      <c r="H110" s="11" t="e">
        <f ca="1">IF(History!L$2="","",#REF!*$C$110)</f>
        <v>#REF!</v>
      </c>
      <c r="I110" s="11" t="e">
        <f ca="1">IF(History!M$2="","",#REF!*$C$110)</f>
        <v>#REF!</v>
      </c>
      <c r="J110" s="11" t="e">
        <f ca="1">IF(History!N$2="","",#REF!*$C$110)</f>
        <v>#REF!</v>
      </c>
      <c r="K110" s="11" t="e">
        <f ca="1">IF(History!O$2="","",#REF!*$C$110)</f>
        <v>#REF!</v>
      </c>
      <c r="L110" s="11" t="e">
        <f ca="1">IF(History!P$2="","",#REF!*$C$110)</f>
        <v>#REF!</v>
      </c>
      <c r="M110" s="11" t="e">
        <f ca="1">IF(History!Q$2="","",#REF!*$C$110)</f>
        <v>#REF!</v>
      </c>
      <c r="N110" s="11" t="e">
        <f ca="1">IF(History!R$2="","",#REF!*$C$110)</f>
        <v>#REF!</v>
      </c>
      <c r="O110" s="11" t="e">
        <f ca="1">IF(History!S$2="","",#REF!*$C$110)</f>
        <v>#REF!</v>
      </c>
      <c r="P110" s="11" t="e">
        <f ca="1">IF(History!T$2="","",#REF!*$C$110)</f>
        <v>#REF!</v>
      </c>
      <c r="Q110" s="11" t="e">
        <f ca="1">IF(History!U$2="","",#REF!*$C$110)</f>
        <v>#REF!</v>
      </c>
      <c r="R110" s="11" t="e">
        <f ca="1">IF(History!V$2="","",#REF!*$C$110)</f>
        <v>#REF!</v>
      </c>
      <c r="S110" s="11" t="e">
        <f ca="1">IF(History!W$2="","",#REF!*$C$110)</f>
        <v>#REF!</v>
      </c>
      <c r="T110" s="11" t="e">
        <f ca="1">IF(History!X$2="","",#REF!*$C$110)</f>
        <v>#REF!</v>
      </c>
      <c r="U110" s="11" t="e">
        <f ca="1">IF(History!Y$2="","",#REF!*$C$110)</f>
        <v>#REF!</v>
      </c>
      <c r="V110" s="11" t="e">
        <f ca="1">IF(History!Z$2="","",#REF!*$C$110)</f>
        <v>#REF!</v>
      </c>
      <c r="W110" s="11" t="e">
        <f ca="1">IF(History!AA$2="","",#REF!*$C$110)</f>
        <v>#REF!</v>
      </c>
      <c r="X110" s="11" t="e">
        <f ca="1">IF(History!AB$2="","",#REF!*$C$110)</f>
        <v>#REF!</v>
      </c>
      <c r="Y110" s="11" t="e">
        <f ca="1">IF(History!AC$2="","",#REF!*$C$110)</f>
        <v>#REF!</v>
      </c>
      <c r="Z110" s="11" t="e">
        <f ca="1">IF(History!AD$2="","",#REF!*$C$110)</f>
        <v>#REF!</v>
      </c>
      <c r="AA110" s="11" t="e">
        <f ca="1">IF(History!AE$2="","",#REF!*$C$110)</f>
        <v>#REF!</v>
      </c>
      <c r="AB110" s="11" t="e">
        <f ca="1">IF(History!AF$2="","",#REF!*$C$110)</f>
        <v>#REF!</v>
      </c>
      <c r="AC110" s="11" t="e">
        <f ca="1">IF(History!AG$2="","",#REF!*$C$110)</f>
        <v>#REF!</v>
      </c>
      <c r="AD110" s="11" t="e">
        <f ca="1">IF(History!AH$2="","",#REF!*$C$110)</f>
        <v>#REF!</v>
      </c>
      <c r="AE110" s="11" t="e">
        <f ca="1">IF(History!AI$2="","",#REF!*$C$110)</f>
        <v>#REF!</v>
      </c>
      <c r="AF110" s="11" t="e">
        <f ca="1">IF(History!AJ$2="","",#REF!*$C$110)</f>
        <v>#REF!</v>
      </c>
      <c r="AG110" s="11" t="e">
        <f ca="1">IF(History!AK$2="","",#REF!*$C$110)</f>
        <v>#REF!</v>
      </c>
      <c r="AH110" s="11" t="e">
        <f ca="1">IF(History!AL$2="","",#REF!*$C$110)</f>
        <v>#REF!</v>
      </c>
      <c r="AI110" s="11" t="e">
        <f ca="1">IF(History!AM$2="","",#REF!*$C$110)</f>
        <v>#REF!</v>
      </c>
      <c r="AJ110" s="11" t="e">
        <f ca="1">IF(History!AN$2="","",#REF!*$C$110)</f>
        <v>#REF!</v>
      </c>
      <c r="AK110" s="11" t="e">
        <f ca="1">IF(History!AO$2="","",#REF!*$C$110)</f>
        <v>#REF!</v>
      </c>
      <c r="AL110" s="11" t="e">
        <f ca="1">IF(History!AP$2="","",#REF!*$C$110)</f>
        <v>#REF!</v>
      </c>
      <c r="AM110" s="11" t="e">
        <f ca="1">IF(History!AQ$2="","",#REF!*$C$110)</f>
        <v>#REF!</v>
      </c>
      <c r="AN110" s="11" t="e">
        <f ca="1">IF(History!AR$2="","",#REF!*$C$110)</f>
        <v>#REF!</v>
      </c>
      <c r="AO110" s="11" t="e">
        <f ca="1">IF(History!AS$2="","",#REF!*$C$110)</f>
        <v>#REF!</v>
      </c>
      <c r="AP110" s="11" t="e">
        <f ca="1">IF(History!AT$2="","",#REF!*$C$110)</f>
        <v>#REF!</v>
      </c>
      <c r="AQ110" s="11" t="e">
        <f ca="1">IF(History!AU$2="","",#REF!*$C$110)</f>
        <v>#REF!</v>
      </c>
      <c r="AR110" s="11" t="e">
        <f ca="1">IF(History!AV$2="","",#REF!*$C$110)</f>
        <v>#REF!</v>
      </c>
      <c r="AS110" s="11" t="e">
        <f ca="1">IF(History!AW$2="","",#REF!*$C$110)</f>
        <v>#REF!</v>
      </c>
      <c r="AT110" s="11" t="e">
        <f ca="1">IF(History!AX$2="","",#REF!*$C$110)</f>
        <v>#REF!</v>
      </c>
      <c r="AU110" s="11" t="e">
        <f ca="1">IF(History!AY$2="","",#REF!*$C$110)</f>
        <v>#REF!</v>
      </c>
      <c r="AV110" s="11" t="e">
        <f ca="1">IF(History!AZ$2="","",#REF!*$C$110)</f>
        <v>#REF!</v>
      </c>
      <c r="AW110" s="11" t="e">
        <f ca="1">IF(History!BA$2="","",#REF!*$C$110)</f>
        <v>#REF!</v>
      </c>
      <c r="AX110" s="11" t="e">
        <f ca="1">IF(History!BB$2="","",#REF!*$C$110)</f>
        <v>#REF!</v>
      </c>
      <c r="AY110" s="11" t="e">
        <f ca="1">IF(History!BC$2="","",#REF!*$C$110)</f>
        <v>#REF!</v>
      </c>
      <c r="AZ110" s="11" t="e">
        <f ca="1">IF(History!BD$2="","",#REF!*$C$110)</f>
        <v>#REF!</v>
      </c>
      <c r="BA110" s="11" t="e">
        <f ca="1">IF(History!BE$2="","",#REF!*$C$110)</f>
        <v>#REF!</v>
      </c>
      <c r="BB110" s="11" t="e">
        <f ca="1">IF(History!BF$2="","",#REF!*$C$110)</f>
        <v>#REF!</v>
      </c>
      <c r="BC110" s="11" t="e">
        <f ca="1">IF(History!BG$2="","",#REF!*$C$110)</f>
        <v>#REF!</v>
      </c>
      <c r="BD110" s="11" t="e">
        <f ca="1">IF(History!BH$2="","",#REF!*$C$110)</f>
        <v>#REF!</v>
      </c>
      <c r="BE110" s="11" t="e">
        <f ca="1">IF(History!BI$2="","",#REF!*$C$110)</f>
        <v>#REF!</v>
      </c>
      <c r="BF110" s="11" t="e">
        <f ca="1">IF(History!BJ$2="","",#REF!*$C$110)</f>
        <v>#REF!</v>
      </c>
      <c r="BG110" s="11" t="e">
        <f ca="1">IF(History!BK$2="","",#REF!*$C$110)</f>
        <v>#REF!</v>
      </c>
      <c r="BH110" s="11" t="e">
        <f ca="1">IF(History!BL$2="","",#REF!*$C$110)</f>
        <v>#REF!</v>
      </c>
      <c r="BI110" s="11" t="e">
        <f ca="1">IF(History!BM$2="","",#REF!*$C$110)</f>
        <v>#REF!</v>
      </c>
      <c r="BJ110" s="11" t="e">
        <f ca="1">IF(History!BN$2="","",#REF!*$C$110)</f>
        <v>#REF!</v>
      </c>
      <c r="BK110" s="11" t="e">
        <f ca="1">IF(History!BO$2="","",#REF!*$C$110)</f>
        <v>#REF!</v>
      </c>
      <c r="BL110" s="11" t="e">
        <f ca="1">IF(History!BP$2="","",#REF!*$C$110)</f>
        <v>#REF!</v>
      </c>
      <c r="BM110" s="11" t="e">
        <f ca="1">IF(History!BQ$2="","",#REF!*$C$110)</f>
        <v>#REF!</v>
      </c>
      <c r="BN110" s="11" t="e">
        <f ca="1">IF(History!BR$2="","",#REF!*$C$110)</f>
        <v>#REF!</v>
      </c>
      <c r="BO110" s="11" t="e">
        <f ca="1">IF(History!BS$2="","",#REF!*$C$110)</f>
        <v>#REF!</v>
      </c>
      <c r="BP110" s="11" t="e">
        <f ca="1">IF(History!BT$2="","",#REF!*$C$110)</f>
        <v>#REF!</v>
      </c>
      <c r="BQ110" s="11" t="e">
        <f ca="1">IF(History!BU$2="","",#REF!*$C$110)</f>
        <v>#REF!</v>
      </c>
      <c r="BR110" s="11" t="e">
        <f ca="1">IF(History!BV$2="","",#REF!*$C$110)</f>
        <v>#REF!</v>
      </c>
      <c r="BS110" s="11" t="e">
        <f ca="1">IF(History!BW$2="","",#REF!*$C$110)</f>
        <v>#REF!</v>
      </c>
      <c r="BT110" s="11" t="e">
        <f ca="1">IF(History!BX$2="","",#REF!*$C$110)</f>
        <v>#REF!</v>
      </c>
      <c r="BU110" s="11" t="e">
        <f ca="1">IF(History!BY$2="","",#REF!*$C$110)</f>
        <v>#REF!</v>
      </c>
      <c r="BV110" s="11" t="e">
        <f ca="1">IF(History!BZ$2="","",#REF!*$C$110)</f>
        <v>#REF!</v>
      </c>
      <c r="BW110" s="11" t="e">
        <f ca="1">IF(History!CA$2="","",#REF!*$C$110)</f>
        <v>#REF!</v>
      </c>
      <c r="BX110" s="11" t="e">
        <f ca="1">IF(History!CB$2="","",#REF!*$C$110)</f>
        <v>#REF!</v>
      </c>
      <c r="BY110" s="11" t="e">
        <f ca="1">IF(History!CC$2="","",#REF!*$C$110)</f>
        <v>#REF!</v>
      </c>
      <c r="BZ110" s="11" t="e">
        <f ca="1">IF(History!CD$2="","",#REF!*$C$110)</f>
        <v>#REF!</v>
      </c>
      <c r="CA110" s="11" t="e">
        <f ca="1">IF(History!CE$2="","",#REF!*$C$110)</f>
        <v>#REF!</v>
      </c>
      <c r="CB110" s="11" t="e">
        <f ca="1">IF(History!CF$2="","",#REF!*$C$110)</f>
        <v>#REF!</v>
      </c>
      <c r="CC110" s="11" t="e">
        <f ca="1">IF(History!CG$2="","",#REF!*$C$110)</f>
        <v>#REF!</v>
      </c>
      <c r="CD110" s="11" t="e">
        <f ca="1">IF(History!CH$2="","",#REF!*$C$110)</f>
        <v>#REF!</v>
      </c>
      <c r="CE110" s="11" t="e">
        <f ca="1">IF(History!CI$2="","",#REF!*$C$110)</f>
        <v>#REF!</v>
      </c>
      <c r="CF110" s="11" t="str">
        <f ca="1">IF(History!CJ$2="","",#REF!*$C$110)</f>
        <v/>
      </c>
      <c r="CG110" s="11" t="str">
        <f ca="1">IF(History!CK$2="","",#REF!*$C$110)</f>
        <v/>
      </c>
      <c r="CH110" s="11" t="str">
        <f ca="1">IF(History!CL$2="","",#REF!*$C$110)</f>
        <v/>
      </c>
      <c r="CI110" s="11" t="str">
        <f ca="1">IF(History!CM$2="","",#REF!*$C$110)</f>
        <v/>
      </c>
      <c r="CJ110" s="11" t="str">
        <f ca="1">IF(History!CN$2="","",#REF!*$C$110)</f>
        <v/>
      </c>
      <c r="CK110" s="11" t="str">
        <f ca="1">IF(History!CO$2="","",#REF!*$C$110)</f>
        <v/>
      </c>
      <c r="CL110" s="11" t="str">
        <f ca="1">IF(History!CP$2="","",#REF!*$C$110)</f>
        <v/>
      </c>
      <c r="CM110" s="11" t="str">
        <f ca="1">IF(History!CQ$2="","",#REF!*$C$110)</f>
        <v/>
      </c>
      <c r="CN110" s="11" t="str">
        <f ca="1">IF(History!CR$2="","",#REF!*$C$110)</f>
        <v/>
      </c>
      <c r="CO110" s="11" t="str">
        <f ca="1">IF(History!CS$2="","",#REF!*$C$110)</f>
        <v/>
      </c>
      <c r="CP110" s="11" t="str">
        <f ca="1">IF(History!CT$2="","",#REF!*$C$110)</f>
        <v/>
      </c>
      <c r="CQ110" s="11" t="str">
        <f ca="1">IF(History!CU$2="","",#REF!*$C$110)</f>
        <v/>
      </c>
      <c r="CR110" s="11" t="str">
        <f ca="1">IF(History!CV$2="","",#REF!*$C$110)</f>
        <v/>
      </c>
      <c r="CS110" s="11" t="str">
        <f ca="1">IF(History!CW$2="","",#REF!*$C$110)</f>
        <v/>
      </c>
      <c r="CT110" s="11" t="str">
        <f ca="1">IF(History!CX$2="","",#REF!*$C$110)</f>
        <v/>
      </c>
      <c r="CU110" s="11" t="str">
        <f ca="1">IF(History!CY$2="","",#REF!*$C$110)</f>
        <v/>
      </c>
      <c r="CV110" s="11" t="str">
        <f ca="1">IF(History!CZ$2="","",#REF!*$C$110)</f>
        <v/>
      </c>
      <c r="CW110" s="11" t="str">
        <f ca="1">IF(History!DA$2="","",#REF!*$C$110)</f>
        <v/>
      </c>
      <c r="CX110" s="11" t="str">
        <f ca="1">IF(History!DB$2="","",#REF!*$C$110)</f>
        <v/>
      </c>
      <c r="CY110" s="11" t="str">
        <f ca="1">IF(History!DC$2="","",#REF!*$C$110)</f>
        <v/>
      </c>
      <c r="CZ110" s="11" t="str">
        <f ca="1">IF(History!DD$2="","",#REF!*$C$110)</f>
        <v/>
      </c>
      <c r="DA110" s="11" t="str">
        <f ca="1">IF(History!DE$2="","",#REF!*$C$110)</f>
        <v/>
      </c>
      <c r="DB110" s="11" t="str">
        <f ca="1">IF(History!DF$2="","",#REF!*$C$110)</f>
        <v/>
      </c>
      <c r="DC110" s="11" t="str">
        <f ca="1">IF(History!DG$2="","",#REF!*$C$110)</f>
        <v/>
      </c>
      <c r="DD110" s="11" t="str">
        <f ca="1">IF(History!DH$2="","",#REF!*$C$110)</f>
        <v/>
      </c>
      <c r="DE110" s="11" t="str">
        <f ca="1">IF(History!DI$2="","",#REF!*$C$110)</f>
        <v/>
      </c>
      <c r="DF110" s="11" t="str">
        <f ca="1">IF(History!DJ$2="","",#REF!*$C$110)</f>
        <v/>
      </c>
      <c r="DG110" s="11" t="str">
        <f ca="1">IF(History!DK$2="","",#REF!*$C$110)</f>
        <v/>
      </c>
      <c r="DH110" s="11" t="str">
        <f ca="1">IF(History!DL$2="","",#REF!*$C$110)</f>
        <v/>
      </c>
      <c r="DI110" s="11" t="str">
        <f ca="1">IF(History!DM$2="","",#REF!*$C$110)</f>
        <v/>
      </c>
      <c r="DJ110" s="11" t="str">
        <f ca="1">IF(History!DN$2="","",#REF!*$C$110)</f>
        <v/>
      </c>
      <c r="DK110" s="11" t="str">
        <f ca="1">IF(History!DO$2="","",#REF!*$C$110)</f>
        <v/>
      </c>
      <c r="DL110" s="11" t="str">
        <f ca="1">IF(History!DP$2="","",#REF!*$C$110)</f>
        <v/>
      </c>
      <c r="DM110" s="11" t="str">
        <f ca="1">IF(History!DQ$2="","",#REF!*$C$110)</f>
        <v/>
      </c>
      <c r="DN110" s="11" t="str">
        <f ca="1">IF(History!DR$2="","",#REF!*$C$110)</f>
        <v/>
      </c>
      <c r="DO110" s="11" t="str">
        <f ca="1">IF(History!DS$2="","",#REF!*$C$110)</f>
        <v/>
      </c>
      <c r="DP110" s="11" t="str">
        <f ca="1">IF(History!DT$2="","",#REF!*$C$110)</f>
        <v/>
      </c>
      <c r="DQ110" s="11" t="str">
        <f ca="1">IF(History!DU$2="","",#REF!*$C$110)</f>
        <v/>
      </c>
      <c r="DR110" s="11" t="str">
        <f ca="1">IF(History!DV$2="","",#REF!*$C$110)</f>
        <v/>
      </c>
      <c r="DS110" s="11" t="str">
        <f ca="1">IF(History!DW$2="","",#REF!*$C$110)</f>
        <v/>
      </c>
      <c r="DT110" s="11" t="str">
        <f ca="1">IF(History!DX$2="","",#REF!*$C$110)</f>
        <v/>
      </c>
      <c r="DU110" s="11" t="str">
        <f ca="1">IF(History!DY$2="","",#REF!*$C$110)</f>
        <v/>
      </c>
      <c r="DV110" s="11" t="str">
        <f ca="1">IF(History!DZ$2="","",#REF!*$C$110)</f>
        <v/>
      </c>
      <c r="DW110" s="11" t="str">
        <f ca="1">IF(History!EA$2="","",#REF!*$C$110)</f>
        <v/>
      </c>
      <c r="DX110" s="11" t="str">
        <f ca="1">IF(History!EB$2="","",#REF!*$C$110)</f>
        <v/>
      </c>
      <c r="DY110" s="11" t="str">
        <f ca="1">IF(History!EC$2="","",#REF!*$C$110)</f>
        <v/>
      </c>
      <c r="DZ110" s="11" t="str">
        <f ca="1">IF(History!ED$2="","",#REF!*$C$110)</f>
        <v/>
      </c>
      <c r="EA110" s="11" t="str">
        <f ca="1">IF(History!EE$2="","",#REF!*$C$110)</f>
        <v/>
      </c>
      <c r="EB110" s="11" t="str">
        <f ca="1">IF(History!EF$2="","",#REF!*$C$110)</f>
        <v/>
      </c>
      <c r="EC110" s="11" t="str">
        <f ca="1">IF(History!EG$2="","",#REF!*$C$110)</f>
        <v/>
      </c>
      <c r="ED110" s="11" t="str">
        <f ca="1">IF(History!EH$2="","",#REF!*$C$110)</f>
        <v/>
      </c>
      <c r="EE110" s="11" t="str">
        <f ca="1">IF(History!EI$2="","",#REF!*$C$110)</f>
        <v/>
      </c>
      <c r="EF110" s="11" t="str">
        <f ca="1">IF(History!EJ$2="","",#REF!*$C$110)</f>
        <v/>
      </c>
      <c r="EG110" s="11" t="str">
        <f ca="1">IF(History!EK$2="","",#REF!*$C$110)</f>
        <v/>
      </c>
      <c r="EH110" s="11" t="str">
        <f ca="1">IF(History!EL$2="","",#REF!*$C$110)</f>
        <v/>
      </c>
      <c r="EI110" s="11" t="str">
        <f ca="1">IF(History!EM$2="","",#REF!*$C$110)</f>
        <v/>
      </c>
      <c r="EJ110" s="11" t="str">
        <f ca="1">IF(History!EN$2="","",#REF!*$C$110)</f>
        <v/>
      </c>
      <c r="EK110" s="11" t="str">
        <f ca="1">IF(History!EO$2="","",#REF!*$C$110)</f>
        <v/>
      </c>
      <c r="EL110" s="11" t="str">
        <f ca="1">IF(History!EP$2="","",#REF!*$C$110)</f>
        <v/>
      </c>
      <c r="EM110" s="11" t="str">
        <f ca="1">IF(History!EQ$2="","",#REF!*$C$110)</f>
        <v/>
      </c>
      <c r="EN110" s="11" t="str">
        <f ca="1">IF(History!ER$2="","",#REF!*$C$110)</f>
        <v/>
      </c>
      <c r="EO110" s="11" t="str">
        <f ca="1">IF(History!ES$2="","",#REF!*$C$110)</f>
        <v/>
      </c>
      <c r="EP110" s="11" t="str">
        <f ca="1">IF(History!ET$2="","",#REF!*$C$110)</f>
        <v/>
      </c>
      <c r="EQ110" s="11" t="str">
        <f ca="1">IF(History!EU$2="","",#REF!*$C$110)</f>
        <v/>
      </c>
      <c r="ER110" s="11" t="str">
        <f ca="1">IF(History!EV$2="","",#REF!*$C$110)</f>
        <v/>
      </c>
      <c r="ES110" s="11" t="str">
        <f ca="1">IF(History!EW$2="","",#REF!*$C$110)</f>
        <v/>
      </c>
      <c r="ET110" s="11" t="str">
        <f ca="1">IF(History!EX$2="","",#REF!*$C$110)</f>
        <v/>
      </c>
      <c r="EU110" s="11" t="str">
        <f ca="1">IF(History!EY$2="","",#REF!*$C$110)</f>
        <v/>
      </c>
      <c r="EV110" s="11" t="str">
        <f ca="1">IF(History!EZ$2="","",#REF!*$C$110)</f>
        <v/>
      </c>
      <c r="EW110" s="11" t="str">
        <f ca="1">IF(History!FA$2="","",#REF!*$C$110)</f>
        <v/>
      </c>
      <c r="EX110" s="11" t="str">
        <f ca="1">IF(History!FB$2="","",#REF!*$C$110)</f>
        <v/>
      </c>
      <c r="EY110" s="11" t="str">
        <f ca="1">IF(History!FC$2="","",#REF!*$C$110)</f>
        <v/>
      </c>
      <c r="EZ110" s="11" t="str">
        <f ca="1">IF(History!FD$2="","",#REF!*$C$110)</f>
        <v/>
      </c>
      <c r="FA110" s="11" t="str">
        <f ca="1">IF(History!FE$2="","",#REF!*$C$110)</f>
        <v/>
      </c>
      <c r="FB110" s="11" t="str">
        <f ca="1">IF(History!FF$2="","",#REF!*$C$110)</f>
        <v/>
      </c>
      <c r="FC110" s="11" t="str">
        <f ca="1">IF(History!FG$2="","",#REF!*$C$110)</f>
        <v/>
      </c>
      <c r="FD110" s="11" t="str">
        <f ca="1">IF(History!FH$2="","",#REF!*$C$110)</f>
        <v/>
      </c>
      <c r="FE110" s="11" t="str">
        <f ca="1">IF(History!FI$2="","",#REF!*$C$110)</f>
        <v/>
      </c>
      <c r="FF110" s="11" t="str">
        <f ca="1">IF(History!FJ$2="","",#REF!*$C$110)</f>
        <v/>
      </c>
      <c r="FG110" s="11" t="str">
        <f ca="1">IF(History!FK$2="","",#REF!*$C$110)</f>
        <v/>
      </c>
      <c r="FH110" s="11" t="str">
        <f ca="1">IF(History!FL$2="","",#REF!*$C$110)</f>
        <v/>
      </c>
      <c r="FI110" s="11" t="str">
        <f ca="1">IF(History!FM$2="","",#REF!*$C$110)</f>
        <v/>
      </c>
      <c r="FJ110" s="11" t="str">
        <f ca="1">IF(History!FN$2="","",#REF!*$C$110)</f>
        <v/>
      </c>
      <c r="FK110" s="11" t="str">
        <f ca="1">IF(History!FO$2="","",#REF!*$C$110)</f>
        <v/>
      </c>
      <c r="FL110" s="11" t="str">
        <f ca="1">IF(History!FP$2="","",#REF!*$C$110)</f>
        <v/>
      </c>
      <c r="FM110" s="11" t="str">
        <f ca="1">IF(History!FQ$2="","",#REF!*$C$110)</f>
        <v/>
      </c>
      <c r="FN110" s="11" t="str">
        <f ca="1">IF(History!FR$2="","",#REF!*$C$110)</f>
        <v/>
      </c>
      <c r="FO110" s="11" t="str">
        <f ca="1">IF(History!FS$2="","",#REF!*$C$110)</f>
        <v/>
      </c>
      <c r="FP110" s="11" t="str">
        <f ca="1">IF(History!FT$2="","",#REF!*$C$110)</f>
        <v/>
      </c>
      <c r="FQ110" s="11" t="str">
        <f ca="1">IF(History!FU$2="","",#REF!*$C$110)</f>
        <v/>
      </c>
      <c r="FR110" s="11" t="str">
        <f ca="1">IF(History!FV$2="","",#REF!*$C$110)</f>
        <v/>
      </c>
      <c r="FS110" s="11" t="str">
        <f ca="1">IF(History!FW$2="","",#REF!*$C$110)</f>
        <v/>
      </c>
      <c r="FT110" s="11" t="str">
        <f ca="1">IF(History!FX$2="","",#REF!*$C$110)</f>
        <v/>
      </c>
      <c r="FU110" s="11" t="str">
        <f ca="1">IF(History!FY$2="","",#REF!*$C$110)</f>
        <v/>
      </c>
      <c r="FV110" s="11" t="str">
        <f ca="1">IF(History!FZ$2="","",#REF!*$C$110)</f>
        <v/>
      </c>
      <c r="FW110" s="11" t="str">
        <f ca="1">IF(History!GA$2="","",#REF!*$C$110)</f>
        <v/>
      </c>
      <c r="FX110" s="11" t="str">
        <f ca="1">IF(History!GB$2="","",#REF!*$C$110)</f>
        <v/>
      </c>
      <c r="FY110" s="11" t="str">
        <f ca="1">IF(History!GC$2="","",#REF!*$C$110)</f>
        <v/>
      </c>
      <c r="FZ110" s="11" t="str">
        <f ca="1">IF(History!GD$2="","",#REF!*$C$110)</f>
        <v/>
      </c>
      <c r="GA110" s="11" t="str">
        <f ca="1">IF(History!GE$2="","",#REF!*$C$110)</f>
        <v/>
      </c>
      <c r="GB110" s="11" t="str">
        <f ca="1">IF(History!GF$2="","",#REF!*$C$110)</f>
        <v/>
      </c>
      <c r="GC110" s="11" t="str">
        <f ca="1">IF(History!GG$2="","",#REF!*$C$110)</f>
        <v/>
      </c>
      <c r="GD110" s="11" t="str">
        <f ca="1">IF(History!GH$2="","",#REF!*$C$110)</f>
        <v/>
      </c>
      <c r="GE110" s="11" t="str">
        <f ca="1">IF(History!GI$2="","",#REF!*$C$110)</f>
        <v/>
      </c>
      <c r="GF110" s="11" t="str">
        <f ca="1">IF(History!GJ$2="","",#REF!*$C$110)</f>
        <v/>
      </c>
      <c r="GG110" s="11" t="str">
        <f ca="1">IF(History!GK$2="","",#REF!*$C$110)</f>
        <v/>
      </c>
      <c r="GH110" s="11" t="str">
        <f ca="1">IF(History!GL$2="","",#REF!*$C$110)</f>
        <v/>
      </c>
      <c r="GI110" s="11" t="str">
        <f ca="1">IF(History!GM$2="","",#REF!*$C$110)</f>
        <v/>
      </c>
      <c r="GJ110" s="11" t="str">
        <f ca="1">IF(History!GN$2="","",#REF!*$C$110)</f>
        <v/>
      </c>
      <c r="GK110" s="11" t="str">
        <f ca="1">IF(History!GO$2="","",#REF!*$C$110)</f>
        <v/>
      </c>
      <c r="GL110" s="11" t="str">
        <f ca="1">IF(History!GP$2="","",#REF!*$C$110)</f>
        <v/>
      </c>
      <c r="GM110" s="11" t="str">
        <f ca="1">IF(History!GQ$2="","",#REF!*$C$110)</f>
        <v/>
      </c>
      <c r="GN110" s="11" t="str">
        <f ca="1">IF(History!GR$2="","",#REF!*$C$110)</f>
        <v/>
      </c>
      <c r="GO110" s="11" t="str">
        <f ca="1">IF(History!GS$2="","",#REF!*$C$110)</f>
        <v/>
      </c>
      <c r="GP110" s="11" t="str">
        <f ca="1">IF(History!GT$2="","",#REF!*$C$110)</f>
        <v/>
      </c>
      <c r="GQ110" s="11" t="str">
        <f ca="1">IF(History!GU$2="","",#REF!*$C$110)</f>
        <v/>
      </c>
      <c r="GR110" s="11" t="str">
        <f ca="1">IF(History!GV$2="","",#REF!*$C$110)</f>
        <v/>
      </c>
      <c r="GS110" s="11" t="str">
        <f ca="1">IF(History!GW$2="","",#REF!*$C$110)</f>
        <v/>
      </c>
      <c r="GT110" s="11" t="str">
        <f ca="1">IF(History!GX$2="","",#REF!*$C$110)</f>
        <v/>
      </c>
      <c r="GU110" s="11" t="str">
        <f ca="1">IF(History!GY$2="","",#REF!*$C$110)</f>
        <v/>
      </c>
      <c r="GV110" s="11" t="str">
        <f ca="1">IF(History!GZ$2="","",#REF!*$C$110)</f>
        <v/>
      </c>
      <c r="GW110" s="11" t="str">
        <f ca="1">IF(History!HA$2="","",#REF!*$C$110)</f>
        <v/>
      </c>
      <c r="GX110" s="11" t="str">
        <f ca="1">IF(History!HB$2="","",#REF!*$C$110)</f>
        <v/>
      </c>
      <c r="GY110" s="11" t="str">
        <f ca="1">IF(History!HC$2="","",#REF!*$C$110)</f>
        <v/>
      </c>
      <c r="GZ110" s="11" t="str">
        <f ca="1">IF(History!HD$2="","",#REF!*$C$110)</f>
        <v/>
      </c>
      <c r="HA110" s="11" t="str">
        <f ca="1">IF(History!HE$2="","",#REF!*$C$110)</f>
        <v/>
      </c>
      <c r="HB110" s="11" t="str">
        <f ca="1">IF(History!HF$2="","",#REF!*$C$110)</f>
        <v/>
      </c>
      <c r="HC110" s="11" t="str">
        <f ca="1">IF(History!HG$2="","",#REF!*$C$110)</f>
        <v/>
      </c>
      <c r="HD110" s="11" t="str">
        <f ca="1">IF(History!HH$2="","",#REF!*$C$110)</f>
        <v/>
      </c>
      <c r="HE110" s="11" t="str">
        <f ca="1">IF(History!HI$2="","",#REF!*$C$110)</f>
        <v/>
      </c>
      <c r="HF110" s="11" t="str">
        <f ca="1">IF(History!HJ$2="","",#REF!*$C$110)</f>
        <v/>
      </c>
      <c r="HG110" s="11" t="str">
        <f ca="1">IF(History!HK$2="","",#REF!*$C$110)</f>
        <v/>
      </c>
      <c r="HH110" s="11" t="str">
        <f ca="1">IF(History!HL$2="","",#REF!*$C$110)</f>
        <v/>
      </c>
      <c r="HI110" s="11" t="str">
        <f ca="1">IF(History!HM$2="","",#REF!*$C$110)</f>
        <v/>
      </c>
      <c r="HJ110" s="11" t="str">
        <f ca="1">IF(History!HN$2="","",#REF!*$C$110)</f>
        <v/>
      </c>
      <c r="HK110" s="11" t="str">
        <f ca="1">IF(History!HO$2="","",#REF!*$C$110)</f>
        <v/>
      </c>
      <c r="HL110" s="11" t="str">
        <f ca="1">IF(History!HP$2="","",#REF!*$C$110)</f>
        <v/>
      </c>
      <c r="HM110" s="11" t="str">
        <f ca="1">IF(History!HQ$2="","",#REF!*$C$110)</f>
        <v/>
      </c>
      <c r="HN110" s="11" t="str">
        <f ca="1">IF(History!HR$2="","",#REF!*$C$110)</f>
        <v/>
      </c>
      <c r="HO110" s="11" t="str">
        <f ca="1">IF(History!HS$2="","",#REF!*$C$110)</f>
        <v/>
      </c>
      <c r="HP110" s="11" t="str">
        <f ca="1">IF(History!HT$2="","",#REF!*$C$110)</f>
        <v/>
      </c>
      <c r="HQ110" s="11" t="str">
        <f ca="1">IF(History!HU$2="","",#REF!*$C$110)</f>
        <v/>
      </c>
      <c r="HR110" s="11" t="str">
        <f ca="1">IF(History!HV$2="","",#REF!*$C$110)</f>
        <v/>
      </c>
      <c r="HS110" s="11" t="str">
        <f ca="1">IF(History!HW$2="","",#REF!*$C$110)</f>
        <v/>
      </c>
      <c r="HT110" s="11" t="str">
        <f ca="1">IF(History!HX$2="","",#REF!*$C$110)</f>
        <v/>
      </c>
      <c r="HU110" s="11" t="str">
        <f ca="1">IF(History!HY$2="","",#REF!*$C$110)</f>
        <v/>
      </c>
      <c r="HV110" s="11" t="str">
        <f ca="1">IF(History!HZ$2="","",#REF!*$C$110)</f>
        <v/>
      </c>
      <c r="HW110" s="11" t="str">
        <f ca="1">IF(History!IA$2="","",#REF!*$C$110)</f>
        <v/>
      </c>
      <c r="HX110" s="11" t="str">
        <f ca="1">IF(History!IB$2="","",#REF!*$C$110)</f>
        <v/>
      </c>
      <c r="HY110" s="11" t="str">
        <f ca="1">IF(History!IC$2="","",#REF!*$C$110)</f>
        <v/>
      </c>
      <c r="HZ110" s="11" t="str">
        <f ca="1">IF(History!ID$2="","",#REF!*$C$110)</f>
        <v/>
      </c>
      <c r="IA110" s="11" t="str">
        <f ca="1">IF(History!IE$2="","",#REF!*$C$110)</f>
        <v/>
      </c>
      <c r="IB110" s="11" t="str">
        <f ca="1">IF(History!IF$2="","",#REF!*$C$110)</f>
        <v/>
      </c>
      <c r="IC110" s="11" t="str">
        <f ca="1">IF(History!IG$2="","",#REF!*$C$110)</f>
        <v/>
      </c>
      <c r="ID110" s="11" t="str">
        <f ca="1">IF(History!IH$2="","",#REF!*$C$110)</f>
        <v/>
      </c>
      <c r="IE110" s="11" t="str">
        <f ca="1">IF(History!II$2="","",#REF!*$C$110)</f>
        <v/>
      </c>
      <c r="IF110" s="11" t="str">
        <f ca="1">IF(History!IJ$2="","",#REF!*$C$110)</f>
        <v/>
      </c>
      <c r="IG110" s="11" t="str">
        <f ca="1">IF(History!IK$2="","",#REF!*$C$110)</f>
        <v/>
      </c>
      <c r="IH110" s="11" t="str">
        <f ca="1">IF(History!IL$2="","",#REF!*$C$110)</f>
        <v/>
      </c>
      <c r="II110" s="11" t="str">
        <f ca="1">IF(History!IM$2="","",#REF!*$C$110)</f>
        <v/>
      </c>
      <c r="IJ110" s="11" t="str">
        <f ca="1">IF(History!IN$2="","",#REF!*$C$110)</f>
        <v/>
      </c>
      <c r="IK110" s="11" t="str">
        <f ca="1">IF(History!IO$2="","",#REF!*$C$110)</f>
        <v/>
      </c>
      <c r="IL110" s="11" t="str">
        <f ca="1">IF(History!IP$2="","",#REF!*$C$110)</f>
        <v/>
      </c>
      <c r="IM110" s="11" t="str">
        <f ca="1">IF(History!IQ$2="","",#REF!*$C$110)</f>
        <v/>
      </c>
      <c r="IN110" s="11" t="str">
        <f ca="1">IF(History!IR$2="","",#REF!*$C$110)</f>
        <v/>
      </c>
      <c r="IO110" s="11" t="str">
        <f ca="1">IF(History!IS$2="","",#REF!*$C$110)</f>
        <v/>
      </c>
      <c r="IP110" s="11" t="str">
        <f ca="1">IF(History!IT$2="","",#REF!*$C$110)</f>
        <v/>
      </c>
      <c r="IQ110" s="11" t="str">
        <f ca="1">IF(History!IU$2="","",#REF!*$C$110)</f>
        <v/>
      </c>
      <c r="IR110" s="11" t="str">
        <f ca="1">IF(History!IV$2="","",#REF!*$C$110)</f>
        <v/>
      </c>
      <c r="IS110" s="11" t="str">
        <f ca="1">IF(History!IW$2="","",#REF!*$C$110)</f>
        <v/>
      </c>
      <c r="IT110" s="11" t="str">
        <f ca="1">IF(History!IX$2="","",#REF!*$C$110)</f>
        <v/>
      </c>
      <c r="IU110" s="11" t="str">
        <f ca="1">IF(History!IY$2="","",#REF!*$C$110)</f>
        <v/>
      </c>
      <c r="IV110" s="11" t="str">
        <f ca="1">IF(History!IZ$2="","",#REF!*$C$110)</f>
        <v/>
      </c>
      <c r="IW110" s="11" t="str">
        <f ca="1">IF(History!JA$2="","",#REF!*$C$110)</f>
        <v/>
      </c>
      <c r="IX110" s="11" t="str">
        <f ca="1">IF(History!JB$2="","",#REF!*$C$110)</f>
        <v/>
      </c>
      <c r="IY110" s="11" t="str">
        <f ca="1">IF(History!JC$2="","",#REF!*$C$110)</f>
        <v/>
      </c>
      <c r="IZ110" s="11" t="str">
        <f ca="1">IF(History!JD$2="","",#REF!*$C$110)</f>
        <v/>
      </c>
      <c r="JA110" s="11" t="str">
        <f ca="1">IF(History!JE$2="","",#REF!*$C$110)</f>
        <v/>
      </c>
      <c r="JB110" s="11" t="str">
        <f ca="1">IF(History!JF$2="","",#REF!*$C$110)</f>
        <v/>
      </c>
      <c r="JC110" s="11" t="str">
        <f ca="1">IF(History!JG$2="","",#REF!*$C$110)</f>
        <v/>
      </c>
      <c r="JD110" s="11" t="str">
        <f ca="1">IF(History!JH$2="","",#REF!*$C$110)</f>
        <v/>
      </c>
      <c r="JE110" s="11" t="str">
        <f ca="1">IF(History!JI$2="","",#REF!*$C$110)</f>
        <v/>
      </c>
      <c r="JF110" s="11" t="str">
        <f ca="1">IF(History!JJ$2="","",#REF!*$C$110)</f>
        <v/>
      </c>
      <c r="JG110" s="11" t="str">
        <f ca="1">IF(History!JK$2="","",#REF!*$C$110)</f>
        <v/>
      </c>
      <c r="JH110" s="11" t="str">
        <f ca="1">IF(History!JL$2="","",#REF!*$C$110)</f>
        <v/>
      </c>
      <c r="JI110" s="11" t="str">
        <f ca="1">IF(History!JM$2="","",#REF!*$C$110)</f>
        <v/>
      </c>
      <c r="JJ110" s="11" t="str">
        <f ca="1">IF(History!JN$2="","",#REF!*$C$110)</f>
        <v/>
      </c>
      <c r="JK110" s="11" t="str">
        <f ca="1">IF(History!JO$2="","",#REF!*$C$110)</f>
        <v/>
      </c>
      <c r="JL110" s="11" t="str">
        <f ca="1">IF(History!JP$2="","",#REF!*$C$110)</f>
        <v/>
      </c>
      <c r="JM110" s="11" t="str">
        <f ca="1">IF(History!JQ$2="","",#REF!*$C$110)</f>
        <v/>
      </c>
      <c r="JN110" s="11" t="str">
        <f ca="1">IF(History!JR$2="","",#REF!*$C$110)</f>
        <v/>
      </c>
      <c r="JO110" s="11" t="str">
        <f ca="1">IF(History!JS$2="","",#REF!*$C$110)</f>
        <v/>
      </c>
      <c r="JP110" s="11" t="str">
        <f ca="1">IF(History!JT$2="","",#REF!*$C$110)</f>
        <v/>
      </c>
      <c r="JQ110" s="11" t="str">
        <f ca="1">IF(History!JU$2="","",#REF!*$C$110)</f>
        <v/>
      </c>
      <c r="JR110" s="11" t="str">
        <f ca="1">IF(History!JV$2="","",#REF!*$C$110)</f>
        <v/>
      </c>
      <c r="JS110" s="11" t="str">
        <f ca="1">IF(History!JW$2="","",#REF!*$C$110)</f>
        <v/>
      </c>
      <c r="JT110" s="11" t="str">
        <f ca="1">IF(History!JX$2="","",#REF!*$C$110)</f>
        <v/>
      </c>
      <c r="JU110" s="11" t="str">
        <f ca="1">IF(History!JY$2="","",#REF!*$C$110)</f>
        <v/>
      </c>
      <c r="JV110" s="11" t="str">
        <f ca="1">IF(History!JZ$2="","",#REF!*$C$110)</f>
        <v/>
      </c>
      <c r="JW110" s="11" t="str">
        <f ca="1">IF(History!KA$2="","",#REF!*$C$110)</f>
        <v/>
      </c>
      <c r="JX110" s="11" t="str">
        <f ca="1">IF(History!KB$2="","",#REF!*$C$110)</f>
        <v/>
      </c>
      <c r="JY110" s="11" t="str">
        <f ca="1">IF(History!KC$2="","",#REF!*$C$110)</f>
        <v/>
      </c>
      <c r="JZ110" s="11" t="str">
        <f ca="1">IF(History!KD$2="","",#REF!*$C$110)</f>
        <v/>
      </c>
      <c r="KA110" s="11" t="str">
        <f ca="1">IF(History!KE$2="","",#REF!*$C$110)</f>
        <v/>
      </c>
      <c r="KB110" s="11" t="str">
        <f ca="1">IF(History!KF$2="","",#REF!*$C$110)</f>
        <v/>
      </c>
    </row>
    <row r="111" spans="1:288" ht="13">
      <c r="A111" s="18" t="s">
        <v>140</v>
      </c>
      <c r="B111" s="6" t="s">
        <v>187</v>
      </c>
      <c r="C111" s="26">
        <v>28</v>
      </c>
      <c r="D111" s="11" t="e">
        <f ca="1">IF(History!H$2="","",#REF!*$C$111)</f>
        <v>#REF!</v>
      </c>
      <c r="E111" s="11" t="e">
        <f ca="1">IF(History!I$2="","",#REF!*$C$111)</f>
        <v>#REF!</v>
      </c>
      <c r="F111" s="11" t="e">
        <f ca="1">IF(History!J$2="","",#REF!*$C$111)</f>
        <v>#REF!</v>
      </c>
      <c r="G111" s="11" t="e">
        <f ca="1">IF(History!K$2="","",#REF!*$C$111)</f>
        <v>#REF!</v>
      </c>
      <c r="H111" s="11" t="e">
        <f ca="1">IF(History!L$2="","",#REF!*$C$111)</f>
        <v>#REF!</v>
      </c>
      <c r="I111" s="11" t="e">
        <f ca="1">IF(History!M$2="","",#REF!*$C$111)</f>
        <v>#REF!</v>
      </c>
      <c r="J111" s="11" t="e">
        <f ca="1">IF(History!N$2="","",#REF!*$C$111)</f>
        <v>#REF!</v>
      </c>
      <c r="K111" s="11" t="e">
        <f ca="1">IF(History!O$2="","",#REF!*$C$111)</f>
        <v>#REF!</v>
      </c>
      <c r="L111" s="11" t="e">
        <f ca="1">IF(History!P$2="","",#REF!*$C$111)</f>
        <v>#REF!</v>
      </c>
      <c r="M111" s="11" t="e">
        <f ca="1">IF(History!Q$2="","",#REF!*$C$111)</f>
        <v>#REF!</v>
      </c>
      <c r="N111" s="11" t="e">
        <f ca="1">IF(History!R$2="","",#REF!*$C$111)</f>
        <v>#REF!</v>
      </c>
      <c r="O111" s="11" t="e">
        <f ca="1">IF(History!S$2="","",#REF!*$C$111)</f>
        <v>#REF!</v>
      </c>
      <c r="P111" s="11" t="e">
        <f ca="1">IF(History!T$2="","",#REF!*$C$111)</f>
        <v>#REF!</v>
      </c>
      <c r="Q111" s="11" t="e">
        <f ca="1">IF(History!U$2="","",#REF!*$C$111)</f>
        <v>#REF!</v>
      </c>
      <c r="R111" s="11" t="e">
        <f ca="1">IF(History!V$2="","",#REF!*$C$111)</f>
        <v>#REF!</v>
      </c>
      <c r="S111" s="11" t="e">
        <f ca="1">IF(History!W$2="","",#REF!*$C$111)</f>
        <v>#REF!</v>
      </c>
      <c r="T111" s="11" t="e">
        <f ca="1">IF(History!X$2="","",#REF!*$C$111)</f>
        <v>#REF!</v>
      </c>
      <c r="U111" s="11" t="e">
        <f ca="1">IF(History!Y$2="","",#REF!*$C$111)</f>
        <v>#REF!</v>
      </c>
      <c r="V111" s="11" t="e">
        <f ca="1">IF(History!Z$2="","",#REF!*$C$111)</f>
        <v>#REF!</v>
      </c>
      <c r="W111" s="11" t="e">
        <f ca="1">IF(History!AA$2="","",#REF!*$C$111)</f>
        <v>#REF!</v>
      </c>
      <c r="X111" s="11" t="e">
        <f ca="1">IF(History!AB$2="","",#REF!*$C$111)</f>
        <v>#REF!</v>
      </c>
      <c r="Y111" s="11" t="e">
        <f ca="1">IF(History!AC$2="","",#REF!*$C$111)</f>
        <v>#REF!</v>
      </c>
      <c r="Z111" s="11" t="e">
        <f ca="1">IF(History!AD$2="","",#REF!*$C$111)</f>
        <v>#REF!</v>
      </c>
      <c r="AA111" s="11" t="e">
        <f ca="1">IF(History!AE$2="","",#REF!*$C$111)</f>
        <v>#REF!</v>
      </c>
      <c r="AB111" s="11" t="e">
        <f ca="1">IF(History!AF$2="","",#REF!*$C$111)</f>
        <v>#REF!</v>
      </c>
      <c r="AC111" s="11" t="e">
        <f ca="1">IF(History!AG$2="","",#REF!*$C$111)</f>
        <v>#REF!</v>
      </c>
      <c r="AD111" s="11" t="e">
        <f ca="1">IF(History!AH$2="","",#REF!*$C$111)</f>
        <v>#REF!</v>
      </c>
      <c r="AE111" s="11" t="e">
        <f ca="1">IF(History!AI$2="","",#REF!*$C$111)</f>
        <v>#REF!</v>
      </c>
      <c r="AF111" s="11" t="e">
        <f ca="1">IF(History!AJ$2="","",#REF!*$C$111)</f>
        <v>#REF!</v>
      </c>
      <c r="AG111" s="11" t="e">
        <f ca="1">IF(History!AK$2="","",#REF!*$C$111)</f>
        <v>#REF!</v>
      </c>
      <c r="AH111" s="11" t="e">
        <f ca="1">IF(History!AL$2="","",#REF!*$C$111)</f>
        <v>#REF!</v>
      </c>
      <c r="AI111" s="11" t="e">
        <f ca="1">IF(History!AM$2="","",#REF!*$C$111)</f>
        <v>#REF!</v>
      </c>
      <c r="AJ111" s="11" t="e">
        <f ca="1">IF(History!AN$2="","",#REF!*$C$111)</f>
        <v>#REF!</v>
      </c>
      <c r="AK111" s="11" t="e">
        <f ca="1">IF(History!AO$2="","",#REF!*$C$111)</f>
        <v>#REF!</v>
      </c>
      <c r="AL111" s="11" t="e">
        <f ca="1">IF(History!AP$2="","",#REF!*$C$111)</f>
        <v>#REF!</v>
      </c>
      <c r="AM111" s="11" t="e">
        <f ca="1">IF(History!AQ$2="","",#REF!*$C$111)</f>
        <v>#REF!</v>
      </c>
      <c r="AN111" s="11" t="e">
        <f ca="1">IF(History!AR$2="","",#REF!*$C$111)</f>
        <v>#REF!</v>
      </c>
      <c r="AO111" s="11" t="e">
        <f ca="1">IF(History!AS$2="","",#REF!*$C$111)</f>
        <v>#REF!</v>
      </c>
      <c r="AP111" s="11" t="e">
        <f ca="1">IF(History!AT$2="","",#REF!*$C$111)</f>
        <v>#REF!</v>
      </c>
      <c r="AQ111" s="11" t="e">
        <f ca="1">IF(History!AU$2="","",#REF!*$C$111)</f>
        <v>#REF!</v>
      </c>
      <c r="AR111" s="11" t="e">
        <f ca="1">IF(History!AV$2="","",#REF!*$C$111)</f>
        <v>#REF!</v>
      </c>
      <c r="AS111" s="11" t="e">
        <f ca="1">IF(History!AW$2="","",#REF!*$C$111)</f>
        <v>#REF!</v>
      </c>
      <c r="AT111" s="11" t="e">
        <f ca="1">IF(History!AX$2="","",#REF!*$C$111)</f>
        <v>#REF!</v>
      </c>
      <c r="AU111" s="11" t="e">
        <f ca="1">IF(History!AY$2="","",#REF!*$C$111)</f>
        <v>#REF!</v>
      </c>
      <c r="AV111" s="11" t="e">
        <f ca="1">IF(History!AZ$2="","",#REF!*$C$111)</f>
        <v>#REF!</v>
      </c>
      <c r="AW111" s="11" t="e">
        <f ca="1">IF(History!BA$2="","",#REF!*$C$111)</f>
        <v>#REF!</v>
      </c>
      <c r="AX111" s="11" t="e">
        <f ca="1">IF(History!BB$2="","",#REF!*$C$111)</f>
        <v>#REF!</v>
      </c>
      <c r="AY111" s="11" t="e">
        <f ca="1">IF(History!BC$2="","",#REF!*$C$111)</f>
        <v>#REF!</v>
      </c>
      <c r="AZ111" s="11" t="e">
        <f ca="1">IF(History!BD$2="","",#REF!*$C$111)</f>
        <v>#REF!</v>
      </c>
      <c r="BA111" s="11" t="e">
        <f ca="1">IF(History!BE$2="","",#REF!*$C$111)</f>
        <v>#REF!</v>
      </c>
      <c r="BB111" s="11" t="e">
        <f ca="1">IF(History!BF$2="","",#REF!*$C$111)</f>
        <v>#REF!</v>
      </c>
      <c r="BC111" s="11" t="e">
        <f ca="1">IF(History!BG$2="","",#REF!*$C$111)</f>
        <v>#REF!</v>
      </c>
      <c r="BD111" s="11" t="e">
        <f ca="1">IF(History!BH$2="","",#REF!*$C$111)</f>
        <v>#REF!</v>
      </c>
      <c r="BE111" s="11" t="e">
        <f ca="1">IF(History!BI$2="","",#REF!*$C$111)</f>
        <v>#REF!</v>
      </c>
      <c r="BF111" s="11" t="e">
        <f ca="1">IF(History!BJ$2="","",#REF!*$C$111)</f>
        <v>#REF!</v>
      </c>
      <c r="BG111" s="11" t="e">
        <f ca="1">IF(History!BK$2="","",#REF!*$C$111)</f>
        <v>#REF!</v>
      </c>
      <c r="BH111" s="11" t="e">
        <f ca="1">IF(History!BL$2="","",#REF!*$C$111)</f>
        <v>#REF!</v>
      </c>
      <c r="BI111" s="11" t="e">
        <f ca="1">IF(History!BM$2="","",#REF!*$C$111)</f>
        <v>#REF!</v>
      </c>
      <c r="BJ111" s="11" t="e">
        <f ca="1">IF(History!BN$2="","",#REF!*$C$111)</f>
        <v>#REF!</v>
      </c>
      <c r="BK111" s="11" t="e">
        <f ca="1">IF(History!BO$2="","",#REF!*$C$111)</f>
        <v>#REF!</v>
      </c>
      <c r="BL111" s="11" t="e">
        <f ca="1">IF(History!BP$2="","",#REF!*$C$111)</f>
        <v>#REF!</v>
      </c>
      <c r="BM111" s="11" t="e">
        <f ca="1">IF(History!BQ$2="","",#REF!*$C$111)</f>
        <v>#REF!</v>
      </c>
      <c r="BN111" s="11" t="e">
        <f ca="1">IF(History!BR$2="","",#REF!*$C$111)</f>
        <v>#REF!</v>
      </c>
      <c r="BO111" s="11" t="e">
        <f ca="1">IF(History!BS$2="","",#REF!*$C$111)</f>
        <v>#REF!</v>
      </c>
      <c r="BP111" s="11" t="e">
        <f ca="1">IF(History!BT$2="","",#REF!*$C$111)</f>
        <v>#REF!</v>
      </c>
      <c r="BQ111" s="11" t="e">
        <f ca="1">IF(History!BU$2="","",#REF!*$C$111)</f>
        <v>#REF!</v>
      </c>
      <c r="BR111" s="11" t="e">
        <f ca="1">IF(History!BV$2="","",#REF!*$C$111)</f>
        <v>#REF!</v>
      </c>
      <c r="BS111" s="11" t="e">
        <f ca="1">IF(History!BW$2="","",#REF!*$C$111)</f>
        <v>#REF!</v>
      </c>
      <c r="BT111" s="11" t="e">
        <f ca="1">IF(History!BX$2="","",#REF!*$C$111)</f>
        <v>#REF!</v>
      </c>
      <c r="BU111" s="11" t="e">
        <f ca="1">IF(History!BY$2="","",#REF!*$C$111)</f>
        <v>#REF!</v>
      </c>
      <c r="BV111" s="11" t="e">
        <f ca="1">IF(History!BZ$2="","",#REF!*$C$111)</f>
        <v>#REF!</v>
      </c>
      <c r="BW111" s="11" t="e">
        <f ca="1">IF(History!CA$2="","",#REF!*$C$111)</f>
        <v>#REF!</v>
      </c>
      <c r="BX111" s="11" t="e">
        <f ca="1">IF(History!CB$2="","",#REF!*$C$111)</f>
        <v>#REF!</v>
      </c>
      <c r="BY111" s="11" t="e">
        <f ca="1">IF(History!CC$2="","",#REF!*$C$111)</f>
        <v>#REF!</v>
      </c>
      <c r="BZ111" s="11" t="e">
        <f ca="1">IF(History!CD$2="","",#REF!*$C$111)</f>
        <v>#REF!</v>
      </c>
      <c r="CA111" s="11" t="e">
        <f ca="1">IF(History!CE$2="","",#REF!*$C$111)</f>
        <v>#REF!</v>
      </c>
      <c r="CB111" s="11" t="e">
        <f ca="1">IF(History!CF$2="","",#REF!*$C$111)</f>
        <v>#REF!</v>
      </c>
      <c r="CC111" s="11" t="e">
        <f ca="1">IF(History!CG$2="","",#REF!*$C$111)</f>
        <v>#REF!</v>
      </c>
      <c r="CD111" s="11" t="e">
        <f ca="1">IF(History!CH$2="","",#REF!*$C$111)</f>
        <v>#REF!</v>
      </c>
      <c r="CE111" s="11" t="e">
        <f ca="1">IF(History!CI$2="","",#REF!*$C$111)</f>
        <v>#REF!</v>
      </c>
      <c r="CF111" s="11" t="str">
        <f ca="1">IF(History!CJ$2="","",#REF!*$C$111)</f>
        <v/>
      </c>
      <c r="CG111" s="11" t="str">
        <f ca="1">IF(History!CK$2="","",#REF!*$C$111)</f>
        <v/>
      </c>
      <c r="CH111" s="11" t="str">
        <f ca="1">IF(History!CL$2="","",#REF!*$C$111)</f>
        <v/>
      </c>
      <c r="CI111" s="11" t="str">
        <f ca="1">IF(History!CM$2="","",#REF!*$C$111)</f>
        <v/>
      </c>
      <c r="CJ111" s="11" t="str">
        <f ca="1">IF(History!CN$2="","",#REF!*$C$111)</f>
        <v/>
      </c>
      <c r="CK111" s="11" t="str">
        <f ca="1">IF(History!CO$2="","",#REF!*$C$111)</f>
        <v/>
      </c>
      <c r="CL111" s="11" t="str">
        <f ca="1">IF(History!CP$2="","",#REF!*$C$111)</f>
        <v/>
      </c>
      <c r="CM111" s="11" t="str">
        <f ca="1">IF(History!CQ$2="","",#REF!*$C$111)</f>
        <v/>
      </c>
      <c r="CN111" s="11" t="str">
        <f ca="1">IF(History!CR$2="","",#REF!*$C$111)</f>
        <v/>
      </c>
      <c r="CO111" s="11" t="str">
        <f ca="1">IF(History!CS$2="","",#REF!*$C$111)</f>
        <v/>
      </c>
      <c r="CP111" s="11" t="str">
        <f ca="1">IF(History!CT$2="","",#REF!*$C$111)</f>
        <v/>
      </c>
      <c r="CQ111" s="11" t="str">
        <f ca="1">IF(History!CU$2="","",#REF!*$C$111)</f>
        <v/>
      </c>
      <c r="CR111" s="11" t="str">
        <f ca="1">IF(History!CV$2="","",#REF!*$C$111)</f>
        <v/>
      </c>
      <c r="CS111" s="11" t="str">
        <f ca="1">IF(History!CW$2="","",#REF!*$C$111)</f>
        <v/>
      </c>
      <c r="CT111" s="11" t="str">
        <f ca="1">IF(History!CX$2="","",#REF!*$C$111)</f>
        <v/>
      </c>
      <c r="CU111" s="11" t="str">
        <f ca="1">IF(History!CY$2="","",#REF!*$C$111)</f>
        <v/>
      </c>
      <c r="CV111" s="11" t="str">
        <f ca="1">IF(History!CZ$2="","",#REF!*$C$111)</f>
        <v/>
      </c>
      <c r="CW111" s="11" t="str">
        <f ca="1">IF(History!DA$2="","",#REF!*$C$111)</f>
        <v/>
      </c>
      <c r="CX111" s="11" t="str">
        <f ca="1">IF(History!DB$2="","",#REF!*$C$111)</f>
        <v/>
      </c>
      <c r="CY111" s="11" t="str">
        <f ca="1">IF(History!DC$2="","",#REF!*$C$111)</f>
        <v/>
      </c>
      <c r="CZ111" s="11" t="str">
        <f ca="1">IF(History!DD$2="","",#REF!*$C$111)</f>
        <v/>
      </c>
      <c r="DA111" s="11" t="str">
        <f ca="1">IF(History!DE$2="","",#REF!*$C$111)</f>
        <v/>
      </c>
      <c r="DB111" s="11" t="str">
        <f ca="1">IF(History!DF$2="","",#REF!*$C$111)</f>
        <v/>
      </c>
      <c r="DC111" s="11" t="str">
        <f ca="1">IF(History!DG$2="","",#REF!*$C$111)</f>
        <v/>
      </c>
      <c r="DD111" s="11" t="str">
        <f ca="1">IF(History!DH$2="","",#REF!*$C$111)</f>
        <v/>
      </c>
      <c r="DE111" s="11" t="str">
        <f ca="1">IF(History!DI$2="","",#REF!*$C$111)</f>
        <v/>
      </c>
      <c r="DF111" s="11" t="str">
        <f ca="1">IF(History!DJ$2="","",#REF!*$C$111)</f>
        <v/>
      </c>
      <c r="DG111" s="11" t="str">
        <f ca="1">IF(History!DK$2="","",#REF!*$C$111)</f>
        <v/>
      </c>
      <c r="DH111" s="11" t="str">
        <f ca="1">IF(History!DL$2="","",#REF!*$C$111)</f>
        <v/>
      </c>
      <c r="DI111" s="11" t="str">
        <f ca="1">IF(History!DM$2="","",#REF!*$C$111)</f>
        <v/>
      </c>
      <c r="DJ111" s="11" t="str">
        <f ca="1">IF(History!DN$2="","",#REF!*$C$111)</f>
        <v/>
      </c>
      <c r="DK111" s="11" t="str">
        <f ca="1">IF(History!DO$2="","",#REF!*$C$111)</f>
        <v/>
      </c>
      <c r="DL111" s="11" t="str">
        <f ca="1">IF(History!DP$2="","",#REF!*$C$111)</f>
        <v/>
      </c>
      <c r="DM111" s="11" t="str">
        <f ca="1">IF(History!DQ$2="","",#REF!*$C$111)</f>
        <v/>
      </c>
      <c r="DN111" s="11" t="str">
        <f ca="1">IF(History!DR$2="","",#REF!*$C$111)</f>
        <v/>
      </c>
      <c r="DO111" s="11" t="str">
        <f ca="1">IF(History!DS$2="","",#REF!*$C$111)</f>
        <v/>
      </c>
      <c r="DP111" s="11" t="str">
        <f ca="1">IF(History!DT$2="","",#REF!*$C$111)</f>
        <v/>
      </c>
      <c r="DQ111" s="11" t="str">
        <f ca="1">IF(History!DU$2="","",#REF!*$C$111)</f>
        <v/>
      </c>
      <c r="DR111" s="11" t="str">
        <f ca="1">IF(History!DV$2="","",#REF!*$C$111)</f>
        <v/>
      </c>
      <c r="DS111" s="11" t="str">
        <f ca="1">IF(History!DW$2="","",#REF!*$C$111)</f>
        <v/>
      </c>
      <c r="DT111" s="11" t="str">
        <f ca="1">IF(History!DX$2="","",#REF!*$C$111)</f>
        <v/>
      </c>
      <c r="DU111" s="11" t="str">
        <f ca="1">IF(History!DY$2="","",#REF!*$C$111)</f>
        <v/>
      </c>
      <c r="DV111" s="11" t="str">
        <f ca="1">IF(History!DZ$2="","",#REF!*$C$111)</f>
        <v/>
      </c>
      <c r="DW111" s="11" t="str">
        <f ca="1">IF(History!EA$2="","",#REF!*$C$111)</f>
        <v/>
      </c>
      <c r="DX111" s="11" t="str">
        <f ca="1">IF(History!EB$2="","",#REF!*$C$111)</f>
        <v/>
      </c>
      <c r="DY111" s="11" t="str">
        <f ca="1">IF(History!EC$2="","",#REF!*$C$111)</f>
        <v/>
      </c>
      <c r="DZ111" s="11" t="str">
        <f ca="1">IF(History!ED$2="","",#REF!*$C$111)</f>
        <v/>
      </c>
      <c r="EA111" s="11" t="str">
        <f ca="1">IF(History!EE$2="","",#REF!*$C$111)</f>
        <v/>
      </c>
      <c r="EB111" s="11" t="str">
        <f ca="1">IF(History!EF$2="","",#REF!*$C$111)</f>
        <v/>
      </c>
      <c r="EC111" s="11" t="str">
        <f ca="1">IF(History!EG$2="","",#REF!*$C$111)</f>
        <v/>
      </c>
      <c r="ED111" s="11" t="str">
        <f ca="1">IF(History!EH$2="","",#REF!*$C$111)</f>
        <v/>
      </c>
      <c r="EE111" s="11" t="str">
        <f ca="1">IF(History!EI$2="","",#REF!*$C$111)</f>
        <v/>
      </c>
      <c r="EF111" s="11" t="str">
        <f ca="1">IF(History!EJ$2="","",#REF!*$C$111)</f>
        <v/>
      </c>
      <c r="EG111" s="11" t="str">
        <f ca="1">IF(History!EK$2="","",#REF!*$C$111)</f>
        <v/>
      </c>
      <c r="EH111" s="11" t="str">
        <f ca="1">IF(History!EL$2="","",#REF!*$C$111)</f>
        <v/>
      </c>
      <c r="EI111" s="11" t="str">
        <f ca="1">IF(History!EM$2="","",#REF!*$C$111)</f>
        <v/>
      </c>
      <c r="EJ111" s="11" t="str">
        <f ca="1">IF(History!EN$2="","",#REF!*$C$111)</f>
        <v/>
      </c>
      <c r="EK111" s="11" t="str">
        <f ca="1">IF(History!EO$2="","",#REF!*$C$111)</f>
        <v/>
      </c>
      <c r="EL111" s="11" t="str">
        <f ca="1">IF(History!EP$2="","",#REF!*$C$111)</f>
        <v/>
      </c>
      <c r="EM111" s="11" t="str">
        <f ca="1">IF(History!EQ$2="","",#REF!*$C$111)</f>
        <v/>
      </c>
      <c r="EN111" s="11" t="str">
        <f ca="1">IF(History!ER$2="","",#REF!*$C$111)</f>
        <v/>
      </c>
      <c r="EO111" s="11" t="str">
        <f ca="1">IF(History!ES$2="","",#REF!*$C$111)</f>
        <v/>
      </c>
      <c r="EP111" s="11" t="str">
        <f ca="1">IF(History!ET$2="","",#REF!*$C$111)</f>
        <v/>
      </c>
      <c r="EQ111" s="11" t="str">
        <f ca="1">IF(History!EU$2="","",#REF!*$C$111)</f>
        <v/>
      </c>
      <c r="ER111" s="11" t="str">
        <f ca="1">IF(History!EV$2="","",#REF!*$C$111)</f>
        <v/>
      </c>
      <c r="ES111" s="11" t="str">
        <f ca="1">IF(History!EW$2="","",#REF!*$C$111)</f>
        <v/>
      </c>
      <c r="ET111" s="11" t="str">
        <f ca="1">IF(History!EX$2="","",#REF!*$C$111)</f>
        <v/>
      </c>
      <c r="EU111" s="11" t="str">
        <f ca="1">IF(History!EY$2="","",#REF!*$C$111)</f>
        <v/>
      </c>
      <c r="EV111" s="11" t="str">
        <f ca="1">IF(History!EZ$2="","",#REF!*$C$111)</f>
        <v/>
      </c>
      <c r="EW111" s="11" t="str">
        <f ca="1">IF(History!FA$2="","",#REF!*$C$111)</f>
        <v/>
      </c>
      <c r="EX111" s="11" t="str">
        <f ca="1">IF(History!FB$2="","",#REF!*$C$111)</f>
        <v/>
      </c>
      <c r="EY111" s="11" t="str">
        <f ca="1">IF(History!FC$2="","",#REF!*$C$111)</f>
        <v/>
      </c>
      <c r="EZ111" s="11" t="str">
        <f ca="1">IF(History!FD$2="","",#REF!*$C$111)</f>
        <v/>
      </c>
      <c r="FA111" s="11" t="str">
        <f ca="1">IF(History!FE$2="","",#REF!*$C$111)</f>
        <v/>
      </c>
      <c r="FB111" s="11" t="str">
        <f ca="1">IF(History!FF$2="","",#REF!*$C$111)</f>
        <v/>
      </c>
      <c r="FC111" s="11" t="str">
        <f ca="1">IF(History!FG$2="","",#REF!*$C$111)</f>
        <v/>
      </c>
      <c r="FD111" s="11" t="str">
        <f ca="1">IF(History!FH$2="","",#REF!*$C$111)</f>
        <v/>
      </c>
      <c r="FE111" s="11" t="str">
        <f ca="1">IF(History!FI$2="","",#REF!*$C$111)</f>
        <v/>
      </c>
      <c r="FF111" s="11" t="str">
        <f ca="1">IF(History!FJ$2="","",#REF!*$C$111)</f>
        <v/>
      </c>
      <c r="FG111" s="11" t="str">
        <f ca="1">IF(History!FK$2="","",#REF!*$C$111)</f>
        <v/>
      </c>
      <c r="FH111" s="11" t="str">
        <f ca="1">IF(History!FL$2="","",#REF!*$C$111)</f>
        <v/>
      </c>
      <c r="FI111" s="11" t="str">
        <f ca="1">IF(History!FM$2="","",#REF!*$C$111)</f>
        <v/>
      </c>
      <c r="FJ111" s="11" t="str">
        <f ca="1">IF(History!FN$2="","",#REF!*$C$111)</f>
        <v/>
      </c>
      <c r="FK111" s="11" t="str">
        <f ca="1">IF(History!FO$2="","",#REF!*$C$111)</f>
        <v/>
      </c>
      <c r="FL111" s="11" t="str">
        <f ca="1">IF(History!FP$2="","",#REF!*$C$111)</f>
        <v/>
      </c>
      <c r="FM111" s="11" t="str">
        <f ca="1">IF(History!FQ$2="","",#REF!*$C$111)</f>
        <v/>
      </c>
      <c r="FN111" s="11" t="str">
        <f ca="1">IF(History!FR$2="","",#REF!*$C$111)</f>
        <v/>
      </c>
      <c r="FO111" s="11" t="str">
        <f ca="1">IF(History!FS$2="","",#REF!*$C$111)</f>
        <v/>
      </c>
      <c r="FP111" s="11" t="str">
        <f ca="1">IF(History!FT$2="","",#REF!*$C$111)</f>
        <v/>
      </c>
      <c r="FQ111" s="11" t="str">
        <f ca="1">IF(History!FU$2="","",#REF!*$C$111)</f>
        <v/>
      </c>
      <c r="FR111" s="11" t="str">
        <f ca="1">IF(History!FV$2="","",#REF!*$C$111)</f>
        <v/>
      </c>
      <c r="FS111" s="11" t="str">
        <f ca="1">IF(History!FW$2="","",#REF!*$C$111)</f>
        <v/>
      </c>
      <c r="FT111" s="11" t="str">
        <f ca="1">IF(History!FX$2="","",#REF!*$C$111)</f>
        <v/>
      </c>
      <c r="FU111" s="11" t="str">
        <f ca="1">IF(History!FY$2="","",#REF!*$C$111)</f>
        <v/>
      </c>
      <c r="FV111" s="11" t="str">
        <f ca="1">IF(History!FZ$2="","",#REF!*$C$111)</f>
        <v/>
      </c>
      <c r="FW111" s="11" t="str">
        <f ca="1">IF(History!GA$2="","",#REF!*$C$111)</f>
        <v/>
      </c>
      <c r="FX111" s="11" t="str">
        <f ca="1">IF(History!GB$2="","",#REF!*$C$111)</f>
        <v/>
      </c>
      <c r="FY111" s="11" t="str">
        <f ca="1">IF(History!GC$2="","",#REF!*$C$111)</f>
        <v/>
      </c>
      <c r="FZ111" s="11" t="str">
        <f ca="1">IF(History!GD$2="","",#REF!*$C$111)</f>
        <v/>
      </c>
      <c r="GA111" s="11" t="str">
        <f ca="1">IF(History!GE$2="","",#REF!*$C$111)</f>
        <v/>
      </c>
      <c r="GB111" s="11" t="str">
        <f ca="1">IF(History!GF$2="","",#REF!*$C$111)</f>
        <v/>
      </c>
      <c r="GC111" s="11" t="str">
        <f ca="1">IF(History!GG$2="","",#REF!*$C$111)</f>
        <v/>
      </c>
      <c r="GD111" s="11" t="str">
        <f ca="1">IF(History!GH$2="","",#REF!*$C$111)</f>
        <v/>
      </c>
      <c r="GE111" s="11" t="str">
        <f ca="1">IF(History!GI$2="","",#REF!*$C$111)</f>
        <v/>
      </c>
      <c r="GF111" s="11" t="str">
        <f ca="1">IF(History!GJ$2="","",#REF!*$C$111)</f>
        <v/>
      </c>
      <c r="GG111" s="11" t="str">
        <f ca="1">IF(History!GK$2="","",#REF!*$C$111)</f>
        <v/>
      </c>
      <c r="GH111" s="11" t="str">
        <f ca="1">IF(History!GL$2="","",#REF!*$C$111)</f>
        <v/>
      </c>
      <c r="GI111" s="11" t="str">
        <f ca="1">IF(History!GM$2="","",#REF!*$C$111)</f>
        <v/>
      </c>
      <c r="GJ111" s="11" t="str">
        <f ca="1">IF(History!GN$2="","",#REF!*$C$111)</f>
        <v/>
      </c>
      <c r="GK111" s="11" t="str">
        <f ca="1">IF(History!GO$2="","",#REF!*$C$111)</f>
        <v/>
      </c>
      <c r="GL111" s="11" t="str">
        <f ca="1">IF(History!GP$2="","",#REF!*$C$111)</f>
        <v/>
      </c>
      <c r="GM111" s="11" t="str">
        <f ca="1">IF(History!GQ$2="","",#REF!*$C$111)</f>
        <v/>
      </c>
      <c r="GN111" s="11" t="str">
        <f ca="1">IF(History!GR$2="","",#REF!*$C$111)</f>
        <v/>
      </c>
      <c r="GO111" s="11" t="str">
        <f ca="1">IF(History!GS$2="","",#REF!*$C$111)</f>
        <v/>
      </c>
      <c r="GP111" s="11" t="str">
        <f ca="1">IF(History!GT$2="","",#REF!*$C$111)</f>
        <v/>
      </c>
      <c r="GQ111" s="11" t="str">
        <f ca="1">IF(History!GU$2="","",#REF!*$C$111)</f>
        <v/>
      </c>
      <c r="GR111" s="11" t="str">
        <f ca="1">IF(History!GV$2="","",#REF!*$C$111)</f>
        <v/>
      </c>
      <c r="GS111" s="11" t="str">
        <f ca="1">IF(History!GW$2="","",#REF!*$C$111)</f>
        <v/>
      </c>
      <c r="GT111" s="11" t="str">
        <f ca="1">IF(History!GX$2="","",#REF!*$C$111)</f>
        <v/>
      </c>
      <c r="GU111" s="11" t="str">
        <f ca="1">IF(History!GY$2="","",#REF!*$C$111)</f>
        <v/>
      </c>
      <c r="GV111" s="11" t="str">
        <f ca="1">IF(History!GZ$2="","",#REF!*$C$111)</f>
        <v/>
      </c>
      <c r="GW111" s="11" t="str">
        <f ca="1">IF(History!HA$2="","",#REF!*$C$111)</f>
        <v/>
      </c>
      <c r="GX111" s="11" t="str">
        <f ca="1">IF(History!HB$2="","",#REF!*$C$111)</f>
        <v/>
      </c>
      <c r="GY111" s="11" t="str">
        <f ca="1">IF(History!HC$2="","",#REF!*$C$111)</f>
        <v/>
      </c>
      <c r="GZ111" s="11" t="str">
        <f ca="1">IF(History!HD$2="","",#REF!*$C$111)</f>
        <v/>
      </c>
      <c r="HA111" s="11" t="str">
        <f ca="1">IF(History!HE$2="","",#REF!*$C$111)</f>
        <v/>
      </c>
      <c r="HB111" s="11" t="str">
        <f ca="1">IF(History!HF$2="","",#REF!*$C$111)</f>
        <v/>
      </c>
      <c r="HC111" s="11" t="str">
        <f ca="1">IF(History!HG$2="","",#REF!*$C$111)</f>
        <v/>
      </c>
      <c r="HD111" s="11" t="str">
        <f ca="1">IF(History!HH$2="","",#REF!*$C$111)</f>
        <v/>
      </c>
      <c r="HE111" s="11" t="str">
        <f ca="1">IF(History!HI$2="","",#REF!*$C$111)</f>
        <v/>
      </c>
      <c r="HF111" s="11" t="str">
        <f ca="1">IF(History!HJ$2="","",#REF!*$C$111)</f>
        <v/>
      </c>
      <c r="HG111" s="11" t="str">
        <f ca="1">IF(History!HK$2="","",#REF!*$C$111)</f>
        <v/>
      </c>
      <c r="HH111" s="11" t="str">
        <f ca="1">IF(History!HL$2="","",#REF!*$C$111)</f>
        <v/>
      </c>
      <c r="HI111" s="11" t="str">
        <f ca="1">IF(History!HM$2="","",#REF!*$C$111)</f>
        <v/>
      </c>
      <c r="HJ111" s="11" t="str">
        <f ca="1">IF(History!HN$2="","",#REF!*$C$111)</f>
        <v/>
      </c>
      <c r="HK111" s="11" t="str">
        <f ca="1">IF(History!HO$2="","",#REF!*$C$111)</f>
        <v/>
      </c>
      <c r="HL111" s="11" t="str">
        <f ca="1">IF(History!HP$2="","",#REF!*$C$111)</f>
        <v/>
      </c>
      <c r="HM111" s="11" t="str">
        <f ca="1">IF(History!HQ$2="","",#REF!*$C$111)</f>
        <v/>
      </c>
      <c r="HN111" s="11" t="str">
        <f ca="1">IF(History!HR$2="","",#REF!*$C$111)</f>
        <v/>
      </c>
      <c r="HO111" s="11" t="str">
        <f ca="1">IF(History!HS$2="","",#REF!*$C$111)</f>
        <v/>
      </c>
      <c r="HP111" s="11" t="str">
        <f ca="1">IF(History!HT$2="","",#REF!*$C$111)</f>
        <v/>
      </c>
      <c r="HQ111" s="11" t="str">
        <f ca="1">IF(History!HU$2="","",#REF!*$C$111)</f>
        <v/>
      </c>
      <c r="HR111" s="11" t="str">
        <f ca="1">IF(History!HV$2="","",#REF!*$C$111)</f>
        <v/>
      </c>
      <c r="HS111" s="11" t="str">
        <f ca="1">IF(History!HW$2="","",#REF!*$C$111)</f>
        <v/>
      </c>
      <c r="HT111" s="11" t="str">
        <f ca="1">IF(History!HX$2="","",#REF!*$C$111)</f>
        <v/>
      </c>
      <c r="HU111" s="11" t="str">
        <f ca="1">IF(History!HY$2="","",#REF!*$C$111)</f>
        <v/>
      </c>
      <c r="HV111" s="11" t="str">
        <f ca="1">IF(History!HZ$2="","",#REF!*$C$111)</f>
        <v/>
      </c>
      <c r="HW111" s="11" t="str">
        <f ca="1">IF(History!IA$2="","",#REF!*$C$111)</f>
        <v/>
      </c>
      <c r="HX111" s="11" t="str">
        <f ca="1">IF(History!IB$2="","",#REF!*$C$111)</f>
        <v/>
      </c>
      <c r="HY111" s="11" t="str">
        <f ca="1">IF(History!IC$2="","",#REF!*$C$111)</f>
        <v/>
      </c>
      <c r="HZ111" s="11" t="str">
        <f ca="1">IF(History!ID$2="","",#REF!*$C$111)</f>
        <v/>
      </c>
      <c r="IA111" s="11" t="str">
        <f ca="1">IF(History!IE$2="","",#REF!*$C$111)</f>
        <v/>
      </c>
      <c r="IB111" s="11" t="str">
        <f ca="1">IF(History!IF$2="","",#REF!*$C$111)</f>
        <v/>
      </c>
      <c r="IC111" s="11" t="str">
        <f ca="1">IF(History!IG$2="","",#REF!*$C$111)</f>
        <v/>
      </c>
      <c r="ID111" s="11" t="str">
        <f ca="1">IF(History!IH$2="","",#REF!*$C$111)</f>
        <v/>
      </c>
      <c r="IE111" s="11" t="str">
        <f ca="1">IF(History!II$2="","",#REF!*$C$111)</f>
        <v/>
      </c>
      <c r="IF111" s="11" t="str">
        <f ca="1">IF(History!IJ$2="","",#REF!*$C$111)</f>
        <v/>
      </c>
      <c r="IG111" s="11" t="str">
        <f ca="1">IF(History!IK$2="","",#REF!*$C$111)</f>
        <v/>
      </c>
      <c r="IH111" s="11" t="str">
        <f ca="1">IF(History!IL$2="","",#REF!*$C$111)</f>
        <v/>
      </c>
      <c r="II111" s="11" t="str">
        <f ca="1">IF(History!IM$2="","",#REF!*$C$111)</f>
        <v/>
      </c>
      <c r="IJ111" s="11" t="str">
        <f ca="1">IF(History!IN$2="","",#REF!*$C$111)</f>
        <v/>
      </c>
      <c r="IK111" s="11" t="str">
        <f ca="1">IF(History!IO$2="","",#REF!*$C$111)</f>
        <v/>
      </c>
      <c r="IL111" s="11" t="str">
        <f ca="1">IF(History!IP$2="","",#REF!*$C$111)</f>
        <v/>
      </c>
      <c r="IM111" s="11" t="str">
        <f ca="1">IF(History!IQ$2="","",#REF!*$C$111)</f>
        <v/>
      </c>
      <c r="IN111" s="11" t="str">
        <f ca="1">IF(History!IR$2="","",#REF!*$C$111)</f>
        <v/>
      </c>
      <c r="IO111" s="11" t="str">
        <f ca="1">IF(History!IS$2="","",#REF!*$C$111)</f>
        <v/>
      </c>
      <c r="IP111" s="11" t="str">
        <f ca="1">IF(History!IT$2="","",#REF!*$C$111)</f>
        <v/>
      </c>
      <c r="IQ111" s="11" t="str">
        <f ca="1">IF(History!IU$2="","",#REF!*$C$111)</f>
        <v/>
      </c>
      <c r="IR111" s="11" t="str">
        <f ca="1">IF(History!IV$2="","",#REF!*$C$111)</f>
        <v/>
      </c>
      <c r="IS111" s="11" t="str">
        <f ca="1">IF(History!IW$2="","",#REF!*$C$111)</f>
        <v/>
      </c>
      <c r="IT111" s="11" t="str">
        <f ca="1">IF(History!IX$2="","",#REF!*$C$111)</f>
        <v/>
      </c>
      <c r="IU111" s="11" t="str">
        <f ca="1">IF(History!IY$2="","",#REF!*$C$111)</f>
        <v/>
      </c>
      <c r="IV111" s="11" t="str">
        <f ca="1">IF(History!IZ$2="","",#REF!*$C$111)</f>
        <v/>
      </c>
      <c r="IW111" s="11" t="str">
        <f ca="1">IF(History!JA$2="","",#REF!*$C$111)</f>
        <v/>
      </c>
      <c r="IX111" s="11" t="str">
        <f ca="1">IF(History!JB$2="","",#REF!*$C$111)</f>
        <v/>
      </c>
      <c r="IY111" s="11" t="str">
        <f ca="1">IF(History!JC$2="","",#REF!*$C$111)</f>
        <v/>
      </c>
      <c r="IZ111" s="11" t="str">
        <f ca="1">IF(History!JD$2="","",#REF!*$C$111)</f>
        <v/>
      </c>
      <c r="JA111" s="11" t="str">
        <f ca="1">IF(History!JE$2="","",#REF!*$C$111)</f>
        <v/>
      </c>
      <c r="JB111" s="11" t="str">
        <f ca="1">IF(History!JF$2="","",#REF!*$C$111)</f>
        <v/>
      </c>
      <c r="JC111" s="11" t="str">
        <f ca="1">IF(History!JG$2="","",#REF!*$C$111)</f>
        <v/>
      </c>
      <c r="JD111" s="11" t="str">
        <f ca="1">IF(History!JH$2="","",#REF!*$C$111)</f>
        <v/>
      </c>
      <c r="JE111" s="11" t="str">
        <f ca="1">IF(History!JI$2="","",#REF!*$C$111)</f>
        <v/>
      </c>
      <c r="JF111" s="11" t="str">
        <f ca="1">IF(History!JJ$2="","",#REF!*$C$111)</f>
        <v/>
      </c>
      <c r="JG111" s="11" t="str">
        <f ca="1">IF(History!JK$2="","",#REF!*$C$111)</f>
        <v/>
      </c>
      <c r="JH111" s="11" t="str">
        <f ca="1">IF(History!JL$2="","",#REF!*$C$111)</f>
        <v/>
      </c>
      <c r="JI111" s="11" t="str">
        <f ca="1">IF(History!JM$2="","",#REF!*$C$111)</f>
        <v/>
      </c>
      <c r="JJ111" s="11" t="str">
        <f ca="1">IF(History!JN$2="","",#REF!*$C$111)</f>
        <v/>
      </c>
      <c r="JK111" s="11" t="str">
        <f ca="1">IF(History!JO$2="","",#REF!*$C$111)</f>
        <v/>
      </c>
      <c r="JL111" s="11" t="str">
        <f ca="1">IF(History!JP$2="","",#REF!*$C$111)</f>
        <v/>
      </c>
      <c r="JM111" s="11" t="str">
        <f ca="1">IF(History!JQ$2="","",#REF!*$C$111)</f>
        <v/>
      </c>
      <c r="JN111" s="11" t="str">
        <f ca="1">IF(History!JR$2="","",#REF!*$C$111)</f>
        <v/>
      </c>
      <c r="JO111" s="11" t="str">
        <f ca="1">IF(History!JS$2="","",#REF!*$C$111)</f>
        <v/>
      </c>
      <c r="JP111" s="11" t="str">
        <f ca="1">IF(History!JT$2="","",#REF!*$C$111)</f>
        <v/>
      </c>
      <c r="JQ111" s="11" t="str">
        <f ca="1">IF(History!JU$2="","",#REF!*$C$111)</f>
        <v/>
      </c>
      <c r="JR111" s="11" t="str">
        <f ca="1">IF(History!JV$2="","",#REF!*$C$111)</f>
        <v/>
      </c>
      <c r="JS111" s="11" t="str">
        <f ca="1">IF(History!JW$2="","",#REF!*$C$111)</f>
        <v/>
      </c>
      <c r="JT111" s="11" t="str">
        <f ca="1">IF(History!JX$2="","",#REF!*$C$111)</f>
        <v/>
      </c>
      <c r="JU111" s="11" t="str">
        <f ca="1">IF(History!JY$2="","",#REF!*$C$111)</f>
        <v/>
      </c>
      <c r="JV111" s="11" t="str">
        <f ca="1">IF(History!JZ$2="","",#REF!*$C$111)</f>
        <v/>
      </c>
      <c r="JW111" s="11" t="str">
        <f ca="1">IF(History!KA$2="","",#REF!*$C$111)</f>
        <v/>
      </c>
      <c r="JX111" s="11" t="str">
        <f ca="1">IF(History!KB$2="","",#REF!*$C$111)</f>
        <v/>
      </c>
      <c r="JY111" s="11" t="str">
        <f ca="1">IF(History!KC$2="","",#REF!*$C$111)</f>
        <v/>
      </c>
      <c r="JZ111" s="11" t="str">
        <f ca="1">IF(History!KD$2="","",#REF!*$C$111)</f>
        <v/>
      </c>
      <c r="KA111" s="11" t="str">
        <f ca="1">IF(History!KE$2="","",#REF!*$C$111)</f>
        <v/>
      </c>
      <c r="KB111" s="11" t="str">
        <f ca="1">IF(History!KF$2="","",#REF!*$C$111)</f>
        <v/>
      </c>
    </row>
    <row r="112" spans="1:288" ht="13">
      <c r="A112" s="18" t="s">
        <v>140</v>
      </c>
      <c r="B112" s="6" t="s">
        <v>188</v>
      </c>
      <c r="C112" s="26">
        <v>18</v>
      </c>
      <c r="D112" s="11" t="e">
        <f ca="1">IF(History!H$2="","",#REF!*$C$112)</f>
        <v>#REF!</v>
      </c>
      <c r="E112" s="11" t="e">
        <f ca="1">IF(History!I$2="","",#REF!*$C$112)</f>
        <v>#REF!</v>
      </c>
      <c r="F112" s="11" t="e">
        <f ca="1">IF(History!J$2="","",#REF!*$C$112)</f>
        <v>#REF!</v>
      </c>
      <c r="G112" s="11" t="e">
        <f ca="1">IF(History!K$2="","",#REF!*$C$112)</f>
        <v>#REF!</v>
      </c>
      <c r="H112" s="11" t="e">
        <f ca="1">IF(History!L$2="","",#REF!*$C$112)</f>
        <v>#REF!</v>
      </c>
      <c r="I112" s="11" t="e">
        <f ca="1">IF(History!M$2="","",#REF!*$C$112)</f>
        <v>#REF!</v>
      </c>
      <c r="J112" s="11" t="e">
        <f ca="1">IF(History!N$2="","",#REF!*$C$112)</f>
        <v>#REF!</v>
      </c>
      <c r="K112" s="11" t="e">
        <f ca="1">IF(History!O$2="","",#REF!*$C$112)</f>
        <v>#REF!</v>
      </c>
      <c r="L112" s="11" t="e">
        <f ca="1">IF(History!P$2="","",#REF!*$C$112)</f>
        <v>#REF!</v>
      </c>
      <c r="M112" s="11" t="e">
        <f ca="1">IF(History!Q$2="","",#REF!*$C$112)</f>
        <v>#REF!</v>
      </c>
      <c r="N112" s="11" t="e">
        <f ca="1">IF(History!R$2="","",#REF!*$C$112)</f>
        <v>#REF!</v>
      </c>
      <c r="O112" s="11" t="e">
        <f ca="1">IF(History!S$2="","",#REF!*$C$112)</f>
        <v>#REF!</v>
      </c>
      <c r="P112" s="11" t="e">
        <f ca="1">IF(History!T$2="","",#REF!*$C$112)</f>
        <v>#REF!</v>
      </c>
      <c r="Q112" s="11" t="e">
        <f ca="1">IF(History!U$2="","",#REF!*$C$112)</f>
        <v>#REF!</v>
      </c>
      <c r="R112" s="11" t="e">
        <f ca="1">IF(History!V$2="","",#REF!*$C$112)</f>
        <v>#REF!</v>
      </c>
      <c r="S112" s="11" t="e">
        <f ca="1">IF(History!W$2="","",#REF!*$C$112)</f>
        <v>#REF!</v>
      </c>
      <c r="T112" s="11" t="e">
        <f ca="1">IF(History!X$2="","",#REF!*$C$112)</f>
        <v>#REF!</v>
      </c>
      <c r="U112" s="11" t="e">
        <f ca="1">IF(History!Y$2="","",#REF!*$C$112)</f>
        <v>#REF!</v>
      </c>
      <c r="V112" s="11" t="e">
        <f ca="1">IF(History!Z$2="","",#REF!*$C$112)</f>
        <v>#REF!</v>
      </c>
      <c r="W112" s="11" t="e">
        <f ca="1">IF(History!AA$2="","",#REF!*$C$112)</f>
        <v>#REF!</v>
      </c>
      <c r="X112" s="11" t="e">
        <f ca="1">IF(History!AB$2="","",#REF!*$C$112)</f>
        <v>#REF!</v>
      </c>
      <c r="Y112" s="11" t="e">
        <f ca="1">IF(History!AC$2="","",#REF!*$C$112)</f>
        <v>#REF!</v>
      </c>
      <c r="Z112" s="11" t="e">
        <f ca="1">IF(History!AD$2="","",#REF!*$C$112)</f>
        <v>#REF!</v>
      </c>
      <c r="AA112" s="11" t="e">
        <f ca="1">IF(History!AE$2="","",#REF!*$C$112)</f>
        <v>#REF!</v>
      </c>
      <c r="AB112" s="11" t="e">
        <f ca="1">IF(History!AF$2="","",#REF!*$C$112)</f>
        <v>#REF!</v>
      </c>
      <c r="AC112" s="11" t="e">
        <f ca="1">IF(History!AG$2="","",#REF!*$C$112)</f>
        <v>#REF!</v>
      </c>
      <c r="AD112" s="11" t="e">
        <f ca="1">IF(History!AH$2="","",#REF!*$C$112)</f>
        <v>#REF!</v>
      </c>
      <c r="AE112" s="11" t="e">
        <f ca="1">IF(History!AI$2="","",#REF!*$C$112)</f>
        <v>#REF!</v>
      </c>
      <c r="AF112" s="11" t="e">
        <f ca="1">IF(History!AJ$2="","",#REF!*$C$112)</f>
        <v>#REF!</v>
      </c>
      <c r="AG112" s="11" t="e">
        <f ca="1">IF(History!AK$2="","",#REF!*$C$112)</f>
        <v>#REF!</v>
      </c>
      <c r="AH112" s="11" t="e">
        <f ca="1">IF(History!AL$2="","",#REF!*$C$112)</f>
        <v>#REF!</v>
      </c>
      <c r="AI112" s="11" t="e">
        <f ca="1">IF(History!AM$2="","",#REF!*$C$112)</f>
        <v>#REF!</v>
      </c>
      <c r="AJ112" s="11" t="e">
        <f ca="1">IF(History!AN$2="","",#REF!*$C$112)</f>
        <v>#REF!</v>
      </c>
      <c r="AK112" s="11" t="e">
        <f ca="1">IF(History!AO$2="","",#REF!*$C$112)</f>
        <v>#REF!</v>
      </c>
      <c r="AL112" s="11" t="e">
        <f ca="1">IF(History!AP$2="","",#REF!*$C$112)</f>
        <v>#REF!</v>
      </c>
      <c r="AM112" s="11" t="e">
        <f ca="1">IF(History!AQ$2="","",#REF!*$C$112)</f>
        <v>#REF!</v>
      </c>
      <c r="AN112" s="11" t="e">
        <f ca="1">IF(History!AR$2="","",#REF!*$C$112)</f>
        <v>#REF!</v>
      </c>
      <c r="AO112" s="11" t="e">
        <f ca="1">IF(History!AS$2="","",#REF!*$C$112)</f>
        <v>#REF!</v>
      </c>
      <c r="AP112" s="11" t="e">
        <f ca="1">IF(History!AT$2="","",#REF!*$C$112)</f>
        <v>#REF!</v>
      </c>
      <c r="AQ112" s="11" t="e">
        <f ca="1">IF(History!AU$2="","",#REF!*$C$112)</f>
        <v>#REF!</v>
      </c>
      <c r="AR112" s="11" t="e">
        <f ca="1">IF(History!AV$2="","",#REF!*$C$112)</f>
        <v>#REF!</v>
      </c>
      <c r="AS112" s="11" t="e">
        <f ca="1">IF(History!AW$2="","",#REF!*$C$112)</f>
        <v>#REF!</v>
      </c>
      <c r="AT112" s="11" t="e">
        <f ca="1">IF(History!AX$2="","",#REF!*$C$112)</f>
        <v>#REF!</v>
      </c>
      <c r="AU112" s="11" t="e">
        <f ca="1">IF(History!AY$2="","",#REF!*$C$112)</f>
        <v>#REF!</v>
      </c>
      <c r="AV112" s="11" t="e">
        <f ca="1">IF(History!AZ$2="","",#REF!*$C$112)</f>
        <v>#REF!</v>
      </c>
      <c r="AW112" s="11" t="e">
        <f ca="1">IF(History!BA$2="","",#REF!*$C$112)</f>
        <v>#REF!</v>
      </c>
      <c r="AX112" s="11" t="e">
        <f ca="1">IF(History!BB$2="","",#REF!*$C$112)</f>
        <v>#REF!</v>
      </c>
      <c r="AY112" s="11" t="e">
        <f ca="1">IF(History!BC$2="","",#REF!*$C$112)</f>
        <v>#REF!</v>
      </c>
      <c r="AZ112" s="11" t="e">
        <f ca="1">IF(History!BD$2="","",#REF!*$C$112)</f>
        <v>#REF!</v>
      </c>
      <c r="BA112" s="11" t="e">
        <f ca="1">IF(History!BE$2="","",#REF!*$C$112)</f>
        <v>#REF!</v>
      </c>
      <c r="BB112" s="11" t="e">
        <f ca="1">IF(History!BF$2="","",#REF!*$C$112)</f>
        <v>#REF!</v>
      </c>
      <c r="BC112" s="11" t="e">
        <f ca="1">IF(History!BG$2="","",#REF!*$C$112)</f>
        <v>#REF!</v>
      </c>
      <c r="BD112" s="11" t="e">
        <f ca="1">IF(History!BH$2="","",#REF!*$C$112)</f>
        <v>#REF!</v>
      </c>
      <c r="BE112" s="11" t="e">
        <f ca="1">IF(History!BI$2="","",#REF!*$C$112)</f>
        <v>#REF!</v>
      </c>
      <c r="BF112" s="11" t="e">
        <f ca="1">IF(History!BJ$2="","",#REF!*$C$112)</f>
        <v>#REF!</v>
      </c>
      <c r="BG112" s="11" t="e">
        <f ca="1">IF(History!BK$2="","",#REF!*$C$112)</f>
        <v>#REF!</v>
      </c>
      <c r="BH112" s="11" t="e">
        <f ca="1">IF(History!BL$2="","",#REF!*$C$112)</f>
        <v>#REF!</v>
      </c>
      <c r="BI112" s="11" t="e">
        <f ca="1">IF(History!BM$2="","",#REF!*$C$112)</f>
        <v>#REF!</v>
      </c>
      <c r="BJ112" s="11" t="e">
        <f ca="1">IF(History!BN$2="","",#REF!*$C$112)</f>
        <v>#REF!</v>
      </c>
      <c r="BK112" s="11" t="e">
        <f ca="1">IF(History!BO$2="","",#REF!*$C$112)</f>
        <v>#REF!</v>
      </c>
      <c r="BL112" s="11" t="e">
        <f ca="1">IF(History!BP$2="","",#REF!*$C$112)</f>
        <v>#REF!</v>
      </c>
      <c r="BM112" s="11" t="e">
        <f ca="1">IF(History!BQ$2="","",#REF!*$C$112)</f>
        <v>#REF!</v>
      </c>
      <c r="BN112" s="11" t="e">
        <f ca="1">IF(History!BR$2="","",#REF!*$C$112)</f>
        <v>#REF!</v>
      </c>
      <c r="BO112" s="11" t="e">
        <f ca="1">IF(History!BS$2="","",#REF!*$C$112)</f>
        <v>#REF!</v>
      </c>
      <c r="BP112" s="11" t="e">
        <f ca="1">IF(History!BT$2="","",#REF!*$C$112)</f>
        <v>#REF!</v>
      </c>
      <c r="BQ112" s="11" t="e">
        <f ca="1">IF(History!BU$2="","",#REF!*$C$112)</f>
        <v>#REF!</v>
      </c>
      <c r="BR112" s="11" t="e">
        <f ca="1">IF(History!BV$2="","",#REF!*$C$112)</f>
        <v>#REF!</v>
      </c>
      <c r="BS112" s="11" t="e">
        <f ca="1">IF(History!BW$2="","",#REF!*$C$112)</f>
        <v>#REF!</v>
      </c>
      <c r="BT112" s="11" t="e">
        <f ca="1">IF(History!BX$2="","",#REF!*$C$112)</f>
        <v>#REF!</v>
      </c>
      <c r="BU112" s="11" t="e">
        <f ca="1">IF(History!BY$2="","",#REF!*$C$112)</f>
        <v>#REF!</v>
      </c>
      <c r="BV112" s="11" t="e">
        <f ca="1">IF(History!BZ$2="","",#REF!*$C$112)</f>
        <v>#REF!</v>
      </c>
      <c r="BW112" s="11" t="e">
        <f ca="1">IF(History!CA$2="","",#REF!*$C$112)</f>
        <v>#REF!</v>
      </c>
      <c r="BX112" s="11" t="e">
        <f ca="1">IF(History!CB$2="","",#REF!*$C$112)</f>
        <v>#REF!</v>
      </c>
      <c r="BY112" s="11" t="e">
        <f ca="1">IF(History!CC$2="","",#REF!*$C$112)</f>
        <v>#REF!</v>
      </c>
      <c r="BZ112" s="11" t="e">
        <f ca="1">IF(History!CD$2="","",#REF!*$C$112)</f>
        <v>#REF!</v>
      </c>
      <c r="CA112" s="11" t="e">
        <f ca="1">IF(History!CE$2="","",#REF!*$C$112)</f>
        <v>#REF!</v>
      </c>
      <c r="CB112" s="11" t="e">
        <f ca="1">IF(History!CF$2="","",#REF!*$C$112)</f>
        <v>#REF!</v>
      </c>
      <c r="CC112" s="11" t="e">
        <f ca="1">IF(History!CG$2="","",#REF!*$C$112)</f>
        <v>#REF!</v>
      </c>
      <c r="CD112" s="11" t="e">
        <f ca="1">IF(History!CH$2="","",#REF!*$C$112)</f>
        <v>#REF!</v>
      </c>
      <c r="CE112" s="11" t="e">
        <f ca="1">IF(History!CI$2="","",#REF!*$C$112)</f>
        <v>#REF!</v>
      </c>
      <c r="CF112" s="11" t="str">
        <f ca="1">IF(History!CJ$2="","",#REF!*$C$112)</f>
        <v/>
      </c>
      <c r="CG112" s="11" t="str">
        <f ca="1">IF(History!CK$2="","",#REF!*$C$112)</f>
        <v/>
      </c>
      <c r="CH112" s="11" t="str">
        <f ca="1">IF(History!CL$2="","",#REF!*$C$112)</f>
        <v/>
      </c>
      <c r="CI112" s="11" t="str">
        <f ca="1">IF(History!CM$2="","",#REF!*$C$112)</f>
        <v/>
      </c>
      <c r="CJ112" s="11" t="str">
        <f ca="1">IF(History!CN$2="","",#REF!*$C$112)</f>
        <v/>
      </c>
      <c r="CK112" s="11" t="str">
        <f ca="1">IF(History!CO$2="","",#REF!*$C$112)</f>
        <v/>
      </c>
      <c r="CL112" s="11" t="str">
        <f ca="1">IF(History!CP$2="","",#REF!*$C$112)</f>
        <v/>
      </c>
      <c r="CM112" s="11" t="str">
        <f ca="1">IF(History!CQ$2="","",#REF!*$C$112)</f>
        <v/>
      </c>
      <c r="CN112" s="11" t="str">
        <f ca="1">IF(History!CR$2="","",#REF!*$C$112)</f>
        <v/>
      </c>
      <c r="CO112" s="11" t="str">
        <f ca="1">IF(History!CS$2="","",#REF!*$C$112)</f>
        <v/>
      </c>
      <c r="CP112" s="11" t="str">
        <f ca="1">IF(History!CT$2="","",#REF!*$C$112)</f>
        <v/>
      </c>
      <c r="CQ112" s="11" t="str">
        <f ca="1">IF(History!CU$2="","",#REF!*$C$112)</f>
        <v/>
      </c>
      <c r="CR112" s="11" t="str">
        <f ca="1">IF(History!CV$2="","",#REF!*$C$112)</f>
        <v/>
      </c>
      <c r="CS112" s="11" t="str">
        <f ca="1">IF(History!CW$2="","",#REF!*$C$112)</f>
        <v/>
      </c>
      <c r="CT112" s="11" t="str">
        <f ca="1">IF(History!CX$2="","",#REF!*$C$112)</f>
        <v/>
      </c>
      <c r="CU112" s="11" t="str">
        <f ca="1">IF(History!CY$2="","",#REF!*$C$112)</f>
        <v/>
      </c>
      <c r="CV112" s="11" t="str">
        <f ca="1">IF(History!CZ$2="","",#REF!*$C$112)</f>
        <v/>
      </c>
      <c r="CW112" s="11" t="str">
        <f ca="1">IF(History!DA$2="","",#REF!*$C$112)</f>
        <v/>
      </c>
      <c r="CX112" s="11" t="str">
        <f ca="1">IF(History!DB$2="","",#REF!*$C$112)</f>
        <v/>
      </c>
      <c r="CY112" s="11" t="str">
        <f ca="1">IF(History!DC$2="","",#REF!*$C$112)</f>
        <v/>
      </c>
      <c r="CZ112" s="11" t="str">
        <f ca="1">IF(History!DD$2="","",#REF!*$C$112)</f>
        <v/>
      </c>
      <c r="DA112" s="11" t="str">
        <f ca="1">IF(History!DE$2="","",#REF!*$C$112)</f>
        <v/>
      </c>
      <c r="DB112" s="11" t="str">
        <f ca="1">IF(History!DF$2="","",#REF!*$C$112)</f>
        <v/>
      </c>
      <c r="DC112" s="11" t="str">
        <f ca="1">IF(History!DG$2="","",#REF!*$C$112)</f>
        <v/>
      </c>
      <c r="DD112" s="11" t="str">
        <f ca="1">IF(History!DH$2="","",#REF!*$C$112)</f>
        <v/>
      </c>
      <c r="DE112" s="11" t="str">
        <f ca="1">IF(History!DI$2="","",#REF!*$C$112)</f>
        <v/>
      </c>
      <c r="DF112" s="11" t="str">
        <f ca="1">IF(History!DJ$2="","",#REF!*$C$112)</f>
        <v/>
      </c>
      <c r="DG112" s="11" t="str">
        <f ca="1">IF(History!DK$2="","",#REF!*$C$112)</f>
        <v/>
      </c>
      <c r="DH112" s="11" t="str">
        <f ca="1">IF(History!DL$2="","",#REF!*$C$112)</f>
        <v/>
      </c>
      <c r="DI112" s="11" t="str">
        <f ca="1">IF(History!DM$2="","",#REF!*$C$112)</f>
        <v/>
      </c>
      <c r="DJ112" s="11" t="str">
        <f ca="1">IF(History!DN$2="","",#REF!*$C$112)</f>
        <v/>
      </c>
      <c r="DK112" s="11" t="str">
        <f ca="1">IF(History!DO$2="","",#REF!*$C$112)</f>
        <v/>
      </c>
      <c r="DL112" s="11" t="str">
        <f ca="1">IF(History!DP$2="","",#REF!*$C$112)</f>
        <v/>
      </c>
      <c r="DM112" s="11" t="str">
        <f ca="1">IF(History!DQ$2="","",#REF!*$C$112)</f>
        <v/>
      </c>
      <c r="DN112" s="11" t="str">
        <f ca="1">IF(History!DR$2="","",#REF!*$C$112)</f>
        <v/>
      </c>
      <c r="DO112" s="11" t="str">
        <f ca="1">IF(History!DS$2="","",#REF!*$C$112)</f>
        <v/>
      </c>
      <c r="DP112" s="11" t="str">
        <f ca="1">IF(History!DT$2="","",#REF!*$C$112)</f>
        <v/>
      </c>
      <c r="DQ112" s="11" t="str">
        <f ca="1">IF(History!DU$2="","",#REF!*$C$112)</f>
        <v/>
      </c>
      <c r="DR112" s="11" t="str">
        <f ca="1">IF(History!DV$2="","",#REF!*$C$112)</f>
        <v/>
      </c>
      <c r="DS112" s="11" t="str">
        <f ca="1">IF(History!DW$2="","",#REF!*$C$112)</f>
        <v/>
      </c>
      <c r="DT112" s="11" t="str">
        <f ca="1">IF(History!DX$2="","",#REF!*$C$112)</f>
        <v/>
      </c>
      <c r="DU112" s="11" t="str">
        <f ca="1">IF(History!DY$2="","",#REF!*$C$112)</f>
        <v/>
      </c>
      <c r="DV112" s="11" t="str">
        <f ca="1">IF(History!DZ$2="","",#REF!*$C$112)</f>
        <v/>
      </c>
      <c r="DW112" s="11" t="str">
        <f ca="1">IF(History!EA$2="","",#REF!*$C$112)</f>
        <v/>
      </c>
      <c r="DX112" s="11" t="str">
        <f ca="1">IF(History!EB$2="","",#REF!*$C$112)</f>
        <v/>
      </c>
      <c r="DY112" s="11" t="str">
        <f ca="1">IF(History!EC$2="","",#REF!*$C$112)</f>
        <v/>
      </c>
      <c r="DZ112" s="11" t="str">
        <f ca="1">IF(History!ED$2="","",#REF!*$C$112)</f>
        <v/>
      </c>
      <c r="EA112" s="11" t="str">
        <f ca="1">IF(History!EE$2="","",#REF!*$C$112)</f>
        <v/>
      </c>
      <c r="EB112" s="11" t="str">
        <f ca="1">IF(History!EF$2="","",#REF!*$C$112)</f>
        <v/>
      </c>
      <c r="EC112" s="11" t="str">
        <f ca="1">IF(History!EG$2="","",#REF!*$C$112)</f>
        <v/>
      </c>
      <c r="ED112" s="11" t="str">
        <f ca="1">IF(History!EH$2="","",#REF!*$C$112)</f>
        <v/>
      </c>
      <c r="EE112" s="11" t="str">
        <f ca="1">IF(History!EI$2="","",#REF!*$C$112)</f>
        <v/>
      </c>
      <c r="EF112" s="11" t="str">
        <f ca="1">IF(History!EJ$2="","",#REF!*$C$112)</f>
        <v/>
      </c>
      <c r="EG112" s="11" t="str">
        <f ca="1">IF(History!EK$2="","",#REF!*$C$112)</f>
        <v/>
      </c>
      <c r="EH112" s="11" t="str">
        <f ca="1">IF(History!EL$2="","",#REF!*$C$112)</f>
        <v/>
      </c>
      <c r="EI112" s="11" t="str">
        <f ca="1">IF(History!EM$2="","",#REF!*$C$112)</f>
        <v/>
      </c>
      <c r="EJ112" s="11" t="str">
        <f ca="1">IF(History!EN$2="","",#REF!*$C$112)</f>
        <v/>
      </c>
      <c r="EK112" s="11" t="str">
        <f ca="1">IF(History!EO$2="","",#REF!*$C$112)</f>
        <v/>
      </c>
      <c r="EL112" s="11" t="str">
        <f ca="1">IF(History!EP$2="","",#REF!*$C$112)</f>
        <v/>
      </c>
      <c r="EM112" s="11" t="str">
        <f ca="1">IF(History!EQ$2="","",#REF!*$C$112)</f>
        <v/>
      </c>
      <c r="EN112" s="11" t="str">
        <f ca="1">IF(History!ER$2="","",#REF!*$C$112)</f>
        <v/>
      </c>
      <c r="EO112" s="11" t="str">
        <f ca="1">IF(History!ES$2="","",#REF!*$C$112)</f>
        <v/>
      </c>
      <c r="EP112" s="11" t="str">
        <f ca="1">IF(History!ET$2="","",#REF!*$C$112)</f>
        <v/>
      </c>
      <c r="EQ112" s="11" t="str">
        <f ca="1">IF(History!EU$2="","",#REF!*$C$112)</f>
        <v/>
      </c>
      <c r="ER112" s="11" t="str">
        <f ca="1">IF(History!EV$2="","",#REF!*$C$112)</f>
        <v/>
      </c>
      <c r="ES112" s="11" t="str">
        <f ca="1">IF(History!EW$2="","",#REF!*$C$112)</f>
        <v/>
      </c>
      <c r="ET112" s="11" t="str">
        <f ca="1">IF(History!EX$2="","",#REF!*$C$112)</f>
        <v/>
      </c>
      <c r="EU112" s="11" t="str">
        <f ca="1">IF(History!EY$2="","",#REF!*$C$112)</f>
        <v/>
      </c>
      <c r="EV112" s="11" t="str">
        <f ca="1">IF(History!EZ$2="","",#REF!*$C$112)</f>
        <v/>
      </c>
      <c r="EW112" s="11" t="str">
        <f ca="1">IF(History!FA$2="","",#REF!*$C$112)</f>
        <v/>
      </c>
      <c r="EX112" s="11" t="str">
        <f ca="1">IF(History!FB$2="","",#REF!*$C$112)</f>
        <v/>
      </c>
      <c r="EY112" s="11" t="str">
        <f ca="1">IF(History!FC$2="","",#REF!*$C$112)</f>
        <v/>
      </c>
      <c r="EZ112" s="11" t="str">
        <f ca="1">IF(History!FD$2="","",#REF!*$C$112)</f>
        <v/>
      </c>
      <c r="FA112" s="11" t="str">
        <f ca="1">IF(History!FE$2="","",#REF!*$C$112)</f>
        <v/>
      </c>
      <c r="FB112" s="11" t="str">
        <f ca="1">IF(History!FF$2="","",#REF!*$C$112)</f>
        <v/>
      </c>
      <c r="FC112" s="11" t="str">
        <f ca="1">IF(History!FG$2="","",#REF!*$C$112)</f>
        <v/>
      </c>
      <c r="FD112" s="11" t="str">
        <f ca="1">IF(History!FH$2="","",#REF!*$C$112)</f>
        <v/>
      </c>
      <c r="FE112" s="11" t="str">
        <f ca="1">IF(History!FI$2="","",#REF!*$C$112)</f>
        <v/>
      </c>
      <c r="FF112" s="11" t="str">
        <f ca="1">IF(History!FJ$2="","",#REF!*$C$112)</f>
        <v/>
      </c>
      <c r="FG112" s="11" t="str">
        <f ca="1">IF(History!FK$2="","",#REF!*$C$112)</f>
        <v/>
      </c>
      <c r="FH112" s="11" t="str">
        <f ca="1">IF(History!FL$2="","",#REF!*$C$112)</f>
        <v/>
      </c>
      <c r="FI112" s="11" t="str">
        <f ca="1">IF(History!FM$2="","",#REF!*$C$112)</f>
        <v/>
      </c>
      <c r="FJ112" s="11" t="str">
        <f ca="1">IF(History!FN$2="","",#REF!*$C$112)</f>
        <v/>
      </c>
      <c r="FK112" s="11" t="str">
        <f ca="1">IF(History!FO$2="","",#REF!*$C$112)</f>
        <v/>
      </c>
      <c r="FL112" s="11" t="str">
        <f ca="1">IF(History!FP$2="","",#REF!*$C$112)</f>
        <v/>
      </c>
      <c r="FM112" s="11" t="str">
        <f ca="1">IF(History!FQ$2="","",#REF!*$C$112)</f>
        <v/>
      </c>
      <c r="FN112" s="11" t="str">
        <f ca="1">IF(History!FR$2="","",#REF!*$C$112)</f>
        <v/>
      </c>
      <c r="FO112" s="11" t="str">
        <f ca="1">IF(History!FS$2="","",#REF!*$C$112)</f>
        <v/>
      </c>
      <c r="FP112" s="11" t="str">
        <f ca="1">IF(History!FT$2="","",#REF!*$C$112)</f>
        <v/>
      </c>
      <c r="FQ112" s="11" t="str">
        <f ca="1">IF(History!FU$2="","",#REF!*$C$112)</f>
        <v/>
      </c>
      <c r="FR112" s="11" t="str">
        <f ca="1">IF(History!FV$2="","",#REF!*$C$112)</f>
        <v/>
      </c>
      <c r="FS112" s="11" t="str">
        <f ca="1">IF(History!FW$2="","",#REF!*$C$112)</f>
        <v/>
      </c>
      <c r="FT112" s="11" t="str">
        <f ca="1">IF(History!FX$2="","",#REF!*$C$112)</f>
        <v/>
      </c>
      <c r="FU112" s="11" t="str">
        <f ca="1">IF(History!FY$2="","",#REF!*$C$112)</f>
        <v/>
      </c>
      <c r="FV112" s="11" t="str">
        <f ca="1">IF(History!FZ$2="","",#REF!*$C$112)</f>
        <v/>
      </c>
      <c r="FW112" s="11" t="str">
        <f ca="1">IF(History!GA$2="","",#REF!*$C$112)</f>
        <v/>
      </c>
      <c r="FX112" s="11" t="str">
        <f ca="1">IF(History!GB$2="","",#REF!*$C$112)</f>
        <v/>
      </c>
      <c r="FY112" s="11" t="str">
        <f ca="1">IF(History!GC$2="","",#REF!*$C$112)</f>
        <v/>
      </c>
      <c r="FZ112" s="11" t="str">
        <f ca="1">IF(History!GD$2="","",#REF!*$C$112)</f>
        <v/>
      </c>
      <c r="GA112" s="11" t="str">
        <f ca="1">IF(History!GE$2="","",#REF!*$C$112)</f>
        <v/>
      </c>
      <c r="GB112" s="11" t="str">
        <f ca="1">IF(History!GF$2="","",#REF!*$C$112)</f>
        <v/>
      </c>
      <c r="GC112" s="11" t="str">
        <f ca="1">IF(History!GG$2="","",#REF!*$C$112)</f>
        <v/>
      </c>
      <c r="GD112" s="11" t="str">
        <f ca="1">IF(History!GH$2="","",#REF!*$C$112)</f>
        <v/>
      </c>
      <c r="GE112" s="11" t="str">
        <f ca="1">IF(History!GI$2="","",#REF!*$C$112)</f>
        <v/>
      </c>
      <c r="GF112" s="11" t="str">
        <f ca="1">IF(History!GJ$2="","",#REF!*$C$112)</f>
        <v/>
      </c>
      <c r="GG112" s="11" t="str">
        <f ca="1">IF(History!GK$2="","",#REF!*$C$112)</f>
        <v/>
      </c>
      <c r="GH112" s="11" t="str">
        <f ca="1">IF(History!GL$2="","",#REF!*$C$112)</f>
        <v/>
      </c>
      <c r="GI112" s="11" t="str">
        <f ca="1">IF(History!GM$2="","",#REF!*$C$112)</f>
        <v/>
      </c>
      <c r="GJ112" s="11" t="str">
        <f ca="1">IF(History!GN$2="","",#REF!*$C$112)</f>
        <v/>
      </c>
      <c r="GK112" s="11" t="str">
        <f ca="1">IF(History!GO$2="","",#REF!*$C$112)</f>
        <v/>
      </c>
      <c r="GL112" s="11" t="str">
        <f ca="1">IF(History!GP$2="","",#REF!*$C$112)</f>
        <v/>
      </c>
      <c r="GM112" s="11" t="str">
        <f ca="1">IF(History!GQ$2="","",#REF!*$C$112)</f>
        <v/>
      </c>
      <c r="GN112" s="11" t="str">
        <f ca="1">IF(History!GR$2="","",#REF!*$C$112)</f>
        <v/>
      </c>
      <c r="GO112" s="11" t="str">
        <f ca="1">IF(History!GS$2="","",#REF!*$C$112)</f>
        <v/>
      </c>
      <c r="GP112" s="11" t="str">
        <f ca="1">IF(History!GT$2="","",#REF!*$C$112)</f>
        <v/>
      </c>
      <c r="GQ112" s="11" t="str">
        <f ca="1">IF(History!GU$2="","",#REF!*$C$112)</f>
        <v/>
      </c>
      <c r="GR112" s="11" t="str">
        <f ca="1">IF(History!GV$2="","",#REF!*$C$112)</f>
        <v/>
      </c>
      <c r="GS112" s="11" t="str">
        <f ca="1">IF(History!GW$2="","",#REF!*$C$112)</f>
        <v/>
      </c>
      <c r="GT112" s="11" t="str">
        <f ca="1">IF(History!GX$2="","",#REF!*$C$112)</f>
        <v/>
      </c>
      <c r="GU112" s="11" t="str">
        <f ca="1">IF(History!GY$2="","",#REF!*$C$112)</f>
        <v/>
      </c>
      <c r="GV112" s="11" t="str">
        <f ca="1">IF(History!GZ$2="","",#REF!*$C$112)</f>
        <v/>
      </c>
      <c r="GW112" s="11" t="str">
        <f ca="1">IF(History!HA$2="","",#REF!*$C$112)</f>
        <v/>
      </c>
      <c r="GX112" s="11" t="str">
        <f ca="1">IF(History!HB$2="","",#REF!*$C$112)</f>
        <v/>
      </c>
      <c r="GY112" s="11" t="str">
        <f ca="1">IF(History!HC$2="","",#REF!*$C$112)</f>
        <v/>
      </c>
      <c r="GZ112" s="11" t="str">
        <f ca="1">IF(History!HD$2="","",#REF!*$C$112)</f>
        <v/>
      </c>
      <c r="HA112" s="11" t="str">
        <f ca="1">IF(History!HE$2="","",#REF!*$C$112)</f>
        <v/>
      </c>
      <c r="HB112" s="11" t="str">
        <f ca="1">IF(History!HF$2="","",#REF!*$C$112)</f>
        <v/>
      </c>
      <c r="HC112" s="11" t="str">
        <f ca="1">IF(History!HG$2="","",#REF!*$C$112)</f>
        <v/>
      </c>
      <c r="HD112" s="11" t="str">
        <f ca="1">IF(History!HH$2="","",#REF!*$C$112)</f>
        <v/>
      </c>
      <c r="HE112" s="11" t="str">
        <f ca="1">IF(History!HI$2="","",#REF!*$C$112)</f>
        <v/>
      </c>
      <c r="HF112" s="11" t="str">
        <f ca="1">IF(History!HJ$2="","",#REF!*$C$112)</f>
        <v/>
      </c>
      <c r="HG112" s="11" t="str">
        <f ca="1">IF(History!HK$2="","",#REF!*$C$112)</f>
        <v/>
      </c>
      <c r="HH112" s="11" t="str">
        <f ca="1">IF(History!HL$2="","",#REF!*$C$112)</f>
        <v/>
      </c>
      <c r="HI112" s="11" t="str">
        <f ca="1">IF(History!HM$2="","",#REF!*$C$112)</f>
        <v/>
      </c>
      <c r="HJ112" s="11" t="str">
        <f ca="1">IF(History!HN$2="","",#REF!*$C$112)</f>
        <v/>
      </c>
      <c r="HK112" s="11" t="str">
        <f ca="1">IF(History!HO$2="","",#REF!*$C$112)</f>
        <v/>
      </c>
      <c r="HL112" s="11" t="str">
        <f ca="1">IF(History!HP$2="","",#REF!*$C$112)</f>
        <v/>
      </c>
      <c r="HM112" s="11" t="str">
        <f ca="1">IF(History!HQ$2="","",#REF!*$C$112)</f>
        <v/>
      </c>
      <c r="HN112" s="11" t="str">
        <f ca="1">IF(History!HR$2="","",#REF!*$C$112)</f>
        <v/>
      </c>
      <c r="HO112" s="11" t="str">
        <f ca="1">IF(History!HS$2="","",#REF!*$C$112)</f>
        <v/>
      </c>
      <c r="HP112" s="11" t="str">
        <f ca="1">IF(History!HT$2="","",#REF!*$C$112)</f>
        <v/>
      </c>
      <c r="HQ112" s="11" t="str">
        <f ca="1">IF(History!HU$2="","",#REF!*$C$112)</f>
        <v/>
      </c>
      <c r="HR112" s="11" t="str">
        <f ca="1">IF(History!HV$2="","",#REF!*$C$112)</f>
        <v/>
      </c>
      <c r="HS112" s="11" t="str">
        <f ca="1">IF(History!HW$2="","",#REF!*$C$112)</f>
        <v/>
      </c>
      <c r="HT112" s="11" t="str">
        <f ca="1">IF(History!HX$2="","",#REF!*$C$112)</f>
        <v/>
      </c>
      <c r="HU112" s="11" t="str">
        <f ca="1">IF(History!HY$2="","",#REF!*$C$112)</f>
        <v/>
      </c>
      <c r="HV112" s="11" t="str">
        <f ca="1">IF(History!HZ$2="","",#REF!*$C$112)</f>
        <v/>
      </c>
      <c r="HW112" s="11" t="str">
        <f ca="1">IF(History!IA$2="","",#REF!*$C$112)</f>
        <v/>
      </c>
      <c r="HX112" s="11" t="str">
        <f ca="1">IF(History!IB$2="","",#REF!*$C$112)</f>
        <v/>
      </c>
      <c r="HY112" s="11" t="str">
        <f ca="1">IF(History!IC$2="","",#REF!*$C$112)</f>
        <v/>
      </c>
      <c r="HZ112" s="11" t="str">
        <f ca="1">IF(History!ID$2="","",#REF!*$C$112)</f>
        <v/>
      </c>
      <c r="IA112" s="11" t="str">
        <f ca="1">IF(History!IE$2="","",#REF!*$C$112)</f>
        <v/>
      </c>
      <c r="IB112" s="11" t="str">
        <f ca="1">IF(History!IF$2="","",#REF!*$C$112)</f>
        <v/>
      </c>
      <c r="IC112" s="11" t="str">
        <f ca="1">IF(History!IG$2="","",#REF!*$C$112)</f>
        <v/>
      </c>
      <c r="ID112" s="11" t="str">
        <f ca="1">IF(History!IH$2="","",#REF!*$C$112)</f>
        <v/>
      </c>
      <c r="IE112" s="11" t="str">
        <f ca="1">IF(History!II$2="","",#REF!*$C$112)</f>
        <v/>
      </c>
      <c r="IF112" s="11" t="str">
        <f ca="1">IF(History!IJ$2="","",#REF!*$C$112)</f>
        <v/>
      </c>
      <c r="IG112" s="11" t="str">
        <f ca="1">IF(History!IK$2="","",#REF!*$C$112)</f>
        <v/>
      </c>
      <c r="IH112" s="11" t="str">
        <f ca="1">IF(History!IL$2="","",#REF!*$C$112)</f>
        <v/>
      </c>
      <c r="II112" s="11" t="str">
        <f ca="1">IF(History!IM$2="","",#REF!*$C$112)</f>
        <v/>
      </c>
      <c r="IJ112" s="11" t="str">
        <f ca="1">IF(History!IN$2="","",#REF!*$C$112)</f>
        <v/>
      </c>
      <c r="IK112" s="11" t="str">
        <f ca="1">IF(History!IO$2="","",#REF!*$C$112)</f>
        <v/>
      </c>
      <c r="IL112" s="11" t="str">
        <f ca="1">IF(History!IP$2="","",#REF!*$C$112)</f>
        <v/>
      </c>
      <c r="IM112" s="11" t="str">
        <f ca="1">IF(History!IQ$2="","",#REF!*$C$112)</f>
        <v/>
      </c>
      <c r="IN112" s="11" t="str">
        <f ca="1">IF(History!IR$2="","",#REF!*$C$112)</f>
        <v/>
      </c>
      <c r="IO112" s="11" t="str">
        <f ca="1">IF(History!IS$2="","",#REF!*$C$112)</f>
        <v/>
      </c>
      <c r="IP112" s="11" t="str">
        <f ca="1">IF(History!IT$2="","",#REF!*$C$112)</f>
        <v/>
      </c>
      <c r="IQ112" s="11" t="str">
        <f ca="1">IF(History!IU$2="","",#REF!*$C$112)</f>
        <v/>
      </c>
      <c r="IR112" s="11" t="str">
        <f ca="1">IF(History!IV$2="","",#REF!*$C$112)</f>
        <v/>
      </c>
      <c r="IS112" s="11" t="str">
        <f ca="1">IF(History!IW$2="","",#REF!*$C$112)</f>
        <v/>
      </c>
      <c r="IT112" s="11" t="str">
        <f ca="1">IF(History!IX$2="","",#REF!*$C$112)</f>
        <v/>
      </c>
      <c r="IU112" s="11" t="str">
        <f ca="1">IF(History!IY$2="","",#REF!*$C$112)</f>
        <v/>
      </c>
      <c r="IV112" s="11" t="str">
        <f ca="1">IF(History!IZ$2="","",#REF!*$C$112)</f>
        <v/>
      </c>
      <c r="IW112" s="11" t="str">
        <f ca="1">IF(History!JA$2="","",#REF!*$C$112)</f>
        <v/>
      </c>
      <c r="IX112" s="11" t="str">
        <f ca="1">IF(History!JB$2="","",#REF!*$C$112)</f>
        <v/>
      </c>
      <c r="IY112" s="11" t="str">
        <f ca="1">IF(History!JC$2="","",#REF!*$C$112)</f>
        <v/>
      </c>
      <c r="IZ112" s="11" t="str">
        <f ca="1">IF(History!JD$2="","",#REF!*$C$112)</f>
        <v/>
      </c>
      <c r="JA112" s="11" t="str">
        <f ca="1">IF(History!JE$2="","",#REF!*$C$112)</f>
        <v/>
      </c>
      <c r="JB112" s="11" t="str">
        <f ca="1">IF(History!JF$2="","",#REF!*$C$112)</f>
        <v/>
      </c>
      <c r="JC112" s="11" t="str">
        <f ca="1">IF(History!JG$2="","",#REF!*$C$112)</f>
        <v/>
      </c>
      <c r="JD112" s="11" t="str">
        <f ca="1">IF(History!JH$2="","",#REF!*$C$112)</f>
        <v/>
      </c>
      <c r="JE112" s="11" t="str">
        <f ca="1">IF(History!JI$2="","",#REF!*$C$112)</f>
        <v/>
      </c>
      <c r="JF112" s="11" t="str">
        <f ca="1">IF(History!JJ$2="","",#REF!*$C$112)</f>
        <v/>
      </c>
      <c r="JG112" s="11" t="str">
        <f ca="1">IF(History!JK$2="","",#REF!*$C$112)</f>
        <v/>
      </c>
      <c r="JH112" s="11" t="str">
        <f ca="1">IF(History!JL$2="","",#REF!*$C$112)</f>
        <v/>
      </c>
      <c r="JI112" s="11" t="str">
        <f ca="1">IF(History!JM$2="","",#REF!*$C$112)</f>
        <v/>
      </c>
      <c r="JJ112" s="11" t="str">
        <f ca="1">IF(History!JN$2="","",#REF!*$C$112)</f>
        <v/>
      </c>
      <c r="JK112" s="11" t="str">
        <f ca="1">IF(History!JO$2="","",#REF!*$C$112)</f>
        <v/>
      </c>
      <c r="JL112" s="11" t="str">
        <f ca="1">IF(History!JP$2="","",#REF!*$C$112)</f>
        <v/>
      </c>
      <c r="JM112" s="11" t="str">
        <f ca="1">IF(History!JQ$2="","",#REF!*$C$112)</f>
        <v/>
      </c>
      <c r="JN112" s="11" t="str">
        <f ca="1">IF(History!JR$2="","",#REF!*$C$112)</f>
        <v/>
      </c>
      <c r="JO112" s="11" t="str">
        <f ca="1">IF(History!JS$2="","",#REF!*$C$112)</f>
        <v/>
      </c>
      <c r="JP112" s="11" t="str">
        <f ca="1">IF(History!JT$2="","",#REF!*$C$112)</f>
        <v/>
      </c>
      <c r="JQ112" s="11" t="str">
        <f ca="1">IF(History!JU$2="","",#REF!*$C$112)</f>
        <v/>
      </c>
      <c r="JR112" s="11" t="str">
        <f ca="1">IF(History!JV$2="","",#REF!*$C$112)</f>
        <v/>
      </c>
      <c r="JS112" s="11" t="str">
        <f ca="1">IF(History!JW$2="","",#REF!*$C$112)</f>
        <v/>
      </c>
      <c r="JT112" s="11" t="str">
        <f ca="1">IF(History!JX$2="","",#REF!*$C$112)</f>
        <v/>
      </c>
      <c r="JU112" s="11" t="str">
        <f ca="1">IF(History!JY$2="","",#REF!*$C$112)</f>
        <v/>
      </c>
      <c r="JV112" s="11" t="str">
        <f ca="1">IF(History!JZ$2="","",#REF!*$C$112)</f>
        <v/>
      </c>
      <c r="JW112" s="11" t="str">
        <f ca="1">IF(History!KA$2="","",#REF!*$C$112)</f>
        <v/>
      </c>
      <c r="JX112" s="11" t="str">
        <f ca="1">IF(History!KB$2="","",#REF!*$C$112)</f>
        <v/>
      </c>
      <c r="JY112" s="11" t="str">
        <f ca="1">IF(History!KC$2="","",#REF!*$C$112)</f>
        <v/>
      </c>
      <c r="JZ112" s="11" t="str">
        <f ca="1">IF(History!KD$2="","",#REF!*$C$112)</f>
        <v/>
      </c>
      <c r="KA112" s="11" t="str">
        <f ca="1">IF(History!KE$2="","",#REF!*$C$112)</f>
        <v/>
      </c>
      <c r="KB112" s="11" t="str">
        <f ca="1">IF(History!KF$2="","",#REF!*$C$112)</f>
        <v/>
      </c>
    </row>
    <row r="113" spans="1:288" ht="13">
      <c r="A113" s="18" t="s">
        <v>140</v>
      </c>
      <c r="B113" s="6" t="s">
        <v>189</v>
      </c>
      <c r="C113" s="26">
        <v>17</v>
      </c>
      <c r="D113" s="11" t="e">
        <f ca="1">IF(History!H$2="","",#REF!*$C$113)</f>
        <v>#REF!</v>
      </c>
      <c r="E113" s="11" t="e">
        <f ca="1">IF(History!I$2="","",#REF!*$C$113)</f>
        <v>#REF!</v>
      </c>
      <c r="F113" s="11" t="e">
        <f ca="1">IF(History!J$2="","",#REF!*$C$113)</f>
        <v>#REF!</v>
      </c>
      <c r="G113" s="11" t="e">
        <f ca="1">IF(History!K$2="","",#REF!*$C$113)</f>
        <v>#REF!</v>
      </c>
      <c r="H113" s="11" t="e">
        <f ca="1">IF(History!L$2="","",#REF!*$C$113)</f>
        <v>#REF!</v>
      </c>
      <c r="I113" s="11" t="e">
        <f ca="1">IF(History!M$2="","",#REF!*$C$113)</f>
        <v>#REF!</v>
      </c>
      <c r="J113" s="11" t="e">
        <f ca="1">IF(History!N$2="","",#REF!*$C$113)</f>
        <v>#REF!</v>
      </c>
      <c r="K113" s="11" t="e">
        <f ca="1">IF(History!O$2="","",#REF!*$C$113)</f>
        <v>#REF!</v>
      </c>
      <c r="L113" s="11" t="e">
        <f ca="1">IF(History!P$2="","",#REF!*$C$113)</f>
        <v>#REF!</v>
      </c>
      <c r="M113" s="11" t="e">
        <f ca="1">IF(History!Q$2="","",#REF!*$C$113)</f>
        <v>#REF!</v>
      </c>
      <c r="N113" s="11" t="e">
        <f ca="1">IF(History!R$2="","",#REF!*$C$113)</f>
        <v>#REF!</v>
      </c>
      <c r="O113" s="11" t="e">
        <f ca="1">IF(History!S$2="","",#REF!*$C$113)</f>
        <v>#REF!</v>
      </c>
      <c r="P113" s="11" t="e">
        <f ca="1">IF(History!T$2="","",#REF!*$C$113)</f>
        <v>#REF!</v>
      </c>
      <c r="Q113" s="11" t="e">
        <f ca="1">IF(History!U$2="","",#REF!*$C$113)</f>
        <v>#REF!</v>
      </c>
      <c r="R113" s="11" t="e">
        <f ca="1">IF(History!V$2="","",#REF!*$C$113)</f>
        <v>#REF!</v>
      </c>
      <c r="S113" s="11" t="e">
        <f ca="1">IF(History!W$2="","",#REF!*$C$113)</f>
        <v>#REF!</v>
      </c>
      <c r="T113" s="11" t="e">
        <f ca="1">IF(History!X$2="","",#REF!*$C$113)</f>
        <v>#REF!</v>
      </c>
      <c r="U113" s="11" t="e">
        <f ca="1">IF(History!Y$2="","",#REF!*$C$113)</f>
        <v>#REF!</v>
      </c>
      <c r="V113" s="11" t="e">
        <f ca="1">IF(History!Z$2="","",#REF!*$C$113)</f>
        <v>#REF!</v>
      </c>
      <c r="W113" s="11" t="e">
        <f ca="1">IF(History!AA$2="","",#REF!*$C$113)</f>
        <v>#REF!</v>
      </c>
      <c r="X113" s="11" t="e">
        <f ca="1">IF(History!AB$2="","",#REF!*$C$113)</f>
        <v>#REF!</v>
      </c>
      <c r="Y113" s="11" t="e">
        <f ca="1">IF(History!AC$2="","",#REF!*$C$113)</f>
        <v>#REF!</v>
      </c>
      <c r="Z113" s="11" t="e">
        <f ca="1">IF(History!AD$2="","",#REF!*$C$113)</f>
        <v>#REF!</v>
      </c>
      <c r="AA113" s="11" t="e">
        <f ca="1">IF(History!AE$2="","",#REF!*$C$113)</f>
        <v>#REF!</v>
      </c>
      <c r="AB113" s="11" t="e">
        <f ca="1">IF(History!AF$2="","",#REF!*$C$113)</f>
        <v>#REF!</v>
      </c>
      <c r="AC113" s="11" t="e">
        <f ca="1">IF(History!AG$2="","",#REF!*$C$113)</f>
        <v>#REF!</v>
      </c>
      <c r="AD113" s="11" t="e">
        <f ca="1">IF(History!AH$2="","",#REF!*$C$113)</f>
        <v>#REF!</v>
      </c>
      <c r="AE113" s="11" t="e">
        <f ca="1">IF(History!AI$2="","",#REF!*$C$113)</f>
        <v>#REF!</v>
      </c>
      <c r="AF113" s="11" t="e">
        <f ca="1">IF(History!AJ$2="","",#REF!*$C$113)</f>
        <v>#REF!</v>
      </c>
      <c r="AG113" s="11" t="e">
        <f ca="1">IF(History!AK$2="","",#REF!*$C$113)</f>
        <v>#REF!</v>
      </c>
      <c r="AH113" s="11" t="e">
        <f ca="1">IF(History!AL$2="","",#REF!*$C$113)</f>
        <v>#REF!</v>
      </c>
      <c r="AI113" s="11" t="e">
        <f ca="1">IF(History!AM$2="","",#REF!*$C$113)</f>
        <v>#REF!</v>
      </c>
      <c r="AJ113" s="11" t="e">
        <f ca="1">IF(History!AN$2="","",#REF!*$C$113)</f>
        <v>#REF!</v>
      </c>
      <c r="AK113" s="11" t="e">
        <f ca="1">IF(History!AO$2="","",#REF!*$C$113)</f>
        <v>#REF!</v>
      </c>
      <c r="AL113" s="11" t="e">
        <f ca="1">IF(History!AP$2="","",#REF!*$C$113)</f>
        <v>#REF!</v>
      </c>
      <c r="AM113" s="11" t="e">
        <f ca="1">IF(History!AQ$2="","",#REF!*$C$113)</f>
        <v>#REF!</v>
      </c>
      <c r="AN113" s="11" t="e">
        <f ca="1">IF(History!AR$2="","",#REF!*$C$113)</f>
        <v>#REF!</v>
      </c>
      <c r="AO113" s="11" t="e">
        <f ca="1">IF(History!AS$2="","",#REF!*$C$113)</f>
        <v>#REF!</v>
      </c>
      <c r="AP113" s="11" t="e">
        <f ca="1">IF(History!AT$2="","",#REF!*$C$113)</f>
        <v>#REF!</v>
      </c>
      <c r="AQ113" s="11" t="e">
        <f ca="1">IF(History!AU$2="","",#REF!*$C$113)</f>
        <v>#REF!</v>
      </c>
      <c r="AR113" s="11" t="e">
        <f ca="1">IF(History!AV$2="","",#REF!*$C$113)</f>
        <v>#REF!</v>
      </c>
      <c r="AS113" s="11" t="e">
        <f ca="1">IF(History!AW$2="","",#REF!*$C$113)</f>
        <v>#REF!</v>
      </c>
      <c r="AT113" s="11" t="e">
        <f ca="1">IF(History!AX$2="","",#REF!*$C$113)</f>
        <v>#REF!</v>
      </c>
      <c r="AU113" s="11" t="e">
        <f ca="1">IF(History!AY$2="","",#REF!*$C$113)</f>
        <v>#REF!</v>
      </c>
      <c r="AV113" s="11" t="e">
        <f ca="1">IF(History!AZ$2="","",#REF!*$C$113)</f>
        <v>#REF!</v>
      </c>
      <c r="AW113" s="11" t="e">
        <f ca="1">IF(History!BA$2="","",#REF!*$C$113)</f>
        <v>#REF!</v>
      </c>
      <c r="AX113" s="11" t="e">
        <f ca="1">IF(History!BB$2="","",#REF!*$C$113)</f>
        <v>#REF!</v>
      </c>
      <c r="AY113" s="11" t="e">
        <f ca="1">IF(History!BC$2="","",#REF!*$C$113)</f>
        <v>#REF!</v>
      </c>
      <c r="AZ113" s="11" t="e">
        <f ca="1">IF(History!BD$2="","",#REF!*$C$113)</f>
        <v>#REF!</v>
      </c>
      <c r="BA113" s="11" t="e">
        <f ca="1">IF(History!BE$2="","",#REF!*$C$113)</f>
        <v>#REF!</v>
      </c>
      <c r="BB113" s="11" t="e">
        <f ca="1">IF(History!BF$2="","",#REF!*$C$113)</f>
        <v>#REF!</v>
      </c>
      <c r="BC113" s="11" t="e">
        <f ca="1">IF(History!BG$2="","",#REF!*$C$113)</f>
        <v>#REF!</v>
      </c>
      <c r="BD113" s="11" t="e">
        <f ca="1">IF(History!BH$2="","",#REF!*$C$113)</f>
        <v>#REF!</v>
      </c>
      <c r="BE113" s="11" t="e">
        <f ca="1">IF(History!BI$2="","",#REF!*$C$113)</f>
        <v>#REF!</v>
      </c>
      <c r="BF113" s="11" t="e">
        <f ca="1">IF(History!BJ$2="","",#REF!*$C$113)</f>
        <v>#REF!</v>
      </c>
      <c r="BG113" s="11" t="e">
        <f ca="1">IF(History!BK$2="","",#REF!*$C$113)</f>
        <v>#REF!</v>
      </c>
      <c r="BH113" s="11" t="e">
        <f ca="1">IF(History!BL$2="","",#REF!*$C$113)</f>
        <v>#REF!</v>
      </c>
      <c r="BI113" s="11" t="e">
        <f ca="1">IF(History!BM$2="","",#REF!*$C$113)</f>
        <v>#REF!</v>
      </c>
      <c r="BJ113" s="11" t="e">
        <f ca="1">IF(History!BN$2="","",#REF!*$C$113)</f>
        <v>#REF!</v>
      </c>
      <c r="BK113" s="11" t="e">
        <f ca="1">IF(History!BO$2="","",#REF!*$C$113)</f>
        <v>#REF!</v>
      </c>
      <c r="BL113" s="11" t="e">
        <f ca="1">IF(History!BP$2="","",#REF!*$C$113)</f>
        <v>#REF!</v>
      </c>
      <c r="BM113" s="11" t="e">
        <f ca="1">IF(History!BQ$2="","",#REF!*$C$113)</f>
        <v>#REF!</v>
      </c>
      <c r="BN113" s="11" t="e">
        <f ca="1">IF(History!BR$2="","",#REF!*$C$113)</f>
        <v>#REF!</v>
      </c>
      <c r="BO113" s="11" t="e">
        <f ca="1">IF(History!BS$2="","",#REF!*$C$113)</f>
        <v>#REF!</v>
      </c>
      <c r="BP113" s="11" t="e">
        <f ca="1">IF(History!BT$2="","",#REF!*$C$113)</f>
        <v>#REF!</v>
      </c>
      <c r="BQ113" s="11" t="e">
        <f ca="1">IF(History!BU$2="","",#REF!*$C$113)</f>
        <v>#REF!</v>
      </c>
      <c r="BR113" s="11" t="e">
        <f ca="1">IF(History!BV$2="","",#REF!*$C$113)</f>
        <v>#REF!</v>
      </c>
      <c r="BS113" s="11" t="e">
        <f ca="1">IF(History!BW$2="","",#REF!*$C$113)</f>
        <v>#REF!</v>
      </c>
      <c r="BT113" s="11" t="e">
        <f ca="1">IF(History!BX$2="","",#REF!*$C$113)</f>
        <v>#REF!</v>
      </c>
      <c r="BU113" s="11" t="e">
        <f ca="1">IF(History!BY$2="","",#REF!*$C$113)</f>
        <v>#REF!</v>
      </c>
      <c r="BV113" s="11" t="e">
        <f ca="1">IF(History!BZ$2="","",#REF!*$C$113)</f>
        <v>#REF!</v>
      </c>
      <c r="BW113" s="11" t="e">
        <f ca="1">IF(History!CA$2="","",#REF!*$C$113)</f>
        <v>#REF!</v>
      </c>
      <c r="BX113" s="11" t="e">
        <f ca="1">IF(History!CB$2="","",#REF!*$C$113)</f>
        <v>#REF!</v>
      </c>
      <c r="BY113" s="11" t="e">
        <f ca="1">IF(History!CC$2="","",#REF!*$C$113)</f>
        <v>#REF!</v>
      </c>
      <c r="BZ113" s="11" t="e">
        <f ca="1">IF(History!CD$2="","",#REF!*$C$113)</f>
        <v>#REF!</v>
      </c>
      <c r="CA113" s="11" t="e">
        <f ca="1">IF(History!CE$2="","",#REF!*$C$113)</f>
        <v>#REF!</v>
      </c>
      <c r="CB113" s="11" t="e">
        <f ca="1">IF(History!CF$2="","",#REF!*$C$113)</f>
        <v>#REF!</v>
      </c>
      <c r="CC113" s="11" t="e">
        <f ca="1">IF(History!CG$2="","",#REF!*$C$113)</f>
        <v>#REF!</v>
      </c>
      <c r="CD113" s="11" t="e">
        <f ca="1">IF(History!CH$2="","",#REF!*$C$113)</f>
        <v>#REF!</v>
      </c>
      <c r="CE113" s="11" t="e">
        <f ca="1">IF(History!CI$2="","",#REF!*$C$113)</f>
        <v>#REF!</v>
      </c>
      <c r="CF113" s="11" t="str">
        <f ca="1">IF(History!CJ$2="","",#REF!*$C$113)</f>
        <v/>
      </c>
      <c r="CG113" s="11" t="str">
        <f ca="1">IF(History!CK$2="","",#REF!*$C$113)</f>
        <v/>
      </c>
      <c r="CH113" s="11" t="str">
        <f ca="1">IF(History!CL$2="","",#REF!*$C$113)</f>
        <v/>
      </c>
      <c r="CI113" s="11" t="str">
        <f ca="1">IF(History!CM$2="","",#REF!*$C$113)</f>
        <v/>
      </c>
      <c r="CJ113" s="11" t="str">
        <f ca="1">IF(History!CN$2="","",#REF!*$C$113)</f>
        <v/>
      </c>
      <c r="CK113" s="11" t="str">
        <f ca="1">IF(History!CO$2="","",#REF!*$C$113)</f>
        <v/>
      </c>
      <c r="CL113" s="11" t="str">
        <f ca="1">IF(History!CP$2="","",#REF!*$C$113)</f>
        <v/>
      </c>
      <c r="CM113" s="11" t="str">
        <f ca="1">IF(History!CQ$2="","",#REF!*$C$113)</f>
        <v/>
      </c>
      <c r="CN113" s="11" t="str">
        <f ca="1">IF(History!CR$2="","",#REF!*$C$113)</f>
        <v/>
      </c>
      <c r="CO113" s="11" t="str">
        <f ca="1">IF(History!CS$2="","",#REF!*$C$113)</f>
        <v/>
      </c>
      <c r="CP113" s="11" t="str">
        <f ca="1">IF(History!CT$2="","",#REF!*$C$113)</f>
        <v/>
      </c>
      <c r="CQ113" s="11" t="str">
        <f ca="1">IF(History!CU$2="","",#REF!*$C$113)</f>
        <v/>
      </c>
      <c r="CR113" s="11" t="str">
        <f ca="1">IF(History!CV$2="","",#REF!*$C$113)</f>
        <v/>
      </c>
      <c r="CS113" s="11" t="str">
        <f ca="1">IF(History!CW$2="","",#REF!*$C$113)</f>
        <v/>
      </c>
      <c r="CT113" s="11" t="str">
        <f ca="1">IF(History!CX$2="","",#REF!*$C$113)</f>
        <v/>
      </c>
      <c r="CU113" s="11" t="str">
        <f ca="1">IF(History!CY$2="","",#REF!*$C$113)</f>
        <v/>
      </c>
      <c r="CV113" s="11" t="str">
        <f ca="1">IF(History!CZ$2="","",#REF!*$C$113)</f>
        <v/>
      </c>
      <c r="CW113" s="11" t="str">
        <f ca="1">IF(History!DA$2="","",#REF!*$C$113)</f>
        <v/>
      </c>
      <c r="CX113" s="11" t="str">
        <f ca="1">IF(History!DB$2="","",#REF!*$C$113)</f>
        <v/>
      </c>
      <c r="CY113" s="11" t="str">
        <f ca="1">IF(History!DC$2="","",#REF!*$C$113)</f>
        <v/>
      </c>
      <c r="CZ113" s="11" t="str">
        <f ca="1">IF(History!DD$2="","",#REF!*$C$113)</f>
        <v/>
      </c>
      <c r="DA113" s="11" t="str">
        <f ca="1">IF(History!DE$2="","",#REF!*$C$113)</f>
        <v/>
      </c>
      <c r="DB113" s="11" t="str">
        <f ca="1">IF(History!DF$2="","",#REF!*$C$113)</f>
        <v/>
      </c>
      <c r="DC113" s="11" t="str">
        <f ca="1">IF(History!DG$2="","",#REF!*$C$113)</f>
        <v/>
      </c>
      <c r="DD113" s="11" t="str">
        <f ca="1">IF(History!DH$2="","",#REF!*$C$113)</f>
        <v/>
      </c>
      <c r="DE113" s="11" t="str">
        <f ca="1">IF(History!DI$2="","",#REF!*$C$113)</f>
        <v/>
      </c>
      <c r="DF113" s="11" t="str">
        <f ca="1">IF(History!DJ$2="","",#REF!*$C$113)</f>
        <v/>
      </c>
      <c r="DG113" s="11" t="str">
        <f ca="1">IF(History!DK$2="","",#REF!*$C$113)</f>
        <v/>
      </c>
      <c r="DH113" s="11" t="str">
        <f ca="1">IF(History!DL$2="","",#REF!*$C$113)</f>
        <v/>
      </c>
      <c r="DI113" s="11" t="str">
        <f ca="1">IF(History!DM$2="","",#REF!*$C$113)</f>
        <v/>
      </c>
      <c r="DJ113" s="11" t="str">
        <f ca="1">IF(History!DN$2="","",#REF!*$C$113)</f>
        <v/>
      </c>
      <c r="DK113" s="11" t="str">
        <f ca="1">IF(History!DO$2="","",#REF!*$C$113)</f>
        <v/>
      </c>
      <c r="DL113" s="11" t="str">
        <f ca="1">IF(History!DP$2="","",#REF!*$C$113)</f>
        <v/>
      </c>
      <c r="DM113" s="11" t="str">
        <f ca="1">IF(History!DQ$2="","",#REF!*$C$113)</f>
        <v/>
      </c>
      <c r="DN113" s="11" t="str">
        <f ca="1">IF(History!DR$2="","",#REF!*$C$113)</f>
        <v/>
      </c>
      <c r="DO113" s="11" t="str">
        <f ca="1">IF(History!DS$2="","",#REF!*$C$113)</f>
        <v/>
      </c>
      <c r="DP113" s="11" t="str">
        <f ca="1">IF(History!DT$2="","",#REF!*$C$113)</f>
        <v/>
      </c>
      <c r="DQ113" s="11" t="str">
        <f ca="1">IF(History!DU$2="","",#REF!*$C$113)</f>
        <v/>
      </c>
      <c r="DR113" s="11" t="str">
        <f ca="1">IF(History!DV$2="","",#REF!*$C$113)</f>
        <v/>
      </c>
      <c r="DS113" s="11" t="str">
        <f ca="1">IF(History!DW$2="","",#REF!*$C$113)</f>
        <v/>
      </c>
      <c r="DT113" s="11" t="str">
        <f ca="1">IF(History!DX$2="","",#REF!*$C$113)</f>
        <v/>
      </c>
      <c r="DU113" s="11" t="str">
        <f ca="1">IF(History!DY$2="","",#REF!*$C$113)</f>
        <v/>
      </c>
      <c r="DV113" s="11" t="str">
        <f ca="1">IF(History!DZ$2="","",#REF!*$C$113)</f>
        <v/>
      </c>
      <c r="DW113" s="11" t="str">
        <f ca="1">IF(History!EA$2="","",#REF!*$C$113)</f>
        <v/>
      </c>
      <c r="DX113" s="11" t="str">
        <f ca="1">IF(History!EB$2="","",#REF!*$C$113)</f>
        <v/>
      </c>
      <c r="DY113" s="11" t="str">
        <f ca="1">IF(History!EC$2="","",#REF!*$C$113)</f>
        <v/>
      </c>
      <c r="DZ113" s="11" t="str">
        <f ca="1">IF(History!ED$2="","",#REF!*$C$113)</f>
        <v/>
      </c>
      <c r="EA113" s="11" t="str">
        <f ca="1">IF(History!EE$2="","",#REF!*$C$113)</f>
        <v/>
      </c>
      <c r="EB113" s="11" t="str">
        <f ca="1">IF(History!EF$2="","",#REF!*$C$113)</f>
        <v/>
      </c>
      <c r="EC113" s="11" t="str">
        <f ca="1">IF(History!EG$2="","",#REF!*$C$113)</f>
        <v/>
      </c>
      <c r="ED113" s="11" t="str">
        <f ca="1">IF(History!EH$2="","",#REF!*$C$113)</f>
        <v/>
      </c>
      <c r="EE113" s="11" t="str">
        <f ca="1">IF(History!EI$2="","",#REF!*$C$113)</f>
        <v/>
      </c>
      <c r="EF113" s="11" t="str">
        <f ca="1">IF(History!EJ$2="","",#REF!*$C$113)</f>
        <v/>
      </c>
      <c r="EG113" s="11" t="str">
        <f ca="1">IF(History!EK$2="","",#REF!*$C$113)</f>
        <v/>
      </c>
      <c r="EH113" s="11" t="str">
        <f ca="1">IF(History!EL$2="","",#REF!*$C$113)</f>
        <v/>
      </c>
      <c r="EI113" s="11" t="str">
        <f ca="1">IF(History!EM$2="","",#REF!*$C$113)</f>
        <v/>
      </c>
      <c r="EJ113" s="11" t="str">
        <f ca="1">IF(History!EN$2="","",#REF!*$C$113)</f>
        <v/>
      </c>
      <c r="EK113" s="11" t="str">
        <f ca="1">IF(History!EO$2="","",#REF!*$C$113)</f>
        <v/>
      </c>
      <c r="EL113" s="11" t="str">
        <f ca="1">IF(History!EP$2="","",#REF!*$C$113)</f>
        <v/>
      </c>
      <c r="EM113" s="11" t="str">
        <f ca="1">IF(History!EQ$2="","",#REF!*$C$113)</f>
        <v/>
      </c>
      <c r="EN113" s="11" t="str">
        <f ca="1">IF(History!ER$2="","",#REF!*$C$113)</f>
        <v/>
      </c>
      <c r="EO113" s="11" t="str">
        <f ca="1">IF(History!ES$2="","",#REF!*$C$113)</f>
        <v/>
      </c>
      <c r="EP113" s="11" t="str">
        <f ca="1">IF(History!ET$2="","",#REF!*$C$113)</f>
        <v/>
      </c>
      <c r="EQ113" s="11" t="str">
        <f ca="1">IF(History!EU$2="","",#REF!*$C$113)</f>
        <v/>
      </c>
      <c r="ER113" s="11" t="str">
        <f ca="1">IF(History!EV$2="","",#REF!*$C$113)</f>
        <v/>
      </c>
      <c r="ES113" s="11" t="str">
        <f ca="1">IF(History!EW$2="","",#REF!*$C$113)</f>
        <v/>
      </c>
      <c r="ET113" s="11" t="str">
        <f ca="1">IF(History!EX$2="","",#REF!*$C$113)</f>
        <v/>
      </c>
      <c r="EU113" s="11" t="str">
        <f ca="1">IF(History!EY$2="","",#REF!*$C$113)</f>
        <v/>
      </c>
      <c r="EV113" s="11" t="str">
        <f ca="1">IF(History!EZ$2="","",#REF!*$C$113)</f>
        <v/>
      </c>
      <c r="EW113" s="11" t="str">
        <f ca="1">IF(History!FA$2="","",#REF!*$C$113)</f>
        <v/>
      </c>
      <c r="EX113" s="11" t="str">
        <f ca="1">IF(History!FB$2="","",#REF!*$C$113)</f>
        <v/>
      </c>
      <c r="EY113" s="11" t="str">
        <f ca="1">IF(History!FC$2="","",#REF!*$C$113)</f>
        <v/>
      </c>
      <c r="EZ113" s="11" t="str">
        <f ca="1">IF(History!FD$2="","",#REF!*$C$113)</f>
        <v/>
      </c>
      <c r="FA113" s="11" t="str">
        <f ca="1">IF(History!FE$2="","",#REF!*$C$113)</f>
        <v/>
      </c>
      <c r="FB113" s="11" t="str">
        <f ca="1">IF(History!FF$2="","",#REF!*$C$113)</f>
        <v/>
      </c>
      <c r="FC113" s="11" t="str">
        <f ca="1">IF(History!FG$2="","",#REF!*$C$113)</f>
        <v/>
      </c>
      <c r="FD113" s="11" t="str">
        <f ca="1">IF(History!FH$2="","",#REF!*$C$113)</f>
        <v/>
      </c>
      <c r="FE113" s="11" t="str">
        <f ca="1">IF(History!FI$2="","",#REF!*$C$113)</f>
        <v/>
      </c>
      <c r="FF113" s="11" t="str">
        <f ca="1">IF(History!FJ$2="","",#REF!*$C$113)</f>
        <v/>
      </c>
      <c r="FG113" s="11" t="str">
        <f ca="1">IF(History!FK$2="","",#REF!*$C$113)</f>
        <v/>
      </c>
      <c r="FH113" s="11" t="str">
        <f ca="1">IF(History!FL$2="","",#REF!*$C$113)</f>
        <v/>
      </c>
      <c r="FI113" s="11" t="str">
        <f ca="1">IF(History!FM$2="","",#REF!*$C$113)</f>
        <v/>
      </c>
      <c r="FJ113" s="11" t="str">
        <f ca="1">IF(History!FN$2="","",#REF!*$C$113)</f>
        <v/>
      </c>
      <c r="FK113" s="11" t="str">
        <f ca="1">IF(History!FO$2="","",#REF!*$C$113)</f>
        <v/>
      </c>
      <c r="FL113" s="11" t="str">
        <f ca="1">IF(History!FP$2="","",#REF!*$C$113)</f>
        <v/>
      </c>
      <c r="FM113" s="11" t="str">
        <f ca="1">IF(History!FQ$2="","",#REF!*$C$113)</f>
        <v/>
      </c>
      <c r="FN113" s="11" t="str">
        <f ca="1">IF(History!FR$2="","",#REF!*$C$113)</f>
        <v/>
      </c>
      <c r="FO113" s="11" t="str">
        <f ca="1">IF(History!FS$2="","",#REF!*$C$113)</f>
        <v/>
      </c>
      <c r="FP113" s="11" t="str">
        <f ca="1">IF(History!FT$2="","",#REF!*$C$113)</f>
        <v/>
      </c>
      <c r="FQ113" s="11" t="str">
        <f ca="1">IF(History!FU$2="","",#REF!*$C$113)</f>
        <v/>
      </c>
      <c r="FR113" s="11" t="str">
        <f ca="1">IF(History!FV$2="","",#REF!*$C$113)</f>
        <v/>
      </c>
      <c r="FS113" s="11" t="str">
        <f ca="1">IF(History!FW$2="","",#REF!*$C$113)</f>
        <v/>
      </c>
      <c r="FT113" s="11" t="str">
        <f ca="1">IF(History!FX$2="","",#REF!*$C$113)</f>
        <v/>
      </c>
      <c r="FU113" s="11" t="str">
        <f ca="1">IF(History!FY$2="","",#REF!*$C$113)</f>
        <v/>
      </c>
      <c r="FV113" s="11" t="str">
        <f ca="1">IF(History!FZ$2="","",#REF!*$C$113)</f>
        <v/>
      </c>
      <c r="FW113" s="11" t="str">
        <f ca="1">IF(History!GA$2="","",#REF!*$C$113)</f>
        <v/>
      </c>
      <c r="FX113" s="11" t="str">
        <f ca="1">IF(History!GB$2="","",#REF!*$C$113)</f>
        <v/>
      </c>
      <c r="FY113" s="11" t="str">
        <f ca="1">IF(History!GC$2="","",#REF!*$C$113)</f>
        <v/>
      </c>
      <c r="FZ113" s="11" t="str">
        <f ca="1">IF(History!GD$2="","",#REF!*$C$113)</f>
        <v/>
      </c>
      <c r="GA113" s="11" t="str">
        <f ca="1">IF(History!GE$2="","",#REF!*$C$113)</f>
        <v/>
      </c>
      <c r="GB113" s="11" t="str">
        <f ca="1">IF(History!GF$2="","",#REF!*$C$113)</f>
        <v/>
      </c>
      <c r="GC113" s="11" t="str">
        <f ca="1">IF(History!GG$2="","",#REF!*$C$113)</f>
        <v/>
      </c>
      <c r="GD113" s="11" t="str">
        <f ca="1">IF(History!GH$2="","",#REF!*$C$113)</f>
        <v/>
      </c>
      <c r="GE113" s="11" t="str">
        <f ca="1">IF(History!GI$2="","",#REF!*$C$113)</f>
        <v/>
      </c>
      <c r="GF113" s="11" t="str">
        <f ca="1">IF(History!GJ$2="","",#REF!*$C$113)</f>
        <v/>
      </c>
      <c r="GG113" s="11" t="str">
        <f ca="1">IF(History!GK$2="","",#REF!*$C$113)</f>
        <v/>
      </c>
      <c r="GH113" s="11" t="str">
        <f ca="1">IF(History!GL$2="","",#REF!*$C$113)</f>
        <v/>
      </c>
      <c r="GI113" s="11" t="str">
        <f ca="1">IF(History!GM$2="","",#REF!*$C$113)</f>
        <v/>
      </c>
      <c r="GJ113" s="11" t="str">
        <f ca="1">IF(History!GN$2="","",#REF!*$C$113)</f>
        <v/>
      </c>
      <c r="GK113" s="11" t="str">
        <f ca="1">IF(History!GO$2="","",#REF!*$C$113)</f>
        <v/>
      </c>
      <c r="GL113" s="11" t="str">
        <f ca="1">IF(History!GP$2="","",#REF!*$C$113)</f>
        <v/>
      </c>
      <c r="GM113" s="11" t="str">
        <f ca="1">IF(History!GQ$2="","",#REF!*$C$113)</f>
        <v/>
      </c>
      <c r="GN113" s="11" t="str">
        <f ca="1">IF(History!GR$2="","",#REF!*$C$113)</f>
        <v/>
      </c>
      <c r="GO113" s="11" t="str">
        <f ca="1">IF(History!GS$2="","",#REF!*$C$113)</f>
        <v/>
      </c>
      <c r="GP113" s="11" t="str">
        <f ca="1">IF(History!GT$2="","",#REF!*$C$113)</f>
        <v/>
      </c>
      <c r="GQ113" s="11" t="str">
        <f ca="1">IF(History!GU$2="","",#REF!*$C$113)</f>
        <v/>
      </c>
      <c r="GR113" s="11" t="str">
        <f ca="1">IF(History!GV$2="","",#REF!*$C$113)</f>
        <v/>
      </c>
      <c r="GS113" s="11" t="str">
        <f ca="1">IF(History!GW$2="","",#REF!*$C$113)</f>
        <v/>
      </c>
      <c r="GT113" s="11" t="str">
        <f ca="1">IF(History!GX$2="","",#REF!*$C$113)</f>
        <v/>
      </c>
      <c r="GU113" s="11" t="str">
        <f ca="1">IF(History!GY$2="","",#REF!*$C$113)</f>
        <v/>
      </c>
      <c r="GV113" s="11" t="str">
        <f ca="1">IF(History!GZ$2="","",#REF!*$C$113)</f>
        <v/>
      </c>
      <c r="GW113" s="11" t="str">
        <f ca="1">IF(History!HA$2="","",#REF!*$C$113)</f>
        <v/>
      </c>
      <c r="GX113" s="11" t="str">
        <f ca="1">IF(History!HB$2="","",#REF!*$C$113)</f>
        <v/>
      </c>
      <c r="GY113" s="11" t="str">
        <f ca="1">IF(History!HC$2="","",#REF!*$C$113)</f>
        <v/>
      </c>
      <c r="GZ113" s="11" t="str">
        <f ca="1">IF(History!HD$2="","",#REF!*$C$113)</f>
        <v/>
      </c>
      <c r="HA113" s="11" t="str">
        <f ca="1">IF(History!HE$2="","",#REF!*$C$113)</f>
        <v/>
      </c>
      <c r="HB113" s="11" t="str">
        <f ca="1">IF(History!HF$2="","",#REF!*$C$113)</f>
        <v/>
      </c>
      <c r="HC113" s="11" t="str">
        <f ca="1">IF(History!HG$2="","",#REF!*$C$113)</f>
        <v/>
      </c>
      <c r="HD113" s="11" t="str">
        <f ca="1">IF(History!HH$2="","",#REF!*$C$113)</f>
        <v/>
      </c>
      <c r="HE113" s="11" t="str">
        <f ca="1">IF(History!HI$2="","",#REF!*$C$113)</f>
        <v/>
      </c>
      <c r="HF113" s="11" t="str">
        <f ca="1">IF(History!HJ$2="","",#REF!*$C$113)</f>
        <v/>
      </c>
      <c r="HG113" s="11" t="str">
        <f ca="1">IF(History!HK$2="","",#REF!*$C$113)</f>
        <v/>
      </c>
      <c r="HH113" s="11" t="str">
        <f ca="1">IF(History!HL$2="","",#REF!*$C$113)</f>
        <v/>
      </c>
      <c r="HI113" s="11" t="str">
        <f ca="1">IF(History!HM$2="","",#REF!*$C$113)</f>
        <v/>
      </c>
      <c r="HJ113" s="11" t="str">
        <f ca="1">IF(History!HN$2="","",#REF!*$C$113)</f>
        <v/>
      </c>
      <c r="HK113" s="11" t="str">
        <f ca="1">IF(History!HO$2="","",#REF!*$C$113)</f>
        <v/>
      </c>
      <c r="HL113" s="11" t="str">
        <f ca="1">IF(History!HP$2="","",#REF!*$C$113)</f>
        <v/>
      </c>
      <c r="HM113" s="11" t="str">
        <f ca="1">IF(History!HQ$2="","",#REF!*$C$113)</f>
        <v/>
      </c>
      <c r="HN113" s="11" t="str">
        <f ca="1">IF(History!HR$2="","",#REF!*$C$113)</f>
        <v/>
      </c>
      <c r="HO113" s="11" t="str">
        <f ca="1">IF(History!HS$2="","",#REF!*$C$113)</f>
        <v/>
      </c>
      <c r="HP113" s="11" t="str">
        <f ca="1">IF(History!HT$2="","",#REF!*$C$113)</f>
        <v/>
      </c>
      <c r="HQ113" s="11" t="str">
        <f ca="1">IF(History!HU$2="","",#REF!*$C$113)</f>
        <v/>
      </c>
      <c r="HR113" s="11" t="str">
        <f ca="1">IF(History!HV$2="","",#REF!*$C$113)</f>
        <v/>
      </c>
      <c r="HS113" s="11" t="str">
        <f ca="1">IF(History!HW$2="","",#REF!*$C$113)</f>
        <v/>
      </c>
      <c r="HT113" s="11" t="str">
        <f ca="1">IF(History!HX$2="","",#REF!*$C$113)</f>
        <v/>
      </c>
      <c r="HU113" s="11" t="str">
        <f ca="1">IF(History!HY$2="","",#REF!*$C$113)</f>
        <v/>
      </c>
      <c r="HV113" s="11" t="str">
        <f ca="1">IF(History!HZ$2="","",#REF!*$C$113)</f>
        <v/>
      </c>
      <c r="HW113" s="11" t="str">
        <f ca="1">IF(History!IA$2="","",#REF!*$C$113)</f>
        <v/>
      </c>
      <c r="HX113" s="11" t="str">
        <f ca="1">IF(History!IB$2="","",#REF!*$C$113)</f>
        <v/>
      </c>
      <c r="HY113" s="11" t="str">
        <f ca="1">IF(History!IC$2="","",#REF!*$C$113)</f>
        <v/>
      </c>
      <c r="HZ113" s="11" t="str">
        <f ca="1">IF(History!ID$2="","",#REF!*$C$113)</f>
        <v/>
      </c>
      <c r="IA113" s="11" t="str">
        <f ca="1">IF(History!IE$2="","",#REF!*$C$113)</f>
        <v/>
      </c>
      <c r="IB113" s="11" t="str">
        <f ca="1">IF(History!IF$2="","",#REF!*$C$113)</f>
        <v/>
      </c>
      <c r="IC113" s="11" t="str">
        <f ca="1">IF(History!IG$2="","",#REF!*$C$113)</f>
        <v/>
      </c>
      <c r="ID113" s="11" t="str">
        <f ca="1">IF(History!IH$2="","",#REF!*$C$113)</f>
        <v/>
      </c>
      <c r="IE113" s="11" t="str">
        <f ca="1">IF(History!II$2="","",#REF!*$C$113)</f>
        <v/>
      </c>
      <c r="IF113" s="11" t="str">
        <f ca="1">IF(History!IJ$2="","",#REF!*$C$113)</f>
        <v/>
      </c>
      <c r="IG113" s="11" t="str">
        <f ca="1">IF(History!IK$2="","",#REF!*$C$113)</f>
        <v/>
      </c>
      <c r="IH113" s="11" t="str">
        <f ca="1">IF(History!IL$2="","",#REF!*$C$113)</f>
        <v/>
      </c>
      <c r="II113" s="11" t="str">
        <f ca="1">IF(History!IM$2="","",#REF!*$C$113)</f>
        <v/>
      </c>
      <c r="IJ113" s="11" t="str">
        <f ca="1">IF(History!IN$2="","",#REF!*$C$113)</f>
        <v/>
      </c>
      <c r="IK113" s="11" t="str">
        <f ca="1">IF(History!IO$2="","",#REF!*$C$113)</f>
        <v/>
      </c>
      <c r="IL113" s="11" t="str">
        <f ca="1">IF(History!IP$2="","",#REF!*$C$113)</f>
        <v/>
      </c>
      <c r="IM113" s="11" t="str">
        <f ca="1">IF(History!IQ$2="","",#REF!*$C$113)</f>
        <v/>
      </c>
      <c r="IN113" s="11" t="str">
        <f ca="1">IF(History!IR$2="","",#REF!*$C$113)</f>
        <v/>
      </c>
      <c r="IO113" s="11" t="str">
        <f ca="1">IF(History!IS$2="","",#REF!*$C$113)</f>
        <v/>
      </c>
      <c r="IP113" s="11" t="str">
        <f ca="1">IF(History!IT$2="","",#REF!*$C$113)</f>
        <v/>
      </c>
      <c r="IQ113" s="11" t="str">
        <f ca="1">IF(History!IU$2="","",#REF!*$C$113)</f>
        <v/>
      </c>
      <c r="IR113" s="11" t="str">
        <f ca="1">IF(History!IV$2="","",#REF!*$C$113)</f>
        <v/>
      </c>
      <c r="IS113" s="11" t="str">
        <f ca="1">IF(History!IW$2="","",#REF!*$C$113)</f>
        <v/>
      </c>
      <c r="IT113" s="11" t="str">
        <f ca="1">IF(History!IX$2="","",#REF!*$C$113)</f>
        <v/>
      </c>
      <c r="IU113" s="11" t="str">
        <f ca="1">IF(History!IY$2="","",#REF!*$C$113)</f>
        <v/>
      </c>
      <c r="IV113" s="11" t="str">
        <f ca="1">IF(History!IZ$2="","",#REF!*$C$113)</f>
        <v/>
      </c>
      <c r="IW113" s="11" t="str">
        <f ca="1">IF(History!JA$2="","",#REF!*$C$113)</f>
        <v/>
      </c>
      <c r="IX113" s="11" t="str">
        <f ca="1">IF(History!JB$2="","",#REF!*$C$113)</f>
        <v/>
      </c>
      <c r="IY113" s="11" t="str">
        <f ca="1">IF(History!JC$2="","",#REF!*$C$113)</f>
        <v/>
      </c>
      <c r="IZ113" s="11" t="str">
        <f ca="1">IF(History!JD$2="","",#REF!*$C$113)</f>
        <v/>
      </c>
      <c r="JA113" s="11" t="str">
        <f ca="1">IF(History!JE$2="","",#REF!*$C$113)</f>
        <v/>
      </c>
      <c r="JB113" s="11" t="str">
        <f ca="1">IF(History!JF$2="","",#REF!*$C$113)</f>
        <v/>
      </c>
      <c r="JC113" s="11" t="str">
        <f ca="1">IF(History!JG$2="","",#REF!*$C$113)</f>
        <v/>
      </c>
      <c r="JD113" s="11" t="str">
        <f ca="1">IF(History!JH$2="","",#REF!*$C$113)</f>
        <v/>
      </c>
      <c r="JE113" s="11" t="str">
        <f ca="1">IF(History!JI$2="","",#REF!*$C$113)</f>
        <v/>
      </c>
      <c r="JF113" s="11" t="str">
        <f ca="1">IF(History!JJ$2="","",#REF!*$C$113)</f>
        <v/>
      </c>
      <c r="JG113" s="11" t="str">
        <f ca="1">IF(History!JK$2="","",#REF!*$C$113)</f>
        <v/>
      </c>
      <c r="JH113" s="11" t="str">
        <f ca="1">IF(History!JL$2="","",#REF!*$C$113)</f>
        <v/>
      </c>
      <c r="JI113" s="11" t="str">
        <f ca="1">IF(History!JM$2="","",#REF!*$C$113)</f>
        <v/>
      </c>
      <c r="JJ113" s="11" t="str">
        <f ca="1">IF(History!JN$2="","",#REF!*$C$113)</f>
        <v/>
      </c>
      <c r="JK113" s="11" t="str">
        <f ca="1">IF(History!JO$2="","",#REF!*$C$113)</f>
        <v/>
      </c>
      <c r="JL113" s="11" t="str">
        <f ca="1">IF(History!JP$2="","",#REF!*$C$113)</f>
        <v/>
      </c>
      <c r="JM113" s="11" t="str">
        <f ca="1">IF(History!JQ$2="","",#REF!*$C$113)</f>
        <v/>
      </c>
      <c r="JN113" s="11" t="str">
        <f ca="1">IF(History!JR$2="","",#REF!*$C$113)</f>
        <v/>
      </c>
      <c r="JO113" s="11" t="str">
        <f ca="1">IF(History!JS$2="","",#REF!*$C$113)</f>
        <v/>
      </c>
      <c r="JP113" s="11" t="str">
        <f ca="1">IF(History!JT$2="","",#REF!*$C$113)</f>
        <v/>
      </c>
      <c r="JQ113" s="11" t="str">
        <f ca="1">IF(History!JU$2="","",#REF!*$C$113)</f>
        <v/>
      </c>
      <c r="JR113" s="11" t="str">
        <f ca="1">IF(History!JV$2="","",#REF!*$C$113)</f>
        <v/>
      </c>
      <c r="JS113" s="11" t="str">
        <f ca="1">IF(History!JW$2="","",#REF!*$C$113)</f>
        <v/>
      </c>
      <c r="JT113" s="11" t="str">
        <f ca="1">IF(History!JX$2="","",#REF!*$C$113)</f>
        <v/>
      </c>
      <c r="JU113" s="11" t="str">
        <f ca="1">IF(History!JY$2="","",#REF!*$C$113)</f>
        <v/>
      </c>
      <c r="JV113" s="11" t="str">
        <f ca="1">IF(History!JZ$2="","",#REF!*$C$113)</f>
        <v/>
      </c>
      <c r="JW113" s="11" t="str">
        <f ca="1">IF(History!KA$2="","",#REF!*$C$113)</f>
        <v/>
      </c>
      <c r="JX113" s="11" t="str">
        <f ca="1">IF(History!KB$2="","",#REF!*$C$113)</f>
        <v/>
      </c>
      <c r="JY113" s="11" t="str">
        <f ca="1">IF(History!KC$2="","",#REF!*$C$113)</f>
        <v/>
      </c>
      <c r="JZ113" s="11" t="str">
        <f ca="1">IF(History!KD$2="","",#REF!*$C$113)</f>
        <v/>
      </c>
      <c r="KA113" s="11" t="str">
        <f ca="1">IF(History!KE$2="","",#REF!*$C$113)</f>
        <v/>
      </c>
      <c r="KB113" s="11" t="str">
        <f ca="1">IF(History!KF$2="","",#REF!*$C$113)</f>
        <v/>
      </c>
    </row>
    <row r="114" spans="1:288" ht="13">
      <c r="A114" s="18" t="s">
        <v>140</v>
      </c>
      <c r="B114" s="6" t="s">
        <v>190</v>
      </c>
      <c r="C114" s="26">
        <v>14</v>
      </c>
      <c r="D114" s="11" t="e">
        <f ca="1">IF(History!H$2="","",#REF!*$C$114)</f>
        <v>#REF!</v>
      </c>
      <c r="E114" s="11" t="e">
        <f ca="1">IF(History!I$2="","",#REF!*$C$114)</f>
        <v>#REF!</v>
      </c>
      <c r="F114" s="11" t="e">
        <f ca="1">IF(History!J$2="","",#REF!*$C$114)</f>
        <v>#REF!</v>
      </c>
      <c r="G114" s="11" t="e">
        <f ca="1">IF(History!K$2="","",#REF!*$C$114)</f>
        <v>#REF!</v>
      </c>
      <c r="H114" s="11" t="e">
        <f ca="1">IF(History!L$2="","",#REF!*$C$114)</f>
        <v>#REF!</v>
      </c>
      <c r="I114" s="11" t="e">
        <f ca="1">IF(History!M$2="","",#REF!*$C$114)</f>
        <v>#REF!</v>
      </c>
      <c r="J114" s="11" t="e">
        <f ca="1">IF(History!N$2="","",#REF!*$C$114)</f>
        <v>#REF!</v>
      </c>
      <c r="K114" s="11" t="e">
        <f ca="1">IF(History!O$2="","",#REF!*$C$114)</f>
        <v>#REF!</v>
      </c>
      <c r="L114" s="11" t="e">
        <f ca="1">IF(History!P$2="","",#REF!*$C$114)</f>
        <v>#REF!</v>
      </c>
      <c r="M114" s="11" t="e">
        <f ca="1">IF(History!Q$2="","",#REF!*$C$114)</f>
        <v>#REF!</v>
      </c>
      <c r="N114" s="11" t="e">
        <f ca="1">IF(History!R$2="","",#REF!*$C$114)</f>
        <v>#REF!</v>
      </c>
      <c r="O114" s="11" t="e">
        <f ca="1">IF(History!S$2="","",#REF!*$C$114)</f>
        <v>#REF!</v>
      </c>
      <c r="P114" s="11" t="e">
        <f ca="1">IF(History!T$2="","",#REF!*$C$114)</f>
        <v>#REF!</v>
      </c>
      <c r="Q114" s="11" t="e">
        <f ca="1">IF(History!U$2="","",#REF!*$C$114)</f>
        <v>#REF!</v>
      </c>
      <c r="R114" s="11" t="e">
        <f ca="1">IF(History!V$2="","",#REF!*$C$114)</f>
        <v>#REF!</v>
      </c>
      <c r="S114" s="11" t="e">
        <f ca="1">IF(History!W$2="","",#REF!*$C$114)</f>
        <v>#REF!</v>
      </c>
      <c r="T114" s="11" t="e">
        <f ca="1">IF(History!X$2="","",#REF!*$C$114)</f>
        <v>#REF!</v>
      </c>
      <c r="U114" s="11" t="e">
        <f ca="1">IF(History!Y$2="","",#REF!*$C$114)</f>
        <v>#REF!</v>
      </c>
      <c r="V114" s="11" t="e">
        <f ca="1">IF(History!Z$2="","",#REF!*$C$114)</f>
        <v>#REF!</v>
      </c>
      <c r="W114" s="11" t="e">
        <f ca="1">IF(History!AA$2="","",#REF!*$C$114)</f>
        <v>#REF!</v>
      </c>
      <c r="X114" s="11" t="e">
        <f ca="1">IF(History!AB$2="","",#REF!*$C$114)</f>
        <v>#REF!</v>
      </c>
      <c r="Y114" s="11" t="e">
        <f ca="1">IF(History!AC$2="","",#REF!*$C$114)</f>
        <v>#REF!</v>
      </c>
      <c r="Z114" s="11" t="e">
        <f ca="1">IF(History!AD$2="","",#REF!*$C$114)</f>
        <v>#REF!</v>
      </c>
      <c r="AA114" s="11" t="e">
        <f ca="1">IF(History!AE$2="","",#REF!*$C$114)</f>
        <v>#REF!</v>
      </c>
      <c r="AB114" s="11" t="e">
        <f ca="1">IF(History!AF$2="","",#REF!*$C$114)</f>
        <v>#REF!</v>
      </c>
      <c r="AC114" s="11" t="e">
        <f ca="1">IF(History!AG$2="","",#REF!*$C$114)</f>
        <v>#REF!</v>
      </c>
      <c r="AD114" s="11" t="e">
        <f ca="1">IF(History!AH$2="","",#REF!*$C$114)</f>
        <v>#REF!</v>
      </c>
      <c r="AE114" s="11" t="e">
        <f ca="1">IF(History!AI$2="","",#REF!*$C$114)</f>
        <v>#REF!</v>
      </c>
      <c r="AF114" s="11" t="e">
        <f ca="1">IF(History!AJ$2="","",#REF!*$C$114)</f>
        <v>#REF!</v>
      </c>
      <c r="AG114" s="11" t="e">
        <f ca="1">IF(History!AK$2="","",#REF!*$C$114)</f>
        <v>#REF!</v>
      </c>
      <c r="AH114" s="11" t="e">
        <f ca="1">IF(History!AL$2="","",#REF!*$C$114)</f>
        <v>#REF!</v>
      </c>
      <c r="AI114" s="11" t="e">
        <f ca="1">IF(History!AM$2="","",#REF!*$C$114)</f>
        <v>#REF!</v>
      </c>
      <c r="AJ114" s="11" t="e">
        <f ca="1">IF(History!AN$2="","",#REF!*$C$114)</f>
        <v>#REF!</v>
      </c>
      <c r="AK114" s="11" t="e">
        <f ca="1">IF(History!AO$2="","",#REF!*$C$114)</f>
        <v>#REF!</v>
      </c>
      <c r="AL114" s="11" t="e">
        <f ca="1">IF(History!AP$2="","",#REF!*$C$114)</f>
        <v>#REF!</v>
      </c>
      <c r="AM114" s="11" t="e">
        <f ca="1">IF(History!AQ$2="","",#REF!*$C$114)</f>
        <v>#REF!</v>
      </c>
      <c r="AN114" s="11" t="e">
        <f ca="1">IF(History!AR$2="","",#REF!*$C$114)</f>
        <v>#REF!</v>
      </c>
      <c r="AO114" s="11" t="e">
        <f ca="1">IF(History!AS$2="","",#REF!*$C$114)</f>
        <v>#REF!</v>
      </c>
      <c r="AP114" s="11" t="e">
        <f ca="1">IF(History!AT$2="","",#REF!*$C$114)</f>
        <v>#REF!</v>
      </c>
      <c r="AQ114" s="11" t="e">
        <f ca="1">IF(History!AU$2="","",#REF!*$C$114)</f>
        <v>#REF!</v>
      </c>
      <c r="AR114" s="11" t="e">
        <f ca="1">IF(History!AV$2="","",#REF!*$C$114)</f>
        <v>#REF!</v>
      </c>
      <c r="AS114" s="11" t="e">
        <f ca="1">IF(History!AW$2="","",#REF!*$C$114)</f>
        <v>#REF!</v>
      </c>
      <c r="AT114" s="11" t="e">
        <f ca="1">IF(History!AX$2="","",#REF!*$C$114)</f>
        <v>#REF!</v>
      </c>
      <c r="AU114" s="11" t="e">
        <f ca="1">IF(History!AY$2="","",#REF!*$C$114)</f>
        <v>#REF!</v>
      </c>
      <c r="AV114" s="11" t="e">
        <f ca="1">IF(History!AZ$2="","",#REF!*$C$114)</f>
        <v>#REF!</v>
      </c>
      <c r="AW114" s="11" t="e">
        <f ca="1">IF(History!BA$2="","",#REF!*$C$114)</f>
        <v>#REF!</v>
      </c>
      <c r="AX114" s="11" t="e">
        <f ca="1">IF(History!BB$2="","",#REF!*$C$114)</f>
        <v>#REF!</v>
      </c>
      <c r="AY114" s="11" t="e">
        <f ca="1">IF(History!BC$2="","",#REF!*$C$114)</f>
        <v>#REF!</v>
      </c>
      <c r="AZ114" s="11" t="e">
        <f ca="1">IF(History!BD$2="","",#REF!*$C$114)</f>
        <v>#REF!</v>
      </c>
      <c r="BA114" s="11" t="e">
        <f ca="1">IF(History!BE$2="","",#REF!*$C$114)</f>
        <v>#REF!</v>
      </c>
      <c r="BB114" s="11" t="e">
        <f ca="1">IF(History!BF$2="","",#REF!*$C$114)</f>
        <v>#REF!</v>
      </c>
      <c r="BC114" s="11" t="e">
        <f ca="1">IF(History!BG$2="","",#REF!*$C$114)</f>
        <v>#REF!</v>
      </c>
      <c r="BD114" s="11" t="e">
        <f ca="1">IF(History!BH$2="","",#REF!*$C$114)</f>
        <v>#REF!</v>
      </c>
      <c r="BE114" s="11" t="e">
        <f ca="1">IF(History!BI$2="","",#REF!*$C$114)</f>
        <v>#REF!</v>
      </c>
      <c r="BF114" s="11" t="e">
        <f ca="1">IF(History!BJ$2="","",#REF!*$C$114)</f>
        <v>#REF!</v>
      </c>
      <c r="BG114" s="11" t="e">
        <f ca="1">IF(History!BK$2="","",#REF!*$C$114)</f>
        <v>#REF!</v>
      </c>
      <c r="BH114" s="11" t="e">
        <f ca="1">IF(History!BL$2="","",#REF!*$C$114)</f>
        <v>#REF!</v>
      </c>
      <c r="BI114" s="11" t="e">
        <f ca="1">IF(History!BM$2="","",#REF!*$C$114)</f>
        <v>#REF!</v>
      </c>
      <c r="BJ114" s="11" t="e">
        <f ca="1">IF(History!BN$2="","",#REF!*$C$114)</f>
        <v>#REF!</v>
      </c>
      <c r="BK114" s="11" t="e">
        <f ca="1">IF(History!BO$2="","",#REF!*$C$114)</f>
        <v>#REF!</v>
      </c>
      <c r="BL114" s="11" t="e">
        <f ca="1">IF(History!BP$2="","",#REF!*$C$114)</f>
        <v>#REF!</v>
      </c>
      <c r="BM114" s="11" t="e">
        <f ca="1">IF(History!BQ$2="","",#REF!*$C$114)</f>
        <v>#REF!</v>
      </c>
      <c r="BN114" s="11" t="e">
        <f ca="1">IF(History!BR$2="","",#REF!*$C$114)</f>
        <v>#REF!</v>
      </c>
      <c r="BO114" s="11" t="e">
        <f ca="1">IF(History!BS$2="","",#REF!*$C$114)</f>
        <v>#REF!</v>
      </c>
      <c r="BP114" s="11" t="e">
        <f ca="1">IF(History!BT$2="","",#REF!*$C$114)</f>
        <v>#REF!</v>
      </c>
      <c r="BQ114" s="11" t="e">
        <f ca="1">IF(History!BU$2="","",#REF!*$C$114)</f>
        <v>#REF!</v>
      </c>
      <c r="BR114" s="11" t="e">
        <f ca="1">IF(History!BV$2="","",#REF!*$C$114)</f>
        <v>#REF!</v>
      </c>
      <c r="BS114" s="11" t="e">
        <f ca="1">IF(History!BW$2="","",#REF!*$C$114)</f>
        <v>#REF!</v>
      </c>
      <c r="BT114" s="11" t="e">
        <f ca="1">IF(History!BX$2="","",#REF!*$C$114)</f>
        <v>#REF!</v>
      </c>
      <c r="BU114" s="11" t="e">
        <f ca="1">IF(History!BY$2="","",#REF!*$C$114)</f>
        <v>#REF!</v>
      </c>
      <c r="BV114" s="11" t="e">
        <f ca="1">IF(History!BZ$2="","",#REF!*$C$114)</f>
        <v>#REF!</v>
      </c>
      <c r="BW114" s="11" t="e">
        <f ca="1">IF(History!CA$2="","",#REF!*$C$114)</f>
        <v>#REF!</v>
      </c>
      <c r="BX114" s="11" t="e">
        <f ca="1">IF(History!CB$2="","",#REF!*$C$114)</f>
        <v>#REF!</v>
      </c>
      <c r="BY114" s="11" t="e">
        <f ca="1">IF(History!CC$2="","",#REF!*$C$114)</f>
        <v>#REF!</v>
      </c>
      <c r="BZ114" s="11" t="e">
        <f ca="1">IF(History!CD$2="","",#REF!*$C$114)</f>
        <v>#REF!</v>
      </c>
      <c r="CA114" s="11" t="e">
        <f ca="1">IF(History!CE$2="","",#REF!*$C$114)</f>
        <v>#REF!</v>
      </c>
      <c r="CB114" s="11" t="e">
        <f ca="1">IF(History!CF$2="","",#REF!*$C$114)</f>
        <v>#REF!</v>
      </c>
      <c r="CC114" s="11" t="e">
        <f ca="1">IF(History!CG$2="","",#REF!*$C$114)</f>
        <v>#REF!</v>
      </c>
      <c r="CD114" s="11" t="e">
        <f ca="1">IF(History!CH$2="","",#REF!*$C$114)</f>
        <v>#REF!</v>
      </c>
      <c r="CE114" s="11" t="e">
        <f ca="1">IF(History!CI$2="","",#REF!*$C$114)</f>
        <v>#REF!</v>
      </c>
      <c r="CF114" s="11" t="str">
        <f ca="1">IF(History!CJ$2="","",#REF!*$C$114)</f>
        <v/>
      </c>
      <c r="CG114" s="11" t="str">
        <f ca="1">IF(History!CK$2="","",#REF!*$C$114)</f>
        <v/>
      </c>
      <c r="CH114" s="11" t="str">
        <f ca="1">IF(History!CL$2="","",#REF!*$C$114)</f>
        <v/>
      </c>
      <c r="CI114" s="11" t="str">
        <f ca="1">IF(History!CM$2="","",#REF!*$C$114)</f>
        <v/>
      </c>
      <c r="CJ114" s="11" t="str">
        <f ca="1">IF(History!CN$2="","",#REF!*$C$114)</f>
        <v/>
      </c>
      <c r="CK114" s="11" t="str">
        <f ca="1">IF(History!CO$2="","",#REF!*$C$114)</f>
        <v/>
      </c>
      <c r="CL114" s="11" t="str">
        <f ca="1">IF(History!CP$2="","",#REF!*$C$114)</f>
        <v/>
      </c>
      <c r="CM114" s="11" t="str">
        <f ca="1">IF(History!CQ$2="","",#REF!*$C$114)</f>
        <v/>
      </c>
      <c r="CN114" s="11" t="str">
        <f ca="1">IF(History!CR$2="","",#REF!*$C$114)</f>
        <v/>
      </c>
      <c r="CO114" s="11" t="str">
        <f ca="1">IF(History!CS$2="","",#REF!*$C$114)</f>
        <v/>
      </c>
      <c r="CP114" s="11" t="str">
        <f ca="1">IF(History!CT$2="","",#REF!*$C$114)</f>
        <v/>
      </c>
      <c r="CQ114" s="11" t="str">
        <f ca="1">IF(History!CU$2="","",#REF!*$C$114)</f>
        <v/>
      </c>
      <c r="CR114" s="11" t="str">
        <f ca="1">IF(History!CV$2="","",#REF!*$C$114)</f>
        <v/>
      </c>
      <c r="CS114" s="11" t="str">
        <f ca="1">IF(History!CW$2="","",#REF!*$C$114)</f>
        <v/>
      </c>
      <c r="CT114" s="11" t="str">
        <f ca="1">IF(History!CX$2="","",#REF!*$C$114)</f>
        <v/>
      </c>
      <c r="CU114" s="11" t="str">
        <f ca="1">IF(History!CY$2="","",#REF!*$C$114)</f>
        <v/>
      </c>
      <c r="CV114" s="11" t="str">
        <f ca="1">IF(History!CZ$2="","",#REF!*$C$114)</f>
        <v/>
      </c>
      <c r="CW114" s="11" t="str">
        <f ca="1">IF(History!DA$2="","",#REF!*$C$114)</f>
        <v/>
      </c>
      <c r="CX114" s="11" t="str">
        <f ca="1">IF(History!DB$2="","",#REF!*$C$114)</f>
        <v/>
      </c>
      <c r="CY114" s="11" t="str">
        <f ca="1">IF(History!DC$2="","",#REF!*$C$114)</f>
        <v/>
      </c>
      <c r="CZ114" s="11" t="str">
        <f ca="1">IF(History!DD$2="","",#REF!*$C$114)</f>
        <v/>
      </c>
      <c r="DA114" s="11" t="str">
        <f ca="1">IF(History!DE$2="","",#REF!*$C$114)</f>
        <v/>
      </c>
      <c r="DB114" s="11" t="str">
        <f ca="1">IF(History!DF$2="","",#REF!*$C$114)</f>
        <v/>
      </c>
      <c r="DC114" s="11" t="str">
        <f ca="1">IF(History!DG$2="","",#REF!*$C$114)</f>
        <v/>
      </c>
      <c r="DD114" s="11" t="str">
        <f ca="1">IF(History!DH$2="","",#REF!*$C$114)</f>
        <v/>
      </c>
      <c r="DE114" s="11" t="str">
        <f ca="1">IF(History!DI$2="","",#REF!*$C$114)</f>
        <v/>
      </c>
      <c r="DF114" s="11" t="str">
        <f ca="1">IF(History!DJ$2="","",#REF!*$C$114)</f>
        <v/>
      </c>
      <c r="DG114" s="11" t="str">
        <f ca="1">IF(History!DK$2="","",#REF!*$C$114)</f>
        <v/>
      </c>
      <c r="DH114" s="11" t="str">
        <f ca="1">IF(History!DL$2="","",#REF!*$C$114)</f>
        <v/>
      </c>
      <c r="DI114" s="11" t="str">
        <f ca="1">IF(History!DM$2="","",#REF!*$C$114)</f>
        <v/>
      </c>
      <c r="DJ114" s="11" t="str">
        <f ca="1">IF(History!DN$2="","",#REF!*$C$114)</f>
        <v/>
      </c>
      <c r="DK114" s="11" t="str">
        <f ca="1">IF(History!DO$2="","",#REF!*$C$114)</f>
        <v/>
      </c>
      <c r="DL114" s="11" t="str">
        <f ca="1">IF(History!DP$2="","",#REF!*$C$114)</f>
        <v/>
      </c>
      <c r="DM114" s="11" t="str">
        <f ca="1">IF(History!DQ$2="","",#REF!*$C$114)</f>
        <v/>
      </c>
      <c r="DN114" s="11" t="str">
        <f ca="1">IF(History!DR$2="","",#REF!*$C$114)</f>
        <v/>
      </c>
      <c r="DO114" s="11" t="str">
        <f ca="1">IF(History!DS$2="","",#REF!*$C$114)</f>
        <v/>
      </c>
      <c r="DP114" s="11" t="str">
        <f ca="1">IF(History!DT$2="","",#REF!*$C$114)</f>
        <v/>
      </c>
      <c r="DQ114" s="11" t="str">
        <f ca="1">IF(History!DU$2="","",#REF!*$C$114)</f>
        <v/>
      </c>
      <c r="DR114" s="11" t="str">
        <f ca="1">IF(History!DV$2="","",#REF!*$C$114)</f>
        <v/>
      </c>
      <c r="DS114" s="11" t="str">
        <f ca="1">IF(History!DW$2="","",#REF!*$C$114)</f>
        <v/>
      </c>
      <c r="DT114" s="11" t="str">
        <f ca="1">IF(History!DX$2="","",#REF!*$C$114)</f>
        <v/>
      </c>
      <c r="DU114" s="11" t="str">
        <f ca="1">IF(History!DY$2="","",#REF!*$C$114)</f>
        <v/>
      </c>
      <c r="DV114" s="11" t="str">
        <f ca="1">IF(History!DZ$2="","",#REF!*$C$114)</f>
        <v/>
      </c>
      <c r="DW114" s="11" t="str">
        <f ca="1">IF(History!EA$2="","",#REF!*$C$114)</f>
        <v/>
      </c>
      <c r="DX114" s="11" t="str">
        <f ca="1">IF(History!EB$2="","",#REF!*$C$114)</f>
        <v/>
      </c>
      <c r="DY114" s="11" t="str">
        <f ca="1">IF(History!EC$2="","",#REF!*$C$114)</f>
        <v/>
      </c>
      <c r="DZ114" s="11" t="str">
        <f ca="1">IF(History!ED$2="","",#REF!*$C$114)</f>
        <v/>
      </c>
      <c r="EA114" s="11" t="str">
        <f ca="1">IF(History!EE$2="","",#REF!*$C$114)</f>
        <v/>
      </c>
      <c r="EB114" s="11" t="str">
        <f ca="1">IF(History!EF$2="","",#REF!*$C$114)</f>
        <v/>
      </c>
      <c r="EC114" s="11" t="str">
        <f ca="1">IF(History!EG$2="","",#REF!*$C$114)</f>
        <v/>
      </c>
      <c r="ED114" s="11" t="str">
        <f ca="1">IF(History!EH$2="","",#REF!*$C$114)</f>
        <v/>
      </c>
      <c r="EE114" s="11" t="str">
        <f ca="1">IF(History!EI$2="","",#REF!*$C$114)</f>
        <v/>
      </c>
      <c r="EF114" s="11" t="str">
        <f ca="1">IF(History!EJ$2="","",#REF!*$C$114)</f>
        <v/>
      </c>
      <c r="EG114" s="11" t="str">
        <f ca="1">IF(History!EK$2="","",#REF!*$C$114)</f>
        <v/>
      </c>
      <c r="EH114" s="11" t="str">
        <f ca="1">IF(History!EL$2="","",#REF!*$C$114)</f>
        <v/>
      </c>
      <c r="EI114" s="11" t="str">
        <f ca="1">IF(History!EM$2="","",#REF!*$C$114)</f>
        <v/>
      </c>
      <c r="EJ114" s="11" t="str">
        <f ca="1">IF(History!EN$2="","",#REF!*$C$114)</f>
        <v/>
      </c>
      <c r="EK114" s="11" t="str">
        <f ca="1">IF(History!EO$2="","",#REF!*$C$114)</f>
        <v/>
      </c>
      <c r="EL114" s="11" t="str">
        <f ca="1">IF(History!EP$2="","",#REF!*$C$114)</f>
        <v/>
      </c>
      <c r="EM114" s="11" t="str">
        <f ca="1">IF(History!EQ$2="","",#REF!*$C$114)</f>
        <v/>
      </c>
      <c r="EN114" s="11" t="str">
        <f ca="1">IF(History!ER$2="","",#REF!*$C$114)</f>
        <v/>
      </c>
      <c r="EO114" s="11" t="str">
        <f ca="1">IF(History!ES$2="","",#REF!*$C$114)</f>
        <v/>
      </c>
      <c r="EP114" s="11" t="str">
        <f ca="1">IF(History!ET$2="","",#REF!*$C$114)</f>
        <v/>
      </c>
      <c r="EQ114" s="11" t="str">
        <f ca="1">IF(History!EU$2="","",#REF!*$C$114)</f>
        <v/>
      </c>
      <c r="ER114" s="11" t="str">
        <f ca="1">IF(History!EV$2="","",#REF!*$C$114)</f>
        <v/>
      </c>
      <c r="ES114" s="11" t="str">
        <f ca="1">IF(History!EW$2="","",#REF!*$C$114)</f>
        <v/>
      </c>
      <c r="ET114" s="11" t="str">
        <f ca="1">IF(History!EX$2="","",#REF!*$C$114)</f>
        <v/>
      </c>
      <c r="EU114" s="11" t="str">
        <f ca="1">IF(History!EY$2="","",#REF!*$C$114)</f>
        <v/>
      </c>
      <c r="EV114" s="11" t="str">
        <f ca="1">IF(History!EZ$2="","",#REF!*$C$114)</f>
        <v/>
      </c>
      <c r="EW114" s="11" t="str">
        <f ca="1">IF(History!FA$2="","",#REF!*$C$114)</f>
        <v/>
      </c>
      <c r="EX114" s="11" t="str">
        <f ca="1">IF(History!FB$2="","",#REF!*$C$114)</f>
        <v/>
      </c>
      <c r="EY114" s="11" t="str">
        <f ca="1">IF(History!FC$2="","",#REF!*$C$114)</f>
        <v/>
      </c>
      <c r="EZ114" s="11" t="str">
        <f ca="1">IF(History!FD$2="","",#REF!*$C$114)</f>
        <v/>
      </c>
      <c r="FA114" s="11" t="str">
        <f ca="1">IF(History!FE$2="","",#REF!*$C$114)</f>
        <v/>
      </c>
      <c r="FB114" s="11" t="str">
        <f ca="1">IF(History!FF$2="","",#REF!*$C$114)</f>
        <v/>
      </c>
      <c r="FC114" s="11" t="str">
        <f ca="1">IF(History!FG$2="","",#REF!*$C$114)</f>
        <v/>
      </c>
      <c r="FD114" s="11" t="str">
        <f ca="1">IF(History!FH$2="","",#REF!*$C$114)</f>
        <v/>
      </c>
      <c r="FE114" s="11" t="str">
        <f ca="1">IF(History!FI$2="","",#REF!*$C$114)</f>
        <v/>
      </c>
      <c r="FF114" s="11" t="str">
        <f ca="1">IF(History!FJ$2="","",#REF!*$C$114)</f>
        <v/>
      </c>
      <c r="FG114" s="11" t="str">
        <f ca="1">IF(History!FK$2="","",#REF!*$C$114)</f>
        <v/>
      </c>
      <c r="FH114" s="11" t="str">
        <f ca="1">IF(History!FL$2="","",#REF!*$C$114)</f>
        <v/>
      </c>
      <c r="FI114" s="11" t="str">
        <f ca="1">IF(History!FM$2="","",#REF!*$C$114)</f>
        <v/>
      </c>
      <c r="FJ114" s="11" t="str">
        <f ca="1">IF(History!FN$2="","",#REF!*$C$114)</f>
        <v/>
      </c>
      <c r="FK114" s="11" t="str">
        <f ca="1">IF(History!FO$2="","",#REF!*$C$114)</f>
        <v/>
      </c>
      <c r="FL114" s="11" t="str">
        <f ca="1">IF(History!FP$2="","",#REF!*$C$114)</f>
        <v/>
      </c>
      <c r="FM114" s="11" t="str">
        <f ca="1">IF(History!FQ$2="","",#REF!*$C$114)</f>
        <v/>
      </c>
      <c r="FN114" s="11" t="str">
        <f ca="1">IF(History!FR$2="","",#REF!*$C$114)</f>
        <v/>
      </c>
      <c r="FO114" s="11" t="str">
        <f ca="1">IF(History!FS$2="","",#REF!*$C$114)</f>
        <v/>
      </c>
      <c r="FP114" s="11" t="str">
        <f ca="1">IF(History!FT$2="","",#REF!*$C$114)</f>
        <v/>
      </c>
      <c r="FQ114" s="11" t="str">
        <f ca="1">IF(History!FU$2="","",#REF!*$C$114)</f>
        <v/>
      </c>
      <c r="FR114" s="11" t="str">
        <f ca="1">IF(History!FV$2="","",#REF!*$C$114)</f>
        <v/>
      </c>
      <c r="FS114" s="11" t="str">
        <f ca="1">IF(History!FW$2="","",#REF!*$C$114)</f>
        <v/>
      </c>
      <c r="FT114" s="11" t="str">
        <f ca="1">IF(History!FX$2="","",#REF!*$C$114)</f>
        <v/>
      </c>
      <c r="FU114" s="11" t="str">
        <f ca="1">IF(History!FY$2="","",#REF!*$C$114)</f>
        <v/>
      </c>
      <c r="FV114" s="11" t="str">
        <f ca="1">IF(History!FZ$2="","",#REF!*$C$114)</f>
        <v/>
      </c>
      <c r="FW114" s="11" t="str">
        <f ca="1">IF(History!GA$2="","",#REF!*$C$114)</f>
        <v/>
      </c>
      <c r="FX114" s="11" t="str">
        <f ca="1">IF(History!GB$2="","",#REF!*$C$114)</f>
        <v/>
      </c>
      <c r="FY114" s="11" t="str">
        <f ca="1">IF(History!GC$2="","",#REF!*$C$114)</f>
        <v/>
      </c>
      <c r="FZ114" s="11" t="str">
        <f ca="1">IF(History!GD$2="","",#REF!*$C$114)</f>
        <v/>
      </c>
      <c r="GA114" s="11" t="str">
        <f ca="1">IF(History!GE$2="","",#REF!*$C$114)</f>
        <v/>
      </c>
      <c r="GB114" s="11" t="str">
        <f ca="1">IF(History!GF$2="","",#REF!*$C$114)</f>
        <v/>
      </c>
      <c r="GC114" s="11" t="str">
        <f ca="1">IF(History!GG$2="","",#REF!*$C$114)</f>
        <v/>
      </c>
      <c r="GD114" s="11" t="str">
        <f ca="1">IF(History!GH$2="","",#REF!*$C$114)</f>
        <v/>
      </c>
      <c r="GE114" s="11" t="str">
        <f ca="1">IF(History!GI$2="","",#REF!*$C$114)</f>
        <v/>
      </c>
      <c r="GF114" s="11" t="str">
        <f ca="1">IF(History!GJ$2="","",#REF!*$C$114)</f>
        <v/>
      </c>
      <c r="GG114" s="11" t="str">
        <f ca="1">IF(History!GK$2="","",#REF!*$C$114)</f>
        <v/>
      </c>
      <c r="GH114" s="11" t="str">
        <f ca="1">IF(History!GL$2="","",#REF!*$C$114)</f>
        <v/>
      </c>
      <c r="GI114" s="11" t="str">
        <f ca="1">IF(History!GM$2="","",#REF!*$C$114)</f>
        <v/>
      </c>
      <c r="GJ114" s="11" t="str">
        <f ca="1">IF(History!GN$2="","",#REF!*$C$114)</f>
        <v/>
      </c>
      <c r="GK114" s="11" t="str">
        <f ca="1">IF(History!GO$2="","",#REF!*$C$114)</f>
        <v/>
      </c>
      <c r="GL114" s="11" t="str">
        <f ca="1">IF(History!GP$2="","",#REF!*$C$114)</f>
        <v/>
      </c>
      <c r="GM114" s="11" t="str">
        <f ca="1">IF(History!GQ$2="","",#REF!*$C$114)</f>
        <v/>
      </c>
      <c r="GN114" s="11" t="str">
        <f ca="1">IF(History!GR$2="","",#REF!*$C$114)</f>
        <v/>
      </c>
      <c r="GO114" s="11" t="str">
        <f ca="1">IF(History!GS$2="","",#REF!*$C$114)</f>
        <v/>
      </c>
      <c r="GP114" s="11" t="str">
        <f ca="1">IF(History!GT$2="","",#REF!*$C$114)</f>
        <v/>
      </c>
      <c r="GQ114" s="11" t="str">
        <f ca="1">IF(History!GU$2="","",#REF!*$C$114)</f>
        <v/>
      </c>
      <c r="GR114" s="11" t="str">
        <f ca="1">IF(History!GV$2="","",#REF!*$C$114)</f>
        <v/>
      </c>
      <c r="GS114" s="11" t="str">
        <f ca="1">IF(History!GW$2="","",#REF!*$C$114)</f>
        <v/>
      </c>
      <c r="GT114" s="11" t="str">
        <f ca="1">IF(History!GX$2="","",#REF!*$C$114)</f>
        <v/>
      </c>
      <c r="GU114" s="11" t="str">
        <f ca="1">IF(History!GY$2="","",#REF!*$C$114)</f>
        <v/>
      </c>
      <c r="GV114" s="11" t="str">
        <f ca="1">IF(History!GZ$2="","",#REF!*$C$114)</f>
        <v/>
      </c>
      <c r="GW114" s="11" t="str">
        <f ca="1">IF(History!HA$2="","",#REF!*$C$114)</f>
        <v/>
      </c>
      <c r="GX114" s="11" t="str">
        <f ca="1">IF(History!HB$2="","",#REF!*$C$114)</f>
        <v/>
      </c>
      <c r="GY114" s="11" t="str">
        <f ca="1">IF(History!HC$2="","",#REF!*$C$114)</f>
        <v/>
      </c>
      <c r="GZ114" s="11" t="str">
        <f ca="1">IF(History!HD$2="","",#REF!*$C$114)</f>
        <v/>
      </c>
      <c r="HA114" s="11" t="str">
        <f ca="1">IF(History!HE$2="","",#REF!*$C$114)</f>
        <v/>
      </c>
      <c r="HB114" s="11" t="str">
        <f ca="1">IF(History!HF$2="","",#REF!*$C$114)</f>
        <v/>
      </c>
      <c r="HC114" s="11" t="str">
        <f ca="1">IF(History!HG$2="","",#REF!*$C$114)</f>
        <v/>
      </c>
      <c r="HD114" s="11" t="str">
        <f ca="1">IF(History!HH$2="","",#REF!*$C$114)</f>
        <v/>
      </c>
      <c r="HE114" s="11" t="str">
        <f ca="1">IF(History!HI$2="","",#REF!*$C$114)</f>
        <v/>
      </c>
      <c r="HF114" s="11" t="str">
        <f ca="1">IF(History!HJ$2="","",#REF!*$C$114)</f>
        <v/>
      </c>
      <c r="HG114" s="11" t="str">
        <f ca="1">IF(History!HK$2="","",#REF!*$C$114)</f>
        <v/>
      </c>
      <c r="HH114" s="11" t="str">
        <f ca="1">IF(History!HL$2="","",#REF!*$C$114)</f>
        <v/>
      </c>
      <c r="HI114" s="11" t="str">
        <f ca="1">IF(History!HM$2="","",#REF!*$C$114)</f>
        <v/>
      </c>
      <c r="HJ114" s="11" t="str">
        <f ca="1">IF(History!HN$2="","",#REF!*$C$114)</f>
        <v/>
      </c>
      <c r="HK114" s="11" t="str">
        <f ca="1">IF(History!HO$2="","",#REF!*$C$114)</f>
        <v/>
      </c>
      <c r="HL114" s="11" t="str">
        <f ca="1">IF(History!HP$2="","",#REF!*$C$114)</f>
        <v/>
      </c>
      <c r="HM114" s="11" t="str">
        <f ca="1">IF(History!HQ$2="","",#REF!*$C$114)</f>
        <v/>
      </c>
      <c r="HN114" s="11" t="str">
        <f ca="1">IF(History!HR$2="","",#REF!*$C$114)</f>
        <v/>
      </c>
      <c r="HO114" s="11" t="str">
        <f ca="1">IF(History!HS$2="","",#REF!*$C$114)</f>
        <v/>
      </c>
      <c r="HP114" s="11" t="str">
        <f ca="1">IF(History!HT$2="","",#REF!*$C$114)</f>
        <v/>
      </c>
      <c r="HQ114" s="11" t="str">
        <f ca="1">IF(History!HU$2="","",#REF!*$C$114)</f>
        <v/>
      </c>
      <c r="HR114" s="11" t="str">
        <f ca="1">IF(History!HV$2="","",#REF!*$C$114)</f>
        <v/>
      </c>
      <c r="HS114" s="11" t="str">
        <f ca="1">IF(History!HW$2="","",#REF!*$C$114)</f>
        <v/>
      </c>
      <c r="HT114" s="11" t="str">
        <f ca="1">IF(History!HX$2="","",#REF!*$C$114)</f>
        <v/>
      </c>
      <c r="HU114" s="11" t="str">
        <f ca="1">IF(History!HY$2="","",#REF!*$C$114)</f>
        <v/>
      </c>
      <c r="HV114" s="11" t="str">
        <f ca="1">IF(History!HZ$2="","",#REF!*$C$114)</f>
        <v/>
      </c>
      <c r="HW114" s="11" t="str">
        <f ca="1">IF(History!IA$2="","",#REF!*$C$114)</f>
        <v/>
      </c>
      <c r="HX114" s="11" t="str">
        <f ca="1">IF(History!IB$2="","",#REF!*$C$114)</f>
        <v/>
      </c>
      <c r="HY114" s="11" t="str">
        <f ca="1">IF(History!IC$2="","",#REF!*$C$114)</f>
        <v/>
      </c>
      <c r="HZ114" s="11" t="str">
        <f ca="1">IF(History!ID$2="","",#REF!*$C$114)</f>
        <v/>
      </c>
      <c r="IA114" s="11" t="str">
        <f ca="1">IF(History!IE$2="","",#REF!*$C$114)</f>
        <v/>
      </c>
      <c r="IB114" s="11" t="str">
        <f ca="1">IF(History!IF$2="","",#REF!*$C$114)</f>
        <v/>
      </c>
      <c r="IC114" s="11" t="str">
        <f ca="1">IF(History!IG$2="","",#REF!*$C$114)</f>
        <v/>
      </c>
      <c r="ID114" s="11" t="str">
        <f ca="1">IF(History!IH$2="","",#REF!*$C$114)</f>
        <v/>
      </c>
      <c r="IE114" s="11" t="str">
        <f ca="1">IF(History!II$2="","",#REF!*$C$114)</f>
        <v/>
      </c>
      <c r="IF114" s="11" t="str">
        <f ca="1">IF(History!IJ$2="","",#REF!*$C$114)</f>
        <v/>
      </c>
      <c r="IG114" s="11" t="str">
        <f ca="1">IF(History!IK$2="","",#REF!*$C$114)</f>
        <v/>
      </c>
      <c r="IH114" s="11" t="str">
        <f ca="1">IF(History!IL$2="","",#REF!*$C$114)</f>
        <v/>
      </c>
      <c r="II114" s="11" t="str">
        <f ca="1">IF(History!IM$2="","",#REF!*$C$114)</f>
        <v/>
      </c>
      <c r="IJ114" s="11" t="str">
        <f ca="1">IF(History!IN$2="","",#REF!*$C$114)</f>
        <v/>
      </c>
      <c r="IK114" s="11" t="str">
        <f ca="1">IF(History!IO$2="","",#REF!*$C$114)</f>
        <v/>
      </c>
      <c r="IL114" s="11" t="str">
        <f ca="1">IF(History!IP$2="","",#REF!*$C$114)</f>
        <v/>
      </c>
      <c r="IM114" s="11" t="str">
        <f ca="1">IF(History!IQ$2="","",#REF!*$C$114)</f>
        <v/>
      </c>
      <c r="IN114" s="11" t="str">
        <f ca="1">IF(History!IR$2="","",#REF!*$C$114)</f>
        <v/>
      </c>
      <c r="IO114" s="11" t="str">
        <f ca="1">IF(History!IS$2="","",#REF!*$C$114)</f>
        <v/>
      </c>
      <c r="IP114" s="11" t="str">
        <f ca="1">IF(History!IT$2="","",#REF!*$C$114)</f>
        <v/>
      </c>
      <c r="IQ114" s="11" t="str">
        <f ca="1">IF(History!IU$2="","",#REF!*$C$114)</f>
        <v/>
      </c>
      <c r="IR114" s="11" t="str">
        <f ca="1">IF(History!IV$2="","",#REF!*$C$114)</f>
        <v/>
      </c>
      <c r="IS114" s="11" t="str">
        <f ca="1">IF(History!IW$2="","",#REF!*$C$114)</f>
        <v/>
      </c>
      <c r="IT114" s="11" t="str">
        <f ca="1">IF(History!IX$2="","",#REF!*$C$114)</f>
        <v/>
      </c>
      <c r="IU114" s="11" t="str">
        <f ca="1">IF(History!IY$2="","",#REF!*$C$114)</f>
        <v/>
      </c>
      <c r="IV114" s="11" t="str">
        <f ca="1">IF(History!IZ$2="","",#REF!*$C$114)</f>
        <v/>
      </c>
      <c r="IW114" s="11" t="str">
        <f ca="1">IF(History!JA$2="","",#REF!*$C$114)</f>
        <v/>
      </c>
      <c r="IX114" s="11" t="str">
        <f ca="1">IF(History!JB$2="","",#REF!*$C$114)</f>
        <v/>
      </c>
      <c r="IY114" s="11" t="str">
        <f ca="1">IF(History!JC$2="","",#REF!*$C$114)</f>
        <v/>
      </c>
      <c r="IZ114" s="11" t="str">
        <f ca="1">IF(History!JD$2="","",#REF!*$C$114)</f>
        <v/>
      </c>
      <c r="JA114" s="11" t="str">
        <f ca="1">IF(History!JE$2="","",#REF!*$C$114)</f>
        <v/>
      </c>
      <c r="JB114" s="11" t="str">
        <f ca="1">IF(History!JF$2="","",#REF!*$C$114)</f>
        <v/>
      </c>
      <c r="JC114" s="11" t="str">
        <f ca="1">IF(History!JG$2="","",#REF!*$C$114)</f>
        <v/>
      </c>
      <c r="JD114" s="11" t="str">
        <f ca="1">IF(History!JH$2="","",#REF!*$C$114)</f>
        <v/>
      </c>
      <c r="JE114" s="11" t="str">
        <f ca="1">IF(History!JI$2="","",#REF!*$C$114)</f>
        <v/>
      </c>
      <c r="JF114" s="11" t="str">
        <f ca="1">IF(History!JJ$2="","",#REF!*$C$114)</f>
        <v/>
      </c>
      <c r="JG114" s="11" t="str">
        <f ca="1">IF(History!JK$2="","",#REF!*$C$114)</f>
        <v/>
      </c>
      <c r="JH114" s="11" t="str">
        <f ca="1">IF(History!JL$2="","",#REF!*$C$114)</f>
        <v/>
      </c>
      <c r="JI114" s="11" t="str">
        <f ca="1">IF(History!JM$2="","",#REF!*$C$114)</f>
        <v/>
      </c>
      <c r="JJ114" s="11" t="str">
        <f ca="1">IF(History!JN$2="","",#REF!*$C$114)</f>
        <v/>
      </c>
      <c r="JK114" s="11" t="str">
        <f ca="1">IF(History!JO$2="","",#REF!*$C$114)</f>
        <v/>
      </c>
      <c r="JL114" s="11" t="str">
        <f ca="1">IF(History!JP$2="","",#REF!*$C$114)</f>
        <v/>
      </c>
      <c r="JM114" s="11" t="str">
        <f ca="1">IF(History!JQ$2="","",#REF!*$C$114)</f>
        <v/>
      </c>
      <c r="JN114" s="11" t="str">
        <f ca="1">IF(History!JR$2="","",#REF!*$C$114)</f>
        <v/>
      </c>
      <c r="JO114" s="11" t="str">
        <f ca="1">IF(History!JS$2="","",#REF!*$C$114)</f>
        <v/>
      </c>
      <c r="JP114" s="11" t="str">
        <f ca="1">IF(History!JT$2="","",#REF!*$C$114)</f>
        <v/>
      </c>
      <c r="JQ114" s="11" t="str">
        <f ca="1">IF(History!JU$2="","",#REF!*$C$114)</f>
        <v/>
      </c>
      <c r="JR114" s="11" t="str">
        <f ca="1">IF(History!JV$2="","",#REF!*$C$114)</f>
        <v/>
      </c>
      <c r="JS114" s="11" t="str">
        <f ca="1">IF(History!JW$2="","",#REF!*$C$114)</f>
        <v/>
      </c>
      <c r="JT114" s="11" t="str">
        <f ca="1">IF(History!JX$2="","",#REF!*$C$114)</f>
        <v/>
      </c>
      <c r="JU114" s="11" t="str">
        <f ca="1">IF(History!JY$2="","",#REF!*$C$114)</f>
        <v/>
      </c>
      <c r="JV114" s="11" t="str">
        <f ca="1">IF(History!JZ$2="","",#REF!*$C$114)</f>
        <v/>
      </c>
      <c r="JW114" s="11" t="str">
        <f ca="1">IF(History!KA$2="","",#REF!*$C$114)</f>
        <v/>
      </c>
      <c r="JX114" s="11" t="str">
        <f ca="1">IF(History!KB$2="","",#REF!*$C$114)</f>
        <v/>
      </c>
      <c r="JY114" s="11" t="str">
        <f ca="1">IF(History!KC$2="","",#REF!*$C$114)</f>
        <v/>
      </c>
      <c r="JZ114" s="11" t="str">
        <f ca="1">IF(History!KD$2="","",#REF!*$C$114)</f>
        <v/>
      </c>
      <c r="KA114" s="11" t="str">
        <f ca="1">IF(History!KE$2="","",#REF!*$C$114)</f>
        <v/>
      </c>
      <c r="KB114" s="11" t="str">
        <f ca="1">IF(History!KF$2="","",#REF!*$C$114)</f>
        <v/>
      </c>
    </row>
    <row r="115" spans="1:288" ht="13">
      <c r="A115" s="18" t="s">
        <v>40</v>
      </c>
      <c r="B115" s="32" t="s">
        <v>105</v>
      </c>
      <c r="C115" s="33">
        <v>947</v>
      </c>
      <c r="D115" s="11" t="e">
        <f ca="1">IF(History!H$2="","",#REF!*$C$115)</f>
        <v>#REF!</v>
      </c>
      <c r="E115" s="11" t="e">
        <f ca="1">IF(History!I$2="","",#REF!*$C$115)</f>
        <v>#REF!</v>
      </c>
      <c r="F115" s="11" t="e">
        <f ca="1">IF(History!J$2="","",#REF!*$C$115)</f>
        <v>#REF!</v>
      </c>
      <c r="G115" s="11" t="e">
        <f ca="1">IF(History!K$2="","",#REF!*$C$115)</f>
        <v>#REF!</v>
      </c>
      <c r="H115" s="11" t="e">
        <f ca="1">IF(History!L$2="","",#REF!*$C$115)</f>
        <v>#REF!</v>
      </c>
      <c r="I115" s="11" t="e">
        <f ca="1">IF(History!M$2="","",#REF!*$C$115)</f>
        <v>#REF!</v>
      </c>
      <c r="J115" s="11" t="e">
        <f ca="1">IF(History!N$2="","",#REF!*$C$115)</f>
        <v>#REF!</v>
      </c>
      <c r="K115" s="11" t="e">
        <f ca="1">IF(History!O$2="","",#REF!*$C$115)</f>
        <v>#REF!</v>
      </c>
      <c r="L115" s="11" t="e">
        <f ca="1">IF(History!P$2="","",#REF!*$C$115)</f>
        <v>#REF!</v>
      </c>
      <c r="M115" s="11" t="e">
        <f ca="1">IF(History!Q$2="","",#REF!*$C$115)</f>
        <v>#REF!</v>
      </c>
      <c r="N115" s="11" t="e">
        <f ca="1">IF(History!R$2="","",#REF!*$C$115)</f>
        <v>#REF!</v>
      </c>
      <c r="O115" s="11" t="e">
        <f ca="1">IF(History!S$2="","",#REF!*$C$115)</f>
        <v>#REF!</v>
      </c>
      <c r="P115" s="11" t="e">
        <f ca="1">IF(History!T$2="","",#REF!*$C$115)</f>
        <v>#REF!</v>
      </c>
      <c r="Q115" s="11" t="e">
        <f ca="1">IF(History!U$2="","",#REF!*$C$115)</f>
        <v>#REF!</v>
      </c>
      <c r="R115" s="11" t="e">
        <f ca="1">IF(History!V$2="","",#REF!*$C$115)</f>
        <v>#REF!</v>
      </c>
      <c r="S115" s="11" t="e">
        <f ca="1">IF(History!W$2="","",#REF!*$C$115)</f>
        <v>#REF!</v>
      </c>
      <c r="T115" s="11" t="e">
        <f ca="1">IF(History!X$2="","",#REF!*$C$115)</f>
        <v>#REF!</v>
      </c>
      <c r="U115" s="11" t="e">
        <f ca="1">IF(History!Y$2="","",#REF!*$C$115)</f>
        <v>#REF!</v>
      </c>
      <c r="V115" s="11" t="e">
        <f ca="1">IF(History!Z$2="","",#REF!*$C$115)</f>
        <v>#REF!</v>
      </c>
      <c r="W115" s="11" t="e">
        <f ca="1">IF(History!AA$2="","",#REF!*$C$115)</f>
        <v>#REF!</v>
      </c>
      <c r="X115" s="11" t="e">
        <f ca="1">IF(History!AB$2="","",#REF!*$C$115)</f>
        <v>#REF!</v>
      </c>
      <c r="Y115" s="11" t="e">
        <f ca="1">IF(History!AC$2="","",#REF!*$C$115)</f>
        <v>#REF!</v>
      </c>
      <c r="Z115" s="11" t="e">
        <f ca="1">IF(History!AD$2="","",#REF!*$C$115)</f>
        <v>#REF!</v>
      </c>
      <c r="AA115" s="11" t="e">
        <f ca="1">IF(History!AE$2="","",#REF!*$C$115)</f>
        <v>#REF!</v>
      </c>
      <c r="AB115" s="11" t="e">
        <f ca="1">IF(History!AF$2="","",#REF!*$C$115)</f>
        <v>#REF!</v>
      </c>
      <c r="AC115" s="11" t="e">
        <f ca="1">IF(History!AG$2="","",#REF!*$C$115)</f>
        <v>#REF!</v>
      </c>
      <c r="AD115" s="11" t="e">
        <f ca="1">IF(History!AH$2="","",#REF!*$C$115)</f>
        <v>#REF!</v>
      </c>
      <c r="AE115" s="11" t="e">
        <f ca="1">IF(History!AI$2="","",#REF!*$C$115)</f>
        <v>#REF!</v>
      </c>
      <c r="AF115" s="11" t="e">
        <f ca="1">IF(History!AJ$2="","",#REF!*$C$115)</f>
        <v>#REF!</v>
      </c>
      <c r="AG115" s="11" t="e">
        <f ca="1">IF(History!AK$2="","",#REF!*$C$115)</f>
        <v>#REF!</v>
      </c>
      <c r="AH115" s="11" t="e">
        <f ca="1">IF(History!AL$2="","",#REF!*$C$115)</f>
        <v>#REF!</v>
      </c>
      <c r="AI115" s="11" t="e">
        <f ca="1">IF(History!AM$2="","",#REF!*$C$115)</f>
        <v>#REF!</v>
      </c>
      <c r="AJ115" s="11" t="e">
        <f ca="1">IF(History!AN$2="","",#REF!*$C$115)</f>
        <v>#REF!</v>
      </c>
      <c r="AK115" s="11" t="e">
        <f ca="1">IF(History!AO$2="","",#REF!*$C$115)</f>
        <v>#REF!</v>
      </c>
      <c r="AL115" s="11" t="e">
        <f ca="1">IF(History!AP$2="","",#REF!*$C$115)</f>
        <v>#REF!</v>
      </c>
      <c r="AM115" s="11" t="e">
        <f ca="1">IF(History!AQ$2="","",#REF!*$C$115)</f>
        <v>#REF!</v>
      </c>
      <c r="AN115" s="11" t="e">
        <f ca="1">IF(History!AR$2="","",#REF!*$C$115)</f>
        <v>#REF!</v>
      </c>
      <c r="AO115" s="11" t="e">
        <f ca="1">IF(History!AS$2="","",#REF!*$C$115)</f>
        <v>#REF!</v>
      </c>
      <c r="AP115" s="11" t="e">
        <f ca="1">IF(History!AT$2="","",#REF!*$C$115)</f>
        <v>#REF!</v>
      </c>
      <c r="AQ115" s="11" t="e">
        <f ca="1">IF(History!AU$2="","",#REF!*$C$115)</f>
        <v>#REF!</v>
      </c>
      <c r="AR115" s="11" t="e">
        <f ca="1">IF(History!AV$2="","",#REF!*$C$115)</f>
        <v>#REF!</v>
      </c>
      <c r="AS115" s="11" t="e">
        <f ca="1">IF(History!AW$2="","",#REF!*$C$115)</f>
        <v>#REF!</v>
      </c>
      <c r="AT115" s="11" t="e">
        <f ca="1">IF(History!AX$2="","",#REF!*$C$115)</f>
        <v>#REF!</v>
      </c>
      <c r="AU115" s="11" t="e">
        <f ca="1">IF(History!AY$2="","",#REF!*$C$115)</f>
        <v>#REF!</v>
      </c>
      <c r="AV115" s="11" t="e">
        <f ca="1">IF(History!AZ$2="","",#REF!*$C$115)</f>
        <v>#REF!</v>
      </c>
      <c r="AW115" s="11" t="e">
        <f ca="1">IF(History!BA$2="","",#REF!*$C$115)</f>
        <v>#REF!</v>
      </c>
      <c r="AX115" s="11" t="e">
        <f ca="1">IF(History!BB$2="","",#REF!*$C$115)</f>
        <v>#REF!</v>
      </c>
      <c r="AY115" s="11" t="e">
        <f ca="1">IF(History!BC$2="","",#REF!*$C$115)</f>
        <v>#REF!</v>
      </c>
      <c r="AZ115" s="11" t="e">
        <f ca="1">IF(History!BD$2="","",#REF!*$C$115)</f>
        <v>#REF!</v>
      </c>
      <c r="BA115" s="11" t="e">
        <f ca="1">IF(History!BE$2="","",#REF!*$C$115)</f>
        <v>#REF!</v>
      </c>
      <c r="BB115" s="11" t="e">
        <f ca="1">IF(History!BF$2="","",#REF!*$C$115)</f>
        <v>#REF!</v>
      </c>
      <c r="BC115" s="11" t="e">
        <f ca="1">IF(History!BG$2="","",#REF!*$C$115)</f>
        <v>#REF!</v>
      </c>
      <c r="BD115" s="11" t="e">
        <f ca="1">IF(History!BH$2="","",#REF!*$C$115)</f>
        <v>#REF!</v>
      </c>
      <c r="BE115" s="11" t="e">
        <f ca="1">IF(History!BI$2="","",#REF!*$C$115)</f>
        <v>#REF!</v>
      </c>
      <c r="BF115" s="11" t="e">
        <f ca="1">IF(History!BJ$2="","",#REF!*$C$115)</f>
        <v>#REF!</v>
      </c>
      <c r="BG115" s="11" t="e">
        <f ca="1">IF(History!BK$2="","",#REF!*$C$115)</f>
        <v>#REF!</v>
      </c>
      <c r="BH115" s="11" t="e">
        <f ca="1">IF(History!BL$2="","",#REF!*$C$115)</f>
        <v>#REF!</v>
      </c>
      <c r="BI115" s="11" t="e">
        <f ca="1">IF(History!BM$2="","",#REF!*$C$115)</f>
        <v>#REF!</v>
      </c>
      <c r="BJ115" s="11" t="e">
        <f ca="1">IF(History!BN$2="","",#REF!*$C$115)</f>
        <v>#REF!</v>
      </c>
      <c r="BK115" s="11" t="e">
        <f ca="1">IF(History!BO$2="","",#REF!*$C$115)</f>
        <v>#REF!</v>
      </c>
      <c r="BL115" s="11" t="e">
        <f ca="1">IF(History!BP$2="","",#REF!*$C$115)</f>
        <v>#REF!</v>
      </c>
      <c r="BM115" s="11" t="e">
        <f ca="1">IF(History!BQ$2="","",#REF!*$C$115)</f>
        <v>#REF!</v>
      </c>
      <c r="BN115" s="11" t="e">
        <f ca="1">IF(History!BR$2="","",#REF!*$C$115)</f>
        <v>#REF!</v>
      </c>
      <c r="BO115" s="11" t="e">
        <f ca="1">IF(History!BS$2="","",#REF!*$C$115)</f>
        <v>#REF!</v>
      </c>
      <c r="BP115" s="11" t="e">
        <f ca="1">IF(History!BT$2="","",#REF!*$C$115)</f>
        <v>#REF!</v>
      </c>
      <c r="BQ115" s="11" t="e">
        <f ca="1">IF(History!BU$2="","",#REF!*$C$115)</f>
        <v>#REF!</v>
      </c>
      <c r="BR115" s="11" t="e">
        <f ca="1">IF(History!BV$2="","",#REF!*$C$115)</f>
        <v>#REF!</v>
      </c>
      <c r="BS115" s="11" t="e">
        <f ca="1">IF(History!BW$2="","",#REF!*$C$115)</f>
        <v>#REF!</v>
      </c>
      <c r="BT115" s="11" t="e">
        <f ca="1">IF(History!BX$2="","",#REF!*$C$115)</f>
        <v>#REF!</v>
      </c>
      <c r="BU115" s="11" t="e">
        <f ca="1">IF(History!BY$2="","",#REF!*$C$115)</f>
        <v>#REF!</v>
      </c>
      <c r="BV115" s="11" t="e">
        <f ca="1">IF(History!BZ$2="","",#REF!*$C$115)</f>
        <v>#REF!</v>
      </c>
      <c r="BW115" s="11" t="e">
        <f ca="1">IF(History!CA$2="","",#REF!*$C$115)</f>
        <v>#REF!</v>
      </c>
      <c r="BX115" s="11" t="e">
        <f ca="1">IF(History!CB$2="","",#REF!*$C$115)</f>
        <v>#REF!</v>
      </c>
      <c r="BY115" s="11" t="e">
        <f ca="1">IF(History!CC$2="","",#REF!*$C$115)</f>
        <v>#REF!</v>
      </c>
      <c r="BZ115" s="11" t="e">
        <f ca="1">IF(History!CD$2="","",#REF!*$C$115)</f>
        <v>#REF!</v>
      </c>
      <c r="CA115" s="11" t="e">
        <f ca="1">IF(History!CE$2="","",#REF!*$C$115)</f>
        <v>#REF!</v>
      </c>
      <c r="CB115" s="11" t="e">
        <f ca="1">IF(History!CF$2="","",#REF!*$C$115)</f>
        <v>#REF!</v>
      </c>
      <c r="CC115" s="11" t="e">
        <f ca="1">IF(History!CG$2="","",#REF!*$C$115)</f>
        <v>#REF!</v>
      </c>
      <c r="CD115" s="11" t="e">
        <f ca="1">IF(History!CH$2="","",#REF!*$C$115)</f>
        <v>#REF!</v>
      </c>
      <c r="CE115" s="11" t="e">
        <f ca="1">IF(History!CI$2="","",#REF!*$C$115)</f>
        <v>#REF!</v>
      </c>
      <c r="CF115" s="11" t="str">
        <f ca="1">IF(History!CJ$2="","",#REF!*$C$115)</f>
        <v/>
      </c>
      <c r="CG115" s="11" t="str">
        <f ca="1">IF(History!CK$2="","",#REF!*$C$115)</f>
        <v/>
      </c>
      <c r="CH115" s="11" t="str">
        <f ca="1">IF(History!CL$2="","",#REF!*$C$115)</f>
        <v/>
      </c>
      <c r="CI115" s="11" t="str">
        <f ca="1">IF(History!CM$2="","",#REF!*$C$115)</f>
        <v/>
      </c>
      <c r="CJ115" s="11" t="str">
        <f ca="1">IF(History!CN$2="","",#REF!*$C$115)</f>
        <v/>
      </c>
      <c r="CK115" s="11" t="str">
        <f ca="1">IF(History!CO$2="","",#REF!*$C$115)</f>
        <v/>
      </c>
      <c r="CL115" s="11" t="str">
        <f ca="1">IF(History!CP$2="","",#REF!*$C$115)</f>
        <v/>
      </c>
      <c r="CM115" s="11" t="str">
        <f ca="1">IF(History!CQ$2="","",#REF!*$C$115)</f>
        <v/>
      </c>
      <c r="CN115" s="11" t="str">
        <f ca="1">IF(History!CR$2="","",#REF!*$C$115)</f>
        <v/>
      </c>
      <c r="CO115" s="11" t="str">
        <f ca="1">IF(History!CS$2="","",#REF!*$C$115)</f>
        <v/>
      </c>
      <c r="CP115" s="11" t="str">
        <f ca="1">IF(History!CT$2="","",#REF!*$C$115)</f>
        <v/>
      </c>
      <c r="CQ115" s="11" t="str">
        <f ca="1">IF(History!CU$2="","",#REF!*$C$115)</f>
        <v/>
      </c>
      <c r="CR115" s="11" t="str">
        <f ca="1">IF(History!CV$2="","",#REF!*$C$115)</f>
        <v/>
      </c>
      <c r="CS115" s="11" t="str">
        <f ca="1">IF(History!CW$2="","",#REF!*$C$115)</f>
        <v/>
      </c>
      <c r="CT115" s="11" t="str">
        <f ca="1">IF(History!CX$2="","",#REF!*$C$115)</f>
        <v/>
      </c>
      <c r="CU115" s="11" t="str">
        <f ca="1">IF(History!CY$2="","",#REF!*$C$115)</f>
        <v/>
      </c>
      <c r="CV115" s="11" t="str">
        <f ca="1">IF(History!CZ$2="","",#REF!*$C$115)</f>
        <v/>
      </c>
      <c r="CW115" s="11" t="str">
        <f ca="1">IF(History!DA$2="","",#REF!*$C$115)</f>
        <v/>
      </c>
      <c r="CX115" s="11" t="str">
        <f ca="1">IF(History!DB$2="","",#REF!*$C$115)</f>
        <v/>
      </c>
      <c r="CY115" s="11" t="str">
        <f ca="1">IF(History!DC$2="","",#REF!*$C$115)</f>
        <v/>
      </c>
      <c r="CZ115" s="11" t="str">
        <f ca="1">IF(History!DD$2="","",#REF!*$C$115)</f>
        <v/>
      </c>
      <c r="DA115" s="11" t="str">
        <f ca="1">IF(History!DE$2="","",#REF!*$C$115)</f>
        <v/>
      </c>
      <c r="DB115" s="11" t="str">
        <f ca="1">IF(History!DF$2="","",#REF!*$C$115)</f>
        <v/>
      </c>
      <c r="DC115" s="11" t="str">
        <f ca="1">IF(History!DG$2="","",#REF!*$C$115)</f>
        <v/>
      </c>
      <c r="DD115" s="11" t="str">
        <f ca="1">IF(History!DH$2="","",#REF!*$C$115)</f>
        <v/>
      </c>
      <c r="DE115" s="11" t="str">
        <f ca="1">IF(History!DI$2="","",#REF!*$C$115)</f>
        <v/>
      </c>
      <c r="DF115" s="11" t="str">
        <f ca="1">IF(History!DJ$2="","",#REF!*$C$115)</f>
        <v/>
      </c>
      <c r="DG115" s="11" t="str">
        <f ca="1">IF(History!DK$2="","",#REF!*$C$115)</f>
        <v/>
      </c>
      <c r="DH115" s="11" t="str">
        <f ca="1">IF(History!DL$2="","",#REF!*$C$115)</f>
        <v/>
      </c>
      <c r="DI115" s="11" t="str">
        <f ca="1">IF(History!DM$2="","",#REF!*$C$115)</f>
        <v/>
      </c>
      <c r="DJ115" s="11" t="str">
        <f ca="1">IF(History!DN$2="","",#REF!*$C$115)</f>
        <v/>
      </c>
      <c r="DK115" s="11" t="str">
        <f ca="1">IF(History!DO$2="","",#REF!*$C$115)</f>
        <v/>
      </c>
      <c r="DL115" s="11" t="str">
        <f ca="1">IF(History!DP$2="","",#REF!*$C$115)</f>
        <v/>
      </c>
      <c r="DM115" s="11" t="str">
        <f ca="1">IF(History!DQ$2="","",#REF!*$C$115)</f>
        <v/>
      </c>
      <c r="DN115" s="11" t="str">
        <f ca="1">IF(History!DR$2="","",#REF!*$C$115)</f>
        <v/>
      </c>
      <c r="DO115" s="11" t="str">
        <f ca="1">IF(History!DS$2="","",#REF!*$C$115)</f>
        <v/>
      </c>
      <c r="DP115" s="11" t="str">
        <f ca="1">IF(History!DT$2="","",#REF!*$C$115)</f>
        <v/>
      </c>
      <c r="DQ115" s="11" t="str">
        <f ca="1">IF(History!DU$2="","",#REF!*$C$115)</f>
        <v/>
      </c>
      <c r="DR115" s="11" t="str">
        <f ca="1">IF(History!DV$2="","",#REF!*$C$115)</f>
        <v/>
      </c>
      <c r="DS115" s="11" t="str">
        <f ca="1">IF(History!DW$2="","",#REF!*$C$115)</f>
        <v/>
      </c>
      <c r="DT115" s="11" t="str">
        <f ca="1">IF(History!DX$2="","",#REF!*$C$115)</f>
        <v/>
      </c>
      <c r="DU115" s="11" t="str">
        <f ca="1">IF(History!DY$2="","",#REF!*$C$115)</f>
        <v/>
      </c>
      <c r="DV115" s="11" t="str">
        <f ca="1">IF(History!DZ$2="","",#REF!*$C$115)</f>
        <v/>
      </c>
      <c r="DW115" s="11" t="str">
        <f ca="1">IF(History!EA$2="","",#REF!*$C$115)</f>
        <v/>
      </c>
      <c r="DX115" s="11" t="str">
        <f ca="1">IF(History!EB$2="","",#REF!*$C$115)</f>
        <v/>
      </c>
      <c r="DY115" s="11" t="str">
        <f ca="1">IF(History!EC$2="","",#REF!*$C$115)</f>
        <v/>
      </c>
      <c r="DZ115" s="11" t="str">
        <f ca="1">IF(History!ED$2="","",#REF!*$C$115)</f>
        <v/>
      </c>
      <c r="EA115" s="11" t="str">
        <f ca="1">IF(History!EE$2="","",#REF!*$C$115)</f>
        <v/>
      </c>
      <c r="EB115" s="11" t="str">
        <f ca="1">IF(History!EF$2="","",#REF!*$C$115)</f>
        <v/>
      </c>
      <c r="EC115" s="11" t="str">
        <f ca="1">IF(History!EG$2="","",#REF!*$C$115)</f>
        <v/>
      </c>
      <c r="ED115" s="11" t="str">
        <f ca="1">IF(History!EH$2="","",#REF!*$C$115)</f>
        <v/>
      </c>
      <c r="EE115" s="11" t="str">
        <f ca="1">IF(History!EI$2="","",#REF!*$C$115)</f>
        <v/>
      </c>
      <c r="EF115" s="11" t="str">
        <f ca="1">IF(History!EJ$2="","",#REF!*$C$115)</f>
        <v/>
      </c>
      <c r="EG115" s="11" t="str">
        <f ca="1">IF(History!EK$2="","",#REF!*$C$115)</f>
        <v/>
      </c>
      <c r="EH115" s="11" t="str">
        <f ca="1">IF(History!EL$2="","",#REF!*$C$115)</f>
        <v/>
      </c>
      <c r="EI115" s="11" t="str">
        <f ca="1">IF(History!EM$2="","",#REF!*$C$115)</f>
        <v/>
      </c>
      <c r="EJ115" s="11" t="str">
        <f ca="1">IF(History!EN$2="","",#REF!*$C$115)</f>
        <v/>
      </c>
      <c r="EK115" s="11" t="str">
        <f ca="1">IF(History!EO$2="","",#REF!*$C$115)</f>
        <v/>
      </c>
      <c r="EL115" s="11" t="str">
        <f ca="1">IF(History!EP$2="","",#REF!*$C$115)</f>
        <v/>
      </c>
      <c r="EM115" s="11" t="str">
        <f ca="1">IF(History!EQ$2="","",#REF!*$C$115)</f>
        <v/>
      </c>
      <c r="EN115" s="11" t="str">
        <f ca="1">IF(History!ER$2="","",#REF!*$C$115)</f>
        <v/>
      </c>
      <c r="EO115" s="11" t="str">
        <f ca="1">IF(History!ES$2="","",#REF!*$C$115)</f>
        <v/>
      </c>
      <c r="EP115" s="11" t="str">
        <f ca="1">IF(History!ET$2="","",#REF!*$C$115)</f>
        <v/>
      </c>
      <c r="EQ115" s="11" t="str">
        <f ca="1">IF(History!EU$2="","",#REF!*$C$115)</f>
        <v/>
      </c>
      <c r="ER115" s="11" t="str">
        <f ca="1">IF(History!EV$2="","",#REF!*$C$115)</f>
        <v/>
      </c>
      <c r="ES115" s="11" t="str">
        <f ca="1">IF(History!EW$2="","",#REF!*$C$115)</f>
        <v/>
      </c>
      <c r="ET115" s="11" t="str">
        <f ca="1">IF(History!EX$2="","",#REF!*$C$115)</f>
        <v/>
      </c>
      <c r="EU115" s="11" t="str">
        <f ca="1">IF(History!EY$2="","",#REF!*$C$115)</f>
        <v/>
      </c>
      <c r="EV115" s="11" t="str">
        <f ca="1">IF(History!EZ$2="","",#REF!*$C$115)</f>
        <v/>
      </c>
      <c r="EW115" s="11" t="str">
        <f ca="1">IF(History!FA$2="","",#REF!*$C$115)</f>
        <v/>
      </c>
      <c r="EX115" s="11" t="str">
        <f ca="1">IF(History!FB$2="","",#REF!*$C$115)</f>
        <v/>
      </c>
      <c r="EY115" s="11" t="str">
        <f ca="1">IF(History!FC$2="","",#REF!*$C$115)</f>
        <v/>
      </c>
      <c r="EZ115" s="11" t="str">
        <f ca="1">IF(History!FD$2="","",#REF!*$C$115)</f>
        <v/>
      </c>
      <c r="FA115" s="11" t="str">
        <f ca="1">IF(History!FE$2="","",#REF!*$C$115)</f>
        <v/>
      </c>
      <c r="FB115" s="11" t="str">
        <f ca="1">IF(History!FF$2="","",#REF!*$C$115)</f>
        <v/>
      </c>
      <c r="FC115" s="11" t="str">
        <f ca="1">IF(History!FG$2="","",#REF!*$C$115)</f>
        <v/>
      </c>
      <c r="FD115" s="11" t="str">
        <f ca="1">IF(History!FH$2="","",#REF!*$C$115)</f>
        <v/>
      </c>
      <c r="FE115" s="11" t="str">
        <f ca="1">IF(History!FI$2="","",#REF!*$C$115)</f>
        <v/>
      </c>
      <c r="FF115" s="11" t="str">
        <f ca="1">IF(History!FJ$2="","",#REF!*$C$115)</f>
        <v/>
      </c>
      <c r="FG115" s="11" t="str">
        <f ca="1">IF(History!FK$2="","",#REF!*$C$115)</f>
        <v/>
      </c>
      <c r="FH115" s="11" t="str">
        <f ca="1">IF(History!FL$2="","",#REF!*$C$115)</f>
        <v/>
      </c>
      <c r="FI115" s="11" t="str">
        <f ca="1">IF(History!FM$2="","",#REF!*$C$115)</f>
        <v/>
      </c>
      <c r="FJ115" s="11" t="str">
        <f ca="1">IF(History!FN$2="","",#REF!*$C$115)</f>
        <v/>
      </c>
      <c r="FK115" s="11" t="str">
        <f ca="1">IF(History!FO$2="","",#REF!*$C$115)</f>
        <v/>
      </c>
      <c r="FL115" s="11" t="str">
        <f ca="1">IF(History!FP$2="","",#REF!*$C$115)</f>
        <v/>
      </c>
      <c r="FM115" s="11" t="str">
        <f ca="1">IF(History!FQ$2="","",#REF!*$C$115)</f>
        <v/>
      </c>
      <c r="FN115" s="11" t="str">
        <f ca="1">IF(History!FR$2="","",#REF!*$C$115)</f>
        <v/>
      </c>
      <c r="FO115" s="11" t="str">
        <f ca="1">IF(History!FS$2="","",#REF!*$C$115)</f>
        <v/>
      </c>
      <c r="FP115" s="11" t="str">
        <f ca="1">IF(History!FT$2="","",#REF!*$C$115)</f>
        <v/>
      </c>
      <c r="FQ115" s="11" t="str">
        <f ca="1">IF(History!FU$2="","",#REF!*$C$115)</f>
        <v/>
      </c>
      <c r="FR115" s="11" t="str">
        <f ca="1">IF(History!FV$2="","",#REF!*$C$115)</f>
        <v/>
      </c>
      <c r="FS115" s="11" t="str">
        <f ca="1">IF(History!FW$2="","",#REF!*$C$115)</f>
        <v/>
      </c>
      <c r="FT115" s="11" t="str">
        <f ca="1">IF(History!FX$2="","",#REF!*$C$115)</f>
        <v/>
      </c>
      <c r="FU115" s="11" t="str">
        <f ca="1">IF(History!FY$2="","",#REF!*$C$115)</f>
        <v/>
      </c>
      <c r="FV115" s="11" t="str">
        <f ca="1">IF(History!FZ$2="","",#REF!*$C$115)</f>
        <v/>
      </c>
      <c r="FW115" s="11" t="str">
        <f ca="1">IF(History!GA$2="","",#REF!*$C$115)</f>
        <v/>
      </c>
      <c r="FX115" s="11" t="str">
        <f ca="1">IF(History!GB$2="","",#REF!*$C$115)</f>
        <v/>
      </c>
      <c r="FY115" s="11" t="str">
        <f ca="1">IF(History!GC$2="","",#REF!*$C$115)</f>
        <v/>
      </c>
      <c r="FZ115" s="11" t="str">
        <f ca="1">IF(History!GD$2="","",#REF!*$C$115)</f>
        <v/>
      </c>
      <c r="GA115" s="11" t="str">
        <f ca="1">IF(History!GE$2="","",#REF!*$C$115)</f>
        <v/>
      </c>
      <c r="GB115" s="11" t="str">
        <f ca="1">IF(History!GF$2="","",#REF!*$C$115)</f>
        <v/>
      </c>
      <c r="GC115" s="11" t="str">
        <f ca="1">IF(History!GG$2="","",#REF!*$C$115)</f>
        <v/>
      </c>
      <c r="GD115" s="11" t="str">
        <f ca="1">IF(History!GH$2="","",#REF!*$C$115)</f>
        <v/>
      </c>
      <c r="GE115" s="11" t="str">
        <f ca="1">IF(History!GI$2="","",#REF!*$C$115)</f>
        <v/>
      </c>
      <c r="GF115" s="11" t="str">
        <f ca="1">IF(History!GJ$2="","",#REF!*$C$115)</f>
        <v/>
      </c>
      <c r="GG115" s="11" t="str">
        <f ca="1">IF(History!GK$2="","",#REF!*$C$115)</f>
        <v/>
      </c>
      <c r="GH115" s="11" t="str">
        <f ca="1">IF(History!GL$2="","",#REF!*$C$115)</f>
        <v/>
      </c>
      <c r="GI115" s="11" t="str">
        <f ca="1">IF(History!GM$2="","",#REF!*$C$115)</f>
        <v/>
      </c>
      <c r="GJ115" s="11" t="str">
        <f ca="1">IF(History!GN$2="","",#REF!*$C$115)</f>
        <v/>
      </c>
      <c r="GK115" s="11" t="str">
        <f ca="1">IF(History!GO$2="","",#REF!*$C$115)</f>
        <v/>
      </c>
      <c r="GL115" s="11" t="str">
        <f ca="1">IF(History!GP$2="","",#REF!*$C$115)</f>
        <v/>
      </c>
      <c r="GM115" s="11" t="str">
        <f ca="1">IF(History!GQ$2="","",#REF!*$C$115)</f>
        <v/>
      </c>
      <c r="GN115" s="11" t="str">
        <f ca="1">IF(History!GR$2="","",#REF!*$C$115)</f>
        <v/>
      </c>
      <c r="GO115" s="11" t="str">
        <f ca="1">IF(History!GS$2="","",#REF!*$C$115)</f>
        <v/>
      </c>
      <c r="GP115" s="11" t="str">
        <f ca="1">IF(History!GT$2="","",#REF!*$C$115)</f>
        <v/>
      </c>
      <c r="GQ115" s="11" t="str">
        <f ca="1">IF(History!GU$2="","",#REF!*$C$115)</f>
        <v/>
      </c>
      <c r="GR115" s="11" t="str">
        <f ca="1">IF(History!GV$2="","",#REF!*$C$115)</f>
        <v/>
      </c>
      <c r="GS115" s="11" t="str">
        <f ca="1">IF(History!GW$2="","",#REF!*$C$115)</f>
        <v/>
      </c>
      <c r="GT115" s="11" t="str">
        <f ca="1">IF(History!GX$2="","",#REF!*$C$115)</f>
        <v/>
      </c>
      <c r="GU115" s="11" t="str">
        <f ca="1">IF(History!GY$2="","",#REF!*$C$115)</f>
        <v/>
      </c>
      <c r="GV115" s="11" t="str">
        <f ca="1">IF(History!GZ$2="","",#REF!*$C$115)</f>
        <v/>
      </c>
      <c r="GW115" s="11" t="str">
        <f ca="1">IF(History!HA$2="","",#REF!*$C$115)</f>
        <v/>
      </c>
      <c r="GX115" s="11" t="str">
        <f ca="1">IF(History!HB$2="","",#REF!*$C$115)</f>
        <v/>
      </c>
      <c r="GY115" s="11" t="str">
        <f ca="1">IF(History!HC$2="","",#REF!*$C$115)</f>
        <v/>
      </c>
      <c r="GZ115" s="11" t="str">
        <f ca="1">IF(History!HD$2="","",#REF!*$C$115)</f>
        <v/>
      </c>
      <c r="HA115" s="11" t="str">
        <f ca="1">IF(History!HE$2="","",#REF!*$C$115)</f>
        <v/>
      </c>
      <c r="HB115" s="11" t="str">
        <f ca="1">IF(History!HF$2="","",#REF!*$C$115)</f>
        <v/>
      </c>
      <c r="HC115" s="11" t="str">
        <f ca="1">IF(History!HG$2="","",#REF!*$C$115)</f>
        <v/>
      </c>
      <c r="HD115" s="11" t="str">
        <f ca="1">IF(History!HH$2="","",#REF!*$C$115)</f>
        <v/>
      </c>
      <c r="HE115" s="11" t="str">
        <f ca="1">IF(History!HI$2="","",#REF!*$C$115)</f>
        <v/>
      </c>
      <c r="HF115" s="11" t="str">
        <f ca="1">IF(History!HJ$2="","",#REF!*$C$115)</f>
        <v/>
      </c>
      <c r="HG115" s="11" t="str">
        <f ca="1">IF(History!HK$2="","",#REF!*$C$115)</f>
        <v/>
      </c>
      <c r="HH115" s="11" t="str">
        <f ca="1">IF(History!HL$2="","",#REF!*$C$115)</f>
        <v/>
      </c>
      <c r="HI115" s="11" t="str">
        <f ca="1">IF(History!HM$2="","",#REF!*$C$115)</f>
        <v/>
      </c>
      <c r="HJ115" s="11" t="str">
        <f ca="1">IF(History!HN$2="","",#REF!*$C$115)</f>
        <v/>
      </c>
      <c r="HK115" s="11" t="str">
        <f ca="1">IF(History!HO$2="","",#REF!*$C$115)</f>
        <v/>
      </c>
      <c r="HL115" s="11" t="str">
        <f ca="1">IF(History!HP$2="","",#REF!*$C$115)</f>
        <v/>
      </c>
      <c r="HM115" s="11" t="str">
        <f ca="1">IF(History!HQ$2="","",#REF!*$C$115)</f>
        <v/>
      </c>
      <c r="HN115" s="11" t="str">
        <f ca="1">IF(History!HR$2="","",#REF!*$C$115)</f>
        <v/>
      </c>
      <c r="HO115" s="11" t="str">
        <f ca="1">IF(History!HS$2="","",#REF!*$C$115)</f>
        <v/>
      </c>
      <c r="HP115" s="11" t="str">
        <f ca="1">IF(History!HT$2="","",#REF!*$C$115)</f>
        <v/>
      </c>
      <c r="HQ115" s="11" t="str">
        <f ca="1">IF(History!HU$2="","",#REF!*$C$115)</f>
        <v/>
      </c>
      <c r="HR115" s="11" t="str">
        <f ca="1">IF(History!HV$2="","",#REF!*$C$115)</f>
        <v/>
      </c>
      <c r="HS115" s="11" t="str">
        <f ca="1">IF(History!HW$2="","",#REF!*$C$115)</f>
        <v/>
      </c>
      <c r="HT115" s="11" t="str">
        <f ca="1">IF(History!HX$2="","",#REF!*$C$115)</f>
        <v/>
      </c>
      <c r="HU115" s="11" t="str">
        <f ca="1">IF(History!HY$2="","",#REF!*$C$115)</f>
        <v/>
      </c>
      <c r="HV115" s="11" t="str">
        <f ca="1">IF(History!HZ$2="","",#REF!*$C$115)</f>
        <v/>
      </c>
      <c r="HW115" s="11" t="str">
        <f ca="1">IF(History!IA$2="","",#REF!*$C$115)</f>
        <v/>
      </c>
      <c r="HX115" s="11" t="str">
        <f ca="1">IF(History!IB$2="","",#REF!*$C$115)</f>
        <v/>
      </c>
      <c r="HY115" s="11" t="str">
        <f ca="1">IF(History!IC$2="","",#REF!*$C$115)</f>
        <v/>
      </c>
      <c r="HZ115" s="11" t="str">
        <f ca="1">IF(History!ID$2="","",#REF!*$C$115)</f>
        <v/>
      </c>
      <c r="IA115" s="11" t="str">
        <f ca="1">IF(History!IE$2="","",#REF!*$C$115)</f>
        <v/>
      </c>
      <c r="IB115" s="11" t="str">
        <f ca="1">IF(History!IF$2="","",#REF!*$C$115)</f>
        <v/>
      </c>
      <c r="IC115" s="11" t="str">
        <f ca="1">IF(History!IG$2="","",#REF!*$C$115)</f>
        <v/>
      </c>
      <c r="ID115" s="11" t="str">
        <f ca="1">IF(History!IH$2="","",#REF!*$C$115)</f>
        <v/>
      </c>
      <c r="IE115" s="11" t="str">
        <f ca="1">IF(History!II$2="","",#REF!*$C$115)</f>
        <v/>
      </c>
      <c r="IF115" s="11" t="str">
        <f ca="1">IF(History!IJ$2="","",#REF!*$C$115)</f>
        <v/>
      </c>
      <c r="IG115" s="11" t="str">
        <f ca="1">IF(History!IK$2="","",#REF!*$C$115)</f>
        <v/>
      </c>
      <c r="IH115" s="11" t="str">
        <f ca="1">IF(History!IL$2="","",#REF!*$C$115)</f>
        <v/>
      </c>
      <c r="II115" s="11" t="str">
        <f ca="1">IF(History!IM$2="","",#REF!*$C$115)</f>
        <v/>
      </c>
      <c r="IJ115" s="11" t="str">
        <f ca="1">IF(History!IN$2="","",#REF!*$C$115)</f>
        <v/>
      </c>
      <c r="IK115" s="11" t="str">
        <f ca="1">IF(History!IO$2="","",#REF!*$C$115)</f>
        <v/>
      </c>
      <c r="IL115" s="11" t="str">
        <f ca="1">IF(History!IP$2="","",#REF!*$C$115)</f>
        <v/>
      </c>
      <c r="IM115" s="11" t="str">
        <f ca="1">IF(History!IQ$2="","",#REF!*$C$115)</f>
        <v/>
      </c>
      <c r="IN115" s="11" t="str">
        <f ca="1">IF(History!IR$2="","",#REF!*$C$115)</f>
        <v/>
      </c>
      <c r="IO115" s="11" t="str">
        <f ca="1">IF(History!IS$2="","",#REF!*$C$115)</f>
        <v/>
      </c>
      <c r="IP115" s="11" t="str">
        <f ca="1">IF(History!IT$2="","",#REF!*$C$115)</f>
        <v/>
      </c>
      <c r="IQ115" s="11" t="str">
        <f ca="1">IF(History!IU$2="","",#REF!*$C$115)</f>
        <v/>
      </c>
      <c r="IR115" s="11" t="str">
        <f ca="1">IF(History!IV$2="","",#REF!*$C$115)</f>
        <v/>
      </c>
      <c r="IS115" s="11" t="str">
        <f ca="1">IF(History!IW$2="","",#REF!*$C$115)</f>
        <v/>
      </c>
      <c r="IT115" s="11" t="str">
        <f ca="1">IF(History!IX$2="","",#REF!*$C$115)</f>
        <v/>
      </c>
      <c r="IU115" s="11" t="str">
        <f ca="1">IF(History!IY$2="","",#REF!*$C$115)</f>
        <v/>
      </c>
      <c r="IV115" s="11" t="str">
        <f ca="1">IF(History!IZ$2="","",#REF!*$C$115)</f>
        <v/>
      </c>
      <c r="IW115" s="11" t="str">
        <f ca="1">IF(History!JA$2="","",#REF!*$C$115)</f>
        <v/>
      </c>
      <c r="IX115" s="11" t="str">
        <f ca="1">IF(History!JB$2="","",#REF!*$C$115)</f>
        <v/>
      </c>
      <c r="IY115" s="11" t="str">
        <f ca="1">IF(History!JC$2="","",#REF!*$C$115)</f>
        <v/>
      </c>
      <c r="IZ115" s="11" t="str">
        <f ca="1">IF(History!JD$2="","",#REF!*$C$115)</f>
        <v/>
      </c>
      <c r="JA115" s="11" t="str">
        <f ca="1">IF(History!JE$2="","",#REF!*$C$115)</f>
        <v/>
      </c>
      <c r="JB115" s="11" t="str">
        <f ca="1">IF(History!JF$2="","",#REF!*$C$115)</f>
        <v/>
      </c>
      <c r="JC115" s="11" t="str">
        <f ca="1">IF(History!JG$2="","",#REF!*$C$115)</f>
        <v/>
      </c>
      <c r="JD115" s="11" t="str">
        <f ca="1">IF(History!JH$2="","",#REF!*$C$115)</f>
        <v/>
      </c>
      <c r="JE115" s="11" t="str">
        <f ca="1">IF(History!JI$2="","",#REF!*$C$115)</f>
        <v/>
      </c>
      <c r="JF115" s="11" t="str">
        <f ca="1">IF(History!JJ$2="","",#REF!*$C$115)</f>
        <v/>
      </c>
      <c r="JG115" s="11" t="str">
        <f ca="1">IF(History!JK$2="","",#REF!*$C$115)</f>
        <v/>
      </c>
      <c r="JH115" s="11" t="str">
        <f ca="1">IF(History!JL$2="","",#REF!*$C$115)</f>
        <v/>
      </c>
      <c r="JI115" s="11" t="str">
        <f ca="1">IF(History!JM$2="","",#REF!*$C$115)</f>
        <v/>
      </c>
      <c r="JJ115" s="11" t="str">
        <f ca="1">IF(History!JN$2="","",#REF!*$C$115)</f>
        <v/>
      </c>
      <c r="JK115" s="11" t="str">
        <f ca="1">IF(History!JO$2="","",#REF!*$C$115)</f>
        <v/>
      </c>
      <c r="JL115" s="11" t="str">
        <f ca="1">IF(History!JP$2="","",#REF!*$C$115)</f>
        <v/>
      </c>
      <c r="JM115" s="11" t="str">
        <f ca="1">IF(History!JQ$2="","",#REF!*$C$115)</f>
        <v/>
      </c>
      <c r="JN115" s="11" t="str">
        <f ca="1">IF(History!JR$2="","",#REF!*$C$115)</f>
        <v/>
      </c>
      <c r="JO115" s="11" t="str">
        <f ca="1">IF(History!JS$2="","",#REF!*$C$115)</f>
        <v/>
      </c>
      <c r="JP115" s="11" t="str">
        <f ca="1">IF(History!JT$2="","",#REF!*$C$115)</f>
        <v/>
      </c>
      <c r="JQ115" s="11" t="str">
        <f ca="1">IF(History!JU$2="","",#REF!*$C$115)</f>
        <v/>
      </c>
      <c r="JR115" s="11" t="str">
        <f ca="1">IF(History!JV$2="","",#REF!*$C$115)</f>
        <v/>
      </c>
      <c r="JS115" s="11" t="str">
        <f ca="1">IF(History!JW$2="","",#REF!*$C$115)</f>
        <v/>
      </c>
      <c r="JT115" s="11" t="str">
        <f ca="1">IF(History!JX$2="","",#REF!*$C$115)</f>
        <v/>
      </c>
      <c r="JU115" s="11" t="str">
        <f ca="1">IF(History!JY$2="","",#REF!*$C$115)</f>
        <v/>
      </c>
      <c r="JV115" s="11" t="str">
        <f ca="1">IF(History!JZ$2="","",#REF!*$C$115)</f>
        <v/>
      </c>
      <c r="JW115" s="11" t="str">
        <f ca="1">IF(History!KA$2="","",#REF!*$C$115)</f>
        <v/>
      </c>
      <c r="JX115" s="11" t="str">
        <f ca="1">IF(History!KB$2="","",#REF!*$C$115)</f>
        <v/>
      </c>
      <c r="JY115" s="11" t="str">
        <f ca="1">IF(History!KC$2="","",#REF!*$C$115)</f>
        <v/>
      </c>
      <c r="JZ115" s="11" t="str">
        <f ca="1">IF(History!KD$2="","",#REF!*$C$115)</f>
        <v/>
      </c>
      <c r="KA115" s="11" t="str">
        <f ca="1">IF(History!KE$2="","",#REF!*$C$115)</f>
        <v/>
      </c>
      <c r="KB115" s="11" t="str">
        <f ca="1">IF(History!KF$2="","",#REF!*$C$115)</f>
        <v/>
      </c>
    </row>
    <row r="116" spans="1:288" ht="13">
      <c r="A116" s="18" t="s">
        <v>40</v>
      </c>
      <c r="B116" s="32" t="s">
        <v>106</v>
      </c>
      <c r="C116" s="33">
        <v>554</v>
      </c>
      <c r="D116" s="11" t="e">
        <f ca="1">IF(History!H$2="","",#REF!*$C$116)</f>
        <v>#REF!</v>
      </c>
      <c r="E116" s="11" t="e">
        <f ca="1">IF(History!I$2="","",#REF!*$C$116)</f>
        <v>#REF!</v>
      </c>
      <c r="F116" s="11" t="e">
        <f ca="1">IF(History!J$2="","",#REF!*$C$116)</f>
        <v>#REF!</v>
      </c>
      <c r="G116" s="11" t="e">
        <f ca="1">IF(History!K$2="","",#REF!*$C$116)</f>
        <v>#REF!</v>
      </c>
      <c r="H116" s="11" t="e">
        <f ca="1">IF(History!L$2="","",#REF!*$C$116)</f>
        <v>#REF!</v>
      </c>
      <c r="I116" s="11" t="e">
        <f ca="1">IF(History!M$2="","",#REF!*$C$116)</f>
        <v>#REF!</v>
      </c>
      <c r="J116" s="11" t="e">
        <f ca="1">IF(History!N$2="","",#REF!*$C$116)</f>
        <v>#REF!</v>
      </c>
      <c r="K116" s="11" t="e">
        <f ca="1">IF(History!O$2="","",#REF!*$C$116)</f>
        <v>#REF!</v>
      </c>
      <c r="L116" s="11" t="e">
        <f ca="1">IF(History!P$2="","",#REF!*$C$116)</f>
        <v>#REF!</v>
      </c>
      <c r="M116" s="11" t="e">
        <f ca="1">IF(History!Q$2="","",#REF!*$C$116)</f>
        <v>#REF!</v>
      </c>
      <c r="N116" s="11" t="e">
        <f ca="1">IF(History!R$2="","",#REF!*$C$116)</f>
        <v>#REF!</v>
      </c>
      <c r="O116" s="11" t="e">
        <f ca="1">IF(History!S$2="","",#REF!*$C$116)</f>
        <v>#REF!</v>
      </c>
      <c r="P116" s="11" t="e">
        <f ca="1">IF(History!T$2="","",#REF!*$C$116)</f>
        <v>#REF!</v>
      </c>
      <c r="Q116" s="11" t="e">
        <f ca="1">IF(History!U$2="","",#REF!*$C$116)</f>
        <v>#REF!</v>
      </c>
      <c r="R116" s="11" t="e">
        <f ca="1">IF(History!V$2="","",#REF!*$C$116)</f>
        <v>#REF!</v>
      </c>
      <c r="S116" s="11" t="e">
        <f ca="1">IF(History!W$2="","",#REF!*$C$116)</f>
        <v>#REF!</v>
      </c>
      <c r="T116" s="11" t="e">
        <f ca="1">IF(History!X$2="","",#REF!*$C$116)</f>
        <v>#REF!</v>
      </c>
      <c r="U116" s="11" t="e">
        <f ca="1">IF(History!Y$2="","",#REF!*$C$116)</f>
        <v>#REF!</v>
      </c>
      <c r="V116" s="11" t="e">
        <f ca="1">IF(History!Z$2="","",#REF!*$C$116)</f>
        <v>#REF!</v>
      </c>
      <c r="W116" s="11" t="e">
        <f ca="1">IF(History!AA$2="","",#REF!*$C$116)</f>
        <v>#REF!</v>
      </c>
      <c r="X116" s="11" t="e">
        <f ca="1">IF(History!AB$2="","",#REF!*$C$116)</f>
        <v>#REF!</v>
      </c>
      <c r="Y116" s="11" t="e">
        <f ca="1">IF(History!AC$2="","",#REF!*$C$116)</f>
        <v>#REF!</v>
      </c>
      <c r="Z116" s="11" t="e">
        <f ca="1">IF(History!AD$2="","",#REF!*$C$116)</f>
        <v>#REF!</v>
      </c>
      <c r="AA116" s="11" t="e">
        <f ca="1">IF(History!AE$2="","",#REF!*$C$116)</f>
        <v>#REF!</v>
      </c>
      <c r="AB116" s="11" t="e">
        <f ca="1">IF(History!AF$2="","",#REF!*$C$116)</f>
        <v>#REF!</v>
      </c>
      <c r="AC116" s="11" t="e">
        <f ca="1">IF(History!AG$2="","",#REF!*$C$116)</f>
        <v>#REF!</v>
      </c>
      <c r="AD116" s="11" t="e">
        <f ca="1">IF(History!AH$2="","",#REF!*$C$116)</f>
        <v>#REF!</v>
      </c>
      <c r="AE116" s="11" t="e">
        <f ca="1">IF(History!AI$2="","",#REF!*$C$116)</f>
        <v>#REF!</v>
      </c>
      <c r="AF116" s="11" t="e">
        <f ca="1">IF(History!AJ$2="","",#REF!*$C$116)</f>
        <v>#REF!</v>
      </c>
      <c r="AG116" s="11" t="e">
        <f ca="1">IF(History!AK$2="","",#REF!*$C$116)</f>
        <v>#REF!</v>
      </c>
      <c r="AH116" s="11" t="e">
        <f ca="1">IF(History!AL$2="","",#REF!*$C$116)</f>
        <v>#REF!</v>
      </c>
      <c r="AI116" s="11" t="e">
        <f ca="1">IF(History!AM$2="","",#REF!*$C$116)</f>
        <v>#REF!</v>
      </c>
      <c r="AJ116" s="11" t="e">
        <f ca="1">IF(History!AN$2="","",#REF!*$C$116)</f>
        <v>#REF!</v>
      </c>
      <c r="AK116" s="11" t="e">
        <f ca="1">IF(History!AO$2="","",#REF!*$C$116)</f>
        <v>#REF!</v>
      </c>
      <c r="AL116" s="11" t="e">
        <f ca="1">IF(History!AP$2="","",#REF!*$C$116)</f>
        <v>#REF!</v>
      </c>
      <c r="AM116" s="11" t="e">
        <f ca="1">IF(History!AQ$2="","",#REF!*$C$116)</f>
        <v>#REF!</v>
      </c>
      <c r="AN116" s="11" t="e">
        <f ca="1">IF(History!AR$2="","",#REF!*$C$116)</f>
        <v>#REF!</v>
      </c>
      <c r="AO116" s="11" t="e">
        <f ca="1">IF(History!AS$2="","",#REF!*$C$116)</f>
        <v>#REF!</v>
      </c>
      <c r="AP116" s="11" t="e">
        <f ca="1">IF(History!AT$2="","",#REF!*$C$116)</f>
        <v>#REF!</v>
      </c>
      <c r="AQ116" s="11" t="e">
        <f ca="1">IF(History!AU$2="","",#REF!*$C$116)</f>
        <v>#REF!</v>
      </c>
      <c r="AR116" s="11" t="e">
        <f ca="1">IF(History!AV$2="","",#REF!*$C$116)</f>
        <v>#REF!</v>
      </c>
      <c r="AS116" s="11" t="e">
        <f ca="1">IF(History!AW$2="","",#REF!*$C$116)</f>
        <v>#REF!</v>
      </c>
      <c r="AT116" s="11" t="e">
        <f ca="1">IF(History!AX$2="","",#REF!*$C$116)</f>
        <v>#REF!</v>
      </c>
      <c r="AU116" s="11" t="e">
        <f ca="1">IF(History!AY$2="","",#REF!*$C$116)</f>
        <v>#REF!</v>
      </c>
      <c r="AV116" s="11" t="e">
        <f ca="1">IF(History!AZ$2="","",#REF!*$C$116)</f>
        <v>#REF!</v>
      </c>
      <c r="AW116" s="11" t="e">
        <f ca="1">IF(History!BA$2="","",#REF!*$C$116)</f>
        <v>#REF!</v>
      </c>
      <c r="AX116" s="11" t="e">
        <f ca="1">IF(History!BB$2="","",#REF!*$C$116)</f>
        <v>#REF!</v>
      </c>
      <c r="AY116" s="11" t="e">
        <f ca="1">IF(History!BC$2="","",#REF!*$C$116)</f>
        <v>#REF!</v>
      </c>
      <c r="AZ116" s="11" t="e">
        <f ca="1">IF(History!BD$2="","",#REF!*$C$116)</f>
        <v>#REF!</v>
      </c>
      <c r="BA116" s="11" t="e">
        <f ca="1">IF(History!BE$2="","",#REF!*$C$116)</f>
        <v>#REF!</v>
      </c>
      <c r="BB116" s="11" t="e">
        <f ca="1">IF(History!BF$2="","",#REF!*$C$116)</f>
        <v>#REF!</v>
      </c>
      <c r="BC116" s="11" t="e">
        <f ca="1">IF(History!BG$2="","",#REF!*$C$116)</f>
        <v>#REF!</v>
      </c>
      <c r="BD116" s="11" t="e">
        <f ca="1">IF(History!BH$2="","",#REF!*$C$116)</f>
        <v>#REF!</v>
      </c>
      <c r="BE116" s="11" t="e">
        <f ca="1">IF(History!BI$2="","",#REF!*$C$116)</f>
        <v>#REF!</v>
      </c>
      <c r="BF116" s="11" t="e">
        <f ca="1">IF(History!BJ$2="","",#REF!*$C$116)</f>
        <v>#REF!</v>
      </c>
      <c r="BG116" s="11" t="e">
        <f ca="1">IF(History!BK$2="","",#REF!*$C$116)</f>
        <v>#REF!</v>
      </c>
      <c r="BH116" s="11" t="e">
        <f ca="1">IF(History!BL$2="","",#REF!*$C$116)</f>
        <v>#REF!</v>
      </c>
      <c r="BI116" s="11" t="e">
        <f ca="1">IF(History!BM$2="","",#REF!*$C$116)</f>
        <v>#REF!</v>
      </c>
      <c r="BJ116" s="11" t="e">
        <f ca="1">IF(History!BN$2="","",#REF!*$C$116)</f>
        <v>#REF!</v>
      </c>
      <c r="BK116" s="11" t="e">
        <f ca="1">IF(History!BO$2="","",#REF!*$C$116)</f>
        <v>#REF!</v>
      </c>
      <c r="BL116" s="11" t="e">
        <f ca="1">IF(History!BP$2="","",#REF!*$C$116)</f>
        <v>#REF!</v>
      </c>
      <c r="BM116" s="11" t="e">
        <f ca="1">IF(History!BQ$2="","",#REF!*$C$116)</f>
        <v>#REF!</v>
      </c>
      <c r="BN116" s="11" t="e">
        <f ca="1">IF(History!BR$2="","",#REF!*$C$116)</f>
        <v>#REF!</v>
      </c>
      <c r="BO116" s="11" t="e">
        <f ca="1">IF(History!BS$2="","",#REF!*$C$116)</f>
        <v>#REF!</v>
      </c>
      <c r="BP116" s="11" t="e">
        <f ca="1">IF(History!BT$2="","",#REF!*$C$116)</f>
        <v>#REF!</v>
      </c>
      <c r="BQ116" s="11" t="e">
        <f ca="1">IF(History!BU$2="","",#REF!*$C$116)</f>
        <v>#REF!</v>
      </c>
      <c r="BR116" s="11" t="e">
        <f ca="1">IF(History!BV$2="","",#REF!*$C$116)</f>
        <v>#REF!</v>
      </c>
      <c r="BS116" s="11" t="e">
        <f ca="1">IF(History!BW$2="","",#REF!*$C$116)</f>
        <v>#REF!</v>
      </c>
      <c r="BT116" s="11" t="e">
        <f ca="1">IF(History!BX$2="","",#REF!*$C$116)</f>
        <v>#REF!</v>
      </c>
      <c r="BU116" s="11" t="e">
        <f ca="1">IF(History!BY$2="","",#REF!*$C$116)</f>
        <v>#REF!</v>
      </c>
      <c r="BV116" s="11" t="e">
        <f ca="1">IF(History!BZ$2="","",#REF!*$C$116)</f>
        <v>#REF!</v>
      </c>
      <c r="BW116" s="11" t="e">
        <f ca="1">IF(History!CA$2="","",#REF!*$C$116)</f>
        <v>#REF!</v>
      </c>
      <c r="BX116" s="11" t="e">
        <f ca="1">IF(History!CB$2="","",#REF!*$C$116)</f>
        <v>#REF!</v>
      </c>
      <c r="BY116" s="11" t="e">
        <f ca="1">IF(History!CC$2="","",#REF!*$C$116)</f>
        <v>#REF!</v>
      </c>
      <c r="BZ116" s="11" t="e">
        <f ca="1">IF(History!CD$2="","",#REF!*$C$116)</f>
        <v>#REF!</v>
      </c>
      <c r="CA116" s="11" t="e">
        <f ca="1">IF(History!CE$2="","",#REF!*$C$116)</f>
        <v>#REF!</v>
      </c>
      <c r="CB116" s="11" t="e">
        <f ca="1">IF(History!CF$2="","",#REF!*$C$116)</f>
        <v>#REF!</v>
      </c>
      <c r="CC116" s="11" t="e">
        <f ca="1">IF(History!CG$2="","",#REF!*$C$116)</f>
        <v>#REF!</v>
      </c>
      <c r="CD116" s="11" t="e">
        <f ca="1">IF(History!CH$2="","",#REF!*$C$116)</f>
        <v>#REF!</v>
      </c>
      <c r="CE116" s="11" t="e">
        <f ca="1">IF(History!CI$2="","",#REF!*$C$116)</f>
        <v>#REF!</v>
      </c>
      <c r="CF116" s="11" t="str">
        <f ca="1">IF(History!CJ$2="","",#REF!*$C$116)</f>
        <v/>
      </c>
      <c r="CG116" s="11" t="str">
        <f ca="1">IF(History!CK$2="","",#REF!*$C$116)</f>
        <v/>
      </c>
      <c r="CH116" s="11" t="str">
        <f ca="1">IF(History!CL$2="","",#REF!*$C$116)</f>
        <v/>
      </c>
      <c r="CI116" s="11" t="str">
        <f ca="1">IF(History!CM$2="","",#REF!*$C$116)</f>
        <v/>
      </c>
      <c r="CJ116" s="11" t="str">
        <f ca="1">IF(History!CN$2="","",#REF!*$C$116)</f>
        <v/>
      </c>
      <c r="CK116" s="11" t="str">
        <f ca="1">IF(History!CO$2="","",#REF!*$C$116)</f>
        <v/>
      </c>
      <c r="CL116" s="11" t="str">
        <f ca="1">IF(History!CP$2="","",#REF!*$C$116)</f>
        <v/>
      </c>
      <c r="CM116" s="11" t="str">
        <f ca="1">IF(History!CQ$2="","",#REF!*$C$116)</f>
        <v/>
      </c>
      <c r="CN116" s="11" t="str">
        <f ca="1">IF(History!CR$2="","",#REF!*$C$116)</f>
        <v/>
      </c>
      <c r="CO116" s="11" t="str">
        <f ca="1">IF(History!CS$2="","",#REF!*$C$116)</f>
        <v/>
      </c>
      <c r="CP116" s="11" t="str">
        <f ca="1">IF(History!CT$2="","",#REF!*$C$116)</f>
        <v/>
      </c>
      <c r="CQ116" s="11" t="str">
        <f ca="1">IF(History!CU$2="","",#REF!*$C$116)</f>
        <v/>
      </c>
      <c r="CR116" s="11" t="str">
        <f ca="1">IF(History!CV$2="","",#REF!*$C$116)</f>
        <v/>
      </c>
      <c r="CS116" s="11" t="str">
        <f ca="1">IF(History!CW$2="","",#REF!*$C$116)</f>
        <v/>
      </c>
      <c r="CT116" s="11" t="str">
        <f ca="1">IF(History!CX$2="","",#REF!*$C$116)</f>
        <v/>
      </c>
      <c r="CU116" s="11" t="str">
        <f ca="1">IF(History!CY$2="","",#REF!*$C$116)</f>
        <v/>
      </c>
      <c r="CV116" s="11" t="str">
        <f ca="1">IF(History!CZ$2="","",#REF!*$C$116)</f>
        <v/>
      </c>
      <c r="CW116" s="11" t="str">
        <f ca="1">IF(History!DA$2="","",#REF!*$C$116)</f>
        <v/>
      </c>
      <c r="CX116" s="11" t="str">
        <f ca="1">IF(History!DB$2="","",#REF!*$C$116)</f>
        <v/>
      </c>
      <c r="CY116" s="11" t="str">
        <f ca="1">IF(History!DC$2="","",#REF!*$C$116)</f>
        <v/>
      </c>
      <c r="CZ116" s="11" t="str">
        <f ca="1">IF(History!DD$2="","",#REF!*$C$116)</f>
        <v/>
      </c>
      <c r="DA116" s="11" t="str">
        <f ca="1">IF(History!DE$2="","",#REF!*$C$116)</f>
        <v/>
      </c>
      <c r="DB116" s="11" t="str">
        <f ca="1">IF(History!DF$2="","",#REF!*$C$116)</f>
        <v/>
      </c>
      <c r="DC116" s="11" t="str">
        <f ca="1">IF(History!DG$2="","",#REF!*$C$116)</f>
        <v/>
      </c>
      <c r="DD116" s="11" t="str">
        <f ca="1">IF(History!DH$2="","",#REF!*$C$116)</f>
        <v/>
      </c>
      <c r="DE116" s="11" t="str">
        <f ca="1">IF(History!DI$2="","",#REF!*$C$116)</f>
        <v/>
      </c>
      <c r="DF116" s="11" t="str">
        <f ca="1">IF(History!DJ$2="","",#REF!*$C$116)</f>
        <v/>
      </c>
      <c r="DG116" s="11" t="str">
        <f ca="1">IF(History!DK$2="","",#REF!*$C$116)</f>
        <v/>
      </c>
      <c r="DH116" s="11" t="str">
        <f ca="1">IF(History!DL$2="","",#REF!*$C$116)</f>
        <v/>
      </c>
      <c r="DI116" s="11" t="str">
        <f ca="1">IF(History!DM$2="","",#REF!*$C$116)</f>
        <v/>
      </c>
      <c r="DJ116" s="11" t="str">
        <f ca="1">IF(History!DN$2="","",#REF!*$C$116)</f>
        <v/>
      </c>
      <c r="DK116" s="11" t="str">
        <f ca="1">IF(History!DO$2="","",#REF!*$C$116)</f>
        <v/>
      </c>
      <c r="DL116" s="11" t="str">
        <f ca="1">IF(History!DP$2="","",#REF!*$C$116)</f>
        <v/>
      </c>
      <c r="DM116" s="11" t="str">
        <f ca="1">IF(History!DQ$2="","",#REF!*$C$116)</f>
        <v/>
      </c>
      <c r="DN116" s="11" t="str">
        <f ca="1">IF(History!DR$2="","",#REF!*$C$116)</f>
        <v/>
      </c>
      <c r="DO116" s="11" t="str">
        <f ca="1">IF(History!DS$2="","",#REF!*$C$116)</f>
        <v/>
      </c>
      <c r="DP116" s="11" t="str">
        <f ca="1">IF(History!DT$2="","",#REF!*$C$116)</f>
        <v/>
      </c>
      <c r="DQ116" s="11" t="str">
        <f ca="1">IF(History!DU$2="","",#REF!*$C$116)</f>
        <v/>
      </c>
      <c r="DR116" s="11" t="str">
        <f ca="1">IF(History!DV$2="","",#REF!*$C$116)</f>
        <v/>
      </c>
      <c r="DS116" s="11" t="str">
        <f ca="1">IF(History!DW$2="","",#REF!*$C$116)</f>
        <v/>
      </c>
      <c r="DT116" s="11" t="str">
        <f ca="1">IF(History!DX$2="","",#REF!*$C$116)</f>
        <v/>
      </c>
      <c r="DU116" s="11" t="str">
        <f ca="1">IF(History!DY$2="","",#REF!*$C$116)</f>
        <v/>
      </c>
      <c r="DV116" s="11" t="str">
        <f ca="1">IF(History!DZ$2="","",#REF!*$C$116)</f>
        <v/>
      </c>
      <c r="DW116" s="11" t="str">
        <f ca="1">IF(History!EA$2="","",#REF!*$C$116)</f>
        <v/>
      </c>
      <c r="DX116" s="11" t="str">
        <f ca="1">IF(History!EB$2="","",#REF!*$C$116)</f>
        <v/>
      </c>
      <c r="DY116" s="11" t="str">
        <f ca="1">IF(History!EC$2="","",#REF!*$C$116)</f>
        <v/>
      </c>
      <c r="DZ116" s="11" t="str">
        <f ca="1">IF(History!ED$2="","",#REF!*$C$116)</f>
        <v/>
      </c>
      <c r="EA116" s="11" t="str">
        <f ca="1">IF(History!EE$2="","",#REF!*$C$116)</f>
        <v/>
      </c>
      <c r="EB116" s="11" t="str">
        <f ca="1">IF(History!EF$2="","",#REF!*$C$116)</f>
        <v/>
      </c>
      <c r="EC116" s="11" t="str">
        <f ca="1">IF(History!EG$2="","",#REF!*$C$116)</f>
        <v/>
      </c>
      <c r="ED116" s="11" t="str">
        <f ca="1">IF(History!EH$2="","",#REF!*$C$116)</f>
        <v/>
      </c>
      <c r="EE116" s="11" t="str">
        <f ca="1">IF(History!EI$2="","",#REF!*$C$116)</f>
        <v/>
      </c>
      <c r="EF116" s="11" t="str">
        <f ca="1">IF(History!EJ$2="","",#REF!*$C$116)</f>
        <v/>
      </c>
      <c r="EG116" s="11" t="str">
        <f ca="1">IF(History!EK$2="","",#REF!*$C$116)</f>
        <v/>
      </c>
      <c r="EH116" s="11" t="str">
        <f ca="1">IF(History!EL$2="","",#REF!*$C$116)</f>
        <v/>
      </c>
      <c r="EI116" s="11" t="str">
        <f ca="1">IF(History!EM$2="","",#REF!*$C$116)</f>
        <v/>
      </c>
      <c r="EJ116" s="11" t="str">
        <f ca="1">IF(History!EN$2="","",#REF!*$C$116)</f>
        <v/>
      </c>
      <c r="EK116" s="11" t="str">
        <f ca="1">IF(History!EO$2="","",#REF!*$C$116)</f>
        <v/>
      </c>
      <c r="EL116" s="11" t="str">
        <f ca="1">IF(History!EP$2="","",#REF!*$C$116)</f>
        <v/>
      </c>
      <c r="EM116" s="11" t="str">
        <f ca="1">IF(History!EQ$2="","",#REF!*$C$116)</f>
        <v/>
      </c>
      <c r="EN116" s="11" t="str">
        <f ca="1">IF(History!ER$2="","",#REF!*$C$116)</f>
        <v/>
      </c>
      <c r="EO116" s="11" t="str">
        <f ca="1">IF(History!ES$2="","",#REF!*$C$116)</f>
        <v/>
      </c>
      <c r="EP116" s="11" t="str">
        <f ca="1">IF(History!ET$2="","",#REF!*$C$116)</f>
        <v/>
      </c>
      <c r="EQ116" s="11" t="str">
        <f ca="1">IF(History!EU$2="","",#REF!*$C$116)</f>
        <v/>
      </c>
      <c r="ER116" s="11" t="str">
        <f ca="1">IF(History!EV$2="","",#REF!*$C$116)</f>
        <v/>
      </c>
      <c r="ES116" s="11" t="str">
        <f ca="1">IF(History!EW$2="","",#REF!*$C$116)</f>
        <v/>
      </c>
      <c r="ET116" s="11" t="str">
        <f ca="1">IF(History!EX$2="","",#REF!*$C$116)</f>
        <v/>
      </c>
      <c r="EU116" s="11" t="str">
        <f ca="1">IF(History!EY$2="","",#REF!*$C$116)</f>
        <v/>
      </c>
      <c r="EV116" s="11" t="str">
        <f ca="1">IF(History!EZ$2="","",#REF!*$C$116)</f>
        <v/>
      </c>
      <c r="EW116" s="11" t="str">
        <f ca="1">IF(History!FA$2="","",#REF!*$C$116)</f>
        <v/>
      </c>
      <c r="EX116" s="11" t="str">
        <f ca="1">IF(History!FB$2="","",#REF!*$C$116)</f>
        <v/>
      </c>
      <c r="EY116" s="11" t="str">
        <f ca="1">IF(History!FC$2="","",#REF!*$C$116)</f>
        <v/>
      </c>
      <c r="EZ116" s="11" t="str">
        <f ca="1">IF(History!FD$2="","",#REF!*$C$116)</f>
        <v/>
      </c>
      <c r="FA116" s="11" t="str">
        <f ca="1">IF(History!FE$2="","",#REF!*$C$116)</f>
        <v/>
      </c>
      <c r="FB116" s="11" t="str">
        <f ca="1">IF(History!FF$2="","",#REF!*$C$116)</f>
        <v/>
      </c>
      <c r="FC116" s="11" t="str">
        <f ca="1">IF(History!FG$2="","",#REF!*$C$116)</f>
        <v/>
      </c>
      <c r="FD116" s="11" t="str">
        <f ca="1">IF(History!FH$2="","",#REF!*$C$116)</f>
        <v/>
      </c>
      <c r="FE116" s="11" t="str">
        <f ca="1">IF(History!FI$2="","",#REF!*$C$116)</f>
        <v/>
      </c>
      <c r="FF116" s="11" t="str">
        <f ca="1">IF(History!FJ$2="","",#REF!*$C$116)</f>
        <v/>
      </c>
      <c r="FG116" s="11" t="str">
        <f ca="1">IF(History!FK$2="","",#REF!*$C$116)</f>
        <v/>
      </c>
      <c r="FH116" s="11" t="str">
        <f ca="1">IF(History!FL$2="","",#REF!*$C$116)</f>
        <v/>
      </c>
      <c r="FI116" s="11" t="str">
        <f ca="1">IF(History!FM$2="","",#REF!*$C$116)</f>
        <v/>
      </c>
      <c r="FJ116" s="11" t="str">
        <f ca="1">IF(History!FN$2="","",#REF!*$C$116)</f>
        <v/>
      </c>
      <c r="FK116" s="11" t="str">
        <f ca="1">IF(History!FO$2="","",#REF!*$C$116)</f>
        <v/>
      </c>
      <c r="FL116" s="11" t="str">
        <f ca="1">IF(History!FP$2="","",#REF!*$C$116)</f>
        <v/>
      </c>
      <c r="FM116" s="11" t="str">
        <f ca="1">IF(History!FQ$2="","",#REF!*$C$116)</f>
        <v/>
      </c>
      <c r="FN116" s="11" t="str">
        <f ca="1">IF(History!FR$2="","",#REF!*$C$116)</f>
        <v/>
      </c>
      <c r="FO116" s="11" t="str">
        <f ca="1">IF(History!FS$2="","",#REF!*$C$116)</f>
        <v/>
      </c>
      <c r="FP116" s="11" t="str">
        <f ca="1">IF(History!FT$2="","",#REF!*$C$116)</f>
        <v/>
      </c>
      <c r="FQ116" s="11" t="str">
        <f ca="1">IF(History!FU$2="","",#REF!*$C$116)</f>
        <v/>
      </c>
      <c r="FR116" s="11" t="str">
        <f ca="1">IF(History!FV$2="","",#REF!*$C$116)</f>
        <v/>
      </c>
      <c r="FS116" s="11" t="str">
        <f ca="1">IF(History!FW$2="","",#REF!*$C$116)</f>
        <v/>
      </c>
      <c r="FT116" s="11" t="str">
        <f ca="1">IF(History!FX$2="","",#REF!*$C$116)</f>
        <v/>
      </c>
      <c r="FU116" s="11" t="str">
        <f ca="1">IF(History!FY$2="","",#REF!*$C$116)</f>
        <v/>
      </c>
      <c r="FV116" s="11" t="str">
        <f ca="1">IF(History!FZ$2="","",#REF!*$C$116)</f>
        <v/>
      </c>
      <c r="FW116" s="11" t="str">
        <f ca="1">IF(History!GA$2="","",#REF!*$C$116)</f>
        <v/>
      </c>
      <c r="FX116" s="11" t="str">
        <f ca="1">IF(History!GB$2="","",#REF!*$C$116)</f>
        <v/>
      </c>
      <c r="FY116" s="11" t="str">
        <f ca="1">IF(History!GC$2="","",#REF!*$C$116)</f>
        <v/>
      </c>
      <c r="FZ116" s="11" t="str">
        <f ca="1">IF(History!GD$2="","",#REF!*$C$116)</f>
        <v/>
      </c>
      <c r="GA116" s="11" t="str">
        <f ca="1">IF(History!GE$2="","",#REF!*$C$116)</f>
        <v/>
      </c>
      <c r="GB116" s="11" t="str">
        <f ca="1">IF(History!GF$2="","",#REF!*$C$116)</f>
        <v/>
      </c>
      <c r="GC116" s="11" t="str">
        <f ca="1">IF(History!GG$2="","",#REF!*$C$116)</f>
        <v/>
      </c>
      <c r="GD116" s="11" t="str">
        <f ca="1">IF(History!GH$2="","",#REF!*$C$116)</f>
        <v/>
      </c>
      <c r="GE116" s="11" t="str">
        <f ca="1">IF(History!GI$2="","",#REF!*$C$116)</f>
        <v/>
      </c>
      <c r="GF116" s="11" t="str">
        <f ca="1">IF(History!GJ$2="","",#REF!*$C$116)</f>
        <v/>
      </c>
      <c r="GG116" s="11" t="str">
        <f ca="1">IF(History!GK$2="","",#REF!*$C$116)</f>
        <v/>
      </c>
      <c r="GH116" s="11" t="str">
        <f ca="1">IF(History!GL$2="","",#REF!*$C$116)</f>
        <v/>
      </c>
      <c r="GI116" s="11" t="str">
        <f ca="1">IF(History!GM$2="","",#REF!*$C$116)</f>
        <v/>
      </c>
      <c r="GJ116" s="11" t="str">
        <f ca="1">IF(History!GN$2="","",#REF!*$C$116)</f>
        <v/>
      </c>
      <c r="GK116" s="11" t="str">
        <f ca="1">IF(History!GO$2="","",#REF!*$C$116)</f>
        <v/>
      </c>
      <c r="GL116" s="11" t="str">
        <f ca="1">IF(History!GP$2="","",#REF!*$C$116)</f>
        <v/>
      </c>
      <c r="GM116" s="11" t="str">
        <f ca="1">IF(History!GQ$2="","",#REF!*$C$116)</f>
        <v/>
      </c>
      <c r="GN116" s="11" t="str">
        <f ca="1">IF(History!GR$2="","",#REF!*$C$116)</f>
        <v/>
      </c>
      <c r="GO116" s="11" t="str">
        <f ca="1">IF(History!GS$2="","",#REF!*$C$116)</f>
        <v/>
      </c>
      <c r="GP116" s="11" t="str">
        <f ca="1">IF(History!GT$2="","",#REF!*$C$116)</f>
        <v/>
      </c>
      <c r="GQ116" s="11" t="str">
        <f ca="1">IF(History!GU$2="","",#REF!*$C$116)</f>
        <v/>
      </c>
      <c r="GR116" s="11" t="str">
        <f ca="1">IF(History!GV$2="","",#REF!*$C$116)</f>
        <v/>
      </c>
      <c r="GS116" s="11" t="str">
        <f ca="1">IF(History!GW$2="","",#REF!*$C$116)</f>
        <v/>
      </c>
      <c r="GT116" s="11" t="str">
        <f ca="1">IF(History!GX$2="","",#REF!*$C$116)</f>
        <v/>
      </c>
      <c r="GU116" s="11" t="str">
        <f ca="1">IF(History!GY$2="","",#REF!*$C$116)</f>
        <v/>
      </c>
      <c r="GV116" s="11" t="str">
        <f ca="1">IF(History!GZ$2="","",#REF!*$C$116)</f>
        <v/>
      </c>
      <c r="GW116" s="11" t="str">
        <f ca="1">IF(History!HA$2="","",#REF!*$C$116)</f>
        <v/>
      </c>
      <c r="GX116" s="11" t="str">
        <f ca="1">IF(History!HB$2="","",#REF!*$C$116)</f>
        <v/>
      </c>
      <c r="GY116" s="11" t="str">
        <f ca="1">IF(History!HC$2="","",#REF!*$C$116)</f>
        <v/>
      </c>
      <c r="GZ116" s="11" t="str">
        <f ca="1">IF(History!HD$2="","",#REF!*$C$116)</f>
        <v/>
      </c>
      <c r="HA116" s="11" t="str">
        <f ca="1">IF(History!HE$2="","",#REF!*$C$116)</f>
        <v/>
      </c>
      <c r="HB116" s="11" t="str">
        <f ca="1">IF(History!HF$2="","",#REF!*$C$116)</f>
        <v/>
      </c>
      <c r="HC116" s="11" t="str">
        <f ca="1">IF(History!HG$2="","",#REF!*$C$116)</f>
        <v/>
      </c>
      <c r="HD116" s="11" t="str">
        <f ca="1">IF(History!HH$2="","",#REF!*$C$116)</f>
        <v/>
      </c>
      <c r="HE116" s="11" t="str">
        <f ca="1">IF(History!HI$2="","",#REF!*$C$116)</f>
        <v/>
      </c>
      <c r="HF116" s="11" t="str">
        <f ca="1">IF(History!HJ$2="","",#REF!*$C$116)</f>
        <v/>
      </c>
      <c r="HG116" s="11" t="str">
        <f ca="1">IF(History!HK$2="","",#REF!*$C$116)</f>
        <v/>
      </c>
      <c r="HH116" s="11" t="str">
        <f ca="1">IF(History!HL$2="","",#REF!*$C$116)</f>
        <v/>
      </c>
      <c r="HI116" s="11" t="str">
        <f ca="1">IF(History!HM$2="","",#REF!*$C$116)</f>
        <v/>
      </c>
      <c r="HJ116" s="11" t="str">
        <f ca="1">IF(History!HN$2="","",#REF!*$C$116)</f>
        <v/>
      </c>
      <c r="HK116" s="11" t="str">
        <f ca="1">IF(History!HO$2="","",#REF!*$C$116)</f>
        <v/>
      </c>
      <c r="HL116" s="11" t="str">
        <f ca="1">IF(History!HP$2="","",#REF!*$C$116)</f>
        <v/>
      </c>
      <c r="HM116" s="11" t="str">
        <f ca="1">IF(History!HQ$2="","",#REF!*$C$116)</f>
        <v/>
      </c>
      <c r="HN116" s="11" t="str">
        <f ca="1">IF(History!HR$2="","",#REF!*$C$116)</f>
        <v/>
      </c>
      <c r="HO116" s="11" t="str">
        <f ca="1">IF(History!HS$2="","",#REF!*$C$116)</f>
        <v/>
      </c>
      <c r="HP116" s="11" t="str">
        <f ca="1">IF(History!HT$2="","",#REF!*$C$116)</f>
        <v/>
      </c>
      <c r="HQ116" s="11" t="str">
        <f ca="1">IF(History!HU$2="","",#REF!*$C$116)</f>
        <v/>
      </c>
      <c r="HR116" s="11" t="str">
        <f ca="1">IF(History!HV$2="","",#REF!*$C$116)</f>
        <v/>
      </c>
      <c r="HS116" s="11" t="str">
        <f ca="1">IF(History!HW$2="","",#REF!*$C$116)</f>
        <v/>
      </c>
      <c r="HT116" s="11" t="str">
        <f ca="1">IF(History!HX$2="","",#REF!*$C$116)</f>
        <v/>
      </c>
      <c r="HU116" s="11" t="str">
        <f ca="1">IF(History!HY$2="","",#REF!*$C$116)</f>
        <v/>
      </c>
      <c r="HV116" s="11" t="str">
        <f ca="1">IF(History!HZ$2="","",#REF!*$C$116)</f>
        <v/>
      </c>
      <c r="HW116" s="11" t="str">
        <f ca="1">IF(History!IA$2="","",#REF!*$C$116)</f>
        <v/>
      </c>
      <c r="HX116" s="11" t="str">
        <f ca="1">IF(History!IB$2="","",#REF!*$C$116)</f>
        <v/>
      </c>
      <c r="HY116" s="11" t="str">
        <f ca="1">IF(History!IC$2="","",#REF!*$C$116)</f>
        <v/>
      </c>
      <c r="HZ116" s="11" t="str">
        <f ca="1">IF(History!ID$2="","",#REF!*$C$116)</f>
        <v/>
      </c>
      <c r="IA116" s="11" t="str">
        <f ca="1">IF(History!IE$2="","",#REF!*$C$116)</f>
        <v/>
      </c>
      <c r="IB116" s="11" t="str">
        <f ca="1">IF(History!IF$2="","",#REF!*$C$116)</f>
        <v/>
      </c>
      <c r="IC116" s="11" t="str">
        <f ca="1">IF(History!IG$2="","",#REF!*$C$116)</f>
        <v/>
      </c>
      <c r="ID116" s="11" t="str">
        <f ca="1">IF(History!IH$2="","",#REF!*$C$116)</f>
        <v/>
      </c>
      <c r="IE116" s="11" t="str">
        <f ca="1">IF(History!II$2="","",#REF!*$C$116)</f>
        <v/>
      </c>
      <c r="IF116" s="11" t="str">
        <f ca="1">IF(History!IJ$2="","",#REF!*$C$116)</f>
        <v/>
      </c>
      <c r="IG116" s="11" t="str">
        <f ca="1">IF(History!IK$2="","",#REF!*$C$116)</f>
        <v/>
      </c>
      <c r="IH116" s="11" t="str">
        <f ca="1">IF(History!IL$2="","",#REF!*$C$116)</f>
        <v/>
      </c>
      <c r="II116" s="11" t="str">
        <f ca="1">IF(History!IM$2="","",#REF!*$C$116)</f>
        <v/>
      </c>
      <c r="IJ116" s="11" t="str">
        <f ca="1">IF(History!IN$2="","",#REF!*$C$116)</f>
        <v/>
      </c>
      <c r="IK116" s="11" t="str">
        <f ca="1">IF(History!IO$2="","",#REF!*$C$116)</f>
        <v/>
      </c>
      <c r="IL116" s="11" t="str">
        <f ca="1">IF(History!IP$2="","",#REF!*$C$116)</f>
        <v/>
      </c>
      <c r="IM116" s="11" t="str">
        <f ca="1">IF(History!IQ$2="","",#REF!*$C$116)</f>
        <v/>
      </c>
      <c r="IN116" s="11" t="str">
        <f ca="1">IF(History!IR$2="","",#REF!*$C$116)</f>
        <v/>
      </c>
      <c r="IO116" s="11" t="str">
        <f ca="1">IF(History!IS$2="","",#REF!*$C$116)</f>
        <v/>
      </c>
      <c r="IP116" s="11" t="str">
        <f ca="1">IF(History!IT$2="","",#REF!*$C$116)</f>
        <v/>
      </c>
      <c r="IQ116" s="11" t="str">
        <f ca="1">IF(History!IU$2="","",#REF!*$C$116)</f>
        <v/>
      </c>
      <c r="IR116" s="11" t="str">
        <f ca="1">IF(History!IV$2="","",#REF!*$C$116)</f>
        <v/>
      </c>
      <c r="IS116" s="11" t="str">
        <f ca="1">IF(History!IW$2="","",#REF!*$C$116)</f>
        <v/>
      </c>
      <c r="IT116" s="11" t="str">
        <f ca="1">IF(History!IX$2="","",#REF!*$C$116)</f>
        <v/>
      </c>
      <c r="IU116" s="11" t="str">
        <f ca="1">IF(History!IY$2="","",#REF!*$C$116)</f>
        <v/>
      </c>
      <c r="IV116" s="11" t="str">
        <f ca="1">IF(History!IZ$2="","",#REF!*$C$116)</f>
        <v/>
      </c>
      <c r="IW116" s="11" t="str">
        <f ca="1">IF(History!JA$2="","",#REF!*$C$116)</f>
        <v/>
      </c>
      <c r="IX116" s="11" t="str">
        <f ca="1">IF(History!JB$2="","",#REF!*$C$116)</f>
        <v/>
      </c>
      <c r="IY116" s="11" t="str">
        <f ca="1">IF(History!JC$2="","",#REF!*$C$116)</f>
        <v/>
      </c>
      <c r="IZ116" s="11" t="str">
        <f ca="1">IF(History!JD$2="","",#REF!*$C$116)</f>
        <v/>
      </c>
      <c r="JA116" s="11" t="str">
        <f ca="1">IF(History!JE$2="","",#REF!*$C$116)</f>
        <v/>
      </c>
      <c r="JB116" s="11" t="str">
        <f ca="1">IF(History!JF$2="","",#REF!*$C$116)</f>
        <v/>
      </c>
      <c r="JC116" s="11" t="str">
        <f ca="1">IF(History!JG$2="","",#REF!*$C$116)</f>
        <v/>
      </c>
      <c r="JD116" s="11" t="str">
        <f ca="1">IF(History!JH$2="","",#REF!*$C$116)</f>
        <v/>
      </c>
      <c r="JE116" s="11" t="str">
        <f ca="1">IF(History!JI$2="","",#REF!*$C$116)</f>
        <v/>
      </c>
      <c r="JF116" s="11" t="str">
        <f ca="1">IF(History!JJ$2="","",#REF!*$C$116)</f>
        <v/>
      </c>
      <c r="JG116" s="11" t="str">
        <f ca="1">IF(History!JK$2="","",#REF!*$C$116)</f>
        <v/>
      </c>
      <c r="JH116" s="11" t="str">
        <f ca="1">IF(History!JL$2="","",#REF!*$C$116)</f>
        <v/>
      </c>
      <c r="JI116" s="11" t="str">
        <f ca="1">IF(History!JM$2="","",#REF!*$C$116)</f>
        <v/>
      </c>
      <c r="JJ116" s="11" t="str">
        <f ca="1">IF(History!JN$2="","",#REF!*$C$116)</f>
        <v/>
      </c>
      <c r="JK116" s="11" t="str">
        <f ca="1">IF(History!JO$2="","",#REF!*$C$116)</f>
        <v/>
      </c>
      <c r="JL116" s="11" t="str">
        <f ca="1">IF(History!JP$2="","",#REF!*$C$116)</f>
        <v/>
      </c>
      <c r="JM116" s="11" t="str">
        <f ca="1">IF(History!JQ$2="","",#REF!*$C$116)</f>
        <v/>
      </c>
      <c r="JN116" s="11" t="str">
        <f ca="1">IF(History!JR$2="","",#REF!*$C$116)</f>
        <v/>
      </c>
      <c r="JO116" s="11" t="str">
        <f ca="1">IF(History!JS$2="","",#REF!*$C$116)</f>
        <v/>
      </c>
      <c r="JP116" s="11" t="str">
        <f ca="1">IF(History!JT$2="","",#REF!*$C$116)</f>
        <v/>
      </c>
      <c r="JQ116" s="11" t="str">
        <f ca="1">IF(History!JU$2="","",#REF!*$C$116)</f>
        <v/>
      </c>
      <c r="JR116" s="11" t="str">
        <f ca="1">IF(History!JV$2="","",#REF!*$C$116)</f>
        <v/>
      </c>
      <c r="JS116" s="11" t="str">
        <f ca="1">IF(History!JW$2="","",#REF!*$C$116)</f>
        <v/>
      </c>
      <c r="JT116" s="11" t="str">
        <f ca="1">IF(History!JX$2="","",#REF!*$C$116)</f>
        <v/>
      </c>
      <c r="JU116" s="11" t="str">
        <f ca="1">IF(History!JY$2="","",#REF!*$C$116)</f>
        <v/>
      </c>
      <c r="JV116" s="11" t="str">
        <f ca="1">IF(History!JZ$2="","",#REF!*$C$116)</f>
        <v/>
      </c>
      <c r="JW116" s="11" t="str">
        <f ca="1">IF(History!KA$2="","",#REF!*$C$116)</f>
        <v/>
      </c>
      <c r="JX116" s="11" t="str">
        <f ca="1">IF(History!KB$2="","",#REF!*$C$116)</f>
        <v/>
      </c>
      <c r="JY116" s="11" t="str">
        <f ca="1">IF(History!KC$2="","",#REF!*$C$116)</f>
        <v/>
      </c>
      <c r="JZ116" s="11" t="str">
        <f ca="1">IF(History!KD$2="","",#REF!*$C$116)</f>
        <v/>
      </c>
      <c r="KA116" s="11" t="str">
        <f ca="1">IF(History!KE$2="","",#REF!*$C$116)</f>
        <v/>
      </c>
      <c r="KB116" s="11" t="str">
        <f ca="1">IF(History!KF$2="","",#REF!*$C$116)</f>
        <v/>
      </c>
    </row>
    <row r="117" spans="1:288" ht="13">
      <c r="A117" s="18" t="s">
        <v>40</v>
      </c>
      <c r="B117" s="32" t="s">
        <v>107</v>
      </c>
      <c r="C117" s="33">
        <v>759</v>
      </c>
      <c r="D117" s="11" t="e">
        <f ca="1">IF(History!H$2="","",#REF!*$C$117)</f>
        <v>#REF!</v>
      </c>
      <c r="E117" s="11" t="e">
        <f ca="1">IF(History!I$2="","",#REF!*$C$117)</f>
        <v>#REF!</v>
      </c>
      <c r="F117" s="11" t="e">
        <f ca="1">IF(History!J$2="","",#REF!*$C$117)</f>
        <v>#REF!</v>
      </c>
      <c r="G117" s="11" t="e">
        <f ca="1">IF(History!K$2="","",#REF!*$C$117)</f>
        <v>#REF!</v>
      </c>
      <c r="H117" s="11" t="e">
        <f ca="1">IF(History!L$2="","",#REF!*$C$117)</f>
        <v>#REF!</v>
      </c>
      <c r="I117" s="11" t="e">
        <f ca="1">IF(History!M$2="","",#REF!*$C$117)</f>
        <v>#REF!</v>
      </c>
      <c r="J117" s="11" t="e">
        <f ca="1">IF(History!N$2="","",#REF!*$C$117)</f>
        <v>#REF!</v>
      </c>
      <c r="K117" s="11" t="e">
        <f ca="1">IF(History!O$2="","",#REF!*$C$117)</f>
        <v>#REF!</v>
      </c>
      <c r="L117" s="11" t="e">
        <f ca="1">IF(History!P$2="","",#REF!*$C$117)</f>
        <v>#REF!</v>
      </c>
      <c r="M117" s="11" t="e">
        <f ca="1">IF(History!Q$2="","",#REF!*$C$117)</f>
        <v>#REF!</v>
      </c>
      <c r="N117" s="11" t="e">
        <f ca="1">IF(History!R$2="","",#REF!*$C$117)</f>
        <v>#REF!</v>
      </c>
      <c r="O117" s="11" t="e">
        <f ca="1">IF(History!S$2="","",#REF!*$C$117)</f>
        <v>#REF!</v>
      </c>
      <c r="P117" s="11" t="e">
        <f ca="1">IF(History!T$2="","",#REF!*$C$117)</f>
        <v>#REF!</v>
      </c>
      <c r="Q117" s="11" t="e">
        <f ca="1">IF(History!U$2="","",#REF!*$C$117)</f>
        <v>#REF!</v>
      </c>
      <c r="R117" s="11" t="e">
        <f ca="1">IF(History!V$2="","",#REF!*$C$117)</f>
        <v>#REF!</v>
      </c>
      <c r="S117" s="11" t="e">
        <f ca="1">IF(History!W$2="","",#REF!*$C$117)</f>
        <v>#REF!</v>
      </c>
      <c r="T117" s="11" t="e">
        <f ca="1">IF(History!X$2="","",#REF!*$C$117)</f>
        <v>#REF!</v>
      </c>
      <c r="U117" s="11" t="e">
        <f ca="1">IF(History!Y$2="","",#REF!*$C$117)</f>
        <v>#REF!</v>
      </c>
      <c r="V117" s="11" t="e">
        <f ca="1">IF(History!Z$2="","",#REF!*$C$117)</f>
        <v>#REF!</v>
      </c>
      <c r="W117" s="11" t="e">
        <f ca="1">IF(History!AA$2="","",#REF!*$C$117)</f>
        <v>#REF!</v>
      </c>
      <c r="X117" s="11" t="e">
        <f ca="1">IF(History!AB$2="","",#REF!*$C$117)</f>
        <v>#REF!</v>
      </c>
      <c r="Y117" s="11" t="e">
        <f ca="1">IF(History!AC$2="","",#REF!*$C$117)</f>
        <v>#REF!</v>
      </c>
      <c r="Z117" s="11" t="e">
        <f ca="1">IF(History!AD$2="","",#REF!*$C$117)</f>
        <v>#REF!</v>
      </c>
      <c r="AA117" s="11" t="e">
        <f ca="1">IF(History!AE$2="","",#REF!*$C$117)</f>
        <v>#REF!</v>
      </c>
      <c r="AB117" s="11" t="e">
        <f ca="1">IF(History!AF$2="","",#REF!*$C$117)</f>
        <v>#REF!</v>
      </c>
      <c r="AC117" s="11" t="e">
        <f ca="1">IF(History!AG$2="","",#REF!*$C$117)</f>
        <v>#REF!</v>
      </c>
      <c r="AD117" s="11" t="e">
        <f ca="1">IF(History!AH$2="","",#REF!*$C$117)</f>
        <v>#REF!</v>
      </c>
      <c r="AE117" s="11" t="e">
        <f ca="1">IF(History!AI$2="","",#REF!*$C$117)</f>
        <v>#REF!</v>
      </c>
      <c r="AF117" s="11" t="e">
        <f ca="1">IF(History!AJ$2="","",#REF!*$C$117)</f>
        <v>#REF!</v>
      </c>
      <c r="AG117" s="11" t="e">
        <f ca="1">IF(History!AK$2="","",#REF!*$C$117)</f>
        <v>#REF!</v>
      </c>
      <c r="AH117" s="11" t="e">
        <f ca="1">IF(History!AL$2="","",#REF!*$C$117)</f>
        <v>#REF!</v>
      </c>
      <c r="AI117" s="11" t="e">
        <f ca="1">IF(History!AM$2="","",#REF!*$C$117)</f>
        <v>#REF!</v>
      </c>
      <c r="AJ117" s="11" t="e">
        <f ca="1">IF(History!AN$2="","",#REF!*$C$117)</f>
        <v>#REF!</v>
      </c>
      <c r="AK117" s="11" t="e">
        <f ca="1">IF(History!AO$2="","",#REF!*$C$117)</f>
        <v>#REF!</v>
      </c>
      <c r="AL117" s="11" t="e">
        <f ca="1">IF(History!AP$2="","",#REF!*$C$117)</f>
        <v>#REF!</v>
      </c>
      <c r="AM117" s="11" t="e">
        <f ca="1">IF(History!AQ$2="","",#REF!*$C$117)</f>
        <v>#REF!</v>
      </c>
      <c r="AN117" s="11" t="e">
        <f ca="1">IF(History!AR$2="","",#REF!*$C$117)</f>
        <v>#REF!</v>
      </c>
      <c r="AO117" s="11" t="e">
        <f ca="1">IF(History!AS$2="","",#REF!*$C$117)</f>
        <v>#REF!</v>
      </c>
      <c r="AP117" s="11" t="e">
        <f ca="1">IF(History!AT$2="","",#REF!*$C$117)</f>
        <v>#REF!</v>
      </c>
      <c r="AQ117" s="11" t="e">
        <f ca="1">IF(History!AU$2="","",#REF!*$C$117)</f>
        <v>#REF!</v>
      </c>
      <c r="AR117" s="11" t="e">
        <f ca="1">IF(History!AV$2="","",#REF!*$C$117)</f>
        <v>#REF!</v>
      </c>
      <c r="AS117" s="11" t="e">
        <f ca="1">IF(History!AW$2="","",#REF!*$C$117)</f>
        <v>#REF!</v>
      </c>
      <c r="AT117" s="11" t="e">
        <f ca="1">IF(History!AX$2="","",#REF!*$C$117)</f>
        <v>#REF!</v>
      </c>
      <c r="AU117" s="11" t="e">
        <f ca="1">IF(History!AY$2="","",#REF!*$C$117)</f>
        <v>#REF!</v>
      </c>
      <c r="AV117" s="11" t="e">
        <f ca="1">IF(History!AZ$2="","",#REF!*$C$117)</f>
        <v>#REF!</v>
      </c>
      <c r="AW117" s="11" t="e">
        <f ca="1">IF(History!BA$2="","",#REF!*$C$117)</f>
        <v>#REF!</v>
      </c>
      <c r="AX117" s="11" t="e">
        <f ca="1">IF(History!BB$2="","",#REF!*$C$117)</f>
        <v>#REF!</v>
      </c>
      <c r="AY117" s="11" t="e">
        <f ca="1">IF(History!BC$2="","",#REF!*$C$117)</f>
        <v>#REF!</v>
      </c>
      <c r="AZ117" s="11" t="e">
        <f ca="1">IF(History!BD$2="","",#REF!*$C$117)</f>
        <v>#REF!</v>
      </c>
      <c r="BA117" s="11" t="e">
        <f ca="1">IF(History!BE$2="","",#REF!*$C$117)</f>
        <v>#REF!</v>
      </c>
      <c r="BB117" s="11" t="e">
        <f ca="1">IF(History!BF$2="","",#REF!*$C$117)</f>
        <v>#REF!</v>
      </c>
      <c r="BC117" s="11" t="e">
        <f ca="1">IF(History!BG$2="","",#REF!*$C$117)</f>
        <v>#REF!</v>
      </c>
      <c r="BD117" s="11" t="e">
        <f ca="1">IF(History!BH$2="","",#REF!*$C$117)</f>
        <v>#REF!</v>
      </c>
      <c r="BE117" s="11" t="e">
        <f ca="1">IF(History!BI$2="","",#REF!*$C$117)</f>
        <v>#REF!</v>
      </c>
      <c r="BF117" s="11" t="e">
        <f ca="1">IF(History!BJ$2="","",#REF!*$C$117)</f>
        <v>#REF!</v>
      </c>
      <c r="BG117" s="11" t="e">
        <f ca="1">IF(History!BK$2="","",#REF!*$C$117)</f>
        <v>#REF!</v>
      </c>
      <c r="BH117" s="11" t="e">
        <f ca="1">IF(History!BL$2="","",#REF!*$C$117)</f>
        <v>#REF!</v>
      </c>
      <c r="BI117" s="11" t="e">
        <f ca="1">IF(History!BM$2="","",#REF!*$C$117)</f>
        <v>#REF!</v>
      </c>
      <c r="BJ117" s="11" t="e">
        <f ca="1">IF(History!BN$2="","",#REF!*$C$117)</f>
        <v>#REF!</v>
      </c>
      <c r="BK117" s="11" t="e">
        <f ca="1">IF(History!BO$2="","",#REF!*$C$117)</f>
        <v>#REF!</v>
      </c>
      <c r="BL117" s="11" t="e">
        <f ca="1">IF(History!BP$2="","",#REF!*$C$117)</f>
        <v>#REF!</v>
      </c>
      <c r="BM117" s="11" t="e">
        <f ca="1">IF(History!BQ$2="","",#REF!*$C$117)</f>
        <v>#REF!</v>
      </c>
      <c r="BN117" s="11" t="e">
        <f ca="1">IF(History!BR$2="","",#REF!*$C$117)</f>
        <v>#REF!</v>
      </c>
      <c r="BO117" s="11" t="e">
        <f ca="1">IF(History!BS$2="","",#REF!*$C$117)</f>
        <v>#REF!</v>
      </c>
      <c r="BP117" s="11" t="e">
        <f ca="1">IF(History!BT$2="","",#REF!*$C$117)</f>
        <v>#REF!</v>
      </c>
      <c r="BQ117" s="11" t="e">
        <f ca="1">IF(History!BU$2="","",#REF!*$C$117)</f>
        <v>#REF!</v>
      </c>
      <c r="BR117" s="11" t="e">
        <f ca="1">IF(History!BV$2="","",#REF!*$C$117)</f>
        <v>#REF!</v>
      </c>
      <c r="BS117" s="11" t="e">
        <f ca="1">IF(History!BW$2="","",#REF!*$C$117)</f>
        <v>#REF!</v>
      </c>
      <c r="BT117" s="11" t="e">
        <f ca="1">IF(History!BX$2="","",#REF!*$C$117)</f>
        <v>#REF!</v>
      </c>
      <c r="BU117" s="11" t="e">
        <f ca="1">IF(History!BY$2="","",#REF!*$C$117)</f>
        <v>#REF!</v>
      </c>
      <c r="BV117" s="11" t="e">
        <f ca="1">IF(History!BZ$2="","",#REF!*$C$117)</f>
        <v>#REF!</v>
      </c>
      <c r="BW117" s="11" t="e">
        <f ca="1">IF(History!CA$2="","",#REF!*$C$117)</f>
        <v>#REF!</v>
      </c>
      <c r="BX117" s="11" t="e">
        <f ca="1">IF(History!CB$2="","",#REF!*$C$117)</f>
        <v>#REF!</v>
      </c>
      <c r="BY117" s="11" t="e">
        <f ca="1">IF(History!CC$2="","",#REF!*$C$117)</f>
        <v>#REF!</v>
      </c>
      <c r="BZ117" s="11" t="e">
        <f ca="1">IF(History!CD$2="","",#REF!*$C$117)</f>
        <v>#REF!</v>
      </c>
      <c r="CA117" s="11" t="e">
        <f ca="1">IF(History!CE$2="","",#REF!*$C$117)</f>
        <v>#REF!</v>
      </c>
      <c r="CB117" s="11" t="e">
        <f ca="1">IF(History!CF$2="","",#REF!*$C$117)</f>
        <v>#REF!</v>
      </c>
      <c r="CC117" s="11" t="e">
        <f ca="1">IF(History!CG$2="","",#REF!*$C$117)</f>
        <v>#REF!</v>
      </c>
      <c r="CD117" s="11" t="e">
        <f ca="1">IF(History!CH$2="","",#REF!*$C$117)</f>
        <v>#REF!</v>
      </c>
      <c r="CE117" s="11" t="e">
        <f ca="1">IF(History!CI$2="","",#REF!*$C$117)</f>
        <v>#REF!</v>
      </c>
      <c r="CF117" s="11" t="str">
        <f ca="1">IF(History!CJ$2="","",#REF!*$C$117)</f>
        <v/>
      </c>
      <c r="CG117" s="11" t="str">
        <f ca="1">IF(History!CK$2="","",#REF!*$C$117)</f>
        <v/>
      </c>
      <c r="CH117" s="11" t="str">
        <f ca="1">IF(History!CL$2="","",#REF!*$C$117)</f>
        <v/>
      </c>
      <c r="CI117" s="11" t="str">
        <f ca="1">IF(History!CM$2="","",#REF!*$C$117)</f>
        <v/>
      </c>
      <c r="CJ117" s="11" t="str">
        <f ca="1">IF(History!CN$2="","",#REF!*$C$117)</f>
        <v/>
      </c>
      <c r="CK117" s="11" t="str">
        <f ca="1">IF(History!CO$2="","",#REF!*$C$117)</f>
        <v/>
      </c>
      <c r="CL117" s="11" t="str">
        <f ca="1">IF(History!CP$2="","",#REF!*$C$117)</f>
        <v/>
      </c>
      <c r="CM117" s="11" t="str">
        <f ca="1">IF(History!CQ$2="","",#REF!*$C$117)</f>
        <v/>
      </c>
      <c r="CN117" s="11" t="str">
        <f ca="1">IF(History!CR$2="","",#REF!*$C$117)</f>
        <v/>
      </c>
      <c r="CO117" s="11" t="str">
        <f ca="1">IF(History!CS$2="","",#REF!*$C$117)</f>
        <v/>
      </c>
      <c r="CP117" s="11" t="str">
        <f ca="1">IF(History!CT$2="","",#REF!*$C$117)</f>
        <v/>
      </c>
      <c r="CQ117" s="11" t="str">
        <f ca="1">IF(History!CU$2="","",#REF!*$C$117)</f>
        <v/>
      </c>
      <c r="CR117" s="11" t="str">
        <f ca="1">IF(History!CV$2="","",#REF!*$C$117)</f>
        <v/>
      </c>
      <c r="CS117" s="11" t="str">
        <f ca="1">IF(History!CW$2="","",#REF!*$C$117)</f>
        <v/>
      </c>
      <c r="CT117" s="11" t="str">
        <f ca="1">IF(History!CX$2="","",#REF!*$C$117)</f>
        <v/>
      </c>
      <c r="CU117" s="11" t="str">
        <f ca="1">IF(History!CY$2="","",#REF!*$C$117)</f>
        <v/>
      </c>
      <c r="CV117" s="11" t="str">
        <f ca="1">IF(History!CZ$2="","",#REF!*$C$117)</f>
        <v/>
      </c>
      <c r="CW117" s="11" t="str">
        <f ca="1">IF(History!DA$2="","",#REF!*$C$117)</f>
        <v/>
      </c>
      <c r="CX117" s="11" t="str">
        <f ca="1">IF(History!DB$2="","",#REF!*$C$117)</f>
        <v/>
      </c>
      <c r="CY117" s="11" t="str">
        <f ca="1">IF(History!DC$2="","",#REF!*$C$117)</f>
        <v/>
      </c>
      <c r="CZ117" s="11" t="str">
        <f ca="1">IF(History!DD$2="","",#REF!*$C$117)</f>
        <v/>
      </c>
      <c r="DA117" s="11" t="str">
        <f ca="1">IF(History!DE$2="","",#REF!*$C$117)</f>
        <v/>
      </c>
      <c r="DB117" s="11" t="str">
        <f ca="1">IF(History!DF$2="","",#REF!*$C$117)</f>
        <v/>
      </c>
      <c r="DC117" s="11" t="str">
        <f ca="1">IF(History!DG$2="","",#REF!*$C$117)</f>
        <v/>
      </c>
      <c r="DD117" s="11" t="str">
        <f ca="1">IF(History!DH$2="","",#REF!*$C$117)</f>
        <v/>
      </c>
      <c r="DE117" s="11" t="str">
        <f ca="1">IF(History!DI$2="","",#REF!*$C$117)</f>
        <v/>
      </c>
      <c r="DF117" s="11" t="str">
        <f ca="1">IF(History!DJ$2="","",#REF!*$C$117)</f>
        <v/>
      </c>
      <c r="DG117" s="11" t="str">
        <f ca="1">IF(History!DK$2="","",#REF!*$C$117)</f>
        <v/>
      </c>
      <c r="DH117" s="11" t="str">
        <f ca="1">IF(History!DL$2="","",#REF!*$C$117)</f>
        <v/>
      </c>
      <c r="DI117" s="11" t="str">
        <f ca="1">IF(History!DM$2="","",#REF!*$C$117)</f>
        <v/>
      </c>
      <c r="DJ117" s="11" t="str">
        <f ca="1">IF(History!DN$2="","",#REF!*$C$117)</f>
        <v/>
      </c>
      <c r="DK117" s="11" t="str">
        <f ca="1">IF(History!DO$2="","",#REF!*$C$117)</f>
        <v/>
      </c>
      <c r="DL117" s="11" t="str">
        <f ca="1">IF(History!DP$2="","",#REF!*$C$117)</f>
        <v/>
      </c>
      <c r="DM117" s="11" t="str">
        <f ca="1">IF(History!DQ$2="","",#REF!*$C$117)</f>
        <v/>
      </c>
      <c r="DN117" s="11" t="str">
        <f ca="1">IF(History!DR$2="","",#REF!*$C$117)</f>
        <v/>
      </c>
      <c r="DO117" s="11" t="str">
        <f ca="1">IF(History!DS$2="","",#REF!*$C$117)</f>
        <v/>
      </c>
      <c r="DP117" s="11" t="str">
        <f ca="1">IF(History!DT$2="","",#REF!*$C$117)</f>
        <v/>
      </c>
      <c r="DQ117" s="11" t="str">
        <f ca="1">IF(History!DU$2="","",#REF!*$C$117)</f>
        <v/>
      </c>
      <c r="DR117" s="11" t="str">
        <f ca="1">IF(History!DV$2="","",#REF!*$C$117)</f>
        <v/>
      </c>
      <c r="DS117" s="11" t="str">
        <f ca="1">IF(History!DW$2="","",#REF!*$C$117)</f>
        <v/>
      </c>
      <c r="DT117" s="11" t="str">
        <f ca="1">IF(History!DX$2="","",#REF!*$C$117)</f>
        <v/>
      </c>
      <c r="DU117" s="11" t="str">
        <f ca="1">IF(History!DY$2="","",#REF!*$C$117)</f>
        <v/>
      </c>
      <c r="DV117" s="11" t="str">
        <f ca="1">IF(History!DZ$2="","",#REF!*$C$117)</f>
        <v/>
      </c>
      <c r="DW117" s="11" t="str">
        <f ca="1">IF(History!EA$2="","",#REF!*$C$117)</f>
        <v/>
      </c>
      <c r="DX117" s="11" t="str">
        <f ca="1">IF(History!EB$2="","",#REF!*$C$117)</f>
        <v/>
      </c>
      <c r="DY117" s="11" t="str">
        <f ca="1">IF(History!EC$2="","",#REF!*$C$117)</f>
        <v/>
      </c>
      <c r="DZ117" s="11" t="str">
        <f ca="1">IF(History!ED$2="","",#REF!*$C$117)</f>
        <v/>
      </c>
      <c r="EA117" s="11" t="str">
        <f ca="1">IF(History!EE$2="","",#REF!*$C$117)</f>
        <v/>
      </c>
      <c r="EB117" s="11" t="str">
        <f ca="1">IF(History!EF$2="","",#REF!*$C$117)</f>
        <v/>
      </c>
      <c r="EC117" s="11" t="str">
        <f ca="1">IF(History!EG$2="","",#REF!*$C$117)</f>
        <v/>
      </c>
      <c r="ED117" s="11" t="str">
        <f ca="1">IF(History!EH$2="","",#REF!*$C$117)</f>
        <v/>
      </c>
      <c r="EE117" s="11" t="str">
        <f ca="1">IF(History!EI$2="","",#REF!*$C$117)</f>
        <v/>
      </c>
      <c r="EF117" s="11" t="str">
        <f ca="1">IF(History!EJ$2="","",#REF!*$C$117)</f>
        <v/>
      </c>
      <c r="EG117" s="11" t="str">
        <f ca="1">IF(History!EK$2="","",#REF!*$C$117)</f>
        <v/>
      </c>
      <c r="EH117" s="11" t="str">
        <f ca="1">IF(History!EL$2="","",#REF!*$C$117)</f>
        <v/>
      </c>
      <c r="EI117" s="11" t="str">
        <f ca="1">IF(History!EM$2="","",#REF!*$C$117)</f>
        <v/>
      </c>
      <c r="EJ117" s="11" t="str">
        <f ca="1">IF(History!EN$2="","",#REF!*$C$117)</f>
        <v/>
      </c>
      <c r="EK117" s="11" t="str">
        <f ca="1">IF(History!EO$2="","",#REF!*$C$117)</f>
        <v/>
      </c>
      <c r="EL117" s="11" t="str">
        <f ca="1">IF(History!EP$2="","",#REF!*$C$117)</f>
        <v/>
      </c>
      <c r="EM117" s="11" t="str">
        <f ca="1">IF(History!EQ$2="","",#REF!*$C$117)</f>
        <v/>
      </c>
      <c r="EN117" s="11" t="str">
        <f ca="1">IF(History!ER$2="","",#REF!*$C$117)</f>
        <v/>
      </c>
      <c r="EO117" s="11" t="str">
        <f ca="1">IF(History!ES$2="","",#REF!*$C$117)</f>
        <v/>
      </c>
      <c r="EP117" s="11" t="str">
        <f ca="1">IF(History!ET$2="","",#REF!*$C$117)</f>
        <v/>
      </c>
      <c r="EQ117" s="11" t="str">
        <f ca="1">IF(History!EU$2="","",#REF!*$C$117)</f>
        <v/>
      </c>
      <c r="ER117" s="11" t="str">
        <f ca="1">IF(History!EV$2="","",#REF!*$C$117)</f>
        <v/>
      </c>
      <c r="ES117" s="11" t="str">
        <f ca="1">IF(History!EW$2="","",#REF!*$C$117)</f>
        <v/>
      </c>
      <c r="ET117" s="11" t="str">
        <f ca="1">IF(History!EX$2="","",#REF!*$C$117)</f>
        <v/>
      </c>
      <c r="EU117" s="11" t="str">
        <f ca="1">IF(History!EY$2="","",#REF!*$C$117)</f>
        <v/>
      </c>
      <c r="EV117" s="11" t="str">
        <f ca="1">IF(History!EZ$2="","",#REF!*$C$117)</f>
        <v/>
      </c>
      <c r="EW117" s="11" t="str">
        <f ca="1">IF(History!FA$2="","",#REF!*$C$117)</f>
        <v/>
      </c>
      <c r="EX117" s="11" t="str">
        <f ca="1">IF(History!FB$2="","",#REF!*$C$117)</f>
        <v/>
      </c>
      <c r="EY117" s="11" t="str">
        <f ca="1">IF(History!FC$2="","",#REF!*$C$117)</f>
        <v/>
      </c>
      <c r="EZ117" s="11" t="str">
        <f ca="1">IF(History!FD$2="","",#REF!*$C$117)</f>
        <v/>
      </c>
      <c r="FA117" s="11" t="str">
        <f ca="1">IF(History!FE$2="","",#REF!*$C$117)</f>
        <v/>
      </c>
      <c r="FB117" s="11" t="str">
        <f ca="1">IF(History!FF$2="","",#REF!*$C$117)</f>
        <v/>
      </c>
      <c r="FC117" s="11" t="str">
        <f ca="1">IF(History!FG$2="","",#REF!*$C$117)</f>
        <v/>
      </c>
      <c r="FD117" s="11" t="str">
        <f ca="1">IF(History!FH$2="","",#REF!*$C$117)</f>
        <v/>
      </c>
      <c r="FE117" s="11" t="str">
        <f ca="1">IF(History!FI$2="","",#REF!*$C$117)</f>
        <v/>
      </c>
      <c r="FF117" s="11" t="str">
        <f ca="1">IF(History!FJ$2="","",#REF!*$C$117)</f>
        <v/>
      </c>
      <c r="FG117" s="11" t="str">
        <f ca="1">IF(History!FK$2="","",#REF!*$C$117)</f>
        <v/>
      </c>
      <c r="FH117" s="11" t="str">
        <f ca="1">IF(History!FL$2="","",#REF!*$C$117)</f>
        <v/>
      </c>
      <c r="FI117" s="11" t="str">
        <f ca="1">IF(History!FM$2="","",#REF!*$C$117)</f>
        <v/>
      </c>
      <c r="FJ117" s="11" t="str">
        <f ca="1">IF(History!FN$2="","",#REF!*$C$117)</f>
        <v/>
      </c>
      <c r="FK117" s="11" t="str">
        <f ca="1">IF(History!FO$2="","",#REF!*$C$117)</f>
        <v/>
      </c>
      <c r="FL117" s="11" t="str">
        <f ca="1">IF(History!FP$2="","",#REF!*$C$117)</f>
        <v/>
      </c>
      <c r="FM117" s="11" t="str">
        <f ca="1">IF(History!FQ$2="","",#REF!*$C$117)</f>
        <v/>
      </c>
      <c r="FN117" s="11" t="str">
        <f ca="1">IF(History!FR$2="","",#REF!*$C$117)</f>
        <v/>
      </c>
      <c r="FO117" s="11" t="str">
        <f ca="1">IF(History!FS$2="","",#REF!*$C$117)</f>
        <v/>
      </c>
      <c r="FP117" s="11" t="str">
        <f ca="1">IF(History!FT$2="","",#REF!*$C$117)</f>
        <v/>
      </c>
      <c r="FQ117" s="11" t="str">
        <f ca="1">IF(History!FU$2="","",#REF!*$C$117)</f>
        <v/>
      </c>
      <c r="FR117" s="11" t="str">
        <f ca="1">IF(History!FV$2="","",#REF!*$C$117)</f>
        <v/>
      </c>
      <c r="FS117" s="11" t="str">
        <f ca="1">IF(History!FW$2="","",#REF!*$C$117)</f>
        <v/>
      </c>
      <c r="FT117" s="11" t="str">
        <f ca="1">IF(History!FX$2="","",#REF!*$C$117)</f>
        <v/>
      </c>
      <c r="FU117" s="11" t="str">
        <f ca="1">IF(History!FY$2="","",#REF!*$C$117)</f>
        <v/>
      </c>
      <c r="FV117" s="11" t="str">
        <f ca="1">IF(History!FZ$2="","",#REF!*$C$117)</f>
        <v/>
      </c>
      <c r="FW117" s="11" t="str">
        <f ca="1">IF(History!GA$2="","",#REF!*$C$117)</f>
        <v/>
      </c>
      <c r="FX117" s="11" t="str">
        <f ca="1">IF(History!GB$2="","",#REF!*$C$117)</f>
        <v/>
      </c>
      <c r="FY117" s="11" t="str">
        <f ca="1">IF(History!GC$2="","",#REF!*$C$117)</f>
        <v/>
      </c>
      <c r="FZ117" s="11" t="str">
        <f ca="1">IF(History!GD$2="","",#REF!*$C$117)</f>
        <v/>
      </c>
      <c r="GA117" s="11" t="str">
        <f ca="1">IF(History!GE$2="","",#REF!*$C$117)</f>
        <v/>
      </c>
      <c r="GB117" s="11" t="str">
        <f ca="1">IF(History!GF$2="","",#REF!*$C$117)</f>
        <v/>
      </c>
      <c r="GC117" s="11" t="str">
        <f ca="1">IF(History!GG$2="","",#REF!*$C$117)</f>
        <v/>
      </c>
      <c r="GD117" s="11" t="str">
        <f ca="1">IF(History!GH$2="","",#REF!*$C$117)</f>
        <v/>
      </c>
      <c r="GE117" s="11" t="str">
        <f ca="1">IF(History!GI$2="","",#REF!*$C$117)</f>
        <v/>
      </c>
      <c r="GF117" s="11" t="str">
        <f ca="1">IF(History!GJ$2="","",#REF!*$C$117)</f>
        <v/>
      </c>
      <c r="GG117" s="11" t="str">
        <f ca="1">IF(History!GK$2="","",#REF!*$C$117)</f>
        <v/>
      </c>
      <c r="GH117" s="11" t="str">
        <f ca="1">IF(History!GL$2="","",#REF!*$C$117)</f>
        <v/>
      </c>
      <c r="GI117" s="11" t="str">
        <f ca="1">IF(History!GM$2="","",#REF!*$C$117)</f>
        <v/>
      </c>
      <c r="GJ117" s="11" t="str">
        <f ca="1">IF(History!GN$2="","",#REF!*$C$117)</f>
        <v/>
      </c>
      <c r="GK117" s="11" t="str">
        <f ca="1">IF(History!GO$2="","",#REF!*$C$117)</f>
        <v/>
      </c>
      <c r="GL117" s="11" t="str">
        <f ca="1">IF(History!GP$2="","",#REF!*$C$117)</f>
        <v/>
      </c>
      <c r="GM117" s="11" t="str">
        <f ca="1">IF(History!GQ$2="","",#REF!*$C$117)</f>
        <v/>
      </c>
      <c r="GN117" s="11" t="str">
        <f ca="1">IF(History!GR$2="","",#REF!*$C$117)</f>
        <v/>
      </c>
      <c r="GO117" s="11" t="str">
        <f ca="1">IF(History!GS$2="","",#REF!*$C$117)</f>
        <v/>
      </c>
      <c r="GP117" s="11" t="str">
        <f ca="1">IF(History!GT$2="","",#REF!*$C$117)</f>
        <v/>
      </c>
      <c r="GQ117" s="11" t="str">
        <f ca="1">IF(History!GU$2="","",#REF!*$C$117)</f>
        <v/>
      </c>
      <c r="GR117" s="11" t="str">
        <f ca="1">IF(History!GV$2="","",#REF!*$C$117)</f>
        <v/>
      </c>
      <c r="GS117" s="11" t="str">
        <f ca="1">IF(History!GW$2="","",#REF!*$C$117)</f>
        <v/>
      </c>
      <c r="GT117" s="11" t="str">
        <f ca="1">IF(History!GX$2="","",#REF!*$C$117)</f>
        <v/>
      </c>
      <c r="GU117" s="11" t="str">
        <f ca="1">IF(History!GY$2="","",#REF!*$C$117)</f>
        <v/>
      </c>
      <c r="GV117" s="11" t="str">
        <f ca="1">IF(History!GZ$2="","",#REF!*$C$117)</f>
        <v/>
      </c>
      <c r="GW117" s="11" t="str">
        <f ca="1">IF(History!HA$2="","",#REF!*$C$117)</f>
        <v/>
      </c>
      <c r="GX117" s="11" t="str">
        <f ca="1">IF(History!HB$2="","",#REF!*$C$117)</f>
        <v/>
      </c>
      <c r="GY117" s="11" t="str">
        <f ca="1">IF(History!HC$2="","",#REF!*$C$117)</f>
        <v/>
      </c>
      <c r="GZ117" s="11" t="str">
        <f ca="1">IF(History!HD$2="","",#REF!*$C$117)</f>
        <v/>
      </c>
      <c r="HA117" s="11" t="str">
        <f ca="1">IF(History!HE$2="","",#REF!*$C$117)</f>
        <v/>
      </c>
      <c r="HB117" s="11" t="str">
        <f ca="1">IF(History!HF$2="","",#REF!*$C$117)</f>
        <v/>
      </c>
      <c r="HC117" s="11" t="str">
        <f ca="1">IF(History!HG$2="","",#REF!*$C$117)</f>
        <v/>
      </c>
      <c r="HD117" s="11" t="str">
        <f ca="1">IF(History!HH$2="","",#REF!*$C$117)</f>
        <v/>
      </c>
      <c r="HE117" s="11" t="str">
        <f ca="1">IF(History!HI$2="","",#REF!*$C$117)</f>
        <v/>
      </c>
      <c r="HF117" s="11" t="str">
        <f ca="1">IF(History!HJ$2="","",#REF!*$C$117)</f>
        <v/>
      </c>
      <c r="HG117" s="11" t="str">
        <f ca="1">IF(History!HK$2="","",#REF!*$C$117)</f>
        <v/>
      </c>
      <c r="HH117" s="11" t="str">
        <f ca="1">IF(History!HL$2="","",#REF!*$C$117)</f>
        <v/>
      </c>
      <c r="HI117" s="11" t="str">
        <f ca="1">IF(History!HM$2="","",#REF!*$C$117)</f>
        <v/>
      </c>
      <c r="HJ117" s="11" t="str">
        <f ca="1">IF(History!HN$2="","",#REF!*$C$117)</f>
        <v/>
      </c>
      <c r="HK117" s="11" t="str">
        <f ca="1">IF(History!HO$2="","",#REF!*$C$117)</f>
        <v/>
      </c>
      <c r="HL117" s="11" t="str">
        <f ca="1">IF(History!HP$2="","",#REF!*$C$117)</f>
        <v/>
      </c>
      <c r="HM117" s="11" t="str">
        <f ca="1">IF(History!HQ$2="","",#REF!*$C$117)</f>
        <v/>
      </c>
      <c r="HN117" s="11" t="str">
        <f ca="1">IF(History!HR$2="","",#REF!*$C$117)</f>
        <v/>
      </c>
      <c r="HO117" s="11" t="str">
        <f ca="1">IF(History!HS$2="","",#REF!*$C$117)</f>
        <v/>
      </c>
      <c r="HP117" s="11" t="str">
        <f ca="1">IF(History!HT$2="","",#REF!*$C$117)</f>
        <v/>
      </c>
      <c r="HQ117" s="11" t="str">
        <f ca="1">IF(History!HU$2="","",#REF!*$C$117)</f>
        <v/>
      </c>
      <c r="HR117" s="11" t="str">
        <f ca="1">IF(History!HV$2="","",#REF!*$C$117)</f>
        <v/>
      </c>
      <c r="HS117" s="11" t="str">
        <f ca="1">IF(History!HW$2="","",#REF!*$C$117)</f>
        <v/>
      </c>
      <c r="HT117" s="11" t="str">
        <f ca="1">IF(History!HX$2="","",#REF!*$C$117)</f>
        <v/>
      </c>
      <c r="HU117" s="11" t="str">
        <f ca="1">IF(History!HY$2="","",#REF!*$C$117)</f>
        <v/>
      </c>
      <c r="HV117" s="11" t="str">
        <f ca="1">IF(History!HZ$2="","",#REF!*$C$117)</f>
        <v/>
      </c>
      <c r="HW117" s="11" t="str">
        <f ca="1">IF(History!IA$2="","",#REF!*$C$117)</f>
        <v/>
      </c>
      <c r="HX117" s="11" t="str">
        <f ca="1">IF(History!IB$2="","",#REF!*$C$117)</f>
        <v/>
      </c>
      <c r="HY117" s="11" t="str">
        <f ca="1">IF(History!IC$2="","",#REF!*$C$117)</f>
        <v/>
      </c>
      <c r="HZ117" s="11" t="str">
        <f ca="1">IF(History!ID$2="","",#REF!*$C$117)</f>
        <v/>
      </c>
      <c r="IA117" s="11" t="str">
        <f ca="1">IF(History!IE$2="","",#REF!*$C$117)</f>
        <v/>
      </c>
      <c r="IB117" s="11" t="str">
        <f ca="1">IF(History!IF$2="","",#REF!*$C$117)</f>
        <v/>
      </c>
      <c r="IC117" s="11" t="str">
        <f ca="1">IF(History!IG$2="","",#REF!*$C$117)</f>
        <v/>
      </c>
      <c r="ID117" s="11" t="str">
        <f ca="1">IF(History!IH$2="","",#REF!*$C$117)</f>
        <v/>
      </c>
      <c r="IE117" s="11" t="str">
        <f ca="1">IF(History!II$2="","",#REF!*$C$117)</f>
        <v/>
      </c>
      <c r="IF117" s="11" t="str">
        <f ca="1">IF(History!IJ$2="","",#REF!*$C$117)</f>
        <v/>
      </c>
      <c r="IG117" s="11" t="str">
        <f ca="1">IF(History!IK$2="","",#REF!*$C$117)</f>
        <v/>
      </c>
      <c r="IH117" s="11" t="str">
        <f ca="1">IF(History!IL$2="","",#REF!*$C$117)</f>
        <v/>
      </c>
      <c r="II117" s="11" t="str">
        <f ca="1">IF(History!IM$2="","",#REF!*$C$117)</f>
        <v/>
      </c>
      <c r="IJ117" s="11" t="str">
        <f ca="1">IF(History!IN$2="","",#REF!*$C$117)</f>
        <v/>
      </c>
      <c r="IK117" s="11" t="str">
        <f ca="1">IF(History!IO$2="","",#REF!*$C$117)</f>
        <v/>
      </c>
      <c r="IL117" s="11" t="str">
        <f ca="1">IF(History!IP$2="","",#REF!*$C$117)</f>
        <v/>
      </c>
      <c r="IM117" s="11" t="str">
        <f ca="1">IF(History!IQ$2="","",#REF!*$C$117)</f>
        <v/>
      </c>
      <c r="IN117" s="11" t="str">
        <f ca="1">IF(History!IR$2="","",#REF!*$C$117)</f>
        <v/>
      </c>
      <c r="IO117" s="11" t="str">
        <f ca="1">IF(History!IS$2="","",#REF!*$C$117)</f>
        <v/>
      </c>
      <c r="IP117" s="11" t="str">
        <f ca="1">IF(History!IT$2="","",#REF!*$C$117)</f>
        <v/>
      </c>
      <c r="IQ117" s="11" t="str">
        <f ca="1">IF(History!IU$2="","",#REF!*$C$117)</f>
        <v/>
      </c>
      <c r="IR117" s="11" t="str">
        <f ca="1">IF(History!IV$2="","",#REF!*$C$117)</f>
        <v/>
      </c>
      <c r="IS117" s="11" t="str">
        <f ca="1">IF(History!IW$2="","",#REF!*$C$117)</f>
        <v/>
      </c>
      <c r="IT117" s="11" t="str">
        <f ca="1">IF(History!IX$2="","",#REF!*$C$117)</f>
        <v/>
      </c>
      <c r="IU117" s="11" t="str">
        <f ca="1">IF(History!IY$2="","",#REF!*$C$117)</f>
        <v/>
      </c>
      <c r="IV117" s="11" t="str">
        <f ca="1">IF(History!IZ$2="","",#REF!*$C$117)</f>
        <v/>
      </c>
      <c r="IW117" s="11" t="str">
        <f ca="1">IF(History!JA$2="","",#REF!*$C$117)</f>
        <v/>
      </c>
      <c r="IX117" s="11" t="str">
        <f ca="1">IF(History!JB$2="","",#REF!*$C$117)</f>
        <v/>
      </c>
      <c r="IY117" s="11" t="str">
        <f ca="1">IF(History!JC$2="","",#REF!*$C$117)</f>
        <v/>
      </c>
      <c r="IZ117" s="11" t="str">
        <f ca="1">IF(History!JD$2="","",#REF!*$C$117)</f>
        <v/>
      </c>
      <c r="JA117" s="11" t="str">
        <f ca="1">IF(History!JE$2="","",#REF!*$C$117)</f>
        <v/>
      </c>
      <c r="JB117" s="11" t="str">
        <f ca="1">IF(History!JF$2="","",#REF!*$C$117)</f>
        <v/>
      </c>
      <c r="JC117" s="11" t="str">
        <f ca="1">IF(History!JG$2="","",#REF!*$C$117)</f>
        <v/>
      </c>
      <c r="JD117" s="11" t="str">
        <f ca="1">IF(History!JH$2="","",#REF!*$C$117)</f>
        <v/>
      </c>
      <c r="JE117" s="11" t="str">
        <f ca="1">IF(History!JI$2="","",#REF!*$C$117)</f>
        <v/>
      </c>
      <c r="JF117" s="11" t="str">
        <f ca="1">IF(History!JJ$2="","",#REF!*$C$117)</f>
        <v/>
      </c>
      <c r="JG117" s="11" t="str">
        <f ca="1">IF(History!JK$2="","",#REF!*$C$117)</f>
        <v/>
      </c>
      <c r="JH117" s="11" t="str">
        <f ca="1">IF(History!JL$2="","",#REF!*$C$117)</f>
        <v/>
      </c>
      <c r="JI117" s="11" t="str">
        <f ca="1">IF(History!JM$2="","",#REF!*$C$117)</f>
        <v/>
      </c>
      <c r="JJ117" s="11" t="str">
        <f ca="1">IF(History!JN$2="","",#REF!*$C$117)</f>
        <v/>
      </c>
      <c r="JK117" s="11" t="str">
        <f ca="1">IF(History!JO$2="","",#REF!*$C$117)</f>
        <v/>
      </c>
      <c r="JL117" s="11" t="str">
        <f ca="1">IF(History!JP$2="","",#REF!*$C$117)</f>
        <v/>
      </c>
      <c r="JM117" s="11" t="str">
        <f ca="1">IF(History!JQ$2="","",#REF!*$C$117)</f>
        <v/>
      </c>
      <c r="JN117" s="11" t="str">
        <f ca="1">IF(History!JR$2="","",#REF!*$C$117)</f>
        <v/>
      </c>
      <c r="JO117" s="11" t="str">
        <f ca="1">IF(History!JS$2="","",#REF!*$C$117)</f>
        <v/>
      </c>
      <c r="JP117" s="11" t="str">
        <f ca="1">IF(History!JT$2="","",#REF!*$C$117)</f>
        <v/>
      </c>
      <c r="JQ117" s="11" t="str">
        <f ca="1">IF(History!JU$2="","",#REF!*$C$117)</f>
        <v/>
      </c>
      <c r="JR117" s="11" t="str">
        <f ca="1">IF(History!JV$2="","",#REF!*$C$117)</f>
        <v/>
      </c>
      <c r="JS117" s="11" t="str">
        <f ca="1">IF(History!JW$2="","",#REF!*$C$117)</f>
        <v/>
      </c>
      <c r="JT117" s="11" t="str">
        <f ca="1">IF(History!JX$2="","",#REF!*$C$117)</f>
        <v/>
      </c>
      <c r="JU117" s="11" t="str">
        <f ca="1">IF(History!JY$2="","",#REF!*$C$117)</f>
        <v/>
      </c>
      <c r="JV117" s="11" t="str">
        <f ca="1">IF(History!JZ$2="","",#REF!*$C$117)</f>
        <v/>
      </c>
      <c r="JW117" s="11" t="str">
        <f ca="1">IF(History!KA$2="","",#REF!*$C$117)</f>
        <v/>
      </c>
      <c r="JX117" s="11" t="str">
        <f ca="1">IF(History!KB$2="","",#REF!*$C$117)</f>
        <v/>
      </c>
      <c r="JY117" s="11" t="str">
        <f ca="1">IF(History!KC$2="","",#REF!*$C$117)</f>
        <v/>
      </c>
      <c r="JZ117" s="11" t="str">
        <f ca="1">IF(History!KD$2="","",#REF!*$C$117)</f>
        <v/>
      </c>
      <c r="KA117" s="11" t="str">
        <f ca="1">IF(History!KE$2="","",#REF!*$C$117)</f>
        <v/>
      </c>
      <c r="KB117" s="11" t="str">
        <f ca="1">IF(History!KF$2="","",#REF!*$C$117)</f>
        <v/>
      </c>
    </row>
    <row r="118" spans="1:288" ht="13">
      <c r="A118" s="18" t="s">
        <v>40</v>
      </c>
      <c r="B118" s="32" t="s">
        <v>108</v>
      </c>
      <c r="C118" s="33">
        <v>144</v>
      </c>
      <c r="D118" s="11" t="e">
        <f ca="1">IF(History!H$2="","",#REF!*$C$118)</f>
        <v>#REF!</v>
      </c>
      <c r="E118" s="11" t="e">
        <f ca="1">IF(History!I$2="","",#REF!*$C$118)</f>
        <v>#REF!</v>
      </c>
      <c r="F118" s="11" t="e">
        <f ca="1">IF(History!J$2="","",#REF!*$C$118)</f>
        <v>#REF!</v>
      </c>
      <c r="G118" s="11" t="e">
        <f ca="1">IF(History!K$2="","",#REF!*$C$118)</f>
        <v>#REF!</v>
      </c>
      <c r="H118" s="11" t="e">
        <f ca="1">IF(History!L$2="","",#REF!*$C$118)</f>
        <v>#REF!</v>
      </c>
      <c r="I118" s="11" t="e">
        <f ca="1">IF(History!M$2="","",#REF!*$C$118)</f>
        <v>#REF!</v>
      </c>
      <c r="J118" s="11" t="e">
        <f ca="1">IF(History!N$2="","",#REF!*$C$118)</f>
        <v>#REF!</v>
      </c>
      <c r="K118" s="11" t="e">
        <f ca="1">IF(History!O$2="","",#REF!*$C$118)</f>
        <v>#REF!</v>
      </c>
      <c r="L118" s="11" t="e">
        <f ca="1">IF(History!P$2="","",#REF!*$C$118)</f>
        <v>#REF!</v>
      </c>
      <c r="M118" s="11" t="e">
        <f ca="1">IF(History!Q$2="","",#REF!*$C$118)</f>
        <v>#REF!</v>
      </c>
      <c r="N118" s="11" t="e">
        <f ca="1">IF(History!R$2="","",#REF!*$C$118)</f>
        <v>#REF!</v>
      </c>
      <c r="O118" s="11" t="e">
        <f ca="1">IF(History!S$2="","",#REF!*$C$118)</f>
        <v>#REF!</v>
      </c>
      <c r="P118" s="11" t="e">
        <f ca="1">IF(History!T$2="","",#REF!*$C$118)</f>
        <v>#REF!</v>
      </c>
      <c r="Q118" s="11" t="e">
        <f ca="1">IF(History!U$2="","",#REF!*$C$118)</f>
        <v>#REF!</v>
      </c>
      <c r="R118" s="11" t="e">
        <f ca="1">IF(History!V$2="","",#REF!*$C$118)</f>
        <v>#REF!</v>
      </c>
      <c r="S118" s="11" t="e">
        <f ca="1">IF(History!W$2="","",#REF!*$C$118)</f>
        <v>#REF!</v>
      </c>
      <c r="T118" s="11" t="e">
        <f ca="1">IF(History!X$2="","",#REF!*$C$118)</f>
        <v>#REF!</v>
      </c>
      <c r="U118" s="11" t="e">
        <f ca="1">IF(History!Y$2="","",#REF!*$C$118)</f>
        <v>#REF!</v>
      </c>
      <c r="V118" s="11" t="e">
        <f ca="1">IF(History!Z$2="","",#REF!*$C$118)</f>
        <v>#REF!</v>
      </c>
      <c r="W118" s="11" t="e">
        <f ca="1">IF(History!AA$2="","",#REF!*$C$118)</f>
        <v>#REF!</v>
      </c>
      <c r="X118" s="11" t="e">
        <f ca="1">IF(History!AB$2="","",#REF!*$C$118)</f>
        <v>#REF!</v>
      </c>
      <c r="Y118" s="11" t="e">
        <f ca="1">IF(History!AC$2="","",#REF!*$C$118)</f>
        <v>#REF!</v>
      </c>
      <c r="Z118" s="11" t="e">
        <f ca="1">IF(History!AD$2="","",#REF!*$C$118)</f>
        <v>#REF!</v>
      </c>
      <c r="AA118" s="11" t="e">
        <f ca="1">IF(History!AE$2="","",#REF!*$C$118)</f>
        <v>#REF!</v>
      </c>
      <c r="AB118" s="11" t="e">
        <f ca="1">IF(History!AF$2="","",#REF!*$C$118)</f>
        <v>#REF!</v>
      </c>
      <c r="AC118" s="11" t="e">
        <f ca="1">IF(History!AG$2="","",#REF!*$C$118)</f>
        <v>#REF!</v>
      </c>
      <c r="AD118" s="11" t="e">
        <f ca="1">IF(History!AH$2="","",#REF!*$C$118)</f>
        <v>#REF!</v>
      </c>
      <c r="AE118" s="11" t="e">
        <f ca="1">IF(History!AI$2="","",#REF!*$C$118)</f>
        <v>#REF!</v>
      </c>
      <c r="AF118" s="11" t="e">
        <f ca="1">IF(History!AJ$2="","",#REF!*$C$118)</f>
        <v>#REF!</v>
      </c>
      <c r="AG118" s="11" t="e">
        <f ca="1">IF(History!AK$2="","",#REF!*$C$118)</f>
        <v>#REF!</v>
      </c>
      <c r="AH118" s="11" t="e">
        <f ca="1">IF(History!AL$2="","",#REF!*$C$118)</f>
        <v>#REF!</v>
      </c>
      <c r="AI118" s="11" t="e">
        <f ca="1">IF(History!AM$2="","",#REF!*$C$118)</f>
        <v>#REF!</v>
      </c>
      <c r="AJ118" s="11" t="e">
        <f ca="1">IF(History!AN$2="","",#REF!*$C$118)</f>
        <v>#REF!</v>
      </c>
      <c r="AK118" s="11" t="e">
        <f ca="1">IF(History!AO$2="","",#REF!*$C$118)</f>
        <v>#REF!</v>
      </c>
      <c r="AL118" s="11" t="e">
        <f ca="1">IF(History!AP$2="","",#REF!*$C$118)</f>
        <v>#REF!</v>
      </c>
      <c r="AM118" s="11" t="e">
        <f ca="1">IF(History!AQ$2="","",#REF!*$C$118)</f>
        <v>#REF!</v>
      </c>
      <c r="AN118" s="11" t="e">
        <f ca="1">IF(History!AR$2="","",#REF!*$C$118)</f>
        <v>#REF!</v>
      </c>
      <c r="AO118" s="11" t="e">
        <f ca="1">IF(History!AS$2="","",#REF!*$C$118)</f>
        <v>#REF!</v>
      </c>
      <c r="AP118" s="11" t="e">
        <f ca="1">IF(History!AT$2="","",#REF!*$C$118)</f>
        <v>#REF!</v>
      </c>
      <c r="AQ118" s="11" t="e">
        <f ca="1">IF(History!AU$2="","",#REF!*$C$118)</f>
        <v>#REF!</v>
      </c>
      <c r="AR118" s="11" t="e">
        <f ca="1">IF(History!AV$2="","",#REF!*$C$118)</f>
        <v>#REF!</v>
      </c>
      <c r="AS118" s="11" t="e">
        <f ca="1">IF(History!AW$2="","",#REF!*$C$118)</f>
        <v>#REF!</v>
      </c>
      <c r="AT118" s="11" t="e">
        <f ca="1">IF(History!AX$2="","",#REF!*$C$118)</f>
        <v>#REF!</v>
      </c>
      <c r="AU118" s="11" t="e">
        <f ca="1">IF(History!AY$2="","",#REF!*$C$118)</f>
        <v>#REF!</v>
      </c>
      <c r="AV118" s="11" t="e">
        <f ca="1">IF(History!AZ$2="","",#REF!*$C$118)</f>
        <v>#REF!</v>
      </c>
      <c r="AW118" s="11" t="e">
        <f ca="1">IF(History!BA$2="","",#REF!*$C$118)</f>
        <v>#REF!</v>
      </c>
      <c r="AX118" s="11" t="e">
        <f ca="1">IF(History!BB$2="","",#REF!*$C$118)</f>
        <v>#REF!</v>
      </c>
      <c r="AY118" s="11" t="e">
        <f ca="1">IF(History!BC$2="","",#REF!*$C$118)</f>
        <v>#REF!</v>
      </c>
      <c r="AZ118" s="11" t="e">
        <f ca="1">IF(History!BD$2="","",#REF!*$C$118)</f>
        <v>#REF!</v>
      </c>
      <c r="BA118" s="11" t="e">
        <f ca="1">IF(History!BE$2="","",#REF!*$C$118)</f>
        <v>#REF!</v>
      </c>
      <c r="BB118" s="11" t="e">
        <f ca="1">IF(History!BF$2="","",#REF!*$C$118)</f>
        <v>#REF!</v>
      </c>
      <c r="BC118" s="11" t="e">
        <f ca="1">IF(History!BG$2="","",#REF!*$C$118)</f>
        <v>#REF!</v>
      </c>
      <c r="BD118" s="11" t="e">
        <f ca="1">IF(History!BH$2="","",#REF!*$C$118)</f>
        <v>#REF!</v>
      </c>
      <c r="BE118" s="11" t="e">
        <f ca="1">IF(History!BI$2="","",#REF!*$C$118)</f>
        <v>#REF!</v>
      </c>
      <c r="BF118" s="11" t="e">
        <f ca="1">IF(History!BJ$2="","",#REF!*$C$118)</f>
        <v>#REF!</v>
      </c>
      <c r="BG118" s="11" t="e">
        <f ca="1">IF(History!BK$2="","",#REF!*$C$118)</f>
        <v>#REF!</v>
      </c>
      <c r="BH118" s="11" t="e">
        <f ca="1">IF(History!BL$2="","",#REF!*$C$118)</f>
        <v>#REF!</v>
      </c>
      <c r="BI118" s="11" t="e">
        <f ca="1">IF(History!BM$2="","",#REF!*$C$118)</f>
        <v>#REF!</v>
      </c>
      <c r="BJ118" s="11" t="e">
        <f ca="1">IF(History!BN$2="","",#REF!*$C$118)</f>
        <v>#REF!</v>
      </c>
      <c r="BK118" s="11" t="e">
        <f ca="1">IF(History!BO$2="","",#REF!*$C$118)</f>
        <v>#REF!</v>
      </c>
      <c r="BL118" s="11" t="e">
        <f ca="1">IF(History!BP$2="","",#REF!*$C$118)</f>
        <v>#REF!</v>
      </c>
      <c r="BM118" s="11" t="e">
        <f ca="1">IF(History!BQ$2="","",#REF!*$C$118)</f>
        <v>#REF!</v>
      </c>
      <c r="BN118" s="11" t="e">
        <f ca="1">IF(History!BR$2="","",#REF!*$C$118)</f>
        <v>#REF!</v>
      </c>
      <c r="BO118" s="11" t="e">
        <f ca="1">IF(History!BS$2="","",#REF!*$C$118)</f>
        <v>#REF!</v>
      </c>
      <c r="BP118" s="11" t="e">
        <f ca="1">IF(History!BT$2="","",#REF!*$C$118)</f>
        <v>#REF!</v>
      </c>
      <c r="BQ118" s="11" t="e">
        <f ca="1">IF(History!BU$2="","",#REF!*$C$118)</f>
        <v>#REF!</v>
      </c>
      <c r="BR118" s="11" t="e">
        <f ca="1">IF(History!BV$2="","",#REF!*$C$118)</f>
        <v>#REF!</v>
      </c>
      <c r="BS118" s="11" t="e">
        <f ca="1">IF(History!BW$2="","",#REF!*$C$118)</f>
        <v>#REF!</v>
      </c>
      <c r="BT118" s="11" t="e">
        <f ca="1">IF(History!BX$2="","",#REF!*$C$118)</f>
        <v>#REF!</v>
      </c>
      <c r="BU118" s="11" t="e">
        <f ca="1">IF(History!BY$2="","",#REF!*$C$118)</f>
        <v>#REF!</v>
      </c>
      <c r="BV118" s="11" t="e">
        <f ca="1">IF(History!BZ$2="","",#REF!*$C$118)</f>
        <v>#REF!</v>
      </c>
      <c r="BW118" s="11" t="e">
        <f ca="1">IF(History!CA$2="","",#REF!*$C$118)</f>
        <v>#REF!</v>
      </c>
      <c r="BX118" s="11" t="e">
        <f ca="1">IF(History!CB$2="","",#REF!*$C$118)</f>
        <v>#REF!</v>
      </c>
      <c r="BY118" s="11" t="e">
        <f ca="1">IF(History!CC$2="","",#REF!*$C$118)</f>
        <v>#REF!</v>
      </c>
      <c r="BZ118" s="11" t="e">
        <f ca="1">IF(History!CD$2="","",#REF!*$C$118)</f>
        <v>#REF!</v>
      </c>
      <c r="CA118" s="11" t="e">
        <f ca="1">IF(History!CE$2="","",#REF!*$C$118)</f>
        <v>#REF!</v>
      </c>
      <c r="CB118" s="11" t="e">
        <f ca="1">IF(History!CF$2="","",#REF!*$C$118)</f>
        <v>#REF!</v>
      </c>
      <c r="CC118" s="11" t="e">
        <f ca="1">IF(History!CG$2="","",#REF!*$C$118)</f>
        <v>#REF!</v>
      </c>
      <c r="CD118" s="11" t="e">
        <f ca="1">IF(History!CH$2="","",#REF!*$C$118)</f>
        <v>#REF!</v>
      </c>
      <c r="CE118" s="11" t="e">
        <f ca="1">IF(History!CI$2="","",#REF!*$C$118)</f>
        <v>#REF!</v>
      </c>
      <c r="CF118" s="11" t="str">
        <f ca="1">IF(History!CJ$2="","",#REF!*$C$118)</f>
        <v/>
      </c>
      <c r="CG118" s="11" t="str">
        <f ca="1">IF(History!CK$2="","",#REF!*$C$118)</f>
        <v/>
      </c>
      <c r="CH118" s="11" t="str">
        <f ca="1">IF(History!CL$2="","",#REF!*$C$118)</f>
        <v/>
      </c>
      <c r="CI118" s="11" t="str">
        <f ca="1">IF(History!CM$2="","",#REF!*$C$118)</f>
        <v/>
      </c>
      <c r="CJ118" s="11" t="str">
        <f ca="1">IF(History!CN$2="","",#REF!*$C$118)</f>
        <v/>
      </c>
      <c r="CK118" s="11" t="str">
        <f ca="1">IF(History!CO$2="","",#REF!*$C$118)</f>
        <v/>
      </c>
      <c r="CL118" s="11" t="str">
        <f ca="1">IF(History!CP$2="","",#REF!*$C$118)</f>
        <v/>
      </c>
      <c r="CM118" s="11" t="str">
        <f ca="1">IF(History!CQ$2="","",#REF!*$C$118)</f>
        <v/>
      </c>
      <c r="CN118" s="11" t="str">
        <f ca="1">IF(History!CR$2="","",#REF!*$C$118)</f>
        <v/>
      </c>
      <c r="CO118" s="11" t="str">
        <f ca="1">IF(History!CS$2="","",#REF!*$C$118)</f>
        <v/>
      </c>
      <c r="CP118" s="11" t="str">
        <f ca="1">IF(History!CT$2="","",#REF!*$C$118)</f>
        <v/>
      </c>
      <c r="CQ118" s="11" t="str">
        <f ca="1">IF(History!CU$2="","",#REF!*$C$118)</f>
        <v/>
      </c>
      <c r="CR118" s="11" t="str">
        <f ca="1">IF(History!CV$2="","",#REF!*$C$118)</f>
        <v/>
      </c>
      <c r="CS118" s="11" t="str">
        <f ca="1">IF(History!CW$2="","",#REF!*$C$118)</f>
        <v/>
      </c>
      <c r="CT118" s="11" t="str">
        <f ca="1">IF(History!CX$2="","",#REF!*$C$118)</f>
        <v/>
      </c>
      <c r="CU118" s="11" t="str">
        <f ca="1">IF(History!CY$2="","",#REF!*$C$118)</f>
        <v/>
      </c>
      <c r="CV118" s="11" t="str">
        <f ca="1">IF(History!CZ$2="","",#REF!*$C$118)</f>
        <v/>
      </c>
      <c r="CW118" s="11" t="str">
        <f ca="1">IF(History!DA$2="","",#REF!*$C$118)</f>
        <v/>
      </c>
      <c r="CX118" s="11" t="str">
        <f ca="1">IF(History!DB$2="","",#REF!*$C$118)</f>
        <v/>
      </c>
      <c r="CY118" s="11" t="str">
        <f ca="1">IF(History!DC$2="","",#REF!*$C$118)</f>
        <v/>
      </c>
      <c r="CZ118" s="11" t="str">
        <f ca="1">IF(History!DD$2="","",#REF!*$C$118)</f>
        <v/>
      </c>
      <c r="DA118" s="11" t="str">
        <f ca="1">IF(History!DE$2="","",#REF!*$C$118)</f>
        <v/>
      </c>
      <c r="DB118" s="11" t="str">
        <f ca="1">IF(History!DF$2="","",#REF!*$C$118)</f>
        <v/>
      </c>
      <c r="DC118" s="11" t="str">
        <f ca="1">IF(History!DG$2="","",#REF!*$C$118)</f>
        <v/>
      </c>
      <c r="DD118" s="11" t="str">
        <f ca="1">IF(History!DH$2="","",#REF!*$C$118)</f>
        <v/>
      </c>
      <c r="DE118" s="11" t="str">
        <f ca="1">IF(History!DI$2="","",#REF!*$C$118)</f>
        <v/>
      </c>
      <c r="DF118" s="11" t="str">
        <f ca="1">IF(History!DJ$2="","",#REF!*$C$118)</f>
        <v/>
      </c>
      <c r="DG118" s="11" t="str">
        <f ca="1">IF(History!DK$2="","",#REF!*$C$118)</f>
        <v/>
      </c>
      <c r="DH118" s="11" t="str">
        <f ca="1">IF(History!DL$2="","",#REF!*$C$118)</f>
        <v/>
      </c>
      <c r="DI118" s="11" t="str">
        <f ca="1">IF(History!DM$2="","",#REF!*$C$118)</f>
        <v/>
      </c>
      <c r="DJ118" s="11" t="str">
        <f ca="1">IF(History!DN$2="","",#REF!*$C$118)</f>
        <v/>
      </c>
      <c r="DK118" s="11" t="str">
        <f ca="1">IF(History!DO$2="","",#REF!*$C$118)</f>
        <v/>
      </c>
      <c r="DL118" s="11" t="str">
        <f ca="1">IF(History!DP$2="","",#REF!*$C$118)</f>
        <v/>
      </c>
      <c r="DM118" s="11" t="str">
        <f ca="1">IF(History!DQ$2="","",#REF!*$C$118)</f>
        <v/>
      </c>
      <c r="DN118" s="11" t="str">
        <f ca="1">IF(History!DR$2="","",#REF!*$C$118)</f>
        <v/>
      </c>
      <c r="DO118" s="11" t="str">
        <f ca="1">IF(History!DS$2="","",#REF!*$C$118)</f>
        <v/>
      </c>
      <c r="DP118" s="11" t="str">
        <f ca="1">IF(History!DT$2="","",#REF!*$C$118)</f>
        <v/>
      </c>
      <c r="DQ118" s="11" t="str">
        <f ca="1">IF(History!DU$2="","",#REF!*$C$118)</f>
        <v/>
      </c>
      <c r="DR118" s="11" t="str">
        <f ca="1">IF(History!DV$2="","",#REF!*$C$118)</f>
        <v/>
      </c>
      <c r="DS118" s="11" t="str">
        <f ca="1">IF(History!DW$2="","",#REF!*$C$118)</f>
        <v/>
      </c>
      <c r="DT118" s="11" t="str">
        <f ca="1">IF(History!DX$2="","",#REF!*$C$118)</f>
        <v/>
      </c>
      <c r="DU118" s="11" t="str">
        <f ca="1">IF(History!DY$2="","",#REF!*$C$118)</f>
        <v/>
      </c>
      <c r="DV118" s="11" t="str">
        <f ca="1">IF(History!DZ$2="","",#REF!*$C$118)</f>
        <v/>
      </c>
      <c r="DW118" s="11" t="str">
        <f ca="1">IF(History!EA$2="","",#REF!*$C$118)</f>
        <v/>
      </c>
      <c r="DX118" s="11" t="str">
        <f ca="1">IF(History!EB$2="","",#REF!*$C$118)</f>
        <v/>
      </c>
      <c r="DY118" s="11" t="str">
        <f ca="1">IF(History!EC$2="","",#REF!*$C$118)</f>
        <v/>
      </c>
      <c r="DZ118" s="11" t="str">
        <f ca="1">IF(History!ED$2="","",#REF!*$C$118)</f>
        <v/>
      </c>
      <c r="EA118" s="11" t="str">
        <f ca="1">IF(History!EE$2="","",#REF!*$C$118)</f>
        <v/>
      </c>
      <c r="EB118" s="11" t="str">
        <f ca="1">IF(History!EF$2="","",#REF!*$C$118)</f>
        <v/>
      </c>
      <c r="EC118" s="11" t="str">
        <f ca="1">IF(History!EG$2="","",#REF!*$C$118)</f>
        <v/>
      </c>
      <c r="ED118" s="11" t="str">
        <f ca="1">IF(History!EH$2="","",#REF!*$C$118)</f>
        <v/>
      </c>
      <c r="EE118" s="11" t="str">
        <f ca="1">IF(History!EI$2="","",#REF!*$C$118)</f>
        <v/>
      </c>
      <c r="EF118" s="11" t="str">
        <f ca="1">IF(History!EJ$2="","",#REF!*$C$118)</f>
        <v/>
      </c>
      <c r="EG118" s="11" t="str">
        <f ca="1">IF(History!EK$2="","",#REF!*$C$118)</f>
        <v/>
      </c>
      <c r="EH118" s="11" t="str">
        <f ca="1">IF(History!EL$2="","",#REF!*$C$118)</f>
        <v/>
      </c>
      <c r="EI118" s="11" t="str">
        <f ca="1">IF(History!EM$2="","",#REF!*$C$118)</f>
        <v/>
      </c>
      <c r="EJ118" s="11" t="str">
        <f ca="1">IF(History!EN$2="","",#REF!*$C$118)</f>
        <v/>
      </c>
      <c r="EK118" s="11" t="str">
        <f ca="1">IF(History!EO$2="","",#REF!*$C$118)</f>
        <v/>
      </c>
      <c r="EL118" s="11" t="str">
        <f ca="1">IF(History!EP$2="","",#REF!*$C$118)</f>
        <v/>
      </c>
      <c r="EM118" s="11" t="str">
        <f ca="1">IF(History!EQ$2="","",#REF!*$C$118)</f>
        <v/>
      </c>
      <c r="EN118" s="11" t="str">
        <f ca="1">IF(History!ER$2="","",#REF!*$C$118)</f>
        <v/>
      </c>
      <c r="EO118" s="11" t="str">
        <f ca="1">IF(History!ES$2="","",#REF!*$C$118)</f>
        <v/>
      </c>
      <c r="EP118" s="11" t="str">
        <f ca="1">IF(History!ET$2="","",#REF!*$C$118)</f>
        <v/>
      </c>
      <c r="EQ118" s="11" t="str">
        <f ca="1">IF(History!EU$2="","",#REF!*$C$118)</f>
        <v/>
      </c>
      <c r="ER118" s="11" t="str">
        <f ca="1">IF(History!EV$2="","",#REF!*$C$118)</f>
        <v/>
      </c>
      <c r="ES118" s="11" t="str">
        <f ca="1">IF(History!EW$2="","",#REF!*$C$118)</f>
        <v/>
      </c>
      <c r="ET118" s="11" t="str">
        <f ca="1">IF(History!EX$2="","",#REF!*$C$118)</f>
        <v/>
      </c>
      <c r="EU118" s="11" t="str">
        <f ca="1">IF(History!EY$2="","",#REF!*$C$118)</f>
        <v/>
      </c>
      <c r="EV118" s="11" t="str">
        <f ca="1">IF(History!EZ$2="","",#REF!*$C$118)</f>
        <v/>
      </c>
      <c r="EW118" s="11" t="str">
        <f ca="1">IF(History!FA$2="","",#REF!*$C$118)</f>
        <v/>
      </c>
      <c r="EX118" s="11" t="str">
        <f ca="1">IF(History!FB$2="","",#REF!*$C$118)</f>
        <v/>
      </c>
      <c r="EY118" s="11" t="str">
        <f ca="1">IF(History!FC$2="","",#REF!*$C$118)</f>
        <v/>
      </c>
      <c r="EZ118" s="11" t="str">
        <f ca="1">IF(History!FD$2="","",#REF!*$C$118)</f>
        <v/>
      </c>
      <c r="FA118" s="11" t="str">
        <f ca="1">IF(History!FE$2="","",#REF!*$C$118)</f>
        <v/>
      </c>
      <c r="FB118" s="11" t="str">
        <f ca="1">IF(History!FF$2="","",#REF!*$C$118)</f>
        <v/>
      </c>
      <c r="FC118" s="11" t="str">
        <f ca="1">IF(History!FG$2="","",#REF!*$C$118)</f>
        <v/>
      </c>
      <c r="FD118" s="11" t="str">
        <f ca="1">IF(History!FH$2="","",#REF!*$C$118)</f>
        <v/>
      </c>
      <c r="FE118" s="11" t="str">
        <f ca="1">IF(History!FI$2="","",#REF!*$C$118)</f>
        <v/>
      </c>
      <c r="FF118" s="11" t="str">
        <f ca="1">IF(History!FJ$2="","",#REF!*$C$118)</f>
        <v/>
      </c>
      <c r="FG118" s="11" t="str">
        <f ca="1">IF(History!FK$2="","",#REF!*$C$118)</f>
        <v/>
      </c>
      <c r="FH118" s="11" t="str">
        <f ca="1">IF(History!FL$2="","",#REF!*$C$118)</f>
        <v/>
      </c>
      <c r="FI118" s="11" t="str">
        <f ca="1">IF(History!FM$2="","",#REF!*$C$118)</f>
        <v/>
      </c>
      <c r="FJ118" s="11" t="str">
        <f ca="1">IF(History!FN$2="","",#REF!*$C$118)</f>
        <v/>
      </c>
      <c r="FK118" s="11" t="str">
        <f ca="1">IF(History!FO$2="","",#REF!*$C$118)</f>
        <v/>
      </c>
      <c r="FL118" s="11" t="str">
        <f ca="1">IF(History!FP$2="","",#REF!*$C$118)</f>
        <v/>
      </c>
      <c r="FM118" s="11" t="str">
        <f ca="1">IF(History!FQ$2="","",#REF!*$C$118)</f>
        <v/>
      </c>
      <c r="FN118" s="11" t="str">
        <f ca="1">IF(History!FR$2="","",#REF!*$C$118)</f>
        <v/>
      </c>
      <c r="FO118" s="11" t="str">
        <f ca="1">IF(History!FS$2="","",#REF!*$C$118)</f>
        <v/>
      </c>
      <c r="FP118" s="11" t="str">
        <f ca="1">IF(History!FT$2="","",#REF!*$C$118)</f>
        <v/>
      </c>
      <c r="FQ118" s="11" t="str">
        <f ca="1">IF(History!FU$2="","",#REF!*$C$118)</f>
        <v/>
      </c>
      <c r="FR118" s="11" t="str">
        <f ca="1">IF(History!FV$2="","",#REF!*$C$118)</f>
        <v/>
      </c>
      <c r="FS118" s="11" t="str">
        <f ca="1">IF(History!FW$2="","",#REF!*$C$118)</f>
        <v/>
      </c>
      <c r="FT118" s="11" t="str">
        <f ca="1">IF(History!FX$2="","",#REF!*$C$118)</f>
        <v/>
      </c>
      <c r="FU118" s="11" t="str">
        <f ca="1">IF(History!FY$2="","",#REF!*$C$118)</f>
        <v/>
      </c>
      <c r="FV118" s="11" t="str">
        <f ca="1">IF(History!FZ$2="","",#REF!*$C$118)</f>
        <v/>
      </c>
      <c r="FW118" s="11" t="str">
        <f ca="1">IF(History!GA$2="","",#REF!*$C$118)</f>
        <v/>
      </c>
      <c r="FX118" s="11" t="str">
        <f ca="1">IF(History!GB$2="","",#REF!*$C$118)</f>
        <v/>
      </c>
      <c r="FY118" s="11" t="str">
        <f ca="1">IF(History!GC$2="","",#REF!*$C$118)</f>
        <v/>
      </c>
      <c r="FZ118" s="11" t="str">
        <f ca="1">IF(History!GD$2="","",#REF!*$C$118)</f>
        <v/>
      </c>
      <c r="GA118" s="11" t="str">
        <f ca="1">IF(History!GE$2="","",#REF!*$C$118)</f>
        <v/>
      </c>
      <c r="GB118" s="11" t="str">
        <f ca="1">IF(History!GF$2="","",#REF!*$C$118)</f>
        <v/>
      </c>
      <c r="GC118" s="11" t="str">
        <f ca="1">IF(History!GG$2="","",#REF!*$C$118)</f>
        <v/>
      </c>
      <c r="GD118" s="11" t="str">
        <f ca="1">IF(History!GH$2="","",#REF!*$C$118)</f>
        <v/>
      </c>
      <c r="GE118" s="11" t="str">
        <f ca="1">IF(History!GI$2="","",#REF!*$C$118)</f>
        <v/>
      </c>
      <c r="GF118" s="11" t="str">
        <f ca="1">IF(History!GJ$2="","",#REF!*$C$118)</f>
        <v/>
      </c>
      <c r="GG118" s="11" t="str">
        <f ca="1">IF(History!GK$2="","",#REF!*$C$118)</f>
        <v/>
      </c>
      <c r="GH118" s="11" t="str">
        <f ca="1">IF(History!GL$2="","",#REF!*$C$118)</f>
        <v/>
      </c>
      <c r="GI118" s="11" t="str">
        <f ca="1">IF(History!GM$2="","",#REF!*$C$118)</f>
        <v/>
      </c>
      <c r="GJ118" s="11" t="str">
        <f ca="1">IF(History!GN$2="","",#REF!*$C$118)</f>
        <v/>
      </c>
      <c r="GK118" s="11" t="str">
        <f ca="1">IF(History!GO$2="","",#REF!*$C$118)</f>
        <v/>
      </c>
      <c r="GL118" s="11" t="str">
        <f ca="1">IF(History!GP$2="","",#REF!*$C$118)</f>
        <v/>
      </c>
      <c r="GM118" s="11" t="str">
        <f ca="1">IF(History!GQ$2="","",#REF!*$C$118)</f>
        <v/>
      </c>
      <c r="GN118" s="11" t="str">
        <f ca="1">IF(History!GR$2="","",#REF!*$C$118)</f>
        <v/>
      </c>
      <c r="GO118" s="11" t="str">
        <f ca="1">IF(History!GS$2="","",#REF!*$C$118)</f>
        <v/>
      </c>
      <c r="GP118" s="11" t="str">
        <f ca="1">IF(History!GT$2="","",#REF!*$C$118)</f>
        <v/>
      </c>
      <c r="GQ118" s="11" t="str">
        <f ca="1">IF(History!GU$2="","",#REF!*$C$118)</f>
        <v/>
      </c>
      <c r="GR118" s="11" t="str">
        <f ca="1">IF(History!GV$2="","",#REF!*$C$118)</f>
        <v/>
      </c>
      <c r="GS118" s="11" t="str">
        <f ca="1">IF(History!GW$2="","",#REF!*$C$118)</f>
        <v/>
      </c>
      <c r="GT118" s="11" t="str">
        <f ca="1">IF(History!GX$2="","",#REF!*$C$118)</f>
        <v/>
      </c>
      <c r="GU118" s="11" t="str">
        <f ca="1">IF(History!GY$2="","",#REF!*$C$118)</f>
        <v/>
      </c>
      <c r="GV118" s="11" t="str">
        <f ca="1">IF(History!GZ$2="","",#REF!*$C$118)</f>
        <v/>
      </c>
      <c r="GW118" s="11" t="str">
        <f ca="1">IF(History!HA$2="","",#REF!*$C$118)</f>
        <v/>
      </c>
      <c r="GX118" s="11" t="str">
        <f ca="1">IF(History!HB$2="","",#REF!*$C$118)</f>
        <v/>
      </c>
      <c r="GY118" s="11" t="str">
        <f ca="1">IF(History!HC$2="","",#REF!*$C$118)</f>
        <v/>
      </c>
      <c r="GZ118" s="11" t="str">
        <f ca="1">IF(History!HD$2="","",#REF!*$C$118)</f>
        <v/>
      </c>
      <c r="HA118" s="11" t="str">
        <f ca="1">IF(History!HE$2="","",#REF!*$C$118)</f>
        <v/>
      </c>
      <c r="HB118" s="11" t="str">
        <f ca="1">IF(History!HF$2="","",#REF!*$C$118)</f>
        <v/>
      </c>
      <c r="HC118" s="11" t="str">
        <f ca="1">IF(History!HG$2="","",#REF!*$C$118)</f>
        <v/>
      </c>
      <c r="HD118" s="11" t="str">
        <f ca="1">IF(History!HH$2="","",#REF!*$C$118)</f>
        <v/>
      </c>
      <c r="HE118" s="11" t="str">
        <f ca="1">IF(History!HI$2="","",#REF!*$C$118)</f>
        <v/>
      </c>
      <c r="HF118" s="11" t="str">
        <f ca="1">IF(History!HJ$2="","",#REF!*$C$118)</f>
        <v/>
      </c>
      <c r="HG118" s="11" t="str">
        <f ca="1">IF(History!HK$2="","",#REF!*$C$118)</f>
        <v/>
      </c>
      <c r="HH118" s="11" t="str">
        <f ca="1">IF(History!HL$2="","",#REF!*$C$118)</f>
        <v/>
      </c>
      <c r="HI118" s="11" t="str">
        <f ca="1">IF(History!HM$2="","",#REF!*$C$118)</f>
        <v/>
      </c>
      <c r="HJ118" s="11" t="str">
        <f ca="1">IF(History!HN$2="","",#REF!*$C$118)</f>
        <v/>
      </c>
      <c r="HK118" s="11" t="str">
        <f ca="1">IF(History!HO$2="","",#REF!*$C$118)</f>
        <v/>
      </c>
      <c r="HL118" s="11" t="str">
        <f ca="1">IF(History!HP$2="","",#REF!*$C$118)</f>
        <v/>
      </c>
      <c r="HM118" s="11" t="str">
        <f ca="1">IF(History!HQ$2="","",#REF!*$C$118)</f>
        <v/>
      </c>
      <c r="HN118" s="11" t="str">
        <f ca="1">IF(History!HR$2="","",#REF!*$C$118)</f>
        <v/>
      </c>
      <c r="HO118" s="11" t="str">
        <f ca="1">IF(History!HS$2="","",#REF!*$C$118)</f>
        <v/>
      </c>
      <c r="HP118" s="11" t="str">
        <f ca="1">IF(History!HT$2="","",#REF!*$C$118)</f>
        <v/>
      </c>
      <c r="HQ118" s="11" t="str">
        <f ca="1">IF(History!HU$2="","",#REF!*$C$118)</f>
        <v/>
      </c>
      <c r="HR118" s="11" t="str">
        <f ca="1">IF(History!HV$2="","",#REF!*$C$118)</f>
        <v/>
      </c>
      <c r="HS118" s="11" t="str">
        <f ca="1">IF(History!HW$2="","",#REF!*$C$118)</f>
        <v/>
      </c>
      <c r="HT118" s="11" t="str">
        <f ca="1">IF(History!HX$2="","",#REF!*$C$118)</f>
        <v/>
      </c>
      <c r="HU118" s="11" t="str">
        <f ca="1">IF(History!HY$2="","",#REF!*$C$118)</f>
        <v/>
      </c>
      <c r="HV118" s="11" t="str">
        <f ca="1">IF(History!HZ$2="","",#REF!*$C$118)</f>
        <v/>
      </c>
      <c r="HW118" s="11" t="str">
        <f ca="1">IF(History!IA$2="","",#REF!*$C$118)</f>
        <v/>
      </c>
      <c r="HX118" s="11" t="str">
        <f ca="1">IF(History!IB$2="","",#REF!*$C$118)</f>
        <v/>
      </c>
      <c r="HY118" s="11" t="str">
        <f ca="1">IF(History!IC$2="","",#REF!*$C$118)</f>
        <v/>
      </c>
      <c r="HZ118" s="11" t="str">
        <f ca="1">IF(History!ID$2="","",#REF!*$C$118)</f>
        <v/>
      </c>
      <c r="IA118" s="11" t="str">
        <f ca="1">IF(History!IE$2="","",#REF!*$C$118)</f>
        <v/>
      </c>
      <c r="IB118" s="11" t="str">
        <f ca="1">IF(History!IF$2="","",#REF!*$C$118)</f>
        <v/>
      </c>
      <c r="IC118" s="11" t="str">
        <f ca="1">IF(History!IG$2="","",#REF!*$C$118)</f>
        <v/>
      </c>
      <c r="ID118" s="11" t="str">
        <f ca="1">IF(History!IH$2="","",#REF!*$C$118)</f>
        <v/>
      </c>
      <c r="IE118" s="11" t="str">
        <f ca="1">IF(History!II$2="","",#REF!*$C$118)</f>
        <v/>
      </c>
      <c r="IF118" s="11" t="str">
        <f ca="1">IF(History!IJ$2="","",#REF!*$C$118)</f>
        <v/>
      </c>
      <c r="IG118" s="11" t="str">
        <f ca="1">IF(History!IK$2="","",#REF!*$C$118)</f>
        <v/>
      </c>
      <c r="IH118" s="11" t="str">
        <f ca="1">IF(History!IL$2="","",#REF!*$C$118)</f>
        <v/>
      </c>
      <c r="II118" s="11" t="str">
        <f ca="1">IF(History!IM$2="","",#REF!*$C$118)</f>
        <v/>
      </c>
      <c r="IJ118" s="11" t="str">
        <f ca="1">IF(History!IN$2="","",#REF!*$C$118)</f>
        <v/>
      </c>
      <c r="IK118" s="11" t="str">
        <f ca="1">IF(History!IO$2="","",#REF!*$C$118)</f>
        <v/>
      </c>
      <c r="IL118" s="11" t="str">
        <f ca="1">IF(History!IP$2="","",#REF!*$C$118)</f>
        <v/>
      </c>
      <c r="IM118" s="11" t="str">
        <f ca="1">IF(History!IQ$2="","",#REF!*$C$118)</f>
        <v/>
      </c>
      <c r="IN118" s="11" t="str">
        <f ca="1">IF(History!IR$2="","",#REF!*$C$118)</f>
        <v/>
      </c>
      <c r="IO118" s="11" t="str">
        <f ca="1">IF(History!IS$2="","",#REF!*$C$118)</f>
        <v/>
      </c>
      <c r="IP118" s="11" t="str">
        <f ca="1">IF(History!IT$2="","",#REF!*$C$118)</f>
        <v/>
      </c>
      <c r="IQ118" s="11" t="str">
        <f ca="1">IF(History!IU$2="","",#REF!*$C$118)</f>
        <v/>
      </c>
      <c r="IR118" s="11" t="str">
        <f ca="1">IF(History!IV$2="","",#REF!*$C$118)</f>
        <v/>
      </c>
      <c r="IS118" s="11" t="str">
        <f ca="1">IF(History!IW$2="","",#REF!*$C$118)</f>
        <v/>
      </c>
      <c r="IT118" s="11" t="str">
        <f ca="1">IF(History!IX$2="","",#REF!*$C$118)</f>
        <v/>
      </c>
      <c r="IU118" s="11" t="str">
        <f ca="1">IF(History!IY$2="","",#REF!*$C$118)</f>
        <v/>
      </c>
      <c r="IV118" s="11" t="str">
        <f ca="1">IF(History!IZ$2="","",#REF!*$C$118)</f>
        <v/>
      </c>
      <c r="IW118" s="11" t="str">
        <f ca="1">IF(History!JA$2="","",#REF!*$C$118)</f>
        <v/>
      </c>
      <c r="IX118" s="11" t="str">
        <f ca="1">IF(History!JB$2="","",#REF!*$C$118)</f>
        <v/>
      </c>
      <c r="IY118" s="11" t="str">
        <f ca="1">IF(History!JC$2="","",#REF!*$C$118)</f>
        <v/>
      </c>
      <c r="IZ118" s="11" t="str">
        <f ca="1">IF(History!JD$2="","",#REF!*$C$118)</f>
        <v/>
      </c>
      <c r="JA118" s="11" t="str">
        <f ca="1">IF(History!JE$2="","",#REF!*$C$118)</f>
        <v/>
      </c>
      <c r="JB118" s="11" t="str">
        <f ca="1">IF(History!JF$2="","",#REF!*$C$118)</f>
        <v/>
      </c>
      <c r="JC118" s="11" t="str">
        <f ca="1">IF(History!JG$2="","",#REF!*$C$118)</f>
        <v/>
      </c>
      <c r="JD118" s="11" t="str">
        <f ca="1">IF(History!JH$2="","",#REF!*$C$118)</f>
        <v/>
      </c>
      <c r="JE118" s="11" t="str">
        <f ca="1">IF(History!JI$2="","",#REF!*$C$118)</f>
        <v/>
      </c>
      <c r="JF118" s="11" t="str">
        <f ca="1">IF(History!JJ$2="","",#REF!*$C$118)</f>
        <v/>
      </c>
      <c r="JG118" s="11" t="str">
        <f ca="1">IF(History!JK$2="","",#REF!*$C$118)</f>
        <v/>
      </c>
      <c r="JH118" s="11" t="str">
        <f ca="1">IF(History!JL$2="","",#REF!*$C$118)</f>
        <v/>
      </c>
      <c r="JI118" s="11" t="str">
        <f ca="1">IF(History!JM$2="","",#REF!*$C$118)</f>
        <v/>
      </c>
      <c r="JJ118" s="11" t="str">
        <f ca="1">IF(History!JN$2="","",#REF!*$C$118)</f>
        <v/>
      </c>
      <c r="JK118" s="11" t="str">
        <f ca="1">IF(History!JO$2="","",#REF!*$C$118)</f>
        <v/>
      </c>
      <c r="JL118" s="11" t="str">
        <f ca="1">IF(History!JP$2="","",#REF!*$C$118)</f>
        <v/>
      </c>
      <c r="JM118" s="11" t="str">
        <f ca="1">IF(History!JQ$2="","",#REF!*$C$118)</f>
        <v/>
      </c>
      <c r="JN118" s="11" t="str">
        <f ca="1">IF(History!JR$2="","",#REF!*$C$118)</f>
        <v/>
      </c>
      <c r="JO118" s="11" t="str">
        <f ca="1">IF(History!JS$2="","",#REF!*$C$118)</f>
        <v/>
      </c>
      <c r="JP118" s="11" t="str">
        <f ca="1">IF(History!JT$2="","",#REF!*$C$118)</f>
        <v/>
      </c>
      <c r="JQ118" s="11" t="str">
        <f ca="1">IF(History!JU$2="","",#REF!*$C$118)</f>
        <v/>
      </c>
      <c r="JR118" s="11" t="str">
        <f ca="1">IF(History!JV$2="","",#REF!*$C$118)</f>
        <v/>
      </c>
      <c r="JS118" s="11" t="str">
        <f ca="1">IF(History!JW$2="","",#REF!*$C$118)</f>
        <v/>
      </c>
      <c r="JT118" s="11" t="str">
        <f ca="1">IF(History!JX$2="","",#REF!*$C$118)</f>
        <v/>
      </c>
      <c r="JU118" s="11" t="str">
        <f ca="1">IF(History!JY$2="","",#REF!*$C$118)</f>
        <v/>
      </c>
      <c r="JV118" s="11" t="str">
        <f ca="1">IF(History!JZ$2="","",#REF!*$C$118)</f>
        <v/>
      </c>
      <c r="JW118" s="11" t="str">
        <f ca="1">IF(History!KA$2="","",#REF!*$C$118)</f>
        <v/>
      </c>
      <c r="JX118" s="11" t="str">
        <f ca="1">IF(History!KB$2="","",#REF!*$C$118)</f>
        <v/>
      </c>
      <c r="JY118" s="11" t="str">
        <f ca="1">IF(History!KC$2="","",#REF!*$C$118)</f>
        <v/>
      </c>
      <c r="JZ118" s="11" t="str">
        <f ca="1">IF(History!KD$2="","",#REF!*$C$118)</f>
        <v/>
      </c>
      <c r="KA118" s="11" t="str">
        <f ca="1">IF(History!KE$2="","",#REF!*$C$118)</f>
        <v/>
      </c>
      <c r="KB118" s="11" t="str">
        <f ca="1">IF(History!KF$2="","",#REF!*$C$118)</f>
        <v/>
      </c>
    </row>
    <row r="119" spans="1:288" ht="13">
      <c r="A119" s="18" t="s">
        <v>40</v>
      </c>
      <c r="B119" s="32" t="s">
        <v>43</v>
      </c>
      <c r="C119" s="33">
        <v>170</v>
      </c>
      <c r="D119" s="11" t="e">
        <f ca="1">IF(History!H$2="","",#REF!*$C$119)</f>
        <v>#REF!</v>
      </c>
      <c r="E119" s="11" t="e">
        <f ca="1">IF(History!I$2="","",#REF!*$C$119)</f>
        <v>#REF!</v>
      </c>
      <c r="F119" s="11" t="e">
        <f ca="1">IF(History!J$2="","",#REF!*$C$119)</f>
        <v>#REF!</v>
      </c>
      <c r="G119" s="11" t="e">
        <f ca="1">IF(History!K$2="","",#REF!*$C$119)</f>
        <v>#REF!</v>
      </c>
      <c r="H119" s="11" t="e">
        <f ca="1">IF(History!L$2="","",#REF!*$C$119)</f>
        <v>#REF!</v>
      </c>
      <c r="I119" s="11" t="e">
        <f ca="1">IF(History!M$2="","",#REF!*$C$119)</f>
        <v>#REF!</v>
      </c>
      <c r="J119" s="11" t="e">
        <f ca="1">IF(History!N$2="","",#REF!*$C$119)</f>
        <v>#REF!</v>
      </c>
      <c r="K119" s="11" t="e">
        <f ca="1">IF(History!O$2="","",#REF!*$C$119)</f>
        <v>#REF!</v>
      </c>
      <c r="L119" s="11" t="e">
        <f ca="1">IF(History!P$2="","",#REF!*$C$119)</f>
        <v>#REF!</v>
      </c>
      <c r="M119" s="11" t="e">
        <f ca="1">IF(History!Q$2="","",#REF!*$C$119)</f>
        <v>#REF!</v>
      </c>
      <c r="N119" s="11" t="e">
        <f ca="1">IF(History!R$2="","",#REF!*$C$119)</f>
        <v>#REF!</v>
      </c>
      <c r="O119" s="11" t="e">
        <f ca="1">IF(History!S$2="","",#REF!*$C$119)</f>
        <v>#REF!</v>
      </c>
      <c r="P119" s="11" t="e">
        <f ca="1">IF(History!T$2="","",#REF!*$C$119)</f>
        <v>#REF!</v>
      </c>
      <c r="Q119" s="11" t="e">
        <f ca="1">IF(History!U$2="","",#REF!*$C$119)</f>
        <v>#REF!</v>
      </c>
      <c r="R119" s="11" t="e">
        <f ca="1">IF(History!V$2="","",#REF!*$C$119)</f>
        <v>#REF!</v>
      </c>
      <c r="S119" s="11" t="e">
        <f ca="1">IF(History!W$2="","",#REF!*$C$119)</f>
        <v>#REF!</v>
      </c>
      <c r="T119" s="11" t="e">
        <f ca="1">IF(History!X$2="","",#REF!*$C$119)</f>
        <v>#REF!</v>
      </c>
      <c r="U119" s="11" t="e">
        <f ca="1">IF(History!Y$2="","",#REF!*$C$119)</f>
        <v>#REF!</v>
      </c>
      <c r="V119" s="11" t="e">
        <f ca="1">IF(History!Z$2="","",#REF!*$C$119)</f>
        <v>#REF!</v>
      </c>
      <c r="W119" s="11" t="e">
        <f ca="1">IF(History!AA$2="","",#REF!*$C$119)</f>
        <v>#REF!</v>
      </c>
      <c r="X119" s="11" t="e">
        <f ca="1">IF(History!AB$2="","",#REF!*$C$119)</f>
        <v>#REF!</v>
      </c>
      <c r="Y119" s="11" t="e">
        <f ca="1">IF(History!AC$2="","",#REF!*$C$119)</f>
        <v>#REF!</v>
      </c>
      <c r="Z119" s="11" t="e">
        <f ca="1">IF(History!AD$2="","",#REF!*$C$119)</f>
        <v>#REF!</v>
      </c>
      <c r="AA119" s="11" t="e">
        <f ca="1">IF(History!AE$2="","",#REF!*$C$119)</f>
        <v>#REF!</v>
      </c>
      <c r="AB119" s="11" t="e">
        <f ca="1">IF(History!AF$2="","",#REF!*$C$119)</f>
        <v>#REF!</v>
      </c>
      <c r="AC119" s="11" t="e">
        <f ca="1">IF(History!AG$2="","",#REF!*$C$119)</f>
        <v>#REF!</v>
      </c>
      <c r="AD119" s="11" t="e">
        <f ca="1">IF(History!AH$2="","",#REF!*$C$119)</f>
        <v>#REF!</v>
      </c>
      <c r="AE119" s="11" t="e">
        <f ca="1">IF(History!AI$2="","",#REF!*$C$119)</f>
        <v>#REF!</v>
      </c>
      <c r="AF119" s="11" t="e">
        <f ca="1">IF(History!AJ$2="","",#REF!*$C$119)</f>
        <v>#REF!</v>
      </c>
      <c r="AG119" s="11" t="e">
        <f ca="1">IF(History!AK$2="","",#REF!*$C$119)</f>
        <v>#REF!</v>
      </c>
      <c r="AH119" s="11" t="e">
        <f ca="1">IF(History!AL$2="","",#REF!*$C$119)</f>
        <v>#REF!</v>
      </c>
      <c r="AI119" s="11" t="e">
        <f ca="1">IF(History!AM$2="","",#REF!*$C$119)</f>
        <v>#REF!</v>
      </c>
      <c r="AJ119" s="11" t="e">
        <f ca="1">IF(History!AN$2="","",#REF!*$C$119)</f>
        <v>#REF!</v>
      </c>
      <c r="AK119" s="11" t="e">
        <f ca="1">IF(History!AO$2="","",#REF!*$C$119)</f>
        <v>#REF!</v>
      </c>
      <c r="AL119" s="11" t="e">
        <f ca="1">IF(History!AP$2="","",#REF!*$C$119)</f>
        <v>#REF!</v>
      </c>
      <c r="AM119" s="11" t="e">
        <f ca="1">IF(History!AQ$2="","",#REF!*$C$119)</f>
        <v>#REF!</v>
      </c>
      <c r="AN119" s="11" t="e">
        <f ca="1">IF(History!AR$2="","",#REF!*$C$119)</f>
        <v>#REF!</v>
      </c>
      <c r="AO119" s="11" t="e">
        <f ca="1">IF(History!AS$2="","",#REF!*$C$119)</f>
        <v>#REF!</v>
      </c>
      <c r="AP119" s="11" t="e">
        <f ca="1">IF(History!AT$2="","",#REF!*$C$119)</f>
        <v>#REF!</v>
      </c>
      <c r="AQ119" s="11" t="e">
        <f ca="1">IF(History!AU$2="","",#REF!*$C$119)</f>
        <v>#REF!</v>
      </c>
      <c r="AR119" s="11" t="e">
        <f ca="1">IF(History!AV$2="","",#REF!*$C$119)</f>
        <v>#REF!</v>
      </c>
      <c r="AS119" s="11" t="e">
        <f ca="1">IF(History!AW$2="","",#REF!*$C$119)</f>
        <v>#REF!</v>
      </c>
      <c r="AT119" s="11" t="e">
        <f ca="1">IF(History!AX$2="","",#REF!*$C$119)</f>
        <v>#REF!</v>
      </c>
      <c r="AU119" s="11" t="e">
        <f ca="1">IF(History!AY$2="","",#REF!*$C$119)</f>
        <v>#REF!</v>
      </c>
      <c r="AV119" s="11" t="e">
        <f ca="1">IF(History!AZ$2="","",#REF!*$C$119)</f>
        <v>#REF!</v>
      </c>
      <c r="AW119" s="11" t="e">
        <f ca="1">IF(History!BA$2="","",#REF!*$C$119)</f>
        <v>#REF!</v>
      </c>
      <c r="AX119" s="11" t="e">
        <f ca="1">IF(History!BB$2="","",#REF!*$C$119)</f>
        <v>#REF!</v>
      </c>
      <c r="AY119" s="11" t="e">
        <f ca="1">IF(History!BC$2="","",#REF!*$C$119)</f>
        <v>#REF!</v>
      </c>
      <c r="AZ119" s="11" t="e">
        <f ca="1">IF(History!BD$2="","",#REF!*$C$119)</f>
        <v>#REF!</v>
      </c>
      <c r="BA119" s="11" t="e">
        <f ca="1">IF(History!BE$2="","",#REF!*$C$119)</f>
        <v>#REF!</v>
      </c>
      <c r="BB119" s="11" t="e">
        <f ca="1">IF(History!BF$2="","",#REF!*$C$119)</f>
        <v>#REF!</v>
      </c>
      <c r="BC119" s="11" t="e">
        <f ca="1">IF(History!BG$2="","",#REF!*$C$119)</f>
        <v>#REF!</v>
      </c>
      <c r="BD119" s="11" t="e">
        <f ca="1">IF(History!BH$2="","",#REF!*$C$119)</f>
        <v>#REF!</v>
      </c>
      <c r="BE119" s="11" t="e">
        <f ca="1">IF(History!BI$2="","",#REF!*$C$119)</f>
        <v>#REF!</v>
      </c>
      <c r="BF119" s="11" t="e">
        <f ca="1">IF(History!BJ$2="","",#REF!*$C$119)</f>
        <v>#REF!</v>
      </c>
      <c r="BG119" s="11" t="e">
        <f ca="1">IF(History!BK$2="","",#REF!*$C$119)</f>
        <v>#REF!</v>
      </c>
      <c r="BH119" s="11" t="e">
        <f ca="1">IF(History!BL$2="","",#REF!*$C$119)</f>
        <v>#REF!</v>
      </c>
      <c r="BI119" s="11" t="e">
        <f ca="1">IF(History!BM$2="","",#REF!*$C$119)</f>
        <v>#REF!</v>
      </c>
      <c r="BJ119" s="11" t="e">
        <f ca="1">IF(History!BN$2="","",#REF!*$C$119)</f>
        <v>#REF!</v>
      </c>
      <c r="BK119" s="11" t="e">
        <f ca="1">IF(History!BO$2="","",#REF!*$C$119)</f>
        <v>#REF!</v>
      </c>
      <c r="BL119" s="11" t="e">
        <f ca="1">IF(History!BP$2="","",#REF!*$C$119)</f>
        <v>#REF!</v>
      </c>
      <c r="BM119" s="11" t="e">
        <f ca="1">IF(History!BQ$2="","",#REF!*$C$119)</f>
        <v>#REF!</v>
      </c>
      <c r="BN119" s="11" t="e">
        <f ca="1">IF(History!BR$2="","",#REF!*$C$119)</f>
        <v>#REF!</v>
      </c>
      <c r="BO119" s="11" t="e">
        <f ca="1">IF(History!BS$2="","",#REF!*$C$119)</f>
        <v>#REF!</v>
      </c>
      <c r="BP119" s="11" t="e">
        <f ca="1">IF(History!BT$2="","",#REF!*$C$119)</f>
        <v>#REF!</v>
      </c>
      <c r="BQ119" s="11" t="e">
        <f ca="1">IF(History!BU$2="","",#REF!*$C$119)</f>
        <v>#REF!</v>
      </c>
      <c r="BR119" s="11" t="e">
        <f ca="1">IF(History!BV$2="","",#REF!*$C$119)</f>
        <v>#REF!</v>
      </c>
      <c r="BS119" s="11" t="e">
        <f ca="1">IF(History!BW$2="","",#REF!*$C$119)</f>
        <v>#REF!</v>
      </c>
      <c r="BT119" s="11" t="e">
        <f ca="1">IF(History!BX$2="","",#REF!*$C$119)</f>
        <v>#REF!</v>
      </c>
      <c r="BU119" s="11" t="e">
        <f ca="1">IF(History!BY$2="","",#REF!*$C$119)</f>
        <v>#REF!</v>
      </c>
      <c r="BV119" s="11" t="e">
        <f ca="1">IF(History!BZ$2="","",#REF!*$C$119)</f>
        <v>#REF!</v>
      </c>
      <c r="BW119" s="11" t="e">
        <f ca="1">IF(History!CA$2="","",#REF!*$C$119)</f>
        <v>#REF!</v>
      </c>
      <c r="BX119" s="11" t="e">
        <f ca="1">IF(History!CB$2="","",#REF!*$C$119)</f>
        <v>#REF!</v>
      </c>
      <c r="BY119" s="11" t="e">
        <f ca="1">IF(History!CC$2="","",#REF!*$C$119)</f>
        <v>#REF!</v>
      </c>
      <c r="BZ119" s="11" t="e">
        <f ca="1">IF(History!CD$2="","",#REF!*$C$119)</f>
        <v>#REF!</v>
      </c>
      <c r="CA119" s="11" t="e">
        <f ca="1">IF(History!CE$2="","",#REF!*$C$119)</f>
        <v>#REF!</v>
      </c>
      <c r="CB119" s="11" t="e">
        <f ca="1">IF(History!CF$2="","",#REF!*$C$119)</f>
        <v>#REF!</v>
      </c>
      <c r="CC119" s="11" t="e">
        <f ca="1">IF(History!CG$2="","",#REF!*$C$119)</f>
        <v>#REF!</v>
      </c>
      <c r="CD119" s="11" t="e">
        <f ca="1">IF(History!CH$2="","",#REF!*$C$119)</f>
        <v>#REF!</v>
      </c>
      <c r="CE119" s="11" t="e">
        <f ca="1">IF(History!CI$2="","",#REF!*$C$119)</f>
        <v>#REF!</v>
      </c>
      <c r="CF119" s="11" t="str">
        <f ca="1">IF(History!CJ$2="","",#REF!*$C$119)</f>
        <v/>
      </c>
      <c r="CG119" s="11" t="str">
        <f ca="1">IF(History!CK$2="","",#REF!*$C$119)</f>
        <v/>
      </c>
      <c r="CH119" s="11" t="str">
        <f ca="1">IF(History!CL$2="","",#REF!*$C$119)</f>
        <v/>
      </c>
      <c r="CI119" s="11" t="str">
        <f ca="1">IF(History!CM$2="","",#REF!*$C$119)</f>
        <v/>
      </c>
      <c r="CJ119" s="11" t="str">
        <f ca="1">IF(History!CN$2="","",#REF!*$C$119)</f>
        <v/>
      </c>
      <c r="CK119" s="11" t="str">
        <f ca="1">IF(History!CO$2="","",#REF!*$C$119)</f>
        <v/>
      </c>
      <c r="CL119" s="11" t="str">
        <f ca="1">IF(History!CP$2="","",#REF!*$C$119)</f>
        <v/>
      </c>
      <c r="CM119" s="11" t="str">
        <f ca="1">IF(History!CQ$2="","",#REF!*$C$119)</f>
        <v/>
      </c>
      <c r="CN119" s="11" t="str">
        <f ca="1">IF(History!CR$2="","",#REF!*$C$119)</f>
        <v/>
      </c>
      <c r="CO119" s="11" t="str">
        <f ca="1">IF(History!CS$2="","",#REF!*$C$119)</f>
        <v/>
      </c>
      <c r="CP119" s="11" t="str">
        <f ca="1">IF(History!CT$2="","",#REF!*$C$119)</f>
        <v/>
      </c>
      <c r="CQ119" s="11" t="str">
        <f ca="1">IF(History!CU$2="","",#REF!*$C$119)</f>
        <v/>
      </c>
      <c r="CR119" s="11" t="str">
        <f ca="1">IF(History!CV$2="","",#REF!*$C$119)</f>
        <v/>
      </c>
      <c r="CS119" s="11" t="str">
        <f ca="1">IF(History!CW$2="","",#REF!*$C$119)</f>
        <v/>
      </c>
      <c r="CT119" s="11" t="str">
        <f ca="1">IF(History!CX$2="","",#REF!*$C$119)</f>
        <v/>
      </c>
      <c r="CU119" s="11" t="str">
        <f ca="1">IF(History!CY$2="","",#REF!*$C$119)</f>
        <v/>
      </c>
      <c r="CV119" s="11" t="str">
        <f ca="1">IF(History!CZ$2="","",#REF!*$C$119)</f>
        <v/>
      </c>
      <c r="CW119" s="11" t="str">
        <f ca="1">IF(History!DA$2="","",#REF!*$C$119)</f>
        <v/>
      </c>
      <c r="CX119" s="11" t="str">
        <f ca="1">IF(History!DB$2="","",#REF!*$C$119)</f>
        <v/>
      </c>
      <c r="CY119" s="11" t="str">
        <f ca="1">IF(History!DC$2="","",#REF!*$C$119)</f>
        <v/>
      </c>
      <c r="CZ119" s="11" t="str">
        <f ca="1">IF(History!DD$2="","",#REF!*$C$119)</f>
        <v/>
      </c>
      <c r="DA119" s="11" t="str">
        <f ca="1">IF(History!DE$2="","",#REF!*$C$119)</f>
        <v/>
      </c>
      <c r="DB119" s="11" t="str">
        <f ca="1">IF(History!DF$2="","",#REF!*$C$119)</f>
        <v/>
      </c>
      <c r="DC119" s="11" t="str">
        <f ca="1">IF(History!DG$2="","",#REF!*$C$119)</f>
        <v/>
      </c>
      <c r="DD119" s="11" t="str">
        <f ca="1">IF(History!DH$2="","",#REF!*$C$119)</f>
        <v/>
      </c>
      <c r="DE119" s="11" t="str">
        <f ca="1">IF(History!DI$2="","",#REF!*$C$119)</f>
        <v/>
      </c>
      <c r="DF119" s="11" t="str">
        <f ca="1">IF(History!DJ$2="","",#REF!*$C$119)</f>
        <v/>
      </c>
      <c r="DG119" s="11" t="str">
        <f ca="1">IF(History!DK$2="","",#REF!*$C$119)</f>
        <v/>
      </c>
      <c r="DH119" s="11" t="str">
        <f ca="1">IF(History!DL$2="","",#REF!*$C$119)</f>
        <v/>
      </c>
      <c r="DI119" s="11" t="str">
        <f ca="1">IF(History!DM$2="","",#REF!*$C$119)</f>
        <v/>
      </c>
      <c r="DJ119" s="11" t="str">
        <f ca="1">IF(History!DN$2="","",#REF!*$C$119)</f>
        <v/>
      </c>
      <c r="DK119" s="11" t="str">
        <f ca="1">IF(History!DO$2="","",#REF!*$C$119)</f>
        <v/>
      </c>
      <c r="DL119" s="11" t="str">
        <f ca="1">IF(History!DP$2="","",#REF!*$C$119)</f>
        <v/>
      </c>
      <c r="DM119" s="11" t="str">
        <f ca="1">IF(History!DQ$2="","",#REF!*$C$119)</f>
        <v/>
      </c>
      <c r="DN119" s="11" t="str">
        <f ca="1">IF(History!DR$2="","",#REF!*$C$119)</f>
        <v/>
      </c>
      <c r="DO119" s="11" t="str">
        <f ca="1">IF(History!DS$2="","",#REF!*$C$119)</f>
        <v/>
      </c>
      <c r="DP119" s="11" t="str">
        <f ca="1">IF(History!DT$2="","",#REF!*$C$119)</f>
        <v/>
      </c>
      <c r="DQ119" s="11" t="str">
        <f ca="1">IF(History!DU$2="","",#REF!*$C$119)</f>
        <v/>
      </c>
      <c r="DR119" s="11" t="str">
        <f ca="1">IF(History!DV$2="","",#REF!*$C$119)</f>
        <v/>
      </c>
      <c r="DS119" s="11" t="str">
        <f ca="1">IF(History!DW$2="","",#REF!*$C$119)</f>
        <v/>
      </c>
      <c r="DT119" s="11" t="str">
        <f ca="1">IF(History!DX$2="","",#REF!*$C$119)</f>
        <v/>
      </c>
      <c r="DU119" s="11" t="str">
        <f ca="1">IF(History!DY$2="","",#REF!*$C$119)</f>
        <v/>
      </c>
      <c r="DV119" s="11" t="str">
        <f ca="1">IF(History!DZ$2="","",#REF!*$C$119)</f>
        <v/>
      </c>
      <c r="DW119" s="11" t="str">
        <f ca="1">IF(History!EA$2="","",#REF!*$C$119)</f>
        <v/>
      </c>
      <c r="DX119" s="11" t="str">
        <f ca="1">IF(History!EB$2="","",#REF!*$C$119)</f>
        <v/>
      </c>
      <c r="DY119" s="11" t="str">
        <f ca="1">IF(History!EC$2="","",#REF!*$C$119)</f>
        <v/>
      </c>
      <c r="DZ119" s="11" t="str">
        <f ca="1">IF(History!ED$2="","",#REF!*$C$119)</f>
        <v/>
      </c>
      <c r="EA119" s="11" t="str">
        <f ca="1">IF(History!EE$2="","",#REF!*$C$119)</f>
        <v/>
      </c>
      <c r="EB119" s="11" t="str">
        <f ca="1">IF(History!EF$2="","",#REF!*$C$119)</f>
        <v/>
      </c>
      <c r="EC119" s="11" t="str">
        <f ca="1">IF(History!EG$2="","",#REF!*$C$119)</f>
        <v/>
      </c>
      <c r="ED119" s="11" t="str">
        <f ca="1">IF(History!EH$2="","",#REF!*$C$119)</f>
        <v/>
      </c>
      <c r="EE119" s="11" t="str">
        <f ca="1">IF(History!EI$2="","",#REF!*$C$119)</f>
        <v/>
      </c>
      <c r="EF119" s="11" t="str">
        <f ca="1">IF(History!EJ$2="","",#REF!*$C$119)</f>
        <v/>
      </c>
      <c r="EG119" s="11" t="str">
        <f ca="1">IF(History!EK$2="","",#REF!*$C$119)</f>
        <v/>
      </c>
      <c r="EH119" s="11" t="str">
        <f ca="1">IF(History!EL$2="","",#REF!*$C$119)</f>
        <v/>
      </c>
      <c r="EI119" s="11" t="str">
        <f ca="1">IF(History!EM$2="","",#REF!*$C$119)</f>
        <v/>
      </c>
      <c r="EJ119" s="11" t="str">
        <f ca="1">IF(History!EN$2="","",#REF!*$C$119)</f>
        <v/>
      </c>
      <c r="EK119" s="11" t="str">
        <f ca="1">IF(History!EO$2="","",#REF!*$C$119)</f>
        <v/>
      </c>
      <c r="EL119" s="11" t="str">
        <f ca="1">IF(History!EP$2="","",#REF!*$C$119)</f>
        <v/>
      </c>
      <c r="EM119" s="11" t="str">
        <f ca="1">IF(History!EQ$2="","",#REF!*$C$119)</f>
        <v/>
      </c>
      <c r="EN119" s="11" t="str">
        <f ca="1">IF(History!ER$2="","",#REF!*$C$119)</f>
        <v/>
      </c>
      <c r="EO119" s="11" t="str">
        <f ca="1">IF(History!ES$2="","",#REF!*$C$119)</f>
        <v/>
      </c>
      <c r="EP119" s="11" t="str">
        <f ca="1">IF(History!ET$2="","",#REF!*$C$119)</f>
        <v/>
      </c>
      <c r="EQ119" s="11" t="str">
        <f ca="1">IF(History!EU$2="","",#REF!*$C$119)</f>
        <v/>
      </c>
      <c r="ER119" s="11" t="str">
        <f ca="1">IF(History!EV$2="","",#REF!*$C$119)</f>
        <v/>
      </c>
      <c r="ES119" s="11" t="str">
        <f ca="1">IF(History!EW$2="","",#REF!*$C$119)</f>
        <v/>
      </c>
      <c r="ET119" s="11" t="str">
        <f ca="1">IF(History!EX$2="","",#REF!*$C$119)</f>
        <v/>
      </c>
      <c r="EU119" s="11" t="str">
        <f ca="1">IF(History!EY$2="","",#REF!*$C$119)</f>
        <v/>
      </c>
      <c r="EV119" s="11" t="str">
        <f ca="1">IF(History!EZ$2="","",#REF!*$C$119)</f>
        <v/>
      </c>
      <c r="EW119" s="11" t="str">
        <f ca="1">IF(History!FA$2="","",#REF!*$C$119)</f>
        <v/>
      </c>
      <c r="EX119" s="11" t="str">
        <f ca="1">IF(History!FB$2="","",#REF!*$C$119)</f>
        <v/>
      </c>
      <c r="EY119" s="11" t="str">
        <f ca="1">IF(History!FC$2="","",#REF!*$C$119)</f>
        <v/>
      </c>
      <c r="EZ119" s="11" t="str">
        <f ca="1">IF(History!FD$2="","",#REF!*$C$119)</f>
        <v/>
      </c>
      <c r="FA119" s="11" t="str">
        <f ca="1">IF(History!FE$2="","",#REF!*$C$119)</f>
        <v/>
      </c>
      <c r="FB119" s="11" t="str">
        <f ca="1">IF(History!FF$2="","",#REF!*$C$119)</f>
        <v/>
      </c>
      <c r="FC119" s="11" t="str">
        <f ca="1">IF(History!FG$2="","",#REF!*$C$119)</f>
        <v/>
      </c>
      <c r="FD119" s="11" t="str">
        <f ca="1">IF(History!FH$2="","",#REF!*$C$119)</f>
        <v/>
      </c>
      <c r="FE119" s="11" t="str">
        <f ca="1">IF(History!FI$2="","",#REF!*$C$119)</f>
        <v/>
      </c>
      <c r="FF119" s="11" t="str">
        <f ca="1">IF(History!FJ$2="","",#REF!*$C$119)</f>
        <v/>
      </c>
      <c r="FG119" s="11" t="str">
        <f ca="1">IF(History!FK$2="","",#REF!*$C$119)</f>
        <v/>
      </c>
      <c r="FH119" s="11" t="str">
        <f ca="1">IF(History!FL$2="","",#REF!*$C$119)</f>
        <v/>
      </c>
      <c r="FI119" s="11" t="str">
        <f ca="1">IF(History!FM$2="","",#REF!*$C$119)</f>
        <v/>
      </c>
      <c r="FJ119" s="11" t="str">
        <f ca="1">IF(History!FN$2="","",#REF!*$C$119)</f>
        <v/>
      </c>
      <c r="FK119" s="11" t="str">
        <f ca="1">IF(History!FO$2="","",#REF!*$C$119)</f>
        <v/>
      </c>
      <c r="FL119" s="11" t="str">
        <f ca="1">IF(History!FP$2="","",#REF!*$C$119)</f>
        <v/>
      </c>
      <c r="FM119" s="11" t="str">
        <f ca="1">IF(History!FQ$2="","",#REF!*$C$119)</f>
        <v/>
      </c>
      <c r="FN119" s="11" t="str">
        <f ca="1">IF(History!FR$2="","",#REF!*$C$119)</f>
        <v/>
      </c>
      <c r="FO119" s="11" t="str">
        <f ca="1">IF(History!FS$2="","",#REF!*$C$119)</f>
        <v/>
      </c>
      <c r="FP119" s="11" t="str">
        <f ca="1">IF(History!FT$2="","",#REF!*$C$119)</f>
        <v/>
      </c>
      <c r="FQ119" s="11" t="str">
        <f ca="1">IF(History!FU$2="","",#REF!*$C$119)</f>
        <v/>
      </c>
      <c r="FR119" s="11" t="str">
        <f ca="1">IF(History!FV$2="","",#REF!*$C$119)</f>
        <v/>
      </c>
      <c r="FS119" s="11" t="str">
        <f ca="1">IF(History!FW$2="","",#REF!*$C$119)</f>
        <v/>
      </c>
      <c r="FT119" s="11" t="str">
        <f ca="1">IF(History!FX$2="","",#REF!*$C$119)</f>
        <v/>
      </c>
      <c r="FU119" s="11" t="str">
        <f ca="1">IF(History!FY$2="","",#REF!*$C$119)</f>
        <v/>
      </c>
      <c r="FV119" s="11" t="str">
        <f ca="1">IF(History!FZ$2="","",#REF!*$C$119)</f>
        <v/>
      </c>
      <c r="FW119" s="11" t="str">
        <f ca="1">IF(History!GA$2="","",#REF!*$C$119)</f>
        <v/>
      </c>
      <c r="FX119" s="11" t="str">
        <f ca="1">IF(History!GB$2="","",#REF!*$C$119)</f>
        <v/>
      </c>
      <c r="FY119" s="11" t="str">
        <f ca="1">IF(History!GC$2="","",#REF!*$C$119)</f>
        <v/>
      </c>
      <c r="FZ119" s="11" t="str">
        <f ca="1">IF(History!GD$2="","",#REF!*$C$119)</f>
        <v/>
      </c>
      <c r="GA119" s="11" t="str">
        <f ca="1">IF(History!GE$2="","",#REF!*$C$119)</f>
        <v/>
      </c>
      <c r="GB119" s="11" t="str">
        <f ca="1">IF(History!GF$2="","",#REF!*$C$119)</f>
        <v/>
      </c>
      <c r="GC119" s="11" t="str">
        <f ca="1">IF(History!GG$2="","",#REF!*$C$119)</f>
        <v/>
      </c>
      <c r="GD119" s="11" t="str">
        <f ca="1">IF(History!GH$2="","",#REF!*$C$119)</f>
        <v/>
      </c>
      <c r="GE119" s="11" t="str">
        <f ca="1">IF(History!GI$2="","",#REF!*$C$119)</f>
        <v/>
      </c>
      <c r="GF119" s="11" t="str">
        <f ca="1">IF(History!GJ$2="","",#REF!*$C$119)</f>
        <v/>
      </c>
      <c r="GG119" s="11" t="str">
        <f ca="1">IF(History!GK$2="","",#REF!*$C$119)</f>
        <v/>
      </c>
      <c r="GH119" s="11" t="str">
        <f ca="1">IF(History!GL$2="","",#REF!*$C$119)</f>
        <v/>
      </c>
      <c r="GI119" s="11" t="str">
        <f ca="1">IF(History!GM$2="","",#REF!*$C$119)</f>
        <v/>
      </c>
      <c r="GJ119" s="11" t="str">
        <f ca="1">IF(History!GN$2="","",#REF!*$C$119)</f>
        <v/>
      </c>
      <c r="GK119" s="11" t="str">
        <f ca="1">IF(History!GO$2="","",#REF!*$C$119)</f>
        <v/>
      </c>
      <c r="GL119" s="11" t="str">
        <f ca="1">IF(History!GP$2="","",#REF!*$C$119)</f>
        <v/>
      </c>
      <c r="GM119" s="11" t="str">
        <f ca="1">IF(History!GQ$2="","",#REF!*$C$119)</f>
        <v/>
      </c>
      <c r="GN119" s="11" t="str">
        <f ca="1">IF(History!GR$2="","",#REF!*$C$119)</f>
        <v/>
      </c>
      <c r="GO119" s="11" t="str">
        <f ca="1">IF(History!GS$2="","",#REF!*$C$119)</f>
        <v/>
      </c>
      <c r="GP119" s="11" t="str">
        <f ca="1">IF(History!GT$2="","",#REF!*$C$119)</f>
        <v/>
      </c>
      <c r="GQ119" s="11" t="str">
        <f ca="1">IF(History!GU$2="","",#REF!*$C$119)</f>
        <v/>
      </c>
      <c r="GR119" s="11" t="str">
        <f ca="1">IF(History!GV$2="","",#REF!*$C$119)</f>
        <v/>
      </c>
      <c r="GS119" s="11" t="str">
        <f ca="1">IF(History!GW$2="","",#REF!*$C$119)</f>
        <v/>
      </c>
      <c r="GT119" s="11" t="str">
        <f ca="1">IF(History!GX$2="","",#REF!*$C$119)</f>
        <v/>
      </c>
      <c r="GU119" s="11" t="str">
        <f ca="1">IF(History!GY$2="","",#REF!*$C$119)</f>
        <v/>
      </c>
      <c r="GV119" s="11" t="str">
        <f ca="1">IF(History!GZ$2="","",#REF!*$C$119)</f>
        <v/>
      </c>
      <c r="GW119" s="11" t="str">
        <f ca="1">IF(History!HA$2="","",#REF!*$C$119)</f>
        <v/>
      </c>
      <c r="GX119" s="11" t="str">
        <f ca="1">IF(History!HB$2="","",#REF!*$C$119)</f>
        <v/>
      </c>
      <c r="GY119" s="11" t="str">
        <f ca="1">IF(History!HC$2="","",#REF!*$C$119)</f>
        <v/>
      </c>
      <c r="GZ119" s="11" t="str">
        <f ca="1">IF(History!HD$2="","",#REF!*$C$119)</f>
        <v/>
      </c>
      <c r="HA119" s="11" t="str">
        <f ca="1">IF(History!HE$2="","",#REF!*$C$119)</f>
        <v/>
      </c>
      <c r="HB119" s="11" t="str">
        <f ca="1">IF(History!HF$2="","",#REF!*$C$119)</f>
        <v/>
      </c>
      <c r="HC119" s="11" t="str">
        <f ca="1">IF(History!HG$2="","",#REF!*$C$119)</f>
        <v/>
      </c>
      <c r="HD119" s="11" t="str">
        <f ca="1">IF(History!HH$2="","",#REF!*$C$119)</f>
        <v/>
      </c>
      <c r="HE119" s="11" t="str">
        <f ca="1">IF(History!HI$2="","",#REF!*$C$119)</f>
        <v/>
      </c>
      <c r="HF119" s="11" t="str">
        <f ca="1">IF(History!HJ$2="","",#REF!*$C$119)</f>
        <v/>
      </c>
      <c r="HG119" s="11" t="str">
        <f ca="1">IF(History!HK$2="","",#REF!*$C$119)</f>
        <v/>
      </c>
      <c r="HH119" s="11" t="str">
        <f ca="1">IF(History!HL$2="","",#REF!*$C$119)</f>
        <v/>
      </c>
      <c r="HI119" s="11" t="str">
        <f ca="1">IF(History!HM$2="","",#REF!*$C$119)</f>
        <v/>
      </c>
      <c r="HJ119" s="11" t="str">
        <f ca="1">IF(History!HN$2="","",#REF!*$C$119)</f>
        <v/>
      </c>
      <c r="HK119" s="11" t="str">
        <f ca="1">IF(History!HO$2="","",#REF!*$C$119)</f>
        <v/>
      </c>
      <c r="HL119" s="11" t="str">
        <f ca="1">IF(History!HP$2="","",#REF!*$C$119)</f>
        <v/>
      </c>
      <c r="HM119" s="11" t="str">
        <f ca="1">IF(History!HQ$2="","",#REF!*$C$119)</f>
        <v/>
      </c>
      <c r="HN119" s="11" t="str">
        <f ca="1">IF(History!HR$2="","",#REF!*$C$119)</f>
        <v/>
      </c>
      <c r="HO119" s="11" t="str">
        <f ca="1">IF(History!HS$2="","",#REF!*$C$119)</f>
        <v/>
      </c>
      <c r="HP119" s="11" t="str">
        <f ca="1">IF(History!HT$2="","",#REF!*$C$119)</f>
        <v/>
      </c>
      <c r="HQ119" s="11" t="str">
        <f ca="1">IF(History!HU$2="","",#REF!*$C$119)</f>
        <v/>
      </c>
      <c r="HR119" s="11" t="str">
        <f ca="1">IF(History!HV$2="","",#REF!*$C$119)</f>
        <v/>
      </c>
      <c r="HS119" s="11" t="str">
        <f ca="1">IF(History!HW$2="","",#REF!*$C$119)</f>
        <v/>
      </c>
      <c r="HT119" s="11" t="str">
        <f ca="1">IF(History!HX$2="","",#REF!*$C$119)</f>
        <v/>
      </c>
      <c r="HU119" s="11" t="str">
        <f ca="1">IF(History!HY$2="","",#REF!*$C$119)</f>
        <v/>
      </c>
      <c r="HV119" s="11" t="str">
        <f ca="1">IF(History!HZ$2="","",#REF!*$C$119)</f>
        <v/>
      </c>
      <c r="HW119" s="11" t="str">
        <f ca="1">IF(History!IA$2="","",#REF!*$C$119)</f>
        <v/>
      </c>
      <c r="HX119" s="11" t="str">
        <f ca="1">IF(History!IB$2="","",#REF!*$C$119)</f>
        <v/>
      </c>
      <c r="HY119" s="11" t="str">
        <f ca="1">IF(History!IC$2="","",#REF!*$C$119)</f>
        <v/>
      </c>
      <c r="HZ119" s="11" t="str">
        <f ca="1">IF(History!ID$2="","",#REF!*$C$119)</f>
        <v/>
      </c>
      <c r="IA119" s="11" t="str">
        <f ca="1">IF(History!IE$2="","",#REF!*$C$119)</f>
        <v/>
      </c>
      <c r="IB119" s="11" t="str">
        <f ca="1">IF(History!IF$2="","",#REF!*$C$119)</f>
        <v/>
      </c>
      <c r="IC119" s="11" t="str">
        <f ca="1">IF(History!IG$2="","",#REF!*$C$119)</f>
        <v/>
      </c>
      <c r="ID119" s="11" t="str">
        <f ca="1">IF(History!IH$2="","",#REF!*$C$119)</f>
        <v/>
      </c>
      <c r="IE119" s="11" t="str">
        <f ca="1">IF(History!II$2="","",#REF!*$C$119)</f>
        <v/>
      </c>
      <c r="IF119" s="11" t="str">
        <f ca="1">IF(History!IJ$2="","",#REF!*$C$119)</f>
        <v/>
      </c>
      <c r="IG119" s="11" t="str">
        <f ca="1">IF(History!IK$2="","",#REF!*$C$119)</f>
        <v/>
      </c>
      <c r="IH119" s="11" t="str">
        <f ca="1">IF(History!IL$2="","",#REF!*$C$119)</f>
        <v/>
      </c>
      <c r="II119" s="11" t="str">
        <f ca="1">IF(History!IM$2="","",#REF!*$C$119)</f>
        <v/>
      </c>
      <c r="IJ119" s="11" t="str">
        <f ca="1">IF(History!IN$2="","",#REF!*$C$119)</f>
        <v/>
      </c>
      <c r="IK119" s="11" t="str">
        <f ca="1">IF(History!IO$2="","",#REF!*$C$119)</f>
        <v/>
      </c>
      <c r="IL119" s="11" t="str">
        <f ca="1">IF(History!IP$2="","",#REF!*$C$119)</f>
        <v/>
      </c>
      <c r="IM119" s="11" t="str">
        <f ca="1">IF(History!IQ$2="","",#REF!*$C$119)</f>
        <v/>
      </c>
      <c r="IN119" s="11" t="str">
        <f ca="1">IF(History!IR$2="","",#REF!*$C$119)</f>
        <v/>
      </c>
      <c r="IO119" s="11" t="str">
        <f ca="1">IF(History!IS$2="","",#REF!*$C$119)</f>
        <v/>
      </c>
      <c r="IP119" s="11" t="str">
        <f ca="1">IF(History!IT$2="","",#REF!*$C$119)</f>
        <v/>
      </c>
      <c r="IQ119" s="11" t="str">
        <f ca="1">IF(History!IU$2="","",#REF!*$C$119)</f>
        <v/>
      </c>
      <c r="IR119" s="11" t="str">
        <f ca="1">IF(History!IV$2="","",#REF!*$C$119)</f>
        <v/>
      </c>
      <c r="IS119" s="11" t="str">
        <f ca="1">IF(History!IW$2="","",#REF!*$C$119)</f>
        <v/>
      </c>
      <c r="IT119" s="11" t="str">
        <f ca="1">IF(History!IX$2="","",#REF!*$C$119)</f>
        <v/>
      </c>
      <c r="IU119" s="11" t="str">
        <f ca="1">IF(History!IY$2="","",#REF!*$C$119)</f>
        <v/>
      </c>
      <c r="IV119" s="11" t="str">
        <f ca="1">IF(History!IZ$2="","",#REF!*$C$119)</f>
        <v/>
      </c>
      <c r="IW119" s="11" t="str">
        <f ca="1">IF(History!JA$2="","",#REF!*$C$119)</f>
        <v/>
      </c>
      <c r="IX119" s="11" t="str">
        <f ca="1">IF(History!JB$2="","",#REF!*$C$119)</f>
        <v/>
      </c>
      <c r="IY119" s="11" t="str">
        <f ca="1">IF(History!JC$2="","",#REF!*$C$119)</f>
        <v/>
      </c>
      <c r="IZ119" s="11" t="str">
        <f ca="1">IF(History!JD$2="","",#REF!*$C$119)</f>
        <v/>
      </c>
      <c r="JA119" s="11" t="str">
        <f ca="1">IF(History!JE$2="","",#REF!*$C$119)</f>
        <v/>
      </c>
      <c r="JB119" s="11" t="str">
        <f ca="1">IF(History!JF$2="","",#REF!*$C$119)</f>
        <v/>
      </c>
      <c r="JC119" s="11" t="str">
        <f ca="1">IF(History!JG$2="","",#REF!*$C$119)</f>
        <v/>
      </c>
      <c r="JD119" s="11" t="str">
        <f ca="1">IF(History!JH$2="","",#REF!*$C$119)</f>
        <v/>
      </c>
      <c r="JE119" s="11" t="str">
        <f ca="1">IF(History!JI$2="","",#REF!*$C$119)</f>
        <v/>
      </c>
      <c r="JF119" s="11" t="str">
        <f ca="1">IF(History!JJ$2="","",#REF!*$C$119)</f>
        <v/>
      </c>
      <c r="JG119" s="11" t="str">
        <f ca="1">IF(History!JK$2="","",#REF!*$C$119)</f>
        <v/>
      </c>
      <c r="JH119" s="11" t="str">
        <f ca="1">IF(History!JL$2="","",#REF!*$C$119)</f>
        <v/>
      </c>
      <c r="JI119" s="11" t="str">
        <f ca="1">IF(History!JM$2="","",#REF!*$C$119)</f>
        <v/>
      </c>
      <c r="JJ119" s="11" t="str">
        <f ca="1">IF(History!JN$2="","",#REF!*$C$119)</f>
        <v/>
      </c>
      <c r="JK119" s="11" t="str">
        <f ca="1">IF(History!JO$2="","",#REF!*$C$119)</f>
        <v/>
      </c>
      <c r="JL119" s="11" t="str">
        <f ca="1">IF(History!JP$2="","",#REF!*$C$119)</f>
        <v/>
      </c>
      <c r="JM119" s="11" t="str">
        <f ca="1">IF(History!JQ$2="","",#REF!*$C$119)</f>
        <v/>
      </c>
      <c r="JN119" s="11" t="str">
        <f ca="1">IF(History!JR$2="","",#REF!*$C$119)</f>
        <v/>
      </c>
      <c r="JO119" s="11" t="str">
        <f ca="1">IF(History!JS$2="","",#REF!*$C$119)</f>
        <v/>
      </c>
      <c r="JP119" s="11" t="str">
        <f ca="1">IF(History!JT$2="","",#REF!*$C$119)</f>
        <v/>
      </c>
      <c r="JQ119" s="11" t="str">
        <f ca="1">IF(History!JU$2="","",#REF!*$C$119)</f>
        <v/>
      </c>
      <c r="JR119" s="11" t="str">
        <f ca="1">IF(History!JV$2="","",#REF!*$C$119)</f>
        <v/>
      </c>
      <c r="JS119" s="11" t="str">
        <f ca="1">IF(History!JW$2="","",#REF!*$C$119)</f>
        <v/>
      </c>
      <c r="JT119" s="11" t="str">
        <f ca="1">IF(History!JX$2="","",#REF!*$C$119)</f>
        <v/>
      </c>
      <c r="JU119" s="11" t="str">
        <f ca="1">IF(History!JY$2="","",#REF!*$C$119)</f>
        <v/>
      </c>
      <c r="JV119" s="11" t="str">
        <f ca="1">IF(History!JZ$2="","",#REF!*$C$119)</f>
        <v/>
      </c>
      <c r="JW119" s="11" t="str">
        <f ca="1">IF(History!KA$2="","",#REF!*$C$119)</f>
        <v/>
      </c>
      <c r="JX119" s="11" t="str">
        <f ca="1">IF(History!KB$2="","",#REF!*$C$119)</f>
        <v/>
      </c>
      <c r="JY119" s="11" t="str">
        <f ca="1">IF(History!KC$2="","",#REF!*$C$119)</f>
        <v/>
      </c>
      <c r="JZ119" s="11" t="str">
        <f ca="1">IF(History!KD$2="","",#REF!*$C$119)</f>
        <v/>
      </c>
      <c r="KA119" s="11" t="str">
        <f ca="1">IF(History!KE$2="","",#REF!*$C$119)</f>
        <v/>
      </c>
      <c r="KB119" s="11" t="str">
        <f ca="1">IF(History!KF$2="","",#REF!*$C$119)</f>
        <v/>
      </c>
    </row>
    <row r="120" spans="1:288" ht="13">
      <c r="A120" s="18" t="s">
        <v>40</v>
      </c>
      <c r="B120" s="32" t="s">
        <v>109</v>
      </c>
      <c r="C120" s="33">
        <v>193</v>
      </c>
      <c r="D120" s="11" t="e">
        <f ca="1">IF(History!H$2="","",#REF!*$C$120)</f>
        <v>#REF!</v>
      </c>
      <c r="E120" s="11" t="e">
        <f ca="1">IF(History!I$2="","",#REF!*$C$120)</f>
        <v>#REF!</v>
      </c>
      <c r="F120" s="11" t="e">
        <f ca="1">IF(History!J$2="","",#REF!*$C$120)</f>
        <v>#REF!</v>
      </c>
      <c r="G120" s="11" t="e">
        <f ca="1">IF(History!K$2="","",#REF!*$C$120)</f>
        <v>#REF!</v>
      </c>
      <c r="H120" s="11" t="e">
        <f ca="1">IF(History!L$2="","",#REF!*$C$120)</f>
        <v>#REF!</v>
      </c>
      <c r="I120" s="11" t="e">
        <f ca="1">IF(History!M$2="","",#REF!*$C$120)</f>
        <v>#REF!</v>
      </c>
      <c r="J120" s="11" t="e">
        <f ca="1">IF(History!N$2="","",#REF!*$C$120)</f>
        <v>#REF!</v>
      </c>
      <c r="K120" s="11" t="e">
        <f ca="1">IF(History!O$2="","",#REF!*$C$120)</f>
        <v>#REF!</v>
      </c>
      <c r="L120" s="11" t="e">
        <f ca="1">IF(History!P$2="","",#REF!*$C$120)</f>
        <v>#REF!</v>
      </c>
      <c r="M120" s="11" t="e">
        <f ca="1">IF(History!Q$2="","",#REF!*$C$120)</f>
        <v>#REF!</v>
      </c>
      <c r="N120" s="11" t="e">
        <f ca="1">IF(History!R$2="","",#REF!*$C$120)</f>
        <v>#REF!</v>
      </c>
      <c r="O120" s="11" t="e">
        <f ca="1">IF(History!S$2="","",#REF!*$C$120)</f>
        <v>#REF!</v>
      </c>
      <c r="P120" s="11" t="e">
        <f ca="1">IF(History!T$2="","",#REF!*$C$120)</f>
        <v>#REF!</v>
      </c>
      <c r="Q120" s="11" t="e">
        <f ca="1">IF(History!U$2="","",#REF!*$C$120)</f>
        <v>#REF!</v>
      </c>
      <c r="R120" s="11" t="e">
        <f ca="1">IF(History!V$2="","",#REF!*$C$120)</f>
        <v>#REF!</v>
      </c>
      <c r="S120" s="11" t="e">
        <f ca="1">IF(History!W$2="","",#REF!*$C$120)</f>
        <v>#REF!</v>
      </c>
      <c r="T120" s="11" t="e">
        <f ca="1">IF(History!X$2="","",#REF!*$C$120)</f>
        <v>#REF!</v>
      </c>
      <c r="U120" s="11" t="e">
        <f ca="1">IF(History!Y$2="","",#REF!*$C$120)</f>
        <v>#REF!</v>
      </c>
      <c r="V120" s="11" t="e">
        <f ca="1">IF(History!Z$2="","",#REF!*$C$120)</f>
        <v>#REF!</v>
      </c>
      <c r="W120" s="11" t="e">
        <f ca="1">IF(History!AA$2="","",#REF!*$C$120)</f>
        <v>#REF!</v>
      </c>
      <c r="X120" s="11" t="e">
        <f ca="1">IF(History!AB$2="","",#REF!*$C$120)</f>
        <v>#REF!</v>
      </c>
      <c r="Y120" s="11" t="e">
        <f ca="1">IF(History!AC$2="","",#REF!*$C$120)</f>
        <v>#REF!</v>
      </c>
      <c r="Z120" s="11" t="e">
        <f ca="1">IF(History!AD$2="","",#REF!*$C$120)</f>
        <v>#REF!</v>
      </c>
      <c r="AA120" s="11" t="e">
        <f ca="1">IF(History!AE$2="","",#REF!*$C$120)</f>
        <v>#REF!</v>
      </c>
      <c r="AB120" s="11" t="e">
        <f ca="1">IF(History!AF$2="","",#REF!*$C$120)</f>
        <v>#REF!</v>
      </c>
      <c r="AC120" s="11" t="e">
        <f ca="1">IF(History!AG$2="","",#REF!*$C$120)</f>
        <v>#REF!</v>
      </c>
      <c r="AD120" s="11" t="e">
        <f ca="1">IF(History!AH$2="","",#REF!*$C$120)</f>
        <v>#REF!</v>
      </c>
      <c r="AE120" s="11" t="e">
        <f ca="1">IF(History!AI$2="","",#REF!*$C$120)</f>
        <v>#REF!</v>
      </c>
      <c r="AF120" s="11" t="e">
        <f ca="1">IF(History!AJ$2="","",#REF!*$C$120)</f>
        <v>#REF!</v>
      </c>
      <c r="AG120" s="11" t="e">
        <f ca="1">IF(History!AK$2="","",#REF!*$C$120)</f>
        <v>#REF!</v>
      </c>
      <c r="AH120" s="11" t="e">
        <f ca="1">IF(History!AL$2="","",#REF!*$C$120)</f>
        <v>#REF!</v>
      </c>
      <c r="AI120" s="11" t="e">
        <f ca="1">IF(History!AM$2="","",#REF!*$C$120)</f>
        <v>#REF!</v>
      </c>
      <c r="AJ120" s="11" t="e">
        <f ca="1">IF(History!AN$2="","",#REF!*$C$120)</f>
        <v>#REF!</v>
      </c>
      <c r="AK120" s="11" t="e">
        <f ca="1">IF(History!AO$2="","",#REF!*$C$120)</f>
        <v>#REF!</v>
      </c>
      <c r="AL120" s="11" t="e">
        <f ca="1">IF(History!AP$2="","",#REF!*$C$120)</f>
        <v>#REF!</v>
      </c>
      <c r="AM120" s="11" t="e">
        <f ca="1">IF(History!AQ$2="","",#REF!*$C$120)</f>
        <v>#REF!</v>
      </c>
      <c r="AN120" s="11" t="e">
        <f ca="1">IF(History!AR$2="","",#REF!*$C$120)</f>
        <v>#REF!</v>
      </c>
      <c r="AO120" s="11" t="e">
        <f ca="1">IF(History!AS$2="","",#REF!*$C$120)</f>
        <v>#REF!</v>
      </c>
      <c r="AP120" s="11" t="e">
        <f ca="1">IF(History!AT$2="","",#REF!*$C$120)</f>
        <v>#REF!</v>
      </c>
      <c r="AQ120" s="11" t="e">
        <f ca="1">IF(History!AU$2="","",#REF!*$C$120)</f>
        <v>#REF!</v>
      </c>
      <c r="AR120" s="11" t="e">
        <f ca="1">IF(History!AV$2="","",#REF!*$C$120)</f>
        <v>#REF!</v>
      </c>
      <c r="AS120" s="11" t="e">
        <f ca="1">IF(History!AW$2="","",#REF!*$C$120)</f>
        <v>#REF!</v>
      </c>
      <c r="AT120" s="11" t="e">
        <f ca="1">IF(History!AX$2="","",#REF!*$C$120)</f>
        <v>#REF!</v>
      </c>
      <c r="AU120" s="11" t="e">
        <f ca="1">IF(History!AY$2="","",#REF!*$C$120)</f>
        <v>#REF!</v>
      </c>
      <c r="AV120" s="11" t="e">
        <f ca="1">IF(History!AZ$2="","",#REF!*$C$120)</f>
        <v>#REF!</v>
      </c>
      <c r="AW120" s="11" t="e">
        <f ca="1">IF(History!BA$2="","",#REF!*$C$120)</f>
        <v>#REF!</v>
      </c>
      <c r="AX120" s="11" t="e">
        <f ca="1">IF(History!BB$2="","",#REF!*$C$120)</f>
        <v>#REF!</v>
      </c>
      <c r="AY120" s="11" t="e">
        <f ca="1">IF(History!BC$2="","",#REF!*$C$120)</f>
        <v>#REF!</v>
      </c>
      <c r="AZ120" s="11" t="e">
        <f ca="1">IF(History!BD$2="","",#REF!*$C$120)</f>
        <v>#REF!</v>
      </c>
      <c r="BA120" s="11" t="e">
        <f ca="1">IF(History!BE$2="","",#REF!*$C$120)</f>
        <v>#REF!</v>
      </c>
      <c r="BB120" s="11" t="e">
        <f ca="1">IF(History!BF$2="","",#REF!*$C$120)</f>
        <v>#REF!</v>
      </c>
      <c r="BC120" s="11" t="e">
        <f ca="1">IF(History!BG$2="","",#REF!*$C$120)</f>
        <v>#REF!</v>
      </c>
      <c r="BD120" s="11" t="e">
        <f ca="1">IF(History!BH$2="","",#REF!*$C$120)</f>
        <v>#REF!</v>
      </c>
      <c r="BE120" s="11" t="e">
        <f ca="1">IF(History!BI$2="","",#REF!*$C$120)</f>
        <v>#REF!</v>
      </c>
      <c r="BF120" s="11" t="e">
        <f ca="1">IF(History!BJ$2="","",#REF!*$C$120)</f>
        <v>#REF!</v>
      </c>
      <c r="BG120" s="11" t="e">
        <f ca="1">IF(History!BK$2="","",#REF!*$C$120)</f>
        <v>#REF!</v>
      </c>
      <c r="BH120" s="11" t="e">
        <f ca="1">IF(History!BL$2="","",#REF!*$C$120)</f>
        <v>#REF!</v>
      </c>
      <c r="BI120" s="11" t="e">
        <f ca="1">IF(History!BM$2="","",#REF!*$C$120)</f>
        <v>#REF!</v>
      </c>
      <c r="BJ120" s="11" t="e">
        <f ca="1">IF(History!BN$2="","",#REF!*$C$120)</f>
        <v>#REF!</v>
      </c>
      <c r="BK120" s="11" t="e">
        <f ca="1">IF(History!BO$2="","",#REF!*$C$120)</f>
        <v>#REF!</v>
      </c>
      <c r="BL120" s="11" t="e">
        <f ca="1">IF(History!BP$2="","",#REF!*$C$120)</f>
        <v>#REF!</v>
      </c>
      <c r="BM120" s="11" t="e">
        <f ca="1">IF(History!BQ$2="","",#REF!*$C$120)</f>
        <v>#REF!</v>
      </c>
      <c r="BN120" s="11" t="e">
        <f ca="1">IF(History!BR$2="","",#REF!*$C$120)</f>
        <v>#REF!</v>
      </c>
      <c r="BO120" s="11" t="e">
        <f ca="1">IF(History!BS$2="","",#REF!*$C$120)</f>
        <v>#REF!</v>
      </c>
      <c r="BP120" s="11" t="e">
        <f ca="1">IF(History!BT$2="","",#REF!*$C$120)</f>
        <v>#REF!</v>
      </c>
      <c r="BQ120" s="11" t="e">
        <f ca="1">IF(History!BU$2="","",#REF!*$C$120)</f>
        <v>#REF!</v>
      </c>
      <c r="BR120" s="11" t="e">
        <f ca="1">IF(History!BV$2="","",#REF!*$C$120)</f>
        <v>#REF!</v>
      </c>
      <c r="BS120" s="11" t="e">
        <f ca="1">IF(History!BW$2="","",#REF!*$C$120)</f>
        <v>#REF!</v>
      </c>
      <c r="BT120" s="11" t="e">
        <f ca="1">IF(History!BX$2="","",#REF!*$C$120)</f>
        <v>#REF!</v>
      </c>
      <c r="BU120" s="11" t="e">
        <f ca="1">IF(History!BY$2="","",#REF!*$C$120)</f>
        <v>#REF!</v>
      </c>
      <c r="BV120" s="11" t="e">
        <f ca="1">IF(History!BZ$2="","",#REF!*$C$120)</f>
        <v>#REF!</v>
      </c>
      <c r="BW120" s="11" t="e">
        <f ca="1">IF(History!CA$2="","",#REF!*$C$120)</f>
        <v>#REF!</v>
      </c>
      <c r="BX120" s="11" t="e">
        <f ca="1">IF(History!CB$2="","",#REF!*$C$120)</f>
        <v>#REF!</v>
      </c>
      <c r="BY120" s="11" t="e">
        <f ca="1">IF(History!CC$2="","",#REF!*$C$120)</f>
        <v>#REF!</v>
      </c>
      <c r="BZ120" s="11" t="e">
        <f ca="1">IF(History!CD$2="","",#REF!*$C$120)</f>
        <v>#REF!</v>
      </c>
      <c r="CA120" s="11" t="e">
        <f ca="1">IF(History!CE$2="","",#REF!*$C$120)</f>
        <v>#REF!</v>
      </c>
      <c r="CB120" s="11" t="e">
        <f ca="1">IF(History!CF$2="","",#REF!*$C$120)</f>
        <v>#REF!</v>
      </c>
      <c r="CC120" s="11" t="e">
        <f ca="1">IF(History!CG$2="","",#REF!*$C$120)</f>
        <v>#REF!</v>
      </c>
      <c r="CD120" s="11" t="e">
        <f ca="1">IF(History!CH$2="","",#REF!*$C$120)</f>
        <v>#REF!</v>
      </c>
      <c r="CE120" s="11" t="e">
        <f ca="1">IF(History!CI$2="","",#REF!*$C$120)</f>
        <v>#REF!</v>
      </c>
      <c r="CF120" s="11" t="str">
        <f ca="1">IF(History!CJ$2="","",#REF!*$C$120)</f>
        <v/>
      </c>
      <c r="CG120" s="11" t="str">
        <f ca="1">IF(History!CK$2="","",#REF!*$C$120)</f>
        <v/>
      </c>
      <c r="CH120" s="11" t="str">
        <f ca="1">IF(History!CL$2="","",#REF!*$C$120)</f>
        <v/>
      </c>
      <c r="CI120" s="11" t="str">
        <f ca="1">IF(History!CM$2="","",#REF!*$C$120)</f>
        <v/>
      </c>
      <c r="CJ120" s="11" t="str">
        <f ca="1">IF(History!CN$2="","",#REF!*$C$120)</f>
        <v/>
      </c>
      <c r="CK120" s="11" t="str">
        <f ca="1">IF(History!CO$2="","",#REF!*$C$120)</f>
        <v/>
      </c>
      <c r="CL120" s="11" t="str">
        <f ca="1">IF(History!CP$2="","",#REF!*$C$120)</f>
        <v/>
      </c>
      <c r="CM120" s="11" t="str">
        <f ca="1">IF(History!CQ$2="","",#REF!*$C$120)</f>
        <v/>
      </c>
      <c r="CN120" s="11" t="str">
        <f ca="1">IF(History!CR$2="","",#REF!*$C$120)</f>
        <v/>
      </c>
      <c r="CO120" s="11" t="str">
        <f ca="1">IF(History!CS$2="","",#REF!*$C$120)</f>
        <v/>
      </c>
      <c r="CP120" s="11" t="str">
        <f ca="1">IF(History!CT$2="","",#REF!*$C$120)</f>
        <v/>
      </c>
      <c r="CQ120" s="11" t="str">
        <f ca="1">IF(History!CU$2="","",#REF!*$C$120)</f>
        <v/>
      </c>
      <c r="CR120" s="11" t="str">
        <f ca="1">IF(History!CV$2="","",#REF!*$C$120)</f>
        <v/>
      </c>
      <c r="CS120" s="11" t="str">
        <f ca="1">IF(History!CW$2="","",#REF!*$C$120)</f>
        <v/>
      </c>
      <c r="CT120" s="11" t="str">
        <f ca="1">IF(History!CX$2="","",#REF!*$C$120)</f>
        <v/>
      </c>
      <c r="CU120" s="11" t="str">
        <f ca="1">IF(History!CY$2="","",#REF!*$C$120)</f>
        <v/>
      </c>
      <c r="CV120" s="11" t="str">
        <f ca="1">IF(History!CZ$2="","",#REF!*$C$120)</f>
        <v/>
      </c>
      <c r="CW120" s="11" t="str">
        <f ca="1">IF(History!DA$2="","",#REF!*$C$120)</f>
        <v/>
      </c>
      <c r="CX120" s="11" t="str">
        <f ca="1">IF(History!DB$2="","",#REF!*$C$120)</f>
        <v/>
      </c>
      <c r="CY120" s="11" t="str">
        <f ca="1">IF(History!DC$2="","",#REF!*$C$120)</f>
        <v/>
      </c>
      <c r="CZ120" s="11" t="str">
        <f ca="1">IF(History!DD$2="","",#REF!*$C$120)</f>
        <v/>
      </c>
      <c r="DA120" s="11" t="str">
        <f ca="1">IF(History!DE$2="","",#REF!*$C$120)</f>
        <v/>
      </c>
      <c r="DB120" s="11" t="str">
        <f ca="1">IF(History!DF$2="","",#REF!*$C$120)</f>
        <v/>
      </c>
      <c r="DC120" s="11" t="str">
        <f ca="1">IF(History!DG$2="","",#REF!*$C$120)</f>
        <v/>
      </c>
      <c r="DD120" s="11" t="str">
        <f ca="1">IF(History!DH$2="","",#REF!*$C$120)</f>
        <v/>
      </c>
      <c r="DE120" s="11" t="str">
        <f ca="1">IF(History!DI$2="","",#REF!*$C$120)</f>
        <v/>
      </c>
      <c r="DF120" s="11" t="str">
        <f ca="1">IF(History!DJ$2="","",#REF!*$C$120)</f>
        <v/>
      </c>
      <c r="DG120" s="11" t="str">
        <f ca="1">IF(History!DK$2="","",#REF!*$C$120)</f>
        <v/>
      </c>
      <c r="DH120" s="11" t="str">
        <f ca="1">IF(History!DL$2="","",#REF!*$C$120)</f>
        <v/>
      </c>
      <c r="DI120" s="11" t="str">
        <f ca="1">IF(History!DM$2="","",#REF!*$C$120)</f>
        <v/>
      </c>
      <c r="DJ120" s="11" t="str">
        <f ca="1">IF(History!DN$2="","",#REF!*$C$120)</f>
        <v/>
      </c>
      <c r="DK120" s="11" t="str">
        <f ca="1">IF(History!DO$2="","",#REF!*$C$120)</f>
        <v/>
      </c>
      <c r="DL120" s="11" t="str">
        <f ca="1">IF(History!DP$2="","",#REF!*$C$120)</f>
        <v/>
      </c>
      <c r="DM120" s="11" t="str">
        <f ca="1">IF(History!DQ$2="","",#REF!*$C$120)</f>
        <v/>
      </c>
      <c r="DN120" s="11" t="str">
        <f ca="1">IF(History!DR$2="","",#REF!*$C$120)</f>
        <v/>
      </c>
      <c r="DO120" s="11" t="str">
        <f ca="1">IF(History!DS$2="","",#REF!*$C$120)</f>
        <v/>
      </c>
      <c r="DP120" s="11" t="str">
        <f ca="1">IF(History!DT$2="","",#REF!*$C$120)</f>
        <v/>
      </c>
      <c r="DQ120" s="11" t="str">
        <f ca="1">IF(History!DU$2="","",#REF!*$C$120)</f>
        <v/>
      </c>
      <c r="DR120" s="11" t="str">
        <f ca="1">IF(History!DV$2="","",#REF!*$C$120)</f>
        <v/>
      </c>
      <c r="DS120" s="11" t="str">
        <f ca="1">IF(History!DW$2="","",#REF!*$C$120)</f>
        <v/>
      </c>
      <c r="DT120" s="11" t="str">
        <f ca="1">IF(History!DX$2="","",#REF!*$C$120)</f>
        <v/>
      </c>
      <c r="DU120" s="11" t="str">
        <f ca="1">IF(History!DY$2="","",#REF!*$C$120)</f>
        <v/>
      </c>
      <c r="DV120" s="11" t="str">
        <f ca="1">IF(History!DZ$2="","",#REF!*$C$120)</f>
        <v/>
      </c>
      <c r="DW120" s="11" t="str">
        <f ca="1">IF(History!EA$2="","",#REF!*$C$120)</f>
        <v/>
      </c>
      <c r="DX120" s="11" t="str">
        <f ca="1">IF(History!EB$2="","",#REF!*$C$120)</f>
        <v/>
      </c>
      <c r="DY120" s="11" t="str">
        <f ca="1">IF(History!EC$2="","",#REF!*$C$120)</f>
        <v/>
      </c>
      <c r="DZ120" s="11" t="str">
        <f ca="1">IF(History!ED$2="","",#REF!*$C$120)</f>
        <v/>
      </c>
      <c r="EA120" s="11" t="str">
        <f ca="1">IF(History!EE$2="","",#REF!*$C$120)</f>
        <v/>
      </c>
      <c r="EB120" s="11" t="str">
        <f ca="1">IF(History!EF$2="","",#REF!*$C$120)</f>
        <v/>
      </c>
      <c r="EC120" s="11" t="str">
        <f ca="1">IF(History!EG$2="","",#REF!*$C$120)</f>
        <v/>
      </c>
      <c r="ED120" s="11" t="str">
        <f ca="1">IF(History!EH$2="","",#REF!*$C$120)</f>
        <v/>
      </c>
      <c r="EE120" s="11" t="str">
        <f ca="1">IF(History!EI$2="","",#REF!*$C$120)</f>
        <v/>
      </c>
      <c r="EF120" s="11" t="str">
        <f ca="1">IF(History!EJ$2="","",#REF!*$C$120)</f>
        <v/>
      </c>
      <c r="EG120" s="11" t="str">
        <f ca="1">IF(History!EK$2="","",#REF!*$C$120)</f>
        <v/>
      </c>
      <c r="EH120" s="11" t="str">
        <f ca="1">IF(History!EL$2="","",#REF!*$C$120)</f>
        <v/>
      </c>
      <c r="EI120" s="11" t="str">
        <f ca="1">IF(History!EM$2="","",#REF!*$C$120)</f>
        <v/>
      </c>
      <c r="EJ120" s="11" t="str">
        <f ca="1">IF(History!EN$2="","",#REF!*$C$120)</f>
        <v/>
      </c>
      <c r="EK120" s="11" t="str">
        <f ca="1">IF(History!EO$2="","",#REF!*$C$120)</f>
        <v/>
      </c>
      <c r="EL120" s="11" t="str">
        <f ca="1">IF(History!EP$2="","",#REF!*$C$120)</f>
        <v/>
      </c>
      <c r="EM120" s="11" t="str">
        <f ca="1">IF(History!EQ$2="","",#REF!*$C$120)</f>
        <v/>
      </c>
      <c r="EN120" s="11" t="str">
        <f ca="1">IF(History!ER$2="","",#REF!*$C$120)</f>
        <v/>
      </c>
      <c r="EO120" s="11" t="str">
        <f ca="1">IF(History!ES$2="","",#REF!*$C$120)</f>
        <v/>
      </c>
      <c r="EP120" s="11" t="str">
        <f ca="1">IF(History!ET$2="","",#REF!*$C$120)</f>
        <v/>
      </c>
      <c r="EQ120" s="11" t="str">
        <f ca="1">IF(History!EU$2="","",#REF!*$C$120)</f>
        <v/>
      </c>
      <c r="ER120" s="11" t="str">
        <f ca="1">IF(History!EV$2="","",#REF!*$C$120)</f>
        <v/>
      </c>
      <c r="ES120" s="11" t="str">
        <f ca="1">IF(History!EW$2="","",#REF!*$C$120)</f>
        <v/>
      </c>
      <c r="ET120" s="11" t="str">
        <f ca="1">IF(History!EX$2="","",#REF!*$C$120)</f>
        <v/>
      </c>
      <c r="EU120" s="11" t="str">
        <f ca="1">IF(History!EY$2="","",#REF!*$C$120)</f>
        <v/>
      </c>
      <c r="EV120" s="11" t="str">
        <f ca="1">IF(History!EZ$2="","",#REF!*$C$120)</f>
        <v/>
      </c>
      <c r="EW120" s="11" t="str">
        <f ca="1">IF(History!FA$2="","",#REF!*$C$120)</f>
        <v/>
      </c>
      <c r="EX120" s="11" t="str">
        <f ca="1">IF(History!FB$2="","",#REF!*$C$120)</f>
        <v/>
      </c>
      <c r="EY120" s="11" t="str">
        <f ca="1">IF(History!FC$2="","",#REF!*$C$120)</f>
        <v/>
      </c>
      <c r="EZ120" s="11" t="str">
        <f ca="1">IF(History!FD$2="","",#REF!*$C$120)</f>
        <v/>
      </c>
      <c r="FA120" s="11" t="str">
        <f ca="1">IF(History!FE$2="","",#REF!*$C$120)</f>
        <v/>
      </c>
      <c r="FB120" s="11" t="str">
        <f ca="1">IF(History!FF$2="","",#REF!*$C$120)</f>
        <v/>
      </c>
      <c r="FC120" s="11" t="str">
        <f ca="1">IF(History!FG$2="","",#REF!*$C$120)</f>
        <v/>
      </c>
      <c r="FD120" s="11" t="str">
        <f ca="1">IF(History!FH$2="","",#REF!*$C$120)</f>
        <v/>
      </c>
      <c r="FE120" s="11" t="str">
        <f ca="1">IF(History!FI$2="","",#REF!*$C$120)</f>
        <v/>
      </c>
      <c r="FF120" s="11" t="str">
        <f ca="1">IF(History!FJ$2="","",#REF!*$C$120)</f>
        <v/>
      </c>
      <c r="FG120" s="11" t="str">
        <f ca="1">IF(History!FK$2="","",#REF!*$C$120)</f>
        <v/>
      </c>
      <c r="FH120" s="11" t="str">
        <f ca="1">IF(History!FL$2="","",#REF!*$C$120)</f>
        <v/>
      </c>
      <c r="FI120" s="11" t="str">
        <f ca="1">IF(History!FM$2="","",#REF!*$C$120)</f>
        <v/>
      </c>
      <c r="FJ120" s="11" t="str">
        <f ca="1">IF(History!FN$2="","",#REF!*$C$120)</f>
        <v/>
      </c>
      <c r="FK120" s="11" t="str">
        <f ca="1">IF(History!FO$2="","",#REF!*$C$120)</f>
        <v/>
      </c>
      <c r="FL120" s="11" t="str">
        <f ca="1">IF(History!FP$2="","",#REF!*$C$120)</f>
        <v/>
      </c>
      <c r="FM120" s="11" t="str">
        <f ca="1">IF(History!FQ$2="","",#REF!*$C$120)</f>
        <v/>
      </c>
      <c r="FN120" s="11" t="str">
        <f ca="1">IF(History!FR$2="","",#REF!*$C$120)</f>
        <v/>
      </c>
      <c r="FO120" s="11" t="str">
        <f ca="1">IF(History!FS$2="","",#REF!*$C$120)</f>
        <v/>
      </c>
      <c r="FP120" s="11" t="str">
        <f ca="1">IF(History!FT$2="","",#REF!*$C$120)</f>
        <v/>
      </c>
      <c r="FQ120" s="11" t="str">
        <f ca="1">IF(History!FU$2="","",#REF!*$C$120)</f>
        <v/>
      </c>
      <c r="FR120" s="11" t="str">
        <f ca="1">IF(History!FV$2="","",#REF!*$C$120)</f>
        <v/>
      </c>
      <c r="FS120" s="11" t="str">
        <f ca="1">IF(History!FW$2="","",#REF!*$C$120)</f>
        <v/>
      </c>
      <c r="FT120" s="11" t="str">
        <f ca="1">IF(History!FX$2="","",#REF!*$C$120)</f>
        <v/>
      </c>
      <c r="FU120" s="11" t="str">
        <f ca="1">IF(History!FY$2="","",#REF!*$C$120)</f>
        <v/>
      </c>
      <c r="FV120" s="11" t="str">
        <f ca="1">IF(History!FZ$2="","",#REF!*$C$120)</f>
        <v/>
      </c>
      <c r="FW120" s="11" t="str">
        <f ca="1">IF(History!GA$2="","",#REF!*$C$120)</f>
        <v/>
      </c>
      <c r="FX120" s="11" t="str">
        <f ca="1">IF(History!GB$2="","",#REF!*$C$120)</f>
        <v/>
      </c>
      <c r="FY120" s="11" t="str">
        <f ca="1">IF(History!GC$2="","",#REF!*$C$120)</f>
        <v/>
      </c>
      <c r="FZ120" s="11" t="str">
        <f ca="1">IF(History!GD$2="","",#REF!*$C$120)</f>
        <v/>
      </c>
      <c r="GA120" s="11" t="str">
        <f ca="1">IF(History!GE$2="","",#REF!*$C$120)</f>
        <v/>
      </c>
      <c r="GB120" s="11" t="str">
        <f ca="1">IF(History!GF$2="","",#REF!*$C$120)</f>
        <v/>
      </c>
      <c r="GC120" s="11" t="str">
        <f ca="1">IF(History!GG$2="","",#REF!*$C$120)</f>
        <v/>
      </c>
      <c r="GD120" s="11" t="str">
        <f ca="1">IF(History!GH$2="","",#REF!*$C$120)</f>
        <v/>
      </c>
      <c r="GE120" s="11" t="str">
        <f ca="1">IF(History!GI$2="","",#REF!*$C$120)</f>
        <v/>
      </c>
      <c r="GF120" s="11" t="str">
        <f ca="1">IF(History!GJ$2="","",#REF!*$C$120)</f>
        <v/>
      </c>
      <c r="GG120" s="11" t="str">
        <f ca="1">IF(History!GK$2="","",#REF!*$C$120)</f>
        <v/>
      </c>
      <c r="GH120" s="11" t="str">
        <f ca="1">IF(History!GL$2="","",#REF!*$C$120)</f>
        <v/>
      </c>
      <c r="GI120" s="11" t="str">
        <f ca="1">IF(History!GM$2="","",#REF!*$C$120)</f>
        <v/>
      </c>
      <c r="GJ120" s="11" t="str">
        <f ca="1">IF(History!GN$2="","",#REF!*$C$120)</f>
        <v/>
      </c>
      <c r="GK120" s="11" t="str">
        <f ca="1">IF(History!GO$2="","",#REF!*$C$120)</f>
        <v/>
      </c>
      <c r="GL120" s="11" t="str">
        <f ca="1">IF(History!GP$2="","",#REF!*$C$120)</f>
        <v/>
      </c>
      <c r="GM120" s="11" t="str">
        <f ca="1">IF(History!GQ$2="","",#REF!*$C$120)</f>
        <v/>
      </c>
      <c r="GN120" s="11" t="str">
        <f ca="1">IF(History!GR$2="","",#REF!*$C$120)</f>
        <v/>
      </c>
      <c r="GO120" s="11" t="str">
        <f ca="1">IF(History!GS$2="","",#REF!*$C$120)</f>
        <v/>
      </c>
      <c r="GP120" s="11" t="str">
        <f ca="1">IF(History!GT$2="","",#REF!*$C$120)</f>
        <v/>
      </c>
      <c r="GQ120" s="11" t="str">
        <f ca="1">IF(History!GU$2="","",#REF!*$C$120)</f>
        <v/>
      </c>
      <c r="GR120" s="11" t="str">
        <f ca="1">IF(History!GV$2="","",#REF!*$C$120)</f>
        <v/>
      </c>
      <c r="GS120" s="11" t="str">
        <f ca="1">IF(History!GW$2="","",#REF!*$C$120)</f>
        <v/>
      </c>
      <c r="GT120" s="11" t="str">
        <f ca="1">IF(History!GX$2="","",#REF!*$C$120)</f>
        <v/>
      </c>
      <c r="GU120" s="11" t="str">
        <f ca="1">IF(History!GY$2="","",#REF!*$C$120)</f>
        <v/>
      </c>
      <c r="GV120" s="11" t="str">
        <f ca="1">IF(History!GZ$2="","",#REF!*$C$120)</f>
        <v/>
      </c>
      <c r="GW120" s="11" t="str">
        <f ca="1">IF(History!HA$2="","",#REF!*$C$120)</f>
        <v/>
      </c>
      <c r="GX120" s="11" t="str">
        <f ca="1">IF(History!HB$2="","",#REF!*$C$120)</f>
        <v/>
      </c>
      <c r="GY120" s="11" t="str">
        <f ca="1">IF(History!HC$2="","",#REF!*$C$120)</f>
        <v/>
      </c>
      <c r="GZ120" s="11" t="str">
        <f ca="1">IF(History!HD$2="","",#REF!*$C$120)</f>
        <v/>
      </c>
      <c r="HA120" s="11" t="str">
        <f ca="1">IF(History!HE$2="","",#REF!*$C$120)</f>
        <v/>
      </c>
      <c r="HB120" s="11" t="str">
        <f ca="1">IF(History!HF$2="","",#REF!*$C$120)</f>
        <v/>
      </c>
      <c r="HC120" s="11" t="str">
        <f ca="1">IF(History!HG$2="","",#REF!*$C$120)</f>
        <v/>
      </c>
      <c r="HD120" s="11" t="str">
        <f ca="1">IF(History!HH$2="","",#REF!*$C$120)</f>
        <v/>
      </c>
      <c r="HE120" s="11" t="str">
        <f ca="1">IF(History!HI$2="","",#REF!*$C$120)</f>
        <v/>
      </c>
      <c r="HF120" s="11" t="str">
        <f ca="1">IF(History!HJ$2="","",#REF!*$C$120)</f>
        <v/>
      </c>
      <c r="HG120" s="11" t="str">
        <f ca="1">IF(History!HK$2="","",#REF!*$C$120)</f>
        <v/>
      </c>
      <c r="HH120" s="11" t="str">
        <f ca="1">IF(History!HL$2="","",#REF!*$C$120)</f>
        <v/>
      </c>
      <c r="HI120" s="11" t="str">
        <f ca="1">IF(History!HM$2="","",#REF!*$C$120)</f>
        <v/>
      </c>
      <c r="HJ120" s="11" t="str">
        <f ca="1">IF(History!HN$2="","",#REF!*$C$120)</f>
        <v/>
      </c>
      <c r="HK120" s="11" t="str">
        <f ca="1">IF(History!HO$2="","",#REF!*$C$120)</f>
        <v/>
      </c>
      <c r="HL120" s="11" t="str">
        <f ca="1">IF(History!HP$2="","",#REF!*$C$120)</f>
        <v/>
      </c>
      <c r="HM120" s="11" t="str">
        <f ca="1">IF(History!HQ$2="","",#REF!*$C$120)</f>
        <v/>
      </c>
      <c r="HN120" s="11" t="str">
        <f ca="1">IF(History!HR$2="","",#REF!*$C$120)</f>
        <v/>
      </c>
      <c r="HO120" s="11" t="str">
        <f ca="1">IF(History!HS$2="","",#REF!*$C$120)</f>
        <v/>
      </c>
      <c r="HP120" s="11" t="str">
        <f ca="1">IF(History!HT$2="","",#REF!*$C$120)</f>
        <v/>
      </c>
      <c r="HQ120" s="11" t="str">
        <f ca="1">IF(History!HU$2="","",#REF!*$C$120)</f>
        <v/>
      </c>
      <c r="HR120" s="11" t="str">
        <f ca="1">IF(History!HV$2="","",#REF!*$C$120)</f>
        <v/>
      </c>
      <c r="HS120" s="11" t="str">
        <f ca="1">IF(History!HW$2="","",#REF!*$C$120)</f>
        <v/>
      </c>
      <c r="HT120" s="11" t="str">
        <f ca="1">IF(History!HX$2="","",#REF!*$C$120)</f>
        <v/>
      </c>
      <c r="HU120" s="11" t="str">
        <f ca="1">IF(History!HY$2="","",#REF!*$C$120)</f>
        <v/>
      </c>
      <c r="HV120" s="11" t="str">
        <f ca="1">IF(History!HZ$2="","",#REF!*$C$120)</f>
        <v/>
      </c>
      <c r="HW120" s="11" t="str">
        <f ca="1">IF(History!IA$2="","",#REF!*$C$120)</f>
        <v/>
      </c>
      <c r="HX120" s="11" t="str">
        <f ca="1">IF(History!IB$2="","",#REF!*$C$120)</f>
        <v/>
      </c>
      <c r="HY120" s="11" t="str">
        <f ca="1">IF(History!IC$2="","",#REF!*$C$120)</f>
        <v/>
      </c>
      <c r="HZ120" s="11" t="str">
        <f ca="1">IF(History!ID$2="","",#REF!*$C$120)</f>
        <v/>
      </c>
      <c r="IA120" s="11" t="str">
        <f ca="1">IF(History!IE$2="","",#REF!*$C$120)</f>
        <v/>
      </c>
      <c r="IB120" s="11" t="str">
        <f ca="1">IF(History!IF$2="","",#REF!*$C$120)</f>
        <v/>
      </c>
      <c r="IC120" s="11" t="str">
        <f ca="1">IF(History!IG$2="","",#REF!*$C$120)</f>
        <v/>
      </c>
      <c r="ID120" s="11" t="str">
        <f ca="1">IF(History!IH$2="","",#REF!*$C$120)</f>
        <v/>
      </c>
      <c r="IE120" s="11" t="str">
        <f ca="1">IF(History!II$2="","",#REF!*$C$120)</f>
        <v/>
      </c>
      <c r="IF120" s="11" t="str">
        <f ca="1">IF(History!IJ$2="","",#REF!*$C$120)</f>
        <v/>
      </c>
      <c r="IG120" s="11" t="str">
        <f ca="1">IF(History!IK$2="","",#REF!*$C$120)</f>
        <v/>
      </c>
      <c r="IH120" s="11" t="str">
        <f ca="1">IF(History!IL$2="","",#REF!*$C$120)</f>
        <v/>
      </c>
      <c r="II120" s="11" t="str">
        <f ca="1">IF(History!IM$2="","",#REF!*$C$120)</f>
        <v/>
      </c>
      <c r="IJ120" s="11" t="str">
        <f ca="1">IF(History!IN$2="","",#REF!*$C$120)</f>
        <v/>
      </c>
      <c r="IK120" s="11" t="str">
        <f ca="1">IF(History!IO$2="","",#REF!*$C$120)</f>
        <v/>
      </c>
      <c r="IL120" s="11" t="str">
        <f ca="1">IF(History!IP$2="","",#REF!*$C$120)</f>
        <v/>
      </c>
      <c r="IM120" s="11" t="str">
        <f ca="1">IF(History!IQ$2="","",#REF!*$C$120)</f>
        <v/>
      </c>
      <c r="IN120" s="11" t="str">
        <f ca="1">IF(History!IR$2="","",#REF!*$C$120)</f>
        <v/>
      </c>
      <c r="IO120" s="11" t="str">
        <f ca="1">IF(History!IS$2="","",#REF!*$C$120)</f>
        <v/>
      </c>
      <c r="IP120" s="11" t="str">
        <f ca="1">IF(History!IT$2="","",#REF!*$C$120)</f>
        <v/>
      </c>
      <c r="IQ120" s="11" t="str">
        <f ca="1">IF(History!IU$2="","",#REF!*$C$120)</f>
        <v/>
      </c>
      <c r="IR120" s="11" t="str">
        <f ca="1">IF(History!IV$2="","",#REF!*$C$120)</f>
        <v/>
      </c>
      <c r="IS120" s="11" t="str">
        <f ca="1">IF(History!IW$2="","",#REF!*$C$120)</f>
        <v/>
      </c>
      <c r="IT120" s="11" t="str">
        <f ca="1">IF(History!IX$2="","",#REF!*$C$120)</f>
        <v/>
      </c>
      <c r="IU120" s="11" t="str">
        <f ca="1">IF(History!IY$2="","",#REF!*$C$120)</f>
        <v/>
      </c>
      <c r="IV120" s="11" t="str">
        <f ca="1">IF(History!IZ$2="","",#REF!*$C$120)</f>
        <v/>
      </c>
      <c r="IW120" s="11" t="str">
        <f ca="1">IF(History!JA$2="","",#REF!*$C$120)</f>
        <v/>
      </c>
      <c r="IX120" s="11" t="str">
        <f ca="1">IF(History!JB$2="","",#REF!*$C$120)</f>
        <v/>
      </c>
      <c r="IY120" s="11" t="str">
        <f ca="1">IF(History!JC$2="","",#REF!*$C$120)</f>
        <v/>
      </c>
      <c r="IZ120" s="11" t="str">
        <f ca="1">IF(History!JD$2="","",#REF!*$C$120)</f>
        <v/>
      </c>
      <c r="JA120" s="11" t="str">
        <f ca="1">IF(History!JE$2="","",#REF!*$C$120)</f>
        <v/>
      </c>
      <c r="JB120" s="11" t="str">
        <f ca="1">IF(History!JF$2="","",#REF!*$C$120)</f>
        <v/>
      </c>
      <c r="JC120" s="11" t="str">
        <f ca="1">IF(History!JG$2="","",#REF!*$C$120)</f>
        <v/>
      </c>
      <c r="JD120" s="11" t="str">
        <f ca="1">IF(History!JH$2="","",#REF!*$C$120)</f>
        <v/>
      </c>
      <c r="JE120" s="11" t="str">
        <f ca="1">IF(History!JI$2="","",#REF!*$C$120)</f>
        <v/>
      </c>
      <c r="JF120" s="11" t="str">
        <f ca="1">IF(History!JJ$2="","",#REF!*$C$120)</f>
        <v/>
      </c>
      <c r="JG120" s="11" t="str">
        <f ca="1">IF(History!JK$2="","",#REF!*$C$120)</f>
        <v/>
      </c>
      <c r="JH120" s="11" t="str">
        <f ca="1">IF(History!JL$2="","",#REF!*$C$120)</f>
        <v/>
      </c>
      <c r="JI120" s="11" t="str">
        <f ca="1">IF(History!JM$2="","",#REF!*$C$120)</f>
        <v/>
      </c>
      <c r="JJ120" s="11" t="str">
        <f ca="1">IF(History!JN$2="","",#REF!*$C$120)</f>
        <v/>
      </c>
      <c r="JK120" s="11" t="str">
        <f ca="1">IF(History!JO$2="","",#REF!*$C$120)</f>
        <v/>
      </c>
      <c r="JL120" s="11" t="str">
        <f ca="1">IF(History!JP$2="","",#REF!*$C$120)</f>
        <v/>
      </c>
      <c r="JM120" s="11" t="str">
        <f ca="1">IF(History!JQ$2="","",#REF!*$C$120)</f>
        <v/>
      </c>
      <c r="JN120" s="11" t="str">
        <f ca="1">IF(History!JR$2="","",#REF!*$C$120)</f>
        <v/>
      </c>
      <c r="JO120" s="11" t="str">
        <f ca="1">IF(History!JS$2="","",#REF!*$C$120)</f>
        <v/>
      </c>
      <c r="JP120" s="11" t="str">
        <f ca="1">IF(History!JT$2="","",#REF!*$C$120)</f>
        <v/>
      </c>
      <c r="JQ120" s="11" t="str">
        <f ca="1">IF(History!JU$2="","",#REF!*$C$120)</f>
        <v/>
      </c>
      <c r="JR120" s="11" t="str">
        <f ca="1">IF(History!JV$2="","",#REF!*$C$120)</f>
        <v/>
      </c>
      <c r="JS120" s="11" t="str">
        <f ca="1">IF(History!JW$2="","",#REF!*$C$120)</f>
        <v/>
      </c>
      <c r="JT120" s="11" t="str">
        <f ca="1">IF(History!JX$2="","",#REF!*$C$120)</f>
        <v/>
      </c>
      <c r="JU120" s="11" t="str">
        <f ca="1">IF(History!JY$2="","",#REF!*$C$120)</f>
        <v/>
      </c>
      <c r="JV120" s="11" t="str">
        <f ca="1">IF(History!JZ$2="","",#REF!*$C$120)</f>
        <v/>
      </c>
      <c r="JW120" s="11" t="str">
        <f ca="1">IF(History!KA$2="","",#REF!*$C$120)</f>
        <v/>
      </c>
      <c r="JX120" s="11" t="str">
        <f ca="1">IF(History!KB$2="","",#REF!*$C$120)</f>
        <v/>
      </c>
      <c r="JY120" s="11" t="str">
        <f ca="1">IF(History!KC$2="","",#REF!*$C$120)</f>
        <v/>
      </c>
      <c r="JZ120" s="11" t="str">
        <f ca="1">IF(History!KD$2="","",#REF!*$C$120)</f>
        <v/>
      </c>
      <c r="KA120" s="11" t="str">
        <f ca="1">IF(History!KE$2="","",#REF!*$C$120)</f>
        <v/>
      </c>
      <c r="KB120" s="11" t="str">
        <f ca="1">IF(History!KF$2="","",#REF!*$C$120)</f>
        <v/>
      </c>
    </row>
    <row r="121" spans="1:288" ht="13">
      <c r="A121" s="2" t="s">
        <v>40</v>
      </c>
      <c r="B121" s="32" t="s">
        <v>110</v>
      </c>
      <c r="C121" s="33">
        <v>142</v>
      </c>
      <c r="D121" s="11" t="e">
        <f ca="1">IF(History!H$2="","",#REF!*$C$121)</f>
        <v>#REF!</v>
      </c>
      <c r="E121" s="11" t="e">
        <f ca="1">IF(History!I$2="","",#REF!*$C$121)</f>
        <v>#REF!</v>
      </c>
      <c r="F121" s="11" t="e">
        <f ca="1">IF(History!J$2="","",#REF!*$C$121)</f>
        <v>#REF!</v>
      </c>
      <c r="G121" s="11" t="e">
        <f ca="1">IF(History!K$2="","",#REF!*$C$121)</f>
        <v>#REF!</v>
      </c>
      <c r="H121" s="11" t="e">
        <f ca="1">IF(History!L$2="","",#REF!*$C$121)</f>
        <v>#REF!</v>
      </c>
      <c r="I121" s="11" t="e">
        <f ca="1">IF(History!M$2="","",#REF!*$C$121)</f>
        <v>#REF!</v>
      </c>
      <c r="J121" s="11" t="e">
        <f ca="1">IF(History!N$2="","",#REF!*$C$121)</f>
        <v>#REF!</v>
      </c>
      <c r="K121" s="11" t="e">
        <f ca="1">IF(History!O$2="","",#REF!*$C$121)</f>
        <v>#REF!</v>
      </c>
      <c r="L121" s="11" t="e">
        <f ca="1">IF(History!P$2="","",#REF!*$C$121)</f>
        <v>#REF!</v>
      </c>
      <c r="M121" s="11" t="e">
        <f ca="1">IF(History!Q$2="","",#REF!*$C$121)</f>
        <v>#REF!</v>
      </c>
      <c r="N121" s="11" t="e">
        <f ca="1">IF(History!R$2="","",#REF!*$C$121)</f>
        <v>#REF!</v>
      </c>
      <c r="O121" s="11" t="e">
        <f ca="1">IF(History!S$2="","",#REF!*$C$121)</f>
        <v>#REF!</v>
      </c>
      <c r="P121" s="11" t="e">
        <f ca="1">IF(History!T$2="","",#REF!*$C$121)</f>
        <v>#REF!</v>
      </c>
      <c r="Q121" s="11" t="e">
        <f ca="1">IF(History!U$2="","",#REF!*$C$121)</f>
        <v>#REF!</v>
      </c>
      <c r="R121" s="11" t="e">
        <f ca="1">IF(History!V$2="","",#REF!*$C$121)</f>
        <v>#REF!</v>
      </c>
      <c r="S121" s="11" t="e">
        <f ca="1">IF(History!W$2="","",#REF!*$C$121)</f>
        <v>#REF!</v>
      </c>
      <c r="T121" s="11" t="e">
        <f ca="1">IF(History!X$2="","",#REF!*$C$121)</f>
        <v>#REF!</v>
      </c>
      <c r="U121" s="11" t="e">
        <f ca="1">IF(History!Y$2="","",#REF!*$C$121)</f>
        <v>#REF!</v>
      </c>
      <c r="V121" s="11" t="e">
        <f ca="1">IF(History!Z$2="","",#REF!*$C$121)</f>
        <v>#REF!</v>
      </c>
      <c r="W121" s="11" t="e">
        <f ca="1">IF(History!AA$2="","",#REF!*$C$121)</f>
        <v>#REF!</v>
      </c>
      <c r="X121" s="11" t="e">
        <f ca="1">IF(History!AB$2="","",#REF!*$C$121)</f>
        <v>#REF!</v>
      </c>
      <c r="Y121" s="11" t="e">
        <f ca="1">IF(History!AC$2="","",#REF!*$C$121)</f>
        <v>#REF!</v>
      </c>
      <c r="Z121" s="11" t="e">
        <f ca="1">IF(History!AD$2="","",#REF!*$C$121)</f>
        <v>#REF!</v>
      </c>
      <c r="AA121" s="11" t="e">
        <f ca="1">IF(History!AE$2="","",#REF!*$C$121)</f>
        <v>#REF!</v>
      </c>
      <c r="AB121" s="11" t="e">
        <f ca="1">IF(History!AF$2="","",#REF!*$C$121)</f>
        <v>#REF!</v>
      </c>
      <c r="AC121" s="11" t="e">
        <f ca="1">IF(History!AG$2="","",#REF!*$C$121)</f>
        <v>#REF!</v>
      </c>
      <c r="AD121" s="11" t="e">
        <f ca="1">IF(History!AH$2="","",#REF!*$C$121)</f>
        <v>#REF!</v>
      </c>
      <c r="AE121" s="11" t="e">
        <f ca="1">IF(History!AI$2="","",#REF!*$C$121)</f>
        <v>#REF!</v>
      </c>
      <c r="AF121" s="11" t="e">
        <f ca="1">IF(History!AJ$2="","",#REF!*$C$121)</f>
        <v>#REF!</v>
      </c>
      <c r="AG121" s="11" t="e">
        <f ca="1">IF(History!AK$2="","",#REF!*$C$121)</f>
        <v>#REF!</v>
      </c>
      <c r="AH121" s="11" t="e">
        <f ca="1">IF(History!AL$2="","",#REF!*$C$121)</f>
        <v>#REF!</v>
      </c>
      <c r="AI121" s="11" t="e">
        <f ca="1">IF(History!AM$2="","",#REF!*$C$121)</f>
        <v>#REF!</v>
      </c>
      <c r="AJ121" s="11" t="e">
        <f ca="1">IF(History!AN$2="","",#REF!*$C$121)</f>
        <v>#REF!</v>
      </c>
      <c r="AK121" s="11" t="e">
        <f ca="1">IF(History!AO$2="","",#REF!*$C$121)</f>
        <v>#REF!</v>
      </c>
      <c r="AL121" s="11" t="e">
        <f ca="1">IF(History!AP$2="","",#REF!*$C$121)</f>
        <v>#REF!</v>
      </c>
      <c r="AM121" s="11" t="e">
        <f ca="1">IF(History!AQ$2="","",#REF!*$C$121)</f>
        <v>#REF!</v>
      </c>
      <c r="AN121" s="11" t="e">
        <f ca="1">IF(History!AR$2="","",#REF!*$C$121)</f>
        <v>#REF!</v>
      </c>
      <c r="AO121" s="11" t="e">
        <f ca="1">IF(History!AS$2="","",#REF!*$C$121)</f>
        <v>#REF!</v>
      </c>
      <c r="AP121" s="11" t="e">
        <f ca="1">IF(History!AT$2="","",#REF!*$C$121)</f>
        <v>#REF!</v>
      </c>
      <c r="AQ121" s="11" t="e">
        <f ca="1">IF(History!AU$2="","",#REF!*$C$121)</f>
        <v>#REF!</v>
      </c>
      <c r="AR121" s="11" t="e">
        <f ca="1">IF(History!AV$2="","",#REF!*$C$121)</f>
        <v>#REF!</v>
      </c>
      <c r="AS121" s="11" t="e">
        <f ca="1">IF(History!AW$2="","",#REF!*$C$121)</f>
        <v>#REF!</v>
      </c>
      <c r="AT121" s="11" t="e">
        <f ca="1">IF(History!AX$2="","",#REF!*$C$121)</f>
        <v>#REF!</v>
      </c>
      <c r="AU121" s="11" t="e">
        <f ca="1">IF(History!AY$2="","",#REF!*$C$121)</f>
        <v>#REF!</v>
      </c>
      <c r="AV121" s="11" t="e">
        <f ca="1">IF(History!AZ$2="","",#REF!*$C$121)</f>
        <v>#REF!</v>
      </c>
      <c r="AW121" s="11" t="e">
        <f ca="1">IF(History!BA$2="","",#REF!*$C$121)</f>
        <v>#REF!</v>
      </c>
      <c r="AX121" s="11" t="e">
        <f ca="1">IF(History!BB$2="","",#REF!*$C$121)</f>
        <v>#REF!</v>
      </c>
      <c r="AY121" s="11" t="e">
        <f ca="1">IF(History!BC$2="","",#REF!*$C$121)</f>
        <v>#REF!</v>
      </c>
      <c r="AZ121" s="11" t="e">
        <f ca="1">IF(History!BD$2="","",#REF!*$C$121)</f>
        <v>#REF!</v>
      </c>
      <c r="BA121" s="11" t="e">
        <f ca="1">IF(History!BE$2="","",#REF!*$C$121)</f>
        <v>#REF!</v>
      </c>
      <c r="BB121" s="11" t="e">
        <f ca="1">IF(History!BF$2="","",#REF!*$C$121)</f>
        <v>#REF!</v>
      </c>
      <c r="BC121" s="11" t="e">
        <f ca="1">IF(History!BG$2="","",#REF!*$C$121)</f>
        <v>#REF!</v>
      </c>
      <c r="BD121" s="11" t="e">
        <f ca="1">IF(History!BH$2="","",#REF!*$C$121)</f>
        <v>#REF!</v>
      </c>
      <c r="BE121" s="11" t="e">
        <f ca="1">IF(History!BI$2="","",#REF!*$C$121)</f>
        <v>#REF!</v>
      </c>
      <c r="BF121" s="11" t="e">
        <f ca="1">IF(History!BJ$2="","",#REF!*$C$121)</f>
        <v>#REF!</v>
      </c>
      <c r="BG121" s="11" t="e">
        <f ca="1">IF(History!BK$2="","",#REF!*$C$121)</f>
        <v>#REF!</v>
      </c>
      <c r="BH121" s="11" t="e">
        <f ca="1">IF(History!BL$2="","",#REF!*$C$121)</f>
        <v>#REF!</v>
      </c>
      <c r="BI121" s="11" t="e">
        <f ca="1">IF(History!BM$2="","",#REF!*$C$121)</f>
        <v>#REF!</v>
      </c>
      <c r="BJ121" s="11" t="e">
        <f ca="1">IF(History!BN$2="","",#REF!*$C$121)</f>
        <v>#REF!</v>
      </c>
      <c r="BK121" s="11" t="e">
        <f ca="1">IF(History!BO$2="","",#REF!*$C$121)</f>
        <v>#REF!</v>
      </c>
      <c r="BL121" s="11" t="e">
        <f ca="1">IF(History!BP$2="","",#REF!*$C$121)</f>
        <v>#REF!</v>
      </c>
      <c r="BM121" s="11" t="e">
        <f ca="1">IF(History!BQ$2="","",#REF!*$C$121)</f>
        <v>#REF!</v>
      </c>
      <c r="BN121" s="11" t="e">
        <f ca="1">IF(History!BR$2="","",#REF!*$C$121)</f>
        <v>#REF!</v>
      </c>
      <c r="BO121" s="11" t="e">
        <f ca="1">IF(History!BS$2="","",#REF!*$C$121)</f>
        <v>#REF!</v>
      </c>
      <c r="BP121" s="11" t="e">
        <f ca="1">IF(History!BT$2="","",#REF!*$C$121)</f>
        <v>#REF!</v>
      </c>
      <c r="BQ121" s="11" t="e">
        <f ca="1">IF(History!BU$2="","",#REF!*$C$121)</f>
        <v>#REF!</v>
      </c>
      <c r="BR121" s="11" t="e">
        <f ca="1">IF(History!BV$2="","",#REF!*$C$121)</f>
        <v>#REF!</v>
      </c>
      <c r="BS121" s="11" t="e">
        <f ca="1">IF(History!BW$2="","",#REF!*$C$121)</f>
        <v>#REF!</v>
      </c>
      <c r="BT121" s="11" t="e">
        <f ca="1">IF(History!BX$2="","",#REF!*$C$121)</f>
        <v>#REF!</v>
      </c>
      <c r="BU121" s="11" t="e">
        <f ca="1">IF(History!BY$2="","",#REF!*$C$121)</f>
        <v>#REF!</v>
      </c>
      <c r="BV121" s="11" t="e">
        <f ca="1">IF(History!BZ$2="","",#REF!*$C$121)</f>
        <v>#REF!</v>
      </c>
      <c r="BW121" s="11" t="e">
        <f ca="1">IF(History!CA$2="","",#REF!*$C$121)</f>
        <v>#REF!</v>
      </c>
      <c r="BX121" s="11" t="e">
        <f ca="1">IF(History!CB$2="","",#REF!*$C$121)</f>
        <v>#REF!</v>
      </c>
      <c r="BY121" s="11" t="e">
        <f ca="1">IF(History!CC$2="","",#REF!*$C$121)</f>
        <v>#REF!</v>
      </c>
      <c r="BZ121" s="11" t="e">
        <f ca="1">IF(History!CD$2="","",#REF!*$C$121)</f>
        <v>#REF!</v>
      </c>
      <c r="CA121" s="11" t="e">
        <f ca="1">IF(History!CE$2="","",#REF!*$C$121)</f>
        <v>#REF!</v>
      </c>
      <c r="CB121" s="11" t="e">
        <f ca="1">IF(History!CF$2="","",#REF!*$C$121)</f>
        <v>#REF!</v>
      </c>
      <c r="CC121" s="11" t="e">
        <f ca="1">IF(History!CG$2="","",#REF!*$C$121)</f>
        <v>#REF!</v>
      </c>
      <c r="CD121" s="11" t="e">
        <f ca="1">IF(History!CH$2="","",#REF!*$C$121)</f>
        <v>#REF!</v>
      </c>
      <c r="CE121" s="11" t="e">
        <f ca="1">IF(History!CI$2="","",#REF!*$C$121)</f>
        <v>#REF!</v>
      </c>
      <c r="CF121" s="11" t="str">
        <f ca="1">IF(History!CJ$2="","",#REF!*$C$121)</f>
        <v/>
      </c>
      <c r="CG121" s="11" t="str">
        <f ca="1">IF(History!CK$2="","",#REF!*$C$121)</f>
        <v/>
      </c>
      <c r="CH121" s="11" t="str">
        <f ca="1">IF(History!CL$2="","",#REF!*$C$121)</f>
        <v/>
      </c>
      <c r="CI121" s="11" t="str">
        <f ca="1">IF(History!CM$2="","",#REF!*$C$121)</f>
        <v/>
      </c>
      <c r="CJ121" s="11" t="str">
        <f ca="1">IF(History!CN$2="","",#REF!*$C$121)</f>
        <v/>
      </c>
      <c r="CK121" s="11" t="str">
        <f ca="1">IF(History!CO$2="","",#REF!*$C$121)</f>
        <v/>
      </c>
      <c r="CL121" s="11" t="str">
        <f ca="1">IF(History!CP$2="","",#REF!*$C$121)</f>
        <v/>
      </c>
      <c r="CM121" s="11" t="str">
        <f ca="1">IF(History!CQ$2="","",#REF!*$C$121)</f>
        <v/>
      </c>
      <c r="CN121" s="11" t="str">
        <f ca="1">IF(History!CR$2="","",#REF!*$C$121)</f>
        <v/>
      </c>
      <c r="CO121" s="11" t="str">
        <f ca="1">IF(History!CS$2="","",#REF!*$C$121)</f>
        <v/>
      </c>
      <c r="CP121" s="11" t="str">
        <f ca="1">IF(History!CT$2="","",#REF!*$C$121)</f>
        <v/>
      </c>
      <c r="CQ121" s="11" t="str">
        <f ca="1">IF(History!CU$2="","",#REF!*$C$121)</f>
        <v/>
      </c>
      <c r="CR121" s="11" t="str">
        <f ca="1">IF(History!CV$2="","",#REF!*$C$121)</f>
        <v/>
      </c>
      <c r="CS121" s="11" t="str">
        <f ca="1">IF(History!CW$2="","",#REF!*$C$121)</f>
        <v/>
      </c>
      <c r="CT121" s="11" t="str">
        <f ca="1">IF(History!CX$2="","",#REF!*$C$121)</f>
        <v/>
      </c>
      <c r="CU121" s="11" t="str">
        <f ca="1">IF(History!CY$2="","",#REF!*$C$121)</f>
        <v/>
      </c>
      <c r="CV121" s="11" t="str">
        <f ca="1">IF(History!CZ$2="","",#REF!*$C$121)</f>
        <v/>
      </c>
      <c r="CW121" s="11" t="str">
        <f ca="1">IF(History!DA$2="","",#REF!*$C$121)</f>
        <v/>
      </c>
      <c r="CX121" s="11" t="str">
        <f ca="1">IF(History!DB$2="","",#REF!*$C$121)</f>
        <v/>
      </c>
      <c r="CY121" s="11" t="str">
        <f ca="1">IF(History!DC$2="","",#REF!*$C$121)</f>
        <v/>
      </c>
      <c r="CZ121" s="11" t="str">
        <f ca="1">IF(History!DD$2="","",#REF!*$C$121)</f>
        <v/>
      </c>
      <c r="DA121" s="11" t="str">
        <f ca="1">IF(History!DE$2="","",#REF!*$C$121)</f>
        <v/>
      </c>
      <c r="DB121" s="11" t="str">
        <f ca="1">IF(History!DF$2="","",#REF!*$C$121)</f>
        <v/>
      </c>
      <c r="DC121" s="11" t="str">
        <f ca="1">IF(History!DG$2="","",#REF!*$C$121)</f>
        <v/>
      </c>
      <c r="DD121" s="11" t="str">
        <f ca="1">IF(History!DH$2="","",#REF!*$C$121)</f>
        <v/>
      </c>
      <c r="DE121" s="11" t="str">
        <f ca="1">IF(History!DI$2="","",#REF!*$C$121)</f>
        <v/>
      </c>
      <c r="DF121" s="11" t="str">
        <f ca="1">IF(History!DJ$2="","",#REF!*$C$121)</f>
        <v/>
      </c>
      <c r="DG121" s="11" t="str">
        <f ca="1">IF(History!DK$2="","",#REF!*$C$121)</f>
        <v/>
      </c>
      <c r="DH121" s="11" t="str">
        <f ca="1">IF(History!DL$2="","",#REF!*$C$121)</f>
        <v/>
      </c>
      <c r="DI121" s="11" t="str">
        <f ca="1">IF(History!DM$2="","",#REF!*$C$121)</f>
        <v/>
      </c>
      <c r="DJ121" s="11" t="str">
        <f ca="1">IF(History!DN$2="","",#REF!*$C$121)</f>
        <v/>
      </c>
      <c r="DK121" s="11" t="str">
        <f ca="1">IF(History!DO$2="","",#REF!*$C$121)</f>
        <v/>
      </c>
      <c r="DL121" s="11" t="str">
        <f ca="1">IF(History!DP$2="","",#REF!*$C$121)</f>
        <v/>
      </c>
      <c r="DM121" s="11" t="str">
        <f ca="1">IF(History!DQ$2="","",#REF!*$C$121)</f>
        <v/>
      </c>
      <c r="DN121" s="11" t="str">
        <f ca="1">IF(History!DR$2="","",#REF!*$C$121)</f>
        <v/>
      </c>
      <c r="DO121" s="11" t="str">
        <f ca="1">IF(History!DS$2="","",#REF!*$C$121)</f>
        <v/>
      </c>
      <c r="DP121" s="11" t="str">
        <f ca="1">IF(History!DT$2="","",#REF!*$C$121)</f>
        <v/>
      </c>
      <c r="DQ121" s="11" t="str">
        <f ca="1">IF(History!DU$2="","",#REF!*$C$121)</f>
        <v/>
      </c>
      <c r="DR121" s="11" t="str">
        <f ca="1">IF(History!DV$2="","",#REF!*$C$121)</f>
        <v/>
      </c>
      <c r="DS121" s="11" t="str">
        <f ca="1">IF(History!DW$2="","",#REF!*$C$121)</f>
        <v/>
      </c>
      <c r="DT121" s="11" t="str">
        <f ca="1">IF(History!DX$2="","",#REF!*$C$121)</f>
        <v/>
      </c>
      <c r="DU121" s="11" t="str">
        <f ca="1">IF(History!DY$2="","",#REF!*$C$121)</f>
        <v/>
      </c>
      <c r="DV121" s="11" t="str">
        <f ca="1">IF(History!DZ$2="","",#REF!*$C$121)</f>
        <v/>
      </c>
      <c r="DW121" s="11" t="str">
        <f ca="1">IF(History!EA$2="","",#REF!*$C$121)</f>
        <v/>
      </c>
      <c r="DX121" s="11" t="str">
        <f ca="1">IF(History!EB$2="","",#REF!*$C$121)</f>
        <v/>
      </c>
      <c r="DY121" s="11" t="str">
        <f ca="1">IF(History!EC$2="","",#REF!*$C$121)</f>
        <v/>
      </c>
      <c r="DZ121" s="11" t="str">
        <f ca="1">IF(History!ED$2="","",#REF!*$C$121)</f>
        <v/>
      </c>
      <c r="EA121" s="11" t="str">
        <f ca="1">IF(History!EE$2="","",#REF!*$C$121)</f>
        <v/>
      </c>
      <c r="EB121" s="11" t="str">
        <f ca="1">IF(History!EF$2="","",#REF!*$C$121)</f>
        <v/>
      </c>
      <c r="EC121" s="11" t="str">
        <f ca="1">IF(History!EG$2="","",#REF!*$C$121)</f>
        <v/>
      </c>
      <c r="ED121" s="11" t="str">
        <f ca="1">IF(History!EH$2="","",#REF!*$C$121)</f>
        <v/>
      </c>
      <c r="EE121" s="11" t="str">
        <f ca="1">IF(History!EI$2="","",#REF!*$C$121)</f>
        <v/>
      </c>
      <c r="EF121" s="11" t="str">
        <f ca="1">IF(History!EJ$2="","",#REF!*$C$121)</f>
        <v/>
      </c>
      <c r="EG121" s="11" t="str">
        <f ca="1">IF(History!EK$2="","",#REF!*$C$121)</f>
        <v/>
      </c>
      <c r="EH121" s="11" t="str">
        <f ca="1">IF(History!EL$2="","",#REF!*$C$121)</f>
        <v/>
      </c>
      <c r="EI121" s="11" t="str">
        <f ca="1">IF(History!EM$2="","",#REF!*$C$121)</f>
        <v/>
      </c>
      <c r="EJ121" s="11" t="str">
        <f ca="1">IF(History!EN$2="","",#REF!*$C$121)</f>
        <v/>
      </c>
      <c r="EK121" s="11" t="str">
        <f ca="1">IF(History!EO$2="","",#REF!*$C$121)</f>
        <v/>
      </c>
      <c r="EL121" s="11" t="str">
        <f ca="1">IF(History!EP$2="","",#REF!*$C$121)</f>
        <v/>
      </c>
      <c r="EM121" s="11" t="str">
        <f ca="1">IF(History!EQ$2="","",#REF!*$C$121)</f>
        <v/>
      </c>
      <c r="EN121" s="11" t="str">
        <f ca="1">IF(History!ER$2="","",#REF!*$C$121)</f>
        <v/>
      </c>
      <c r="EO121" s="11" t="str">
        <f ca="1">IF(History!ES$2="","",#REF!*$C$121)</f>
        <v/>
      </c>
      <c r="EP121" s="11" t="str">
        <f ca="1">IF(History!ET$2="","",#REF!*$C$121)</f>
        <v/>
      </c>
      <c r="EQ121" s="11" t="str">
        <f ca="1">IF(History!EU$2="","",#REF!*$C$121)</f>
        <v/>
      </c>
      <c r="ER121" s="11" t="str">
        <f ca="1">IF(History!EV$2="","",#REF!*$C$121)</f>
        <v/>
      </c>
      <c r="ES121" s="11" t="str">
        <f ca="1">IF(History!EW$2="","",#REF!*$C$121)</f>
        <v/>
      </c>
      <c r="ET121" s="11" t="str">
        <f ca="1">IF(History!EX$2="","",#REF!*$C$121)</f>
        <v/>
      </c>
      <c r="EU121" s="11" t="str">
        <f ca="1">IF(History!EY$2="","",#REF!*$C$121)</f>
        <v/>
      </c>
      <c r="EV121" s="11" t="str">
        <f ca="1">IF(History!EZ$2="","",#REF!*$C$121)</f>
        <v/>
      </c>
      <c r="EW121" s="11" t="str">
        <f ca="1">IF(History!FA$2="","",#REF!*$C$121)</f>
        <v/>
      </c>
      <c r="EX121" s="11" t="str">
        <f ca="1">IF(History!FB$2="","",#REF!*$C$121)</f>
        <v/>
      </c>
      <c r="EY121" s="11" t="str">
        <f ca="1">IF(History!FC$2="","",#REF!*$C$121)</f>
        <v/>
      </c>
      <c r="EZ121" s="11" t="str">
        <f ca="1">IF(History!FD$2="","",#REF!*$C$121)</f>
        <v/>
      </c>
      <c r="FA121" s="11" t="str">
        <f ca="1">IF(History!FE$2="","",#REF!*$C$121)</f>
        <v/>
      </c>
      <c r="FB121" s="11" t="str">
        <f ca="1">IF(History!FF$2="","",#REF!*$C$121)</f>
        <v/>
      </c>
      <c r="FC121" s="11" t="str">
        <f ca="1">IF(History!FG$2="","",#REF!*$C$121)</f>
        <v/>
      </c>
      <c r="FD121" s="11" t="str">
        <f ca="1">IF(History!FH$2="","",#REF!*$C$121)</f>
        <v/>
      </c>
      <c r="FE121" s="11" t="str">
        <f ca="1">IF(History!FI$2="","",#REF!*$C$121)</f>
        <v/>
      </c>
      <c r="FF121" s="11" t="str">
        <f ca="1">IF(History!FJ$2="","",#REF!*$C$121)</f>
        <v/>
      </c>
      <c r="FG121" s="11" t="str">
        <f ca="1">IF(History!FK$2="","",#REF!*$C$121)</f>
        <v/>
      </c>
      <c r="FH121" s="11" t="str">
        <f ca="1">IF(History!FL$2="","",#REF!*$C$121)</f>
        <v/>
      </c>
      <c r="FI121" s="11" t="str">
        <f ca="1">IF(History!FM$2="","",#REF!*$C$121)</f>
        <v/>
      </c>
      <c r="FJ121" s="11" t="str">
        <f ca="1">IF(History!FN$2="","",#REF!*$C$121)</f>
        <v/>
      </c>
      <c r="FK121" s="11" t="str">
        <f ca="1">IF(History!FO$2="","",#REF!*$C$121)</f>
        <v/>
      </c>
      <c r="FL121" s="11" t="str">
        <f ca="1">IF(History!FP$2="","",#REF!*$C$121)</f>
        <v/>
      </c>
      <c r="FM121" s="11" t="str">
        <f ca="1">IF(History!FQ$2="","",#REF!*$C$121)</f>
        <v/>
      </c>
      <c r="FN121" s="11" t="str">
        <f ca="1">IF(History!FR$2="","",#REF!*$C$121)</f>
        <v/>
      </c>
      <c r="FO121" s="11" t="str">
        <f ca="1">IF(History!FS$2="","",#REF!*$C$121)</f>
        <v/>
      </c>
      <c r="FP121" s="11" t="str">
        <f ca="1">IF(History!FT$2="","",#REF!*$C$121)</f>
        <v/>
      </c>
      <c r="FQ121" s="11" t="str">
        <f ca="1">IF(History!FU$2="","",#REF!*$C$121)</f>
        <v/>
      </c>
      <c r="FR121" s="11" t="str">
        <f ca="1">IF(History!FV$2="","",#REF!*$C$121)</f>
        <v/>
      </c>
      <c r="FS121" s="11" t="str">
        <f ca="1">IF(History!FW$2="","",#REF!*$C$121)</f>
        <v/>
      </c>
      <c r="FT121" s="11" t="str">
        <f ca="1">IF(History!FX$2="","",#REF!*$C$121)</f>
        <v/>
      </c>
      <c r="FU121" s="11" t="str">
        <f ca="1">IF(History!FY$2="","",#REF!*$C$121)</f>
        <v/>
      </c>
      <c r="FV121" s="11" t="str">
        <f ca="1">IF(History!FZ$2="","",#REF!*$C$121)</f>
        <v/>
      </c>
      <c r="FW121" s="11" t="str">
        <f ca="1">IF(History!GA$2="","",#REF!*$C$121)</f>
        <v/>
      </c>
      <c r="FX121" s="11" t="str">
        <f ca="1">IF(History!GB$2="","",#REF!*$C$121)</f>
        <v/>
      </c>
      <c r="FY121" s="11" t="str">
        <f ca="1">IF(History!GC$2="","",#REF!*$C$121)</f>
        <v/>
      </c>
      <c r="FZ121" s="11" t="str">
        <f ca="1">IF(History!GD$2="","",#REF!*$C$121)</f>
        <v/>
      </c>
      <c r="GA121" s="11" t="str">
        <f ca="1">IF(History!GE$2="","",#REF!*$C$121)</f>
        <v/>
      </c>
      <c r="GB121" s="11" t="str">
        <f ca="1">IF(History!GF$2="","",#REF!*$C$121)</f>
        <v/>
      </c>
      <c r="GC121" s="11" t="str">
        <f ca="1">IF(History!GG$2="","",#REF!*$C$121)</f>
        <v/>
      </c>
      <c r="GD121" s="11" t="str">
        <f ca="1">IF(History!GH$2="","",#REF!*$C$121)</f>
        <v/>
      </c>
      <c r="GE121" s="11" t="str">
        <f ca="1">IF(History!GI$2="","",#REF!*$C$121)</f>
        <v/>
      </c>
      <c r="GF121" s="11" t="str">
        <f ca="1">IF(History!GJ$2="","",#REF!*$C$121)</f>
        <v/>
      </c>
      <c r="GG121" s="11" t="str">
        <f ca="1">IF(History!GK$2="","",#REF!*$C$121)</f>
        <v/>
      </c>
      <c r="GH121" s="11" t="str">
        <f ca="1">IF(History!GL$2="","",#REF!*$C$121)</f>
        <v/>
      </c>
      <c r="GI121" s="11" t="str">
        <f ca="1">IF(History!GM$2="","",#REF!*$C$121)</f>
        <v/>
      </c>
      <c r="GJ121" s="11" t="str">
        <f ca="1">IF(History!GN$2="","",#REF!*$C$121)</f>
        <v/>
      </c>
      <c r="GK121" s="11" t="str">
        <f ca="1">IF(History!GO$2="","",#REF!*$C$121)</f>
        <v/>
      </c>
      <c r="GL121" s="11" t="str">
        <f ca="1">IF(History!GP$2="","",#REF!*$C$121)</f>
        <v/>
      </c>
      <c r="GM121" s="11" t="str">
        <f ca="1">IF(History!GQ$2="","",#REF!*$C$121)</f>
        <v/>
      </c>
      <c r="GN121" s="11" t="str">
        <f ca="1">IF(History!GR$2="","",#REF!*$C$121)</f>
        <v/>
      </c>
      <c r="GO121" s="11" t="str">
        <f ca="1">IF(History!GS$2="","",#REF!*$C$121)</f>
        <v/>
      </c>
      <c r="GP121" s="11" t="str">
        <f ca="1">IF(History!GT$2="","",#REF!*$C$121)</f>
        <v/>
      </c>
      <c r="GQ121" s="11" t="str">
        <f ca="1">IF(History!GU$2="","",#REF!*$C$121)</f>
        <v/>
      </c>
      <c r="GR121" s="11" t="str">
        <f ca="1">IF(History!GV$2="","",#REF!*$C$121)</f>
        <v/>
      </c>
      <c r="GS121" s="11" t="str">
        <f ca="1">IF(History!GW$2="","",#REF!*$C$121)</f>
        <v/>
      </c>
      <c r="GT121" s="11" t="str">
        <f ca="1">IF(History!GX$2="","",#REF!*$C$121)</f>
        <v/>
      </c>
      <c r="GU121" s="11" t="str">
        <f ca="1">IF(History!GY$2="","",#REF!*$C$121)</f>
        <v/>
      </c>
      <c r="GV121" s="11" t="str">
        <f ca="1">IF(History!GZ$2="","",#REF!*$C$121)</f>
        <v/>
      </c>
      <c r="GW121" s="11" t="str">
        <f ca="1">IF(History!HA$2="","",#REF!*$C$121)</f>
        <v/>
      </c>
      <c r="GX121" s="11" t="str">
        <f ca="1">IF(History!HB$2="","",#REF!*$C$121)</f>
        <v/>
      </c>
      <c r="GY121" s="11" t="str">
        <f ca="1">IF(History!HC$2="","",#REF!*$C$121)</f>
        <v/>
      </c>
      <c r="GZ121" s="11" t="str">
        <f ca="1">IF(History!HD$2="","",#REF!*$C$121)</f>
        <v/>
      </c>
      <c r="HA121" s="11" t="str">
        <f ca="1">IF(History!HE$2="","",#REF!*$C$121)</f>
        <v/>
      </c>
      <c r="HB121" s="11" t="str">
        <f ca="1">IF(History!HF$2="","",#REF!*$C$121)</f>
        <v/>
      </c>
      <c r="HC121" s="11" t="str">
        <f ca="1">IF(History!HG$2="","",#REF!*$C$121)</f>
        <v/>
      </c>
      <c r="HD121" s="11" t="str">
        <f ca="1">IF(History!HH$2="","",#REF!*$C$121)</f>
        <v/>
      </c>
      <c r="HE121" s="11" t="str">
        <f ca="1">IF(History!HI$2="","",#REF!*$C$121)</f>
        <v/>
      </c>
      <c r="HF121" s="11" t="str">
        <f ca="1">IF(History!HJ$2="","",#REF!*$C$121)</f>
        <v/>
      </c>
      <c r="HG121" s="11" t="str">
        <f ca="1">IF(History!HK$2="","",#REF!*$C$121)</f>
        <v/>
      </c>
      <c r="HH121" s="11" t="str">
        <f ca="1">IF(History!HL$2="","",#REF!*$C$121)</f>
        <v/>
      </c>
      <c r="HI121" s="11" t="str">
        <f ca="1">IF(History!HM$2="","",#REF!*$C$121)</f>
        <v/>
      </c>
      <c r="HJ121" s="11" t="str">
        <f ca="1">IF(History!HN$2="","",#REF!*$C$121)</f>
        <v/>
      </c>
      <c r="HK121" s="11" t="str">
        <f ca="1">IF(History!HO$2="","",#REF!*$C$121)</f>
        <v/>
      </c>
      <c r="HL121" s="11" t="str">
        <f ca="1">IF(History!HP$2="","",#REF!*$C$121)</f>
        <v/>
      </c>
      <c r="HM121" s="11" t="str">
        <f ca="1">IF(History!HQ$2="","",#REF!*$C$121)</f>
        <v/>
      </c>
      <c r="HN121" s="11" t="str">
        <f ca="1">IF(History!HR$2="","",#REF!*$C$121)</f>
        <v/>
      </c>
      <c r="HO121" s="11" t="str">
        <f ca="1">IF(History!HS$2="","",#REF!*$C$121)</f>
        <v/>
      </c>
      <c r="HP121" s="11" t="str">
        <f ca="1">IF(History!HT$2="","",#REF!*$C$121)</f>
        <v/>
      </c>
      <c r="HQ121" s="11" t="str">
        <f ca="1">IF(History!HU$2="","",#REF!*$C$121)</f>
        <v/>
      </c>
      <c r="HR121" s="11" t="str">
        <f ca="1">IF(History!HV$2="","",#REF!*$C$121)</f>
        <v/>
      </c>
      <c r="HS121" s="11" t="str">
        <f ca="1">IF(History!HW$2="","",#REF!*$C$121)</f>
        <v/>
      </c>
      <c r="HT121" s="11" t="str">
        <f ca="1">IF(History!HX$2="","",#REF!*$C$121)</f>
        <v/>
      </c>
      <c r="HU121" s="11" t="str">
        <f ca="1">IF(History!HY$2="","",#REF!*$C$121)</f>
        <v/>
      </c>
      <c r="HV121" s="11" t="str">
        <f ca="1">IF(History!HZ$2="","",#REF!*$C$121)</f>
        <v/>
      </c>
      <c r="HW121" s="11" t="str">
        <f ca="1">IF(History!IA$2="","",#REF!*$C$121)</f>
        <v/>
      </c>
      <c r="HX121" s="11" t="str">
        <f ca="1">IF(History!IB$2="","",#REF!*$C$121)</f>
        <v/>
      </c>
      <c r="HY121" s="11" t="str">
        <f ca="1">IF(History!IC$2="","",#REF!*$C$121)</f>
        <v/>
      </c>
      <c r="HZ121" s="11" t="str">
        <f ca="1">IF(History!ID$2="","",#REF!*$C$121)</f>
        <v/>
      </c>
      <c r="IA121" s="11" t="str">
        <f ca="1">IF(History!IE$2="","",#REF!*$C$121)</f>
        <v/>
      </c>
      <c r="IB121" s="11" t="str">
        <f ca="1">IF(History!IF$2="","",#REF!*$C$121)</f>
        <v/>
      </c>
      <c r="IC121" s="11" t="str">
        <f ca="1">IF(History!IG$2="","",#REF!*$C$121)</f>
        <v/>
      </c>
      <c r="ID121" s="11" t="str">
        <f ca="1">IF(History!IH$2="","",#REF!*$C$121)</f>
        <v/>
      </c>
      <c r="IE121" s="11" t="str">
        <f ca="1">IF(History!II$2="","",#REF!*$C$121)</f>
        <v/>
      </c>
      <c r="IF121" s="11" t="str">
        <f ca="1">IF(History!IJ$2="","",#REF!*$C$121)</f>
        <v/>
      </c>
      <c r="IG121" s="11" t="str">
        <f ca="1">IF(History!IK$2="","",#REF!*$C$121)</f>
        <v/>
      </c>
      <c r="IH121" s="11" t="str">
        <f ca="1">IF(History!IL$2="","",#REF!*$C$121)</f>
        <v/>
      </c>
      <c r="II121" s="11" t="str">
        <f ca="1">IF(History!IM$2="","",#REF!*$C$121)</f>
        <v/>
      </c>
      <c r="IJ121" s="11" t="str">
        <f ca="1">IF(History!IN$2="","",#REF!*$C$121)</f>
        <v/>
      </c>
      <c r="IK121" s="11" t="str">
        <f ca="1">IF(History!IO$2="","",#REF!*$C$121)</f>
        <v/>
      </c>
      <c r="IL121" s="11" t="str">
        <f ca="1">IF(History!IP$2="","",#REF!*$C$121)</f>
        <v/>
      </c>
      <c r="IM121" s="11" t="str">
        <f ca="1">IF(History!IQ$2="","",#REF!*$C$121)</f>
        <v/>
      </c>
      <c r="IN121" s="11" t="str">
        <f ca="1">IF(History!IR$2="","",#REF!*$C$121)</f>
        <v/>
      </c>
      <c r="IO121" s="11" t="str">
        <f ca="1">IF(History!IS$2="","",#REF!*$C$121)</f>
        <v/>
      </c>
      <c r="IP121" s="11" t="str">
        <f ca="1">IF(History!IT$2="","",#REF!*$C$121)</f>
        <v/>
      </c>
      <c r="IQ121" s="11" t="str">
        <f ca="1">IF(History!IU$2="","",#REF!*$C$121)</f>
        <v/>
      </c>
      <c r="IR121" s="11" t="str">
        <f ca="1">IF(History!IV$2="","",#REF!*$C$121)</f>
        <v/>
      </c>
      <c r="IS121" s="11" t="str">
        <f ca="1">IF(History!IW$2="","",#REF!*$C$121)</f>
        <v/>
      </c>
      <c r="IT121" s="11" t="str">
        <f ca="1">IF(History!IX$2="","",#REF!*$C$121)</f>
        <v/>
      </c>
      <c r="IU121" s="11" t="str">
        <f ca="1">IF(History!IY$2="","",#REF!*$C$121)</f>
        <v/>
      </c>
      <c r="IV121" s="11" t="str">
        <f ca="1">IF(History!IZ$2="","",#REF!*$C$121)</f>
        <v/>
      </c>
      <c r="IW121" s="11" t="str">
        <f ca="1">IF(History!JA$2="","",#REF!*$C$121)</f>
        <v/>
      </c>
      <c r="IX121" s="11" t="str">
        <f ca="1">IF(History!JB$2="","",#REF!*$C$121)</f>
        <v/>
      </c>
      <c r="IY121" s="11" t="str">
        <f ca="1">IF(History!JC$2="","",#REF!*$C$121)</f>
        <v/>
      </c>
      <c r="IZ121" s="11" t="str">
        <f ca="1">IF(History!JD$2="","",#REF!*$C$121)</f>
        <v/>
      </c>
      <c r="JA121" s="11" t="str">
        <f ca="1">IF(History!JE$2="","",#REF!*$C$121)</f>
        <v/>
      </c>
      <c r="JB121" s="11" t="str">
        <f ca="1">IF(History!JF$2="","",#REF!*$C$121)</f>
        <v/>
      </c>
      <c r="JC121" s="11" t="str">
        <f ca="1">IF(History!JG$2="","",#REF!*$C$121)</f>
        <v/>
      </c>
      <c r="JD121" s="11" t="str">
        <f ca="1">IF(History!JH$2="","",#REF!*$C$121)</f>
        <v/>
      </c>
      <c r="JE121" s="11" t="str">
        <f ca="1">IF(History!JI$2="","",#REF!*$C$121)</f>
        <v/>
      </c>
      <c r="JF121" s="11" t="str">
        <f ca="1">IF(History!JJ$2="","",#REF!*$C$121)</f>
        <v/>
      </c>
      <c r="JG121" s="11" t="str">
        <f ca="1">IF(History!JK$2="","",#REF!*$C$121)</f>
        <v/>
      </c>
      <c r="JH121" s="11" t="str">
        <f ca="1">IF(History!JL$2="","",#REF!*$C$121)</f>
        <v/>
      </c>
      <c r="JI121" s="11" t="str">
        <f ca="1">IF(History!JM$2="","",#REF!*$C$121)</f>
        <v/>
      </c>
      <c r="JJ121" s="11" t="str">
        <f ca="1">IF(History!JN$2="","",#REF!*$C$121)</f>
        <v/>
      </c>
      <c r="JK121" s="11" t="str">
        <f ca="1">IF(History!JO$2="","",#REF!*$C$121)</f>
        <v/>
      </c>
      <c r="JL121" s="11" t="str">
        <f ca="1">IF(History!JP$2="","",#REF!*$C$121)</f>
        <v/>
      </c>
      <c r="JM121" s="11" t="str">
        <f ca="1">IF(History!JQ$2="","",#REF!*$C$121)</f>
        <v/>
      </c>
      <c r="JN121" s="11" t="str">
        <f ca="1">IF(History!JR$2="","",#REF!*$C$121)</f>
        <v/>
      </c>
      <c r="JO121" s="11" t="str">
        <f ca="1">IF(History!JS$2="","",#REF!*$C$121)</f>
        <v/>
      </c>
      <c r="JP121" s="11" t="str">
        <f ca="1">IF(History!JT$2="","",#REF!*$C$121)</f>
        <v/>
      </c>
      <c r="JQ121" s="11" t="str">
        <f ca="1">IF(History!JU$2="","",#REF!*$C$121)</f>
        <v/>
      </c>
      <c r="JR121" s="11" t="str">
        <f ca="1">IF(History!JV$2="","",#REF!*$C$121)</f>
        <v/>
      </c>
      <c r="JS121" s="11" t="str">
        <f ca="1">IF(History!JW$2="","",#REF!*$C$121)</f>
        <v/>
      </c>
      <c r="JT121" s="11" t="str">
        <f ca="1">IF(History!JX$2="","",#REF!*$C$121)</f>
        <v/>
      </c>
      <c r="JU121" s="11" t="str">
        <f ca="1">IF(History!JY$2="","",#REF!*$C$121)</f>
        <v/>
      </c>
      <c r="JV121" s="11" t="str">
        <f ca="1">IF(History!JZ$2="","",#REF!*$C$121)</f>
        <v/>
      </c>
      <c r="JW121" s="11" t="str">
        <f ca="1">IF(History!KA$2="","",#REF!*$C$121)</f>
        <v/>
      </c>
      <c r="JX121" s="11" t="str">
        <f ca="1">IF(History!KB$2="","",#REF!*$C$121)</f>
        <v/>
      </c>
      <c r="JY121" s="11" t="str">
        <f ca="1">IF(History!KC$2="","",#REF!*$C$121)</f>
        <v/>
      </c>
      <c r="JZ121" s="11" t="str">
        <f ca="1">IF(History!KD$2="","",#REF!*$C$121)</f>
        <v/>
      </c>
      <c r="KA121" s="11" t="str">
        <f ca="1">IF(History!KE$2="","",#REF!*$C$121)</f>
        <v/>
      </c>
      <c r="KB121" s="11" t="str">
        <f ca="1">IF(History!KF$2="","",#REF!*$C$121)</f>
        <v/>
      </c>
    </row>
    <row r="122" spans="1:288" ht="13">
      <c r="A122" s="2" t="s">
        <v>40</v>
      </c>
      <c r="B122" s="32" t="s">
        <v>111</v>
      </c>
      <c r="C122" s="33">
        <v>1432</v>
      </c>
      <c r="D122" s="11" t="e">
        <f ca="1">IF(History!H$2="","",#REF!*$C$122)</f>
        <v>#REF!</v>
      </c>
      <c r="E122" s="11" t="e">
        <f ca="1">IF(History!I$2="","",#REF!*$C$122)</f>
        <v>#REF!</v>
      </c>
      <c r="F122" s="11" t="e">
        <f ca="1">IF(History!J$2="","",#REF!*$C$122)</f>
        <v>#REF!</v>
      </c>
      <c r="G122" s="11" t="e">
        <f ca="1">IF(History!K$2="","",#REF!*$C$122)</f>
        <v>#REF!</v>
      </c>
      <c r="H122" s="11" t="e">
        <f ca="1">IF(History!L$2="","",#REF!*$C$122)</f>
        <v>#REF!</v>
      </c>
      <c r="I122" s="11" t="e">
        <f ca="1">IF(History!M$2="","",#REF!*$C$122)</f>
        <v>#REF!</v>
      </c>
      <c r="J122" s="11" t="e">
        <f ca="1">IF(History!N$2="","",#REF!*$C$122)</f>
        <v>#REF!</v>
      </c>
      <c r="K122" s="11" t="e">
        <f ca="1">IF(History!O$2="","",#REF!*$C$122)</f>
        <v>#REF!</v>
      </c>
      <c r="L122" s="11" t="e">
        <f ca="1">IF(History!P$2="","",#REF!*$C$122)</f>
        <v>#REF!</v>
      </c>
      <c r="M122" s="11" t="e">
        <f ca="1">IF(History!Q$2="","",#REF!*$C$122)</f>
        <v>#REF!</v>
      </c>
      <c r="N122" s="11" t="e">
        <f ca="1">IF(History!R$2="","",#REF!*$C$122)</f>
        <v>#REF!</v>
      </c>
      <c r="O122" s="11" t="e">
        <f ca="1">IF(History!S$2="","",#REF!*$C$122)</f>
        <v>#REF!</v>
      </c>
      <c r="P122" s="11" t="e">
        <f ca="1">IF(History!T$2="","",#REF!*$C$122)</f>
        <v>#REF!</v>
      </c>
      <c r="Q122" s="11" t="e">
        <f ca="1">IF(History!U$2="","",#REF!*$C$122)</f>
        <v>#REF!</v>
      </c>
      <c r="R122" s="11" t="e">
        <f ca="1">IF(History!V$2="","",#REF!*$C$122)</f>
        <v>#REF!</v>
      </c>
      <c r="S122" s="11" t="e">
        <f ca="1">IF(History!W$2="","",#REF!*$C$122)</f>
        <v>#REF!</v>
      </c>
      <c r="T122" s="11" t="e">
        <f ca="1">IF(History!X$2="","",#REF!*$C$122)</f>
        <v>#REF!</v>
      </c>
      <c r="U122" s="11" t="e">
        <f ca="1">IF(History!Y$2="","",#REF!*$C$122)</f>
        <v>#REF!</v>
      </c>
      <c r="V122" s="11" t="e">
        <f ca="1">IF(History!Z$2="","",#REF!*$C$122)</f>
        <v>#REF!</v>
      </c>
      <c r="W122" s="11" t="e">
        <f ca="1">IF(History!AA$2="","",#REF!*$C$122)</f>
        <v>#REF!</v>
      </c>
      <c r="X122" s="11" t="e">
        <f ca="1">IF(History!AB$2="","",#REF!*$C$122)</f>
        <v>#REF!</v>
      </c>
      <c r="Y122" s="11" t="e">
        <f ca="1">IF(History!AC$2="","",#REF!*$C$122)</f>
        <v>#REF!</v>
      </c>
      <c r="Z122" s="11" t="e">
        <f ca="1">IF(History!AD$2="","",#REF!*$C$122)</f>
        <v>#REF!</v>
      </c>
      <c r="AA122" s="11" t="e">
        <f ca="1">IF(History!AE$2="","",#REF!*$C$122)</f>
        <v>#REF!</v>
      </c>
      <c r="AB122" s="11" t="e">
        <f ca="1">IF(History!AF$2="","",#REF!*$C$122)</f>
        <v>#REF!</v>
      </c>
      <c r="AC122" s="11" t="e">
        <f ca="1">IF(History!AG$2="","",#REF!*$C$122)</f>
        <v>#REF!</v>
      </c>
      <c r="AD122" s="11" t="e">
        <f ca="1">IF(History!AH$2="","",#REF!*$C$122)</f>
        <v>#REF!</v>
      </c>
      <c r="AE122" s="11" t="e">
        <f ca="1">IF(History!AI$2="","",#REF!*$C$122)</f>
        <v>#REF!</v>
      </c>
      <c r="AF122" s="11" t="e">
        <f ca="1">IF(History!AJ$2="","",#REF!*$C$122)</f>
        <v>#REF!</v>
      </c>
      <c r="AG122" s="11" t="e">
        <f ca="1">IF(History!AK$2="","",#REF!*$C$122)</f>
        <v>#REF!</v>
      </c>
      <c r="AH122" s="11" t="e">
        <f ca="1">IF(History!AL$2="","",#REF!*$C$122)</f>
        <v>#REF!</v>
      </c>
      <c r="AI122" s="11" t="e">
        <f ca="1">IF(History!AM$2="","",#REF!*$C$122)</f>
        <v>#REF!</v>
      </c>
      <c r="AJ122" s="11" t="e">
        <f ca="1">IF(History!AN$2="","",#REF!*$C$122)</f>
        <v>#REF!</v>
      </c>
      <c r="AK122" s="11" t="e">
        <f ca="1">IF(History!AO$2="","",#REF!*$C$122)</f>
        <v>#REF!</v>
      </c>
      <c r="AL122" s="11" t="e">
        <f ca="1">IF(History!AP$2="","",#REF!*$C$122)</f>
        <v>#REF!</v>
      </c>
      <c r="AM122" s="11" t="e">
        <f ca="1">IF(History!AQ$2="","",#REF!*$C$122)</f>
        <v>#REF!</v>
      </c>
      <c r="AN122" s="11" t="e">
        <f ca="1">IF(History!AR$2="","",#REF!*$C$122)</f>
        <v>#REF!</v>
      </c>
      <c r="AO122" s="11" t="e">
        <f ca="1">IF(History!AS$2="","",#REF!*$C$122)</f>
        <v>#REF!</v>
      </c>
      <c r="AP122" s="11" t="e">
        <f ca="1">IF(History!AT$2="","",#REF!*$C$122)</f>
        <v>#REF!</v>
      </c>
      <c r="AQ122" s="11" t="e">
        <f ca="1">IF(History!AU$2="","",#REF!*$C$122)</f>
        <v>#REF!</v>
      </c>
      <c r="AR122" s="11" t="e">
        <f ca="1">IF(History!AV$2="","",#REF!*$C$122)</f>
        <v>#REF!</v>
      </c>
      <c r="AS122" s="11" t="e">
        <f ca="1">IF(History!AW$2="","",#REF!*$C$122)</f>
        <v>#REF!</v>
      </c>
      <c r="AT122" s="11" t="e">
        <f ca="1">IF(History!AX$2="","",#REF!*$C$122)</f>
        <v>#REF!</v>
      </c>
      <c r="AU122" s="11" t="e">
        <f ca="1">IF(History!AY$2="","",#REF!*$C$122)</f>
        <v>#REF!</v>
      </c>
      <c r="AV122" s="11" t="e">
        <f ca="1">IF(History!AZ$2="","",#REF!*$C$122)</f>
        <v>#REF!</v>
      </c>
      <c r="AW122" s="11" t="e">
        <f ca="1">IF(History!BA$2="","",#REF!*$C$122)</f>
        <v>#REF!</v>
      </c>
      <c r="AX122" s="11" t="e">
        <f ca="1">IF(History!BB$2="","",#REF!*$C$122)</f>
        <v>#REF!</v>
      </c>
      <c r="AY122" s="11" t="e">
        <f ca="1">IF(History!BC$2="","",#REF!*$C$122)</f>
        <v>#REF!</v>
      </c>
      <c r="AZ122" s="11" t="e">
        <f ca="1">IF(History!BD$2="","",#REF!*$C$122)</f>
        <v>#REF!</v>
      </c>
      <c r="BA122" s="11" t="e">
        <f ca="1">IF(History!BE$2="","",#REF!*$C$122)</f>
        <v>#REF!</v>
      </c>
      <c r="BB122" s="11" t="e">
        <f ca="1">IF(History!BF$2="","",#REF!*$C$122)</f>
        <v>#REF!</v>
      </c>
      <c r="BC122" s="11" t="e">
        <f ca="1">IF(History!BG$2="","",#REF!*$C$122)</f>
        <v>#REF!</v>
      </c>
      <c r="BD122" s="11" t="e">
        <f ca="1">IF(History!BH$2="","",#REF!*$C$122)</f>
        <v>#REF!</v>
      </c>
      <c r="BE122" s="11" t="e">
        <f ca="1">IF(History!BI$2="","",#REF!*$C$122)</f>
        <v>#REF!</v>
      </c>
      <c r="BF122" s="11" t="e">
        <f ca="1">IF(History!BJ$2="","",#REF!*$C$122)</f>
        <v>#REF!</v>
      </c>
      <c r="BG122" s="11" t="e">
        <f ca="1">IF(History!BK$2="","",#REF!*$C$122)</f>
        <v>#REF!</v>
      </c>
      <c r="BH122" s="11" t="e">
        <f ca="1">IF(History!BL$2="","",#REF!*$C$122)</f>
        <v>#REF!</v>
      </c>
      <c r="BI122" s="11" t="e">
        <f ca="1">IF(History!BM$2="","",#REF!*$C$122)</f>
        <v>#REF!</v>
      </c>
      <c r="BJ122" s="11" t="e">
        <f ca="1">IF(History!BN$2="","",#REF!*$C$122)</f>
        <v>#REF!</v>
      </c>
      <c r="BK122" s="11" t="e">
        <f ca="1">IF(History!BO$2="","",#REF!*$C$122)</f>
        <v>#REF!</v>
      </c>
      <c r="BL122" s="11" t="e">
        <f ca="1">IF(History!BP$2="","",#REF!*$C$122)</f>
        <v>#REF!</v>
      </c>
      <c r="BM122" s="11" t="e">
        <f ca="1">IF(History!BQ$2="","",#REF!*$C$122)</f>
        <v>#REF!</v>
      </c>
      <c r="BN122" s="11" t="e">
        <f ca="1">IF(History!BR$2="","",#REF!*$C$122)</f>
        <v>#REF!</v>
      </c>
      <c r="BO122" s="11" t="e">
        <f ca="1">IF(History!BS$2="","",#REF!*$C$122)</f>
        <v>#REF!</v>
      </c>
      <c r="BP122" s="11" t="e">
        <f ca="1">IF(History!BT$2="","",#REF!*$C$122)</f>
        <v>#REF!</v>
      </c>
      <c r="BQ122" s="11" t="e">
        <f ca="1">IF(History!BU$2="","",#REF!*$C$122)</f>
        <v>#REF!</v>
      </c>
      <c r="BR122" s="11" t="e">
        <f ca="1">IF(History!BV$2="","",#REF!*$C$122)</f>
        <v>#REF!</v>
      </c>
      <c r="BS122" s="11" t="e">
        <f ca="1">IF(History!BW$2="","",#REF!*$C$122)</f>
        <v>#REF!</v>
      </c>
      <c r="BT122" s="11" t="e">
        <f ca="1">IF(History!BX$2="","",#REF!*$C$122)</f>
        <v>#REF!</v>
      </c>
      <c r="BU122" s="11" t="e">
        <f ca="1">IF(History!BY$2="","",#REF!*$C$122)</f>
        <v>#REF!</v>
      </c>
      <c r="BV122" s="11" t="e">
        <f ca="1">IF(History!BZ$2="","",#REF!*$C$122)</f>
        <v>#REF!</v>
      </c>
      <c r="BW122" s="11" t="e">
        <f ca="1">IF(History!CA$2="","",#REF!*$C$122)</f>
        <v>#REF!</v>
      </c>
      <c r="BX122" s="11" t="e">
        <f ca="1">IF(History!CB$2="","",#REF!*$C$122)</f>
        <v>#REF!</v>
      </c>
      <c r="BY122" s="11" t="e">
        <f ca="1">IF(History!CC$2="","",#REF!*$C$122)</f>
        <v>#REF!</v>
      </c>
      <c r="BZ122" s="11" t="e">
        <f ca="1">IF(History!CD$2="","",#REF!*$C$122)</f>
        <v>#REF!</v>
      </c>
      <c r="CA122" s="11" t="e">
        <f ca="1">IF(History!CE$2="","",#REF!*$C$122)</f>
        <v>#REF!</v>
      </c>
      <c r="CB122" s="11" t="e">
        <f ca="1">IF(History!CF$2="","",#REF!*$C$122)</f>
        <v>#REF!</v>
      </c>
      <c r="CC122" s="11" t="e">
        <f ca="1">IF(History!CG$2="","",#REF!*$C$122)</f>
        <v>#REF!</v>
      </c>
      <c r="CD122" s="11" t="e">
        <f ca="1">IF(History!CH$2="","",#REF!*$C$122)</f>
        <v>#REF!</v>
      </c>
      <c r="CE122" s="11" t="e">
        <f ca="1">IF(History!CI$2="","",#REF!*$C$122)</f>
        <v>#REF!</v>
      </c>
      <c r="CF122" s="11" t="str">
        <f ca="1">IF(History!CJ$2="","",#REF!*$C$122)</f>
        <v/>
      </c>
      <c r="CG122" s="11" t="str">
        <f ca="1">IF(History!CK$2="","",#REF!*$C$122)</f>
        <v/>
      </c>
      <c r="CH122" s="11" t="str">
        <f ca="1">IF(History!CL$2="","",#REF!*$C$122)</f>
        <v/>
      </c>
      <c r="CI122" s="11" t="str">
        <f ca="1">IF(History!CM$2="","",#REF!*$C$122)</f>
        <v/>
      </c>
      <c r="CJ122" s="11" t="str">
        <f ca="1">IF(History!CN$2="","",#REF!*$C$122)</f>
        <v/>
      </c>
      <c r="CK122" s="11" t="str">
        <f ca="1">IF(History!CO$2="","",#REF!*$C$122)</f>
        <v/>
      </c>
      <c r="CL122" s="11" t="str">
        <f ca="1">IF(History!CP$2="","",#REF!*$C$122)</f>
        <v/>
      </c>
      <c r="CM122" s="11" t="str">
        <f ca="1">IF(History!CQ$2="","",#REF!*$C$122)</f>
        <v/>
      </c>
      <c r="CN122" s="11" t="str">
        <f ca="1">IF(History!CR$2="","",#REF!*$C$122)</f>
        <v/>
      </c>
      <c r="CO122" s="11" t="str">
        <f ca="1">IF(History!CS$2="","",#REF!*$C$122)</f>
        <v/>
      </c>
      <c r="CP122" s="11" t="str">
        <f ca="1">IF(History!CT$2="","",#REF!*$C$122)</f>
        <v/>
      </c>
      <c r="CQ122" s="11" t="str">
        <f ca="1">IF(History!CU$2="","",#REF!*$C$122)</f>
        <v/>
      </c>
      <c r="CR122" s="11" t="str">
        <f ca="1">IF(History!CV$2="","",#REF!*$C$122)</f>
        <v/>
      </c>
      <c r="CS122" s="11" t="str">
        <f ca="1">IF(History!CW$2="","",#REF!*$C$122)</f>
        <v/>
      </c>
      <c r="CT122" s="11" t="str">
        <f ca="1">IF(History!CX$2="","",#REF!*$C$122)</f>
        <v/>
      </c>
      <c r="CU122" s="11" t="str">
        <f ca="1">IF(History!CY$2="","",#REF!*$C$122)</f>
        <v/>
      </c>
      <c r="CV122" s="11" t="str">
        <f ca="1">IF(History!CZ$2="","",#REF!*$C$122)</f>
        <v/>
      </c>
      <c r="CW122" s="11" t="str">
        <f ca="1">IF(History!DA$2="","",#REF!*$C$122)</f>
        <v/>
      </c>
      <c r="CX122" s="11" t="str">
        <f ca="1">IF(History!DB$2="","",#REF!*$C$122)</f>
        <v/>
      </c>
      <c r="CY122" s="11" t="str">
        <f ca="1">IF(History!DC$2="","",#REF!*$C$122)</f>
        <v/>
      </c>
      <c r="CZ122" s="11" t="str">
        <f ca="1">IF(History!DD$2="","",#REF!*$C$122)</f>
        <v/>
      </c>
      <c r="DA122" s="11" t="str">
        <f ca="1">IF(History!DE$2="","",#REF!*$C$122)</f>
        <v/>
      </c>
      <c r="DB122" s="11" t="str">
        <f ca="1">IF(History!DF$2="","",#REF!*$C$122)</f>
        <v/>
      </c>
      <c r="DC122" s="11" t="str">
        <f ca="1">IF(History!DG$2="","",#REF!*$C$122)</f>
        <v/>
      </c>
      <c r="DD122" s="11" t="str">
        <f ca="1">IF(History!DH$2="","",#REF!*$C$122)</f>
        <v/>
      </c>
      <c r="DE122" s="11" t="str">
        <f ca="1">IF(History!DI$2="","",#REF!*$C$122)</f>
        <v/>
      </c>
      <c r="DF122" s="11" t="str">
        <f ca="1">IF(History!DJ$2="","",#REF!*$C$122)</f>
        <v/>
      </c>
      <c r="DG122" s="11" t="str">
        <f ca="1">IF(History!DK$2="","",#REF!*$C$122)</f>
        <v/>
      </c>
      <c r="DH122" s="11" t="str">
        <f ca="1">IF(History!DL$2="","",#REF!*$C$122)</f>
        <v/>
      </c>
      <c r="DI122" s="11" t="str">
        <f ca="1">IF(History!DM$2="","",#REF!*$C$122)</f>
        <v/>
      </c>
      <c r="DJ122" s="11" t="str">
        <f ca="1">IF(History!DN$2="","",#REF!*$C$122)</f>
        <v/>
      </c>
      <c r="DK122" s="11" t="str">
        <f ca="1">IF(History!DO$2="","",#REF!*$C$122)</f>
        <v/>
      </c>
      <c r="DL122" s="11" t="str">
        <f ca="1">IF(History!DP$2="","",#REF!*$C$122)</f>
        <v/>
      </c>
      <c r="DM122" s="11" t="str">
        <f ca="1">IF(History!DQ$2="","",#REF!*$C$122)</f>
        <v/>
      </c>
      <c r="DN122" s="11" t="str">
        <f ca="1">IF(History!DR$2="","",#REF!*$C$122)</f>
        <v/>
      </c>
      <c r="DO122" s="11" t="str">
        <f ca="1">IF(History!DS$2="","",#REF!*$C$122)</f>
        <v/>
      </c>
      <c r="DP122" s="11" t="str">
        <f ca="1">IF(History!DT$2="","",#REF!*$C$122)</f>
        <v/>
      </c>
      <c r="DQ122" s="11" t="str">
        <f ca="1">IF(History!DU$2="","",#REF!*$C$122)</f>
        <v/>
      </c>
      <c r="DR122" s="11" t="str">
        <f ca="1">IF(History!DV$2="","",#REF!*$C$122)</f>
        <v/>
      </c>
      <c r="DS122" s="11" t="str">
        <f ca="1">IF(History!DW$2="","",#REF!*$C$122)</f>
        <v/>
      </c>
      <c r="DT122" s="11" t="str">
        <f ca="1">IF(History!DX$2="","",#REF!*$C$122)</f>
        <v/>
      </c>
      <c r="DU122" s="11" t="str">
        <f ca="1">IF(History!DY$2="","",#REF!*$C$122)</f>
        <v/>
      </c>
      <c r="DV122" s="11" t="str">
        <f ca="1">IF(History!DZ$2="","",#REF!*$C$122)</f>
        <v/>
      </c>
      <c r="DW122" s="11" t="str">
        <f ca="1">IF(History!EA$2="","",#REF!*$C$122)</f>
        <v/>
      </c>
      <c r="DX122" s="11" t="str">
        <f ca="1">IF(History!EB$2="","",#REF!*$C$122)</f>
        <v/>
      </c>
      <c r="DY122" s="11" t="str">
        <f ca="1">IF(History!EC$2="","",#REF!*$C$122)</f>
        <v/>
      </c>
      <c r="DZ122" s="11" t="str">
        <f ca="1">IF(History!ED$2="","",#REF!*$C$122)</f>
        <v/>
      </c>
      <c r="EA122" s="11" t="str">
        <f ca="1">IF(History!EE$2="","",#REF!*$C$122)</f>
        <v/>
      </c>
      <c r="EB122" s="11" t="str">
        <f ca="1">IF(History!EF$2="","",#REF!*$C$122)</f>
        <v/>
      </c>
      <c r="EC122" s="11" t="str">
        <f ca="1">IF(History!EG$2="","",#REF!*$C$122)</f>
        <v/>
      </c>
      <c r="ED122" s="11" t="str">
        <f ca="1">IF(History!EH$2="","",#REF!*$C$122)</f>
        <v/>
      </c>
      <c r="EE122" s="11" t="str">
        <f ca="1">IF(History!EI$2="","",#REF!*$C$122)</f>
        <v/>
      </c>
      <c r="EF122" s="11" t="str">
        <f ca="1">IF(History!EJ$2="","",#REF!*$C$122)</f>
        <v/>
      </c>
      <c r="EG122" s="11" t="str">
        <f ca="1">IF(History!EK$2="","",#REF!*$C$122)</f>
        <v/>
      </c>
      <c r="EH122" s="11" t="str">
        <f ca="1">IF(History!EL$2="","",#REF!*$C$122)</f>
        <v/>
      </c>
      <c r="EI122" s="11" t="str">
        <f ca="1">IF(History!EM$2="","",#REF!*$C$122)</f>
        <v/>
      </c>
      <c r="EJ122" s="11" t="str">
        <f ca="1">IF(History!EN$2="","",#REF!*$C$122)</f>
        <v/>
      </c>
      <c r="EK122" s="11" t="str">
        <f ca="1">IF(History!EO$2="","",#REF!*$C$122)</f>
        <v/>
      </c>
      <c r="EL122" s="11" t="str">
        <f ca="1">IF(History!EP$2="","",#REF!*$C$122)</f>
        <v/>
      </c>
      <c r="EM122" s="11" t="str">
        <f ca="1">IF(History!EQ$2="","",#REF!*$C$122)</f>
        <v/>
      </c>
      <c r="EN122" s="11" t="str">
        <f ca="1">IF(History!ER$2="","",#REF!*$C$122)</f>
        <v/>
      </c>
      <c r="EO122" s="11" t="str">
        <f ca="1">IF(History!ES$2="","",#REF!*$C$122)</f>
        <v/>
      </c>
      <c r="EP122" s="11" t="str">
        <f ca="1">IF(History!ET$2="","",#REF!*$C$122)</f>
        <v/>
      </c>
      <c r="EQ122" s="11" t="str">
        <f ca="1">IF(History!EU$2="","",#REF!*$C$122)</f>
        <v/>
      </c>
      <c r="ER122" s="11" t="str">
        <f ca="1">IF(History!EV$2="","",#REF!*$C$122)</f>
        <v/>
      </c>
      <c r="ES122" s="11" t="str">
        <f ca="1">IF(History!EW$2="","",#REF!*$C$122)</f>
        <v/>
      </c>
      <c r="ET122" s="11" t="str">
        <f ca="1">IF(History!EX$2="","",#REF!*$C$122)</f>
        <v/>
      </c>
      <c r="EU122" s="11" t="str">
        <f ca="1">IF(History!EY$2="","",#REF!*$C$122)</f>
        <v/>
      </c>
      <c r="EV122" s="11" t="str">
        <f ca="1">IF(History!EZ$2="","",#REF!*$C$122)</f>
        <v/>
      </c>
      <c r="EW122" s="11" t="str">
        <f ca="1">IF(History!FA$2="","",#REF!*$C$122)</f>
        <v/>
      </c>
      <c r="EX122" s="11" t="str">
        <f ca="1">IF(History!FB$2="","",#REF!*$C$122)</f>
        <v/>
      </c>
      <c r="EY122" s="11" t="str">
        <f ca="1">IF(History!FC$2="","",#REF!*$C$122)</f>
        <v/>
      </c>
      <c r="EZ122" s="11" t="str">
        <f ca="1">IF(History!FD$2="","",#REF!*$C$122)</f>
        <v/>
      </c>
      <c r="FA122" s="11" t="str">
        <f ca="1">IF(History!FE$2="","",#REF!*$C$122)</f>
        <v/>
      </c>
      <c r="FB122" s="11" t="str">
        <f ca="1">IF(History!FF$2="","",#REF!*$C$122)</f>
        <v/>
      </c>
      <c r="FC122" s="11" t="str">
        <f ca="1">IF(History!FG$2="","",#REF!*$C$122)</f>
        <v/>
      </c>
      <c r="FD122" s="11" t="str">
        <f ca="1">IF(History!FH$2="","",#REF!*$C$122)</f>
        <v/>
      </c>
      <c r="FE122" s="11" t="str">
        <f ca="1">IF(History!FI$2="","",#REF!*$C$122)</f>
        <v/>
      </c>
      <c r="FF122" s="11" t="str">
        <f ca="1">IF(History!FJ$2="","",#REF!*$C$122)</f>
        <v/>
      </c>
      <c r="FG122" s="11" t="str">
        <f ca="1">IF(History!FK$2="","",#REF!*$C$122)</f>
        <v/>
      </c>
      <c r="FH122" s="11" t="str">
        <f ca="1">IF(History!FL$2="","",#REF!*$C$122)</f>
        <v/>
      </c>
      <c r="FI122" s="11" t="str">
        <f ca="1">IF(History!FM$2="","",#REF!*$C$122)</f>
        <v/>
      </c>
      <c r="FJ122" s="11" t="str">
        <f ca="1">IF(History!FN$2="","",#REF!*$C$122)</f>
        <v/>
      </c>
      <c r="FK122" s="11" t="str">
        <f ca="1">IF(History!FO$2="","",#REF!*$C$122)</f>
        <v/>
      </c>
      <c r="FL122" s="11" t="str">
        <f ca="1">IF(History!FP$2="","",#REF!*$C$122)</f>
        <v/>
      </c>
      <c r="FM122" s="11" t="str">
        <f ca="1">IF(History!FQ$2="","",#REF!*$C$122)</f>
        <v/>
      </c>
      <c r="FN122" s="11" t="str">
        <f ca="1">IF(History!FR$2="","",#REF!*$C$122)</f>
        <v/>
      </c>
      <c r="FO122" s="11" t="str">
        <f ca="1">IF(History!FS$2="","",#REF!*$C$122)</f>
        <v/>
      </c>
      <c r="FP122" s="11" t="str">
        <f ca="1">IF(History!FT$2="","",#REF!*$C$122)</f>
        <v/>
      </c>
      <c r="FQ122" s="11" t="str">
        <f ca="1">IF(History!FU$2="","",#REF!*$C$122)</f>
        <v/>
      </c>
      <c r="FR122" s="11" t="str">
        <f ca="1">IF(History!FV$2="","",#REF!*$C$122)</f>
        <v/>
      </c>
      <c r="FS122" s="11" t="str">
        <f ca="1">IF(History!FW$2="","",#REF!*$C$122)</f>
        <v/>
      </c>
      <c r="FT122" s="11" t="str">
        <f ca="1">IF(History!FX$2="","",#REF!*$C$122)</f>
        <v/>
      </c>
      <c r="FU122" s="11" t="str">
        <f ca="1">IF(History!FY$2="","",#REF!*$C$122)</f>
        <v/>
      </c>
      <c r="FV122" s="11" t="str">
        <f ca="1">IF(History!FZ$2="","",#REF!*$C$122)</f>
        <v/>
      </c>
      <c r="FW122" s="11" t="str">
        <f ca="1">IF(History!GA$2="","",#REF!*$C$122)</f>
        <v/>
      </c>
      <c r="FX122" s="11" t="str">
        <f ca="1">IF(History!GB$2="","",#REF!*$C$122)</f>
        <v/>
      </c>
      <c r="FY122" s="11" t="str">
        <f ca="1">IF(History!GC$2="","",#REF!*$C$122)</f>
        <v/>
      </c>
      <c r="FZ122" s="11" t="str">
        <f ca="1">IF(History!GD$2="","",#REF!*$C$122)</f>
        <v/>
      </c>
      <c r="GA122" s="11" t="str">
        <f ca="1">IF(History!GE$2="","",#REF!*$C$122)</f>
        <v/>
      </c>
      <c r="GB122" s="11" t="str">
        <f ca="1">IF(History!GF$2="","",#REF!*$C$122)</f>
        <v/>
      </c>
      <c r="GC122" s="11" t="str">
        <f ca="1">IF(History!GG$2="","",#REF!*$C$122)</f>
        <v/>
      </c>
      <c r="GD122" s="11" t="str">
        <f ca="1">IF(History!GH$2="","",#REF!*$C$122)</f>
        <v/>
      </c>
      <c r="GE122" s="11" t="str">
        <f ca="1">IF(History!GI$2="","",#REF!*$C$122)</f>
        <v/>
      </c>
      <c r="GF122" s="11" t="str">
        <f ca="1">IF(History!GJ$2="","",#REF!*$C$122)</f>
        <v/>
      </c>
      <c r="GG122" s="11" t="str">
        <f ca="1">IF(History!GK$2="","",#REF!*$C$122)</f>
        <v/>
      </c>
      <c r="GH122" s="11" t="str">
        <f ca="1">IF(History!GL$2="","",#REF!*$C$122)</f>
        <v/>
      </c>
      <c r="GI122" s="11" t="str">
        <f ca="1">IF(History!GM$2="","",#REF!*$C$122)</f>
        <v/>
      </c>
      <c r="GJ122" s="11" t="str">
        <f ca="1">IF(History!GN$2="","",#REF!*$C$122)</f>
        <v/>
      </c>
      <c r="GK122" s="11" t="str">
        <f ca="1">IF(History!GO$2="","",#REF!*$C$122)</f>
        <v/>
      </c>
      <c r="GL122" s="11" t="str">
        <f ca="1">IF(History!GP$2="","",#REF!*$C$122)</f>
        <v/>
      </c>
      <c r="GM122" s="11" t="str">
        <f ca="1">IF(History!GQ$2="","",#REF!*$C$122)</f>
        <v/>
      </c>
      <c r="GN122" s="11" t="str">
        <f ca="1">IF(History!GR$2="","",#REF!*$C$122)</f>
        <v/>
      </c>
      <c r="GO122" s="11" t="str">
        <f ca="1">IF(History!GS$2="","",#REF!*$C$122)</f>
        <v/>
      </c>
      <c r="GP122" s="11" t="str">
        <f ca="1">IF(History!GT$2="","",#REF!*$C$122)</f>
        <v/>
      </c>
      <c r="GQ122" s="11" t="str">
        <f ca="1">IF(History!GU$2="","",#REF!*$C$122)</f>
        <v/>
      </c>
      <c r="GR122" s="11" t="str">
        <f ca="1">IF(History!GV$2="","",#REF!*$C$122)</f>
        <v/>
      </c>
      <c r="GS122" s="11" t="str">
        <f ca="1">IF(History!GW$2="","",#REF!*$C$122)</f>
        <v/>
      </c>
      <c r="GT122" s="11" t="str">
        <f ca="1">IF(History!GX$2="","",#REF!*$C$122)</f>
        <v/>
      </c>
      <c r="GU122" s="11" t="str">
        <f ca="1">IF(History!GY$2="","",#REF!*$C$122)</f>
        <v/>
      </c>
      <c r="GV122" s="11" t="str">
        <f ca="1">IF(History!GZ$2="","",#REF!*$C$122)</f>
        <v/>
      </c>
      <c r="GW122" s="11" t="str">
        <f ca="1">IF(History!HA$2="","",#REF!*$C$122)</f>
        <v/>
      </c>
      <c r="GX122" s="11" t="str">
        <f ca="1">IF(History!HB$2="","",#REF!*$C$122)</f>
        <v/>
      </c>
      <c r="GY122" s="11" t="str">
        <f ca="1">IF(History!HC$2="","",#REF!*$C$122)</f>
        <v/>
      </c>
      <c r="GZ122" s="11" t="str">
        <f ca="1">IF(History!HD$2="","",#REF!*$C$122)</f>
        <v/>
      </c>
      <c r="HA122" s="11" t="str">
        <f ca="1">IF(History!HE$2="","",#REF!*$C$122)</f>
        <v/>
      </c>
      <c r="HB122" s="11" t="str">
        <f ca="1">IF(History!HF$2="","",#REF!*$C$122)</f>
        <v/>
      </c>
      <c r="HC122" s="11" t="str">
        <f ca="1">IF(History!HG$2="","",#REF!*$C$122)</f>
        <v/>
      </c>
      <c r="HD122" s="11" t="str">
        <f ca="1">IF(History!HH$2="","",#REF!*$C$122)</f>
        <v/>
      </c>
      <c r="HE122" s="11" t="str">
        <f ca="1">IF(History!HI$2="","",#REF!*$C$122)</f>
        <v/>
      </c>
      <c r="HF122" s="11" t="str">
        <f ca="1">IF(History!HJ$2="","",#REF!*$C$122)</f>
        <v/>
      </c>
      <c r="HG122" s="11" t="str">
        <f ca="1">IF(History!HK$2="","",#REF!*$C$122)</f>
        <v/>
      </c>
      <c r="HH122" s="11" t="str">
        <f ca="1">IF(History!HL$2="","",#REF!*$C$122)</f>
        <v/>
      </c>
      <c r="HI122" s="11" t="str">
        <f ca="1">IF(History!HM$2="","",#REF!*$C$122)</f>
        <v/>
      </c>
      <c r="HJ122" s="11" t="str">
        <f ca="1">IF(History!HN$2="","",#REF!*$C$122)</f>
        <v/>
      </c>
      <c r="HK122" s="11" t="str">
        <f ca="1">IF(History!HO$2="","",#REF!*$C$122)</f>
        <v/>
      </c>
      <c r="HL122" s="11" t="str">
        <f ca="1">IF(History!HP$2="","",#REF!*$C$122)</f>
        <v/>
      </c>
      <c r="HM122" s="11" t="str">
        <f ca="1">IF(History!HQ$2="","",#REF!*$C$122)</f>
        <v/>
      </c>
      <c r="HN122" s="11" t="str">
        <f ca="1">IF(History!HR$2="","",#REF!*$C$122)</f>
        <v/>
      </c>
      <c r="HO122" s="11" t="str">
        <f ca="1">IF(History!HS$2="","",#REF!*$C$122)</f>
        <v/>
      </c>
      <c r="HP122" s="11" t="str">
        <f ca="1">IF(History!HT$2="","",#REF!*$C$122)</f>
        <v/>
      </c>
      <c r="HQ122" s="11" t="str">
        <f ca="1">IF(History!HU$2="","",#REF!*$C$122)</f>
        <v/>
      </c>
      <c r="HR122" s="11" t="str">
        <f ca="1">IF(History!HV$2="","",#REF!*$C$122)</f>
        <v/>
      </c>
      <c r="HS122" s="11" t="str">
        <f ca="1">IF(History!HW$2="","",#REF!*$C$122)</f>
        <v/>
      </c>
      <c r="HT122" s="11" t="str">
        <f ca="1">IF(History!HX$2="","",#REF!*$C$122)</f>
        <v/>
      </c>
      <c r="HU122" s="11" t="str">
        <f ca="1">IF(History!HY$2="","",#REF!*$C$122)</f>
        <v/>
      </c>
      <c r="HV122" s="11" t="str">
        <f ca="1">IF(History!HZ$2="","",#REF!*$C$122)</f>
        <v/>
      </c>
      <c r="HW122" s="11" t="str">
        <f ca="1">IF(History!IA$2="","",#REF!*$C$122)</f>
        <v/>
      </c>
      <c r="HX122" s="11" t="str">
        <f ca="1">IF(History!IB$2="","",#REF!*$C$122)</f>
        <v/>
      </c>
      <c r="HY122" s="11" t="str">
        <f ca="1">IF(History!IC$2="","",#REF!*$C$122)</f>
        <v/>
      </c>
      <c r="HZ122" s="11" t="str">
        <f ca="1">IF(History!ID$2="","",#REF!*$C$122)</f>
        <v/>
      </c>
      <c r="IA122" s="11" t="str">
        <f ca="1">IF(History!IE$2="","",#REF!*$C$122)</f>
        <v/>
      </c>
      <c r="IB122" s="11" t="str">
        <f ca="1">IF(History!IF$2="","",#REF!*$C$122)</f>
        <v/>
      </c>
      <c r="IC122" s="11" t="str">
        <f ca="1">IF(History!IG$2="","",#REF!*$C$122)</f>
        <v/>
      </c>
      <c r="ID122" s="11" t="str">
        <f ca="1">IF(History!IH$2="","",#REF!*$C$122)</f>
        <v/>
      </c>
      <c r="IE122" s="11" t="str">
        <f ca="1">IF(History!II$2="","",#REF!*$C$122)</f>
        <v/>
      </c>
      <c r="IF122" s="11" t="str">
        <f ca="1">IF(History!IJ$2="","",#REF!*$C$122)</f>
        <v/>
      </c>
      <c r="IG122" s="11" t="str">
        <f ca="1">IF(History!IK$2="","",#REF!*$C$122)</f>
        <v/>
      </c>
      <c r="IH122" s="11" t="str">
        <f ca="1">IF(History!IL$2="","",#REF!*$C$122)</f>
        <v/>
      </c>
      <c r="II122" s="11" t="str">
        <f ca="1">IF(History!IM$2="","",#REF!*$C$122)</f>
        <v/>
      </c>
      <c r="IJ122" s="11" t="str">
        <f ca="1">IF(History!IN$2="","",#REF!*$C$122)</f>
        <v/>
      </c>
      <c r="IK122" s="11" t="str">
        <f ca="1">IF(History!IO$2="","",#REF!*$C$122)</f>
        <v/>
      </c>
      <c r="IL122" s="11" t="str">
        <f ca="1">IF(History!IP$2="","",#REF!*$C$122)</f>
        <v/>
      </c>
      <c r="IM122" s="11" t="str">
        <f ca="1">IF(History!IQ$2="","",#REF!*$C$122)</f>
        <v/>
      </c>
      <c r="IN122" s="11" t="str">
        <f ca="1">IF(History!IR$2="","",#REF!*$C$122)</f>
        <v/>
      </c>
      <c r="IO122" s="11" t="str">
        <f ca="1">IF(History!IS$2="","",#REF!*$C$122)</f>
        <v/>
      </c>
      <c r="IP122" s="11" t="str">
        <f ca="1">IF(History!IT$2="","",#REF!*$C$122)</f>
        <v/>
      </c>
      <c r="IQ122" s="11" t="str">
        <f ca="1">IF(History!IU$2="","",#REF!*$C$122)</f>
        <v/>
      </c>
      <c r="IR122" s="11" t="str">
        <f ca="1">IF(History!IV$2="","",#REF!*$C$122)</f>
        <v/>
      </c>
      <c r="IS122" s="11" t="str">
        <f ca="1">IF(History!IW$2="","",#REF!*$C$122)</f>
        <v/>
      </c>
      <c r="IT122" s="11" t="str">
        <f ca="1">IF(History!IX$2="","",#REF!*$C$122)</f>
        <v/>
      </c>
      <c r="IU122" s="11" t="str">
        <f ca="1">IF(History!IY$2="","",#REF!*$C$122)</f>
        <v/>
      </c>
      <c r="IV122" s="11" t="str">
        <f ca="1">IF(History!IZ$2="","",#REF!*$C$122)</f>
        <v/>
      </c>
      <c r="IW122" s="11" t="str">
        <f ca="1">IF(History!JA$2="","",#REF!*$C$122)</f>
        <v/>
      </c>
      <c r="IX122" s="11" t="str">
        <f ca="1">IF(History!JB$2="","",#REF!*$C$122)</f>
        <v/>
      </c>
      <c r="IY122" s="11" t="str">
        <f ca="1">IF(History!JC$2="","",#REF!*$C$122)</f>
        <v/>
      </c>
      <c r="IZ122" s="11" t="str">
        <f ca="1">IF(History!JD$2="","",#REF!*$C$122)</f>
        <v/>
      </c>
      <c r="JA122" s="11" t="str">
        <f ca="1">IF(History!JE$2="","",#REF!*$C$122)</f>
        <v/>
      </c>
      <c r="JB122" s="11" t="str">
        <f ca="1">IF(History!JF$2="","",#REF!*$C$122)</f>
        <v/>
      </c>
      <c r="JC122" s="11" t="str">
        <f ca="1">IF(History!JG$2="","",#REF!*$C$122)</f>
        <v/>
      </c>
      <c r="JD122" s="11" t="str">
        <f ca="1">IF(History!JH$2="","",#REF!*$C$122)</f>
        <v/>
      </c>
      <c r="JE122" s="11" t="str">
        <f ca="1">IF(History!JI$2="","",#REF!*$C$122)</f>
        <v/>
      </c>
      <c r="JF122" s="11" t="str">
        <f ca="1">IF(History!JJ$2="","",#REF!*$C$122)</f>
        <v/>
      </c>
      <c r="JG122" s="11" t="str">
        <f ca="1">IF(History!JK$2="","",#REF!*$C$122)</f>
        <v/>
      </c>
      <c r="JH122" s="11" t="str">
        <f ca="1">IF(History!JL$2="","",#REF!*$C$122)</f>
        <v/>
      </c>
      <c r="JI122" s="11" t="str">
        <f ca="1">IF(History!JM$2="","",#REF!*$C$122)</f>
        <v/>
      </c>
      <c r="JJ122" s="11" t="str">
        <f ca="1">IF(History!JN$2="","",#REF!*$C$122)</f>
        <v/>
      </c>
      <c r="JK122" s="11" t="str">
        <f ca="1">IF(History!JO$2="","",#REF!*$C$122)</f>
        <v/>
      </c>
      <c r="JL122" s="11" t="str">
        <f ca="1">IF(History!JP$2="","",#REF!*$C$122)</f>
        <v/>
      </c>
      <c r="JM122" s="11" t="str">
        <f ca="1">IF(History!JQ$2="","",#REF!*$C$122)</f>
        <v/>
      </c>
      <c r="JN122" s="11" t="str">
        <f ca="1">IF(History!JR$2="","",#REF!*$C$122)</f>
        <v/>
      </c>
      <c r="JO122" s="11" t="str">
        <f ca="1">IF(History!JS$2="","",#REF!*$C$122)</f>
        <v/>
      </c>
      <c r="JP122" s="11" t="str">
        <f ca="1">IF(History!JT$2="","",#REF!*$C$122)</f>
        <v/>
      </c>
      <c r="JQ122" s="11" t="str">
        <f ca="1">IF(History!JU$2="","",#REF!*$C$122)</f>
        <v/>
      </c>
      <c r="JR122" s="11" t="str">
        <f ca="1">IF(History!JV$2="","",#REF!*$C$122)</f>
        <v/>
      </c>
      <c r="JS122" s="11" t="str">
        <f ca="1">IF(History!JW$2="","",#REF!*$C$122)</f>
        <v/>
      </c>
      <c r="JT122" s="11" t="str">
        <f ca="1">IF(History!JX$2="","",#REF!*$C$122)</f>
        <v/>
      </c>
      <c r="JU122" s="11" t="str">
        <f ca="1">IF(History!JY$2="","",#REF!*$C$122)</f>
        <v/>
      </c>
      <c r="JV122" s="11" t="str">
        <f ca="1">IF(History!JZ$2="","",#REF!*$C$122)</f>
        <v/>
      </c>
      <c r="JW122" s="11" t="str">
        <f ca="1">IF(History!KA$2="","",#REF!*$C$122)</f>
        <v/>
      </c>
      <c r="JX122" s="11" t="str">
        <f ca="1">IF(History!KB$2="","",#REF!*$C$122)</f>
        <v/>
      </c>
      <c r="JY122" s="11" t="str">
        <f ca="1">IF(History!KC$2="","",#REF!*$C$122)</f>
        <v/>
      </c>
      <c r="JZ122" s="11" t="str">
        <f ca="1">IF(History!KD$2="","",#REF!*$C$122)</f>
        <v/>
      </c>
      <c r="KA122" s="11" t="str">
        <f ca="1">IF(History!KE$2="","",#REF!*$C$122)</f>
        <v/>
      </c>
      <c r="KB122" s="11" t="str">
        <f ca="1">IF(History!KF$2="","",#REF!*$C$122)</f>
        <v/>
      </c>
    </row>
    <row r="123" spans="1:288" ht="13">
      <c r="A123" s="2" t="s">
        <v>40</v>
      </c>
      <c r="B123" s="32" t="s">
        <v>112</v>
      </c>
      <c r="C123" s="33">
        <v>41</v>
      </c>
      <c r="D123" s="11" t="e">
        <f ca="1">IF(History!H$2="","",#REF!*$C$123)</f>
        <v>#REF!</v>
      </c>
      <c r="E123" s="11" t="e">
        <f ca="1">IF(History!I$2="","",#REF!*$C$123)</f>
        <v>#REF!</v>
      </c>
      <c r="F123" s="11" t="e">
        <f ca="1">IF(History!J$2="","",#REF!*$C$123)</f>
        <v>#REF!</v>
      </c>
      <c r="G123" s="11" t="e">
        <f ca="1">IF(History!K$2="","",#REF!*$C$123)</f>
        <v>#REF!</v>
      </c>
      <c r="H123" s="11" t="e">
        <f ca="1">IF(History!L$2="","",#REF!*$C$123)</f>
        <v>#REF!</v>
      </c>
      <c r="I123" s="11" t="e">
        <f ca="1">IF(History!M$2="","",#REF!*$C$123)</f>
        <v>#REF!</v>
      </c>
      <c r="J123" s="11" t="e">
        <f ca="1">IF(History!N$2="","",#REF!*$C$123)</f>
        <v>#REF!</v>
      </c>
      <c r="K123" s="11" t="e">
        <f ca="1">IF(History!O$2="","",#REF!*$C$123)</f>
        <v>#REF!</v>
      </c>
      <c r="L123" s="11" t="e">
        <f ca="1">IF(History!P$2="","",#REF!*$C$123)</f>
        <v>#REF!</v>
      </c>
      <c r="M123" s="11" t="e">
        <f ca="1">IF(History!Q$2="","",#REF!*$C$123)</f>
        <v>#REF!</v>
      </c>
      <c r="N123" s="11" t="e">
        <f ca="1">IF(History!R$2="","",#REF!*$C$123)</f>
        <v>#REF!</v>
      </c>
      <c r="O123" s="11" t="e">
        <f ca="1">IF(History!S$2="","",#REF!*$C$123)</f>
        <v>#REF!</v>
      </c>
      <c r="P123" s="11" t="e">
        <f ca="1">IF(History!T$2="","",#REF!*$C$123)</f>
        <v>#REF!</v>
      </c>
      <c r="Q123" s="11" t="e">
        <f ca="1">IF(History!U$2="","",#REF!*$C$123)</f>
        <v>#REF!</v>
      </c>
      <c r="R123" s="11" t="e">
        <f ca="1">IF(History!V$2="","",#REF!*$C$123)</f>
        <v>#REF!</v>
      </c>
      <c r="S123" s="11" t="e">
        <f ca="1">IF(History!W$2="","",#REF!*$C$123)</f>
        <v>#REF!</v>
      </c>
      <c r="T123" s="11" t="e">
        <f ca="1">IF(History!X$2="","",#REF!*$C$123)</f>
        <v>#REF!</v>
      </c>
      <c r="U123" s="11" t="e">
        <f ca="1">IF(History!Y$2="","",#REF!*$C$123)</f>
        <v>#REF!</v>
      </c>
      <c r="V123" s="11" t="e">
        <f ca="1">IF(History!Z$2="","",#REF!*$C$123)</f>
        <v>#REF!</v>
      </c>
      <c r="W123" s="11" t="e">
        <f ca="1">IF(History!AA$2="","",#REF!*$C$123)</f>
        <v>#REF!</v>
      </c>
      <c r="X123" s="11" t="e">
        <f ca="1">IF(History!AB$2="","",#REF!*$C$123)</f>
        <v>#REF!</v>
      </c>
      <c r="Y123" s="11" t="e">
        <f ca="1">IF(History!AC$2="","",#REF!*$C$123)</f>
        <v>#REF!</v>
      </c>
      <c r="Z123" s="11" t="e">
        <f ca="1">IF(History!AD$2="","",#REF!*$C$123)</f>
        <v>#REF!</v>
      </c>
      <c r="AA123" s="11" t="e">
        <f ca="1">IF(History!AE$2="","",#REF!*$C$123)</f>
        <v>#REF!</v>
      </c>
      <c r="AB123" s="11" t="e">
        <f ca="1">IF(History!AF$2="","",#REF!*$C$123)</f>
        <v>#REF!</v>
      </c>
      <c r="AC123" s="11" t="e">
        <f ca="1">IF(History!AG$2="","",#REF!*$C$123)</f>
        <v>#REF!</v>
      </c>
      <c r="AD123" s="11" t="e">
        <f ca="1">IF(History!AH$2="","",#REF!*$C$123)</f>
        <v>#REF!</v>
      </c>
      <c r="AE123" s="11" t="e">
        <f ca="1">IF(History!AI$2="","",#REF!*$C$123)</f>
        <v>#REF!</v>
      </c>
      <c r="AF123" s="11" t="e">
        <f ca="1">IF(History!AJ$2="","",#REF!*$C$123)</f>
        <v>#REF!</v>
      </c>
      <c r="AG123" s="11" t="e">
        <f ca="1">IF(History!AK$2="","",#REF!*$C$123)</f>
        <v>#REF!</v>
      </c>
      <c r="AH123" s="11" t="e">
        <f ca="1">IF(History!AL$2="","",#REF!*$C$123)</f>
        <v>#REF!</v>
      </c>
      <c r="AI123" s="11" t="e">
        <f ca="1">IF(History!AM$2="","",#REF!*$C$123)</f>
        <v>#REF!</v>
      </c>
      <c r="AJ123" s="11" t="e">
        <f ca="1">IF(History!AN$2="","",#REF!*$C$123)</f>
        <v>#REF!</v>
      </c>
      <c r="AK123" s="11" t="e">
        <f ca="1">IF(History!AO$2="","",#REF!*$C$123)</f>
        <v>#REF!</v>
      </c>
      <c r="AL123" s="11" t="e">
        <f ca="1">IF(History!AP$2="","",#REF!*$C$123)</f>
        <v>#REF!</v>
      </c>
      <c r="AM123" s="11" t="e">
        <f ca="1">IF(History!AQ$2="","",#REF!*$C$123)</f>
        <v>#REF!</v>
      </c>
      <c r="AN123" s="11" t="e">
        <f ca="1">IF(History!AR$2="","",#REF!*$C$123)</f>
        <v>#REF!</v>
      </c>
      <c r="AO123" s="11" t="e">
        <f ca="1">IF(History!AS$2="","",#REF!*$C$123)</f>
        <v>#REF!</v>
      </c>
      <c r="AP123" s="11" t="e">
        <f ca="1">IF(History!AT$2="","",#REF!*$C$123)</f>
        <v>#REF!</v>
      </c>
      <c r="AQ123" s="11" t="e">
        <f ca="1">IF(History!AU$2="","",#REF!*$C$123)</f>
        <v>#REF!</v>
      </c>
      <c r="AR123" s="11" t="e">
        <f ca="1">IF(History!AV$2="","",#REF!*$C$123)</f>
        <v>#REF!</v>
      </c>
      <c r="AS123" s="11" t="e">
        <f ca="1">IF(History!AW$2="","",#REF!*$C$123)</f>
        <v>#REF!</v>
      </c>
      <c r="AT123" s="11" t="e">
        <f ca="1">IF(History!AX$2="","",#REF!*$C$123)</f>
        <v>#REF!</v>
      </c>
      <c r="AU123" s="11" t="e">
        <f ca="1">IF(History!AY$2="","",#REF!*$C$123)</f>
        <v>#REF!</v>
      </c>
      <c r="AV123" s="11" t="e">
        <f ca="1">IF(History!AZ$2="","",#REF!*$C$123)</f>
        <v>#REF!</v>
      </c>
      <c r="AW123" s="11" t="e">
        <f ca="1">IF(History!BA$2="","",#REF!*$C$123)</f>
        <v>#REF!</v>
      </c>
      <c r="AX123" s="11" t="e">
        <f ca="1">IF(History!BB$2="","",#REF!*$C$123)</f>
        <v>#REF!</v>
      </c>
      <c r="AY123" s="11" t="e">
        <f ca="1">IF(History!BC$2="","",#REF!*$C$123)</f>
        <v>#REF!</v>
      </c>
      <c r="AZ123" s="11" t="e">
        <f ca="1">IF(History!BD$2="","",#REF!*$C$123)</f>
        <v>#REF!</v>
      </c>
      <c r="BA123" s="11" t="e">
        <f ca="1">IF(History!BE$2="","",#REF!*$C$123)</f>
        <v>#REF!</v>
      </c>
      <c r="BB123" s="11" t="e">
        <f ca="1">IF(History!BF$2="","",#REF!*$C$123)</f>
        <v>#REF!</v>
      </c>
      <c r="BC123" s="11" t="e">
        <f ca="1">IF(History!BG$2="","",#REF!*$C$123)</f>
        <v>#REF!</v>
      </c>
      <c r="BD123" s="11" t="e">
        <f ca="1">IF(History!BH$2="","",#REF!*$C$123)</f>
        <v>#REF!</v>
      </c>
      <c r="BE123" s="11" t="e">
        <f ca="1">IF(History!BI$2="","",#REF!*$C$123)</f>
        <v>#REF!</v>
      </c>
      <c r="BF123" s="11" t="e">
        <f ca="1">IF(History!BJ$2="","",#REF!*$C$123)</f>
        <v>#REF!</v>
      </c>
      <c r="BG123" s="11" t="e">
        <f ca="1">IF(History!BK$2="","",#REF!*$C$123)</f>
        <v>#REF!</v>
      </c>
      <c r="BH123" s="11" t="e">
        <f ca="1">IF(History!BL$2="","",#REF!*$C$123)</f>
        <v>#REF!</v>
      </c>
      <c r="BI123" s="11" t="e">
        <f ca="1">IF(History!BM$2="","",#REF!*$C$123)</f>
        <v>#REF!</v>
      </c>
      <c r="BJ123" s="11" t="e">
        <f ca="1">IF(History!BN$2="","",#REF!*$C$123)</f>
        <v>#REF!</v>
      </c>
      <c r="BK123" s="11" t="e">
        <f ca="1">IF(History!BO$2="","",#REF!*$C$123)</f>
        <v>#REF!</v>
      </c>
      <c r="BL123" s="11" t="e">
        <f ca="1">IF(History!BP$2="","",#REF!*$C$123)</f>
        <v>#REF!</v>
      </c>
      <c r="BM123" s="11" t="e">
        <f ca="1">IF(History!BQ$2="","",#REF!*$C$123)</f>
        <v>#REF!</v>
      </c>
      <c r="BN123" s="11" t="e">
        <f ca="1">IF(History!BR$2="","",#REF!*$C$123)</f>
        <v>#REF!</v>
      </c>
      <c r="BO123" s="11" t="e">
        <f ca="1">IF(History!BS$2="","",#REF!*$C$123)</f>
        <v>#REF!</v>
      </c>
      <c r="BP123" s="11" t="e">
        <f ca="1">IF(History!BT$2="","",#REF!*$C$123)</f>
        <v>#REF!</v>
      </c>
      <c r="BQ123" s="11" t="e">
        <f ca="1">IF(History!BU$2="","",#REF!*$C$123)</f>
        <v>#REF!</v>
      </c>
      <c r="BR123" s="11" t="e">
        <f ca="1">IF(History!BV$2="","",#REF!*$C$123)</f>
        <v>#REF!</v>
      </c>
      <c r="BS123" s="11" t="e">
        <f ca="1">IF(History!BW$2="","",#REF!*$C$123)</f>
        <v>#REF!</v>
      </c>
      <c r="BT123" s="11" t="e">
        <f ca="1">IF(History!BX$2="","",#REF!*$C$123)</f>
        <v>#REF!</v>
      </c>
      <c r="BU123" s="11" t="e">
        <f ca="1">IF(History!BY$2="","",#REF!*$C$123)</f>
        <v>#REF!</v>
      </c>
      <c r="BV123" s="11" t="e">
        <f ca="1">IF(History!BZ$2="","",#REF!*$C$123)</f>
        <v>#REF!</v>
      </c>
      <c r="BW123" s="11" t="e">
        <f ca="1">IF(History!CA$2="","",#REF!*$C$123)</f>
        <v>#REF!</v>
      </c>
      <c r="BX123" s="11" t="e">
        <f ca="1">IF(History!CB$2="","",#REF!*$C$123)</f>
        <v>#REF!</v>
      </c>
      <c r="BY123" s="11" t="e">
        <f ca="1">IF(History!CC$2="","",#REF!*$C$123)</f>
        <v>#REF!</v>
      </c>
      <c r="BZ123" s="11" t="e">
        <f ca="1">IF(History!CD$2="","",#REF!*$C$123)</f>
        <v>#REF!</v>
      </c>
      <c r="CA123" s="11" t="e">
        <f ca="1">IF(History!CE$2="","",#REF!*$C$123)</f>
        <v>#REF!</v>
      </c>
      <c r="CB123" s="11" t="e">
        <f ca="1">IF(History!CF$2="","",#REF!*$C$123)</f>
        <v>#REF!</v>
      </c>
      <c r="CC123" s="11" t="e">
        <f ca="1">IF(History!CG$2="","",#REF!*$C$123)</f>
        <v>#REF!</v>
      </c>
      <c r="CD123" s="11" t="e">
        <f ca="1">IF(History!CH$2="","",#REF!*$C$123)</f>
        <v>#REF!</v>
      </c>
      <c r="CE123" s="11" t="e">
        <f ca="1">IF(History!CI$2="","",#REF!*$C$123)</f>
        <v>#REF!</v>
      </c>
      <c r="CF123" s="11" t="str">
        <f ca="1">IF(History!CJ$2="","",#REF!*$C$123)</f>
        <v/>
      </c>
      <c r="CG123" s="11" t="str">
        <f ca="1">IF(History!CK$2="","",#REF!*$C$123)</f>
        <v/>
      </c>
      <c r="CH123" s="11" t="str">
        <f ca="1">IF(History!CL$2="","",#REF!*$C$123)</f>
        <v/>
      </c>
      <c r="CI123" s="11" t="str">
        <f ca="1">IF(History!CM$2="","",#REF!*$C$123)</f>
        <v/>
      </c>
      <c r="CJ123" s="11" t="str">
        <f ca="1">IF(History!CN$2="","",#REF!*$C$123)</f>
        <v/>
      </c>
      <c r="CK123" s="11" t="str">
        <f ca="1">IF(History!CO$2="","",#REF!*$C$123)</f>
        <v/>
      </c>
      <c r="CL123" s="11" t="str">
        <f ca="1">IF(History!CP$2="","",#REF!*$C$123)</f>
        <v/>
      </c>
      <c r="CM123" s="11" t="str">
        <f ca="1">IF(History!CQ$2="","",#REF!*$C$123)</f>
        <v/>
      </c>
      <c r="CN123" s="11" t="str">
        <f ca="1">IF(History!CR$2="","",#REF!*$C$123)</f>
        <v/>
      </c>
      <c r="CO123" s="11" t="str">
        <f ca="1">IF(History!CS$2="","",#REF!*$C$123)</f>
        <v/>
      </c>
      <c r="CP123" s="11" t="str">
        <f ca="1">IF(History!CT$2="","",#REF!*$C$123)</f>
        <v/>
      </c>
      <c r="CQ123" s="11" t="str">
        <f ca="1">IF(History!CU$2="","",#REF!*$C$123)</f>
        <v/>
      </c>
      <c r="CR123" s="11" t="str">
        <f ca="1">IF(History!CV$2="","",#REF!*$C$123)</f>
        <v/>
      </c>
      <c r="CS123" s="11" t="str">
        <f ca="1">IF(History!CW$2="","",#REF!*$C$123)</f>
        <v/>
      </c>
      <c r="CT123" s="11" t="str">
        <f ca="1">IF(History!CX$2="","",#REF!*$C$123)</f>
        <v/>
      </c>
      <c r="CU123" s="11" t="str">
        <f ca="1">IF(History!CY$2="","",#REF!*$C$123)</f>
        <v/>
      </c>
      <c r="CV123" s="11" t="str">
        <f ca="1">IF(History!CZ$2="","",#REF!*$C$123)</f>
        <v/>
      </c>
      <c r="CW123" s="11" t="str">
        <f ca="1">IF(History!DA$2="","",#REF!*$C$123)</f>
        <v/>
      </c>
      <c r="CX123" s="11" t="str">
        <f ca="1">IF(History!DB$2="","",#REF!*$C$123)</f>
        <v/>
      </c>
      <c r="CY123" s="11" t="str">
        <f ca="1">IF(History!DC$2="","",#REF!*$C$123)</f>
        <v/>
      </c>
      <c r="CZ123" s="11" t="str">
        <f ca="1">IF(History!DD$2="","",#REF!*$C$123)</f>
        <v/>
      </c>
      <c r="DA123" s="11" t="str">
        <f ca="1">IF(History!DE$2="","",#REF!*$C$123)</f>
        <v/>
      </c>
      <c r="DB123" s="11" t="str">
        <f ca="1">IF(History!DF$2="","",#REF!*$C$123)</f>
        <v/>
      </c>
      <c r="DC123" s="11" t="str">
        <f ca="1">IF(History!DG$2="","",#REF!*$C$123)</f>
        <v/>
      </c>
      <c r="DD123" s="11" t="str">
        <f ca="1">IF(History!DH$2="","",#REF!*$C$123)</f>
        <v/>
      </c>
      <c r="DE123" s="11" t="str">
        <f ca="1">IF(History!DI$2="","",#REF!*$C$123)</f>
        <v/>
      </c>
      <c r="DF123" s="11" t="str">
        <f ca="1">IF(History!DJ$2="","",#REF!*$C$123)</f>
        <v/>
      </c>
      <c r="DG123" s="11" t="str">
        <f ca="1">IF(History!DK$2="","",#REF!*$C$123)</f>
        <v/>
      </c>
      <c r="DH123" s="11" t="str">
        <f ca="1">IF(History!DL$2="","",#REF!*$C$123)</f>
        <v/>
      </c>
      <c r="DI123" s="11" t="str">
        <f ca="1">IF(History!DM$2="","",#REF!*$C$123)</f>
        <v/>
      </c>
      <c r="DJ123" s="11" t="str">
        <f ca="1">IF(History!DN$2="","",#REF!*$C$123)</f>
        <v/>
      </c>
      <c r="DK123" s="11" t="str">
        <f ca="1">IF(History!DO$2="","",#REF!*$C$123)</f>
        <v/>
      </c>
      <c r="DL123" s="11" t="str">
        <f ca="1">IF(History!DP$2="","",#REF!*$C$123)</f>
        <v/>
      </c>
      <c r="DM123" s="11" t="str">
        <f ca="1">IF(History!DQ$2="","",#REF!*$C$123)</f>
        <v/>
      </c>
      <c r="DN123" s="11" t="str">
        <f ca="1">IF(History!DR$2="","",#REF!*$C$123)</f>
        <v/>
      </c>
      <c r="DO123" s="11" t="str">
        <f ca="1">IF(History!DS$2="","",#REF!*$C$123)</f>
        <v/>
      </c>
      <c r="DP123" s="11" t="str">
        <f ca="1">IF(History!DT$2="","",#REF!*$C$123)</f>
        <v/>
      </c>
      <c r="DQ123" s="11" t="str">
        <f ca="1">IF(History!DU$2="","",#REF!*$C$123)</f>
        <v/>
      </c>
      <c r="DR123" s="11" t="str">
        <f ca="1">IF(History!DV$2="","",#REF!*$C$123)</f>
        <v/>
      </c>
      <c r="DS123" s="11" t="str">
        <f ca="1">IF(History!DW$2="","",#REF!*$C$123)</f>
        <v/>
      </c>
      <c r="DT123" s="11" t="str">
        <f ca="1">IF(History!DX$2="","",#REF!*$C$123)</f>
        <v/>
      </c>
      <c r="DU123" s="11" t="str">
        <f ca="1">IF(History!DY$2="","",#REF!*$C$123)</f>
        <v/>
      </c>
      <c r="DV123" s="11" t="str">
        <f ca="1">IF(History!DZ$2="","",#REF!*$C$123)</f>
        <v/>
      </c>
      <c r="DW123" s="11" t="str">
        <f ca="1">IF(History!EA$2="","",#REF!*$C$123)</f>
        <v/>
      </c>
      <c r="DX123" s="11" t="str">
        <f ca="1">IF(History!EB$2="","",#REF!*$C$123)</f>
        <v/>
      </c>
      <c r="DY123" s="11" t="str">
        <f ca="1">IF(History!EC$2="","",#REF!*$C$123)</f>
        <v/>
      </c>
      <c r="DZ123" s="11" t="str">
        <f ca="1">IF(History!ED$2="","",#REF!*$C$123)</f>
        <v/>
      </c>
      <c r="EA123" s="11" t="str">
        <f ca="1">IF(History!EE$2="","",#REF!*$C$123)</f>
        <v/>
      </c>
      <c r="EB123" s="11" t="str">
        <f ca="1">IF(History!EF$2="","",#REF!*$C$123)</f>
        <v/>
      </c>
      <c r="EC123" s="11" t="str">
        <f ca="1">IF(History!EG$2="","",#REF!*$C$123)</f>
        <v/>
      </c>
      <c r="ED123" s="11" t="str">
        <f ca="1">IF(History!EH$2="","",#REF!*$C$123)</f>
        <v/>
      </c>
      <c r="EE123" s="11" t="str">
        <f ca="1">IF(History!EI$2="","",#REF!*$C$123)</f>
        <v/>
      </c>
      <c r="EF123" s="11" t="str">
        <f ca="1">IF(History!EJ$2="","",#REF!*$C$123)</f>
        <v/>
      </c>
      <c r="EG123" s="11" t="str">
        <f ca="1">IF(History!EK$2="","",#REF!*$C$123)</f>
        <v/>
      </c>
      <c r="EH123" s="11" t="str">
        <f ca="1">IF(History!EL$2="","",#REF!*$C$123)</f>
        <v/>
      </c>
      <c r="EI123" s="11" t="str">
        <f ca="1">IF(History!EM$2="","",#REF!*$C$123)</f>
        <v/>
      </c>
      <c r="EJ123" s="11" t="str">
        <f ca="1">IF(History!EN$2="","",#REF!*$C$123)</f>
        <v/>
      </c>
      <c r="EK123" s="11" t="str">
        <f ca="1">IF(History!EO$2="","",#REF!*$C$123)</f>
        <v/>
      </c>
      <c r="EL123" s="11" t="str">
        <f ca="1">IF(History!EP$2="","",#REF!*$C$123)</f>
        <v/>
      </c>
      <c r="EM123" s="11" t="str">
        <f ca="1">IF(History!EQ$2="","",#REF!*$C$123)</f>
        <v/>
      </c>
      <c r="EN123" s="11" t="str">
        <f ca="1">IF(History!ER$2="","",#REF!*$C$123)</f>
        <v/>
      </c>
      <c r="EO123" s="11" t="str">
        <f ca="1">IF(History!ES$2="","",#REF!*$C$123)</f>
        <v/>
      </c>
      <c r="EP123" s="11" t="str">
        <f ca="1">IF(History!ET$2="","",#REF!*$C$123)</f>
        <v/>
      </c>
      <c r="EQ123" s="11" t="str">
        <f ca="1">IF(History!EU$2="","",#REF!*$C$123)</f>
        <v/>
      </c>
      <c r="ER123" s="11" t="str">
        <f ca="1">IF(History!EV$2="","",#REF!*$C$123)</f>
        <v/>
      </c>
      <c r="ES123" s="11" t="str">
        <f ca="1">IF(History!EW$2="","",#REF!*$C$123)</f>
        <v/>
      </c>
      <c r="ET123" s="11" t="str">
        <f ca="1">IF(History!EX$2="","",#REF!*$C$123)</f>
        <v/>
      </c>
      <c r="EU123" s="11" t="str">
        <f ca="1">IF(History!EY$2="","",#REF!*$C$123)</f>
        <v/>
      </c>
      <c r="EV123" s="11" t="str">
        <f ca="1">IF(History!EZ$2="","",#REF!*$C$123)</f>
        <v/>
      </c>
      <c r="EW123" s="11" t="str">
        <f ca="1">IF(History!FA$2="","",#REF!*$C$123)</f>
        <v/>
      </c>
      <c r="EX123" s="11" t="str">
        <f ca="1">IF(History!FB$2="","",#REF!*$C$123)</f>
        <v/>
      </c>
      <c r="EY123" s="11" t="str">
        <f ca="1">IF(History!FC$2="","",#REF!*$C$123)</f>
        <v/>
      </c>
      <c r="EZ123" s="11" t="str">
        <f ca="1">IF(History!FD$2="","",#REF!*$C$123)</f>
        <v/>
      </c>
      <c r="FA123" s="11" t="str">
        <f ca="1">IF(History!FE$2="","",#REF!*$C$123)</f>
        <v/>
      </c>
      <c r="FB123" s="11" t="str">
        <f ca="1">IF(History!FF$2="","",#REF!*$C$123)</f>
        <v/>
      </c>
      <c r="FC123" s="11" t="str">
        <f ca="1">IF(History!FG$2="","",#REF!*$C$123)</f>
        <v/>
      </c>
      <c r="FD123" s="11" t="str">
        <f ca="1">IF(History!FH$2="","",#REF!*$C$123)</f>
        <v/>
      </c>
      <c r="FE123" s="11" t="str">
        <f ca="1">IF(History!FI$2="","",#REF!*$C$123)</f>
        <v/>
      </c>
      <c r="FF123" s="11" t="str">
        <f ca="1">IF(History!FJ$2="","",#REF!*$C$123)</f>
        <v/>
      </c>
      <c r="FG123" s="11" t="str">
        <f ca="1">IF(History!FK$2="","",#REF!*$C$123)</f>
        <v/>
      </c>
      <c r="FH123" s="11" t="str">
        <f ca="1">IF(History!FL$2="","",#REF!*$C$123)</f>
        <v/>
      </c>
      <c r="FI123" s="11" t="str">
        <f ca="1">IF(History!FM$2="","",#REF!*$C$123)</f>
        <v/>
      </c>
      <c r="FJ123" s="11" t="str">
        <f ca="1">IF(History!FN$2="","",#REF!*$C$123)</f>
        <v/>
      </c>
      <c r="FK123" s="11" t="str">
        <f ca="1">IF(History!FO$2="","",#REF!*$C$123)</f>
        <v/>
      </c>
      <c r="FL123" s="11" t="str">
        <f ca="1">IF(History!FP$2="","",#REF!*$C$123)</f>
        <v/>
      </c>
      <c r="FM123" s="11" t="str">
        <f ca="1">IF(History!FQ$2="","",#REF!*$C$123)</f>
        <v/>
      </c>
      <c r="FN123" s="11" t="str">
        <f ca="1">IF(History!FR$2="","",#REF!*$C$123)</f>
        <v/>
      </c>
      <c r="FO123" s="11" t="str">
        <f ca="1">IF(History!FS$2="","",#REF!*$C$123)</f>
        <v/>
      </c>
      <c r="FP123" s="11" t="str">
        <f ca="1">IF(History!FT$2="","",#REF!*$C$123)</f>
        <v/>
      </c>
      <c r="FQ123" s="11" t="str">
        <f ca="1">IF(History!FU$2="","",#REF!*$C$123)</f>
        <v/>
      </c>
      <c r="FR123" s="11" t="str">
        <f ca="1">IF(History!FV$2="","",#REF!*$C$123)</f>
        <v/>
      </c>
      <c r="FS123" s="11" t="str">
        <f ca="1">IF(History!FW$2="","",#REF!*$C$123)</f>
        <v/>
      </c>
      <c r="FT123" s="11" t="str">
        <f ca="1">IF(History!FX$2="","",#REF!*$C$123)</f>
        <v/>
      </c>
      <c r="FU123" s="11" t="str">
        <f ca="1">IF(History!FY$2="","",#REF!*$C$123)</f>
        <v/>
      </c>
      <c r="FV123" s="11" t="str">
        <f ca="1">IF(History!FZ$2="","",#REF!*$C$123)</f>
        <v/>
      </c>
      <c r="FW123" s="11" t="str">
        <f ca="1">IF(History!GA$2="","",#REF!*$C$123)</f>
        <v/>
      </c>
      <c r="FX123" s="11" t="str">
        <f ca="1">IF(History!GB$2="","",#REF!*$C$123)</f>
        <v/>
      </c>
      <c r="FY123" s="11" t="str">
        <f ca="1">IF(History!GC$2="","",#REF!*$C$123)</f>
        <v/>
      </c>
      <c r="FZ123" s="11" t="str">
        <f ca="1">IF(History!GD$2="","",#REF!*$C$123)</f>
        <v/>
      </c>
      <c r="GA123" s="11" t="str">
        <f ca="1">IF(History!GE$2="","",#REF!*$C$123)</f>
        <v/>
      </c>
      <c r="GB123" s="11" t="str">
        <f ca="1">IF(History!GF$2="","",#REF!*$C$123)</f>
        <v/>
      </c>
      <c r="GC123" s="11" t="str">
        <f ca="1">IF(History!GG$2="","",#REF!*$C$123)</f>
        <v/>
      </c>
      <c r="GD123" s="11" t="str">
        <f ca="1">IF(History!GH$2="","",#REF!*$C$123)</f>
        <v/>
      </c>
      <c r="GE123" s="11" t="str">
        <f ca="1">IF(History!GI$2="","",#REF!*$C$123)</f>
        <v/>
      </c>
      <c r="GF123" s="11" t="str">
        <f ca="1">IF(History!GJ$2="","",#REF!*$C$123)</f>
        <v/>
      </c>
      <c r="GG123" s="11" t="str">
        <f ca="1">IF(History!GK$2="","",#REF!*$C$123)</f>
        <v/>
      </c>
      <c r="GH123" s="11" t="str">
        <f ca="1">IF(History!GL$2="","",#REF!*$C$123)</f>
        <v/>
      </c>
      <c r="GI123" s="11" t="str">
        <f ca="1">IF(History!GM$2="","",#REF!*$C$123)</f>
        <v/>
      </c>
      <c r="GJ123" s="11" t="str">
        <f ca="1">IF(History!GN$2="","",#REF!*$C$123)</f>
        <v/>
      </c>
      <c r="GK123" s="11" t="str">
        <f ca="1">IF(History!GO$2="","",#REF!*$C$123)</f>
        <v/>
      </c>
      <c r="GL123" s="11" t="str">
        <f ca="1">IF(History!GP$2="","",#REF!*$C$123)</f>
        <v/>
      </c>
      <c r="GM123" s="11" t="str">
        <f ca="1">IF(History!GQ$2="","",#REF!*$C$123)</f>
        <v/>
      </c>
      <c r="GN123" s="11" t="str">
        <f ca="1">IF(History!GR$2="","",#REF!*$C$123)</f>
        <v/>
      </c>
      <c r="GO123" s="11" t="str">
        <f ca="1">IF(History!GS$2="","",#REF!*$C$123)</f>
        <v/>
      </c>
      <c r="GP123" s="11" t="str">
        <f ca="1">IF(History!GT$2="","",#REF!*$C$123)</f>
        <v/>
      </c>
      <c r="GQ123" s="11" t="str">
        <f ca="1">IF(History!GU$2="","",#REF!*$C$123)</f>
        <v/>
      </c>
      <c r="GR123" s="11" t="str">
        <f ca="1">IF(History!GV$2="","",#REF!*$C$123)</f>
        <v/>
      </c>
      <c r="GS123" s="11" t="str">
        <f ca="1">IF(History!GW$2="","",#REF!*$C$123)</f>
        <v/>
      </c>
      <c r="GT123" s="11" t="str">
        <f ca="1">IF(History!GX$2="","",#REF!*$C$123)</f>
        <v/>
      </c>
      <c r="GU123" s="11" t="str">
        <f ca="1">IF(History!GY$2="","",#REF!*$C$123)</f>
        <v/>
      </c>
      <c r="GV123" s="11" t="str">
        <f ca="1">IF(History!GZ$2="","",#REF!*$C$123)</f>
        <v/>
      </c>
      <c r="GW123" s="11" t="str">
        <f ca="1">IF(History!HA$2="","",#REF!*$C$123)</f>
        <v/>
      </c>
      <c r="GX123" s="11" t="str">
        <f ca="1">IF(History!HB$2="","",#REF!*$C$123)</f>
        <v/>
      </c>
      <c r="GY123" s="11" t="str">
        <f ca="1">IF(History!HC$2="","",#REF!*$C$123)</f>
        <v/>
      </c>
      <c r="GZ123" s="11" t="str">
        <f ca="1">IF(History!HD$2="","",#REF!*$C$123)</f>
        <v/>
      </c>
      <c r="HA123" s="11" t="str">
        <f ca="1">IF(History!HE$2="","",#REF!*$C$123)</f>
        <v/>
      </c>
      <c r="HB123" s="11" t="str">
        <f ca="1">IF(History!HF$2="","",#REF!*$C$123)</f>
        <v/>
      </c>
      <c r="HC123" s="11" t="str">
        <f ca="1">IF(History!HG$2="","",#REF!*$C$123)</f>
        <v/>
      </c>
      <c r="HD123" s="11" t="str">
        <f ca="1">IF(History!HH$2="","",#REF!*$C$123)</f>
        <v/>
      </c>
      <c r="HE123" s="11" t="str">
        <f ca="1">IF(History!HI$2="","",#REF!*$C$123)</f>
        <v/>
      </c>
      <c r="HF123" s="11" t="str">
        <f ca="1">IF(History!HJ$2="","",#REF!*$C$123)</f>
        <v/>
      </c>
      <c r="HG123" s="11" t="str">
        <f ca="1">IF(History!HK$2="","",#REF!*$C$123)</f>
        <v/>
      </c>
      <c r="HH123" s="11" t="str">
        <f ca="1">IF(History!HL$2="","",#REF!*$C$123)</f>
        <v/>
      </c>
      <c r="HI123" s="11" t="str">
        <f ca="1">IF(History!HM$2="","",#REF!*$C$123)</f>
        <v/>
      </c>
      <c r="HJ123" s="11" t="str">
        <f ca="1">IF(History!HN$2="","",#REF!*$C$123)</f>
        <v/>
      </c>
      <c r="HK123" s="11" t="str">
        <f ca="1">IF(History!HO$2="","",#REF!*$C$123)</f>
        <v/>
      </c>
      <c r="HL123" s="11" t="str">
        <f ca="1">IF(History!HP$2="","",#REF!*$C$123)</f>
        <v/>
      </c>
      <c r="HM123" s="11" t="str">
        <f ca="1">IF(History!HQ$2="","",#REF!*$C$123)</f>
        <v/>
      </c>
      <c r="HN123" s="11" t="str">
        <f ca="1">IF(History!HR$2="","",#REF!*$C$123)</f>
        <v/>
      </c>
      <c r="HO123" s="11" t="str">
        <f ca="1">IF(History!HS$2="","",#REF!*$C$123)</f>
        <v/>
      </c>
      <c r="HP123" s="11" t="str">
        <f ca="1">IF(History!HT$2="","",#REF!*$C$123)</f>
        <v/>
      </c>
      <c r="HQ123" s="11" t="str">
        <f ca="1">IF(History!HU$2="","",#REF!*$C$123)</f>
        <v/>
      </c>
      <c r="HR123" s="11" t="str">
        <f ca="1">IF(History!HV$2="","",#REF!*$C$123)</f>
        <v/>
      </c>
      <c r="HS123" s="11" t="str">
        <f ca="1">IF(History!HW$2="","",#REF!*$C$123)</f>
        <v/>
      </c>
      <c r="HT123" s="11" t="str">
        <f ca="1">IF(History!HX$2="","",#REF!*$C$123)</f>
        <v/>
      </c>
      <c r="HU123" s="11" t="str">
        <f ca="1">IF(History!HY$2="","",#REF!*$C$123)</f>
        <v/>
      </c>
      <c r="HV123" s="11" t="str">
        <f ca="1">IF(History!HZ$2="","",#REF!*$C$123)</f>
        <v/>
      </c>
      <c r="HW123" s="11" t="str">
        <f ca="1">IF(History!IA$2="","",#REF!*$C$123)</f>
        <v/>
      </c>
      <c r="HX123" s="11" t="str">
        <f ca="1">IF(History!IB$2="","",#REF!*$C$123)</f>
        <v/>
      </c>
      <c r="HY123" s="11" t="str">
        <f ca="1">IF(History!IC$2="","",#REF!*$C$123)</f>
        <v/>
      </c>
      <c r="HZ123" s="11" t="str">
        <f ca="1">IF(History!ID$2="","",#REF!*$C$123)</f>
        <v/>
      </c>
      <c r="IA123" s="11" t="str">
        <f ca="1">IF(History!IE$2="","",#REF!*$C$123)</f>
        <v/>
      </c>
      <c r="IB123" s="11" t="str">
        <f ca="1">IF(History!IF$2="","",#REF!*$C$123)</f>
        <v/>
      </c>
      <c r="IC123" s="11" t="str">
        <f ca="1">IF(History!IG$2="","",#REF!*$C$123)</f>
        <v/>
      </c>
      <c r="ID123" s="11" t="str">
        <f ca="1">IF(History!IH$2="","",#REF!*$C$123)</f>
        <v/>
      </c>
      <c r="IE123" s="11" t="str">
        <f ca="1">IF(History!II$2="","",#REF!*$C$123)</f>
        <v/>
      </c>
      <c r="IF123" s="11" t="str">
        <f ca="1">IF(History!IJ$2="","",#REF!*$C$123)</f>
        <v/>
      </c>
      <c r="IG123" s="11" t="str">
        <f ca="1">IF(History!IK$2="","",#REF!*$C$123)</f>
        <v/>
      </c>
      <c r="IH123" s="11" t="str">
        <f ca="1">IF(History!IL$2="","",#REF!*$C$123)</f>
        <v/>
      </c>
      <c r="II123" s="11" t="str">
        <f ca="1">IF(History!IM$2="","",#REF!*$C$123)</f>
        <v/>
      </c>
      <c r="IJ123" s="11" t="str">
        <f ca="1">IF(History!IN$2="","",#REF!*$C$123)</f>
        <v/>
      </c>
      <c r="IK123" s="11" t="str">
        <f ca="1">IF(History!IO$2="","",#REF!*$C$123)</f>
        <v/>
      </c>
      <c r="IL123" s="11" t="str">
        <f ca="1">IF(History!IP$2="","",#REF!*$C$123)</f>
        <v/>
      </c>
      <c r="IM123" s="11" t="str">
        <f ca="1">IF(History!IQ$2="","",#REF!*$C$123)</f>
        <v/>
      </c>
      <c r="IN123" s="11" t="str">
        <f ca="1">IF(History!IR$2="","",#REF!*$C$123)</f>
        <v/>
      </c>
      <c r="IO123" s="11" t="str">
        <f ca="1">IF(History!IS$2="","",#REF!*$C$123)</f>
        <v/>
      </c>
      <c r="IP123" s="11" t="str">
        <f ca="1">IF(History!IT$2="","",#REF!*$C$123)</f>
        <v/>
      </c>
      <c r="IQ123" s="11" t="str">
        <f ca="1">IF(History!IU$2="","",#REF!*$C$123)</f>
        <v/>
      </c>
      <c r="IR123" s="11" t="str">
        <f ca="1">IF(History!IV$2="","",#REF!*$C$123)</f>
        <v/>
      </c>
      <c r="IS123" s="11" t="str">
        <f ca="1">IF(History!IW$2="","",#REF!*$C$123)</f>
        <v/>
      </c>
      <c r="IT123" s="11" t="str">
        <f ca="1">IF(History!IX$2="","",#REF!*$C$123)</f>
        <v/>
      </c>
      <c r="IU123" s="11" t="str">
        <f ca="1">IF(History!IY$2="","",#REF!*$C$123)</f>
        <v/>
      </c>
      <c r="IV123" s="11" t="str">
        <f ca="1">IF(History!IZ$2="","",#REF!*$C$123)</f>
        <v/>
      </c>
      <c r="IW123" s="11" t="str">
        <f ca="1">IF(History!JA$2="","",#REF!*$C$123)</f>
        <v/>
      </c>
      <c r="IX123" s="11" t="str">
        <f ca="1">IF(History!JB$2="","",#REF!*$C$123)</f>
        <v/>
      </c>
      <c r="IY123" s="11" t="str">
        <f ca="1">IF(History!JC$2="","",#REF!*$C$123)</f>
        <v/>
      </c>
      <c r="IZ123" s="11" t="str">
        <f ca="1">IF(History!JD$2="","",#REF!*$C$123)</f>
        <v/>
      </c>
      <c r="JA123" s="11" t="str">
        <f ca="1">IF(History!JE$2="","",#REF!*$C$123)</f>
        <v/>
      </c>
      <c r="JB123" s="11" t="str">
        <f ca="1">IF(History!JF$2="","",#REF!*$C$123)</f>
        <v/>
      </c>
      <c r="JC123" s="11" t="str">
        <f ca="1">IF(History!JG$2="","",#REF!*$C$123)</f>
        <v/>
      </c>
      <c r="JD123" s="11" t="str">
        <f ca="1">IF(History!JH$2="","",#REF!*$C$123)</f>
        <v/>
      </c>
      <c r="JE123" s="11" t="str">
        <f ca="1">IF(History!JI$2="","",#REF!*$C$123)</f>
        <v/>
      </c>
      <c r="JF123" s="11" t="str">
        <f ca="1">IF(History!JJ$2="","",#REF!*$C$123)</f>
        <v/>
      </c>
      <c r="JG123" s="11" t="str">
        <f ca="1">IF(History!JK$2="","",#REF!*$C$123)</f>
        <v/>
      </c>
      <c r="JH123" s="11" t="str">
        <f ca="1">IF(History!JL$2="","",#REF!*$C$123)</f>
        <v/>
      </c>
      <c r="JI123" s="11" t="str">
        <f ca="1">IF(History!JM$2="","",#REF!*$C$123)</f>
        <v/>
      </c>
      <c r="JJ123" s="11" t="str">
        <f ca="1">IF(History!JN$2="","",#REF!*$C$123)</f>
        <v/>
      </c>
      <c r="JK123" s="11" t="str">
        <f ca="1">IF(History!JO$2="","",#REF!*$C$123)</f>
        <v/>
      </c>
      <c r="JL123" s="11" t="str">
        <f ca="1">IF(History!JP$2="","",#REF!*$C$123)</f>
        <v/>
      </c>
      <c r="JM123" s="11" t="str">
        <f ca="1">IF(History!JQ$2="","",#REF!*$C$123)</f>
        <v/>
      </c>
      <c r="JN123" s="11" t="str">
        <f ca="1">IF(History!JR$2="","",#REF!*$C$123)</f>
        <v/>
      </c>
      <c r="JO123" s="11" t="str">
        <f ca="1">IF(History!JS$2="","",#REF!*$C$123)</f>
        <v/>
      </c>
      <c r="JP123" s="11" t="str">
        <f ca="1">IF(History!JT$2="","",#REF!*$C$123)</f>
        <v/>
      </c>
      <c r="JQ123" s="11" t="str">
        <f ca="1">IF(History!JU$2="","",#REF!*$C$123)</f>
        <v/>
      </c>
      <c r="JR123" s="11" t="str">
        <f ca="1">IF(History!JV$2="","",#REF!*$C$123)</f>
        <v/>
      </c>
      <c r="JS123" s="11" t="str">
        <f ca="1">IF(History!JW$2="","",#REF!*$C$123)</f>
        <v/>
      </c>
      <c r="JT123" s="11" t="str">
        <f ca="1">IF(History!JX$2="","",#REF!*$C$123)</f>
        <v/>
      </c>
      <c r="JU123" s="11" t="str">
        <f ca="1">IF(History!JY$2="","",#REF!*$C$123)</f>
        <v/>
      </c>
      <c r="JV123" s="11" t="str">
        <f ca="1">IF(History!JZ$2="","",#REF!*$C$123)</f>
        <v/>
      </c>
      <c r="JW123" s="11" t="str">
        <f ca="1">IF(History!KA$2="","",#REF!*$C$123)</f>
        <v/>
      </c>
      <c r="JX123" s="11" t="str">
        <f ca="1">IF(History!KB$2="","",#REF!*$C$123)</f>
        <v/>
      </c>
      <c r="JY123" s="11" t="str">
        <f ca="1">IF(History!KC$2="","",#REF!*$C$123)</f>
        <v/>
      </c>
      <c r="JZ123" s="11" t="str">
        <f ca="1">IF(History!KD$2="","",#REF!*$C$123)</f>
        <v/>
      </c>
      <c r="KA123" s="11" t="str">
        <f ca="1">IF(History!KE$2="","",#REF!*$C$123)</f>
        <v/>
      </c>
      <c r="KB123" s="11" t="str">
        <f ca="1">IF(History!KF$2="","",#REF!*$C$123)</f>
        <v/>
      </c>
    </row>
    <row r="124" spans="1:288" ht="13">
      <c r="A124" s="2" t="s">
        <v>40</v>
      </c>
      <c r="B124" s="32" t="s">
        <v>41</v>
      </c>
      <c r="C124" s="33">
        <v>123</v>
      </c>
      <c r="D124" s="11" t="e">
        <f ca="1">IF(History!H$2="","",#REF!*$C$124)</f>
        <v>#REF!</v>
      </c>
      <c r="E124" s="11" t="e">
        <f ca="1">IF(History!I$2="","",#REF!*$C$124)</f>
        <v>#REF!</v>
      </c>
      <c r="F124" s="11" t="e">
        <f ca="1">IF(History!J$2="","",#REF!*$C$124)</f>
        <v>#REF!</v>
      </c>
      <c r="G124" s="11" t="e">
        <f ca="1">IF(History!K$2="","",#REF!*$C$124)</f>
        <v>#REF!</v>
      </c>
      <c r="H124" s="11" t="e">
        <f ca="1">IF(History!L$2="","",#REF!*$C$124)</f>
        <v>#REF!</v>
      </c>
      <c r="I124" s="11" t="e">
        <f ca="1">IF(History!M$2="","",#REF!*$C$124)</f>
        <v>#REF!</v>
      </c>
      <c r="J124" s="11" t="e">
        <f ca="1">IF(History!N$2="","",#REF!*$C$124)</f>
        <v>#REF!</v>
      </c>
      <c r="K124" s="11" t="e">
        <f ca="1">IF(History!O$2="","",#REF!*$C$124)</f>
        <v>#REF!</v>
      </c>
      <c r="L124" s="11" t="e">
        <f ca="1">IF(History!P$2="","",#REF!*$C$124)</f>
        <v>#REF!</v>
      </c>
      <c r="M124" s="11" t="e">
        <f ca="1">IF(History!Q$2="","",#REF!*$C$124)</f>
        <v>#REF!</v>
      </c>
      <c r="N124" s="11" t="e">
        <f ca="1">IF(History!R$2="","",#REF!*$C$124)</f>
        <v>#REF!</v>
      </c>
      <c r="O124" s="11" t="e">
        <f ca="1">IF(History!S$2="","",#REF!*$C$124)</f>
        <v>#REF!</v>
      </c>
      <c r="P124" s="11" t="e">
        <f ca="1">IF(History!T$2="","",#REF!*$C$124)</f>
        <v>#REF!</v>
      </c>
      <c r="Q124" s="11" t="e">
        <f ca="1">IF(History!U$2="","",#REF!*$C$124)</f>
        <v>#REF!</v>
      </c>
      <c r="R124" s="11" t="e">
        <f ca="1">IF(History!V$2="","",#REF!*$C$124)</f>
        <v>#REF!</v>
      </c>
      <c r="S124" s="11" t="e">
        <f ca="1">IF(History!W$2="","",#REF!*$C$124)</f>
        <v>#REF!</v>
      </c>
      <c r="T124" s="11" t="e">
        <f ca="1">IF(History!X$2="","",#REF!*$C$124)</f>
        <v>#REF!</v>
      </c>
      <c r="U124" s="11" t="e">
        <f ca="1">IF(History!Y$2="","",#REF!*$C$124)</f>
        <v>#REF!</v>
      </c>
      <c r="V124" s="11" t="e">
        <f ca="1">IF(History!Z$2="","",#REF!*$C$124)</f>
        <v>#REF!</v>
      </c>
      <c r="W124" s="11" t="e">
        <f ca="1">IF(History!AA$2="","",#REF!*$C$124)</f>
        <v>#REF!</v>
      </c>
      <c r="X124" s="11" t="e">
        <f ca="1">IF(History!AB$2="","",#REF!*$C$124)</f>
        <v>#REF!</v>
      </c>
      <c r="Y124" s="11" t="e">
        <f ca="1">IF(History!AC$2="","",#REF!*$C$124)</f>
        <v>#REF!</v>
      </c>
      <c r="Z124" s="11" t="e">
        <f ca="1">IF(History!AD$2="","",#REF!*$C$124)</f>
        <v>#REF!</v>
      </c>
      <c r="AA124" s="11" t="e">
        <f ca="1">IF(History!AE$2="","",#REF!*$C$124)</f>
        <v>#REF!</v>
      </c>
      <c r="AB124" s="11" t="e">
        <f ca="1">IF(History!AF$2="","",#REF!*$C$124)</f>
        <v>#REF!</v>
      </c>
      <c r="AC124" s="11" t="e">
        <f ca="1">IF(History!AG$2="","",#REF!*$C$124)</f>
        <v>#REF!</v>
      </c>
      <c r="AD124" s="11" t="e">
        <f ca="1">IF(History!AH$2="","",#REF!*$C$124)</f>
        <v>#REF!</v>
      </c>
      <c r="AE124" s="11" t="e">
        <f ca="1">IF(History!AI$2="","",#REF!*$C$124)</f>
        <v>#REF!</v>
      </c>
      <c r="AF124" s="11" t="e">
        <f ca="1">IF(History!AJ$2="","",#REF!*$C$124)</f>
        <v>#REF!</v>
      </c>
      <c r="AG124" s="11" t="e">
        <f ca="1">IF(History!AK$2="","",#REF!*$C$124)</f>
        <v>#REF!</v>
      </c>
      <c r="AH124" s="11" t="e">
        <f ca="1">IF(History!AL$2="","",#REF!*$C$124)</f>
        <v>#REF!</v>
      </c>
      <c r="AI124" s="11" t="e">
        <f ca="1">IF(History!AM$2="","",#REF!*$C$124)</f>
        <v>#REF!</v>
      </c>
      <c r="AJ124" s="11" t="e">
        <f ca="1">IF(History!AN$2="","",#REF!*$C$124)</f>
        <v>#REF!</v>
      </c>
      <c r="AK124" s="11" t="e">
        <f ca="1">IF(History!AO$2="","",#REF!*$C$124)</f>
        <v>#REF!</v>
      </c>
      <c r="AL124" s="11" t="e">
        <f ca="1">IF(History!AP$2="","",#REF!*$C$124)</f>
        <v>#REF!</v>
      </c>
      <c r="AM124" s="11" t="e">
        <f ca="1">IF(History!AQ$2="","",#REF!*$C$124)</f>
        <v>#REF!</v>
      </c>
      <c r="AN124" s="11" t="e">
        <f ca="1">IF(History!AR$2="","",#REF!*$C$124)</f>
        <v>#REF!</v>
      </c>
      <c r="AO124" s="11" t="e">
        <f ca="1">IF(History!AS$2="","",#REF!*$C$124)</f>
        <v>#REF!</v>
      </c>
      <c r="AP124" s="11" t="e">
        <f ca="1">IF(History!AT$2="","",#REF!*$C$124)</f>
        <v>#REF!</v>
      </c>
      <c r="AQ124" s="11" t="e">
        <f ca="1">IF(History!AU$2="","",#REF!*$C$124)</f>
        <v>#REF!</v>
      </c>
      <c r="AR124" s="11" t="e">
        <f ca="1">IF(History!AV$2="","",#REF!*$C$124)</f>
        <v>#REF!</v>
      </c>
      <c r="AS124" s="11" t="e">
        <f ca="1">IF(History!AW$2="","",#REF!*$C$124)</f>
        <v>#REF!</v>
      </c>
      <c r="AT124" s="11" t="e">
        <f ca="1">IF(History!AX$2="","",#REF!*$C$124)</f>
        <v>#REF!</v>
      </c>
      <c r="AU124" s="11" t="e">
        <f ca="1">IF(History!AY$2="","",#REF!*$C$124)</f>
        <v>#REF!</v>
      </c>
      <c r="AV124" s="11" t="e">
        <f ca="1">IF(History!AZ$2="","",#REF!*$C$124)</f>
        <v>#REF!</v>
      </c>
      <c r="AW124" s="11" t="e">
        <f ca="1">IF(History!BA$2="","",#REF!*$C$124)</f>
        <v>#REF!</v>
      </c>
      <c r="AX124" s="11" t="e">
        <f ca="1">IF(History!BB$2="","",#REF!*$C$124)</f>
        <v>#REF!</v>
      </c>
      <c r="AY124" s="11" t="e">
        <f ca="1">IF(History!BC$2="","",#REF!*$C$124)</f>
        <v>#REF!</v>
      </c>
      <c r="AZ124" s="11" t="e">
        <f ca="1">IF(History!BD$2="","",#REF!*$C$124)</f>
        <v>#REF!</v>
      </c>
      <c r="BA124" s="11" t="e">
        <f ca="1">IF(History!BE$2="","",#REF!*$C$124)</f>
        <v>#REF!</v>
      </c>
      <c r="BB124" s="11" t="e">
        <f ca="1">IF(History!BF$2="","",#REF!*$C$124)</f>
        <v>#REF!</v>
      </c>
      <c r="BC124" s="11" t="e">
        <f ca="1">IF(History!BG$2="","",#REF!*$C$124)</f>
        <v>#REF!</v>
      </c>
      <c r="BD124" s="11" t="e">
        <f ca="1">IF(History!BH$2="","",#REF!*$C$124)</f>
        <v>#REF!</v>
      </c>
      <c r="BE124" s="11" t="e">
        <f ca="1">IF(History!BI$2="","",#REF!*$C$124)</f>
        <v>#REF!</v>
      </c>
      <c r="BF124" s="11" t="e">
        <f ca="1">IF(History!BJ$2="","",#REF!*$C$124)</f>
        <v>#REF!</v>
      </c>
      <c r="BG124" s="11" t="e">
        <f ca="1">IF(History!BK$2="","",#REF!*$C$124)</f>
        <v>#REF!</v>
      </c>
      <c r="BH124" s="11" t="e">
        <f ca="1">IF(History!BL$2="","",#REF!*$C$124)</f>
        <v>#REF!</v>
      </c>
      <c r="BI124" s="11" t="e">
        <f ca="1">IF(History!BM$2="","",#REF!*$C$124)</f>
        <v>#REF!</v>
      </c>
      <c r="BJ124" s="11" t="e">
        <f ca="1">IF(History!BN$2="","",#REF!*$C$124)</f>
        <v>#REF!</v>
      </c>
      <c r="BK124" s="11" t="e">
        <f ca="1">IF(History!BO$2="","",#REF!*$C$124)</f>
        <v>#REF!</v>
      </c>
      <c r="BL124" s="11" t="e">
        <f ca="1">IF(History!BP$2="","",#REF!*$C$124)</f>
        <v>#REF!</v>
      </c>
      <c r="BM124" s="11" t="e">
        <f ca="1">IF(History!BQ$2="","",#REF!*$C$124)</f>
        <v>#REF!</v>
      </c>
      <c r="BN124" s="11" t="e">
        <f ca="1">IF(History!BR$2="","",#REF!*$C$124)</f>
        <v>#REF!</v>
      </c>
      <c r="BO124" s="11" t="e">
        <f ca="1">IF(History!BS$2="","",#REF!*$C$124)</f>
        <v>#REF!</v>
      </c>
      <c r="BP124" s="11" t="e">
        <f ca="1">IF(History!BT$2="","",#REF!*$C$124)</f>
        <v>#REF!</v>
      </c>
      <c r="BQ124" s="11" t="e">
        <f ca="1">IF(History!BU$2="","",#REF!*$C$124)</f>
        <v>#REF!</v>
      </c>
      <c r="BR124" s="11" t="e">
        <f ca="1">IF(History!BV$2="","",#REF!*$C$124)</f>
        <v>#REF!</v>
      </c>
      <c r="BS124" s="11" t="e">
        <f ca="1">IF(History!BW$2="","",#REF!*$C$124)</f>
        <v>#REF!</v>
      </c>
      <c r="BT124" s="11" t="e">
        <f ca="1">IF(History!BX$2="","",#REF!*$C$124)</f>
        <v>#REF!</v>
      </c>
      <c r="BU124" s="11" t="e">
        <f ca="1">IF(History!BY$2="","",#REF!*$C$124)</f>
        <v>#REF!</v>
      </c>
      <c r="BV124" s="11" t="e">
        <f ca="1">IF(History!BZ$2="","",#REF!*$C$124)</f>
        <v>#REF!</v>
      </c>
      <c r="BW124" s="11" t="e">
        <f ca="1">IF(History!CA$2="","",#REF!*$C$124)</f>
        <v>#REF!</v>
      </c>
      <c r="BX124" s="11" t="e">
        <f ca="1">IF(History!CB$2="","",#REF!*$C$124)</f>
        <v>#REF!</v>
      </c>
      <c r="BY124" s="11" t="e">
        <f ca="1">IF(History!CC$2="","",#REF!*$C$124)</f>
        <v>#REF!</v>
      </c>
      <c r="BZ124" s="11" t="e">
        <f ca="1">IF(History!CD$2="","",#REF!*$C$124)</f>
        <v>#REF!</v>
      </c>
      <c r="CA124" s="11" t="e">
        <f ca="1">IF(History!CE$2="","",#REF!*$C$124)</f>
        <v>#REF!</v>
      </c>
      <c r="CB124" s="11" t="e">
        <f ca="1">IF(History!CF$2="","",#REF!*$C$124)</f>
        <v>#REF!</v>
      </c>
      <c r="CC124" s="11" t="e">
        <f ca="1">IF(History!CG$2="","",#REF!*$C$124)</f>
        <v>#REF!</v>
      </c>
      <c r="CD124" s="11" t="e">
        <f ca="1">IF(History!CH$2="","",#REF!*$C$124)</f>
        <v>#REF!</v>
      </c>
      <c r="CE124" s="11" t="e">
        <f ca="1">IF(History!CI$2="","",#REF!*$C$124)</f>
        <v>#REF!</v>
      </c>
      <c r="CF124" s="11" t="str">
        <f ca="1">IF(History!CJ$2="","",#REF!*$C$124)</f>
        <v/>
      </c>
      <c r="CG124" s="11" t="str">
        <f ca="1">IF(History!CK$2="","",#REF!*$C$124)</f>
        <v/>
      </c>
      <c r="CH124" s="11" t="str">
        <f ca="1">IF(History!CL$2="","",#REF!*$C$124)</f>
        <v/>
      </c>
      <c r="CI124" s="11" t="str">
        <f ca="1">IF(History!CM$2="","",#REF!*$C$124)</f>
        <v/>
      </c>
      <c r="CJ124" s="11" t="str">
        <f ca="1">IF(History!CN$2="","",#REF!*$C$124)</f>
        <v/>
      </c>
      <c r="CK124" s="11" t="str">
        <f ca="1">IF(History!CO$2="","",#REF!*$C$124)</f>
        <v/>
      </c>
      <c r="CL124" s="11" t="str">
        <f ca="1">IF(History!CP$2="","",#REF!*$C$124)</f>
        <v/>
      </c>
      <c r="CM124" s="11" t="str">
        <f ca="1">IF(History!CQ$2="","",#REF!*$C$124)</f>
        <v/>
      </c>
      <c r="CN124" s="11" t="str">
        <f ca="1">IF(History!CR$2="","",#REF!*$C$124)</f>
        <v/>
      </c>
      <c r="CO124" s="11" t="str">
        <f ca="1">IF(History!CS$2="","",#REF!*$C$124)</f>
        <v/>
      </c>
      <c r="CP124" s="11" t="str">
        <f ca="1">IF(History!CT$2="","",#REF!*$C$124)</f>
        <v/>
      </c>
      <c r="CQ124" s="11" t="str">
        <f ca="1">IF(History!CU$2="","",#REF!*$C$124)</f>
        <v/>
      </c>
      <c r="CR124" s="11" t="str">
        <f ca="1">IF(History!CV$2="","",#REF!*$C$124)</f>
        <v/>
      </c>
      <c r="CS124" s="11" t="str">
        <f ca="1">IF(History!CW$2="","",#REF!*$C$124)</f>
        <v/>
      </c>
      <c r="CT124" s="11" t="str">
        <f ca="1">IF(History!CX$2="","",#REF!*$C$124)</f>
        <v/>
      </c>
      <c r="CU124" s="11" t="str">
        <f ca="1">IF(History!CY$2="","",#REF!*$C$124)</f>
        <v/>
      </c>
      <c r="CV124" s="11" t="str">
        <f ca="1">IF(History!CZ$2="","",#REF!*$C$124)</f>
        <v/>
      </c>
      <c r="CW124" s="11" t="str">
        <f ca="1">IF(History!DA$2="","",#REF!*$C$124)</f>
        <v/>
      </c>
      <c r="CX124" s="11" t="str">
        <f ca="1">IF(History!DB$2="","",#REF!*$C$124)</f>
        <v/>
      </c>
      <c r="CY124" s="11" t="str">
        <f ca="1">IF(History!DC$2="","",#REF!*$C$124)</f>
        <v/>
      </c>
      <c r="CZ124" s="11" t="str">
        <f ca="1">IF(History!DD$2="","",#REF!*$C$124)</f>
        <v/>
      </c>
      <c r="DA124" s="11" t="str">
        <f ca="1">IF(History!DE$2="","",#REF!*$C$124)</f>
        <v/>
      </c>
      <c r="DB124" s="11" t="str">
        <f ca="1">IF(History!DF$2="","",#REF!*$C$124)</f>
        <v/>
      </c>
      <c r="DC124" s="11" t="str">
        <f ca="1">IF(History!DG$2="","",#REF!*$C$124)</f>
        <v/>
      </c>
      <c r="DD124" s="11" t="str">
        <f ca="1">IF(History!DH$2="","",#REF!*$C$124)</f>
        <v/>
      </c>
      <c r="DE124" s="11" t="str">
        <f ca="1">IF(History!DI$2="","",#REF!*$C$124)</f>
        <v/>
      </c>
      <c r="DF124" s="11" t="str">
        <f ca="1">IF(History!DJ$2="","",#REF!*$C$124)</f>
        <v/>
      </c>
      <c r="DG124" s="11" t="str">
        <f ca="1">IF(History!DK$2="","",#REF!*$C$124)</f>
        <v/>
      </c>
      <c r="DH124" s="11" t="str">
        <f ca="1">IF(History!DL$2="","",#REF!*$C$124)</f>
        <v/>
      </c>
      <c r="DI124" s="11" t="str">
        <f ca="1">IF(History!DM$2="","",#REF!*$C$124)</f>
        <v/>
      </c>
      <c r="DJ124" s="11" t="str">
        <f ca="1">IF(History!DN$2="","",#REF!*$C$124)</f>
        <v/>
      </c>
      <c r="DK124" s="11" t="str">
        <f ca="1">IF(History!DO$2="","",#REF!*$C$124)</f>
        <v/>
      </c>
      <c r="DL124" s="11" t="str">
        <f ca="1">IF(History!DP$2="","",#REF!*$C$124)</f>
        <v/>
      </c>
      <c r="DM124" s="11" t="str">
        <f ca="1">IF(History!DQ$2="","",#REF!*$C$124)</f>
        <v/>
      </c>
      <c r="DN124" s="11" t="str">
        <f ca="1">IF(History!DR$2="","",#REF!*$C$124)</f>
        <v/>
      </c>
      <c r="DO124" s="11" t="str">
        <f ca="1">IF(History!DS$2="","",#REF!*$C$124)</f>
        <v/>
      </c>
      <c r="DP124" s="11" t="str">
        <f ca="1">IF(History!DT$2="","",#REF!*$C$124)</f>
        <v/>
      </c>
      <c r="DQ124" s="11" t="str">
        <f ca="1">IF(History!DU$2="","",#REF!*$C$124)</f>
        <v/>
      </c>
      <c r="DR124" s="11" t="str">
        <f ca="1">IF(History!DV$2="","",#REF!*$C$124)</f>
        <v/>
      </c>
      <c r="DS124" s="11" t="str">
        <f ca="1">IF(History!DW$2="","",#REF!*$C$124)</f>
        <v/>
      </c>
      <c r="DT124" s="11" t="str">
        <f ca="1">IF(History!DX$2="","",#REF!*$C$124)</f>
        <v/>
      </c>
      <c r="DU124" s="11" t="str">
        <f ca="1">IF(History!DY$2="","",#REF!*$C$124)</f>
        <v/>
      </c>
      <c r="DV124" s="11" t="str">
        <f ca="1">IF(History!DZ$2="","",#REF!*$C$124)</f>
        <v/>
      </c>
      <c r="DW124" s="11" t="str">
        <f ca="1">IF(History!EA$2="","",#REF!*$C$124)</f>
        <v/>
      </c>
      <c r="DX124" s="11" t="str">
        <f ca="1">IF(History!EB$2="","",#REF!*$C$124)</f>
        <v/>
      </c>
      <c r="DY124" s="11" t="str">
        <f ca="1">IF(History!EC$2="","",#REF!*$C$124)</f>
        <v/>
      </c>
      <c r="DZ124" s="11" t="str">
        <f ca="1">IF(History!ED$2="","",#REF!*$C$124)</f>
        <v/>
      </c>
      <c r="EA124" s="11" t="str">
        <f ca="1">IF(History!EE$2="","",#REF!*$C$124)</f>
        <v/>
      </c>
      <c r="EB124" s="11" t="str">
        <f ca="1">IF(History!EF$2="","",#REF!*$C$124)</f>
        <v/>
      </c>
      <c r="EC124" s="11" t="str">
        <f ca="1">IF(History!EG$2="","",#REF!*$C$124)</f>
        <v/>
      </c>
      <c r="ED124" s="11" t="str">
        <f ca="1">IF(History!EH$2="","",#REF!*$C$124)</f>
        <v/>
      </c>
      <c r="EE124" s="11" t="str">
        <f ca="1">IF(History!EI$2="","",#REF!*$C$124)</f>
        <v/>
      </c>
      <c r="EF124" s="11" t="str">
        <f ca="1">IF(History!EJ$2="","",#REF!*$C$124)</f>
        <v/>
      </c>
      <c r="EG124" s="11" t="str">
        <f ca="1">IF(History!EK$2="","",#REF!*$C$124)</f>
        <v/>
      </c>
      <c r="EH124" s="11" t="str">
        <f ca="1">IF(History!EL$2="","",#REF!*$C$124)</f>
        <v/>
      </c>
      <c r="EI124" s="11" t="str">
        <f ca="1">IF(History!EM$2="","",#REF!*$C$124)</f>
        <v/>
      </c>
      <c r="EJ124" s="11" t="str">
        <f ca="1">IF(History!EN$2="","",#REF!*$C$124)</f>
        <v/>
      </c>
      <c r="EK124" s="11" t="str">
        <f ca="1">IF(History!EO$2="","",#REF!*$C$124)</f>
        <v/>
      </c>
      <c r="EL124" s="11" t="str">
        <f ca="1">IF(History!EP$2="","",#REF!*$C$124)</f>
        <v/>
      </c>
      <c r="EM124" s="11" t="str">
        <f ca="1">IF(History!EQ$2="","",#REF!*$C$124)</f>
        <v/>
      </c>
      <c r="EN124" s="11" t="str">
        <f ca="1">IF(History!ER$2="","",#REF!*$C$124)</f>
        <v/>
      </c>
      <c r="EO124" s="11" t="str">
        <f ca="1">IF(History!ES$2="","",#REF!*$C$124)</f>
        <v/>
      </c>
      <c r="EP124" s="11" t="str">
        <f ca="1">IF(History!ET$2="","",#REF!*$C$124)</f>
        <v/>
      </c>
      <c r="EQ124" s="11" t="str">
        <f ca="1">IF(History!EU$2="","",#REF!*$C$124)</f>
        <v/>
      </c>
      <c r="ER124" s="11" t="str">
        <f ca="1">IF(History!EV$2="","",#REF!*$C$124)</f>
        <v/>
      </c>
      <c r="ES124" s="11" t="str">
        <f ca="1">IF(History!EW$2="","",#REF!*$C$124)</f>
        <v/>
      </c>
      <c r="ET124" s="11" t="str">
        <f ca="1">IF(History!EX$2="","",#REF!*$C$124)</f>
        <v/>
      </c>
      <c r="EU124" s="11" t="str">
        <f ca="1">IF(History!EY$2="","",#REF!*$C$124)</f>
        <v/>
      </c>
      <c r="EV124" s="11" t="str">
        <f ca="1">IF(History!EZ$2="","",#REF!*$C$124)</f>
        <v/>
      </c>
      <c r="EW124" s="11" t="str">
        <f ca="1">IF(History!FA$2="","",#REF!*$C$124)</f>
        <v/>
      </c>
      <c r="EX124" s="11" t="str">
        <f ca="1">IF(History!FB$2="","",#REF!*$C$124)</f>
        <v/>
      </c>
      <c r="EY124" s="11" t="str">
        <f ca="1">IF(History!FC$2="","",#REF!*$C$124)</f>
        <v/>
      </c>
      <c r="EZ124" s="11" t="str">
        <f ca="1">IF(History!FD$2="","",#REF!*$C$124)</f>
        <v/>
      </c>
      <c r="FA124" s="11" t="str">
        <f ca="1">IF(History!FE$2="","",#REF!*$C$124)</f>
        <v/>
      </c>
      <c r="FB124" s="11" t="str">
        <f ca="1">IF(History!FF$2="","",#REF!*$C$124)</f>
        <v/>
      </c>
      <c r="FC124" s="11" t="str">
        <f ca="1">IF(History!FG$2="","",#REF!*$C$124)</f>
        <v/>
      </c>
      <c r="FD124" s="11" t="str">
        <f ca="1">IF(History!FH$2="","",#REF!*$C$124)</f>
        <v/>
      </c>
      <c r="FE124" s="11" t="str">
        <f ca="1">IF(History!FI$2="","",#REF!*$C$124)</f>
        <v/>
      </c>
      <c r="FF124" s="11" t="str">
        <f ca="1">IF(History!FJ$2="","",#REF!*$C$124)</f>
        <v/>
      </c>
      <c r="FG124" s="11" t="str">
        <f ca="1">IF(History!FK$2="","",#REF!*$C$124)</f>
        <v/>
      </c>
      <c r="FH124" s="11" t="str">
        <f ca="1">IF(History!FL$2="","",#REF!*$C$124)</f>
        <v/>
      </c>
      <c r="FI124" s="11" t="str">
        <f ca="1">IF(History!FM$2="","",#REF!*$C$124)</f>
        <v/>
      </c>
      <c r="FJ124" s="11" t="str">
        <f ca="1">IF(History!FN$2="","",#REF!*$C$124)</f>
        <v/>
      </c>
      <c r="FK124" s="11" t="str">
        <f ca="1">IF(History!FO$2="","",#REF!*$C$124)</f>
        <v/>
      </c>
      <c r="FL124" s="11" t="str">
        <f ca="1">IF(History!FP$2="","",#REF!*$C$124)</f>
        <v/>
      </c>
      <c r="FM124" s="11" t="str">
        <f ca="1">IF(History!FQ$2="","",#REF!*$C$124)</f>
        <v/>
      </c>
      <c r="FN124" s="11" t="str">
        <f ca="1">IF(History!FR$2="","",#REF!*$C$124)</f>
        <v/>
      </c>
      <c r="FO124" s="11" t="str">
        <f ca="1">IF(History!FS$2="","",#REF!*$C$124)</f>
        <v/>
      </c>
      <c r="FP124" s="11" t="str">
        <f ca="1">IF(History!FT$2="","",#REF!*$C$124)</f>
        <v/>
      </c>
      <c r="FQ124" s="11" t="str">
        <f ca="1">IF(History!FU$2="","",#REF!*$C$124)</f>
        <v/>
      </c>
      <c r="FR124" s="11" t="str">
        <f ca="1">IF(History!FV$2="","",#REF!*$C$124)</f>
        <v/>
      </c>
      <c r="FS124" s="11" t="str">
        <f ca="1">IF(History!FW$2="","",#REF!*$C$124)</f>
        <v/>
      </c>
      <c r="FT124" s="11" t="str">
        <f ca="1">IF(History!FX$2="","",#REF!*$C$124)</f>
        <v/>
      </c>
      <c r="FU124" s="11" t="str">
        <f ca="1">IF(History!FY$2="","",#REF!*$C$124)</f>
        <v/>
      </c>
      <c r="FV124" s="11" t="str">
        <f ca="1">IF(History!FZ$2="","",#REF!*$C$124)</f>
        <v/>
      </c>
      <c r="FW124" s="11" t="str">
        <f ca="1">IF(History!GA$2="","",#REF!*$C$124)</f>
        <v/>
      </c>
      <c r="FX124" s="11" t="str">
        <f ca="1">IF(History!GB$2="","",#REF!*$C$124)</f>
        <v/>
      </c>
      <c r="FY124" s="11" t="str">
        <f ca="1">IF(History!GC$2="","",#REF!*$C$124)</f>
        <v/>
      </c>
      <c r="FZ124" s="11" t="str">
        <f ca="1">IF(History!GD$2="","",#REF!*$C$124)</f>
        <v/>
      </c>
      <c r="GA124" s="11" t="str">
        <f ca="1">IF(History!GE$2="","",#REF!*$C$124)</f>
        <v/>
      </c>
      <c r="GB124" s="11" t="str">
        <f ca="1">IF(History!GF$2="","",#REF!*$C$124)</f>
        <v/>
      </c>
      <c r="GC124" s="11" t="str">
        <f ca="1">IF(History!GG$2="","",#REF!*$C$124)</f>
        <v/>
      </c>
      <c r="GD124" s="11" t="str">
        <f ca="1">IF(History!GH$2="","",#REF!*$C$124)</f>
        <v/>
      </c>
      <c r="GE124" s="11" t="str">
        <f ca="1">IF(History!GI$2="","",#REF!*$C$124)</f>
        <v/>
      </c>
      <c r="GF124" s="11" t="str">
        <f ca="1">IF(History!GJ$2="","",#REF!*$C$124)</f>
        <v/>
      </c>
      <c r="GG124" s="11" t="str">
        <f ca="1">IF(History!GK$2="","",#REF!*$C$124)</f>
        <v/>
      </c>
      <c r="GH124" s="11" t="str">
        <f ca="1">IF(History!GL$2="","",#REF!*$C$124)</f>
        <v/>
      </c>
      <c r="GI124" s="11" t="str">
        <f ca="1">IF(History!GM$2="","",#REF!*$C$124)</f>
        <v/>
      </c>
      <c r="GJ124" s="11" t="str">
        <f ca="1">IF(History!GN$2="","",#REF!*$C$124)</f>
        <v/>
      </c>
      <c r="GK124" s="11" t="str">
        <f ca="1">IF(History!GO$2="","",#REF!*$C$124)</f>
        <v/>
      </c>
      <c r="GL124" s="11" t="str">
        <f ca="1">IF(History!GP$2="","",#REF!*$C$124)</f>
        <v/>
      </c>
      <c r="GM124" s="11" t="str">
        <f ca="1">IF(History!GQ$2="","",#REF!*$C$124)</f>
        <v/>
      </c>
      <c r="GN124" s="11" t="str">
        <f ca="1">IF(History!GR$2="","",#REF!*$C$124)</f>
        <v/>
      </c>
      <c r="GO124" s="11" t="str">
        <f ca="1">IF(History!GS$2="","",#REF!*$C$124)</f>
        <v/>
      </c>
      <c r="GP124" s="11" t="str">
        <f ca="1">IF(History!GT$2="","",#REF!*$C$124)</f>
        <v/>
      </c>
      <c r="GQ124" s="11" t="str">
        <f ca="1">IF(History!GU$2="","",#REF!*$C$124)</f>
        <v/>
      </c>
      <c r="GR124" s="11" t="str">
        <f ca="1">IF(History!GV$2="","",#REF!*$C$124)</f>
        <v/>
      </c>
      <c r="GS124" s="11" t="str">
        <f ca="1">IF(History!GW$2="","",#REF!*$C$124)</f>
        <v/>
      </c>
      <c r="GT124" s="11" t="str">
        <f ca="1">IF(History!GX$2="","",#REF!*$C$124)</f>
        <v/>
      </c>
      <c r="GU124" s="11" t="str">
        <f ca="1">IF(History!GY$2="","",#REF!*$C$124)</f>
        <v/>
      </c>
      <c r="GV124" s="11" t="str">
        <f ca="1">IF(History!GZ$2="","",#REF!*$C$124)</f>
        <v/>
      </c>
      <c r="GW124" s="11" t="str">
        <f ca="1">IF(History!HA$2="","",#REF!*$C$124)</f>
        <v/>
      </c>
      <c r="GX124" s="11" t="str">
        <f ca="1">IF(History!HB$2="","",#REF!*$C$124)</f>
        <v/>
      </c>
      <c r="GY124" s="11" t="str">
        <f ca="1">IF(History!HC$2="","",#REF!*$C$124)</f>
        <v/>
      </c>
      <c r="GZ124" s="11" t="str">
        <f ca="1">IF(History!HD$2="","",#REF!*$C$124)</f>
        <v/>
      </c>
      <c r="HA124" s="11" t="str">
        <f ca="1">IF(History!HE$2="","",#REF!*$C$124)</f>
        <v/>
      </c>
      <c r="HB124" s="11" t="str">
        <f ca="1">IF(History!HF$2="","",#REF!*$C$124)</f>
        <v/>
      </c>
      <c r="HC124" s="11" t="str">
        <f ca="1">IF(History!HG$2="","",#REF!*$C$124)</f>
        <v/>
      </c>
      <c r="HD124" s="11" t="str">
        <f ca="1">IF(History!HH$2="","",#REF!*$C$124)</f>
        <v/>
      </c>
      <c r="HE124" s="11" t="str">
        <f ca="1">IF(History!HI$2="","",#REF!*$C$124)</f>
        <v/>
      </c>
      <c r="HF124" s="11" t="str">
        <f ca="1">IF(History!HJ$2="","",#REF!*$C$124)</f>
        <v/>
      </c>
      <c r="HG124" s="11" t="str">
        <f ca="1">IF(History!HK$2="","",#REF!*$C$124)</f>
        <v/>
      </c>
      <c r="HH124" s="11" t="str">
        <f ca="1">IF(History!HL$2="","",#REF!*$C$124)</f>
        <v/>
      </c>
      <c r="HI124" s="11" t="str">
        <f ca="1">IF(History!HM$2="","",#REF!*$C$124)</f>
        <v/>
      </c>
      <c r="HJ124" s="11" t="str">
        <f ca="1">IF(History!HN$2="","",#REF!*$C$124)</f>
        <v/>
      </c>
      <c r="HK124" s="11" t="str">
        <f ca="1">IF(History!HO$2="","",#REF!*$C$124)</f>
        <v/>
      </c>
      <c r="HL124" s="11" t="str">
        <f ca="1">IF(History!HP$2="","",#REF!*$C$124)</f>
        <v/>
      </c>
      <c r="HM124" s="11" t="str">
        <f ca="1">IF(History!HQ$2="","",#REF!*$C$124)</f>
        <v/>
      </c>
      <c r="HN124" s="11" t="str">
        <f ca="1">IF(History!HR$2="","",#REF!*$C$124)</f>
        <v/>
      </c>
      <c r="HO124" s="11" t="str">
        <f ca="1">IF(History!HS$2="","",#REF!*$C$124)</f>
        <v/>
      </c>
      <c r="HP124" s="11" t="str">
        <f ca="1">IF(History!HT$2="","",#REF!*$C$124)</f>
        <v/>
      </c>
      <c r="HQ124" s="11" t="str">
        <f ca="1">IF(History!HU$2="","",#REF!*$C$124)</f>
        <v/>
      </c>
      <c r="HR124" s="11" t="str">
        <f ca="1">IF(History!HV$2="","",#REF!*$C$124)</f>
        <v/>
      </c>
      <c r="HS124" s="11" t="str">
        <f ca="1">IF(History!HW$2="","",#REF!*$C$124)</f>
        <v/>
      </c>
      <c r="HT124" s="11" t="str">
        <f ca="1">IF(History!HX$2="","",#REF!*$C$124)</f>
        <v/>
      </c>
      <c r="HU124" s="11" t="str">
        <f ca="1">IF(History!HY$2="","",#REF!*$C$124)</f>
        <v/>
      </c>
      <c r="HV124" s="11" t="str">
        <f ca="1">IF(History!HZ$2="","",#REF!*$C$124)</f>
        <v/>
      </c>
      <c r="HW124" s="11" t="str">
        <f ca="1">IF(History!IA$2="","",#REF!*$C$124)</f>
        <v/>
      </c>
      <c r="HX124" s="11" t="str">
        <f ca="1">IF(History!IB$2="","",#REF!*$C$124)</f>
        <v/>
      </c>
      <c r="HY124" s="11" t="str">
        <f ca="1">IF(History!IC$2="","",#REF!*$C$124)</f>
        <v/>
      </c>
      <c r="HZ124" s="11" t="str">
        <f ca="1">IF(History!ID$2="","",#REF!*$C$124)</f>
        <v/>
      </c>
      <c r="IA124" s="11" t="str">
        <f ca="1">IF(History!IE$2="","",#REF!*$C$124)</f>
        <v/>
      </c>
      <c r="IB124" s="11" t="str">
        <f ca="1">IF(History!IF$2="","",#REF!*$C$124)</f>
        <v/>
      </c>
      <c r="IC124" s="11" t="str">
        <f ca="1">IF(History!IG$2="","",#REF!*$C$124)</f>
        <v/>
      </c>
      <c r="ID124" s="11" t="str">
        <f ca="1">IF(History!IH$2="","",#REF!*$C$124)</f>
        <v/>
      </c>
      <c r="IE124" s="11" t="str">
        <f ca="1">IF(History!II$2="","",#REF!*$C$124)</f>
        <v/>
      </c>
      <c r="IF124" s="11" t="str">
        <f ca="1">IF(History!IJ$2="","",#REF!*$C$124)</f>
        <v/>
      </c>
      <c r="IG124" s="11" t="str">
        <f ca="1">IF(History!IK$2="","",#REF!*$C$124)</f>
        <v/>
      </c>
      <c r="IH124" s="11" t="str">
        <f ca="1">IF(History!IL$2="","",#REF!*$C$124)</f>
        <v/>
      </c>
      <c r="II124" s="11" t="str">
        <f ca="1">IF(History!IM$2="","",#REF!*$C$124)</f>
        <v/>
      </c>
      <c r="IJ124" s="11" t="str">
        <f ca="1">IF(History!IN$2="","",#REF!*$C$124)</f>
        <v/>
      </c>
      <c r="IK124" s="11" t="str">
        <f ca="1">IF(History!IO$2="","",#REF!*$C$124)</f>
        <v/>
      </c>
      <c r="IL124" s="11" t="str">
        <f ca="1">IF(History!IP$2="","",#REF!*$C$124)</f>
        <v/>
      </c>
      <c r="IM124" s="11" t="str">
        <f ca="1">IF(History!IQ$2="","",#REF!*$C$124)</f>
        <v/>
      </c>
      <c r="IN124" s="11" t="str">
        <f ca="1">IF(History!IR$2="","",#REF!*$C$124)</f>
        <v/>
      </c>
      <c r="IO124" s="11" t="str">
        <f ca="1">IF(History!IS$2="","",#REF!*$C$124)</f>
        <v/>
      </c>
      <c r="IP124" s="11" t="str">
        <f ca="1">IF(History!IT$2="","",#REF!*$C$124)</f>
        <v/>
      </c>
      <c r="IQ124" s="11" t="str">
        <f ca="1">IF(History!IU$2="","",#REF!*$C$124)</f>
        <v/>
      </c>
      <c r="IR124" s="11" t="str">
        <f ca="1">IF(History!IV$2="","",#REF!*$C$124)</f>
        <v/>
      </c>
      <c r="IS124" s="11" t="str">
        <f ca="1">IF(History!IW$2="","",#REF!*$C$124)</f>
        <v/>
      </c>
      <c r="IT124" s="11" t="str">
        <f ca="1">IF(History!IX$2="","",#REF!*$C$124)</f>
        <v/>
      </c>
      <c r="IU124" s="11" t="str">
        <f ca="1">IF(History!IY$2="","",#REF!*$C$124)</f>
        <v/>
      </c>
      <c r="IV124" s="11" t="str">
        <f ca="1">IF(History!IZ$2="","",#REF!*$C$124)</f>
        <v/>
      </c>
      <c r="IW124" s="11" t="str">
        <f ca="1">IF(History!JA$2="","",#REF!*$C$124)</f>
        <v/>
      </c>
      <c r="IX124" s="11" t="str">
        <f ca="1">IF(History!JB$2="","",#REF!*$C$124)</f>
        <v/>
      </c>
      <c r="IY124" s="11" t="str">
        <f ca="1">IF(History!JC$2="","",#REF!*$C$124)</f>
        <v/>
      </c>
      <c r="IZ124" s="11" t="str">
        <f ca="1">IF(History!JD$2="","",#REF!*$C$124)</f>
        <v/>
      </c>
      <c r="JA124" s="11" t="str">
        <f ca="1">IF(History!JE$2="","",#REF!*$C$124)</f>
        <v/>
      </c>
      <c r="JB124" s="11" t="str">
        <f ca="1">IF(History!JF$2="","",#REF!*$C$124)</f>
        <v/>
      </c>
      <c r="JC124" s="11" t="str">
        <f ca="1">IF(History!JG$2="","",#REF!*$C$124)</f>
        <v/>
      </c>
      <c r="JD124" s="11" t="str">
        <f ca="1">IF(History!JH$2="","",#REF!*$C$124)</f>
        <v/>
      </c>
      <c r="JE124" s="11" t="str">
        <f ca="1">IF(History!JI$2="","",#REF!*$C$124)</f>
        <v/>
      </c>
      <c r="JF124" s="11" t="str">
        <f ca="1">IF(History!JJ$2="","",#REF!*$C$124)</f>
        <v/>
      </c>
      <c r="JG124" s="11" t="str">
        <f ca="1">IF(History!JK$2="","",#REF!*$C$124)</f>
        <v/>
      </c>
      <c r="JH124" s="11" t="str">
        <f ca="1">IF(History!JL$2="","",#REF!*$C$124)</f>
        <v/>
      </c>
      <c r="JI124" s="11" t="str">
        <f ca="1">IF(History!JM$2="","",#REF!*$C$124)</f>
        <v/>
      </c>
      <c r="JJ124" s="11" t="str">
        <f ca="1">IF(History!JN$2="","",#REF!*$C$124)</f>
        <v/>
      </c>
      <c r="JK124" s="11" t="str">
        <f ca="1">IF(History!JO$2="","",#REF!*$C$124)</f>
        <v/>
      </c>
      <c r="JL124" s="11" t="str">
        <f ca="1">IF(History!JP$2="","",#REF!*$C$124)</f>
        <v/>
      </c>
      <c r="JM124" s="11" t="str">
        <f ca="1">IF(History!JQ$2="","",#REF!*$C$124)</f>
        <v/>
      </c>
      <c r="JN124" s="11" t="str">
        <f ca="1">IF(History!JR$2="","",#REF!*$C$124)</f>
        <v/>
      </c>
      <c r="JO124" s="11" t="str">
        <f ca="1">IF(History!JS$2="","",#REF!*$C$124)</f>
        <v/>
      </c>
      <c r="JP124" s="11" t="str">
        <f ca="1">IF(History!JT$2="","",#REF!*$C$124)</f>
        <v/>
      </c>
      <c r="JQ124" s="11" t="str">
        <f ca="1">IF(History!JU$2="","",#REF!*$C$124)</f>
        <v/>
      </c>
      <c r="JR124" s="11" t="str">
        <f ca="1">IF(History!JV$2="","",#REF!*$C$124)</f>
        <v/>
      </c>
      <c r="JS124" s="11" t="str">
        <f ca="1">IF(History!JW$2="","",#REF!*$C$124)</f>
        <v/>
      </c>
      <c r="JT124" s="11" t="str">
        <f ca="1">IF(History!JX$2="","",#REF!*$C$124)</f>
        <v/>
      </c>
      <c r="JU124" s="11" t="str">
        <f ca="1">IF(History!JY$2="","",#REF!*$C$124)</f>
        <v/>
      </c>
      <c r="JV124" s="11" t="str">
        <f ca="1">IF(History!JZ$2="","",#REF!*$C$124)</f>
        <v/>
      </c>
      <c r="JW124" s="11" t="str">
        <f ca="1">IF(History!KA$2="","",#REF!*$C$124)</f>
        <v/>
      </c>
      <c r="JX124" s="11" t="str">
        <f ca="1">IF(History!KB$2="","",#REF!*$C$124)</f>
        <v/>
      </c>
      <c r="JY124" s="11" t="str">
        <f ca="1">IF(History!KC$2="","",#REF!*$C$124)</f>
        <v/>
      </c>
      <c r="JZ124" s="11" t="str">
        <f ca="1">IF(History!KD$2="","",#REF!*$C$124)</f>
        <v/>
      </c>
      <c r="KA124" s="11" t="str">
        <f ca="1">IF(History!KE$2="","",#REF!*$C$124)</f>
        <v/>
      </c>
      <c r="KB124" s="11" t="str">
        <f ca="1">IF(History!KF$2="","",#REF!*$C$124)</f>
        <v/>
      </c>
    </row>
    <row r="125" spans="1:288" ht="13">
      <c r="A125" s="2" t="s">
        <v>40</v>
      </c>
      <c r="B125" s="32" t="s">
        <v>113</v>
      </c>
      <c r="C125" s="33">
        <v>37</v>
      </c>
      <c r="D125" s="11" t="e">
        <f ca="1">IF(History!H$2="","",#REF!*$C$125)</f>
        <v>#REF!</v>
      </c>
      <c r="E125" s="11" t="e">
        <f ca="1">IF(History!I$2="","",#REF!*$C$125)</f>
        <v>#REF!</v>
      </c>
      <c r="F125" s="11" t="e">
        <f ca="1">IF(History!J$2="","",#REF!*$C$125)</f>
        <v>#REF!</v>
      </c>
      <c r="G125" s="11" t="e">
        <f ca="1">IF(History!K$2="","",#REF!*$C$125)</f>
        <v>#REF!</v>
      </c>
      <c r="H125" s="11" t="e">
        <f ca="1">IF(History!L$2="","",#REF!*$C$125)</f>
        <v>#REF!</v>
      </c>
      <c r="I125" s="11" t="e">
        <f ca="1">IF(History!M$2="","",#REF!*$C$125)</f>
        <v>#REF!</v>
      </c>
      <c r="J125" s="11" t="e">
        <f ca="1">IF(History!N$2="","",#REF!*$C$125)</f>
        <v>#REF!</v>
      </c>
      <c r="K125" s="11" t="e">
        <f ca="1">IF(History!O$2="","",#REF!*$C$125)</f>
        <v>#REF!</v>
      </c>
      <c r="L125" s="11" t="e">
        <f ca="1">IF(History!P$2="","",#REF!*$C$125)</f>
        <v>#REF!</v>
      </c>
      <c r="M125" s="11" t="e">
        <f ca="1">IF(History!Q$2="","",#REF!*$C$125)</f>
        <v>#REF!</v>
      </c>
      <c r="N125" s="11" t="e">
        <f ca="1">IF(History!R$2="","",#REF!*$C$125)</f>
        <v>#REF!</v>
      </c>
      <c r="O125" s="11" t="e">
        <f ca="1">IF(History!S$2="","",#REF!*$C$125)</f>
        <v>#REF!</v>
      </c>
      <c r="P125" s="11" t="e">
        <f ca="1">IF(History!T$2="","",#REF!*$C$125)</f>
        <v>#REF!</v>
      </c>
      <c r="Q125" s="11" t="e">
        <f ca="1">IF(History!U$2="","",#REF!*$C$125)</f>
        <v>#REF!</v>
      </c>
      <c r="R125" s="11" t="e">
        <f ca="1">IF(History!V$2="","",#REF!*$C$125)</f>
        <v>#REF!</v>
      </c>
      <c r="S125" s="11" t="e">
        <f ca="1">IF(History!W$2="","",#REF!*$C$125)</f>
        <v>#REF!</v>
      </c>
      <c r="T125" s="11" t="e">
        <f ca="1">IF(History!X$2="","",#REF!*$C$125)</f>
        <v>#REF!</v>
      </c>
      <c r="U125" s="11" t="e">
        <f ca="1">IF(History!Y$2="","",#REF!*$C$125)</f>
        <v>#REF!</v>
      </c>
      <c r="V125" s="11" t="e">
        <f ca="1">IF(History!Z$2="","",#REF!*$C$125)</f>
        <v>#REF!</v>
      </c>
      <c r="W125" s="11" t="e">
        <f ca="1">IF(History!AA$2="","",#REF!*$C$125)</f>
        <v>#REF!</v>
      </c>
      <c r="X125" s="11" t="e">
        <f ca="1">IF(History!AB$2="","",#REF!*$C$125)</f>
        <v>#REF!</v>
      </c>
      <c r="Y125" s="11" t="e">
        <f ca="1">IF(History!AC$2="","",#REF!*$C$125)</f>
        <v>#REF!</v>
      </c>
      <c r="Z125" s="11" t="e">
        <f ca="1">IF(History!AD$2="","",#REF!*$C$125)</f>
        <v>#REF!</v>
      </c>
      <c r="AA125" s="11" t="e">
        <f ca="1">IF(History!AE$2="","",#REF!*$C$125)</f>
        <v>#REF!</v>
      </c>
      <c r="AB125" s="11" t="e">
        <f ca="1">IF(History!AF$2="","",#REF!*$C$125)</f>
        <v>#REF!</v>
      </c>
      <c r="AC125" s="11" t="e">
        <f ca="1">IF(History!AG$2="","",#REF!*$C$125)</f>
        <v>#REF!</v>
      </c>
      <c r="AD125" s="11" t="e">
        <f ca="1">IF(History!AH$2="","",#REF!*$C$125)</f>
        <v>#REF!</v>
      </c>
      <c r="AE125" s="11" t="e">
        <f ca="1">IF(History!AI$2="","",#REF!*$C$125)</f>
        <v>#REF!</v>
      </c>
      <c r="AF125" s="11" t="e">
        <f ca="1">IF(History!AJ$2="","",#REF!*$C$125)</f>
        <v>#REF!</v>
      </c>
      <c r="AG125" s="11" t="e">
        <f ca="1">IF(History!AK$2="","",#REF!*$C$125)</f>
        <v>#REF!</v>
      </c>
      <c r="AH125" s="11" t="e">
        <f ca="1">IF(History!AL$2="","",#REF!*$C$125)</f>
        <v>#REF!</v>
      </c>
      <c r="AI125" s="11" t="e">
        <f ca="1">IF(History!AM$2="","",#REF!*$C$125)</f>
        <v>#REF!</v>
      </c>
      <c r="AJ125" s="11" t="e">
        <f ca="1">IF(History!AN$2="","",#REF!*$C$125)</f>
        <v>#REF!</v>
      </c>
      <c r="AK125" s="11" t="e">
        <f ca="1">IF(History!AO$2="","",#REF!*$C$125)</f>
        <v>#REF!</v>
      </c>
      <c r="AL125" s="11" t="e">
        <f ca="1">IF(History!AP$2="","",#REF!*$C$125)</f>
        <v>#REF!</v>
      </c>
      <c r="AM125" s="11" t="e">
        <f ca="1">IF(History!AQ$2="","",#REF!*$C$125)</f>
        <v>#REF!</v>
      </c>
      <c r="AN125" s="11" t="e">
        <f ca="1">IF(History!AR$2="","",#REF!*$C$125)</f>
        <v>#REF!</v>
      </c>
      <c r="AO125" s="11" t="e">
        <f ca="1">IF(History!AS$2="","",#REF!*$C$125)</f>
        <v>#REF!</v>
      </c>
      <c r="AP125" s="11" t="e">
        <f ca="1">IF(History!AT$2="","",#REF!*$C$125)</f>
        <v>#REF!</v>
      </c>
      <c r="AQ125" s="11" t="e">
        <f ca="1">IF(History!AU$2="","",#REF!*$C$125)</f>
        <v>#REF!</v>
      </c>
      <c r="AR125" s="11" t="e">
        <f ca="1">IF(History!AV$2="","",#REF!*$C$125)</f>
        <v>#REF!</v>
      </c>
      <c r="AS125" s="11" t="e">
        <f ca="1">IF(History!AW$2="","",#REF!*$C$125)</f>
        <v>#REF!</v>
      </c>
      <c r="AT125" s="11" t="e">
        <f ca="1">IF(History!AX$2="","",#REF!*$C$125)</f>
        <v>#REF!</v>
      </c>
      <c r="AU125" s="11" t="e">
        <f ca="1">IF(History!AY$2="","",#REF!*$C$125)</f>
        <v>#REF!</v>
      </c>
      <c r="AV125" s="11" t="e">
        <f ca="1">IF(History!AZ$2="","",#REF!*$C$125)</f>
        <v>#REF!</v>
      </c>
      <c r="AW125" s="11" t="e">
        <f ca="1">IF(History!BA$2="","",#REF!*$C$125)</f>
        <v>#REF!</v>
      </c>
      <c r="AX125" s="11" t="e">
        <f ca="1">IF(History!BB$2="","",#REF!*$C$125)</f>
        <v>#REF!</v>
      </c>
      <c r="AY125" s="11" t="e">
        <f ca="1">IF(History!BC$2="","",#REF!*$C$125)</f>
        <v>#REF!</v>
      </c>
      <c r="AZ125" s="11" t="e">
        <f ca="1">IF(History!BD$2="","",#REF!*$C$125)</f>
        <v>#REF!</v>
      </c>
      <c r="BA125" s="11" t="e">
        <f ca="1">IF(History!BE$2="","",#REF!*$C$125)</f>
        <v>#REF!</v>
      </c>
      <c r="BB125" s="11" t="e">
        <f ca="1">IF(History!BF$2="","",#REF!*$C$125)</f>
        <v>#REF!</v>
      </c>
      <c r="BC125" s="11" t="e">
        <f ca="1">IF(History!BG$2="","",#REF!*$C$125)</f>
        <v>#REF!</v>
      </c>
      <c r="BD125" s="11" t="e">
        <f ca="1">IF(History!BH$2="","",#REF!*$C$125)</f>
        <v>#REF!</v>
      </c>
      <c r="BE125" s="11" t="e">
        <f ca="1">IF(History!BI$2="","",#REF!*$C$125)</f>
        <v>#REF!</v>
      </c>
      <c r="BF125" s="11" t="e">
        <f ca="1">IF(History!BJ$2="","",#REF!*$C$125)</f>
        <v>#REF!</v>
      </c>
      <c r="BG125" s="11" t="e">
        <f ca="1">IF(History!BK$2="","",#REF!*$C$125)</f>
        <v>#REF!</v>
      </c>
      <c r="BH125" s="11" t="e">
        <f ca="1">IF(History!BL$2="","",#REF!*$C$125)</f>
        <v>#REF!</v>
      </c>
      <c r="BI125" s="11" t="e">
        <f ca="1">IF(History!BM$2="","",#REF!*$C$125)</f>
        <v>#REF!</v>
      </c>
      <c r="BJ125" s="11" t="e">
        <f ca="1">IF(History!BN$2="","",#REF!*$C$125)</f>
        <v>#REF!</v>
      </c>
      <c r="BK125" s="11" t="e">
        <f ca="1">IF(History!BO$2="","",#REF!*$C$125)</f>
        <v>#REF!</v>
      </c>
      <c r="BL125" s="11" t="e">
        <f ca="1">IF(History!BP$2="","",#REF!*$C$125)</f>
        <v>#REF!</v>
      </c>
      <c r="BM125" s="11" t="e">
        <f ca="1">IF(History!BQ$2="","",#REF!*$C$125)</f>
        <v>#REF!</v>
      </c>
      <c r="BN125" s="11" t="e">
        <f ca="1">IF(History!BR$2="","",#REF!*$C$125)</f>
        <v>#REF!</v>
      </c>
      <c r="BO125" s="11" t="e">
        <f ca="1">IF(History!BS$2="","",#REF!*$C$125)</f>
        <v>#REF!</v>
      </c>
      <c r="BP125" s="11" t="e">
        <f ca="1">IF(History!BT$2="","",#REF!*$C$125)</f>
        <v>#REF!</v>
      </c>
      <c r="BQ125" s="11" t="e">
        <f ca="1">IF(History!BU$2="","",#REF!*$C$125)</f>
        <v>#REF!</v>
      </c>
      <c r="BR125" s="11" t="e">
        <f ca="1">IF(History!BV$2="","",#REF!*$C$125)</f>
        <v>#REF!</v>
      </c>
      <c r="BS125" s="11" t="e">
        <f ca="1">IF(History!BW$2="","",#REF!*$C$125)</f>
        <v>#REF!</v>
      </c>
      <c r="BT125" s="11" t="e">
        <f ca="1">IF(History!BX$2="","",#REF!*$C$125)</f>
        <v>#REF!</v>
      </c>
      <c r="BU125" s="11" t="e">
        <f ca="1">IF(History!BY$2="","",#REF!*$C$125)</f>
        <v>#REF!</v>
      </c>
      <c r="BV125" s="11" t="e">
        <f ca="1">IF(History!BZ$2="","",#REF!*$C$125)</f>
        <v>#REF!</v>
      </c>
      <c r="BW125" s="11" t="e">
        <f ca="1">IF(History!CA$2="","",#REF!*$C$125)</f>
        <v>#REF!</v>
      </c>
      <c r="BX125" s="11" t="e">
        <f ca="1">IF(History!CB$2="","",#REF!*$C$125)</f>
        <v>#REF!</v>
      </c>
      <c r="BY125" s="11" t="e">
        <f ca="1">IF(History!CC$2="","",#REF!*$C$125)</f>
        <v>#REF!</v>
      </c>
      <c r="BZ125" s="11" t="e">
        <f ca="1">IF(History!CD$2="","",#REF!*$C$125)</f>
        <v>#REF!</v>
      </c>
      <c r="CA125" s="11" t="e">
        <f ca="1">IF(History!CE$2="","",#REF!*$C$125)</f>
        <v>#REF!</v>
      </c>
      <c r="CB125" s="11" t="e">
        <f ca="1">IF(History!CF$2="","",#REF!*$C$125)</f>
        <v>#REF!</v>
      </c>
      <c r="CC125" s="11" t="e">
        <f ca="1">IF(History!CG$2="","",#REF!*$C$125)</f>
        <v>#REF!</v>
      </c>
      <c r="CD125" s="11" t="e">
        <f ca="1">IF(History!CH$2="","",#REF!*$C$125)</f>
        <v>#REF!</v>
      </c>
      <c r="CE125" s="11" t="e">
        <f ca="1">IF(History!CI$2="","",#REF!*$C$125)</f>
        <v>#REF!</v>
      </c>
      <c r="CF125" s="11" t="str">
        <f ca="1">IF(History!CJ$2="","",#REF!*$C$125)</f>
        <v/>
      </c>
      <c r="CG125" s="11" t="str">
        <f ca="1">IF(History!CK$2="","",#REF!*$C$125)</f>
        <v/>
      </c>
      <c r="CH125" s="11" t="str">
        <f ca="1">IF(History!CL$2="","",#REF!*$C$125)</f>
        <v/>
      </c>
      <c r="CI125" s="11" t="str">
        <f ca="1">IF(History!CM$2="","",#REF!*$C$125)</f>
        <v/>
      </c>
      <c r="CJ125" s="11" t="str">
        <f ca="1">IF(History!CN$2="","",#REF!*$C$125)</f>
        <v/>
      </c>
      <c r="CK125" s="11" t="str">
        <f ca="1">IF(History!CO$2="","",#REF!*$C$125)</f>
        <v/>
      </c>
      <c r="CL125" s="11" t="str">
        <f ca="1">IF(History!CP$2="","",#REF!*$C$125)</f>
        <v/>
      </c>
      <c r="CM125" s="11" t="str">
        <f ca="1">IF(History!CQ$2="","",#REF!*$C$125)</f>
        <v/>
      </c>
      <c r="CN125" s="11" t="str">
        <f ca="1">IF(History!CR$2="","",#REF!*$C$125)</f>
        <v/>
      </c>
      <c r="CO125" s="11" t="str">
        <f ca="1">IF(History!CS$2="","",#REF!*$C$125)</f>
        <v/>
      </c>
      <c r="CP125" s="11" t="str">
        <f ca="1">IF(History!CT$2="","",#REF!*$C$125)</f>
        <v/>
      </c>
      <c r="CQ125" s="11" t="str">
        <f ca="1">IF(History!CU$2="","",#REF!*$C$125)</f>
        <v/>
      </c>
      <c r="CR125" s="11" t="str">
        <f ca="1">IF(History!CV$2="","",#REF!*$C$125)</f>
        <v/>
      </c>
      <c r="CS125" s="11" t="str">
        <f ca="1">IF(History!CW$2="","",#REF!*$C$125)</f>
        <v/>
      </c>
      <c r="CT125" s="11" t="str">
        <f ca="1">IF(History!CX$2="","",#REF!*$C$125)</f>
        <v/>
      </c>
      <c r="CU125" s="11" t="str">
        <f ca="1">IF(History!CY$2="","",#REF!*$C$125)</f>
        <v/>
      </c>
      <c r="CV125" s="11" t="str">
        <f ca="1">IF(History!CZ$2="","",#REF!*$C$125)</f>
        <v/>
      </c>
      <c r="CW125" s="11" t="str">
        <f ca="1">IF(History!DA$2="","",#REF!*$C$125)</f>
        <v/>
      </c>
      <c r="CX125" s="11" t="str">
        <f ca="1">IF(History!DB$2="","",#REF!*$C$125)</f>
        <v/>
      </c>
      <c r="CY125" s="11" t="str">
        <f ca="1">IF(History!DC$2="","",#REF!*$C$125)</f>
        <v/>
      </c>
      <c r="CZ125" s="11" t="str">
        <f ca="1">IF(History!DD$2="","",#REF!*$C$125)</f>
        <v/>
      </c>
      <c r="DA125" s="11" t="str">
        <f ca="1">IF(History!DE$2="","",#REF!*$C$125)</f>
        <v/>
      </c>
      <c r="DB125" s="11" t="str">
        <f ca="1">IF(History!DF$2="","",#REF!*$C$125)</f>
        <v/>
      </c>
      <c r="DC125" s="11" t="str">
        <f ca="1">IF(History!DG$2="","",#REF!*$C$125)</f>
        <v/>
      </c>
      <c r="DD125" s="11" t="str">
        <f ca="1">IF(History!DH$2="","",#REF!*$C$125)</f>
        <v/>
      </c>
      <c r="DE125" s="11" t="str">
        <f ca="1">IF(History!DI$2="","",#REF!*$C$125)</f>
        <v/>
      </c>
      <c r="DF125" s="11" t="str">
        <f ca="1">IF(History!DJ$2="","",#REF!*$C$125)</f>
        <v/>
      </c>
      <c r="DG125" s="11" t="str">
        <f ca="1">IF(History!DK$2="","",#REF!*$C$125)</f>
        <v/>
      </c>
      <c r="DH125" s="11" t="str">
        <f ca="1">IF(History!DL$2="","",#REF!*$C$125)</f>
        <v/>
      </c>
      <c r="DI125" s="11" t="str">
        <f ca="1">IF(History!DM$2="","",#REF!*$C$125)</f>
        <v/>
      </c>
      <c r="DJ125" s="11" t="str">
        <f ca="1">IF(History!DN$2="","",#REF!*$C$125)</f>
        <v/>
      </c>
      <c r="DK125" s="11" t="str">
        <f ca="1">IF(History!DO$2="","",#REF!*$C$125)</f>
        <v/>
      </c>
      <c r="DL125" s="11" t="str">
        <f ca="1">IF(History!DP$2="","",#REF!*$C$125)</f>
        <v/>
      </c>
      <c r="DM125" s="11" t="str">
        <f ca="1">IF(History!DQ$2="","",#REF!*$C$125)</f>
        <v/>
      </c>
      <c r="DN125" s="11" t="str">
        <f ca="1">IF(History!DR$2="","",#REF!*$C$125)</f>
        <v/>
      </c>
      <c r="DO125" s="11" t="str">
        <f ca="1">IF(History!DS$2="","",#REF!*$C$125)</f>
        <v/>
      </c>
      <c r="DP125" s="11" t="str">
        <f ca="1">IF(History!DT$2="","",#REF!*$C$125)</f>
        <v/>
      </c>
      <c r="DQ125" s="11" t="str">
        <f ca="1">IF(History!DU$2="","",#REF!*$C$125)</f>
        <v/>
      </c>
      <c r="DR125" s="11" t="str">
        <f ca="1">IF(History!DV$2="","",#REF!*$C$125)</f>
        <v/>
      </c>
      <c r="DS125" s="11" t="str">
        <f ca="1">IF(History!DW$2="","",#REF!*$C$125)</f>
        <v/>
      </c>
      <c r="DT125" s="11" t="str">
        <f ca="1">IF(History!DX$2="","",#REF!*$C$125)</f>
        <v/>
      </c>
      <c r="DU125" s="11" t="str">
        <f ca="1">IF(History!DY$2="","",#REF!*$C$125)</f>
        <v/>
      </c>
      <c r="DV125" s="11" t="str">
        <f ca="1">IF(History!DZ$2="","",#REF!*$C$125)</f>
        <v/>
      </c>
      <c r="DW125" s="11" t="str">
        <f ca="1">IF(History!EA$2="","",#REF!*$C$125)</f>
        <v/>
      </c>
      <c r="DX125" s="11" t="str">
        <f ca="1">IF(History!EB$2="","",#REF!*$C$125)</f>
        <v/>
      </c>
      <c r="DY125" s="11" t="str">
        <f ca="1">IF(History!EC$2="","",#REF!*$C$125)</f>
        <v/>
      </c>
      <c r="DZ125" s="11" t="str">
        <f ca="1">IF(History!ED$2="","",#REF!*$C$125)</f>
        <v/>
      </c>
      <c r="EA125" s="11" t="str">
        <f ca="1">IF(History!EE$2="","",#REF!*$C$125)</f>
        <v/>
      </c>
      <c r="EB125" s="11" t="str">
        <f ca="1">IF(History!EF$2="","",#REF!*$C$125)</f>
        <v/>
      </c>
      <c r="EC125" s="11" t="str">
        <f ca="1">IF(History!EG$2="","",#REF!*$C$125)</f>
        <v/>
      </c>
      <c r="ED125" s="11" t="str">
        <f ca="1">IF(History!EH$2="","",#REF!*$C$125)</f>
        <v/>
      </c>
      <c r="EE125" s="11" t="str">
        <f ca="1">IF(History!EI$2="","",#REF!*$C$125)</f>
        <v/>
      </c>
      <c r="EF125" s="11" t="str">
        <f ca="1">IF(History!EJ$2="","",#REF!*$C$125)</f>
        <v/>
      </c>
      <c r="EG125" s="11" t="str">
        <f ca="1">IF(History!EK$2="","",#REF!*$C$125)</f>
        <v/>
      </c>
      <c r="EH125" s="11" t="str">
        <f ca="1">IF(History!EL$2="","",#REF!*$C$125)</f>
        <v/>
      </c>
      <c r="EI125" s="11" t="str">
        <f ca="1">IF(History!EM$2="","",#REF!*$C$125)</f>
        <v/>
      </c>
      <c r="EJ125" s="11" t="str">
        <f ca="1">IF(History!EN$2="","",#REF!*$C$125)</f>
        <v/>
      </c>
      <c r="EK125" s="11" t="str">
        <f ca="1">IF(History!EO$2="","",#REF!*$C$125)</f>
        <v/>
      </c>
      <c r="EL125" s="11" t="str">
        <f ca="1">IF(History!EP$2="","",#REF!*$C$125)</f>
        <v/>
      </c>
      <c r="EM125" s="11" t="str">
        <f ca="1">IF(History!EQ$2="","",#REF!*$C$125)</f>
        <v/>
      </c>
      <c r="EN125" s="11" t="str">
        <f ca="1">IF(History!ER$2="","",#REF!*$C$125)</f>
        <v/>
      </c>
      <c r="EO125" s="11" t="str">
        <f ca="1">IF(History!ES$2="","",#REF!*$C$125)</f>
        <v/>
      </c>
      <c r="EP125" s="11" t="str">
        <f ca="1">IF(History!ET$2="","",#REF!*$C$125)</f>
        <v/>
      </c>
      <c r="EQ125" s="11" t="str">
        <f ca="1">IF(History!EU$2="","",#REF!*$C$125)</f>
        <v/>
      </c>
      <c r="ER125" s="11" t="str">
        <f ca="1">IF(History!EV$2="","",#REF!*$C$125)</f>
        <v/>
      </c>
      <c r="ES125" s="11" t="str">
        <f ca="1">IF(History!EW$2="","",#REF!*$C$125)</f>
        <v/>
      </c>
      <c r="ET125" s="11" t="str">
        <f ca="1">IF(History!EX$2="","",#REF!*$C$125)</f>
        <v/>
      </c>
      <c r="EU125" s="11" t="str">
        <f ca="1">IF(History!EY$2="","",#REF!*$C$125)</f>
        <v/>
      </c>
      <c r="EV125" s="11" t="str">
        <f ca="1">IF(History!EZ$2="","",#REF!*$C$125)</f>
        <v/>
      </c>
      <c r="EW125" s="11" t="str">
        <f ca="1">IF(History!FA$2="","",#REF!*$C$125)</f>
        <v/>
      </c>
      <c r="EX125" s="11" t="str">
        <f ca="1">IF(History!FB$2="","",#REF!*$C$125)</f>
        <v/>
      </c>
      <c r="EY125" s="11" t="str">
        <f ca="1">IF(History!FC$2="","",#REF!*$C$125)</f>
        <v/>
      </c>
      <c r="EZ125" s="11" t="str">
        <f ca="1">IF(History!FD$2="","",#REF!*$C$125)</f>
        <v/>
      </c>
      <c r="FA125" s="11" t="str">
        <f ca="1">IF(History!FE$2="","",#REF!*$C$125)</f>
        <v/>
      </c>
      <c r="FB125" s="11" t="str">
        <f ca="1">IF(History!FF$2="","",#REF!*$C$125)</f>
        <v/>
      </c>
      <c r="FC125" s="11" t="str">
        <f ca="1">IF(History!FG$2="","",#REF!*$C$125)</f>
        <v/>
      </c>
      <c r="FD125" s="11" t="str">
        <f ca="1">IF(History!FH$2="","",#REF!*$C$125)</f>
        <v/>
      </c>
      <c r="FE125" s="11" t="str">
        <f ca="1">IF(History!FI$2="","",#REF!*$C$125)</f>
        <v/>
      </c>
      <c r="FF125" s="11" t="str">
        <f ca="1">IF(History!FJ$2="","",#REF!*$C$125)</f>
        <v/>
      </c>
      <c r="FG125" s="11" t="str">
        <f ca="1">IF(History!FK$2="","",#REF!*$C$125)</f>
        <v/>
      </c>
      <c r="FH125" s="11" t="str">
        <f ca="1">IF(History!FL$2="","",#REF!*$C$125)</f>
        <v/>
      </c>
      <c r="FI125" s="11" t="str">
        <f ca="1">IF(History!FM$2="","",#REF!*$C$125)</f>
        <v/>
      </c>
      <c r="FJ125" s="11" t="str">
        <f ca="1">IF(History!FN$2="","",#REF!*$C$125)</f>
        <v/>
      </c>
      <c r="FK125" s="11" t="str">
        <f ca="1">IF(History!FO$2="","",#REF!*$C$125)</f>
        <v/>
      </c>
      <c r="FL125" s="11" t="str">
        <f ca="1">IF(History!FP$2="","",#REF!*$C$125)</f>
        <v/>
      </c>
      <c r="FM125" s="11" t="str">
        <f ca="1">IF(History!FQ$2="","",#REF!*$C$125)</f>
        <v/>
      </c>
      <c r="FN125" s="11" t="str">
        <f ca="1">IF(History!FR$2="","",#REF!*$C$125)</f>
        <v/>
      </c>
      <c r="FO125" s="11" t="str">
        <f ca="1">IF(History!FS$2="","",#REF!*$C$125)</f>
        <v/>
      </c>
      <c r="FP125" s="11" t="str">
        <f ca="1">IF(History!FT$2="","",#REF!*$C$125)</f>
        <v/>
      </c>
      <c r="FQ125" s="11" t="str">
        <f ca="1">IF(History!FU$2="","",#REF!*$C$125)</f>
        <v/>
      </c>
      <c r="FR125" s="11" t="str">
        <f ca="1">IF(History!FV$2="","",#REF!*$C$125)</f>
        <v/>
      </c>
      <c r="FS125" s="11" t="str">
        <f ca="1">IF(History!FW$2="","",#REF!*$C$125)</f>
        <v/>
      </c>
      <c r="FT125" s="11" t="str">
        <f ca="1">IF(History!FX$2="","",#REF!*$C$125)</f>
        <v/>
      </c>
      <c r="FU125" s="11" t="str">
        <f ca="1">IF(History!FY$2="","",#REF!*$C$125)</f>
        <v/>
      </c>
      <c r="FV125" s="11" t="str">
        <f ca="1">IF(History!FZ$2="","",#REF!*$C$125)</f>
        <v/>
      </c>
      <c r="FW125" s="11" t="str">
        <f ca="1">IF(History!GA$2="","",#REF!*$C$125)</f>
        <v/>
      </c>
      <c r="FX125" s="11" t="str">
        <f ca="1">IF(History!GB$2="","",#REF!*$C$125)</f>
        <v/>
      </c>
      <c r="FY125" s="11" t="str">
        <f ca="1">IF(History!GC$2="","",#REF!*$C$125)</f>
        <v/>
      </c>
      <c r="FZ125" s="11" t="str">
        <f ca="1">IF(History!GD$2="","",#REF!*$C$125)</f>
        <v/>
      </c>
      <c r="GA125" s="11" t="str">
        <f ca="1">IF(History!GE$2="","",#REF!*$C$125)</f>
        <v/>
      </c>
      <c r="GB125" s="11" t="str">
        <f ca="1">IF(History!GF$2="","",#REF!*$C$125)</f>
        <v/>
      </c>
      <c r="GC125" s="11" t="str">
        <f ca="1">IF(History!GG$2="","",#REF!*$C$125)</f>
        <v/>
      </c>
      <c r="GD125" s="11" t="str">
        <f ca="1">IF(History!GH$2="","",#REF!*$C$125)</f>
        <v/>
      </c>
      <c r="GE125" s="11" t="str">
        <f ca="1">IF(History!GI$2="","",#REF!*$C$125)</f>
        <v/>
      </c>
      <c r="GF125" s="11" t="str">
        <f ca="1">IF(History!GJ$2="","",#REF!*$C$125)</f>
        <v/>
      </c>
      <c r="GG125" s="11" t="str">
        <f ca="1">IF(History!GK$2="","",#REF!*$C$125)</f>
        <v/>
      </c>
      <c r="GH125" s="11" t="str">
        <f ca="1">IF(History!GL$2="","",#REF!*$C$125)</f>
        <v/>
      </c>
      <c r="GI125" s="11" t="str">
        <f ca="1">IF(History!GM$2="","",#REF!*$C$125)</f>
        <v/>
      </c>
      <c r="GJ125" s="11" t="str">
        <f ca="1">IF(History!GN$2="","",#REF!*$C$125)</f>
        <v/>
      </c>
      <c r="GK125" s="11" t="str">
        <f ca="1">IF(History!GO$2="","",#REF!*$C$125)</f>
        <v/>
      </c>
      <c r="GL125" s="11" t="str">
        <f ca="1">IF(History!GP$2="","",#REF!*$C$125)</f>
        <v/>
      </c>
      <c r="GM125" s="11" t="str">
        <f ca="1">IF(History!GQ$2="","",#REF!*$C$125)</f>
        <v/>
      </c>
      <c r="GN125" s="11" t="str">
        <f ca="1">IF(History!GR$2="","",#REF!*$C$125)</f>
        <v/>
      </c>
      <c r="GO125" s="11" t="str">
        <f ca="1">IF(History!GS$2="","",#REF!*$C$125)</f>
        <v/>
      </c>
      <c r="GP125" s="11" t="str">
        <f ca="1">IF(History!GT$2="","",#REF!*$C$125)</f>
        <v/>
      </c>
      <c r="GQ125" s="11" t="str">
        <f ca="1">IF(History!GU$2="","",#REF!*$C$125)</f>
        <v/>
      </c>
      <c r="GR125" s="11" t="str">
        <f ca="1">IF(History!GV$2="","",#REF!*$C$125)</f>
        <v/>
      </c>
      <c r="GS125" s="11" t="str">
        <f ca="1">IF(History!GW$2="","",#REF!*$C$125)</f>
        <v/>
      </c>
      <c r="GT125" s="11" t="str">
        <f ca="1">IF(History!GX$2="","",#REF!*$C$125)</f>
        <v/>
      </c>
      <c r="GU125" s="11" t="str">
        <f ca="1">IF(History!GY$2="","",#REF!*$C$125)</f>
        <v/>
      </c>
      <c r="GV125" s="11" t="str">
        <f ca="1">IF(History!GZ$2="","",#REF!*$C$125)</f>
        <v/>
      </c>
      <c r="GW125" s="11" t="str">
        <f ca="1">IF(History!HA$2="","",#REF!*$C$125)</f>
        <v/>
      </c>
      <c r="GX125" s="11" t="str">
        <f ca="1">IF(History!HB$2="","",#REF!*$C$125)</f>
        <v/>
      </c>
      <c r="GY125" s="11" t="str">
        <f ca="1">IF(History!HC$2="","",#REF!*$C$125)</f>
        <v/>
      </c>
      <c r="GZ125" s="11" t="str">
        <f ca="1">IF(History!HD$2="","",#REF!*$C$125)</f>
        <v/>
      </c>
      <c r="HA125" s="11" t="str">
        <f ca="1">IF(History!HE$2="","",#REF!*$C$125)</f>
        <v/>
      </c>
      <c r="HB125" s="11" t="str">
        <f ca="1">IF(History!HF$2="","",#REF!*$C$125)</f>
        <v/>
      </c>
      <c r="HC125" s="11" t="str">
        <f ca="1">IF(History!HG$2="","",#REF!*$C$125)</f>
        <v/>
      </c>
      <c r="HD125" s="11" t="str">
        <f ca="1">IF(History!HH$2="","",#REF!*$C$125)</f>
        <v/>
      </c>
      <c r="HE125" s="11" t="str">
        <f ca="1">IF(History!HI$2="","",#REF!*$C$125)</f>
        <v/>
      </c>
      <c r="HF125" s="11" t="str">
        <f ca="1">IF(History!HJ$2="","",#REF!*$C$125)</f>
        <v/>
      </c>
      <c r="HG125" s="11" t="str">
        <f ca="1">IF(History!HK$2="","",#REF!*$C$125)</f>
        <v/>
      </c>
      <c r="HH125" s="11" t="str">
        <f ca="1">IF(History!HL$2="","",#REF!*$C$125)</f>
        <v/>
      </c>
      <c r="HI125" s="11" t="str">
        <f ca="1">IF(History!HM$2="","",#REF!*$C$125)</f>
        <v/>
      </c>
      <c r="HJ125" s="11" t="str">
        <f ca="1">IF(History!HN$2="","",#REF!*$C$125)</f>
        <v/>
      </c>
      <c r="HK125" s="11" t="str">
        <f ca="1">IF(History!HO$2="","",#REF!*$C$125)</f>
        <v/>
      </c>
      <c r="HL125" s="11" t="str">
        <f ca="1">IF(History!HP$2="","",#REF!*$C$125)</f>
        <v/>
      </c>
      <c r="HM125" s="11" t="str">
        <f ca="1">IF(History!HQ$2="","",#REF!*$C$125)</f>
        <v/>
      </c>
      <c r="HN125" s="11" t="str">
        <f ca="1">IF(History!HR$2="","",#REF!*$C$125)</f>
        <v/>
      </c>
      <c r="HO125" s="11" t="str">
        <f ca="1">IF(History!HS$2="","",#REF!*$C$125)</f>
        <v/>
      </c>
      <c r="HP125" s="11" t="str">
        <f ca="1">IF(History!HT$2="","",#REF!*$C$125)</f>
        <v/>
      </c>
      <c r="HQ125" s="11" t="str">
        <f ca="1">IF(History!HU$2="","",#REF!*$C$125)</f>
        <v/>
      </c>
      <c r="HR125" s="11" t="str">
        <f ca="1">IF(History!HV$2="","",#REF!*$C$125)</f>
        <v/>
      </c>
      <c r="HS125" s="11" t="str">
        <f ca="1">IF(History!HW$2="","",#REF!*$C$125)</f>
        <v/>
      </c>
      <c r="HT125" s="11" t="str">
        <f ca="1">IF(History!HX$2="","",#REF!*$C$125)</f>
        <v/>
      </c>
      <c r="HU125" s="11" t="str">
        <f ca="1">IF(History!HY$2="","",#REF!*$C$125)</f>
        <v/>
      </c>
      <c r="HV125" s="11" t="str">
        <f ca="1">IF(History!HZ$2="","",#REF!*$C$125)</f>
        <v/>
      </c>
      <c r="HW125" s="11" t="str">
        <f ca="1">IF(History!IA$2="","",#REF!*$C$125)</f>
        <v/>
      </c>
      <c r="HX125" s="11" t="str">
        <f ca="1">IF(History!IB$2="","",#REF!*$C$125)</f>
        <v/>
      </c>
      <c r="HY125" s="11" t="str">
        <f ca="1">IF(History!IC$2="","",#REF!*$C$125)</f>
        <v/>
      </c>
      <c r="HZ125" s="11" t="str">
        <f ca="1">IF(History!ID$2="","",#REF!*$C$125)</f>
        <v/>
      </c>
      <c r="IA125" s="11" t="str">
        <f ca="1">IF(History!IE$2="","",#REF!*$C$125)</f>
        <v/>
      </c>
      <c r="IB125" s="11" t="str">
        <f ca="1">IF(History!IF$2="","",#REF!*$C$125)</f>
        <v/>
      </c>
      <c r="IC125" s="11" t="str">
        <f ca="1">IF(History!IG$2="","",#REF!*$C$125)</f>
        <v/>
      </c>
      <c r="ID125" s="11" t="str">
        <f ca="1">IF(History!IH$2="","",#REF!*$C$125)</f>
        <v/>
      </c>
      <c r="IE125" s="11" t="str">
        <f ca="1">IF(History!II$2="","",#REF!*$C$125)</f>
        <v/>
      </c>
      <c r="IF125" s="11" t="str">
        <f ca="1">IF(History!IJ$2="","",#REF!*$C$125)</f>
        <v/>
      </c>
      <c r="IG125" s="11" t="str">
        <f ca="1">IF(History!IK$2="","",#REF!*$C$125)</f>
        <v/>
      </c>
      <c r="IH125" s="11" t="str">
        <f ca="1">IF(History!IL$2="","",#REF!*$C$125)</f>
        <v/>
      </c>
      <c r="II125" s="11" t="str">
        <f ca="1">IF(History!IM$2="","",#REF!*$C$125)</f>
        <v/>
      </c>
      <c r="IJ125" s="11" t="str">
        <f ca="1">IF(History!IN$2="","",#REF!*$C$125)</f>
        <v/>
      </c>
      <c r="IK125" s="11" t="str">
        <f ca="1">IF(History!IO$2="","",#REF!*$C$125)</f>
        <v/>
      </c>
      <c r="IL125" s="11" t="str">
        <f ca="1">IF(History!IP$2="","",#REF!*$C$125)</f>
        <v/>
      </c>
      <c r="IM125" s="11" t="str">
        <f ca="1">IF(History!IQ$2="","",#REF!*$C$125)</f>
        <v/>
      </c>
      <c r="IN125" s="11" t="str">
        <f ca="1">IF(History!IR$2="","",#REF!*$C$125)</f>
        <v/>
      </c>
      <c r="IO125" s="11" t="str">
        <f ca="1">IF(History!IS$2="","",#REF!*$C$125)</f>
        <v/>
      </c>
      <c r="IP125" s="11" t="str">
        <f ca="1">IF(History!IT$2="","",#REF!*$C$125)</f>
        <v/>
      </c>
      <c r="IQ125" s="11" t="str">
        <f ca="1">IF(History!IU$2="","",#REF!*$C$125)</f>
        <v/>
      </c>
      <c r="IR125" s="11" t="str">
        <f ca="1">IF(History!IV$2="","",#REF!*$C$125)</f>
        <v/>
      </c>
      <c r="IS125" s="11" t="str">
        <f ca="1">IF(History!IW$2="","",#REF!*$C$125)</f>
        <v/>
      </c>
      <c r="IT125" s="11" t="str">
        <f ca="1">IF(History!IX$2="","",#REF!*$C$125)</f>
        <v/>
      </c>
      <c r="IU125" s="11" t="str">
        <f ca="1">IF(History!IY$2="","",#REF!*$C$125)</f>
        <v/>
      </c>
      <c r="IV125" s="11" t="str">
        <f ca="1">IF(History!IZ$2="","",#REF!*$C$125)</f>
        <v/>
      </c>
      <c r="IW125" s="11" t="str">
        <f ca="1">IF(History!JA$2="","",#REF!*$C$125)</f>
        <v/>
      </c>
      <c r="IX125" s="11" t="str">
        <f ca="1">IF(History!JB$2="","",#REF!*$C$125)</f>
        <v/>
      </c>
      <c r="IY125" s="11" t="str">
        <f ca="1">IF(History!JC$2="","",#REF!*$C$125)</f>
        <v/>
      </c>
      <c r="IZ125" s="11" t="str">
        <f ca="1">IF(History!JD$2="","",#REF!*$C$125)</f>
        <v/>
      </c>
      <c r="JA125" s="11" t="str">
        <f ca="1">IF(History!JE$2="","",#REF!*$C$125)</f>
        <v/>
      </c>
      <c r="JB125" s="11" t="str">
        <f ca="1">IF(History!JF$2="","",#REF!*$C$125)</f>
        <v/>
      </c>
      <c r="JC125" s="11" t="str">
        <f ca="1">IF(History!JG$2="","",#REF!*$C$125)</f>
        <v/>
      </c>
      <c r="JD125" s="11" t="str">
        <f ca="1">IF(History!JH$2="","",#REF!*$C$125)</f>
        <v/>
      </c>
      <c r="JE125" s="11" t="str">
        <f ca="1">IF(History!JI$2="","",#REF!*$C$125)</f>
        <v/>
      </c>
      <c r="JF125" s="11" t="str">
        <f ca="1">IF(History!JJ$2="","",#REF!*$C$125)</f>
        <v/>
      </c>
      <c r="JG125" s="11" t="str">
        <f ca="1">IF(History!JK$2="","",#REF!*$C$125)</f>
        <v/>
      </c>
      <c r="JH125" s="11" t="str">
        <f ca="1">IF(History!JL$2="","",#REF!*$C$125)</f>
        <v/>
      </c>
      <c r="JI125" s="11" t="str">
        <f ca="1">IF(History!JM$2="","",#REF!*$C$125)</f>
        <v/>
      </c>
      <c r="JJ125" s="11" t="str">
        <f ca="1">IF(History!JN$2="","",#REF!*$C$125)</f>
        <v/>
      </c>
      <c r="JK125" s="11" t="str">
        <f ca="1">IF(History!JO$2="","",#REF!*$C$125)</f>
        <v/>
      </c>
      <c r="JL125" s="11" t="str">
        <f ca="1">IF(History!JP$2="","",#REF!*$C$125)</f>
        <v/>
      </c>
      <c r="JM125" s="11" t="str">
        <f ca="1">IF(History!JQ$2="","",#REF!*$C$125)</f>
        <v/>
      </c>
      <c r="JN125" s="11" t="str">
        <f ca="1">IF(History!JR$2="","",#REF!*$C$125)</f>
        <v/>
      </c>
      <c r="JO125" s="11" t="str">
        <f ca="1">IF(History!JS$2="","",#REF!*$C$125)</f>
        <v/>
      </c>
      <c r="JP125" s="11" t="str">
        <f ca="1">IF(History!JT$2="","",#REF!*$C$125)</f>
        <v/>
      </c>
      <c r="JQ125" s="11" t="str">
        <f ca="1">IF(History!JU$2="","",#REF!*$C$125)</f>
        <v/>
      </c>
      <c r="JR125" s="11" t="str">
        <f ca="1">IF(History!JV$2="","",#REF!*$C$125)</f>
        <v/>
      </c>
      <c r="JS125" s="11" t="str">
        <f ca="1">IF(History!JW$2="","",#REF!*$C$125)</f>
        <v/>
      </c>
      <c r="JT125" s="11" t="str">
        <f ca="1">IF(History!JX$2="","",#REF!*$C$125)</f>
        <v/>
      </c>
      <c r="JU125" s="11" t="str">
        <f ca="1">IF(History!JY$2="","",#REF!*$C$125)</f>
        <v/>
      </c>
      <c r="JV125" s="11" t="str">
        <f ca="1">IF(History!JZ$2="","",#REF!*$C$125)</f>
        <v/>
      </c>
      <c r="JW125" s="11" t="str">
        <f ca="1">IF(History!KA$2="","",#REF!*$C$125)</f>
        <v/>
      </c>
      <c r="JX125" s="11" t="str">
        <f ca="1">IF(History!KB$2="","",#REF!*$C$125)</f>
        <v/>
      </c>
      <c r="JY125" s="11" t="str">
        <f ca="1">IF(History!KC$2="","",#REF!*$C$125)</f>
        <v/>
      </c>
      <c r="JZ125" s="11" t="str">
        <f ca="1">IF(History!KD$2="","",#REF!*$C$125)</f>
        <v/>
      </c>
      <c r="KA125" s="11" t="str">
        <f ca="1">IF(History!KE$2="","",#REF!*$C$125)</f>
        <v/>
      </c>
      <c r="KB125" s="11" t="str">
        <f ca="1">IF(History!KF$2="","",#REF!*$C$125)</f>
        <v/>
      </c>
    </row>
    <row r="126" spans="1:288" ht="13">
      <c r="A126" s="2" t="s">
        <v>40</v>
      </c>
      <c r="B126" s="32" t="s">
        <v>114</v>
      </c>
      <c r="C126" s="33">
        <v>301</v>
      </c>
      <c r="D126" s="11" t="e">
        <f ca="1">IF(History!H$2="","",#REF!*$C$126)</f>
        <v>#REF!</v>
      </c>
      <c r="E126" s="11" t="e">
        <f ca="1">IF(History!I$2="","",#REF!*$C$126)</f>
        <v>#REF!</v>
      </c>
      <c r="F126" s="11" t="e">
        <f ca="1">IF(History!J$2="","",#REF!*$C$126)</f>
        <v>#REF!</v>
      </c>
      <c r="G126" s="11" t="e">
        <f ca="1">IF(History!K$2="","",#REF!*$C$126)</f>
        <v>#REF!</v>
      </c>
      <c r="H126" s="11" t="e">
        <f ca="1">IF(History!L$2="","",#REF!*$C$126)</f>
        <v>#REF!</v>
      </c>
      <c r="I126" s="11" t="e">
        <f ca="1">IF(History!M$2="","",#REF!*$C$126)</f>
        <v>#REF!</v>
      </c>
      <c r="J126" s="11" t="e">
        <f ca="1">IF(History!N$2="","",#REF!*$C$126)</f>
        <v>#REF!</v>
      </c>
      <c r="K126" s="11" t="e">
        <f ca="1">IF(History!O$2="","",#REF!*$C$126)</f>
        <v>#REF!</v>
      </c>
      <c r="L126" s="11" t="e">
        <f ca="1">IF(History!P$2="","",#REF!*$C$126)</f>
        <v>#REF!</v>
      </c>
      <c r="M126" s="11" t="e">
        <f ca="1">IF(History!Q$2="","",#REF!*$C$126)</f>
        <v>#REF!</v>
      </c>
      <c r="N126" s="11" t="e">
        <f ca="1">IF(History!R$2="","",#REF!*$C$126)</f>
        <v>#REF!</v>
      </c>
      <c r="O126" s="11" t="e">
        <f ca="1">IF(History!S$2="","",#REF!*$C$126)</f>
        <v>#REF!</v>
      </c>
      <c r="P126" s="11" t="e">
        <f ca="1">IF(History!T$2="","",#REF!*$C$126)</f>
        <v>#REF!</v>
      </c>
      <c r="Q126" s="11" t="e">
        <f ca="1">IF(History!U$2="","",#REF!*$C$126)</f>
        <v>#REF!</v>
      </c>
      <c r="R126" s="11" t="e">
        <f ca="1">IF(History!V$2="","",#REF!*$C$126)</f>
        <v>#REF!</v>
      </c>
      <c r="S126" s="11" t="e">
        <f ca="1">IF(History!W$2="","",#REF!*$C$126)</f>
        <v>#REF!</v>
      </c>
      <c r="T126" s="11" t="e">
        <f ca="1">IF(History!X$2="","",#REF!*$C$126)</f>
        <v>#REF!</v>
      </c>
      <c r="U126" s="11" t="e">
        <f ca="1">IF(History!Y$2="","",#REF!*$C$126)</f>
        <v>#REF!</v>
      </c>
      <c r="V126" s="11" t="e">
        <f ca="1">IF(History!Z$2="","",#REF!*$C$126)</f>
        <v>#REF!</v>
      </c>
      <c r="W126" s="11" t="e">
        <f ca="1">IF(History!AA$2="","",#REF!*$C$126)</f>
        <v>#REF!</v>
      </c>
      <c r="X126" s="11" t="e">
        <f ca="1">IF(History!AB$2="","",#REF!*$C$126)</f>
        <v>#REF!</v>
      </c>
      <c r="Y126" s="11" t="e">
        <f ca="1">IF(History!AC$2="","",#REF!*$C$126)</f>
        <v>#REF!</v>
      </c>
      <c r="Z126" s="11" t="e">
        <f ca="1">IF(History!AD$2="","",#REF!*$C$126)</f>
        <v>#REF!</v>
      </c>
      <c r="AA126" s="11" t="e">
        <f ca="1">IF(History!AE$2="","",#REF!*$C$126)</f>
        <v>#REF!</v>
      </c>
      <c r="AB126" s="11" t="e">
        <f ca="1">IF(History!AF$2="","",#REF!*$C$126)</f>
        <v>#REF!</v>
      </c>
      <c r="AC126" s="11" t="e">
        <f ca="1">IF(History!AG$2="","",#REF!*$C$126)</f>
        <v>#REF!</v>
      </c>
      <c r="AD126" s="11" t="e">
        <f ca="1">IF(History!AH$2="","",#REF!*$C$126)</f>
        <v>#REF!</v>
      </c>
      <c r="AE126" s="11" t="e">
        <f ca="1">IF(History!AI$2="","",#REF!*$C$126)</f>
        <v>#REF!</v>
      </c>
      <c r="AF126" s="11" t="e">
        <f ca="1">IF(History!AJ$2="","",#REF!*$C$126)</f>
        <v>#REF!</v>
      </c>
      <c r="AG126" s="11" t="e">
        <f ca="1">IF(History!AK$2="","",#REF!*$C$126)</f>
        <v>#REF!</v>
      </c>
      <c r="AH126" s="11" t="e">
        <f ca="1">IF(History!AL$2="","",#REF!*$C$126)</f>
        <v>#REF!</v>
      </c>
      <c r="AI126" s="11" t="e">
        <f ca="1">IF(History!AM$2="","",#REF!*$C$126)</f>
        <v>#REF!</v>
      </c>
      <c r="AJ126" s="11" t="e">
        <f ca="1">IF(History!AN$2="","",#REF!*$C$126)</f>
        <v>#REF!</v>
      </c>
      <c r="AK126" s="11" t="e">
        <f ca="1">IF(History!AO$2="","",#REF!*$C$126)</f>
        <v>#REF!</v>
      </c>
      <c r="AL126" s="11" t="e">
        <f ca="1">IF(History!AP$2="","",#REF!*$C$126)</f>
        <v>#REF!</v>
      </c>
      <c r="AM126" s="11" t="e">
        <f ca="1">IF(History!AQ$2="","",#REF!*$C$126)</f>
        <v>#REF!</v>
      </c>
      <c r="AN126" s="11" t="e">
        <f ca="1">IF(History!AR$2="","",#REF!*$C$126)</f>
        <v>#REF!</v>
      </c>
      <c r="AO126" s="11" t="e">
        <f ca="1">IF(History!AS$2="","",#REF!*$C$126)</f>
        <v>#REF!</v>
      </c>
      <c r="AP126" s="11" t="e">
        <f ca="1">IF(History!AT$2="","",#REF!*$C$126)</f>
        <v>#REF!</v>
      </c>
      <c r="AQ126" s="11" t="e">
        <f ca="1">IF(History!AU$2="","",#REF!*$C$126)</f>
        <v>#REF!</v>
      </c>
      <c r="AR126" s="11" t="e">
        <f ca="1">IF(History!AV$2="","",#REF!*$C$126)</f>
        <v>#REF!</v>
      </c>
      <c r="AS126" s="11" t="e">
        <f ca="1">IF(History!AW$2="","",#REF!*$C$126)</f>
        <v>#REF!</v>
      </c>
      <c r="AT126" s="11" t="e">
        <f ca="1">IF(History!AX$2="","",#REF!*$C$126)</f>
        <v>#REF!</v>
      </c>
      <c r="AU126" s="11" t="e">
        <f ca="1">IF(History!AY$2="","",#REF!*$C$126)</f>
        <v>#REF!</v>
      </c>
      <c r="AV126" s="11" t="e">
        <f ca="1">IF(History!AZ$2="","",#REF!*$C$126)</f>
        <v>#REF!</v>
      </c>
      <c r="AW126" s="11" t="e">
        <f ca="1">IF(History!BA$2="","",#REF!*$C$126)</f>
        <v>#REF!</v>
      </c>
      <c r="AX126" s="11" t="e">
        <f ca="1">IF(History!BB$2="","",#REF!*$C$126)</f>
        <v>#REF!</v>
      </c>
      <c r="AY126" s="11" t="e">
        <f ca="1">IF(History!BC$2="","",#REF!*$C$126)</f>
        <v>#REF!</v>
      </c>
      <c r="AZ126" s="11" t="e">
        <f ca="1">IF(History!BD$2="","",#REF!*$C$126)</f>
        <v>#REF!</v>
      </c>
      <c r="BA126" s="11" t="e">
        <f ca="1">IF(History!BE$2="","",#REF!*$C$126)</f>
        <v>#REF!</v>
      </c>
      <c r="BB126" s="11" t="e">
        <f ca="1">IF(History!BF$2="","",#REF!*$C$126)</f>
        <v>#REF!</v>
      </c>
      <c r="BC126" s="11" t="e">
        <f ca="1">IF(History!BG$2="","",#REF!*$C$126)</f>
        <v>#REF!</v>
      </c>
      <c r="BD126" s="11" t="e">
        <f ca="1">IF(History!BH$2="","",#REF!*$C$126)</f>
        <v>#REF!</v>
      </c>
      <c r="BE126" s="11" t="e">
        <f ca="1">IF(History!BI$2="","",#REF!*$C$126)</f>
        <v>#REF!</v>
      </c>
      <c r="BF126" s="11" t="e">
        <f ca="1">IF(History!BJ$2="","",#REF!*$C$126)</f>
        <v>#REF!</v>
      </c>
      <c r="BG126" s="11" t="e">
        <f ca="1">IF(History!BK$2="","",#REF!*$C$126)</f>
        <v>#REF!</v>
      </c>
      <c r="BH126" s="11" t="e">
        <f ca="1">IF(History!BL$2="","",#REF!*$C$126)</f>
        <v>#REF!</v>
      </c>
      <c r="BI126" s="11" t="e">
        <f ca="1">IF(History!BM$2="","",#REF!*$C$126)</f>
        <v>#REF!</v>
      </c>
      <c r="BJ126" s="11" t="e">
        <f ca="1">IF(History!BN$2="","",#REF!*$C$126)</f>
        <v>#REF!</v>
      </c>
      <c r="BK126" s="11" t="e">
        <f ca="1">IF(History!BO$2="","",#REF!*$C$126)</f>
        <v>#REF!</v>
      </c>
      <c r="BL126" s="11" t="e">
        <f ca="1">IF(History!BP$2="","",#REF!*$C$126)</f>
        <v>#REF!</v>
      </c>
      <c r="BM126" s="11" t="e">
        <f ca="1">IF(History!BQ$2="","",#REF!*$C$126)</f>
        <v>#REF!</v>
      </c>
      <c r="BN126" s="11" t="e">
        <f ca="1">IF(History!BR$2="","",#REF!*$C$126)</f>
        <v>#REF!</v>
      </c>
      <c r="BO126" s="11" t="e">
        <f ca="1">IF(History!BS$2="","",#REF!*$C$126)</f>
        <v>#REF!</v>
      </c>
      <c r="BP126" s="11" t="e">
        <f ca="1">IF(History!BT$2="","",#REF!*$C$126)</f>
        <v>#REF!</v>
      </c>
      <c r="BQ126" s="11" t="e">
        <f ca="1">IF(History!BU$2="","",#REF!*$C$126)</f>
        <v>#REF!</v>
      </c>
      <c r="BR126" s="11" t="e">
        <f ca="1">IF(History!BV$2="","",#REF!*$C$126)</f>
        <v>#REF!</v>
      </c>
      <c r="BS126" s="11" t="e">
        <f ca="1">IF(History!BW$2="","",#REF!*$C$126)</f>
        <v>#REF!</v>
      </c>
      <c r="BT126" s="11" t="e">
        <f ca="1">IF(History!BX$2="","",#REF!*$C$126)</f>
        <v>#REF!</v>
      </c>
      <c r="BU126" s="11" t="e">
        <f ca="1">IF(History!BY$2="","",#REF!*$C$126)</f>
        <v>#REF!</v>
      </c>
      <c r="BV126" s="11" t="e">
        <f ca="1">IF(History!BZ$2="","",#REF!*$C$126)</f>
        <v>#REF!</v>
      </c>
      <c r="BW126" s="11" t="e">
        <f ca="1">IF(History!CA$2="","",#REF!*$C$126)</f>
        <v>#REF!</v>
      </c>
      <c r="BX126" s="11" t="e">
        <f ca="1">IF(History!CB$2="","",#REF!*$C$126)</f>
        <v>#REF!</v>
      </c>
      <c r="BY126" s="11" t="e">
        <f ca="1">IF(History!CC$2="","",#REF!*$C$126)</f>
        <v>#REF!</v>
      </c>
      <c r="BZ126" s="11" t="e">
        <f ca="1">IF(History!CD$2="","",#REF!*$C$126)</f>
        <v>#REF!</v>
      </c>
      <c r="CA126" s="11" t="e">
        <f ca="1">IF(History!CE$2="","",#REF!*$C$126)</f>
        <v>#REF!</v>
      </c>
      <c r="CB126" s="11" t="e">
        <f ca="1">IF(History!CF$2="","",#REF!*$C$126)</f>
        <v>#REF!</v>
      </c>
      <c r="CC126" s="11" t="e">
        <f ca="1">IF(History!CG$2="","",#REF!*$C$126)</f>
        <v>#REF!</v>
      </c>
      <c r="CD126" s="11" t="e">
        <f ca="1">IF(History!CH$2="","",#REF!*$C$126)</f>
        <v>#REF!</v>
      </c>
      <c r="CE126" s="11" t="e">
        <f ca="1">IF(History!CI$2="","",#REF!*$C$126)</f>
        <v>#REF!</v>
      </c>
      <c r="CF126" s="11" t="str">
        <f ca="1">IF(History!CJ$2="","",#REF!*$C$126)</f>
        <v/>
      </c>
      <c r="CG126" s="11" t="str">
        <f ca="1">IF(History!CK$2="","",#REF!*$C$126)</f>
        <v/>
      </c>
      <c r="CH126" s="11" t="str">
        <f ca="1">IF(History!CL$2="","",#REF!*$C$126)</f>
        <v/>
      </c>
      <c r="CI126" s="11" t="str">
        <f ca="1">IF(History!CM$2="","",#REF!*$C$126)</f>
        <v/>
      </c>
      <c r="CJ126" s="11" t="str">
        <f ca="1">IF(History!CN$2="","",#REF!*$C$126)</f>
        <v/>
      </c>
      <c r="CK126" s="11" t="str">
        <f ca="1">IF(History!CO$2="","",#REF!*$C$126)</f>
        <v/>
      </c>
      <c r="CL126" s="11" t="str">
        <f ca="1">IF(History!CP$2="","",#REF!*$C$126)</f>
        <v/>
      </c>
      <c r="CM126" s="11" t="str">
        <f ca="1">IF(History!CQ$2="","",#REF!*$C$126)</f>
        <v/>
      </c>
      <c r="CN126" s="11" t="str">
        <f ca="1">IF(History!CR$2="","",#REF!*$C$126)</f>
        <v/>
      </c>
      <c r="CO126" s="11" t="str">
        <f ca="1">IF(History!CS$2="","",#REF!*$C$126)</f>
        <v/>
      </c>
      <c r="CP126" s="11" t="str">
        <f ca="1">IF(History!CT$2="","",#REF!*$C$126)</f>
        <v/>
      </c>
      <c r="CQ126" s="11" t="str">
        <f ca="1">IF(History!CU$2="","",#REF!*$C$126)</f>
        <v/>
      </c>
      <c r="CR126" s="11" t="str">
        <f ca="1">IF(History!CV$2="","",#REF!*$C$126)</f>
        <v/>
      </c>
      <c r="CS126" s="11" t="str">
        <f ca="1">IF(History!CW$2="","",#REF!*$C$126)</f>
        <v/>
      </c>
      <c r="CT126" s="11" t="str">
        <f ca="1">IF(History!CX$2="","",#REF!*$C$126)</f>
        <v/>
      </c>
      <c r="CU126" s="11" t="str">
        <f ca="1">IF(History!CY$2="","",#REF!*$C$126)</f>
        <v/>
      </c>
      <c r="CV126" s="11" t="str">
        <f ca="1">IF(History!CZ$2="","",#REF!*$C$126)</f>
        <v/>
      </c>
      <c r="CW126" s="11" t="str">
        <f ca="1">IF(History!DA$2="","",#REF!*$C$126)</f>
        <v/>
      </c>
      <c r="CX126" s="11" t="str">
        <f ca="1">IF(History!DB$2="","",#REF!*$C$126)</f>
        <v/>
      </c>
      <c r="CY126" s="11" t="str">
        <f ca="1">IF(History!DC$2="","",#REF!*$C$126)</f>
        <v/>
      </c>
      <c r="CZ126" s="11" t="str">
        <f ca="1">IF(History!DD$2="","",#REF!*$C$126)</f>
        <v/>
      </c>
      <c r="DA126" s="11" t="str">
        <f ca="1">IF(History!DE$2="","",#REF!*$C$126)</f>
        <v/>
      </c>
      <c r="DB126" s="11" t="str">
        <f ca="1">IF(History!DF$2="","",#REF!*$C$126)</f>
        <v/>
      </c>
      <c r="DC126" s="11" t="str">
        <f ca="1">IF(History!DG$2="","",#REF!*$C$126)</f>
        <v/>
      </c>
      <c r="DD126" s="11" t="str">
        <f ca="1">IF(History!DH$2="","",#REF!*$C$126)</f>
        <v/>
      </c>
      <c r="DE126" s="11" t="str">
        <f ca="1">IF(History!DI$2="","",#REF!*$C$126)</f>
        <v/>
      </c>
      <c r="DF126" s="11" t="str">
        <f ca="1">IF(History!DJ$2="","",#REF!*$C$126)</f>
        <v/>
      </c>
      <c r="DG126" s="11" t="str">
        <f ca="1">IF(History!DK$2="","",#REF!*$C$126)</f>
        <v/>
      </c>
      <c r="DH126" s="11" t="str">
        <f ca="1">IF(History!DL$2="","",#REF!*$C$126)</f>
        <v/>
      </c>
      <c r="DI126" s="11" t="str">
        <f ca="1">IF(History!DM$2="","",#REF!*$C$126)</f>
        <v/>
      </c>
      <c r="DJ126" s="11" t="str">
        <f ca="1">IF(History!DN$2="","",#REF!*$C$126)</f>
        <v/>
      </c>
      <c r="DK126" s="11" t="str">
        <f ca="1">IF(History!DO$2="","",#REF!*$C$126)</f>
        <v/>
      </c>
      <c r="DL126" s="11" t="str">
        <f ca="1">IF(History!DP$2="","",#REF!*$C$126)</f>
        <v/>
      </c>
      <c r="DM126" s="11" t="str">
        <f ca="1">IF(History!DQ$2="","",#REF!*$C$126)</f>
        <v/>
      </c>
      <c r="DN126" s="11" t="str">
        <f ca="1">IF(History!DR$2="","",#REF!*$C$126)</f>
        <v/>
      </c>
      <c r="DO126" s="11" t="str">
        <f ca="1">IF(History!DS$2="","",#REF!*$C$126)</f>
        <v/>
      </c>
      <c r="DP126" s="11" t="str">
        <f ca="1">IF(History!DT$2="","",#REF!*$C$126)</f>
        <v/>
      </c>
      <c r="DQ126" s="11" t="str">
        <f ca="1">IF(History!DU$2="","",#REF!*$C$126)</f>
        <v/>
      </c>
      <c r="DR126" s="11" t="str">
        <f ca="1">IF(History!DV$2="","",#REF!*$C$126)</f>
        <v/>
      </c>
      <c r="DS126" s="11" t="str">
        <f ca="1">IF(History!DW$2="","",#REF!*$C$126)</f>
        <v/>
      </c>
      <c r="DT126" s="11" t="str">
        <f ca="1">IF(History!DX$2="","",#REF!*$C$126)</f>
        <v/>
      </c>
      <c r="DU126" s="11" t="str">
        <f ca="1">IF(History!DY$2="","",#REF!*$C$126)</f>
        <v/>
      </c>
      <c r="DV126" s="11" t="str">
        <f ca="1">IF(History!DZ$2="","",#REF!*$C$126)</f>
        <v/>
      </c>
      <c r="DW126" s="11" t="str">
        <f ca="1">IF(History!EA$2="","",#REF!*$C$126)</f>
        <v/>
      </c>
      <c r="DX126" s="11" t="str">
        <f ca="1">IF(History!EB$2="","",#REF!*$C$126)</f>
        <v/>
      </c>
      <c r="DY126" s="11" t="str">
        <f ca="1">IF(History!EC$2="","",#REF!*$C$126)</f>
        <v/>
      </c>
      <c r="DZ126" s="11" t="str">
        <f ca="1">IF(History!ED$2="","",#REF!*$C$126)</f>
        <v/>
      </c>
      <c r="EA126" s="11" t="str">
        <f ca="1">IF(History!EE$2="","",#REF!*$C$126)</f>
        <v/>
      </c>
      <c r="EB126" s="11" t="str">
        <f ca="1">IF(History!EF$2="","",#REF!*$C$126)</f>
        <v/>
      </c>
      <c r="EC126" s="11" t="str">
        <f ca="1">IF(History!EG$2="","",#REF!*$C$126)</f>
        <v/>
      </c>
      <c r="ED126" s="11" t="str">
        <f ca="1">IF(History!EH$2="","",#REF!*$C$126)</f>
        <v/>
      </c>
      <c r="EE126" s="11" t="str">
        <f ca="1">IF(History!EI$2="","",#REF!*$C$126)</f>
        <v/>
      </c>
      <c r="EF126" s="11" t="str">
        <f ca="1">IF(History!EJ$2="","",#REF!*$C$126)</f>
        <v/>
      </c>
      <c r="EG126" s="11" t="str">
        <f ca="1">IF(History!EK$2="","",#REF!*$C$126)</f>
        <v/>
      </c>
      <c r="EH126" s="11" t="str">
        <f ca="1">IF(History!EL$2="","",#REF!*$C$126)</f>
        <v/>
      </c>
      <c r="EI126" s="11" t="str">
        <f ca="1">IF(History!EM$2="","",#REF!*$C$126)</f>
        <v/>
      </c>
      <c r="EJ126" s="11" t="str">
        <f ca="1">IF(History!EN$2="","",#REF!*$C$126)</f>
        <v/>
      </c>
      <c r="EK126" s="11" t="str">
        <f ca="1">IF(History!EO$2="","",#REF!*$C$126)</f>
        <v/>
      </c>
      <c r="EL126" s="11" t="str">
        <f ca="1">IF(History!EP$2="","",#REF!*$C$126)</f>
        <v/>
      </c>
      <c r="EM126" s="11" t="str">
        <f ca="1">IF(History!EQ$2="","",#REF!*$C$126)</f>
        <v/>
      </c>
      <c r="EN126" s="11" t="str">
        <f ca="1">IF(History!ER$2="","",#REF!*$C$126)</f>
        <v/>
      </c>
      <c r="EO126" s="11" t="str">
        <f ca="1">IF(History!ES$2="","",#REF!*$C$126)</f>
        <v/>
      </c>
      <c r="EP126" s="11" t="str">
        <f ca="1">IF(History!ET$2="","",#REF!*$C$126)</f>
        <v/>
      </c>
      <c r="EQ126" s="11" t="str">
        <f ca="1">IF(History!EU$2="","",#REF!*$C$126)</f>
        <v/>
      </c>
      <c r="ER126" s="11" t="str">
        <f ca="1">IF(History!EV$2="","",#REF!*$C$126)</f>
        <v/>
      </c>
      <c r="ES126" s="11" t="str">
        <f ca="1">IF(History!EW$2="","",#REF!*$C$126)</f>
        <v/>
      </c>
      <c r="ET126" s="11" t="str">
        <f ca="1">IF(History!EX$2="","",#REF!*$C$126)</f>
        <v/>
      </c>
      <c r="EU126" s="11" t="str">
        <f ca="1">IF(History!EY$2="","",#REF!*$C$126)</f>
        <v/>
      </c>
      <c r="EV126" s="11" t="str">
        <f ca="1">IF(History!EZ$2="","",#REF!*$C$126)</f>
        <v/>
      </c>
      <c r="EW126" s="11" t="str">
        <f ca="1">IF(History!FA$2="","",#REF!*$C$126)</f>
        <v/>
      </c>
      <c r="EX126" s="11" t="str">
        <f ca="1">IF(History!FB$2="","",#REF!*$C$126)</f>
        <v/>
      </c>
      <c r="EY126" s="11" t="str">
        <f ca="1">IF(History!FC$2="","",#REF!*$C$126)</f>
        <v/>
      </c>
      <c r="EZ126" s="11" t="str">
        <f ca="1">IF(History!FD$2="","",#REF!*$C$126)</f>
        <v/>
      </c>
      <c r="FA126" s="11" t="str">
        <f ca="1">IF(History!FE$2="","",#REF!*$C$126)</f>
        <v/>
      </c>
      <c r="FB126" s="11" t="str">
        <f ca="1">IF(History!FF$2="","",#REF!*$C$126)</f>
        <v/>
      </c>
      <c r="FC126" s="11" t="str">
        <f ca="1">IF(History!FG$2="","",#REF!*$C$126)</f>
        <v/>
      </c>
      <c r="FD126" s="11" t="str">
        <f ca="1">IF(History!FH$2="","",#REF!*$C$126)</f>
        <v/>
      </c>
      <c r="FE126" s="11" t="str">
        <f ca="1">IF(History!FI$2="","",#REF!*$C$126)</f>
        <v/>
      </c>
      <c r="FF126" s="11" t="str">
        <f ca="1">IF(History!FJ$2="","",#REF!*$C$126)</f>
        <v/>
      </c>
      <c r="FG126" s="11" t="str">
        <f ca="1">IF(History!FK$2="","",#REF!*$C$126)</f>
        <v/>
      </c>
      <c r="FH126" s="11" t="str">
        <f ca="1">IF(History!FL$2="","",#REF!*$C$126)</f>
        <v/>
      </c>
      <c r="FI126" s="11" t="str">
        <f ca="1">IF(History!FM$2="","",#REF!*$C$126)</f>
        <v/>
      </c>
      <c r="FJ126" s="11" t="str">
        <f ca="1">IF(History!FN$2="","",#REF!*$C$126)</f>
        <v/>
      </c>
      <c r="FK126" s="11" t="str">
        <f ca="1">IF(History!FO$2="","",#REF!*$C$126)</f>
        <v/>
      </c>
      <c r="FL126" s="11" t="str">
        <f ca="1">IF(History!FP$2="","",#REF!*$C$126)</f>
        <v/>
      </c>
      <c r="FM126" s="11" t="str">
        <f ca="1">IF(History!FQ$2="","",#REF!*$C$126)</f>
        <v/>
      </c>
      <c r="FN126" s="11" t="str">
        <f ca="1">IF(History!FR$2="","",#REF!*$C$126)</f>
        <v/>
      </c>
      <c r="FO126" s="11" t="str">
        <f ca="1">IF(History!FS$2="","",#REF!*$C$126)</f>
        <v/>
      </c>
      <c r="FP126" s="11" t="str">
        <f ca="1">IF(History!FT$2="","",#REF!*$C$126)</f>
        <v/>
      </c>
      <c r="FQ126" s="11" t="str">
        <f ca="1">IF(History!FU$2="","",#REF!*$C$126)</f>
        <v/>
      </c>
      <c r="FR126" s="11" t="str">
        <f ca="1">IF(History!FV$2="","",#REF!*$C$126)</f>
        <v/>
      </c>
      <c r="FS126" s="11" t="str">
        <f ca="1">IF(History!FW$2="","",#REF!*$C$126)</f>
        <v/>
      </c>
      <c r="FT126" s="11" t="str">
        <f ca="1">IF(History!FX$2="","",#REF!*$C$126)</f>
        <v/>
      </c>
      <c r="FU126" s="11" t="str">
        <f ca="1">IF(History!FY$2="","",#REF!*$C$126)</f>
        <v/>
      </c>
      <c r="FV126" s="11" t="str">
        <f ca="1">IF(History!FZ$2="","",#REF!*$C$126)</f>
        <v/>
      </c>
      <c r="FW126" s="11" t="str">
        <f ca="1">IF(History!GA$2="","",#REF!*$C$126)</f>
        <v/>
      </c>
      <c r="FX126" s="11" t="str">
        <f ca="1">IF(History!GB$2="","",#REF!*$C$126)</f>
        <v/>
      </c>
      <c r="FY126" s="11" t="str">
        <f ca="1">IF(History!GC$2="","",#REF!*$C$126)</f>
        <v/>
      </c>
      <c r="FZ126" s="11" t="str">
        <f ca="1">IF(History!GD$2="","",#REF!*$C$126)</f>
        <v/>
      </c>
      <c r="GA126" s="11" t="str">
        <f ca="1">IF(History!GE$2="","",#REF!*$C$126)</f>
        <v/>
      </c>
      <c r="GB126" s="11" t="str">
        <f ca="1">IF(History!GF$2="","",#REF!*$C$126)</f>
        <v/>
      </c>
      <c r="GC126" s="11" t="str">
        <f ca="1">IF(History!GG$2="","",#REF!*$C$126)</f>
        <v/>
      </c>
      <c r="GD126" s="11" t="str">
        <f ca="1">IF(History!GH$2="","",#REF!*$C$126)</f>
        <v/>
      </c>
      <c r="GE126" s="11" t="str">
        <f ca="1">IF(History!GI$2="","",#REF!*$C$126)</f>
        <v/>
      </c>
      <c r="GF126" s="11" t="str">
        <f ca="1">IF(History!GJ$2="","",#REF!*$C$126)</f>
        <v/>
      </c>
      <c r="GG126" s="11" t="str">
        <f ca="1">IF(History!GK$2="","",#REF!*$C$126)</f>
        <v/>
      </c>
      <c r="GH126" s="11" t="str">
        <f ca="1">IF(History!GL$2="","",#REF!*$C$126)</f>
        <v/>
      </c>
      <c r="GI126" s="11" t="str">
        <f ca="1">IF(History!GM$2="","",#REF!*$C$126)</f>
        <v/>
      </c>
      <c r="GJ126" s="11" t="str">
        <f ca="1">IF(History!GN$2="","",#REF!*$C$126)</f>
        <v/>
      </c>
      <c r="GK126" s="11" t="str">
        <f ca="1">IF(History!GO$2="","",#REF!*$C$126)</f>
        <v/>
      </c>
      <c r="GL126" s="11" t="str">
        <f ca="1">IF(History!GP$2="","",#REF!*$C$126)</f>
        <v/>
      </c>
      <c r="GM126" s="11" t="str">
        <f ca="1">IF(History!GQ$2="","",#REF!*$C$126)</f>
        <v/>
      </c>
      <c r="GN126" s="11" t="str">
        <f ca="1">IF(History!GR$2="","",#REF!*$C$126)</f>
        <v/>
      </c>
      <c r="GO126" s="11" t="str">
        <f ca="1">IF(History!GS$2="","",#REF!*$C$126)</f>
        <v/>
      </c>
      <c r="GP126" s="11" t="str">
        <f ca="1">IF(History!GT$2="","",#REF!*$C$126)</f>
        <v/>
      </c>
      <c r="GQ126" s="11" t="str">
        <f ca="1">IF(History!GU$2="","",#REF!*$C$126)</f>
        <v/>
      </c>
      <c r="GR126" s="11" t="str">
        <f ca="1">IF(History!GV$2="","",#REF!*$C$126)</f>
        <v/>
      </c>
      <c r="GS126" s="11" t="str">
        <f ca="1">IF(History!GW$2="","",#REF!*$C$126)</f>
        <v/>
      </c>
      <c r="GT126" s="11" t="str">
        <f ca="1">IF(History!GX$2="","",#REF!*$C$126)</f>
        <v/>
      </c>
      <c r="GU126" s="11" t="str">
        <f ca="1">IF(History!GY$2="","",#REF!*$C$126)</f>
        <v/>
      </c>
      <c r="GV126" s="11" t="str">
        <f ca="1">IF(History!GZ$2="","",#REF!*$C$126)</f>
        <v/>
      </c>
      <c r="GW126" s="11" t="str">
        <f ca="1">IF(History!HA$2="","",#REF!*$C$126)</f>
        <v/>
      </c>
      <c r="GX126" s="11" t="str">
        <f ca="1">IF(History!HB$2="","",#REF!*$C$126)</f>
        <v/>
      </c>
      <c r="GY126" s="11" t="str">
        <f ca="1">IF(History!HC$2="","",#REF!*$C$126)</f>
        <v/>
      </c>
      <c r="GZ126" s="11" t="str">
        <f ca="1">IF(History!HD$2="","",#REF!*$C$126)</f>
        <v/>
      </c>
      <c r="HA126" s="11" t="str">
        <f ca="1">IF(History!HE$2="","",#REF!*$C$126)</f>
        <v/>
      </c>
      <c r="HB126" s="11" t="str">
        <f ca="1">IF(History!HF$2="","",#REF!*$C$126)</f>
        <v/>
      </c>
      <c r="HC126" s="11" t="str">
        <f ca="1">IF(History!HG$2="","",#REF!*$C$126)</f>
        <v/>
      </c>
      <c r="HD126" s="11" t="str">
        <f ca="1">IF(History!HH$2="","",#REF!*$C$126)</f>
        <v/>
      </c>
      <c r="HE126" s="11" t="str">
        <f ca="1">IF(History!HI$2="","",#REF!*$C$126)</f>
        <v/>
      </c>
      <c r="HF126" s="11" t="str">
        <f ca="1">IF(History!HJ$2="","",#REF!*$C$126)</f>
        <v/>
      </c>
      <c r="HG126" s="11" t="str">
        <f ca="1">IF(History!HK$2="","",#REF!*$C$126)</f>
        <v/>
      </c>
      <c r="HH126" s="11" t="str">
        <f ca="1">IF(History!HL$2="","",#REF!*$C$126)</f>
        <v/>
      </c>
      <c r="HI126" s="11" t="str">
        <f ca="1">IF(History!HM$2="","",#REF!*$C$126)</f>
        <v/>
      </c>
      <c r="HJ126" s="11" t="str">
        <f ca="1">IF(History!HN$2="","",#REF!*$C$126)</f>
        <v/>
      </c>
      <c r="HK126" s="11" t="str">
        <f ca="1">IF(History!HO$2="","",#REF!*$C$126)</f>
        <v/>
      </c>
      <c r="HL126" s="11" t="str">
        <f ca="1">IF(History!HP$2="","",#REF!*$C$126)</f>
        <v/>
      </c>
      <c r="HM126" s="11" t="str">
        <f ca="1">IF(History!HQ$2="","",#REF!*$C$126)</f>
        <v/>
      </c>
      <c r="HN126" s="11" t="str">
        <f ca="1">IF(History!HR$2="","",#REF!*$C$126)</f>
        <v/>
      </c>
      <c r="HO126" s="11" t="str">
        <f ca="1">IF(History!HS$2="","",#REF!*$C$126)</f>
        <v/>
      </c>
      <c r="HP126" s="11" t="str">
        <f ca="1">IF(History!HT$2="","",#REF!*$C$126)</f>
        <v/>
      </c>
      <c r="HQ126" s="11" t="str">
        <f ca="1">IF(History!HU$2="","",#REF!*$C$126)</f>
        <v/>
      </c>
      <c r="HR126" s="11" t="str">
        <f ca="1">IF(History!HV$2="","",#REF!*$C$126)</f>
        <v/>
      </c>
      <c r="HS126" s="11" t="str">
        <f ca="1">IF(History!HW$2="","",#REF!*$C$126)</f>
        <v/>
      </c>
      <c r="HT126" s="11" t="str">
        <f ca="1">IF(History!HX$2="","",#REF!*$C$126)</f>
        <v/>
      </c>
      <c r="HU126" s="11" t="str">
        <f ca="1">IF(History!HY$2="","",#REF!*$C$126)</f>
        <v/>
      </c>
      <c r="HV126" s="11" t="str">
        <f ca="1">IF(History!HZ$2="","",#REF!*$C$126)</f>
        <v/>
      </c>
      <c r="HW126" s="11" t="str">
        <f ca="1">IF(History!IA$2="","",#REF!*$C$126)</f>
        <v/>
      </c>
      <c r="HX126" s="11" t="str">
        <f ca="1">IF(History!IB$2="","",#REF!*$C$126)</f>
        <v/>
      </c>
      <c r="HY126" s="11" t="str">
        <f ca="1">IF(History!IC$2="","",#REF!*$C$126)</f>
        <v/>
      </c>
      <c r="HZ126" s="11" t="str">
        <f ca="1">IF(History!ID$2="","",#REF!*$C$126)</f>
        <v/>
      </c>
      <c r="IA126" s="11" t="str">
        <f ca="1">IF(History!IE$2="","",#REF!*$C$126)</f>
        <v/>
      </c>
      <c r="IB126" s="11" t="str">
        <f ca="1">IF(History!IF$2="","",#REF!*$C$126)</f>
        <v/>
      </c>
      <c r="IC126" s="11" t="str">
        <f ca="1">IF(History!IG$2="","",#REF!*$C$126)</f>
        <v/>
      </c>
      <c r="ID126" s="11" t="str">
        <f ca="1">IF(History!IH$2="","",#REF!*$C$126)</f>
        <v/>
      </c>
      <c r="IE126" s="11" t="str">
        <f ca="1">IF(History!II$2="","",#REF!*$C$126)</f>
        <v/>
      </c>
      <c r="IF126" s="11" t="str">
        <f ca="1">IF(History!IJ$2="","",#REF!*$C$126)</f>
        <v/>
      </c>
      <c r="IG126" s="11" t="str">
        <f ca="1">IF(History!IK$2="","",#REF!*$C$126)</f>
        <v/>
      </c>
      <c r="IH126" s="11" t="str">
        <f ca="1">IF(History!IL$2="","",#REF!*$C$126)</f>
        <v/>
      </c>
      <c r="II126" s="11" t="str">
        <f ca="1">IF(History!IM$2="","",#REF!*$C$126)</f>
        <v/>
      </c>
      <c r="IJ126" s="11" t="str">
        <f ca="1">IF(History!IN$2="","",#REF!*$C$126)</f>
        <v/>
      </c>
      <c r="IK126" s="11" t="str">
        <f ca="1">IF(History!IO$2="","",#REF!*$C$126)</f>
        <v/>
      </c>
      <c r="IL126" s="11" t="str">
        <f ca="1">IF(History!IP$2="","",#REF!*$C$126)</f>
        <v/>
      </c>
      <c r="IM126" s="11" t="str">
        <f ca="1">IF(History!IQ$2="","",#REF!*$C$126)</f>
        <v/>
      </c>
      <c r="IN126" s="11" t="str">
        <f ca="1">IF(History!IR$2="","",#REF!*$C$126)</f>
        <v/>
      </c>
      <c r="IO126" s="11" t="str">
        <f ca="1">IF(History!IS$2="","",#REF!*$C$126)</f>
        <v/>
      </c>
      <c r="IP126" s="11" t="str">
        <f ca="1">IF(History!IT$2="","",#REF!*$C$126)</f>
        <v/>
      </c>
      <c r="IQ126" s="11" t="str">
        <f ca="1">IF(History!IU$2="","",#REF!*$C$126)</f>
        <v/>
      </c>
      <c r="IR126" s="11" t="str">
        <f ca="1">IF(History!IV$2="","",#REF!*$C$126)</f>
        <v/>
      </c>
      <c r="IS126" s="11" t="str">
        <f ca="1">IF(History!IW$2="","",#REF!*$C$126)</f>
        <v/>
      </c>
      <c r="IT126" s="11" t="str">
        <f ca="1">IF(History!IX$2="","",#REF!*$C$126)</f>
        <v/>
      </c>
      <c r="IU126" s="11" t="str">
        <f ca="1">IF(History!IY$2="","",#REF!*$C$126)</f>
        <v/>
      </c>
      <c r="IV126" s="11" t="str">
        <f ca="1">IF(History!IZ$2="","",#REF!*$C$126)</f>
        <v/>
      </c>
      <c r="IW126" s="11" t="str">
        <f ca="1">IF(History!JA$2="","",#REF!*$C$126)</f>
        <v/>
      </c>
      <c r="IX126" s="11" t="str">
        <f ca="1">IF(History!JB$2="","",#REF!*$C$126)</f>
        <v/>
      </c>
      <c r="IY126" s="11" t="str">
        <f ca="1">IF(History!JC$2="","",#REF!*$C$126)</f>
        <v/>
      </c>
      <c r="IZ126" s="11" t="str">
        <f ca="1">IF(History!JD$2="","",#REF!*$C$126)</f>
        <v/>
      </c>
      <c r="JA126" s="11" t="str">
        <f ca="1">IF(History!JE$2="","",#REF!*$C$126)</f>
        <v/>
      </c>
      <c r="JB126" s="11" t="str">
        <f ca="1">IF(History!JF$2="","",#REF!*$C$126)</f>
        <v/>
      </c>
      <c r="JC126" s="11" t="str">
        <f ca="1">IF(History!JG$2="","",#REF!*$C$126)</f>
        <v/>
      </c>
      <c r="JD126" s="11" t="str">
        <f ca="1">IF(History!JH$2="","",#REF!*$C$126)</f>
        <v/>
      </c>
      <c r="JE126" s="11" t="str">
        <f ca="1">IF(History!JI$2="","",#REF!*$C$126)</f>
        <v/>
      </c>
      <c r="JF126" s="11" t="str">
        <f ca="1">IF(History!JJ$2="","",#REF!*$C$126)</f>
        <v/>
      </c>
      <c r="JG126" s="11" t="str">
        <f ca="1">IF(History!JK$2="","",#REF!*$C$126)</f>
        <v/>
      </c>
      <c r="JH126" s="11" t="str">
        <f ca="1">IF(History!JL$2="","",#REF!*$C$126)</f>
        <v/>
      </c>
      <c r="JI126" s="11" t="str">
        <f ca="1">IF(History!JM$2="","",#REF!*$C$126)</f>
        <v/>
      </c>
      <c r="JJ126" s="11" t="str">
        <f ca="1">IF(History!JN$2="","",#REF!*$C$126)</f>
        <v/>
      </c>
      <c r="JK126" s="11" t="str">
        <f ca="1">IF(History!JO$2="","",#REF!*$C$126)</f>
        <v/>
      </c>
      <c r="JL126" s="11" t="str">
        <f ca="1">IF(History!JP$2="","",#REF!*$C$126)</f>
        <v/>
      </c>
      <c r="JM126" s="11" t="str">
        <f ca="1">IF(History!JQ$2="","",#REF!*$C$126)</f>
        <v/>
      </c>
      <c r="JN126" s="11" t="str">
        <f ca="1">IF(History!JR$2="","",#REF!*$C$126)</f>
        <v/>
      </c>
      <c r="JO126" s="11" t="str">
        <f ca="1">IF(History!JS$2="","",#REF!*$C$126)</f>
        <v/>
      </c>
      <c r="JP126" s="11" t="str">
        <f ca="1">IF(History!JT$2="","",#REF!*$C$126)</f>
        <v/>
      </c>
      <c r="JQ126" s="11" t="str">
        <f ca="1">IF(History!JU$2="","",#REF!*$C$126)</f>
        <v/>
      </c>
      <c r="JR126" s="11" t="str">
        <f ca="1">IF(History!JV$2="","",#REF!*$C$126)</f>
        <v/>
      </c>
      <c r="JS126" s="11" t="str">
        <f ca="1">IF(History!JW$2="","",#REF!*$C$126)</f>
        <v/>
      </c>
      <c r="JT126" s="11" t="str">
        <f ca="1">IF(History!JX$2="","",#REF!*$C$126)</f>
        <v/>
      </c>
      <c r="JU126" s="11" t="str">
        <f ca="1">IF(History!JY$2="","",#REF!*$C$126)</f>
        <v/>
      </c>
      <c r="JV126" s="11" t="str">
        <f ca="1">IF(History!JZ$2="","",#REF!*$C$126)</f>
        <v/>
      </c>
      <c r="JW126" s="11" t="str">
        <f ca="1">IF(History!KA$2="","",#REF!*$C$126)</f>
        <v/>
      </c>
      <c r="JX126" s="11" t="str">
        <f ca="1">IF(History!KB$2="","",#REF!*$C$126)</f>
        <v/>
      </c>
      <c r="JY126" s="11" t="str">
        <f ca="1">IF(History!KC$2="","",#REF!*$C$126)</f>
        <v/>
      </c>
      <c r="JZ126" s="11" t="str">
        <f ca="1">IF(History!KD$2="","",#REF!*$C$126)</f>
        <v/>
      </c>
      <c r="KA126" s="11" t="str">
        <f ca="1">IF(History!KE$2="","",#REF!*$C$126)</f>
        <v/>
      </c>
      <c r="KB126" s="11" t="str">
        <f ca="1">IF(History!KF$2="","",#REF!*$C$126)</f>
        <v/>
      </c>
    </row>
    <row r="127" spans="1:288" ht="13">
      <c r="A127" s="2" t="s">
        <v>40</v>
      </c>
      <c r="B127" s="32" t="s">
        <v>115</v>
      </c>
      <c r="C127" s="33">
        <v>139</v>
      </c>
      <c r="D127" s="11" t="e">
        <f ca="1">IF(History!H$2="","",#REF!*$C$127)</f>
        <v>#REF!</v>
      </c>
      <c r="E127" s="11" t="e">
        <f ca="1">IF(History!I$2="","",#REF!*$C$127)</f>
        <v>#REF!</v>
      </c>
      <c r="F127" s="11" t="e">
        <f ca="1">IF(History!J$2="","",#REF!*$C$127)</f>
        <v>#REF!</v>
      </c>
      <c r="G127" s="11" t="e">
        <f ca="1">IF(History!K$2="","",#REF!*$C$127)</f>
        <v>#REF!</v>
      </c>
      <c r="H127" s="11" t="e">
        <f ca="1">IF(History!L$2="","",#REF!*$C$127)</f>
        <v>#REF!</v>
      </c>
      <c r="I127" s="11" t="e">
        <f ca="1">IF(History!M$2="","",#REF!*$C$127)</f>
        <v>#REF!</v>
      </c>
      <c r="J127" s="11" t="e">
        <f ca="1">IF(History!N$2="","",#REF!*$C$127)</f>
        <v>#REF!</v>
      </c>
      <c r="K127" s="11" t="e">
        <f ca="1">IF(History!O$2="","",#REF!*$C$127)</f>
        <v>#REF!</v>
      </c>
      <c r="L127" s="11" t="e">
        <f ca="1">IF(History!P$2="","",#REF!*$C$127)</f>
        <v>#REF!</v>
      </c>
      <c r="M127" s="11" t="e">
        <f ca="1">IF(History!Q$2="","",#REF!*$C$127)</f>
        <v>#REF!</v>
      </c>
      <c r="N127" s="11" t="e">
        <f ca="1">IF(History!R$2="","",#REF!*$C$127)</f>
        <v>#REF!</v>
      </c>
      <c r="O127" s="11" t="e">
        <f ca="1">IF(History!S$2="","",#REF!*$C$127)</f>
        <v>#REF!</v>
      </c>
      <c r="P127" s="11" t="e">
        <f ca="1">IF(History!T$2="","",#REF!*$C$127)</f>
        <v>#REF!</v>
      </c>
      <c r="Q127" s="11" t="e">
        <f ca="1">IF(History!U$2="","",#REF!*$C$127)</f>
        <v>#REF!</v>
      </c>
      <c r="R127" s="11" t="e">
        <f ca="1">IF(History!V$2="","",#REF!*$C$127)</f>
        <v>#REF!</v>
      </c>
      <c r="S127" s="11" t="e">
        <f ca="1">IF(History!W$2="","",#REF!*$C$127)</f>
        <v>#REF!</v>
      </c>
      <c r="T127" s="11" t="e">
        <f ca="1">IF(History!X$2="","",#REF!*$C$127)</f>
        <v>#REF!</v>
      </c>
      <c r="U127" s="11" t="e">
        <f ca="1">IF(History!Y$2="","",#REF!*$C$127)</f>
        <v>#REF!</v>
      </c>
      <c r="V127" s="11" t="e">
        <f ca="1">IF(History!Z$2="","",#REF!*$C$127)</f>
        <v>#REF!</v>
      </c>
      <c r="W127" s="11" t="e">
        <f ca="1">IF(History!AA$2="","",#REF!*$C$127)</f>
        <v>#REF!</v>
      </c>
      <c r="X127" s="11" t="e">
        <f ca="1">IF(History!AB$2="","",#REF!*$C$127)</f>
        <v>#REF!</v>
      </c>
      <c r="Y127" s="11" t="e">
        <f ca="1">IF(History!AC$2="","",#REF!*$C$127)</f>
        <v>#REF!</v>
      </c>
      <c r="Z127" s="11" t="e">
        <f ca="1">IF(History!AD$2="","",#REF!*$C$127)</f>
        <v>#REF!</v>
      </c>
      <c r="AA127" s="11" t="e">
        <f ca="1">IF(History!AE$2="","",#REF!*$C$127)</f>
        <v>#REF!</v>
      </c>
      <c r="AB127" s="11" t="e">
        <f ca="1">IF(History!AF$2="","",#REF!*$C$127)</f>
        <v>#REF!</v>
      </c>
      <c r="AC127" s="11" t="e">
        <f ca="1">IF(History!AG$2="","",#REF!*$C$127)</f>
        <v>#REF!</v>
      </c>
      <c r="AD127" s="11" t="e">
        <f ca="1">IF(History!AH$2="","",#REF!*$C$127)</f>
        <v>#REF!</v>
      </c>
      <c r="AE127" s="11" t="e">
        <f ca="1">IF(History!AI$2="","",#REF!*$C$127)</f>
        <v>#REF!</v>
      </c>
      <c r="AF127" s="11" t="e">
        <f ca="1">IF(History!AJ$2="","",#REF!*$C$127)</f>
        <v>#REF!</v>
      </c>
      <c r="AG127" s="11" t="e">
        <f ca="1">IF(History!AK$2="","",#REF!*$C$127)</f>
        <v>#REF!</v>
      </c>
      <c r="AH127" s="11" t="e">
        <f ca="1">IF(History!AL$2="","",#REF!*$C$127)</f>
        <v>#REF!</v>
      </c>
      <c r="AI127" s="11" t="e">
        <f ca="1">IF(History!AM$2="","",#REF!*$C$127)</f>
        <v>#REF!</v>
      </c>
      <c r="AJ127" s="11" t="e">
        <f ca="1">IF(History!AN$2="","",#REF!*$C$127)</f>
        <v>#REF!</v>
      </c>
      <c r="AK127" s="11" t="e">
        <f ca="1">IF(History!AO$2="","",#REF!*$C$127)</f>
        <v>#REF!</v>
      </c>
      <c r="AL127" s="11" t="e">
        <f ca="1">IF(History!AP$2="","",#REF!*$C$127)</f>
        <v>#REF!</v>
      </c>
      <c r="AM127" s="11" t="e">
        <f ca="1">IF(History!AQ$2="","",#REF!*$C$127)</f>
        <v>#REF!</v>
      </c>
      <c r="AN127" s="11" t="e">
        <f ca="1">IF(History!AR$2="","",#REF!*$C$127)</f>
        <v>#REF!</v>
      </c>
      <c r="AO127" s="11" t="e">
        <f ca="1">IF(History!AS$2="","",#REF!*$C$127)</f>
        <v>#REF!</v>
      </c>
      <c r="AP127" s="11" t="e">
        <f ca="1">IF(History!AT$2="","",#REF!*$C$127)</f>
        <v>#REF!</v>
      </c>
      <c r="AQ127" s="11" t="e">
        <f ca="1">IF(History!AU$2="","",#REF!*$C$127)</f>
        <v>#REF!</v>
      </c>
      <c r="AR127" s="11" t="e">
        <f ca="1">IF(History!AV$2="","",#REF!*$C$127)</f>
        <v>#REF!</v>
      </c>
      <c r="AS127" s="11" t="e">
        <f ca="1">IF(History!AW$2="","",#REF!*$C$127)</f>
        <v>#REF!</v>
      </c>
      <c r="AT127" s="11" t="e">
        <f ca="1">IF(History!AX$2="","",#REF!*$C$127)</f>
        <v>#REF!</v>
      </c>
      <c r="AU127" s="11" t="e">
        <f ca="1">IF(History!AY$2="","",#REF!*$C$127)</f>
        <v>#REF!</v>
      </c>
      <c r="AV127" s="11" t="e">
        <f ca="1">IF(History!AZ$2="","",#REF!*$C$127)</f>
        <v>#REF!</v>
      </c>
      <c r="AW127" s="11" t="e">
        <f ca="1">IF(History!BA$2="","",#REF!*$C$127)</f>
        <v>#REF!</v>
      </c>
      <c r="AX127" s="11" t="e">
        <f ca="1">IF(History!BB$2="","",#REF!*$C$127)</f>
        <v>#REF!</v>
      </c>
      <c r="AY127" s="11" t="e">
        <f ca="1">IF(History!BC$2="","",#REF!*$C$127)</f>
        <v>#REF!</v>
      </c>
      <c r="AZ127" s="11" t="e">
        <f ca="1">IF(History!BD$2="","",#REF!*$C$127)</f>
        <v>#REF!</v>
      </c>
      <c r="BA127" s="11" t="e">
        <f ca="1">IF(History!BE$2="","",#REF!*$C$127)</f>
        <v>#REF!</v>
      </c>
      <c r="BB127" s="11" t="e">
        <f ca="1">IF(History!BF$2="","",#REF!*$C$127)</f>
        <v>#REF!</v>
      </c>
      <c r="BC127" s="11" t="e">
        <f ca="1">IF(History!BG$2="","",#REF!*$C$127)</f>
        <v>#REF!</v>
      </c>
      <c r="BD127" s="11" t="e">
        <f ca="1">IF(History!BH$2="","",#REF!*$C$127)</f>
        <v>#REF!</v>
      </c>
      <c r="BE127" s="11" t="e">
        <f ca="1">IF(History!BI$2="","",#REF!*$C$127)</f>
        <v>#REF!</v>
      </c>
      <c r="BF127" s="11" t="e">
        <f ca="1">IF(History!BJ$2="","",#REF!*$C$127)</f>
        <v>#REF!</v>
      </c>
      <c r="BG127" s="11" t="e">
        <f ca="1">IF(History!BK$2="","",#REF!*$C$127)</f>
        <v>#REF!</v>
      </c>
      <c r="BH127" s="11" t="e">
        <f ca="1">IF(History!BL$2="","",#REF!*$C$127)</f>
        <v>#REF!</v>
      </c>
      <c r="BI127" s="11" t="e">
        <f ca="1">IF(History!BM$2="","",#REF!*$C$127)</f>
        <v>#REF!</v>
      </c>
      <c r="BJ127" s="11" t="e">
        <f ca="1">IF(History!BN$2="","",#REF!*$C$127)</f>
        <v>#REF!</v>
      </c>
      <c r="BK127" s="11" t="e">
        <f ca="1">IF(History!BO$2="","",#REF!*$C$127)</f>
        <v>#REF!</v>
      </c>
      <c r="BL127" s="11" t="e">
        <f ca="1">IF(History!BP$2="","",#REF!*$C$127)</f>
        <v>#REF!</v>
      </c>
      <c r="BM127" s="11" t="e">
        <f ca="1">IF(History!BQ$2="","",#REF!*$C$127)</f>
        <v>#REF!</v>
      </c>
      <c r="BN127" s="11" t="e">
        <f ca="1">IF(History!BR$2="","",#REF!*$C$127)</f>
        <v>#REF!</v>
      </c>
      <c r="BO127" s="11" t="e">
        <f ca="1">IF(History!BS$2="","",#REF!*$C$127)</f>
        <v>#REF!</v>
      </c>
      <c r="BP127" s="11" t="e">
        <f ca="1">IF(History!BT$2="","",#REF!*$C$127)</f>
        <v>#REF!</v>
      </c>
      <c r="BQ127" s="11" t="e">
        <f ca="1">IF(History!BU$2="","",#REF!*$C$127)</f>
        <v>#REF!</v>
      </c>
      <c r="BR127" s="11" t="e">
        <f ca="1">IF(History!BV$2="","",#REF!*$C$127)</f>
        <v>#REF!</v>
      </c>
      <c r="BS127" s="11" t="e">
        <f ca="1">IF(History!BW$2="","",#REF!*$C$127)</f>
        <v>#REF!</v>
      </c>
      <c r="BT127" s="11" t="e">
        <f ca="1">IF(History!BX$2="","",#REF!*$C$127)</f>
        <v>#REF!</v>
      </c>
      <c r="BU127" s="11" t="e">
        <f ca="1">IF(History!BY$2="","",#REF!*$C$127)</f>
        <v>#REF!</v>
      </c>
      <c r="BV127" s="11" t="e">
        <f ca="1">IF(History!BZ$2="","",#REF!*$C$127)</f>
        <v>#REF!</v>
      </c>
      <c r="BW127" s="11" t="e">
        <f ca="1">IF(History!CA$2="","",#REF!*$C$127)</f>
        <v>#REF!</v>
      </c>
      <c r="BX127" s="11" t="e">
        <f ca="1">IF(History!CB$2="","",#REF!*$C$127)</f>
        <v>#REF!</v>
      </c>
      <c r="BY127" s="11" t="e">
        <f ca="1">IF(History!CC$2="","",#REF!*$C$127)</f>
        <v>#REF!</v>
      </c>
      <c r="BZ127" s="11" t="e">
        <f ca="1">IF(History!CD$2="","",#REF!*$C$127)</f>
        <v>#REF!</v>
      </c>
      <c r="CA127" s="11" t="e">
        <f ca="1">IF(History!CE$2="","",#REF!*$C$127)</f>
        <v>#REF!</v>
      </c>
      <c r="CB127" s="11" t="e">
        <f ca="1">IF(History!CF$2="","",#REF!*$C$127)</f>
        <v>#REF!</v>
      </c>
      <c r="CC127" s="11" t="e">
        <f ca="1">IF(History!CG$2="","",#REF!*$C$127)</f>
        <v>#REF!</v>
      </c>
      <c r="CD127" s="11" t="e">
        <f ca="1">IF(History!CH$2="","",#REF!*$C$127)</f>
        <v>#REF!</v>
      </c>
      <c r="CE127" s="11" t="e">
        <f ca="1">IF(History!CI$2="","",#REF!*$C$127)</f>
        <v>#REF!</v>
      </c>
      <c r="CF127" s="11" t="str">
        <f ca="1">IF(History!CJ$2="","",#REF!*$C$127)</f>
        <v/>
      </c>
      <c r="CG127" s="11" t="str">
        <f ca="1">IF(History!CK$2="","",#REF!*$C$127)</f>
        <v/>
      </c>
      <c r="CH127" s="11" t="str">
        <f ca="1">IF(History!CL$2="","",#REF!*$C$127)</f>
        <v/>
      </c>
      <c r="CI127" s="11" t="str">
        <f ca="1">IF(History!CM$2="","",#REF!*$C$127)</f>
        <v/>
      </c>
      <c r="CJ127" s="11" t="str">
        <f ca="1">IF(History!CN$2="","",#REF!*$C$127)</f>
        <v/>
      </c>
      <c r="CK127" s="11" t="str">
        <f ca="1">IF(History!CO$2="","",#REF!*$C$127)</f>
        <v/>
      </c>
      <c r="CL127" s="11" t="str">
        <f ca="1">IF(History!CP$2="","",#REF!*$C$127)</f>
        <v/>
      </c>
      <c r="CM127" s="11" t="str">
        <f ca="1">IF(History!CQ$2="","",#REF!*$C$127)</f>
        <v/>
      </c>
      <c r="CN127" s="11" t="str">
        <f ca="1">IF(History!CR$2="","",#REF!*$C$127)</f>
        <v/>
      </c>
      <c r="CO127" s="11" t="str">
        <f ca="1">IF(History!CS$2="","",#REF!*$C$127)</f>
        <v/>
      </c>
      <c r="CP127" s="11" t="str">
        <f ca="1">IF(History!CT$2="","",#REF!*$C$127)</f>
        <v/>
      </c>
      <c r="CQ127" s="11" t="str">
        <f ca="1">IF(History!CU$2="","",#REF!*$C$127)</f>
        <v/>
      </c>
      <c r="CR127" s="11" t="str">
        <f ca="1">IF(History!CV$2="","",#REF!*$C$127)</f>
        <v/>
      </c>
      <c r="CS127" s="11" t="str">
        <f ca="1">IF(History!CW$2="","",#REF!*$C$127)</f>
        <v/>
      </c>
      <c r="CT127" s="11" t="str">
        <f ca="1">IF(History!CX$2="","",#REF!*$C$127)</f>
        <v/>
      </c>
      <c r="CU127" s="11" t="str">
        <f ca="1">IF(History!CY$2="","",#REF!*$C$127)</f>
        <v/>
      </c>
      <c r="CV127" s="11" t="str">
        <f ca="1">IF(History!CZ$2="","",#REF!*$C$127)</f>
        <v/>
      </c>
      <c r="CW127" s="11" t="str">
        <f ca="1">IF(History!DA$2="","",#REF!*$C$127)</f>
        <v/>
      </c>
      <c r="CX127" s="11" t="str">
        <f ca="1">IF(History!DB$2="","",#REF!*$C$127)</f>
        <v/>
      </c>
      <c r="CY127" s="11" t="str">
        <f ca="1">IF(History!DC$2="","",#REF!*$C$127)</f>
        <v/>
      </c>
      <c r="CZ127" s="11" t="str">
        <f ca="1">IF(History!DD$2="","",#REF!*$C$127)</f>
        <v/>
      </c>
      <c r="DA127" s="11" t="str">
        <f ca="1">IF(History!DE$2="","",#REF!*$C$127)</f>
        <v/>
      </c>
      <c r="DB127" s="11" t="str">
        <f ca="1">IF(History!DF$2="","",#REF!*$C$127)</f>
        <v/>
      </c>
      <c r="DC127" s="11" t="str">
        <f ca="1">IF(History!DG$2="","",#REF!*$C$127)</f>
        <v/>
      </c>
      <c r="DD127" s="11" t="str">
        <f ca="1">IF(History!DH$2="","",#REF!*$C$127)</f>
        <v/>
      </c>
      <c r="DE127" s="11" t="str">
        <f ca="1">IF(History!DI$2="","",#REF!*$C$127)</f>
        <v/>
      </c>
      <c r="DF127" s="11" t="str">
        <f ca="1">IF(History!DJ$2="","",#REF!*$C$127)</f>
        <v/>
      </c>
      <c r="DG127" s="11" t="str">
        <f ca="1">IF(History!DK$2="","",#REF!*$C$127)</f>
        <v/>
      </c>
      <c r="DH127" s="11" t="str">
        <f ca="1">IF(History!DL$2="","",#REF!*$C$127)</f>
        <v/>
      </c>
      <c r="DI127" s="11" t="str">
        <f ca="1">IF(History!DM$2="","",#REF!*$C$127)</f>
        <v/>
      </c>
      <c r="DJ127" s="11" t="str">
        <f ca="1">IF(History!DN$2="","",#REF!*$C$127)</f>
        <v/>
      </c>
      <c r="DK127" s="11" t="str">
        <f ca="1">IF(History!DO$2="","",#REF!*$C$127)</f>
        <v/>
      </c>
      <c r="DL127" s="11" t="str">
        <f ca="1">IF(History!DP$2="","",#REF!*$C$127)</f>
        <v/>
      </c>
      <c r="DM127" s="11" t="str">
        <f ca="1">IF(History!DQ$2="","",#REF!*$C$127)</f>
        <v/>
      </c>
      <c r="DN127" s="11" t="str">
        <f ca="1">IF(History!DR$2="","",#REF!*$C$127)</f>
        <v/>
      </c>
      <c r="DO127" s="11" t="str">
        <f ca="1">IF(History!DS$2="","",#REF!*$C$127)</f>
        <v/>
      </c>
      <c r="DP127" s="11" t="str">
        <f ca="1">IF(History!DT$2="","",#REF!*$C$127)</f>
        <v/>
      </c>
      <c r="DQ127" s="11" t="str">
        <f ca="1">IF(History!DU$2="","",#REF!*$C$127)</f>
        <v/>
      </c>
      <c r="DR127" s="11" t="str">
        <f ca="1">IF(History!DV$2="","",#REF!*$C$127)</f>
        <v/>
      </c>
      <c r="DS127" s="11" t="str">
        <f ca="1">IF(History!DW$2="","",#REF!*$C$127)</f>
        <v/>
      </c>
      <c r="DT127" s="11" t="str">
        <f ca="1">IF(History!DX$2="","",#REF!*$C$127)</f>
        <v/>
      </c>
      <c r="DU127" s="11" t="str">
        <f ca="1">IF(History!DY$2="","",#REF!*$C$127)</f>
        <v/>
      </c>
      <c r="DV127" s="11" t="str">
        <f ca="1">IF(History!DZ$2="","",#REF!*$C$127)</f>
        <v/>
      </c>
      <c r="DW127" s="11" t="str">
        <f ca="1">IF(History!EA$2="","",#REF!*$C$127)</f>
        <v/>
      </c>
      <c r="DX127" s="11" t="str">
        <f ca="1">IF(History!EB$2="","",#REF!*$C$127)</f>
        <v/>
      </c>
      <c r="DY127" s="11" t="str">
        <f ca="1">IF(History!EC$2="","",#REF!*$C$127)</f>
        <v/>
      </c>
      <c r="DZ127" s="11" t="str">
        <f ca="1">IF(History!ED$2="","",#REF!*$C$127)</f>
        <v/>
      </c>
      <c r="EA127" s="11" t="str">
        <f ca="1">IF(History!EE$2="","",#REF!*$C$127)</f>
        <v/>
      </c>
      <c r="EB127" s="11" t="str">
        <f ca="1">IF(History!EF$2="","",#REF!*$C$127)</f>
        <v/>
      </c>
      <c r="EC127" s="11" t="str">
        <f ca="1">IF(History!EG$2="","",#REF!*$C$127)</f>
        <v/>
      </c>
      <c r="ED127" s="11" t="str">
        <f ca="1">IF(History!EH$2="","",#REF!*$C$127)</f>
        <v/>
      </c>
      <c r="EE127" s="11" t="str">
        <f ca="1">IF(History!EI$2="","",#REF!*$C$127)</f>
        <v/>
      </c>
      <c r="EF127" s="11" t="str">
        <f ca="1">IF(History!EJ$2="","",#REF!*$C$127)</f>
        <v/>
      </c>
      <c r="EG127" s="11" t="str">
        <f ca="1">IF(History!EK$2="","",#REF!*$C$127)</f>
        <v/>
      </c>
      <c r="EH127" s="11" t="str">
        <f ca="1">IF(History!EL$2="","",#REF!*$C$127)</f>
        <v/>
      </c>
      <c r="EI127" s="11" t="str">
        <f ca="1">IF(History!EM$2="","",#REF!*$C$127)</f>
        <v/>
      </c>
      <c r="EJ127" s="11" t="str">
        <f ca="1">IF(History!EN$2="","",#REF!*$C$127)</f>
        <v/>
      </c>
      <c r="EK127" s="11" t="str">
        <f ca="1">IF(History!EO$2="","",#REF!*$C$127)</f>
        <v/>
      </c>
      <c r="EL127" s="11" t="str">
        <f ca="1">IF(History!EP$2="","",#REF!*$C$127)</f>
        <v/>
      </c>
      <c r="EM127" s="11" t="str">
        <f ca="1">IF(History!EQ$2="","",#REF!*$C$127)</f>
        <v/>
      </c>
      <c r="EN127" s="11" t="str">
        <f ca="1">IF(History!ER$2="","",#REF!*$C$127)</f>
        <v/>
      </c>
      <c r="EO127" s="11" t="str">
        <f ca="1">IF(History!ES$2="","",#REF!*$C$127)</f>
        <v/>
      </c>
      <c r="EP127" s="11" t="str">
        <f ca="1">IF(History!ET$2="","",#REF!*$C$127)</f>
        <v/>
      </c>
      <c r="EQ127" s="11" t="str">
        <f ca="1">IF(History!EU$2="","",#REF!*$C$127)</f>
        <v/>
      </c>
      <c r="ER127" s="11" t="str">
        <f ca="1">IF(History!EV$2="","",#REF!*$C$127)</f>
        <v/>
      </c>
      <c r="ES127" s="11" t="str">
        <f ca="1">IF(History!EW$2="","",#REF!*$C$127)</f>
        <v/>
      </c>
      <c r="ET127" s="11" t="str">
        <f ca="1">IF(History!EX$2="","",#REF!*$C$127)</f>
        <v/>
      </c>
      <c r="EU127" s="11" t="str">
        <f ca="1">IF(History!EY$2="","",#REF!*$C$127)</f>
        <v/>
      </c>
      <c r="EV127" s="11" t="str">
        <f ca="1">IF(History!EZ$2="","",#REF!*$C$127)</f>
        <v/>
      </c>
      <c r="EW127" s="11" t="str">
        <f ca="1">IF(History!FA$2="","",#REF!*$C$127)</f>
        <v/>
      </c>
      <c r="EX127" s="11" t="str">
        <f ca="1">IF(History!FB$2="","",#REF!*$C$127)</f>
        <v/>
      </c>
      <c r="EY127" s="11" t="str">
        <f ca="1">IF(History!FC$2="","",#REF!*$C$127)</f>
        <v/>
      </c>
      <c r="EZ127" s="11" t="str">
        <f ca="1">IF(History!FD$2="","",#REF!*$C$127)</f>
        <v/>
      </c>
      <c r="FA127" s="11" t="str">
        <f ca="1">IF(History!FE$2="","",#REF!*$C$127)</f>
        <v/>
      </c>
      <c r="FB127" s="11" t="str">
        <f ca="1">IF(History!FF$2="","",#REF!*$C$127)</f>
        <v/>
      </c>
      <c r="FC127" s="11" t="str">
        <f ca="1">IF(History!FG$2="","",#REF!*$C$127)</f>
        <v/>
      </c>
      <c r="FD127" s="11" t="str">
        <f ca="1">IF(History!FH$2="","",#REF!*$C$127)</f>
        <v/>
      </c>
      <c r="FE127" s="11" t="str">
        <f ca="1">IF(History!FI$2="","",#REF!*$C$127)</f>
        <v/>
      </c>
      <c r="FF127" s="11" t="str">
        <f ca="1">IF(History!FJ$2="","",#REF!*$C$127)</f>
        <v/>
      </c>
      <c r="FG127" s="11" t="str">
        <f ca="1">IF(History!FK$2="","",#REF!*$C$127)</f>
        <v/>
      </c>
      <c r="FH127" s="11" t="str">
        <f ca="1">IF(History!FL$2="","",#REF!*$C$127)</f>
        <v/>
      </c>
      <c r="FI127" s="11" t="str">
        <f ca="1">IF(History!FM$2="","",#REF!*$C$127)</f>
        <v/>
      </c>
      <c r="FJ127" s="11" t="str">
        <f ca="1">IF(History!FN$2="","",#REF!*$C$127)</f>
        <v/>
      </c>
      <c r="FK127" s="11" t="str">
        <f ca="1">IF(History!FO$2="","",#REF!*$C$127)</f>
        <v/>
      </c>
      <c r="FL127" s="11" t="str">
        <f ca="1">IF(History!FP$2="","",#REF!*$C$127)</f>
        <v/>
      </c>
      <c r="FM127" s="11" t="str">
        <f ca="1">IF(History!FQ$2="","",#REF!*$C$127)</f>
        <v/>
      </c>
      <c r="FN127" s="11" t="str">
        <f ca="1">IF(History!FR$2="","",#REF!*$C$127)</f>
        <v/>
      </c>
      <c r="FO127" s="11" t="str">
        <f ca="1">IF(History!FS$2="","",#REF!*$C$127)</f>
        <v/>
      </c>
      <c r="FP127" s="11" t="str">
        <f ca="1">IF(History!FT$2="","",#REF!*$C$127)</f>
        <v/>
      </c>
      <c r="FQ127" s="11" t="str">
        <f ca="1">IF(History!FU$2="","",#REF!*$C$127)</f>
        <v/>
      </c>
      <c r="FR127" s="11" t="str">
        <f ca="1">IF(History!FV$2="","",#REF!*$C$127)</f>
        <v/>
      </c>
      <c r="FS127" s="11" t="str">
        <f ca="1">IF(History!FW$2="","",#REF!*$C$127)</f>
        <v/>
      </c>
      <c r="FT127" s="11" t="str">
        <f ca="1">IF(History!FX$2="","",#REF!*$C$127)</f>
        <v/>
      </c>
      <c r="FU127" s="11" t="str">
        <f ca="1">IF(History!FY$2="","",#REF!*$C$127)</f>
        <v/>
      </c>
      <c r="FV127" s="11" t="str">
        <f ca="1">IF(History!FZ$2="","",#REF!*$C$127)</f>
        <v/>
      </c>
      <c r="FW127" s="11" t="str">
        <f ca="1">IF(History!GA$2="","",#REF!*$C$127)</f>
        <v/>
      </c>
      <c r="FX127" s="11" t="str">
        <f ca="1">IF(History!GB$2="","",#REF!*$C$127)</f>
        <v/>
      </c>
      <c r="FY127" s="11" t="str">
        <f ca="1">IF(History!GC$2="","",#REF!*$C$127)</f>
        <v/>
      </c>
      <c r="FZ127" s="11" t="str">
        <f ca="1">IF(History!GD$2="","",#REF!*$C$127)</f>
        <v/>
      </c>
      <c r="GA127" s="11" t="str">
        <f ca="1">IF(History!GE$2="","",#REF!*$C$127)</f>
        <v/>
      </c>
      <c r="GB127" s="11" t="str">
        <f ca="1">IF(History!GF$2="","",#REF!*$C$127)</f>
        <v/>
      </c>
      <c r="GC127" s="11" t="str">
        <f ca="1">IF(History!GG$2="","",#REF!*$C$127)</f>
        <v/>
      </c>
      <c r="GD127" s="11" t="str">
        <f ca="1">IF(History!GH$2="","",#REF!*$C$127)</f>
        <v/>
      </c>
      <c r="GE127" s="11" t="str">
        <f ca="1">IF(History!GI$2="","",#REF!*$C$127)</f>
        <v/>
      </c>
      <c r="GF127" s="11" t="str">
        <f ca="1">IF(History!GJ$2="","",#REF!*$C$127)</f>
        <v/>
      </c>
      <c r="GG127" s="11" t="str">
        <f ca="1">IF(History!GK$2="","",#REF!*$C$127)</f>
        <v/>
      </c>
      <c r="GH127" s="11" t="str">
        <f ca="1">IF(History!GL$2="","",#REF!*$C$127)</f>
        <v/>
      </c>
      <c r="GI127" s="11" t="str">
        <f ca="1">IF(History!GM$2="","",#REF!*$C$127)</f>
        <v/>
      </c>
      <c r="GJ127" s="11" t="str">
        <f ca="1">IF(History!GN$2="","",#REF!*$C$127)</f>
        <v/>
      </c>
      <c r="GK127" s="11" t="str">
        <f ca="1">IF(History!GO$2="","",#REF!*$C$127)</f>
        <v/>
      </c>
      <c r="GL127" s="11" t="str">
        <f ca="1">IF(History!GP$2="","",#REF!*$C$127)</f>
        <v/>
      </c>
      <c r="GM127" s="11" t="str">
        <f ca="1">IF(History!GQ$2="","",#REF!*$C$127)</f>
        <v/>
      </c>
      <c r="GN127" s="11" t="str">
        <f ca="1">IF(History!GR$2="","",#REF!*$C$127)</f>
        <v/>
      </c>
      <c r="GO127" s="11" t="str">
        <f ca="1">IF(History!GS$2="","",#REF!*$C$127)</f>
        <v/>
      </c>
      <c r="GP127" s="11" t="str">
        <f ca="1">IF(History!GT$2="","",#REF!*$C$127)</f>
        <v/>
      </c>
      <c r="GQ127" s="11" t="str">
        <f ca="1">IF(History!GU$2="","",#REF!*$C$127)</f>
        <v/>
      </c>
      <c r="GR127" s="11" t="str">
        <f ca="1">IF(History!GV$2="","",#REF!*$C$127)</f>
        <v/>
      </c>
      <c r="GS127" s="11" t="str">
        <f ca="1">IF(History!GW$2="","",#REF!*$C$127)</f>
        <v/>
      </c>
      <c r="GT127" s="11" t="str">
        <f ca="1">IF(History!GX$2="","",#REF!*$C$127)</f>
        <v/>
      </c>
      <c r="GU127" s="11" t="str">
        <f ca="1">IF(History!GY$2="","",#REF!*$C$127)</f>
        <v/>
      </c>
      <c r="GV127" s="11" t="str">
        <f ca="1">IF(History!GZ$2="","",#REF!*$C$127)</f>
        <v/>
      </c>
      <c r="GW127" s="11" t="str">
        <f ca="1">IF(History!HA$2="","",#REF!*$C$127)</f>
        <v/>
      </c>
      <c r="GX127" s="11" t="str">
        <f ca="1">IF(History!HB$2="","",#REF!*$C$127)</f>
        <v/>
      </c>
      <c r="GY127" s="11" t="str">
        <f ca="1">IF(History!HC$2="","",#REF!*$C$127)</f>
        <v/>
      </c>
      <c r="GZ127" s="11" t="str">
        <f ca="1">IF(History!HD$2="","",#REF!*$C$127)</f>
        <v/>
      </c>
      <c r="HA127" s="11" t="str">
        <f ca="1">IF(History!HE$2="","",#REF!*$C$127)</f>
        <v/>
      </c>
      <c r="HB127" s="11" t="str">
        <f ca="1">IF(History!HF$2="","",#REF!*$C$127)</f>
        <v/>
      </c>
      <c r="HC127" s="11" t="str">
        <f ca="1">IF(History!HG$2="","",#REF!*$C$127)</f>
        <v/>
      </c>
      <c r="HD127" s="11" t="str">
        <f ca="1">IF(History!HH$2="","",#REF!*$C$127)</f>
        <v/>
      </c>
      <c r="HE127" s="11" t="str">
        <f ca="1">IF(History!HI$2="","",#REF!*$C$127)</f>
        <v/>
      </c>
      <c r="HF127" s="11" t="str">
        <f ca="1">IF(History!HJ$2="","",#REF!*$C$127)</f>
        <v/>
      </c>
      <c r="HG127" s="11" t="str">
        <f ca="1">IF(History!HK$2="","",#REF!*$C$127)</f>
        <v/>
      </c>
      <c r="HH127" s="11" t="str">
        <f ca="1">IF(History!HL$2="","",#REF!*$C$127)</f>
        <v/>
      </c>
      <c r="HI127" s="11" t="str">
        <f ca="1">IF(History!HM$2="","",#REF!*$C$127)</f>
        <v/>
      </c>
      <c r="HJ127" s="11" t="str">
        <f ca="1">IF(History!HN$2="","",#REF!*$C$127)</f>
        <v/>
      </c>
      <c r="HK127" s="11" t="str">
        <f ca="1">IF(History!HO$2="","",#REF!*$C$127)</f>
        <v/>
      </c>
      <c r="HL127" s="11" t="str">
        <f ca="1">IF(History!HP$2="","",#REF!*$C$127)</f>
        <v/>
      </c>
      <c r="HM127" s="11" t="str">
        <f ca="1">IF(History!HQ$2="","",#REF!*$C$127)</f>
        <v/>
      </c>
      <c r="HN127" s="11" t="str">
        <f ca="1">IF(History!HR$2="","",#REF!*$C$127)</f>
        <v/>
      </c>
      <c r="HO127" s="11" t="str">
        <f ca="1">IF(History!HS$2="","",#REF!*$C$127)</f>
        <v/>
      </c>
      <c r="HP127" s="11" t="str">
        <f ca="1">IF(History!HT$2="","",#REF!*$C$127)</f>
        <v/>
      </c>
      <c r="HQ127" s="11" t="str">
        <f ca="1">IF(History!HU$2="","",#REF!*$C$127)</f>
        <v/>
      </c>
      <c r="HR127" s="11" t="str">
        <f ca="1">IF(History!HV$2="","",#REF!*$C$127)</f>
        <v/>
      </c>
      <c r="HS127" s="11" t="str">
        <f ca="1">IF(History!HW$2="","",#REF!*$C$127)</f>
        <v/>
      </c>
      <c r="HT127" s="11" t="str">
        <f ca="1">IF(History!HX$2="","",#REF!*$C$127)</f>
        <v/>
      </c>
      <c r="HU127" s="11" t="str">
        <f ca="1">IF(History!HY$2="","",#REF!*$C$127)</f>
        <v/>
      </c>
      <c r="HV127" s="11" t="str">
        <f ca="1">IF(History!HZ$2="","",#REF!*$C$127)</f>
        <v/>
      </c>
      <c r="HW127" s="11" t="str">
        <f ca="1">IF(History!IA$2="","",#REF!*$C$127)</f>
        <v/>
      </c>
      <c r="HX127" s="11" t="str">
        <f ca="1">IF(History!IB$2="","",#REF!*$C$127)</f>
        <v/>
      </c>
      <c r="HY127" s="11" t="str">
        <f ca="1">IF(History!IC$2="","",#REF!*$C$127)</f>
        <v/>
      </c>
      <c r="HZ127" s="11" t="str">
        <f ca="1">IF(History!ID$2="","",#REF!*$C$127)</f>
        <v/>
      </c>
      <c r="IA127" s="11" t="str">
        <f ca="1">IF(History!IE$2="","",#REF!*$C$127)</f>
        <v/>
      </c>
      <c r="IB127" s="11" t="str">
        <f ca="1">IF(History!IF$2="","",#REF!*$C$127)</f>
        <v/>
      </c>
      <c r="IC127" s="11" t="str">
        <f ca="1">IF(History!IG$2="","",#REF!*$C$127)</f>
        <v/>
      </c>
      <c r="ID127" s="11" t="str">
        <f ca="1">IF(History!IH$2="","",#REF!*$C$127)</f>
        <v/>
      </c>
      <c r="IE127" s="11" t="str">
        <f ca="1">IF(History!II$2="","",#REF!*$C$127)</f>
        <v/>
      </c>
      <c r="IF127" s="11" t="str">
        <f ca="1">IF(History!IJ$2="","",#REF!*$C$127)</f>
        <v/>
      </c>
      <c r="IG127" s="11" t="str">
        <f ca="1">IF(History!IK$2="","",#REF!*$C$127)</f>
        <v/>
      </c>
      <c r="IH127" s="11" t="str">
        <f ca="1">IF(History!IL$2="","",#REF!*$C$127)</f>
        <v/>
      </c>
      <c r="II127" s="11" t="str">
        <f ca="1">IF(History!IM$2="","",#REF!*$C$127)</f>
        <v/>
      </c>
      <c r="IJ127" s="11" t="str">
        <f ca="1">IF(History!IN$2="","",#REF!*$C$127)</f>
        <v/>
      </c>
      <c r="IK127" s="11" t="str">
        <f ca="1">IF(History!IO$2="","",#REF!*$C$127)</f>
        <v/>
      </c>
      <c r="IL127" s="11" t="str">
        <f ca="1">IF(History!IP$2="","",#REF!*$C$127)</f>
        <v/>
      </c>
      <c r="IM127" s="11" t="str">
        <f ca="1">IF(History!IQ$2="","",#REF!*$C$127)</f>
        <v/>
      </c>
      <c r="IN127" s="11" t="str">
        <f ca="1">IF(History!IR$2="","",#REF!*$C$127)</f>
        <v/>
      </c>
      <c r="IO127" s="11" t="str">
        <f ca="1">IF(History!IS$2="","",#REF!*$C$127)</f>
        <v/>
      </c>
      <c r="IP127" s="11" t="str">
        <f ca="1">IF(History!IT$2="","",#REF!*$C$127)</f>
        <v/>
      </c>
      <c r="IQ127" s="11" t="str">
        <f ca="1">IF(History!IU$2="","",#REF!*$C$127)</f>
        <v/>
      </c>
      <c r="IR127" s="11" t="str">
        <f ca="1">IF(History!IV$2="","",#REF!*$C$127)</f>
        <v/>
      </c>
      <c r="IS127" s="11" t="str">
        <f ca="1">IF(History!IW$2="","",#REF!*$C$127)</f>
        <v/>
      </c>
      <c r="IT127" s="11" t="str">
        <f ca="1">IF(History!IX$2="","",#REF!*$C$127)</f>
        <v/>
      </c>
      <c r="IU127" s="11" t="str">
        <f ca="1">IF(History!IY$2="","",#REF!*$C$127)</f>
        <v/>
      </c>
      <c r="IV127" s="11" t="str">
        <f ca="1">IF(History!IZ$2="","",#REF!*$C$127)</f>
        <v/>
      </c>
      <c r="IW127" s="11" t="str">
        <f ca="1">IF(History!JA$2="","",#REF!*$C$127)</f>
        <v/>
      </c>
      <c r="IX127" s="11" t="str">
        <f ca="1">IF(History!JB$2="","",#REF!*$C$127)</f>
        <v/>
      </c>
      <c r="IY127" s="11" t="str">
        <f ca="1">IF(History!JC$2="","",#REF!*$C$127)</f>
        <v/>
      </c>
      <c r="IZ127" s="11" t="str">
        <f ca="1">IF(History!JD$2="","",#REF!*$C$127)</f>
        <v/>
      </c>
      <c r="JA127" s="11" t="str">
        <f ca="1">IF(History!JE$2="","",#REF!*$C$127)</f>
        <v/>
      </c>
      <c r="JB127" s="11" t="str">
        <f ca="1">IF(History!JF$2="","",#REF!*$C$127)</f>
        <v/>
      </c>
      <c r="JC127" s="11" t="str">
        <f ca="1">IF(History!JG$2="","",#REF!*$C$127)</f>
        <v/>
      </c>
      <c r="JD127" s="11" t="str">
        <f ca="1">IF(History!JH$2="","",#REF!*$C$127)</f>
        <v/>
      </c>
      <c r="JE127" s="11" t="str">
        <f ca="1">IF(History!JI$2="","",#REF!*$C$127)</f>
        <v/>
      </c>
      <c r="JF127" s="11" t="str">
        <f ca="1">IF(History!JJ$2="","",#REF!*$C$127)</f>
        <v/>
      </c>
      <c r="JG127" s="11" t="str">
        <f ca="1">IF(History!JK$2="","",#REF!*$C$127)</f>
        <v/>
      </c>
      <c r="JH127" s="11" t="str">
        <f ca="1">IF(History!JL$2="","",#REF!*$C$127)</f>
        <v/>
      </c>
      <c r="JI127" s="11" t="str">
        <f ca="1">IF(History!JM$2="","",#REF!*$C$127)</f>
        <v/>
      </c>
      <c r="JJ127" s="11" t="str">
        <f ca="1">IF(History!JN$2="","",#REF!*$C$127)</f>
        <v/>
      </c>
      <c r="JK127" s="11" t="str">
        <f ca="1">IF(History!JO$2="","",#REF!*$C$127)</f>
        <v/>
      </c>
      <c r="JL127" s="11" t="str">
        <f ca="1">IF(History!JP$2="","",#REF!*$C$127)</f>
        <v/>
      </c>
      <c r="JM127" s="11" t="str">
        <f ca="1">IF(History!JQ$2="","",#REF!*$C$127)</f>
        <v/>
      </c>
      <c r="JN127" s="11" t="str">
        <f ca="1">IF(History!JR$2="","",#REF!*$C$127)</f>
        <v/>
      </c>
      <c r="JO127" s="11" t="str">
        <f ca="1">IF(History!JS$2="","",#REF!*$C$127)</f>
        <v/>
      </c>
      <c r="JP127" s="11" t="str">
        <f ca="1">IF(History!JT$2="","",#REF!*$C$127)</f>
        <v/>
      </c>
      <c r="JQ127" s="11" t="str">
        <f ca="1">IF(History!JU$2="","",#REF!*$C$127)</f>
        <v/>
      </c>
      <c r="JR127" s="11" t="str">
        <f ca="1">IF(History!JV$2="","",#REF!*$C$127)</f>
        <v/>
      </c>
      <c r="JS127" s="11" t="str">
        <f ca="1">IF(History!JW$2="","",#REF!*$C$127)</f>
        <v/>
      </c>
      <c r="JT127" s="11" t="str">
        <f ca="1">IF(History!JX$2="","",#REF!*$C$127)</f>
        <v/>
      </c>
      <c r="JU127" s="11" t="str">
        <f ca="1">IF(History!JY$2="","",#REF!*$C$127)</f>
        <v/>
      </c>
      <c r="JV127" s="11" t="str">
        <f ca="1">IF(History!JZ$2="","",#REF!*$C$127)</f>
        <v/>
      </c>
      <c r="JW127" s="11" t="str">
        <f ca="1">IF(History!KA$2="","",#REF!*$C$127)</f>
        <v/>
      </c>
      <c r="JX127" s="11" t="str">
        <f ca="1">IF(History!KB$2="","",#REF!*$C$127)</f>
        <v/>
      </c>
      <c r="JY127" s="11" t="str">
        <f ca="1">IF(History!KC$2="","",#REF!*$C$127)</f>
        <v/>
      </c>
      <c r="JZ127" s="11" t="str">
        <f ca="1">IF(History!KD$2="","",#REF!*$C$127)</f>
        <v/>
      </c>
      <c r="KA127" s="11" t="str">
        <f ca="1">IF(History!KE$2="","",#REF!*$C$127)</f>
        <v/>
      </c>
      <c r="KB127" s="11" t="str">
        <f ca="1">IF(History!KF$2="","",#REF!*$C$127)</f>
        <v/>
      </c>
    </row>
    <row r="128" spans="1:288" ht="13">
      <c r="A128" s="2" t="s">
        <v>40</v>
      </c>
      <c r="B128" s="32" t="s">
        <v>116</v>
      </c>
      <c r="C128" s="33">
        <v>752</v>
      </c>
      <c r="D128" s="11" t="e">
        <f ca="1">IF(History!H$2="","",#REF!*$C$128)</f>
        <v>#REF!</v>
      </c>
      <c r="E128" s="11" t="e">
        <f ca="1">IF(History!I$2="","",#REF!*$C$128)</f>
        <v>#REF!</v>
      </c>
      <c r="F128" s="11" t="e">
        <f ca="1">IF(History!J$2="","",#REF!*$C$128)</f>
        <v>#REF!</v>
      </c>
      <c r="G128" s="11" t="e">
        <f ca="1">IF(History!K$2="","",#REF!*$C$128)</f>
        <v>#REF!</v>
      </c>
      <c r="H128" s="11" t="e">
        <f ca="1">IF(History!L$2="","",#REF!*$C$128)</f>
        <v>#REF!</v>
      </c>
      <c r="I128" s="11" t="e">
        <f ca="1">IF(History!M$2="","",#REF!*$C$128)</f>
        <v>#REF!</v>
      </c>
      <c r="J128" s="11" t="e">
        <f ca="1">IF(History!N$2="","",#REF!*$C$128)</f>
        <v>#REF!</v>
      </c>
      <c r="K128" s="11" t="e">
        <f ca="1">IF(History!O$2="","",#REF!*$C$128)</f>
        <v>#REF!</v>
      </c>
      <c r="L128" s="11" t="e">
        <f ca="1">IF(History!P$2="","",#REF!*$C$128)</f>
        <v>#REF!</v>
      </c>
      <c r="M128" s="11" t="e">
        <f ca="1">IF(History!Q$2="","",#REF!*$C$128)</f>
        <v>#REF!</v>
      </c>
      <c r="N128" s="11" t="e">
        <f ca="1">IF(History!R$2="","",#REF!*$C$128)</f>
        <v>#REF!</v>
      </c>
      <c r="O128" s="11" t="e">
        <f ca="1">IF(History!S$2="","",#REF!*$C$128)</f>
        <v>#REF!</v>
      </c>
      <c r="P128" s="11" t="e">
        <f ca="1">IF(History!T$2="","",#REF!*$C$128)</f>
        <v>#REF!</v>
      </c>
      <c r="Q128" s="11" t="e">
        <f ca="1">IF(History!U$2="","",#REF!*$C$128)</f>
        <v>#REF!</v>
      </c>
      <c r="R128" s="11" t="e">
        <f ca="1">IF(History!V$2="","",#REF!*$C$128)</f>
        <v>#REF!</v>
      </c>
      <c r="S128" s="11" t="e">
        <f ca="1">IF(History!W$2="","",#REF!*$C$128)</f>
        <v>#REF!</v>
      </c>
      <c r="T128" s="11" t="e">
        <f ca="1">IF(History!X$2="","",#REF!*$C$128)</f>
        <v>#REF!</v>
      </c>
      <c r="U128" s="11" t="e">
        <f ca="1">IF(History!Y$2="","",#REF!*$C$128)</f>
        <v>#REF!</v>
      </c>
      <c r="V128" s="11" t="e">
        <f ca="1">IF(History!Z$2="","",#REF!*$C$128)</f>
        <v>#REF!</v>
      </c>
      <c r="W128" s="11" t="e">
        <f ca="1">IF(History!AA$2="","",#REF!*$C$128)</f>
        <v>#REF!</v>
      </c>
      <c r="X128" s="11" t="e">
        <f ca="1">IF(History!AB$2="","",#REF!*$C$128)</f>
        <v>#REF!</v>
      </c>
      <c r="Y128" s="11" t="e">
        <f ca="1">IF(History!AC$2="","",#REF!*$C$128)</f>
        <v>#REF!</v>
      </c>
      <c r="Z128" s="11" t="e">
        <f ca="1">IF(History!AD$2="","",#REF!*$C$128)</f>
        <v>#REF!</v>
      </c>
      <c r="AA128" s="11" t="e">
        <f ca="1">IF(History!AE$2="","",#REF!*$C$128)</f>
        <v>#REF!</v>
      </c>
      <c r="AB128" s="11" t="e">
        <f ca="1">IF(History!AF$2="","",#REF!*$C$128)</f>
        <v>#REF!</v>
      </c>
      <c r="AC128" s="11" t="e">
        <f ca="1">IF(History!AG$2="","",#REF!*$C$128)</f>
        <v>#REF!</v>
      </c>
      <c r="AD128" s="11" t="e">
        <f ca="1">IF(History!AH$2="","",#REF!*$C$128)</f>
        <v>#REF!</v>
      </c>
      <c r="AE128" s="11" t="e">
        <f ca="1">IF(History!AI$2="","",#REF!*$C$128)</f>
        <v>#REF!</v>
      </c>
      <c r="AF128" s="11" t="e">
        <f ca="1">IF(History!AJ$2="","",#REF!*$C$128)</f>
        <v>#REF!</v>
      </c>
      <c r="AG128" s="11" t="e">
        <f ca="1">IF(History!AK$2="","",#REF!*$C$128)</f>
        <v>#REF!</v>
      </c>
      <c r="AH128" s="11" t="e">
        <f ca="1">IF(History!AL$2="","",#REF!*$C$128)</f>
        <v>#REF!</v>
      </c>
      <c r="AI128" s="11" t="e">
        <f ca="1">IF(History!AM$2="","",#REF!*$C$128)</f>
        <v>#REF!</v>
      </c>
      <c r="AJ128" s="11" t="e">
        <f ca="1">IF(History!AN$2="","",#REF!*$C$128)</f>
        <v>#REF!</v>
      </c>
      <c r="AK128" s="11" t="e">
        <f ca="1">IF(History!AO$2="","",#REF!*$C$128)</f>
        <v>#REF!</v>
      </c>
      <c r="AL128" s="11" t="e">
        <f ca="1">IF(History!AP$2="","",#REF!*$C$128)</f>
        <v>#REF!</v>
      </c>
      <c r="AM128" s="11" t="e">
        <f ca="1">IF(History!AQ$2="","",#REF!*$C$128)</f>
        <v>#REF!</v>
      </c>
      <c r="AN128" s="11" t="e">
        <f ca="1">IF(History!AR$2="","",#REF!*$C$128)</f>
        <v>#REF!</v>
      </c>
      <c r="AO128" s="11" t="e">
        <f ca="1">IF(History!AS$2="","",#REF!*$C$128)</f>
        <v>#REF!</v>
      </c>
      <c r="AP128" s="11" t="e">
        <f ca="1">IF(History!AT$2="","",#REF!*$C$128)</f>
        <v>#REF!</v>
      </c>
      <c r="AQ128" s="11" t="e">
        <f ca="1">IF(History!AU$2="","",#REF!*$C$128)</f>
        <v>#REF!</v>
      </c>
      <c r="AR128" s="11" t="e">
        <f ca="1">IF(History!AV$2="","",#REF!*$C$128)</f>
        <v>#REF!</v>
      </c>
      <c r="AS128" s="11" t="e">
        <f ca="1">IF(History!AW$2="","",#REF!*$C$128)</f>
        <v>#REF!</v>
      </c>
      <c r="AT128" s="11" t="e">
        <f ca="1">IF(History!AX$2="","",#REF!*$C$128)</f>
        <v>#REF!</v>
      </c>
      <c r="AU128" s="11" t="e">
        <f ca="1">IF(History!AY$2="","",#REF!*$C$128)</f>
        <v>#REF!</v>
      </c>
      <c r="AV128" s="11" t="e">
        <f ca="1">IF(History!AZ$2="","",#REF!*$C$128)</f>
        <v>#REF!</v>
      </c>
      <c r="AW128" s="11" t="e">
        <f ca="1">IF(History!BA$2="","",#REF!*$C$128)</f>
        <v>#REF!</v>
      </c>
      <c r="AX128" s="11" t="e">
        <f ca="1">IF(History!BB$2="","",#REF!*$C$128)</f>
        <v>#REF!</v>
      </c>
      <c r="AY128" s="11" t="e">
        <f ca="1">IF(History!BC$2="","",#REF!*$C$128)</f>
        <v>#REF!</v>
      </c>
      <c r="AZ128" s="11" t="e">
        <f ca="1">IF(History!BD$2="","",#REF!*$C$128)</f>
        <v>#REF!</v>
      </c>
      <c r="BA128" s="11" t="e">
        <f ca="1">IF(History!BE$2="","",#REF!*$C$128)</f>
        <v>#REF!</v>
      </c>
      <c r="BB128" s="11" t="e">
        <f ca="1">IF(History!BF$2="","",#REF!*$C$128)</f>
        <v>#REF!</v>
      </c>
      <c r="BC128" s="11" t="e">
        <f ca="1">IF(History!BG$2="","",#REF!*$C$128)</f>
        <v>#REF!</v>
      </c>
      <c r="BD128" s="11" t="e">
        <f ca="1">IF(History!BH$2="","",#REF!*$C$128)</f>
        <v>#REF!</v>
      </c>
      <c r="BE128" s="11" t="e">
        <f ca="1">IF(History!BI$2="","",#REF!*$C$128)</f>
        <v>#REF!</v>
      </c>
      <c r="BF128" s="11" t="e">
        <f ca="1">IF(History!BJ$2="","",#REF!*$C$128)</f>
        <v>#REF!</v>
      </c>
      <c r="BG128" s="11" t="e">
        <f ca="1">IF(History!BK$2="","",#REF!*$C$128)</f>
        <v>#REF!</v>
      </c>
      <c r="BH128" s="11" t="e">
        <f ca="1">IF(History!BL$2="","",#REF!*$C$128)</f>
        <v>#REF!</v>
      </c>
      <c r="BI128" s="11" t="e">
        <f ca="1">IF(History!BM$2="","",#REF!*$C$128)</f>
        <v>#REF!</v>
      </c>
      <c r="BJ128" s="11" t="e">
        <f ca="1">IF(History!BN$2="","",#REF!*$C$128)</f>
        <v>#REF!</v>
      </c>
      <c r="BK128" s="11" t="e">
        <f ca="1">IF(History!BO$2="","",#REF!*$C$128)</f>
        <v>#REF!</v>
      </c>
      <c r="BL128" s="11" t="e">
        <f ca="1">IF(History!BP$2="","",#REF!*$C$128)</f>
        <v>#REF!</v>
      </c>
      <c r="BM128" s="11" t="e">
        <f ca="1">IF(History!BQ$2="","",#REF!*$C$128)</f>
        <v>#REF!</v>
      </c>
      <c r="BN128" s="11" t="e">
        <f ca="1">IF(History!BR$2="","",#REF!*$C$128)</f>
        <v>#REF!</v>
      </c>
      <c r="BO128" s="11" t="e">
        <f ca="1">IF(History!BS$2="","",#REF!*$C$128)</f>
        <v>#REF!</v>
      </c>
      <c r="BP128" s="11" t="e">
        <f ca="1">IF(History!BT$2="","",#REF!*$C$128)</f>
        <v>#REF!</v>
      </c>
      <c r="BQ128" s="11" t="e">
        <f ca="1">IF(History!BU$2="","",#REF!*$C$128)</f>
        <v>#REF!</v>
      </c>
      <c r="BR128" s="11" t="e">
        <f ca="1">IF(History!BV$2="","",#REF!*$C$128)</f>
        <v>#REF!</v>
      </c>
      <c r="BS128" s="11" t="e">
        <f ca="1">IF(History!BW$2="","",#REF!*$C$128)</f>
        <v>#REF!</v>
      </c>
      <c r="BT128" s="11" t="e">
        <f ca="1">IF(History!BX$2="","",#REF!*$C$128)</f>
        <v>#REF!</v>
      </c>
      <c r="BU128" s="11" t="e">
        <f ca="1">IF(History!BY$2="","",#REF!*$C$128)</f>
        <v>#REF!</v>
      </c>
      <c r="BV128" s="11" t="e">
        <f ca="1">IF(History!BZ$2="","",#REF!*$C$128)</f>
        <v>#REF!</v>
      </c>
      <c r="BW128" s="11" t="e">
        <f ca="1">IF(History!CA$2="","",#REF!*$C$128)</f>
        <v>#REF!</v>
      </c>
      <c r="BX128" s="11" t="e">
        <f ca="1">IF(History!CB$2="","",#REF!*$C$128)</f>
        <v>#REF!</v>
      </c>
      <c r="BY128" s="11" t="e">
        <f ca="1">IF(History!CC$2="","",#REF!*$C$128)</f>
        <v>#REF!</v>
      </c>
      <c r="BZ128" s="11" t="e">
        <f ca="1">IF(History!CD$2="","",#REF!*$C$128)</f>
        <v>#REF!</v>
      </c>
      <c r="CA128" s="11" t="e">
        <f ca="1">IF(History!CE$2="","",#REF!*$C$128)</f>
        <v>#REF!</v>
      </c>
      <c r="CB128" s="11" t="e">
        <f ca="1">IF(History!CF$2="","",#REF!*$C$128)</f>
        <v>#REF!</v>
      </c>
      <c r="CC128" s="11" t="e">
        <f ca="1">IF(History!CG$2="","",#REF!*$C$128)</f>
        <v>#REF!</v>
      </c>
      <c r="CD128" s="11" t="e">
        <f ca="1">IF(History!CH$2="","",#REF!*$C$128)</f>
        <v>#REF!</v>
      </c>
      <c r="CE128" s="11" t="e">
        <f ca="1">IF(History!CI$2="","",#REF!*$C$128)</f>
        <v>#REF!</v>
      </c>
      <c r="CF128" s="11" t="str">
        <f ca="1">IF(History!CJ$2="","",#REF!*$C$128)</f>
        <v/>
      </c>
      <c r="CG128" s="11" t="str">
        <f ca="1">IF(History!CK$2="","",#REF!*$C$128)</f>
        <v/>
      </c>
      <c r="CH128" s="11" t="str">
        <f ca="1">IF(History!CL$2="","",#REF!*$C$128)</f>
        <v/>
      </c>
      <c r="CI128" s="11" t="str">
        <f ca="1">IF(History!CM$2="","",#REF!*$C$128)</f>
        <v/>
      </c>
      <c r="CJ128" s="11" t="str">
        <f ca="1">IF(History!CN$2="","",#REF!*$C$128)</f>
        <v/>
      </c>
      <c r="CK128" s="11" t="str">
        <f ca="1">IF(History!CO$2="","",#REF!*$C$128)</f>
        <v/>
      </c>
      <c r="CL128" s="11" t="str">
        <f ca="1">IF(History!CP$2="","",#REF!*$C$128)</f>
        <v/>
      </c>
      <c r="CM128" s="11" t="str">
        <f ca="1">IF(History!CQ$2="","",#REF!*$C$128)</f>
        <v/>
      </c>
      <c r="CN128" s="11" t="str">
        <f ca="1">IF(History!CR$2="","",#REF!*$C$128)</f>
        <v/>
      </c>
      <c r="CO128" s="11" t="str">
        <f ca="1">IF(History!CS$2="","",#REF!*$C$128)</f>
        <v/>
      </c>
      <c r="CP128" s="11" t="str">
        <f ca="1">IF(History!CT$2="","",#REF!*$C$128)</f>
        <v/>
      </c>
      <c r="CQ128" s="11" t="str">
        <f ca="1">IF(History!CU$2="","",#REF!*$C$128)</f>
        <v/>
      </c>
      <c r="CR128" s="11" t="str">
        <f ca="1">IF(History!CV$2="","",#REF!*$C$128)</f>
        <v/>
      </c>
      <c r="CS128" s="11" t="str">
        <f ca="1">IF(History!CW$2="","",#REF!*$C$128)</f>
        <v/>
      </c>
      <c r="CT128" s="11" t="str">
        <f ca="1">IF(History!CX$2="","",#REF!*$C$128)</f>
        <v/>
      </c>
      <c r="CU128" s="11" t="str">
        <f ca="1">IF(History!CY$2="","",#REF!*$C$128)</f>
        <v/>
      </c>
      <c r="CV128" s="11" t="str">
        <f ca="1">IF(History!CZ$2="","",#REF!*$C$128)</f>
        <v/>
      </c>
      <c r="CW128" s="11" t="str">
        <f ca="1">IF(History!DA$2="","",#REF!*$C$128)</f>
        <v/>
      </c>
      <c r="CX128" s="11" t="str">
        <f ca="1">IF(History!DB$2="","",#REF!*$C$128)</f>
        <v/>
      </c>
      <c r="CY128" s="11" t="str">
        <f ca="1">IF(History!DC$2="","",#REF!*$C$128)</f>
        <v/>
      </c>
      <c r="CZ128" s="11" t="str">
        <f ca="1">IF(History!DD$2="","",#REF!*$C$128)</f>
        <v/>
      </c>
      <c r="DA128" s="11" t="str">
        <f ca="1">IF(History!DE$2="","",#REF!*$C$128)</f>
        <v/>
      </c>
      <c r="DB128" s="11" t="str">
        <f ca="1">IF(History!DF$2="","",#REF!*$C$128)</f>
        <v/>
      </c>
      <c r="DC128" s="11" t="str">
        <f ca="1">IF(History!DG$2="","",#REF!*$C$128)</f>
        <v/>
      </c>
      <c r="DD128" s="11" t="str">
        <f ca="1">IF(History!DH$2="","",#REF!*$C$128)</f>
        <v/>
      </c>
      <c r="DE128" s="11" t="str">
        <f ca="1">IF(History!DI$2="","",#REF!*$C$128)</f>
        <v/>
      </c>
      <c r="DF128" s="11" t="str">
        <f ca="1">IF(History!DJ$2="","",#REF!*$C$128)</f>
        <v/>
      </c>
      <c r="DG128" s="11" t="str">
        <f ca="1">IF(History!DK$2="","",#REF!*$C$128)</f>
        <v/>
      </c>
      <c r="DH128" s="11" t="str">
        <f ca="1">IF(History!DL$2="","",#REF!*$C$128)</f>
        <v/>
      </c>
      <c r="DI128" s="11" t="str">
        <f ca="1">IF(History!DM$2="","",#REF!*$C$128)</f>
        <v/>
      </c>
      <c r="DJ128" s="11" t="str">
        <f ca="1">IF(History!DN$2="","",#REF!*$C$128)</f>
        <v/>
      </c>
      <c r="DK128" s="11" t="str">
        <f ca="1">IF(History!DO$2="","",#REF!*$C$128)</f>
        <v/>
      </c>
      <c r="DL128" s="11" t="str">
        <f ca="1">IF(History!DP$2="","",#REF!*$C$128)</f>
        <v/>
      </c>
      <c r="DM128" s="11" t="str">
        <f ca="1">IF(History!DQ$2="","",#REF!*$C$128)</f>
        <v/>
      </c>
      <c r="DN128" s="11" t="str">
        <f ca="1">IF(History!DR$2="","",#REF!*$C$128)</f>
        <v/>
      </c>
      <c r="DO128" s="11" t="str">
        <f ca="1">IF(History!DS$2="","",#REF!*$C$128)</f>
        <v/>
      </c>
      <c r="DP128" s="11" t="str">
        <f ca="1">IF(History!DT$2="","",#REF!*$C$128)</f>
        <v/>
      </c>
      <c r="DQ128" s="11" t="str">
        <f ca="1">IF(History!DU$2="","",#REF!*$C$128)</f>
        <v/>
      </c>
      <c r="DR128" s="11" t="str">
        <f ca="1">IF(History!DV$2="","",#REF!*$C$128)</f>
        <v/>
      </c>
      <c r="DS128" s="11" t="str">
        <f ca="1">IF(History!DW$2="","",#REF!*$C$128)</f>
        <v/>
      </c>
      <c r="DT128" s="11" t="str">
        <f ca="1">IF(History!DX$2="","",#REF!*$C$128)</f>
        <v/>
      </c>
      <c r="DU128" s="11" t="str">
        <f ca="1">IF(History!DY$2="","",#REF!*$C$128)</f>
        <v/>
      </c>
      <c r="DV128" s="11" t="str">
        <f ca="1">IF(History!DZ$2="","",#REF!*$C$128)</f>
        <v/>
      </c>
      <c r="DW128" s="11" t="str">
        <f ca="1">IF(History!EA$2="","",#REF!*$C$128)</f>
        <v/>
      </c>
      <c r="DX128" s="11" t="str">
        <f ca="1">IF(History!EB$2="","",#REF!*$C$128)</f>
        <v/>
      </c>
      <c r="DY128" s="11" t="str">
        <f ca="1">IF(History!EC$2="","",#REF!*$C$128)</f>
        <v/>
      </c>
      <c r="DZ128" s="11" t="str">
        <f ca="1">IF(History!ED$2="","",#REF!*$C$128)</f>
        <v/>
      </c>
      <c r="EA128" s="11" t="str">
        <f ca="1">IF(History!EE$2="","",#REF!*$C$128)</f>
        <v/>
      </c>
      <c r="EB128" s="11" t="str">
        <f ca="1">IF(History!EF$2="","",#REF!*$C$128)</f>
        <v/>
      </c>
      <c r="EC128" s="11" t="str">
        <f ca="1">IF(History!EG$2="","",#REF!*$C$128)</f>
        <v/>
      </c>
      <c r="ED128" s="11" t="str">
        <f ca="1">IF(History!EH$2="","",#REF!*$C$128)</f>
        <v/>
      </c>
      <c r="EE128" s="11" t="str">
        <f ca="1">IF(History!EI$2="","",#REF!*$C$128)</f>
        <v/>
      </c>
      <c r="EF128" s="11" t="str">
        <f ca="1">IF(History!EJ$2="","",#REF!*$C$128)</f>
        <v/>
      </c>
      <c r="EG128" s="11" t="str">
        <f ca="1">IF(History!EK$2="","",#REF!*$C$128)</f>
        <v/>
      </c>
      <c r="EH128" s="11" t="str">
        <f ca="1">IF(History!EL$2="","",#REF!*$C$128)</f>
        <v/>
      </c>
      <c r="EI128" s="11" t="str">
        <f ca="1">IF(History!EM$2="","",#REF!*$C$128)</f>
        <v/>
      </c>
      <c r="EJ128" s="11" t="str">
        <f ca="1">IF(History!EN$2="","",#REF!*$C$128)</f>
        <v/>
      </c>
      <c r="EK128" s="11" t="str">
        <f ca="1">IF(History!EO$2="","",#REF!*$C$128)</f>
        <v/>
      </c>
      <c r="EL128" s="11" t="str">
        <f ca="1">IF(History!EP$2="","",#REF!*$C$128)</f>
        <v/>
      </c>
      <c r="EM128" s="11" t="str">
        <f ca="1">IF(History!EQ$2="","",#REF!*$C$128)</f>
        <v/>
      </c>
      <c r="EN128" s="11" t="str">
        <f ca="1">IF(History!ER$2="","",#REF!*$C$128)</f>
        <v/>
      </c>
      <c r="EO128" s="11" t="str">
        <f ca="1">IF(History!ES$2="","",#REF!*$C$128)</f>
        <v/>
      </c>
      <c r="EP128" s="11" t="str">
        <f ca="1">IF(History!ET$2="","",#REF!*$C$128)</f>
        <v/>
      </c>
      <c r="EQ128" s="11" t="str">
        <f ca="1">IF(History!EU$2="","",#REF!*$C$128)</f>
        <v/>
      </c>
      <c r="ER128" s="11" t="str">
        <f ca="1">IF(History!EV$2="","",#REF!*$C$128)</f>
        <v/>
      </c>
      <c r="ES128" s="11" t="str">
        <f ca="1">IF(History!EW$2="","",#REF!*$C$128)</f>
        <v/>
      </c>
      <c r="ET128" s="11" t="str">
        <f ca="1">IF(History!EX$2="","",#REF!*$C$128)</f>
        <v/>
      </c>
      <c r="EU128" s="11" t="str">
        <f ca="1">IF(History!EY$2="","",#REF!*$C$128)</f>
        <v/>
      </c>
      <c r="EV128" s="11" t="str">
        <f ca="1">IF(History!EZ$2="","",#REF!*$C$128)</f>
        <v/>
      </c>
      <c r="EW128" s="11" t="str">
        <f ca="1">IF(History!FA$2="","",#REF!*$C$128)</f>
        <v/>
      </c>
      <c r="EX128" s="11" t="str">
        <f ca="1">IF(History!FB$2="","",#REF!*$C$128)</f>
        <v/>
      </c>
      <c r="EY128" s="11" t="str">
        <f ca="1">IF(History!FC$2="","",#REF!*$C$128)</f>
        <v/>
      </c>
      <c r="EZ128" s="11" t="str">
        <f ca="1">IF(History!FD$2="","",#REF!*$C$128)</f>
        <v/>
      </c>
      <c r="FA128" s="11" t="str">
        <f ca="1">IF(History!FE$2="","",#REF!*$C$128)</f>
        <v/>
      </c>
      <c r="FB128" s="11" t="str">
        <f ca="1">IF(History!FF$2="","",#REF!*$C$128)</f>
        <v/>
      </c>
      <c r="FC128" s="11" t="str">
        <f ca="1">IF(History!FG$2="","",#REF!*$C$128)</f>
        <v/>
      </c>
      <c r="FD128" s="11" t="str">
        <f ca="1">IF(History!FH$2="","",#REF!*$C$128)</f>
        <v/>
      </c>
      <c r="FE128" s="11" t="str">
        <f ca="1">IF(History!FI$2="","",#REF!*$C$128)</f>
        <v/>
      </c>
      <c r="FF128" s="11" t="str">
        <f ca="1">IF(History!FJ$2="","",#REF!*$C$128)</f>
        <v/>
      </c>
      <c r="FG128" s="11" t="str">
        <f ca="1">IF(History!FK$2="","",#REF!*$C$128)</f>
        <v/>
      </c>
      <c r="FH128" s="11" t="str">
        <f ca="1">IF(History!FL$2="","",#REF!*$C$128)</f>
        <v/>
      </c>
      <c r="FI128" s="11" t="str">
        <f ca="1">IF(History!FM$2="","",#REF!*$C$128)</f>
        <v/>
      </c>
      <c r="FJ128" s="11" t="str">
        <f ca="1">IF(History!FN$2="","",#REF!*$C$128)</f>
        <v/>
      </c>
      <c r="FK128" s="11" t="str">
        <f ca="1">IF(History!FO$2="","",#REF!*$C$128)</f>
        <v/>
      </c>
      <c r="FL128" s="11" t="str">
        <f ca="1">IF(History!FP$2="","",#REF!*$C$128)</f>
        <v/>
      </c>
      <c r="FM128" s="11" t="str">
        <f ca="1">IF(History!FQ$2="","",#REF!*$C$128)</f>
        <v/>
      </c>
      <c r="FN128" s="11" t="str">
        <f ca="1">IF(History!FR$2="","",#REF!*$C$128)</f>
        <v/>
      </c>
      <c r="FO128" s="11" t="str">
        <f ca="1">IF(History!FS$2="","",#REF!*$C$128)</f>
        <v/>
      </c>
      <c r="FP128" s="11" t="str">
        <f ca="1">IF(History!FT$2="","",#REF!*$C$128)</f>
        <v/>
      </c>
      <c r="FQ128" s="11" t="str">
        <f ca="1">IF(History!FU$2="","",#REF!*$C$128)</f>
        <v/>
      </c>
      <c r="FR128" s="11" t="str">
        <f ca="1">IF(History!FV$2="","",#REF!*$C$128)</f>
        <v/>
      </c>
      <c r="FS128" s="11" t="str">
        <f ca="1">IF(History!FW$2="","",#REF!*$C$128)</f>
        <v/>
      </c>
      <c r="FT128" s="11" t="str">
        <f ca="1">IF(History!FX$2="","",#REF!*$C$128)</f>
        <v/>
      </c>
      <c r="FU128" s="11" t="str">
        <f ca="1">IF(History!FY$2="","",#REF!*$C$128)</f>
        <v/>
      </c>
      <c r="FV128" s="11" t="str">
        <f ca="1">IF(History!FZ$2="","",#REF!*$C$128)</f>
        <v/>
      </c>
      <c r="FW128" s="11" t="str">
        <f ca="1">IF(History!GA$2="","",#REF!*$C$128)</f>
        <v/>
      </c>
      <c r="FX128" s="11" t="str">
        <f ca="1">IF(History!GB$2="","",#REF!*$C$128)</f>
        <v/>
      </c>
      <c r="FY128" s="11" t="str">
        <f ca="1">IF(History!GC$2="","",#REF!*$C$128)</f>
        <v/>
      </c>
      <c r="FZ128" s="11" t="str">
        <f ca="1">IF(History!GD$2="","",#REF!*$C$128)</f>
        <v/>
      </c>
      <c r="GA128" s="11" t="str">
        <f ca="1">IF(History!GE$2="","",#REF!*$C$128)</f>
        <v/>
      </c>
      <c r="GB128" s="11" t="str">
        <f ca="1">IF(History!GF$2="","",#REF!*$C$128)</f>
        <v/>
      </c>
      <c r="GC128" s="11" t="str">
        <f ca="1">IF(History!GG$2="","",#REF!*$C$128)</f>
        <v/>
      </c>
      <c r="GD128" s="11" t="str">
        <f ca="1">IF(History!GH$2="","",#REF!*$C$128)</f>
        <v/>
      </c>
      <c r="GE128" s="11" t="str">
        <f ca="1">IF(History!GI$2="","",#REF!*$C$128)</f>
        <v/>
      </c>
      <c r="GF128" s="11" t="str">
        <f ca="1">IF(History!GJ$2="","",#REF!*$C$128)</f>
        <v/>
      </c>
      <c r="GG128" s="11" t="str">
        <f ca="1">IF(History!GK$2="","",#REF!*$C$128)</f>
        <v/>
      </c>
      <c r="GH128" s="11" t="str">
        <f ca="1">IF(History!GL$2="","",#REF!*$C$128)</f>
        <v/>
      </c>
      <c r="GI128" s="11" t="str">
        <f ca="1">IF(History!GM$2="","",#REF!*$C$128)</f>
        <v/>
      </c>
      <c r="GJ128" s="11" t="str">
        <f ca="1">IF(History!GN$2="","",#REF!*$C$128)</f>
        <v/>
      </c>
      <c r="GK128" s="11" t="str">
        <f ca="1">IF(History!GO$2="","",#REF!*$C$128)</f>
        <v/>
      </c>
      <c r="GL128" s="11" t="str">
        <f ca="1">IF(History!GP$2="","",#REF!*$C$128)</f>
        <v/>
      </c>
      <c r="GM128" s="11" t="str">
        <f ca="1">IF(History!GQ$2="","",#REF!*$C$128)</f>
        <v/>
      </c>
      <c r="GN128" s="11" t="str">
        <f ca="1">IF(History!GR$2="","",#REF!*$C$128)</f>
        <v/>
      </c>
      <c r="GO128" s="11" t="str">
        <f ca="1">IF(History!GS$2="","",#REF!*$C$128)</f>
        <v/>
      </c>
      <c r="GP128" s="11" t="str">
        <f ca="1">IF(History!GT$2="","",#REF!*$C$128)</f>
        <v/>
      </c>
      <c r="GQ128" s="11" t="str">
        <f ca="1">IF(History!GU$2="","",#REF!*$C$128)</f>
        <v/>
      </c>
      <c r="GR128" s="11" t="str">
        <f ca="1">IF(History!GV$2="","",#REF!*$C$128)</f>
        <v/>
      </c>
      <c r="GS128" s="11" t="str">
        <f ca="1">IF(History!GW$2="","",#REF!*$C$128)</f>
        <v/>
      </c>
      <c r="GT128" s="11" t="str">
        <f ca="1">IF(History!GX$2="","",#REF!*$C$128)</f>
        <v/>
      </c>
      <c r="GU128" s="11" t="str">
        <f ca="1">IF(History!GY$2="","",#REF!*$C$128)</f>
        <v/>
      </c>
      <c r="GV128" s="11" t="str">
        <f ca="1">IF(History!GZ$2="","",#REF!*$C$128)</f>
        <v/>
      </c>
      <c r="GW128" s="11" t="str">
        <f ca="1">IF(History!HA$2="","",#REF!*$C$128)</f>
        <v/>
      </c>
      <c r="GX128" s="11" t="str">
        <f ca="1">IF(History!HB$2="","",#REF!*$C$128)</f>
        <v/>
      </c>
      <c r="GY128" s="11" t="str">
        <f ca="1">IF(History!HC$2="","",#REF!*$C$128)</f>
        <v/>
      </c>
      <c r="GZ128" s="11" t="str">
        <f ca="1">IF(History!HD$2="","",#REF!*$C$128)</f>
        <v/>
      </c>
      <c r="HA128" s="11" t="str">
        <f ca="1">IF(History!HE$2="","",#REF!*$C$128)</f>
        <v/>
      </c>
      <c r="HB128" s="11" t="str">
        <f ca="1">IF(History!HF$2="","",#REF!*$C$128)</f>
        <v/>
      </c>
      <c r="HC128" s="11" t="str">
        <f ca="1">IF(History!HG$2="","",#REF!*$C$128)</f>
        <v/>
      </c>
      <c r="HD128" s="11" t="str">
        <f ca="1">IF(History!HH$2="","",#REF!*$C$128)</f>
        <v/>
      </c>
      <c r="HE128" s="11" t="str">
        <f ca="1">IF(History!HI$2="","",#REF!*$C$128)</f>
        <v/>
      </c>
      <c r="HF128" s="11" t="str">
        <f ca="1">IF(History!HJ$2="","",#REF!*$C$128)</f>
        <v/>
      </c>
      <c r="HG128" s="11" t="str">
        <f ca="1">IF(History!HK$2="","",#REF!*$C$128)</f>
        <v/>
      </c>
      <c r="HH128" s="11" t="str">
        <f ca="1">IF(History!HL$2="","",#REF!*$C$128)</f>
        <v/>
      </c>
      <c r="HI128" s="11" t="str">
        <f ca="1">IF(History!HM$2="","",#REF!*$C$128)</f>
        <v/>
      </c>
      <c r="HJ128" s="11" t="str">
        <f ca="1">IF(History!HN$2="","",#REF!*$C$128)</f>
        <v/>
      </c>
      <c r="HK128" s="11" t="str">
        <f ca="1">IF(History!HO$2="","",#REF!*$C$128)</f>
        <v/>
      </c>
      <c r="HL128" s="11" t="str">
        <f ca="1">IF(History!HP$2="","",#REF!*$C$128)</f>
        <v/>
      </c>
      <c r="HM128" s="11" t="str">
        <f ca="1">IF(History!HQ$2="","",#REF!*$C$128)</f>
        <v/>
      </c>
      <c r="HN128" s="11" t="str">
        <f ca="1">IF(History!HR$2="","",#REF!*$C$128)</f>
        <v/>
      </c>
      <c r="HO128" s="11" t="str">
        <f ca="1">IF(History!HS$2="","",#REF!*$C$128)</f>
        <v/>
      </c>
      <c r="HP128" s="11" t="str">
        <f ca="1">IF(History!HT$2="","",#REF!*$C$128)</f>
        <v/>
      </c>
      <c r="HQ128" s="11" t="str">
        <f ca="1">IF(History!HU$2="","",#REF!*$C$128)</f>
        <v/>
      </c>
      <c r="HR128" s="11" t="str">
        <f ca="1">IF(History!HV$2="","",#REF!*$C$128)</f>
        <v/>
      </c>
      <c r="HS128" s="11" t="str">
        <f ca="1">IF(History!HW$2="","",#REF!*$C$128)</f>
        <v/>
      </c>
      <c r="HT128" s="11" t="str">
        <f ca="1">IF(History!HX$2="","",#REF!*$C$128)</f>
        <v/>
      </c>
      <c r="HU128" s="11" t="str">
        <f ca="1">IF(History!HY$2="","",#REF!*$C$128)</f>
        <v/>
      </c>
      <c r="HV128" s="11" t="str">
        <f ca="1">IF(History!HZ$2="","",#REF!*$C$128)</f>
        <v/>
      </c>
      <c r="HW128" s="11" t="str">
        <f ca="1">IF(History!IA$2="","",#REF!*$C$128)</f>
        <v/>
      </c>
      <c r="HX128" s="11" t="str">
        <f ca="1">IF(History!IB$2="","",#REF!*$C$128)</f>
        <v/>
      </c>
      <c r="HY128" s="11" t="str">
        <f ca="1">IF(History!IC$2="","",#REF!*$C$128)</f>
        <v/>
      </c>
      <c r="HZ128" s="11" t="str">
        <f ca="1">IF(History!ID$2="","",#REF!*$C$128)</f>
        <v/>
      </c>
      <c r="IA128" s="11" t="str">
        <f ca="1">IF(History!IE$2="","",#REF!*$C$128)</f>
        <v/>
      </c>
      <c r="IB128" s="11" t="str">
        <f ca="1">IF(History!IF$2="","",#REF!*$C$128)</f>
        <v/>
      </c>
      <c r="IC128" s="11" t="str">
        <f ca="1">IF(History!IG$2="","",#REF!*$C$128)</f>
        <v/>
      </c>
      <c r="ID128" s="11" t="str">
        <f ca="1">IF(History!IH$2="","",#REF!*$C$128)</f>
        <v/>
      </c>
      <c r="IE128" s="11" t="str">
        <f ca="1">IF(History!II$2="","",#REF!*$C$128)</f>
        <v/>
      </c>
      <c r="IF128" s="11" t="str">
        <f ca="1">IF(History!IJ$2="","",#REF!*$C$128)</f>
        <v/>
      </c>
      <c r="IG128" s="11" t="str">
        <f ca="1">IF(History!IK$2="","",#REF!*$C$128)</f>
        <v/>
      </c>
      <c r="IH128" s="11" t="str">
        <f ca="1">IF(History!IL$2="","",#REF!*$C$128)</f>
        <v/>
      </c>
      <c r="II128" s="11" t="str">
        <f ca="1">IF(History!IM$2="","",#REF!*$C$128)</f>
        <v/>
      </c>
      <c r="IJ128" s="11" t="str">
        <f ca="1">IF(History!IN$2="","",#REF!*$C$128)</f>
        <v/>
      </c>
      <c r="IK128" s="11" t="str">
        <f ca="1">IF(History!IO$2="","",#REF!*$C$128)</f>
        <v/>
      </c>
      <c r="IL128" s="11" t="str">
        <f ca="1">IF(History!IP$2="","",#REF!*$C$128)</f>
        <v/>
      </c>
      <c r="IM128" s="11" t="str">
        <f ca="1">IF(History!IQ$2="","",#REF!*$C$128)</f>
        <v/>
      </c>
      <c r="IN128" s="11" t="str">
        <f ca="1">IF(History!IR$2="","",#REF!*$C$128)</f>
        <v/>
      </c>
      <c r="IO128" s="11" t="str">
        <f ca="1">IF(History!IS$2="","",#REF!*$C$128)</f>
        <v/>
      </c>
      <c r="IP128" s="11" t="str">
        <f ca="1">IF(History!IT$2="","",#REF!*$C$128)</f>
        <v/>
      </c>
      <c r="IQ128" s="11" t="str">
        <f ca="1">IF(History!IU$2="","",#REF!*$C$128)</f>
        <v/>
      </c>
      <c r="IR128" s="11" t="str">
        <f ca="1">IF(History!IV$2="","",#REF!*$C$128)</f>
        <v/>
      </c>
      <c r="IS128" s="11" t="str">
        <f ca="1">IF(History!IW$2="","",#REF!*$C$128)</f>
        <v/>
      </c>
      <c r="IT128" s="11" t="str">
        <f ca="1">IF(History!IX$2="","",#REF!*$C$128)</f>
        <v/>
      </c>
      <c r="IU128" s="11" t="str">
        <f ca="1">IF(History!IY$2="","",#REF!*$C$128)</f>
        <v/>
      </c>
      <c r="IV128" s="11" t="str">
        <f ca="1">IF(History!IZ$2="","",#REF!*$C$128)</f>
        <v/>
      </c>
      <c r="IW128" s="11" t="str">
        <f ca="1">IF(History!JA$2="","",#REF!*$C$128)</f>
        <v/>
      </c>
      <c r="IX128" s="11" t="str">
        <f ca="1">IF(History!JB$2="","",#REF!*$C$128)</f>
        <v/>
      </c>
      <c r="IY128" s="11" t="str">
        <f ca="1">IF(History!JC$2="","",#REF!*$C$128)</f>
        <v/>
      </c>
      <c r="IZ128" s="11" t="str">
        <f ca="1">IF(History!JD$2="","",#REF!*$C$128)</f>
        <v/>
      </c>
      <c r="JA128" s="11" t="str">
        <f ca="1">IF(History!JE$2="","",#REF!*$C$128)</f>
        <v/>
      </c>
      <c r="JB128" s="11" t="str">
        <f ca="1">IF(History!JF$2="","",#REF!*$C$128)</f>
        <v/>
      </c>
      <c r="JC128" s="11" t="str">
        <f ca="1">IF(History!JG$2="","",#REF!*$C$128)</f>
        <v/>
      </c>
      <c r="JD128" s="11" t="str">
        <f ca="1">IF(History!JH$2="","",#REF!*$C$128)</f>
        <v/>
      </c>
      <c r="JE128" s="11" t="str">
        <f ca="1">IF(History!JI$2="","",#REF!*$C$128)</f>
        <v/>
      </c>
      <c r="JF128" s="11" t="str">
        <f ca="1">IF(History!JJ$2="","",#REF!*$C$128)</f>
        <v/>
      </c>
      <c r="JG128" s="11" t="str">
        <f ca="1">IF(History!JK$2="","",#REF!*$C$128)</f>
        <v/>
      </c>
      <c r="JH128" s="11" t="str">
        <f ca="1">IF(History!JL$2="","",#REF!*$C$128)</f>
        <v/>
      </c>
      <c r="JI128" s="11" t="str">
        <f ca="1">IF(History!JM$2="","",#REF!*$C$128)</f>
        <v/>
      </c>
      <c r="JJ128" s="11" t="str">
        <f ca="1">IF(History!JN$2="","",#REF!*$C$128)</f>
        <v/>
      </c>
      <c r="JK128" s="11" t="str">
        <f ca="1">IF(History!JO$2="","",#REF!*$C$128)</f>
        <v/>
      </c>
      <c r="JL128" s="11" t="str">
        <f ca="1">IF(History!JP$2="","",#REF!*$C$128)</f>
        <v/>
      </c>
      <c r="JM128" s="11" t="str">
        <f ca="1">IF(History!JQ$2="","",#REF!*$C$128)</f>
        <v/>
      </c>
      <c r="JN128" s="11" t="str">
        <f ca="1">IF(History!JR$2="","",#REF!*$C$128)</f>
        <v/>
      </c>
      <c r="JO128" s="11" t="str">
        <f ca="1">IF(History!JS$2="","",#REF!*$C$128)</f>
        <v/>
      </c>
      <c r="JP128" s="11" t="str">
        <f ca="1">IF(History!JT$2="","",#REF!*$C$128)</f>
        <v/>
      </c>
      <c r="JQ128" s="11" t="str">
        <f ca="1">IF(History!JU$2="","",#REF!*$C$128)</f>
        <v/>
      </c>
      <c r="JR128" s="11" t="str">
        <f ca="1">IF(History!JV$2="","",#REF!*$C$128)</f>
        <v/>
      </c>
      <c r="JS128" s="11" t="str">
        <f ca="1">IF(History!JW$2="","",#REF!*$C$128)</f>
        <v/>
      </c>
      <c r="JT128" s="11" t="str">
        <f ca="1">IF(History!JX$2="","",#REF!*$C$128)</f>
        <v/>
      </c>
      <c r="JU128" s="11" t="str">
        <f ca="1">IF(History!JY$2="","",#REF!*$C$128)</f>
        <v/>
      </c>
      <c r="JV128" s="11" t="str">
        <f ca="1">IF(History!JZ$2="","",#REF!*$C$128)</f>
        <v/>
      </c>
      <c r="JW128" s="11" t="str">
        <f ca="1">IF(History!KA$2="","",#REF!*$C$128)</f>
        <v/>
      </c>
      <c r="JX128" s="11" t="str">
        <f ca="1">IF(History!KB$2="","",#REF!*$C$128)</f>
        <v/>
      </c>
      <c r="JY128" s="11" t="str">
        <f ca="1">IF(History!KC$2="","",#REF!*$C$128)</f>
        <v/>
      </c>
      <c r="JZ128" s="11" t="str">
        <f ca="1">IF(History!KD$2="","",#REF!*$C$128)</f>
        <v/>
      </c>
      <c r="KA128" s="11" t="str">
        <f ca="1">IF(History!KE$2="","",#REF!*$C$128)</f>
        <v/>
      </c>
      <c r="KB128" s="11" t="str">
        <f ca="1">IF(History!KF$2="","",#REF!*$C$128)</f>
        <v/>
      </c>
    </row>
    <row r="129" spans="1:288" ht="13">
      <c r="A129" s="2" t="s">
        <v>40</v>
      </c>
      <c r="B129" s="32" t="s">
        <v>117</v>
      </c>
      <c r="C129" s="33">
        <v>657</v>
      </c>
      <c r="D129" s="11" t="e">
        <f ca="1">IF(History!H$2="","",#REF!*$C$129)</f>
        <v>#REF!</v>
      </c>
      <c r="E129" s="11" t="e">
        <f ca="1">IF(History!I$2="","",#REF!*$C$129)</f>
        <v>#REF!</v>
      </c>
      <c r="F129" s="11" t="e">
        <f ca="1">IF(History!J$2="","",#REF!*$C$129)</f>
        <v>#REF!</v>
      </c>
      <c r="G129" s="11" t="e">
        <f ca="1">IF(History!K$2="","",#REF!*$C$129)</f>
        <v>#REF!</v>
      </c>
      <c r="H129" s="11" t="e">
        <f ca="1">IF(History!L$2="","",#REF!*$C$129)</f>
        <v>#REF!</v>
      </c>
      <c r="I129" s="11" t="e">
        <f ca="1">IF(History!M$2="","",#REF!*$C$129)</f>
        <v>#REF!</v>
      </c>
      <c r="J129" s="11" t="e">
        <f ca="1">IF(History!N$2="","",#REF!*$C$129)</f>
        <v>#REF!</v>
      </c>
      <c r="K129" s="11" t="e">
        <f ca="1">IF(History!O$2="","",#REF!*$C$129)</f>
        <v>#REF!</v>
      </c>
      <c r="L129" s="11" t="e">
        <f ca="1">IF(History!P$2="","",#REF!*$C$129)</f>
        <v>#REF!</v>
      </c>
      <c r="M129" s="11" t="e">
        <f ca="1">IF(History!Q$2="","",#REF!*$C$129)</f>
        <v>#REF!</v>
      </c>
      <c r="N129" s="11" t="e">
        <f ca="1">IF(History!R$2="","",#REF!*$C$129)</f>
        <v>#REF!</v>
      </c>
      <c r="O129" s="11" t="e">
        <f ca="1">IF(History!S$2="","",#REF!*$C$129)</f>
        <v>#REF!</v>
      </c>
      <c r="P129" s="11" t="e">
        <f ca="1">IF(History!T$2="","",#REF!*$C$129)</f>
        <v>#REF!</v>
      </c>
      <c r="Q129" s="11" t="e">
        <f ca="1">IF(History!U$2="","",#REF!*$C$129)</f>
        <v>#REF!</v>
      </c>
      <c r="R129" s="11" t="e">
        <f ca="1">IF(History!V$2="","",#REF!*$C$129)</f>
        <v>#REF!</v>
      </c>
      <c r="S129" s="11" t="e">
        <f ca="1">IF(History!W$2="","",#REF!*$C$129)</f>
        <v>#REF!</v>
      </c>
      <c r="T129" s="11" t="e">
        <f ca="1">IF(History!X$2="","",#REF!*$C$129)</f>
        <v>#REF!</v>
      </c>
      <c r="U129" s="11" t="e">
        <f ca="1">IF(History!Y$2="","",#REF!*$C$129)</f>
        <v>#REF!</v>
      </c>
      <c r="V129" s="11" t="e">
        <f ca="1">IF(History!Z$2="","",#REF!*$C$129)</f>
        <v>#REF!</v>
      </c>
      <c r="W129" s="11" t="e">
        <f ca="1">IF(History!AA$2="","",#REF!*$C$129)</f>
        <v>#REF!</v>
      </c>
      <c r="X129" s="11" t="e">
        <f ca="1">IF(History!AB$2="","",#REF!*$C$129)</f>
        <v>#REF!</v>
      </c>
      <c r="Y129" s="11" t="e">
        <f ca="1">IF(History!AC$2="","",#REF!*$C$129)</f>
        <v>#REF!</v>
      </c>
      <c r="Z129" s="11" t="e">
        <f ca="1">IF(History!AD$2="","",#REF!*$C$129)</f>
        <v>#REF!</v>
      </c>
      <c r="AA129" s="11" t="e">
        <f ca="1">IF(History!AE$2="","",#REF!*$C$129)</f>
        <v>#REF!</v>
      </c>
      <c r="AB129" s="11" t="e">
        <f ca="1">IF(History!AF$2="","",#REF!*$C$129)</f>
        <v>#REF!</v>
      </c>
      <c r="AC129" s="11" t="e">
        <f ca="1">IF(History!AG$2="","",#REF!*$C$129)</f>
        <v>#REF!</v>
      </c>
      <c r="AD129" s="11" t="e">
        <f ca="1">IF(History!AH$2="","",#REF!*$C$129)</f>
        <v>#REF!</v>
      </c>
      <c r="AE129" s="11" t="e">
        <f ca="1">IF(History!AI$2="","",#REF!*$C$129)</f>
        <v>#REF!</v>
      </c>
      <c r="AF129" s="11" t="e">
        <f ca="1">IF(History!AJ$2="","",#REF!*$C$129)</f>
        <v>#REF!</v>
      </c>
      <c r="AG129" s="11" t="e">
        <f ca="1">IF(History!AK$2="","",#REF!*$C$129)</f>
        <v>#REF!</v>
      </c>
      <c r="AH129" s="11" t="e">
        <f ca="1">IF(History!AL$2="","",#REF!*$C$129)</f>
        <v>#REF!</v>
      </c>
      <c r="AI129" s="11" t="e">
        <f ca="1">IF(History!AM$2="","",#REF!*$C$129)</f>
        <v>#REF!</v>
      </c>
      <c r="AJ129" s="11" t="e">
        <f ca="1">IF(History!AN$2="","",#REF!*$C$129)</f>
        <v>#REF!</v>
      </c>
      <c r="AK129" s="11" t="e">
        <f ca="1">IF(History!AO$2="","",#REF!*$C$129)</f>
        <v>#REF!</v>
      </c>
      <c r="AL129" s="11" t="e">
        <f ca="1">IF(History!AP$2="","",#REF!*$C$129)</f>
        <v>#REF!</v>
      </c>
      <c r="AM129" s="11" t="e">
        <f ca="1">IF(History!AQ$2="","",#REF!*$C$129)</f>
        <v>#REF!</v>
      </c>
      <c r="AN129" s="11" t="e">
        <f ca="1">IF(History!AR$2="","",#REF!*$C$129)</f>
        <v>#REF!</v>
      </c>
      <c r="AO129" s="11" t="e">
        <f ca="1">IF(History!AS$2="","",#REF!*$C$129)</f>
        <v>#REF!</v>
      </c>
      <c r="AP129" s="11" t="e">
        <f ca="1">IF(History!AT$2="","",#REF!*$C$129)</f>
        <v>#REF!</v>
      </c>
      <c r="AQ129" s="11" t="e">
        <f ca="1">IF(History!AU$2="","",#REF!*$C$129)</f>
        <v>#REF!</v>
      </c>
      <c r="AR129" s="11" t="e">
        <f ca="1">IF(History!AV$2="","",#REF!*$C$129)</f>
        <v>#REF!</v>
      </c>
      <c r="AS129" s="11" t="e">
        <f ca="1">IF(History!AW$2="","",#REF!*$C$129)</f>
        <v>#REF!</v>
      </c>
      <c r="AT129" s="11" t="e">
        <f ca="1">IF(History!AX$2="","",#REF!*$C$129)</f>
        <v>#REF!</v>
      </c>
      <c r="AU129" s="11" t="e">
        <f ca="1">IF(History!AY$2="","",#REF!*$C$129)</f>
        <v>#REF!</v>
      </c>
      <c r="AV129" s="11" t="e">
        <f ca="1">IF(History!AZ$2="","",#REF!*$C$129)</f>
        <v>#REF!</v>
      </c>
      <c r="AW129" s="11" t="e">
        <f ca="1">IF(History!BA$2="","",#REF!*$C$129)</f>
        <v>#REF!</v>
      </c>
      <c r="AX129" s="11" t="e">
        <f ca="1">IF(History!BB$2="","",#REF!*$C$129)</f>
        <v>#REF!</v>
      </c>
      <c r="AY129" s="11" t="e">
        <f ca="1">IF(History!BC$2="","",#REF!*$C$129)</f>
        <v>#REF!</v>
      </c>
      <c r="AZ129" s="11" t="e">
        <f ca="1">IF(History!BD$2="","",#REF!*$C$129)</f>
        <v>#REF!</v>
      </c>
      <c r="BA129" s="11" t="e">
        <f ca="1">IF(History!BE$2="","",#REF!*$C$129)</f>
        <v>#REF!</v>
      </c>
      <c r="BB129" s="11" t="e">
        <f ca="1">IF(History!BF$2="","",#REF!*$C$129)</f>
        <v>#REF!</v>
      </c>
      <c r="BC129" s="11" t="e">
        <f ca="1">IF(History!BG$2="","",#REF!*$C$129)</f>
        <v>#REF!</v>
      </c>
      <c r="BD129" s="11" t="e">
        <f ca="1">IF(History!BH$2="","",#REF!*$C$129)</f>
        <v>#REF!</v>
      </c>
      <c r="BE129" s="11" t="e">
        <f ca="1">IF(History!BI$2="","",#REF!*$C$129)</f>
        <v>#REF!</v>
      </c>
      <c r="BF129" s="11" t="e">
        <f ca="1">IF(History!BJ$2="","",#REF!*$C$129)</f>
        <v>#REF!</v>
      </c>
      <c r="BG129" s="11" t="e">
        <f ca="1">IF(History!BK$2="","",#REF!*$C$129)</f>
        <v>#REF!</v>
      </c>
      <c r="BH129" s="11" t="e">
        <f ca="1">IF(History!BL$2="","",#REF!*$C$129)</f>
        <v>#REF!</v>
      </c>
      <c r="BI129" s="11" t="e">
        <f ca="1">IF(History!BM$2="","",#REF!*$C$129)</f>
        <v>#REF!</v>
      </c>
      <c r="BJ129" s="11" t="e">
        <f ca="1">IF(History!BN$2="","",#REF!*$C$129)</f>
        <v>#REF!</v>
      </c>
      <c r="BK129" s="11" t="e">
        <f ca="1">IF(History!BO$2="","",#REF!*$C$129)</f>
        <v>#REF!</v>
      </c>
      <c r="BL129" s="11" t="e">
        <f ca="1">IF(History!BP$2="","",#REF!*$C$129)</f>
        <v>#REF!</v>
      </c>
      <c r="BM129" s="11" t="e">
        <f ca="1">IF(History!BQ$2="","",#REF!*$C$129)</f>
        <v>#REF!</v>
      </c>
      <c r="BN129" s="11" t="e">
        <f ca="1">IF(History!BR$2="","",#REF!*$C$129)</f>
        <v>#REF!</v>
      </c>
      <c r="BO129" s="11" t="e">
        <f ca="1">IF(History!BS$2="","",#REF!*$C$129)</f>
        <v>#REF!</v>
      </c>
      <c r="BP129" s="11" t="e">
        <f ca="1">IF(History!BT$2="","",#REF!*$C$129)</f>
        <v>#REF!</v>
      </c>
      <c r="BQ129" s="11" t="e">
        <f ca="1">IF(History!BU$2="","",#REF!*$C$129)</f>
        <v>#REF!</v>
      </c>
      <c r="BR129" s="11" t="e">
        <f ca="1">IF(History!BV$2="","",#REF!*$C$129)</f>
        <v>#REF!</v>
      </c>
      <c r="BS129" s="11" t="e">
        <f ca="1">IF(History!BW$2="","",#REF!*$C$129)</f>
        <v>#REF!</v>
      </c>
      <c r="BT129" s="11" t="e">
        <f ca="1">IF(History!BX$2="","",#REF!*$C$129)</f>
        <v>#REF!</v>
      </c>
      <c r="BU129" s="11" t="e">
        <f ca="1">IF(History!BY$2="","",#REF!*$C$129)</f>
        <v>#REF!</v>
      </c>
      <c r="BV129" s="11" t="e">
        <f ca="1">IF(History!BZ$2="","",#REF!*$C$129)</f>
        <v>#REF!</v>
      </c>
      <c r="BW129" s="11" t="e">
        <f ca="1">IF(History!CA$2="","",#REF!*$C$129)</f>
        <v>#REF!</v>
      </c>
      <c r="BX129" s="11" t="e">
        <f ca="1">IF(History!CB$2="","",#REF!*$C$129)</f>
        <v>#REF!</v>
      </c>
      <c r="BY129" s="11" t="e">
        <f ca="1">IF(History!CC$2="","",#REF!*$C$129)</f>
        <v>#REF!</v>
      </c>
      <c r="BZ129" s="11" t="e">
        <f ca="1">IF(History!CD$2="","",#REF!*$C$129)</f>
        <v>#REF!</v>
      </c>
      <c r="CA129" s="11" t="e">
        <f ca="1">IF(History!CE$2="","",#REF!*$C$129)</f>
        <v>#REF!</v>
      </c>
      <c r="CB129" s="11" t="e">
        <f ca="1">IF(History!CF$2="","",#REF!*$C$129)</f>
        <v>#REF!</v>
      </c>
      <c r="CC129" s="11" t="e">
        <f ca="1">IF(History!CG$2="","",#REF!*$C$129)</f>
        <v>#REF!</v>
      </c>
      <c r="CD129" s="11" t="e">
        <f ca="1">IF(History!CH$2="","",#REF!*$C$129)</f>
        <v>#REF!</v>
      </c>
      <c r="CE129" s="11" t="e">
        <f ca="1">IF(History!CI$2="","",#REF!*$C$129)</f>
        <v>#REF!</v>
      </c>
      <c r="CF129" s="11" t="str">
        <f ca="1">IF(History!CJ$2="","",#REF!*$C$129)</f>
        <v/>
      </c>
      <c r="CG129" s="11" t="str">
        <f ca="1">IF(History!CK$2="","",#REF!*$C$129)</f>
        <v/>
      </c>
      <c r="CH129" s="11" t="str">
        <f ca="1">IF(History!CL$2="","",#REF!*$C$129)</f>
        <v/>
      </c>
      <c r="CI129" s="11" t="str">
        <f ca="1">IF(History!CM$2="","",#REF!*$C$129)</f>
        <v/>
      </c>
      <c r="CJ129" s="11" t="str">
        <f ca="1">IF(History!CN$2="","",#REF!*$C$129)</f>
        <v/>
      </c>
      <c r="CK129" s="11" t="str">
        <f ca="1">IF(History!CO$2="","",#REF!*$C$129)</f>
        <v/>
      </c>
      <c r="CL129" s="11" t="str">
        <f ca="1">IF(History!CP$2="","",#REF!*$C$129)</f>
        <v/>
      </c>
      <c r="CM129" s="11" t="str">
        <f ca="1">IF(History!CQ$2="","",#REF!*$C$129)</f>
        <v/>
      </c>
      <c r="CN129" s="11" t="str">
        <f ca="1">IF(History!CR$2="","",#REF!*$C$129)</f>
        <v/>
      </c>
      <c r="CO129" s="11" t="str">
        <f ca="1">IF(History!CS$2="","",#REF!*$C$129)</f>
        <v/>
      </c>
      <c r="CP129" s="11" t="str">
        <f ca="1">IF(History!CT$2="","",#REF!*$C$129)</f>
        <v/>
      </c>
      <c r="CQ129" s="11" t="str">
        <f ca="1">IF(History!CU$2="","",#REF!*$C$129)</f>
        <v/>
      </c>
      <c r="CR129" s="11" t="str">
        <f ca="1">IF(History!CV$2="","",#REF!*$C$129)</f>
        <v/>
      </c>
      <c r="CS129" s="11" t="str">
        <f ca="1">IF(History!CW$2="","",#REF!*$C$129)</f>
        <v/>
      </c>
      <c r="CT129" s="11" t="str">
        <f ca="1">IF(History!CX$2="","",#REF!*$C$129)</f>
        <v/>
      </c>
      <c r="CU129" s="11" t="str">
        <f ca="1">IF(History!CY$2="","",#REF!*$C$129)</f>
        <v/>
      </c>
      <c r="CV129" s="11" t="str">
        <f ca="1">IF(History!CZ$2="","",#REF!*$C$129)</f>
        <v/>
      </c>
      <c r="CW129" s="11" t="str">
        <f ca="1">IF(History!DA$2="","",#REF!*$C$129)</f>
        <v/>
      </c>
      <c r="CX129" s="11" t="str">
        <f ca="1">IF(History!DB$2="","",#REF!*$C$129)</f>
        <v/>
      </c>
      <c r="CY129" s="11" t="str">
        <f ca="1">IF(History!DC$2="","",#REF!*$C$129)</f>
        <v/>
      </c>
      <c r="CZ129" s="11" t="str">
        <f ca="1">IF(History!DD$2="","",#REF!*$C$129)</f>
        <v/>
      </c>
      <c r="DA129" s="11" t="str">
        <f ca="1">IF(History!DE$2="","",#REF!*$C$129)</f>
        <v/>
      </c>
      <c r="DB129" s="11" t="str">
        <f ca="1">IF(History!DF$2="","",#REF!*$C$129)</f>
        <v/>
      </c>
      <c r="DC129" s="11" t="str">
        <f ca="1">IF(History!DG$2="","",#REF!*$C$129)</f>
        <v/>
      </c>
      <c r="DD129" s="11" t="str">
        <f ca="1">IF(History!DH$2="","",#REF!*$C$129)</f>
        <v/>
      </c>
      <c r="DE129" s="11" t="str">
        <f ca="1">IF(History!DI$2="","",#REF!*$C$129)</f>
        <v/>
      </c>
      <c r="DF129" s="11" t="str">
        <f ca="1">IF(History!DJ$2="","",#REF!*$C$129)</f>
        <v/>
      </c>
      <c r="DG129" s="11" t="str">
        <f ca="1">IF(History!DK$2="","",#REF!*$C$129)</f>
        <v/>
      </c>
      <c r="DH129" s="11" t="str">
        <f ca="1">IF(History!DL$2="","",#REF!*$C$129)</f>
        <v/>
      </c>
      <c r="DI129" s="11" t="str">
        <f ca="1">IF(History!DM$2="","",#REF!*$C$129)</f>
        <v/>
      </c>
      <c r="DJ129" s="11" t="str">
        <f ca="1">IF(History!DN$2="","",#REF!*$C$129)</f>
        <v/>
      </c>
      <c r="DK129" s="11" t="str">
        <f ca="1">IF(History!DO$2="","",#REF!*$C$129)</f>
        <v/>
      </c>
      <c r="DL129" s="11" t="str">
        <f ca="1">IF(History!DP$2="","",#REF!*$C$129)</f>
        <v/>
      </c>
      <c r="DM129" s="11" t="str">
        <f ca="1">IF(History!DQ$2="","",#REF!*$C$129)</f>
        <v/>
      </c>
      <c r="DN129" s="11" t="str">
        <f ca="1">IF(History!DR$2="","",#REF!*$C$129)</f>
        <v/>
      </c>
      <c r="DO129" s="11" t="str">
        <f ca="1">IF(History!DS$2="","",#REF!*$C$129)</f>
        <v/>
      </c>
      <c r="DP129" s="11" t="str">
        <f ca="1">IF(History!DT$2="","",#REF!*$C$129)</f>
        <v/>
      </c>
      <c r="DQ129" s="11" t="str">
        <f ca="1">IF(History!DU$2="","",#REF!*$C$129)</f>
        <v/>
      </c>
      <c r="DR129" s="11" t="str">
        <f ca="1">IF(History!DV$2="","",#REF!*$C$129)</f>
        <v/>
      </c>
      <c r="DS129" s="11" t="str">
        <f ca="1">IF(History!DW$2="","",#REF!*$C$129)</f>
        <v/>
      </c>
      <c r="DT129" s="11" t="str">
        <f ca="1">IF(History!DX$2="","",#REF!*$C$129)</f>
        <v/>
      </c>
      <c r="DU129" s="11" t="str">
        <f ca="1">IF(History!DY$2="","",#REF!*$C$129)</f>
        <v/>
      </c>
      <c r="DV129" s="11" t="str">
        <f ca="1">IF(History!DZ$2="","",#REF!*$C$129)</f>
        <v/>
      </c>
      <c r="DW129" s="11" t="str">
        <f ca="1">IF(History!EA$2="","",#REF!*$C$129)</f>
        <v/>
      </c>
      <c r="DX129" s="11" t="str">
        <f ca="1">IF(History!EB$2="","",#REF!*$C$129)</f>
        <v/>
      </c>
      <c r="DY129" s="11" t="str">
        <f ca="1">IF(History!EC$2="","",#REF!*$C$129)</f>
        <v/>
      </c>
      <c r="DZ129" s="11" t="str">
        <f ca="1">IF(History!ED$2="","",#REF!*$C$129)</f>
        <v/>
      </c>
      <c r="EA129" s="11" t="str">
        <f ca="1">IF(History!EE$2="","",#REF!*$C$129)</f>
        <v/>
      </c>
      <c r="EB129" s="11" t="str">
        <f ca="1">IF(History!EF$2="","",#REF!*$C$129)</f>
        <v/>
      </c>
      <c r="EC129" s="11" t="str">
        <f ca="1">IF(History!EG$2="","",#REF!*$C$129)</f>
        <v/>
      </c>
      <c r="ED129" s="11" t="str">
        <f ca="1">IF(History!EH$2="","",#REF!*$C$129)</f>
        <v/>
      </c>
      <c r="EE129" s="11" t="str">
        <f ca="1">IF(History!EI$2="","",#REF!*$C$129)</f>
        <v/>
      </c>
      <c r="EF129" s="11" t="str">
        <f ca="1">IF(History!EJ$2="","",#REF!*$C$129)</f>
        <v/>
      </c>
      <c r="EG129" s="11" t="str">
        <f ca="1">IF(History!EK$2="","",#REF!*$C$129)</f>
        <v/>
      </c>
      <c r="EH129" s="11" t="str">
        <f ca="1">IF(History!EL$2="","",#REF!*$C$129)</f>
        <v/>
      </c>
      <c r="EI129" s="11" t="str">
        <f ca="1">IF(History!EM$2="","",#REF!*$C$129)</f>
        <v/>
      </c>
      <c r="EJ129" s="11" t="str">
        <f ca="1">IF(History!EN$2="","",#REF!*$C$129)</f>
        <v/>
      </c>
      <c r="EK129" s="11" t="str">
        <f ca="1">IF(History!EO$2="","",#REF!*$C$129)</f>
        <v/>
      </c>
      <c r="EL129" s="11" t="str">
        <f ca="1">IF(History!EP$2="","",#REF!*$C$129)</f>
        <v/>
      </c>
      <c r="EM129" s="11" t="str">
        <f ca="1">IF(History!EQ$2="","",#REF!*$C$129)</f>
        <v/>
      </c>
      <c r="EN129" s="11" t="str">
        <f ca="1">IF(History!ER$2="","",#REF!*$C$129)</f>
        <v/>
      </c>
      <c r="EO129" s="11" t="str">
        <f ca="1">IF(History!ES$2="","",#REF!*$C$129)</f>
        <v/>
      </c>
      <c r="EP129" s="11" t="str">
        <f ca="1">IF(History!ET$2="","",#REF!*$C$129)</f>
        <v/>
      </c>
      <c r="EQ129" s="11" t="str">
        <f ca="1">IF(History!EU$2="","",#REF!*$C$129)</f>
        <v/>
      </c>
      <c r="ER129" s="11" t="str">
        <f ca="1">IF(History!EV$2="","",#REF!*$C$129)</f>
        <v/>
      </c>
      <c r="ES129" s="11" t="str">
        <f ca="1">IF(History!EW$2="","",#REF!*$C$129)</f>
        <v/>
      </c>
      <c r="ET129" s="11" t="str">
        <f ca="1">IF(History!EX$2="","",#REF!*$C$129)</f>
        <v/>
      </c>
      <c r="EU129" s="11" t="str">
        <f ca="1">IF(History!EY$2="","",#REF!*$C$129)</f>
        <v/>
      </c>
      <c r="EV129" s="11" t="str">
        <f ca="1">IF(History!EZ$2="","",#REF!*$C$129)</f>
        <v/>
      </c>
      <c r="EW129" s="11" t="str">
        <f ca="1">IF(History!FA$2="","",#REF!*$C$129)</f>
        <v/>
      </c>
      <c r="EX129" s="11" t="str">
        <f ca="1">IF(History!FB$2="","",#REF!*$C$129)</f>
        <v/>
      </c>
      <c r="EY129" s="11" t="str">
        <f ca="1">IF(History!FC$2="","",#REF!*$C$129)</f>
        <v/>
      </c>
      <c r="EZ129" s="11" t="str">
        <f ca="1">IF(History!FD$2="","",#REF!*$C$129)</f>
        <v/>
      </c>
      <c r="FA129" s="11" t="str">
        <f ca="1">IF(History!FE$2="","",#REF!*$C$129)</f>
        <v/>
      </c>
      <c r="FB129" s="11" t="str">
        <f ca="1">IF(History!FF$2="","",#REF!*$C$129)</f>
        <v/>
      </c>
      <c r="FC129" s="11" t="str">
        <f ca="1">IF(History!FG$2="","",#REF!*$C$129)</f>
        <v/>
      </c>
      <c r="FD129" s="11" t="str">
        <f ca="1">IF(History!FH$2="","",#REF!*$C$129)</f>
        <v/>
      </c>
      <c r="FE129" s="11" t="str">
        <f ca="1">IF(History!FI$2="","",#REF!*$C$129)</f>
        <v/>
      </c>
      <c r="FF129" s="11" t="str">
        <f ca="1">IF(History!FJ$2="","",#REF!*$C$129)</f>
        <v/>
      </c>
      <c r="FG129" s="11" t="str">
        <f ca="1">IF(History!FK$2="","",#REF!*$C$129)</f>
        <v/>
      </c>
      <c r="FH129" s="11" t="str">
        <f ca="1">IF(History!FL$2="","",#REF!*$C$129)</f>
        <v/>
      </c>
      <c r="FI129" s="11" t="str">
        <f ca="1">IF(History!FM$2="","",#REF!*$C$129)</f>
        <v/>
      </c>
      <c r="FJ129" s="11" t="str">
        <f ca="1">IF(History!FN$2="","",#REF!*$C$129)</f>
        <v/>
      </c>
      <c r="FK129" s="11" t="str">
        <f ca="1">IF(History!FO$2="","",#REF!*$C$129)</f>
        <v/>
      </c>
      <c r="FL129" s="11" t="str">
        <f ca="1">IF(History!FP$2="","",#REF!*$C$129)</f>
        <v/>
      </c>
      <c r="FM129" s="11" t="str">
        <f ca="1">IF(History!FQ$2="","",#REF!*$C$129)</f>
        <v/>
      </c>
      <c r="FN129" s="11" t="str">
        <f ca="1">IF(History!FR$2="","",#REF!*$C$129)</f>
        <v/>
      </c>
      <c r="FO129" s="11" t="str">
        <f ca="1">IF(History!FS$2="","",#REF!*$C$129)</f>
        <v/>
      </c>
      <c r="FP129" s="11" t="str">
        <f ca="1">IF(History!FT$2="","",#REF!*$C$129)</f>
        <v/>
      </c>
      <c r="FQ129" s="11" t="str">
        <f ca="1">IF(History!FU$2="","",#REF!*$C$129)</f>
        <v/>
      </c>
      <c r="FR129" s="11" t="str">
        <f ca="1">IF(History!FV$2="","",#REF!*$C$129)</f>
        <v/>
      </c>
      <c r="FS129" s="11" t="str">
        <f ca="1">IF(History!FW$2="","",#REF!*$C$129)</f>
        <v/>
      </c>
      <c r="FT129" s="11" t="str">
        <f ca="1">IF(History!FX$2="","",#REF!*$C$129)</f>
        <v/>
      </c>
      <c r="FU129" s="11" t="str">
        <f ca="1">IF(History!FY$2="","",#REF!*$C$129)</f>
        <v/>
      </c>
      <c r="FV129" s="11" t="str">
        <f ca="1">IF(History!FZ$2="","",#REF!*$C$129)</f>
        <v/>
      </c>
      <c r="FW129" s="11" t="str">
        <f ca="1">IF(History!GA$2="","",#REF!*$C$129)</f>
        <v/>
      </c>
      <c r="FX129" s="11" t="str">
        <f ca="1">IF(History!GB$2="","",#REF!*$C$129)</f>
        <v/>
      </c>
      <c r="FY129" s="11" t="str">
        <f ca="1">IF(History!GC$2="","",#REF!*$C$129)</f>
        <v/>
      </c>
      <c r="FZ129" s="11" t="str">
        <f ca="1">IF(History!GD$2="","",#REF!*$C$129)</f>
        <v/>
      </c>
      <c r="GA129" s="11" t="str">
        <f ca="1">IF(History!GE$2="","",#REF!*$C$129)</f>
        <v/>
      </c>
      <c r="GB129" s="11" t="str">
        <f ca="1">IF(History!GF$2="","",#REF!*$C$129)</f>
        <v/>
      </c>
      <c r="GC129" s="11" t="str">
        <f ca="1">IF(History!GG$2="","",#REF!*$C$129)</f>
        <v/>
      </c>
      <c r="GD129" s="11" t="str">
        <f ca="1">IF(History!GH$2="","",#REF!*$C$129)</f>
        <v/>
      </c>
      <c r="GE129" s="11" t="str">
        <f ca="1">IF(History!GI$2="","",#REF!*$C$129)</f>
        <v/>
      </c>
      <c r="GF129" s="11" t="str">
        <f ca="1">IF(History!GJ$2="","",#REF!*$C$129)</f>
        <v/>
      </c>
      <c r="GG129" s="11" t="str">
        <f ca="1">IF(History!GK$2="","",#REF!*$C$129)</f>
        <v/>
      </c>
      <c r="GH129" s="11" t="str">
        <f ca="1">IF(History!GL$2="","",#REF!*$C$129)</f>
        <v/>
      </c>
      <c r="GI129" s="11" t="str">
        <f ca="1">IF(History!GM$2="","",#REF!*$C$129)</f>
        <v/>
      </c>
      <c r="GJ129" s="11" t="str">
        <f ca="1">IF(History!GN$2="","",#REF!*$C$129)</f>
        <v/>
      </c>
      <c r="GK129" s="11" t="str">
        <f ca="1">IF(History!GO$2="","",#REF!*$C$129)</f>
        <v/>
      </c>
      <c r="GL129" s="11" t="str">
        <f ca="1">IF(History!GP$2="","",#REF!*$C$129)</f>
        <v/>
      </c>
      <c r="GM129" s="11" t="str">
        <f ca="1">IF(History!GQ$2="","",#REF!*$C$129)</f>
        <v/>
      </c>
      <c r="GN129" s="11" t="str">
        <f ca="1">IF(History!GR$2="","",#REF!*$C$129)</f>
        <v/>
      </c>
      <c r="GO129" s="11" t="str">
        <f ca="1">IF(History!GS$2="","",#REF!*$C$129)</f>
        <v/>
      </c>
      <c r="GP129" s="11" t="str">
        <f ca="1">IF(History!GT$2="","",#REF!*$C$129)</f>
        <v/>
      </c>
      <c r="GQ129" s="11" t="str">
        <f ca="1">IF(History!GU$2="","",#REF!*$C$129)</f>
        <v/>
      </c>
      <c r="GR129" s="11" t="str">
        <f ca="1">IF(History!GV$2="","",#REF!*$C$129)</f>
        <v/>
      </c>
      <c r="GS129" s="11" t="str">
        <f ca="1">IF(History!GW$2="","",#REF!*$C$129)</f>
        <v/>
      </c>
      <c r="GT129" s="11" t="str">
        <f ca="1">IF(History!GX$2="","",#REF!*$C$129)</f>
        <v/>
      </c>
      <c r="GU129" s="11" t="str">
        <f ca="1">IF(History!GY$2="","",#REF!*$C$129)</f>
        <v/>
      </c>
      <c r="GV129" s="11" t="str">
        <f ca="1">IF(History!GZ$2="","",#REF!*$C$129)</f>
        <v/>
      </c>
      <c r="GW129" s="11" t="str">
        <f ca="1">IF(History!HA$2="","",#REF!*$C$129)</f>
        <v/>
      </c>
      <c r="GX129" s="11" t="str">
        <f ca="1">IF(History!HB$2="","",#REF!*$C$129)</f>
        <v/>
      </c>
      <c r="GY129" s="11" t="str">
        <f ca="1">IF(History!HC$2="","",#REF!*$C$129)</f>
        <v/>
      </c>
      <c r="GZ129" s="11" t="str">
        <f ca="1">IF(History!HD$2="","",#REF!*$C$129)</f>
        <v/>
      </c>
      <c r="HA129" s="11" t="str">
        <f ca="1">IF(History!HE$2="","",#REF!*$C$129)</f>
        <v/>
      </c>
      <c r="HB129" s="11" t="str">
        <f ca="1">IF(History!HF$2="","",#REF!*$C$129)</f>
        <v/>
      </c>
      <c r="HC129" s="11" t="str">
        <f ca="1">IF(History!HG$2="","",#REF!*$C$129)</f>
        <v/>
      </c>
      <c r="HD129" s="11" t="str">
        <f ca="1">IF(History!HH$2="","",#REF!*$C$129)</f>
        <v/>
      </c>
      <c r="HE129" s="11" t="str">
        <f ca="1">IF(History!HI$2="","",#REF!*$C$129)</f>
        <v/>
      </c>
      <c r="HF129" s="11" t="str">
        <f ca="1">IF(History!HJ$2="","",#REF!*$C$129)</f>
        <v/>
      </c>
      <c r="HG129" s="11" t="str">
        <f ca="1">IF(History!HK$2="","",#REF!*$C$129)</f>
        <v/>
      </c>
      <c r="HH129" s="11" t="str">
        <f ca="1">IF(History!HL$2="","",#REF!*$C$129)</f>
        <v/>
      </c>
      <c r="HI129" s="11" t="str">
        <f ca="1">IF(History!HM$2="","",#REF!*$C$129)</f>
        <v/>
      </c>
      <c r="HJ129" s="11" t="str">
        <f ca="1">IF(History!HN$2="","",#REF!*$C$129)</f>
        <v/>
      </c>
      <c r="HK129" s="11" t="str">
        <f ca="1">IF(History!HO$2="","",#REF!*$C$129)</f>
        <v/>
      </c>
      <c r="HL129" s="11" t="str">
        <f ca="1">IF(History!HP$2="","",#REF!*$C$129)</f>
        <v/>
      </c>
      <c r="HM129" s="11" t="str">
        <f ca="1">IF(History!HQ$2="","",#REF!*$C$129)</f>
        <v/>
      </c>
      <c r="HN129" s="11" t="str">
        <f ca="1">IF(History!HR$2="","",#REF!*$C$129)</f>
        <v/>
      </c>
      <c r="HO129" s="11" t="str">
        <f ca="1">IF(History!HS$2="","",#REF!*$C$129)</f>
        <v/>
      </c>
      <c r="HP129" s="11" t="str">
        <f ca="1">IF(History!HT$2="","",#REF!*$C$129)</f>
        <v/>
      </c>
      <c r="HQ129" s="11" t="str">
        <f ca="1">IF(History!HU$2="","",#REF!*$C$129)</f>
        <v/>
      </c>
      <c r="HR129" s="11" t="str">
        <f ca="1">IF(History!HV$2="","",#REF!*$C$129)</f>
        <v/>
      </c>
      <c r="HS129" s="11" t="str">
        <f ca="1">IF(History!HW$2="","",#REF!*$C$129)</f>
        <v/>
      </c>
      <c r="HT129" s="11" t="str">
        <f ca="1">IF(History!HX$2="","",#REF!*$C$129)</f>
        <v/>
      </c>
      <c r="HU129" s="11" t="str">
        <f ca="1">IF(History!HY$2="","",#REF!*$C$129)</f>
        <v/>
      </c>
      <c r="HV129" s="11" t="str">
        <f ca="1">IF(History!HZ$2="","",#REF!*$C$129)</f>
        <v/>
      </c>
      <c r="HW129" s="11" t="str">
        <f ca="1">IF(History!IA$2="","",#REF!*$C$129)</f>
        <v/>
      </c>
      <c r="HX129" s="11" t="str">
        <f ca="1">IF(History!IB$2="","",#REF!*$C$129)</f>
        <v/>
      </c>
      <c r="HY129" s="11" t="str">
        <f ca="1">IF(History!IC$2="","",#REF!*$C$129)</f>
        <v/>
      </c>
      <c r="HZ129" s="11" t="str">
        <f ca="1">IF(History!ID$2="","",#REF!*$C$129)</f>
        <v/>
      </c>
      <c r="IA129" s="11" t="str">
        <f ca="1">IF(History!IE$2="","",#REF!*$C$129)</f>
        <v/>
      </c>
      <c r="IB129" s="11" t="str">
        <f ca="1">IF(History!IF$2="","",#REF!*$C$129)</f>
        <v/>
      </c>
      <c r="IC129" s="11" t="str">
        <f ca="1">IF(History!IG$2="","",#REF!*$C$129)</f>
        <v/>
      </c>
      <c r="ID129" s="11" t="str">
        <f ca="1">IF(History!IH$2="","",#REF!*$C$129)</f>
        <v/>
      </c>
      <c r="IE129" s="11" t="str">
        <f ca="1">IF(History!II$2="","",#REF!*$C$129)</f>
        <v/>
      </c>
      <c r="IF129" s="11" t="str">
        <f ca="1">IF(History!IJ$2="","",#REF!*$C$129)</f>
        <v/>
      </c>
      <c r="IG129" s="11" t="str">
        <f ca="1">IF(History!IK$2="","",#REF!*$C$129)</f>
        <v/>
      </c>
      <c r="IH129" s="11" t="str">
        <f ca="1">IF(History!IL$2="","",#REF!*$C$129)</f>
        <v/>
      </c>
      <c r="II129" s="11" t="str">
        <f ca="1">IF(History!IM$2="","",#REF!*$C$129)</f>
        <v/>
      </c>
      <c r="IJ129" s="11" t="str">
        <f ca="1">IF(History!IN$2="","",#REF!*$C$129)</f>
        <v/>
      </c>
      <c r="IK129" s="11" t="str">
        <f ca="1">IF(History!IO$2="","",#REF!*$C$129)</f>
        <v/>
      </c>
      <c r="IL129" s="11" t="str">
        <f ca="1">IF(History!IP$2="","",#REF!*$C$129)</f>
        <v/>
      </c>
      <c r="IM129" s="11" t="str">
        <f ca="1">IF(History!IQ$2="","",#REF!*$C$129)</f>
        <v/>
      </c>
      <c r="IN129" s="11" t="str">
        <f ca="1">IF(History!IR$2="","",#REF!*$C$129)</f>
        <v/>
      </c>
      <c r="IO129" s="11" t="str">
        <f ca="1">IF(History!IS$2="","",#REF!*$C$129)</f>
        <v/>
      </c>
      <c r="IP129" s="11" t="str">
        <f ca="1">IF(History!IT$2="","",#REF!*$C$129)</f>
        <v/>
      </c>
      <c r="IQ129" s="11" t="str">
        <f ca="1">IF(History!IU$2="","",#REF!*$C$129)</f>
        <v/>
      </c>
      <c r="IR129" s="11" t="str">
        <f ca="1">IF(History!IV$2="","",#REF!*$C$129)</f>
        <v/>
      </c>
      <c r="IS129" s="11" t="str">
        <f ca="1">IF(History!IW$2="","",#REF!*$C$129)</f>
        <v/>
      </c>
      <c r="IT129" s="11" t="str">
        <f ca="1">IF(History!IX$2="","",#REF!*$C$129)</f>
        <v/>
      </c>
      <c r="IU129" s="11" t="str">
        <f ca="1">IF(History!IY$2="","",#REF!*$C$129)</f>
        <v/>
      </c>
      <c r="IV129" s="11" t="str">
        <f ca="1">IF(History!IZ$2="","",#REF!*$C$129)</f>
        <v/>
      </c>
      <c r="IW129" s="11" t="str">
        <f ca="1">IF(History!JA$2="","",#REF!*$C$129)</f>
        <v/>
      </c>
      <c r="IX129" s="11" t="str">
        <f ca="1">IF(History!JB$2="","",#REF!*$C$129)</f>
        <v/>
      </c>
      <c r="IY129" s="11" t="str">
        <f ca="1">IF(History!JC$2="","",#REF!*$C$129)</f>
        <v/>
      </c>
      <c r="IZ129" s="11" t="str">
        <f ca="1">IF(History!JD$2="","",#REF!*$C$129)</f>
        <v/>
      </c>
      <c r="JA129" s="11" t="str">
        <f ca="1">IF(History!JE$2="","",#REF!*$C$129)</f>
        <v/>
      </c>
      <c r="JB129" s="11" t="str">
        <f ca="1">IF(History!JF$2="","",#REF!*$C$129)</f>
        <v/>
      </c>
      <c r="JC129" s="11" t="str">
        <f ca="1">IF(History!JG$2="","",#REF!*$C$129)</f>
        <v/>
      </c>
      <c r="JD129" s="11" t="str">
        <f ca="1">IF(History!JH$2="","",#REF!*$C$129)</f>
        <v/>
      </c>
      <c r="JE129" s="11" t="str">
        <f ca="1">IF(History!JI$2="","",#REF!*$C$129)</f>
        <v/>
      </c>
      <c r="JF129" s="11" t="str">
        <f ca="1">IF(History!JJ$2="","",#REF!*$C$129)</f>
        <v/>
      </c>
      <c r="JG129" s="11" t="str">
        <f ca="1">IF(History!JK$2="","",#REF!*$C$129)</f>
        <v/>
      </c>
      <c r="JH129" s="11" t="str">
        <f ca="1">IF(History!JL$2="","",#REF!*$C$129)</f>
        <v/>
      </c>
      <c r="JI129" s="11" t="str">
        <f ca="1">IF(History!JM$2="","",#REF!*$C$129)</f>
        <v/>
      </c>
      <c r="JJ129" s="11" t="str">
        <f ca="1">IF(History!JN$2="","",#REF!*$C$129)</f>
        <v/>
      </c>
      <c r="JK129" s="11" t="str">
        <f ca="1">IF(History!JO$2="","",#REF!*$C$129)</f>
        <v/>
      </c>
      <c r="JL129" s="11" t="str">
        <f ca="1">IF(History!JP$2="","",#REF!*$C$129)</f>
        <v/>
      </c>
      <c r="JM129" s="11" t="str">
        <f ca="1">IF(History!JQ$2="","",#REF!*$C$129)</f>
        <v/>
      </c>
      <c r="JN129" s="11" t="str">
        <f ca="1">IF(History!JR$2="","",#REF!*$C$129)</f>
        <v/>
      </c>
      <c r="JO129" s="11" t="str">
        <f ca="1">IF(History!JS$2="","",#REF!*$C$129)</f>
        <v/>
      </c>
      <c r="JP129" s="11" t="str">
        <f ca="1">IF(History!JT$2="","",#REF!*$C$129)</f>
        <v/>
      </c>
      <c r="JQ129" s="11" t="str">
        <f ca="1">IF(History!JU$2="","",#REF!*$C$129)</f>
        <v/>
      </c>
      <c r="JR129" s="11" t="str">
        <f ca="1">IF(History!JV$2="","",#REF!*$C$129)</f>
        <v/>
      </c>
      <c r="JS129" s="11" t="str">
        <f ca="1">IF(History!JW$2="","",#REF!*$C$129)</f>
        <v/>
      </c>
      <c r="JT129" s="11" t="str">
        <f ca="1">IF(History!JX$2="","",#REF!*$C$129)</f>
        <v/>
      </c>
      <c r="JU129" s="11" t="str">
        <f ca="1">IF(History!JY$2="","",#REF!*$C$129)</f>
        <v/>
      </c>
      <c r="JV129" s="11" t="str">
        <f ca="1">IF(History!JZ$2="","",#REF!*$C$129)</f>
        <v/>
      </c>
      <c r="JW129" s="11" t="str">
        <f ca="1">IF(History!KA$2="","",#REF!*$C$129)</f>
        <v/>
      </c>
      <c r="JX129" s="11" t="str">
        <f ca="1">IF(History!KB$2="","",#REF!*$C$129)</f>
        <v/>
      </c>
      <c r="JY129" s="11" t="str">
        <f ca="1">IF(History!KC$2="","",#REF!*$C$129)</f>
        <v/>
      </c>
      <c r="JZ129" s="11" t="str">
        <f ca="1">IF(History!KD$2="","",#REF!*$C$129)</f>
        <v/>
      </c>
      <c r="KA129" s="11" t="str">
        <f ca="1">IF(History!KE$2="","",#REF!*$C$129)</f>
        <v/>
      </c>
      <c r="KB129" s="11" t="str">
        <f ca="1">IF(History!KF$2="","",#REF!*$C$129)</f>
        <v/>
      </c>
    </row>
    <row r="130" spans="1:288" ht="13">
      <c r="A130" s="2" t="s">
        <v>40</v>
      </c>
      <c r="B130" s="32" t="s">
        <v>118</v>
      </c>
      <c r="C130" s="33">
        <v>292</v>
      </c>
      <c r="D130" s="11" t="e">
        <f ca="1">IF(History!H$2="","",#REF!*$C$130)</f>
        <v>#REF!</v>
      </c>
      <c r="E130" s="11" t="e">
        <f ca="1">IF(History!I$2="","",#REF!*$C$130)</f>
        <v>#REF!</v>
      </c>
      <c r="F130" s="11" t="e">
        <f ca="1">IF(History!J$2="","",#REF!*$C$130)</f>
        <v>#REF!</v>
      </c>
      <c r="G130" s="11" t="e">
        <f ca="1">IF(History!K$2="","",#REF!*$C$130)</f>
        <v>#REF!</v>
      </c>
      <c r="H130" s="11" t="e">
        <f ca="1">IF(History!L$2="","",#REF!*$C$130)</f>
        <v>#REF!</v>
      </c>
      <c r="I130" s="11" t="e">
        <f ca="1">IF(History!M$2="","",#REF!*$C$130)</f>
        <v>#REF!</v>
      </c>
      <c r="J130" s="11" t="e">
        <f ca="1">IF(History!N$2="","",#REF!*$C$130)</f>
        <v>#REF!</v>
      </c>
      <c r="K130" s="11" t="e">
        <f ca="1">IF(History!O$2="","",#REF!*$C$130)</f>
        <v>#REF!</v>
      </c>
      <c r="L130" s="11" t="e">
        <f ca="1">IF(History!P$2="","",#REF!*$C$130)</f>
        <v>#REF!</v>
      </c>
      <c r="M130" s="11" t="e">
        <f ca="1">IF(History!Q$2="","",#REF!*$C$130)</f>
        <v>#REF!</v>
      </c>
      <c r="N130" s="11" t="e">
        <f ca="1">IF(History!R$2="","",#REF!*$C$130)</f>
        <v>#REF!</v>
      </c>
      <c r="O130" s="11" t="e">
        <f ca="1">IF(History!S$2="","",#REF!*$C$130)</f>
        <v>#REF!</v>
      </c>
      <c r="P130" s="11" t="e">
        <f ca="1">IF(History!T$2="","",#REF!*$C$130)</f>
        <v>#REF!</v>
      </c>
      <c r="Q130" s="11" t="e">
        <f ca="1">IF(History!U$2="","",#REF!*$C$130)</f>
        <v>#REF!</v>
      </c>
      <c r="R130" s="11" t="e">
        <f ca="1">IF(History!V$2="","",#REF!*$C$130)</f>
        <v>#REF!</v>
      </c>
      <c r="S130" s="11" t="e">
        <f ca="1">IF(History!W$2="","",#REF!*$C$130)</f>
        <v>#REF!</v>
      </c>
      <c r="T130" s="11" t="e">
        <f ca="1">IF(History!X$2="","",#REF!*$C$130)</f>
        <v>#REF!</v>
      </c>
      <c r="U130" s="11" t="e">
        <f ca="1">IF(History!Y$2="","",#REF!*$C$130)</f>
        <v>#REF!</v>
      </c>
      <c r="V130" s="11" t="e">
        <f ca="1">IF(History!Z$2="","",#REF!*$C$130)</f>
        <v>#REF!</v>
      </c>
      <c r="W130" s="11" t="e">
        <f ca="1">IF(History!AA$2="","",#REF!*$C$130)</f>
        <v>#REF!</v>
      </c>
      <c r="X130" s="11" t="e">
        <f ca="1">IF(History!AB$2="","",#REF!*$C$130)</f>
        <v>#REF!</v>
      </c>
      <c r="Y130" s="11" t="e">
        <f ca="1">IF(History!AC$2="","",#REF!*$C$130)</f>
        <v>#REF!</v>
      </c>
      <c r="Z130" s="11" t="e">
        <f ca="1">IF(History!AD$2="","",#REF!*$C$130)</f>
        <v>#REF!</v>
      </c>
      <c r="AA130" s="11" t="e">
        <f ca="1">IF(History!AE$2="","",#REF!*$C$130)</f>
        <v>#REF!</v>
      </c>
      <c r="AB130" s="11" t="e">
        <f ca="1">IF(History!AF$2="","",#REF!*$C$130)</f>
        <v>#REF!</v>
      </c>
      <c r="AC130" s="11" t="e">
        <f ca="1">IF(History!AG$2="","",#REF!*$C$130)</f>
        <v>#REF!</v>
      </c>
      <c r="AD130" s="11" t="e">
        <f ca="1">IF(History!AH$2="","",#REF!*$C$130)</f>
        <v>#REF!</v>
      </c>
      <c r="AE130" s="11" t="e">
        <f ca="1">IF(History!AI$2="","",#REF!*$C$130)</f>
        <v>#REF!</v>
      </c>
      <c r="AF130" s="11" t="e">
        <f ca="1">IF(History!AJ$2="","",#REF!*$C$130)</f>
        <v>#REF!</v>
      </c>
      <c r="AG130" s="11" t="e">
        <f ca="1">IF(History!AK$2="","",#REF!*$C$130)</f>
        <v>#REF!</v>
      </c>
      <c r="AH130" s="11" t="e">
        <f ca="1">IF(History!AL$2="","",#REF!*$C$130)</f>
        <v>#REF!</v>
      </c>
      <c r="AI130" s="11" t="e">
        <f ca="1">IF(History!AM$2="","",#REF!*$C$130)</f>
        <v>#REF!</v>
      </c>
      <c r="AJ130" s="11" t="e">
        <f ca="1">IF(History!AN$2="","",#REF!*$C$130)</f>
        <v>#REF!</v>
      </c>
      <c r="AK130" s="11" t="e">
        <f ca="1">IF(History!AO$2="","",#REF!*$C$130)</f>
        <v>#REF!</v>
      </c>
      <c r="AL130" s="11" t="e">
        <f ca="1">IF(History!AP$2="","",#REF!*$C$130)</f>
        <v>#REF!</v>
      </c>
      <c r="AM130" s="11" t="e">
        <f ca="1">IF(History!AQ$2="","",#REF!*$C$130)</f>
        <v>#REF!</v>
      </c>
      <c r="AN130" s="11" t="e">
        <f ca="1">IF(History!AR$2="","",#REF!*$C$130)</f>
        <v>#REF!</v>
      </c>
      <c r="AO130" s="11" t="e">
        <f ca="1">IF(History!AS$2="","",#REF!*$C$130)</f>
        <v>#REF!</v>
      </c>
      <c r="AP130" s="11" t="e">
        <f ca="1">IF(History!AT$2="","",#REF!*$C$130)</f>
        <v>#REF!</v>
      </c>
      <c r="AQ130" s="11" t="e">
        <f ca="1">IF(History!AU$2="","",#REF!*$C$130)</f>
        <v>#REF!</v>
      </c>
      <c r="AR130" s="11" t="e">
        <f ca="1">IF(History!AV$2="","",#REF!*$C$130)</f>
        <v>#REF!</v>
      </c>
      <c r="AS130" s="11" t="e">
        <f ca="1">IF(History!AW$2="","",#REF!*$C$130)</f>
        <v>#REF!</v>
      </c>
      <c r="AT130" s="11" t="e">
        <f ca="1">IF(History!AX$2="","",#REF!*$C$130)</f>
        <v>#REF!</v>
      </c>
      <c r="AU130" s="11" t="e">
        <f ca="1">IF(History!AY$2="","",#REF!*$C$130)</f>
        <v>#REF!</v>
      </c>
      <c r="AV130" s="11" t="e">
        <f ca="1">IF(History!AZ$2="","",#REF!*$C$130)</f>
        <v>#REF!</v>
      </c>
      <c r="AW130" s="11" t="e">
        <f ca="1">IF(History!BA$2="","",#REF!*$C$130)</f>
        <v>#REF!</v>
      </c>
      <c r="AX130" s="11" t="e">
        <f ca="1">IF(History!BB$2="","",#REF!*$C$130)</f>
        <v>#REF!</v>
      </c>
      <c r="AY130" s="11" t="e">
        <f ca="1">IF(History!BC$2="","",#REF!*$C$130)</f>
        <v>#REF!</v>
      </c>
      <c r="AZ130" s="11" t="e">
        <f ca="1">IF(History!BD$2="","",#REF!*$C$130)</f>
        <v>#REF!</v>
      </c>
      <c r="BA130" s="11" t="e">
        <f ca="1">IF(History!BE$2="","",#REF!*$C$130)</f>
        <v>#REF!</v>
      </c>
      <c r="BB130" s="11" t="e">
        <f ca="1">IF(History!BF$2="","",#REF!*$C$130)</f>
        <v>#REF!</v>
      </c>
      <c r="BC130" s="11" t="e">
        <f ca="1">IF(History!BG$2="","",#REF!*$C$130)</f>
        <v>#REF!</v>
      </c>
      <c r="BD130" s="11" t="e">
        <f ca="1">IF(History!BH$2="","",#REF!*$C$130)</f>
        <v>#REF!</v>
      </c>
      <c r="BE130" s="11" t="e">
        <f ca="1">IF(History!BI$2="","",#REF!*$C$130)</f>
        <v>#REF!</v>
      </c>
      <c r="BF130" s="11" t="e">
        <f ca="1">IF(History!BJ$2="","",#REF!*$C$130)</f>
        <v>#REF!</v>
      </c>
      <c r="BG130" s="11" t="e">
        <f ca="1">IF(History!BK$2="","",#REF!*$C$130)</f>
        <v>#REF!</v>
      </c>
      <c r="BH130" s="11" t="e">
        <f ca="1">IF(History!BL$2="","",#REF!*$C$130)</f>
        <v>#REF!</v>
      </c>
      <c r="BI130" s="11" t="e">
        <f ca="1">IF(History!BM$2="","",#REF!*$C$130)</f>
        <v>#REF!</v>
      </c>
      <c r="BJ130" s="11" t="e">
        <f ca="1">IF(History!BN$2="","",#REF!*$C$130)</f>
        <v>#REF!</v>
      </c>
      <c r="BK130" s="11" t="e">
        <f ca="1">IF(History!BO$2="","",#REF!*$C$130)</f>
        <v>#REF!</v>
      </c>
      <c r="BL130" s="11" t="e">
        <f ca="1">IF(History!BP$2="","",#REF!*$C$130)</f>
        <v>#REF!</v>
      </c>
      <c r="BM130" s="11" t="e">
        <f ca="1">IF(History!BQ$2="","",#REF!*$C$130)</f>
        <v>#REF!</v>
      </c>
      <c r="BN130" s="11" t="e">
        <f ca="1">IF(History!BR$2="","",#REF!*$C$130)</f>
        <v>#REF!</v>
      </c>
      <c r="BO130" s="11" t="e">
        <f ca="1">IF(History!BS$2="","",#REF!*$C$130)</f>
        <v>#REF!</v>
      </c>
      <c r="BP130" s="11" t="e">
        <f ca="1">IF(History!BT$2="","",#REF!*$C$130)</f>
        <v>#REF!</v>
      </c>
      <c r="BQ130" s="11" t="e">
        <f ca="1">IF(History!BU$2="","",#REF!*$C$130)</f>
        <v>#REF!</v>
      </c>
      <c r="BR130" s="11" t="e">
        <f ca="1">IF(History!BV$2="","",#REF!*$C$130)</f>
        <v>#REF!</v>
      </c>
      <c r="BS130" s="11" t="e">
        <f ca="1">IF(History!BW$2="","",#REF!*$C$130)</f>
        <v>#REF!</v>
      </c>
      <c r="BT130" s="11" t="e">
        <f ca="1">IF(History!BX$2="","",#REF!*$C$130)</f>
        <v>#REF!</v>
      </c>
      <c r="BU130" s="11" t="e">
        <f ca="1">IF(History!BY$2="","",#REF!*$C$130)</f>
        <v>#REF!</v>
      </c>
      <c r="BV130" s="11" t="e">
        <f ca="1">IF(History!BZ$2="","",#REF!*$C$130)</f>
        <v>#REF!</v>
      </c>
      <c r="BW130" s="11" t="e">
        <f ca="1">IF(History!CA$2="","",#REF!*$C$130)</f>
        <v>#REF!</v>
      </c>
      <c r="BX130" s="11" t="e">
        <f ca="1">IF(History!CB$2="","",#REF!*$C$130)</f>
        <v>#REF!</v>
      </c>
      <c r="BY130" s="11" t="e">
        <f ca="1">IF(History!CC$2="","",#REF!*$C$130)</f>
        <v>#REF!</v>
      </c>
      <c r="BZ130" s="11" t="e">
        <f ca="1">IF(History!CD$2="","",#REF!*$C$130)</f>
        <v>#REF!</v>
      </c>
      <c r="CA130" s="11" t="e">
        <f ca="1">IF(History!CE$2="","",#REF!*$C$130)</f>
        <v>#REF!</v>
      </c>
      <c r="CB130" s="11" t="e">
        <f ca="1">IF(History!CF$2="","",#REF!*$C$130)</f>
        <v>#REF!</v>
      </c>
      <c r="CC130" s="11" t="e">
        <f ca="1">IF(History!CG$2="","",#REF!*$C$130)</f>
        <v>#REF!</v>
      </c>
      <c r="CD130" s="11" t="e">
        <f ca="1">IF(History!CH$2="","",#REF!*$C$130)</f>
        <v>#REF!</v>
      </c>
      <c r="CE130" s="11" t="e">
        <f ca="1">IF(History!CI$2="","",#REF!*$C$130)</f>
        <v>#REF!</v>
      </c>
      <c r="CF130" s="11" t="str">
        <f ca="1">IF(History!CJ$2="","",#REF!*$C$130)</f>
        <v/>
      </c>
      <c r="CG130" s="11" t="str">
        <f ca="1">IF(History!CK$2="","",#REF!*$C$130)</f>
        <v/>
      </c>
      <c r="CH130" s="11" t="str">
        <f ca="1">IF(History!CL$2="","",#REF!*$C$130)</f>
        <v/>
      </c>
      <c r="CI130" s="11" t="str">
        <f ca="1">IF(History!CM$2="","",#REF!*$C$130)</f>
        <v/>
      </c>
      <c r="CJ130" s="11" t="str">
        <f ca="1">IF(History!CN$2="","",#REF!*$C$130)</f>
        <v/>
      </c>
      <c r="CK130" s="11" t="str">
        <f ca="1">IF(History!CO$2="","",#REF!*$C$130)</f>
        <v/>
      </c>
      <c r="CL130" s="11" t="str">
        <f ca="1">IF(History!CP$2="","",#REF!*$C$130)</f>
        <v/>
      </c>
      <c r="CM130" s="11" t="str">
        <f ca="1">IF(History!CQ$2="","",#REF!*$C$130)</f>
        <v/>
      </c>
      <c r="CN130" s="11" t="str">
        <f ca="1">IF(History!CR$2="","",#REF!*$C$130)</f>
        <v/>
      </c>
      <c r="CO130" s="11" t="str">
        <f ca="1">IF(History!CS$2="","",#REF!*$C$130)</f>
        <v/>
      </c>
      <c r="CP130" s="11" t="str">
        <f ca="1">IF(History!CT$2="","",#REF!*$C$130)</f>
        <v/>
      </c>
      <c r="CQ130" s="11" t="str">
        <f ca="1">IF(History!CU$2="","",#REF!*$C$130)</f>
        <v/>
      </c>
      <c r="CR130" s="11" t="str">
        <f ca="1">IF(History!CV$2="","",#REF!*$C$130)</f>
        <v/>
      </c>
      <c r="CS130" s="11" t="str">
        <f ca="1">IF(History!CW$2="","",#REF!*$C$130)</f>
        <v/>
      </c>
      <c r="CT130" s="11" t="str">
        <f ca="1">IF(History!CX$2="","",#REF!*$C$130)</f>
        <v/>
      </c>
      <c r="CU130" s="11" t="str">
        <f ca="1">IF(History!CY$2="","",#REF!*$C$130)</f>
        <v/>
      </c>
      <c r="CV130" s="11" t="str">
        <f ca="1">IF(History!CZ$2="","",#REF!*$C$130)</f>
        <v/>
      </c>
      <c r="CW130" s="11" t="str">
        <f ca="1">IF(History!DA$2="","",#REF!*$C$130)</f>
        <v/>
      </c>
      <c r="CX130" s="11" t="str">
        <f ca="1">IF(History!DB$2="","",#REF!*$C$130)</f>
        <v/>
      </c>
      <c r="CY130" s="11" t="str">
        <f ca="1">IF(History!DC$2="","",#REF!*$C$130)</f>
        <v/>
      </c>
      <c r="CZ130" s="11" t="str">
        <f ca="1">IF(History!DD$2="","",#REF!*$C$130)</f>
        <v/>
      </c>
      <c r="DA130" s="11" t="str">
        <f ca="1">IF(History!DE$2="","",#REF!*$C$130)</f>
        <v/>
      </c>
      <c r="DB130" s="11" t="str">
        <f ca="1">IF(History!DF$2="","",#REF!*$C$130)</f>
        <v/>
      </c>
      <c r="DC130" s="11" t="str">
        <f ca="1">IF(History!DG$2="","",#REF!*$C$130)</f>
        <v/>
      </c>
      <c r="DD130" s="11" t="str">
        <f ca="1">IF(History!DH$2="","",#REF!*$C$130)</f>
        <v/>
      </c>
      <c r="DE130" s="11" t="str">
        <f ca="1">IF(History!DI$2="","",#REF!*$C$130)</f>
        <v/>
      </c>
      <c r="DF130" s="11" t="str">
        <f ca="1">IF(History!DJ$2="","",#REF!*$C$130)</f>
        <v/>
      </c>
      <c r="DG130" s="11" t="str">
        <f ca="1">IF(History!DK$2="","",#REF!*$C$130)</f>
        <v/>
      </c>
      <c r="DH130" s="11" t="str">
        <f ca="1">IF(History!DL$2="","",#REF!*$C$130)</f>
        <v/>
      </c>
      <c r="DI130" s="11" t="str">
        <f ca="1">IF(History!DM$2="","",#REF!*$C$130)</f>
        <v/>
      </c>
      <c r="DJ130" s="11" t="str">
        <f ca="1">IF(History!DN$2="","",#REF!*$C$130)</f>
        <v/>
      </c>
      <c r="DK130" s="11" t="str">
        <f ca="1">IF(History!DO$2="","",#REF!*$C$130)</f>
        <v/>
      </c>
      <c r="DL130" s="11" t="str">
        <f ca="1">IF(History!DP$2="","",#REF!*$C$130)</f>
        <v/>
      </c>
      <c r="DM130" s="11" t="str">
        <f ca="1">IF(History!DQ$2="","",#REF!*$C$130)</f>
        <v/>
      </c>
      <c r="DN130" s="11" t="str">
        <f ca="1">IF(History!DR$2="","",#REF!*$C$130)</f>
        <v/>
      </c>
      <c r="DO130" s="11" t="str">
        <f ca="1">IF(History!DS$2="","",#REF!*$C$130)</f>
        <v/>
      </c>
      <c r="DP130" s="11" t="str">
        <f ca="1">IF(History!DT$2="","",#REF!*$C$130)</f>
        <v/>
      </c>
      <c r="DQ130" s="11" t="str">
        <f ca="1">IF(History!DU$2="","",#REF!*$C$130)</f>
        <v/>
      </c>
      <c r="DR130" s="11" t="str">
        <f ca="1">IF(History!DV$2="","",#REF!*$C$130)</f>
        <v/>
      </c>
      <c r="DS130" s="11" t="str">
        <f ca="1">IF(History!DW$2="","",#REF!*$C$130)</f>
        <v/>
      </c>
      <c r="DT130" s="11" t="str">
        <f ca="1">IF(History!DX$2="","",#REF!*$C$130)</f>
        <v/>
      </c>
      <c r="DU130" s="11" t="str">
        <f ca="1">IF(History!DY$2="","",#REF!*$C$130)</f>
        <v/>
      </c>
      <c r="DV130" s="11" t="str">
        <f ca="1">IF(History!DZ$2="","",#REF!*$C$130)</f>
        <v/>
      </c>
      <c r="DW130" s="11" t="str">
        <f ca="1">IF(History!EA$2="","",#REF!*$C$130)</f>
        <v/>
      </c>
      <c r="DX130" s="11" t="str">
        <f ca="1">IF(History!EB$2="","",#REF!*$C$130)</f>
        <v/>
      </c>
      <c r="DY130" s="11" t="str">
        <f ca="1">IF(History!EC$2="","",#REF!*$C$130)</f>
        <v/>
      </c>
      <c r="DZ130" s="11" t="str">
        <f ca="1">IF(History!ED$2="","",#REF!*$C$130)</f>
        <v/>
      </c>
      <c r="EA130" s="11" t="str">
        <f ca="1">IF(History!EE$2="","",#REF!*$C$130)</f>
        <v/>
      </c>
      <c r="EB130" s="11" t="str">
        <f ca="1">IF(History!EF$2="","",#REF!*$C$130)</f>
        <v/>
      </c>
      <c r="EC130" s="11" t="str">
        <f ca="1">IF(History!EG$2="","",#REF!*$C$130)</f>
        <v/>
      </c>
      <c r="ED130" s="11" t="str">
        <f ca="1">IF(History!EH$2="","",#REF!*$C$130)</f>
        <v/>
      </c>
      <c r="EE130" s="11" t="str">
        <f ca="1">IF(History!EI$2="","",#REF!*$C$130)</f>
        <v/>
      </c>
      <c r="EF130" s="11" t="str">
        <f ca="1">IF(History!EJ$2="","",#REF!*$C$130)</f>
        <v/>
      </c>
      <c r="EG130" s="11" t="str">
        <f ca="1">IF(History!EK$2="","",#REF!*$C$130)</f>
        <v/>
      </c>
      <c r="EH130" s="11" t="str">
        <f ca="1">IF(History!EL$2="","",#REF!*$C$130)</f>
        <v/>
      </c>
      <c r="EI130" s="11" t="str">
        <f ca="1">IF(History!EM$2="","",#REF!*$C$130)</f>
        <v/>
      </c>
      <c r="EJ130" s="11" t="str">
        <f ca="1">IF(History!EN$2="","",#REF!*$C$130)</f>
        <v/>
      </c>
      <c r="EK130" s="11" t="str">
        <f ca="1">IF(History!EO$2="","",#REF!*$C$130)</f>
        <v/>
      </c>
      <c r="EL130" s="11" t="str">
        <f ca="1">IF(History!EP$2="","",#REF!*$C$130)</f>
        <v/>
      </c>
      <c r="EM130" s="11" t="str">
        <f ca="1">IF(History!EQ$2="","",#REF!*$C$130)</f>
        <v/>
      </c>
      <c r="EN130" s="11" t="str">
        <f ca="1">IF(History!ER$2="","",#REF!*$C$130)</f>
        <v/>
      </c>
      <c r="EO130" s="11" t="str">
        <f ca="1">IF(History!ES$2="","",#REF!*$C$130)</f>
        <v/>
      </c>
      <c r="EP130" s="11" t="str">
        <f ca="1">IF(History!ET$2="","",#REF!*$C$130)</f>
        <v/>
      </c>
      <c r="EQ130" s="11" t="str">
        <f ca="1">IF(History!EU$2="","",#REF!*$C$130)</f>
        <v/>
      </c>
      <c r="ER130" s="11" t="str">
        <f ca="1">IF(History!EV$2="","",#REF!*$C$130)</f>
        <v/>
      </c>
      <c r="ES130" s="11" t="str">
        <f ca="1">IF(History!EW$2="","",#REF!*$C$130)</f>
        <v/>
      </c>
      <c r="ET130" s="11" t="str">
        <f ca="1">IF(History!EX$2="","",#REF!*$C$130)</f>
        <v/>
      </c>
      <c r="EU130" s="11" t="str">
        <f ca="1">IF(History!EY$2="","",#REF!*$C$130)</f>
        <v/>
      </c>
      <c r="EV130" s="11" t="str">
        <f ca="1">IF(History!EZ$2="","",#REF!*$C$130)</f>
        <v/>
      </c>
      <c r="EW130" s="11" t="str">
        <f ca="1">IF(History!FA$2="","",#REF!*$C$130)</f>
        <v/>
      </c>
      <c r="EX130" s="11" t="str">
        <f ca="1">IF(History!FB$2="","",#REF!*$C$130)</f>
        <v/>
      </c>
      <c r="EY130" s="11" t="str">
        <f ca="1">IF(History!FC$2="","",#REF!*$C$130)</f>
        <v/>
      </c>
      <c r="EZ130" s="11" t="str">
        <f ca="1">IF(History!FD$2="","",#REF!*$C$130)</f>
        <v/>
      </c>
      <c r="FA130" s="11" t="str">
        <f ca="1">IF(History!FE$2="","",#REF!*$C$130)</f>
        <v/>
      </c>
      <c r="FB130" s="11" t="str">
        <f ca="1">IF(History!FF$2="","",#REF!*$C$130)</f>
        <v/>
      </c>
      <c r="FC130" s="11" t="str">
        <f ca="1">IF(History!FG$2="","",#REF!*$C$130)</f>
        <v/>
      </c>
      <c r="FD130" s="11" t="str">
        <f ca="1">IF(History!FH$2="","",#REF!*$C$130)</f>
        <v/>
      </c>
      <c r="FE130" s="11" t="str">
        <f ca="1">IF(History!FI$2="","",#REF!*$C$130)</f>
        <v/>
      </c>
      <c r="FF130" s="11" t="str">
        <f ca="1">IF(History!FJ$2="","",#REF!*$C$130)</f>
        <v/>
      </c>
      <c r="FG130" s="11" t="str">
        <f ca="1">IF(History!FK$2="","",#REF!*$C$130)</f>
        <v/>
      </c>
      <c r="FH130" s="11" t="str">
        <f ca="1">IF(History!FL$2="","",#REF!*$C$130)</f>
        <v/>
      </c>
      <c r="FI130" s="11" t="str">
        <f ca="1">IF(History!FM$2="","",#REF!*$C$130)</f>
        <v/>
      </c>
      <c r="FJ130" s="11" t="str">
        <f ca="1">IF(History!FN$2="","",#REF!*$C$130)</f>
        <v/>
      </c>
      <c r="FK130" s="11" t="str">
        <f ca="1">IF(History!FO$2="","",#REF!*$C$130)</f>
        <v/>
      </c>
      <c r="FL130" s="11" t="str">
        <f ca="1">IF(History!FP$2="","",#REF!*$C$130)</f>
        <v/>
      </c>
      <c r="FM130" s="11" t="str">
        <f ca="1">IF(History!FQ$2="","",#REF!*$C$130)</f>
        <v/>
      </c>
      <c r="FN130" s="11" t="str">
        <f ca="1">IF(History!FR$2="","",#REF!*$C$130)</f>
        <v/>
      </c>
      <c r="FO130" s="11" t="str">
        <f ca="1">IF(History!FS$2="","",#REF!*$C$130)</f>
        <v/>
      </c>
      <c r="FP130" s="11" t="str">
        <f ca="1">IF(History!FT$2="","",#REF!*$C$130)</f>
        <v/>
      </c>
      <c r="FQ130" s="11" t="str">
        <f ca="1">IF(History!FU$2="","",#REF!*$C$130)</f>
        <v/>
      </c>
      <c r="FR130" s="11" t="str">
        <f ca="1">IF(History!FV$2="","",#REF!*$C$130)</f>
        <v/>
      </c>
      <c r="FS130" s="11" t="str">
        <f ca="1">IF(History!FW$2="","",#REF!*$C$130)</f>
        <v/>
      </c>
      <c r="FT130" s="11" t="str">
        <f ca="1">IF(History!FX$2="","",#REF!*$C$130)</f>
        <v/>
      </c>
      <c r="FU130" s="11" t="str">
        <f ca="1">IF(History!FY$2="","",#REF!*$C$130)</f>
        <v/>
      </c>
      <c r="FV130" s="11" t="str">
        <f ca="1">IF(History!FZ$2="","",#REF!*$C$130)</f>
        <v/>
      </c>
      <c r="FW130" s="11" t="str">
        <f ca="1">IF(History!GA$2="","",#REF!*$C$130)</f>
        <v/>
      </c>
      <c r="FX130" s="11" t="str">
        <f ca="1">IF(History!GB$2="","",#REF!*$C$130)</f>
        <v/>
      </c>
      <c r="FY130" s="11" t="str">
        <f ca="1">IF(History!GC$2="","",#REF!*$C$130)</f>
        <v/>
      </c>
      <c r="FZ130" s="11" t="str">
        <f ca="1">IF(History!GD$2="","",#REF!*$C$130)</f>
        <v/>
      </c>
      <c r="GA130" s="11" t="str">
        <f ca="1">IF(History!GE$2="","",#REF!*$C$130)</f>
        <v/>
      </c>
      <c r="GB130" s="11" t="str">
        <f ca="1">IF(History!GF$2="","",#REF!*$C$130)</f>
        <v/>
      </c>
      <c r="GC130" s="11" t="str">
        <f ca="1">IF(History!GG$2="","",#REF!*$C$130)</f>
        <v/>
      </c>
      <c r="GD130" s="11" t="str">
        <f ca="1">IF(History!GH$2="","",#REF!*$C$130)</f>
        <v/>
      </c>
      <c r="GE130" s="11" t="str">
        <f ca="1">IF(History!GI$2="","",#REF!*$C$130)</f>
        <v/>
      </c>
      <c r="GF130" s="11" t="str">
        <f ca="1">IF(History!GJ$2="","",#REF!*$C$130)</f>
        <v/>
      </c>
      <c r="GG130" s="11" t="str">
        <f ca="1">IF(History!GK$2="","",#REF!*$C$130)</f>
        <v/>
      </c>
      <c r="GH130" s="11" t="str">
        <f ca="1">IF(History!GL$2="","",#REF!*$C$130)</f>
        <v/>
      </c>
      <c r="GI130" s="11" t="str">
        <f ca="1">IF(History!GM$2="","",#REF!*$C$130)</f>
        <v/>
      </c>
      <c r="GJ130" s="11" t="str">
        <f ca="1">IF(History!GN$2="","",#REF!*$C$130)</f>
        <v/>
      </c>
      <c r="GK130" s="11" t="str">
        <f ca="1">IF(History!GO$2="","",#REF!*$C$130)</f>
        <v/>
      </c>
      <c r="GL130" s="11" t="str">
        <f ca="1">IF(History!GP$2="","",#REF!*$C$130)</f>
        <v/>
      </c>
      <c r="GM130" s="11" t="str">
        <f ca="1">IF(History!GQ$2="","",#REF!*$C$130)</f>
        <v/>
      </c>
      <c r="GN130" s="11" t="str">
        <f ca="1">IF(History!GR$2="","",#REF!*$C$130)</f>
        <v/>
      </c>
      <c r="GO130" s="11" t="str">
        <f ca="1">IF(History!GS$2="","",#REF!*$C$130)</f>
        <v/>
      </c>
      <c r="GP130" s="11" t="str">
        <f ca="1">IF(History!GT$2="","",#REF!*$C$130)</f>
        <v/>
      </c>
      <c r="GQ130" s="11" t="str">
        <f ca="1">IF(History!GU$2="","",#REF!*$C$130)</f>
        <v/>
      </c>
      <c r="GR130" s="11" t="str">
        <f ca="1">IF(History!GV$2="","",#REF!*$C$130)</f>
        <v/>
      </c>
      <c r="GS130" s="11" t="str">
        <f ca="1">IF(History!GW$2="","",#REF!*$C$130)</f>
        <v/>
      </c>
      <c r="GT130" s="11" t="str">
        <f ca="1">IF(History!GX$2="","",#REF!*$C$130)</f>
        <v/>
      </c>
      <c r="GU130" s="11" t="str">
        <f ca="1">IF(History!GY$2="","",#REF!*$C$130)</f>
        <v/>
      </c>
      <c r="GV130" s="11" t="str">
        <f ca="1">IF(History!GZ$2="","",#REF!*$C$130)</f>
        <v/>
      </c>
      <c r="GW130" s="11" t="str">
        <f ca="1">IF(History!HA$2="","",#REF!*$C$130)</f>
        <v/>
      </c>
      <c r="GX130" s="11" t="str">
        <f ca="1">IF(History!HB$2="","",#REF!*$C$130)</f>
        <v/>
      </c>
      <c r="GY130" s="11" t="str">
        <f ca="1">IF(History!HC$2="","",#REF!*$C$130)</f>
        <v/>
      </c>
      <c r="GZ130" s="11" t="str">
        <f ca="1">IF(History!HD$2="","",#REF!*$C$130)</f>
        <v/>
      </c>
      <c r="HA130" s="11" t="str">
        <f ca="1">IF(History!HE$2="","",#REF!*$C$130)</f>
        <v/>
      </c>
      <c r="HB130" s="11" t="str">
        <f ca="1">IF(History!HF$2="","",#REF!*$C$130)</f>
        <v/>
      </c>
      <c r="HC130" s="11" t="str">
        <f ca="1">IF(History!HG$2="","",#REF!*$C$130)</f>
        <v/>
      </c>
      <c r="HD130" s="11" t="str">
        <f ca="1">IF(History!HH$2="","",#REF!*$C$130)</f>
        <v/>
      </c>
      <c r="HE130" s="11" t="str">
        <f ca="1">IF(History!HI$2="","",#REF!*$C$130)</f>
        <v/>
      </c>
      <c r="HF130" s="11" t="str">
        <f ca="1">IF(History!HJ$2="","",#REF!*$C$130)</f>
        <v/>
      </c>
      <c r="HG130" s="11" t="str">
        <f ca="1">IF(History!HK$2="","",#REF!*$C$130)</f>
        <v/>
      </c>
      <c r="HH130" s="11" t="str">
        <f ca="1">IF(History!HL$2="","",#REF!*$C$130)</f>
        <v/>
      </c>
      <c r="HI130" s="11" t="str">
        <f ca="1">IF(History!HM$2="","",#REF!*$C$130)</f>
        <v/>
      </c>
      <c r="HJ130" s="11" t="str">
        <f ca="1">IF(History!HN$2="","",#REF!*$C$130)</f>
        <v/>
      </c>
      <c r="HK130" s="11" t="str">
        <f ca="1">IF(History!HO$2="","",#REF!*$C$130)</f>
        <v/>
      </c>
      <c r="HL130" s="11" t="str">
        <f ca="1">IF(History!HP$2="","",#REF!*$C$130)</f>
        <v/>
      </c>
      <c r="HM130" s="11" t="str">
        <f ca="1">IF(History!HQ$2="","",#REF!*$C$130)</f>
        <v/>
      </c>
      <c r="HN130" s="11" t="str">
        <f ca="1">IF(History!HR$2="","",#REF!*$C$130)</f>
        <v/>
      </c>
      <c r="HO130" s="11" t="str">
        <f ca="1">IF(History!HS$2="","",#REF!*$C$130)</f>
        <v/>
      </c>
      <c r="HP130" s="11" t="str">
        <f ca="1">IF(History!HT$2="","",#REF!*$C$130)</f>
        <v/>
      </c>
      <c r="HQ130" s="11" t="str">
        <f ca="1">IF(History!HU$2="","",#REF!*$C$130)</f>
        <v/>
      </c>
      <c r="HR130" s="11" t="str">
        <f ca="1">IF(History!HV$2="","",#REF!*$C$130)</f>
        <v/>
      </c>
      <c r="HS130" s="11" t="str">
        <f ca="1">IF(History!HW$2="","",#REF!*$C$130)</f>
        <v/>
      </c>
      <c r="HT130" s="11" t="str">
        <f ca="1">IF(History!HX$2="","",#REF!*$C$130)</f>
        <v/>
      </c>
      <c r="HU130" s="11" t="str">
        <f ca="1">IF(History!HY$2="","",#REF!*$C$130)</f>
        <v/>
      </c>
      <c r="HV130" s="11" t="str">
        <f ca="1">IF(History!HZ$2="","",#REF!*$C$130)</f>
        <v/>
      </c>
      <c r="HW130" s="11" t="str">
        <f ca="1">IF(History!IA$2="","",#REF!*$C$130)</f>
        <v/>
      </c>
      <c r="HX130" s="11" t="str">
        <f ca="1">IF(History!IB$2="","",#REF!*$C$130)</f>
        <v/>
      </c>
      <c r="HY130" s="11" t="str">
        <f ca="1">IF(History!IC$2="","",#REF!*$C$130)</f>
        <v/>
      </c>
      <c r="HZ130" s="11" t="str">
        <f ca="1">IF(History!ID$2="","",#REF!*$C$130)</f>
        <v/>
      </c>
      <c r="IA130" s="11" t="str">
        <f ca="1">IF(History!IE$2="","",#REF!*$C$130)</f>
        <v/>
      </c>
      <c r="IB130" s="11" t="str">
        <f ca="1">IF(History!IF$2="","",#REF!*$C$130)</f>
        <v/>
      </c>
      <c r="IC130" s="11" t="str">
        <f ca="1">IF(History!IG$2="","",#REF!*$C$130)</f>
        <v/>
      </c>
      <c r="ID130" s="11" t="str">
        <f ca="1">IF(History!IH$2="","",#REF!*$C$130)</f>
        <v/>
      </c>
      <c r="IE130" s="11" t="str">
        <f ca="1">IF(History!II$2="","",#REF!*$C$130)</f>
        <v/>
      </c>
      <c r="IF130" s="11" t="str">
        <f ca="1">IF(History!IJ$2="","",#REF!*$C$130)</f>
        <v/>
      </c>
      <c r="IG130" s="11" t="str">
        <f ca="1">IF(History!IK$2="","",#REF!*$C$130)</f>
        <v/>
      </c>
      <c r="IH130" s="11" t="str">
        <f ca="1">IF(History!IL$2="","",#REF!*$C$130)</f>
        <v/>
      </c>
      <c r="II130" s="11" t="str">
        <f ca="1">IF(History!IM$2="","",#REF!*$C$130)</f>
        <v/>
      </c>
      <c r="IJ130" s="11" t="str">
        <f ca="1">IF(History!IN$2="","",#REF!*$C$130)</f>
        <v/>
      </c>
      <c r="IK130" s="11" t="str">
        <f ca="1">IF(History!IO$2="","",#REF!*$C$130)</f>
        <v/>
      </c>
      <c r="IL130" s="11" t="str">
        <f ca="1">IF(History!IP$2="","",#REF!*$C$130)</f>
        <v/>
      </c>
      <c r="IM130" s="11" t="str">
        <f ca="1">IF(History!IQ$2="","",#REF!*$C$130)</f>
        <v/>
      </c>
      <c r="IN130" s="11" t="str">
        <f ca="1">IF(History!IR$2="","",#REF!*$C$130)</f>
        <v/>
      </c>
      <c r="IO130" s="11" t="str">
        <f ca="1">IF(History!IS$2="","",#REF!*$C$130)</f>
        <v/>
      </c>
      <c r="IP130" s="11" t="str">
        <f ca="1">IF(History!IT$2="","",#REF!*$C$130)</f>
        <v/>
      </c>
      <c r="IQ130" s="11" t="str">
        <f ca="1">IF(History!IU$2="","",#REF!*$C$130)</f>
        <v/>
      </c>
      <c r="IR130" s="11" t="str">
        <f ca="1">IF(History!IV$2="","",#REF!*$C$130)</f>
        <v/>
      </c>
      <c r="IS130" s="11" t="str">
        <f ca="1">IF(History!IW$2="","",#REF!*$C$130)</f>
        <v/>
      </c>
      <c r="IT130" s="11" t="str">
        <f ca="1">IF(History!IX$2="","",#REF!*$C$130)</f>
        <v/>
      </c>
      <c r="IU130" s="11" t="str">
        <f ca="1">IF(History!IY$2="","",#REF!*$C$130)</f>
        <v/>
      </c>
      <c r="IV130" s="11" t="str">
        <f ca="1">IF(History!IZ$2="","",#REF!*$C$130)</f>
        <v/>
      </c>
      <c r="IW130" s="11" t="str">
        <f ca="1">IF(History!JA$2="","",#REF!*$C$130)</f>
        <v/>
      </c>
      <c r="IX130" s="11" t="str">
        <f ca="1">IF(History!JB$2="","",#REF!*$C$130)</f>
        <v/>
      </c>
      <c r="IY130" s="11" t="str">
        <f ca="1">IF(History!JC$2="","",#REF!*$C$130)</f>
        <v/>
      </c>
      <c r="IZ130" s="11" t="str">
        <f ca="1">IF(History!JD$2="","",#REF!*$C$130)</f>
        <v/>
      </c>
      <c r="JA130" s="11" t="str">
        <f ca="1">IF(History!JE$2="","",#REF!*$C$130)</f>
        <v/>
      </c>
      <c r="JB130" s="11" t="str">
        <f ca="1">IF(History!JF$2="","",#REF!*$C$130)</f>
        <v/>
      </c>
      <c r="JC130" s="11" t="str">
        <f ca="1">IF(History!JG$2="","",#REF!*$C$130)</f>
        <v/>
      </c>
      <c r="JD130" s="11" t="str">
        <f ca="1">IF(History!JH$2="","",#REF!*$C$130)</f>
        <v/>
      </c>
      <c r="JE130" s="11" t="str">
        <f ca="1">IF(History!JI$2="","",#REF!*$C$130)</f>
        <v/>
      </c>
      <c r="JF130" s="11" t="str">
        <f ca="1">IF(History!JJ$2="","",#REF!*$C$130)</f>
        <v/>
      </c>
      <c r="JG130" s="11" t="str">
        <f ca="1">IF(History!JK$2="","",#REF!*$C$130)</f>
        <v/>
      </c>
      <c r="JH130" s="11" t="str">
        <f ca="1">IF(History!JL$2="","",#REF!*$C$130)</f>
        <v/>
      </c>
      <c r="JI130" s="11" t="str">
        <f ca="1">IF(History!JM$2="","",#REF!*$C$130)</f>
        <v/>
      </c>
      <c r="JJ130" s="11" t="str">
        <f ca="1">IF(History!JN$2="","",#REF!*$C$130)</f>
        <v/>
      </c>
      <c r="JK130" s="11" t="str">
        <f ca="1">IF(History!JO$2="","",#REF!*$C$130)</f>
        <v/>
      </c>
      <c r="JL130" s="11" t="str">
        <f ca="1">IF(History!JP$2="","",#REF!*$C$130)</f>
        <v/>
      </c>
      <c r="JM130" s="11" t="str">
        <f ca="1">IF(History!JQ$2="","",#REF!*$C$130)</f>
        <v/>
      </c>
      <c r="JN130" s="11" t="str">
        <f ca="1">IF(History!JR$2="","",#REF!*$C$130)</f>
        <v/>
      </c>
      <c r="JO130" s="11" t="str">
        <f ca="1">IF(History!JS$2="","",#REF!*$C$130)</f>
        <v/>
      </c>
      <c r="JP130" s="11" t="str">
        <f ca="1">IF(History!JT$2="","",#REF!*$C$130)</f>
        <v/>
      </c>
      <c r="JQ130" s="11" t="str">
        <f ca="1">IF(History!JU$2="","",#REF!*$C$130)</f>
        <v/>
      </c>
      <c r="JR130" s="11" t="str">
        <f ca="1">IF(History!JV$2="","",#REF!*$C$130)</f>
        <v/>
      </c>
      <c r="JS130" s="11" t="str">
        <f ca="1">IF(History!JW$2="","",#REF!*$C$130)</f>
        <v/>
      </c>
      <c r="JT130" s="11" t="str">
        <f ca="1">IF(History!JX$2="","",#REF!*$C$130)</f>
        <v/>
      </c>
      <c r="JU130" s="11" t="str">
        <f ca="1">IF(History!JY$2="","",#REF!*$C$130)</f>
        <v/>
      </c>
      <c r="JV130" s="11" t="str">
        <f ca="1">IF(History!JZ$2="","",#REF!*$C$130)</f>
        <v/>
      </c>
      <c r="JW130" s="11" t="str">
        <f ca="1">IF(History!KA$2="","",#REF!*$C$130)</f>
        <v/>
      </c>
      <c r="JX130" s="11" t="str">
        <f ca="1">IF(History!KB$2="","",#REF!*$C$130)</f>
        <v/>
      </c>
      <c r="JY130" s="11" t="str">
        <f ca="1">IF(History!KC$2="","",#REF!*$C$130)</f>
        <v/>
      </c>
      <c r="JZ130" s="11" t="str">
        <f ca="1">IF(History!KD$2="","",#REF!*$C$130)</f>
        <v/>
      </c>
      <c r="KA130" s="11" t="str">
        <f ca="1">IF(History!KE$2="","",#REF!*$C$130)</f>
        <v/>
      </c>
      <c r="KB130" s="11" t="str">
        <f ca="1">IF(History!KF$2="","",#REF!*$C$130)</f>
        <v/>
      </c>
    </row>
    <row r="131" spans="1:288" ht="13">
      <c r="A131" s="2" t="s">
        <v>40</v>
      </c>
      <c r="B131" s="32" t="s">
        <v>26</v>
      </c>
      <c r="C131" s="33">
        <v>558</v>
      </c>
      <c r="D131" s="11" t="e">
        <f ca="1">IF(History!H$2="","",#REF!*$C$131)</f>
        <v>#REF!</v>
      </c>
      <c r="E131" s="11" t="e">
        <f ca="1">IF(History!I$2="","",#REF!*$C$131)</f>
        <v>#REF!</v>
      </c>
      <c r="F131" s="11" t="e">
        <f ca="1">IF(History!J$2="","",#REF!*$C$131)</f>
        <v>#REF!</v>
      </c>
      <c r="G131" s="11" t="e">
        <f ca="1">IF(History!K$2="","",#REF!*$C$131)</f>
        <v>#REF!</v>
      </c>
      <c r="H131" s="11" t="e">
        <f ca="1">IF(History!L$2="","",#REF!*$C$131)</f>
        <v>#REF!</v>
      </c>
      <c r="I131" s="11" t="e">
        <f ca="1">IF(History!M$2="","",#REF!*$C$131)</f>
        <v>#REF!</v>
      </c>
      <c r="J131" s="11" t="e">
        <f ca="1">IF(History!N$2="","",#REF!*$C$131)</f>
        <v>#REF!</v>
      </c>
      <c r="K131" s="11" t="e">
        <f ca="1">IF(History!O$2="","",#REF!*$C$131)</f>
        <v>#REF!</v>
      </c>
      <c r="L131" s="11" t="e">
        <f ca="1">IF(History!P$2="","",#REF!*$C$131)</f>
        <v>#REF!</v>
      </c>
      <c r="M131" s="11" t="e">
        <f ca="1">IF(History!Q$2="","",#REF!*$C$131)</f>
        <v>#REF!</v>
      </c>
      <c r="N131" s="11" t="e">
        <f ca="1">IF(History!R$2="","",#REF!*$C$131)</f>
        <v>#REF!</v>
      </c>
      <c r="O131" s="11" t="e">
        <f ca="1">IF(History!S$2="","",#REF!*$C$131)</f>
        <v>#REF!</v>
      </c>
      <c r="P131" s="11" t="e">
        <f ca="1">IF(History!T$2="","",#REF!*$C$131)</f>
        <v>#REF!</v>
      </c>
      <c r="Q131" s="11" t="e">
        <f ca="1">IF(History!U$2="","",#REF!*$C$131)</f>
        <v>#REF!</v>
      </c>
      <c r="R131" s="11" t="e">
        <f ca="1">IF(History!V$2="","",#REF!*$C$131)</f>
        <v>#REF!</v>
      </c>
      <c r="S131" s="11" t="e">
        <f ca="1">IF(History!W$2="","",#REF!*$C$131)</f>
        <v>#REF!</v>
      </c>
      <c r="T131" s="11" t="e">
        <f ca="1">IF(History!X$2="","",#REF!*$C$131)</f>
        <v>#REF!</v>
      </c>
      <c r="U131" s="11" t="e">
        <f ca="1">IF(History!Y$2="","",#REF!*$C$131)</f>
        <v>#REF!</v>
      </c>
      <c r="V131" s="11" t="e">
        <f ca="1">IF(History!Z$2="","",#REF!*$C$131)</f>
        <v>#REF!</v>
      </c>
      <c r="W131" s="11" t="e">
        <f ca="1">IF(History!AA$2="","",#REF!*$C$131)</f>
        <v>#REF!</v>
      </c>
      <c r="X131" s="11" t="e">
        <f ca="1">IF(History!AB$2="","",#REF!*$C$131)</f>
        <v>#REF!</v>
      </c>
      <c r="Y131" s="11" t="e">
        <f ca="1">IF(History!AC$2="","",#REF!*$C$131)</f>
        <v>#REF!</v>
      </c>
      <c r="Z131" s="11" t="e">
        <f ca="1">IF(History!AD$2="","",#REF!*$C$131)</f>
        <v>#REF!</v>
      </c>
      <c r="AA131" s="11" t="e">
        <f ca="1">IF(History!AE$2="","",#REF!*$C$131)</f>
        <v>#REF!</v>
      </c>
      <c r="AB131" s="11" t="e">
        <f ca="1">IF(History!AF$2="","",#REF!*$C$131)</f>
        <v>#REF!</v>
      </c>
      <c r="AC131" s="11" t="e">
        <f ca="1">IF(History!AG$2="","",#REF!*$C$131)</f>
        <v>#REF!</v>
      </c>
      <c r="AD131" s="11" t="e">
        <f ca="1">IF(History!AH$2="","",#REF!*$C$131)</f>
        <v>#REF!</v>
      </c>
      <c r="AE131" s="11" t="e">
        <f ca="1">IF(History!AI$2="","",#REF!*$C$131)</f>
        <v>#REF!</v>
      </c>
      <c r="AF131" s="11" t="e">
        <f ca="1">IF(History!AJ$2="","",#REF!*$C$131)</f>
        <v>#REF!</v>
      </c>
      <c r="AG131" s="11" t="e">
        <f ca="1">IF(History!AK$2="","",#REF!*$C$131)</f>
        <v>#REF!</v>
      </c>
      <c r="AH131" s="11" t="e">
        <f ca="1">IF(History!AL$2="","",#REF!*$C$131)</f>
        <v>#REF!</v>
      </c>
      <c r="AI131" s="11" t="e">
        <f ca="1">IF(History!AM$2="","",#REF!*$C$131)</f>
        <v>#REF!</v>
      </c>
      <c r="AJ131" s="11" t="e">
        <f ca="1">IF(History!AN$2="","",#REF!*$C$131)</f>
        <v>#REF!</v>
      </c>
      <c r="AK131" s="11" t="e">
        <f ca="1">IF(History!AO$2="","",#REF!*$C$131)</f>
        <v>#REF!</v>
      </c>
      <c r="AL131" s="11" t="e">
        <f ca="1">IF(History!AP$2="","",#REF!*$C$131)</f>
        <v>#REF!</v>
      </c>
      <c r="AM131" s="11" t="e">
        <f ca="1">IF(History!AQ$2="","",#REF!*$C$131)</f>
        <v>#REF!</v>
      </c>
      <c r="AN131" s="11" t="e">
        <f ca="1">IF(History!AR$2="","",#REF!*$C$131)</f>
        <v>#REF!</v>
      </c>
      <c r="AO131" s="11" t="e">
        <f ca="1">IF(History!AS$2="","",#REF!*$C$131)</f>
        <v>#REF!</v>
      </c>
      <c r="AP131" s="11" t="e">
        <f ca="1">IF(History!AT$2="","",#REF!*$C$131)</f>
        <v>#REF!</v>
      </c>
      <c r="AQ131" s="11" t="e">
        <f ca="1">IF(History!AU$2="","",#REF!*$C$131)</f>
        <v>#REF!</v>
      </c>
      <c r="AR131" s="11" t="e">
        <f ca="1">IF(History!AV$2="","",#REF!*$C$131)</f>
        <v>#REF!</v>
      </c>
      <c r="AS131" s="11" t="e">
        <f ca="1">IF(History!AW$2="","",#REF!*$C$131)</f>
        <v>#REF!</v>
      </c>
      <c r="AT131" s="11" t="e">
        <f ca="1">IF(History!AX$2="","",#REF!*$C$131)</f>
        <v>#REF!</v>
      </c>
      <c r="AU131" s="11" t="e">
        <f ca="1">IF(History!AY$2="","",#REF!*$C$131)</f>
        <v>#REF!</v>
      </c>
      <c r="AV131" s="11" t="e">
        <f ca="1">IF(History!AZ$2="","",#REF!*$C$131)</f>
        <v>#REF!</v>
      </c>
      <c r="AW131" s="11" t="e">
        <f ca="1">IF(History!BA$2="","",#REF!*$C$131)</f>
        <v>#REF!</v>
      </c>
      <c r="AX131" s="11" t="e">
        <f ca="1">IF(History!BB$2="","",#REF!*$C$131)</f>
        <v>#REF!</v>
      </c>
      <c r="AY131" s="11" t="e">
        <f ca="1">IF(History!BC$2="","",#REF!*$C$131)</f>
        <v>#REF!</v>
      </c>
      <c r="AZ131" s="11" t="e">
        <f ca="1">IF(History!BD$2="","",#REF!*$C$131)</f>
        <v>#REF!</v>
      </c>
      <c r="BA131" s="11" t="e">
        <f ca="1">IF(History!BE$2="","",#REF!*$C$131)</f>
        <v>#REF!</v>
      </c>
      <c r="BB131" s="11" t="e">
        <f ca="1">IF(History!BF$2="","",#REF!*$C$131)</f>
        <v>#REF!</v>
      </c>
      <c r="BC131" s="11" t="e">
        <f ca="1">IF(History!BG$2="","",#REF!*$C$131)</f>
        <v>#REF!</v>
      </c>
      <c r="BD131" s="11" t="e">
        <f ca="1">IF(History!BH$2="","",#REF!*$C$131)</f>
        <v>#REF!</v>
      </c>
      <c r="BE131" s="11" t="e">
        <f ca="1">IF(History!BI$2="","",#REF!*$C$131)</f>
        <v>#REF!</v>
      </c>
      <c r="BF131" s="11" t="e">
        <f ca="1">IF(History!BJ$2="","",#REF!*$C$131)</f>
        <v>#REF!</v>
      </c>
      <c r="BG131" s="11" t="e">
        <f ca="1">IF(History!BK$2="","",#REF!*$C$131)</f>
        <v>#REF!</v>
      </c>
      <c r="BH131" s="11" t="e">
        <f ca="1">IF(History!BL$2="","",#REF!*$C$131)</f>
        <v>#REF!</v>
      </c>
      <c r="BI131" s="11" t="e">
        <f ca="1">IF(History!BM$2="","",#REF!*$C$131)</f>
        <v>#REF!</v>
      </c>
      <c r="BJ131" s="11" t="e">
        <f ca="1">IF(History!BN$2="","",#REF!*$C$131)</f>
        <v>#REF!</v>
      </c>
      <c r="BK131" s="11" t="e">
        <f ca="1">IF(History!BO$2="","",#REF!*$C$131)</f>
        <v>#REF!</v>
      </c>
      <c r="BL131" s="11" t="e">
        <f ca="1">IF(History!BP$2="","",#REF!*$C$131)</f>
        <v>#REF!</v>
      </c>
      <c r="BM131" s="11" t="e">
        <f ca="1">IF(History!BQ$2="","",#REF!*$C$131)</f>
        <v>#REF!</v>
      </c>
      <c r="BN131" s="11" t="e">
        <f ca="1">IF(History!BR$2="","",#REF!*$C$131)</f>
        <v>#REF!</v>
      </c>
      <c r="BO131" s="11" t="e">
        <f ca="1">IF(History!BS$2="","",#REF!*$C$131)</f>
        <v>#REF!</v>
      </c>
      <c r="BP131" s="11" t="e">
        <f ca="1">IF(History!BT$2="","",#REF!*$C$131)</f>
        <v>#REF!</v>
      </c>
      <c r="BQ131" s="11" t="e">
        <f ca="1">IF(History!BU$2="","",#REF!*$C$131)</f>
        <v>#REF!</v>
      </c>
      <c r="BR131" s="11" t="e">
        <f ca="1">IF(History!BV$2="","",#REF!*$C$131)</f>
        <v>#REF!</v>
      </c>
      <c r="BS131" s="11" t="e">
        <f ca="1">IF(History!BW$2="","",#REF!*$C$131)</f>
        <v>#REF!</v>
      </c>
      <c r="BT131" s="11" t="e">
        <f ca="1">IF(History!BX$2="","",#REF!*$C$131)</f>
        <v>#REF!</v>
      </c>
      <c r="BU131" s="11" t="e">
        <f ca="1">IF(History!BY$2="","",#REF!*$C$131)</f>
        <v>#REF!</v>
      </c>
      <c r="BV131" s="11" t="e">
        <f ca="1">IF(History!BZ$2="","",#REF!*$C$131)</f>
        <v>#REF!</v>
      </c>
      <c r="BW131" s="11" t="e">
        <f ca="1">IF(History!CA$2="","",#REF!*$C$131)</f>
        <v>#REF!</v>
      </c>
      <c r="BX131" s="11" t="e">
        <f ca="1">IF(History!CB$2="","",#REF!*$C$131)</f>
        <v>#REF!</v>
      </c>
      <c r="BY131" s="11" t="e">
        <f ca="1">IF(History!CC$2="","",#REF!*$C$131)</f>
        <v>#REF!</v>
      </c>
      <c r="BZ131" s="11" t="e">
        <f ca="1">IF(History!CD$2="","",#REF!*$C$131)</f>
        <v>#REF!</v>
      </c>
      <c r="CA131" s="11" t="e">
        <f ca="1">IF(History!CE$2="","",#REF!*$C$131)</f>
        <v>#REF!</v>
      </c>
      <c r="CB131" s="11" t="e">
        <f ca="1">IF(History!CF$2="","",#REF!*$C$131)</f>
        <v>#REF!</v>
      </c>
      <c r="CC131" s="11" t="e">
        <f ca="1">IF(History!CG$2="","",#REF!*$C$131)</f>
        <v>#REF!</v>
      </c>
      <c r="CD131" s="11" t="e">
        <f ca="1">IF(History!CH$2="","",#REF!*$C$131)</f>
        <v>#REF!</v>
      </c>
      <c r="CE131" s="11" t="e">
        <f ca="1">IF(History!CI$2="","",#REF!*$C$131)</f>
        <v>#REF!</v>
      </c>
      <c r="CF131" s="11" t="str">
        <f ca="1">IF(History!CJ$2="","",#REF!*$C$131)</f>
        <v/>
      </c>
      <c r="CG131" s="11" t="str">
        <f ca="1">IF(History!CK$2="","",#REF!*$C$131)</f>
        <v/>
      </c>
      <c r="CH131" s="11" t="str">
        <f ca="1">IF(History!CL$2="","",#REF!*$C$131)</f>
        <v/>
      </c>
      <c r="CI131" s="11" t="str">
        <f ca="1">IF(History!CM$2="","",#REF!*$C$131)</f>
        <v/>
      </c>
      <c r="CJ131" s="11" t="str">
        <f ca="1">IF(History!CN$2="","",#REF!*$C$131)</f>
        <v/>
      </c>
      <c r="CK131" s="11" t="str">
        <f ca="1">IF(History!CO$2="","",#REF!*$C$131)</f>
        <v/>
      </c>
      <c r="CL131" s="11" t="str">
        <f ca="1">IF(History!CP$2="","",#REF!*$C$131)</f>
        <v/>
      </c>
      <c r="CM131" s="11" t="str">
        <f ca="1">IF(History!CQ$2="","",#REF!*$C$131)</f>
        <v/>
      </c>
      <c r="CN131" s="11" t="str">
        <f ca="1">IF(History!CR$2="","",#REF!*$C$131)</f>
        <v/>
      </c>
      <c r="CO131" s="11" t="str">
        <f ca="1">IF(History!CS$2="","",#REF!*$C$131)</f>
        <v/>
      </c>
      <c r="CP131" s="11" t="str">
        <f ca="1">IF(History!CT$2="","",#REF!*$C$131)</f>
        <v/>
      </c>
      <c r="CQ131" s="11" t="str">
        <f ca="1">IF(History!CU$2="","",#REF!*$C$131)</f>
        <v/>
      </c>
      <c r="CR131" s="11" t="str">
        <f ca="1">IF(History!CV$2="","",#REF!*$C$131)</f>
        <v/>
      </c>
      <c r="CS131" s="11" t="str">
        <f ca="1">IF(History!CW$2="","",#REF!*$C$131)</f>
        <v/>
      </c>
      <c r="CT131" s="11" t="str">
        <f ca="1">IF(History!CX$2="","",#REF!*$C$131)</f>
        <v/>
      </c>
      <c r="CU131" s="11" t="str">
        <f ca="1">IF(History!CY$2="","",#REF!*$C$131)</f>
        <v/>
      </c>
      <c r="CV131" s="11" t="str">
        <f ca="1">IF(History!CZ$2="","",#REF!*$C$131)</f>
        <v/>
      </c>
      <c r="CW131" s="11" t="str">
        <f ca="1">IF(History!DA$2="","",#REF!*$C$131)</f>
        <v/>
      </c>
      <c r="CX131" s="11" t="str">
        <f ca="1">IF(History!DB$2="","",#REF!*$C$131)</f>
        <v/>
      </c>
      <c r="CY131" s="11" t="str">
        <f ca="1">IF(History!DC$2="","",#REF!*$C$131)</f>
        <v/>
      </c>
      <c r="CZ131" s="11" t="str">
        <f ca="1">IF(History!DD$2="","",#REF!*$C$131)</f>
        <v/>
      </c>
      <c r="DA131" s="11" t="str">
        <f ca="1">IF(History!DE$2="","",#REF!*$C$131)</f>
        <v/>
      </c>
      <c r="DB131" s="11" t="str">
        <f ca="1">IF(History!DF$2="","",#REF!*$C$131)</f>
        <v/>
      </c>
      <c r="DC131" s="11" t="str">
        <f ca="1">IF(History!DG$2="","",#REF!*$C$131)</f>
        <v/>
      </c>
      <c r="DD131" s="11" t="str">
        <f ca="1">IF(History!DH$2="","",#REF!*$C$131)</f>
        <v/>
      </c>
      <c r="DE131" s="11" t="str">
        <f ca="1">IF(History!DI$2="","",#REF!*$C$131)</f>
        <v/>
      </c>
      <c r="DF131" s="11" t="str">
        <f ca="1">IF(History!DJ$2="","",#REF!*$C$131)</f>
        <v/>
      </c>
      <c r="DG131" s="11" t="str">
        <f ca="1">IF(History!DK$2="","",#REF!*$C$131)</f>
        <v/>
      </c>
      <c r="DH131" s="11" t="str">
        <f ca="1">IF(History!DL$2="","",#REF!*$C$131)</f>
        <v/>
      </c>
      <c r="DI131" s="11" t="str">
        <f ca="1">IF(History!DM$2="","",#REF!*$C$131)</f>
        <v/>
      </c>
      <c r="DJ131" s="11" t="str">
        <f ca="1">IF(History!DN$2="","",#REF!*$C$131)</f>
        <v/>
      </c>
      <c r="DK131" s="11" t="str">
        <f ca="1">IF(History!DO$2="","",#REF!*$C$131)</f>
        <v/>
      </c>
      <c r="DL131" s="11" t="str">
        <f ca="1">IF(History!DP$2="","",#REF!*$C$131)</f>
        <v/>
      </c>
      <c r="DM131" s="11" t="str">
        <f ca="1">IF(History!DQ$2="","",#REF!*$C$131)</f>
        <v/>
      </c>
      <c r="DN131" s="11" t="str">
        <f ca="1">IF(History!DR$2="","",#REF!*$C$131)</f>
        <v/>
      </c>
      <c r="DO131" s="11" t="str">
        <f ca="1">IF(History!DS$2="","",#REF!*$C$131)</f>
        <v/>
      </c>
      <c r="DP131" s="11" t="str">
        <f ca="1">IF(History!DT$2="","",#REF!*$C$131)</f>
        <v/>
      </c>
      <c r="DQ131" s="11" t="str">
        <f ca="1">IF(History!DU$2="","",#REF!*$C$131)</f>
        <v/>
      </c>
      <c r="DR131" s="11" t="str">
        <f ca="1">IF(History!DV$2="","",#REF!*$C$131)</f>
        <v/>
      </c>
      <c r="DS131" s="11" t="str">
        <f ca="1">IF(History!DW$2="","",#REF!*$C$131)</f>
        <v/>
      </c>
      <c r="DT131" s="11" t="str">
        <f ca="1">IF(History!DX$2="","",#REF!*$C$131)</f>
        <v/>
      </c>
      <c r="DU131" s="11" t="str">
        <f ca="1">IF(History!DY$2="","",#REF!*$C$131)</f>
        <v/>
      </c>
      <c r="DV131" s="11" t="str">
        <f ca="1">IF(History!DZ$2="","",#REF!*$C$131)</f>
        <v/>
      </c>
      <c r="DW131" s="11" t="str">
        <f ca="1">IF(History!EA$2="","",#REF!*$C$131)</f>
        <v/>
      </c>
      <c r="DX131" s="11" t="str">
        <f ca="1">IF(History!EB$2="","",#REF!*$C$131)</f>
        <v/>
      </c>
      <c r="DY131" s="11" t="str">
        <f ca="1">IF(History!EC$2="","",#REF!*$C$131)</f>
        <v/>
      </c>
      <c r="DZ131" s="11" t="str">
        <f ca="1">IF(History!ED$2="","",#REF!*$C$131)</f>
        <v/>
      </c>
      <c r="EA131" s="11" t="str">
        <f ca="1">IF(History!EE$2="","",#REF!*$C$131)</f>
        <v/>
      </c>
      <c r="EB131" s="11" t="str">
        <f ca="1">IF(History!EF$2="","",#REF!*$C$131)</f>
        <v/>
      </c>
      <c r="EC131" s="11" t="str">
        <f ca="1">IF(History!EG$2="","",#REF!*$C$131)</f>
        <v/>
      </c>
      <c r="ED131" s="11" t="str">
        <f ca="1">IF(History!EH$2="","",#REF!*$C$131)</f>
        <v/>
      </c>
      <c r="EE131" s="11" t="str">
        <f ca="1">IF(History!EI$2="","",#REF!*$C$131)</f>
        <v/>
      </c>
      <c r="EF131" s="11" t="str">
        <f ca="1">IF(History!EJ$2="","",#REF!*$C$131)</f>
        <v/>
      </c>
      <c r="EG131" s="11" t="str">
        <f ca="1">IF(History!EK$2="","",#REF!*$C$131)</f>
        <v/>
      </c>
      <c r="EH131" s="11" t="str">
        <f ca="1">IF(History!EL$2="","",#REF!*$C$131)</f>
        <v/>
      </c>
      <c r="EI131" s="11" t="str">
        <f ca="1">IF(History!EM$2="","",#REF!*$C$131)</f>
        <v/>
      </c>
      <c r="EJ131" s="11" t="str">
        <f ca="1">IF(History!EN$2="","",#REF!*$C$131)</f>
        <v/>
      </c>
      <c r="EK131" s="11" t="str">
        <f ca="1">IF(History!EO$2="","",#REF!*$C$131)</f>
        <v/>
      </c>
      <c r="EL131" s="11" t="str">
        <f ca="1">IF(History!EP$2="","",#REF!*$C$131)</f>
        <v/>
      </c>
      <c r="EM131" s="11" t="str">
        <f ca="1">IF(History!EQ$2="","",#REF!*$C$131)</f>
        <v/>
      </c>
      <c r="EN131" s="11" t="str">
        <f ca="1">IF(History!ER$2="","",#REF!*$C$131)</f>
        <v/>
      </c>
      <c r="EO131" s="11" t="str">
        <f ca="1">IF(History!ES$2="","",#REF!*$C$131)</f>
        <v/>
      </c>
      <c r="EP131" s="11" t="str">
        <f ca="1">IF(History!ET$2="","",#REF!*$C$131)</f>
        <v/>
      </c>
      <c r="EQ131" s="11" t="str">
        <f ca="1">IF(History!EU$2="","",#REF!*$C$131)</f>
        <v/>
      </c>
      <c r="ER131" s="11" t="str">
        <f ca="1">IF(History!EV$2="","",#REF!*$C$131)</f>
        <v/>
      </c>
      <c r="ES131" s="11" t="str">
        <f ca="1">IF(History!EW$2="","",#REF!*$C$131)</f>
        <v/>
      </c>
      <c r="ET131" s="11" t="str">
        <f ca="1">IF(History!EX$2="","",#REF!*$C$131)</f>
        <v/>
      </c>
      <c r="EU131" s="11" t="str">
        <f ca="1">IF(History!EY$2="","",#REF!*$C$131)</f>
        <v/>
      </c>
      <c r="EV131" s="11" t="str">
        <f ca="1">IF(History!EZ$2="","",#REF!*$C$131)</f>
        <v/>
      </c>
      <c r="EW131" s="11" t="str">
        <f ca="1">IF(History!FA$2="","",#REF!*$C$131)</f>
        <v/>
      </c>
      <c r="EX131" s="11" t="str">
        <f ca="1">IF(History!FB$2="","",#REF!*$C$131)</f>
        <v/>
      </c>
      <c r="EY131" s="11" t="str">
        <f ca="1">IF(History!FC$2="","",#REF!*$C$131)</f>
        <v/>
      </c>
      <c r="EZ131" s="11" t="str">
        <f ca="1">IF(History!FD$2="","",#REF!*$C$131)</f>
        <v/>
      </c>
      <c r="FA131" s="11" t="str">
        <f ca="1">IF(History!FE$2="","",#REF!*$C$131)</f>
        <v/>
      </c>
      <c r="FB131" s="11" t="str">
        <f ca="1">IF(History!FF$2="","",#REF!*$C$131)</f>
        <v/>
      </c>
      <c r="FC131" s="11" t="str">
        <f ca="1">IF(History!FG$2="","",#REF!*$C$131)</f>
        <v/>
      </c>
      <c r="FD131" s="11" t="str">
        <f ca="1">IF(History!FH$2="","",#REF!*$C$131)</f>
        <v/>
      </c>
      <c r="FE131" s="11" t="str">
        <f ca="1">IF(History!FI$2="","",#REF!*$C$131)</f>
        <v/>
      </c>
      <c r="FF131" s="11" t="str">
        <f ca="1">IF(History!FJ$2="","",#REF!*$C$131)</f>
        <v/>
      </c>
      <c r="FG131" s="11" t="str">
        <f ca="1">IF(History!FK$2="","",#REF!*$C$131)</f>
        <v/>
      </c>
      <c r="FH131" s="11" t="str">
        <f ca="1">IF(History!FL$2="","",#REF!*$C$131)</f>
        <v/>
      </c>
      <c r="FI131" s="11" t="str">
        <f ca="1">IF(History!FM$2="","",#REF!*$C$131)</f>
        <v/>
      </c>
      <c r="FJ131" s="11" t="str">
        <f ca="1">IF(History!FN$2="","",#REF!*$C$131)</f>
        <v/>
      </c>
      <c r="FK131" s="11" t="str">
        <f ca="1">IF(History!FO$2="","",#REF!*$C$131)</f>
        <v/>
      </c>
      <c r="FL131" s="11" t="str">
        <f ca="1">IF(History!FP$2="","",#REF!*$C$131)</f>
        <v/>
      </c>
      <c r="FM131" s="11" t="str">
        <f ca="1">IF(History!FQ$2="","",#REF!*$C$131)</f>
        <v/>
      </c>
      <c r="FN131" s="11" t="str">
        <f ca="1">IF(History!FR$2="","",#REF!*$C$131)</f>
        <v/>
      </c>
      <c r="FO131" s="11" t="str">
        <f ca="1">IF(History!FS$2="","",#REF!*$C$131)</f>
        <v/>
      </c>
      <c r="FP131" s="11" t="str">
        <f ca="1">IF(History!FT$2="","",#REF!*$C$131)</f>
        <v/>
      </c>
      <c r="FQ131" s="11" t="str">
        <f ca="1">IF(History!FU$2="","",#REF!*$C$131)</f>
        <v/>
      </c>
      <c r="FR131" s="11" t="str">
        <f ca="1">IF(History!FV$2="","",#REF!*$C$131)</f>
        <v/>
      </c>
      <c r="FS131" s="11" t="str">
        <f ca="1">IF(History!FW$2="","",#REF!*$C$131)</f>
        <v/>
      </c>
      <c r="FT131" s="11" t="str">
        <f ca="1">IF(History!FX$2="","",#REF!*$C$131)</f>
        <v/>
      </c>
      <c r="FU131" s="11" t="str">
        <f ca="1">IF(History!FY$2="","",#REF!*$C$131)</f>
        <v/>
      </c>
      <c r="FV131" s="11" t="str">
        <f ca="1">IF(History!FZ$2="","",#REF!*$C$131)</f>
        <v/>
      </c>
      <c r="FW131" s="11" t="str">
        <f ca="1">IF(History!GA$2="","",#REF!*$C$131)</f>
        <v/>
      </c>
      <c r="FX131" s="11" t="str">
        <f ca="1">IF(History!GB$2="","",#REF!*$C$131)</f>
        <v/>
      </c>
      <c r="FY131" s="11" t="str">
        <f ca="1">IF(History!GC$2="","",#REF!*$C$131)</f>
        <v/>
      </c>
      <c r="FZ131" s="11" t="str">
        <f ca="1">IF(History!GD$2="","",#REF!*$C$131)</f>
        <v/>
      </c>
      <c r="GA131" s="11" t="str">
        <f ca="1">IF(History!GE$2="","",#REF!*$C$131)</f>
        <v/>
      </c>
      <c r="GB131" s="11" t="str">
        <f ca="1">IF(History!GF$2="","",#REF!*$C$131)</f>
        <v/>
      </c>
      <c r="GC131" s="11" t="str">
        <f ca="1">IF(History!GG$2="","",#REF!*$C$131)</f>
        <v/>
      </c>
      <c r="GD131" s="11" t="str">
        <f ca="1">IF(History!GH$2="","",#REF!*$C$131)</f>
        <v/>
      </c>
      <c r="GE131" s="11" t="str">
        <f ca="1">IF(History!GI$2="","",#REF!*$C$131)</f>
        <v/>
      </c>
      <c r="GF131" s="11" t="str">
        <f ca="1">IF(History!GJ$2="","",#REF!*$C$131)</f>
        <v/>
      </c>
      <c r="GG131" s="11" t="str">
        <f ca="1">IF(History!GK$2="","",#REF!*$C$131)</f>
        <v/>
      </c>
      <c r="GH131" s="11" t="str">
        <f ca="1">IF(History!GL$2="","",#REF!*$C$131)</f>
        <v/>
      </c>
      <c r="GI131" s="11" t="str">
        <f ca="1">IF(History!GM$2="","",#REF!*$C$131)</f>
        <v/>
      </c>
      <c r="GJ131" s="11" t="str">
        <f ca="1">IF(History!GN$2="","",#REF!*$C$131)</f>
        <v/>
      </c>
      <c r="GK131" s="11" t="str">
        <f ca="1">IF(History!GO$2="","",#REF!*$C$131)</f>
        <v/>
      </c>
      <c r="GL131" s="11" t="str">
        <f ca="1">IF(History!GP$2="","",#REF!*$C$131)</f>
        <v/>
      </c>
      <c r="GM131" s="11" t="str">
        <f ca="1">IF(History!GQ$2="","",#REF!*$C$131)</f>
        <v/>
      </c>
      <c r="GN131" s="11" t="str">
        <f ca="1">IF(History!GR$2="","",#REF!*$C$131)</f>
        <v/>
      </c>
      <c r="GO131" s="11" t="str">
        <f ca="1">IF(History!GS$2="","",#REF!*$C$131)</f>
        <v/>
      </c>
      <c r="GP131" s="11" t="str">
        <f ca="1">IF(History!GT$2="","",#REF!*$C$131)</f>
        <v/>
      </c>
      <c r="GQ131" s="11" t="str">
        <f ca="1">IF(History!GU$2="","",#REF!*$C$131)</f>
        <v/>
      </c>
      <c r="GR131" s="11" t="str">
        <f ca="1">IF(History!GV$2="","",#REF!*$C$131)</f>
        <v/>
      </c>
      <c r="GS131" s="11" t="str">
        <f ca="1">IF(History!GW$2="","",#REF!*$C$131)</f>
        <v/>
      </c>
      <c r="GT131" s="11" t="str">
        <f ca="1">IF(History!GX$2="","",#REF!*$C$131)</f>
        <v/>
      </c>
      <c r="GU131" s="11" t="str">
        <f ca="1">IF(History!GY$2="","",#REF!*$C$131)</f>
        <v/>
      </c>
      <c r="GV131" s="11" t="str">
        <f ca="1">IF(History!GZ$2="","",#REF!*$C$131)</f>
        <v/>
      </c>
      <c r="GW131" s="11" t="str">
        <f ca="1">IF(History!HA$2="","",#REF!*$C$131)</f>
        <v/>
      </c>
      <c r="GX131" s="11" t="str">
        <f ca="1">IF(History!HB$2="","",#REF!*$C$131)</f>
        <v/>
      </c>
      <c r="GY131" s="11" t="str">
        <f ca="1">IF(History!HC$2="","",#REF!*$C$131)</f>
        <v/>
      </c>
      <c r="GZ131" s="11" t="str">
        <f ca="1">IF(History!HD$2="","",#REF!*$C$131)</f>
        <v/>
      </c>
      <c r="HA131" s="11" t="str">
        <f ca="1">IF(History!HE$2="","",#REF!*$C$131)</f>
        <v/>
      </c>
      <c r="HB131" s="11" t="str">
        <f ca="1">IF(History!HF$2="","",#REF!*$C$131)</f>
        <v/>
      </c>
      <c r="HC131" s="11" t="str">
        <f ca="1">IF(History!HG$2="","",#REF!*$C$131)</f>
        <v/>
      </c>
      <c r="HD131" s="11" t="str">
        <f ca="1">IF(History!HH$2="","",#REF!*$C$131)</f>
        <v/>
      </c>
      <c r="HE131" s="11" t="str">
        <f ca="1">IF(History!HI$2="","",#REF!*$C$131)</f>
        <v/>
      </c>
      <c r="HF131" s="11" t="str">
        <f ca="1">IF(History!HJ$2="","",#REF!*$C$131)</f>
        <v/>
      </c>
      <c r="HG131" s="11" t="str">
        <f ca="1">IF(History!HK$2="","",#REF!*$C$131)</f>
        <v/>
      </c>
      <c r="HH131" s="11" t="str">
        <f ca="1">IF(History!HL$2="","",#REF!*$C$131)</f>
        <v/>
      </c>
      <c r="HI131" s="11" t="str">
        <f ca="1">IF(History!HM$2="","",#REF!*$C$131)</f>
        <v/>
      </c>
      <c r="HJ131" s="11" t="str">
        <f ca="1">IF(History!HN$2="","",#REF!*$C$131)</f>
        <v/>
      </c>
      <c r="HK131" s="11" t="str">
        <f ca="1">IF(History!HO$2="","",#REF!*$C$131)</f>
        <v/>
      </c>
      <c r="HL131" s="11" t="str">
        <f ca="1">IF(History!HP$2="","",#REF!*$C$131)</f>
        <v/>
      </c>
      <c r="HM131" s="11" t="str">
        <f ca="1">IF(History!HQ$2="","",#REF!*$C$131)</f>
        <v/>
      </c>
      <c r="HN131" s="11" t="str">
        <f ca="1">IF(History!HR$2="","",#REF!*$C$131)</f>
        <v/>
      </c>
      <c r="HO131" s="11" t="str">
        <f ca="1">IF(History!HS$2="","",#REF!*$C$131)</f>
        <v/>
      </c>
      <c r="HP131" s="11" t="str">
        <f ca="1">IF(History!HT$2="","",#REF!*$C$131)</f>
        <v/>
      </c>
      <c r="HQ131" s="11" t="str">
        <f ca="1">IF(History!HU$2="","",#REF!*$C$131)</f>
        <v/>
      </c>
      <c r="HR131" s="11" t="str">
        <f ca="1">IF(History!HV$2="","",#REF!*$C$131)</f>
        <v/>
      </c>
      <c r="HS131" s="11" t="str">
        <f ca="1">IF(History!HW$2="","",#REF!*$C$131)</f>
        <v/>
      </c>
      <c r="HT131" s="11" t="str">
        <f ca="1">IF(History!HX$2="","",#REF!*$C$131)</f>
        <v/>
      </c>
      <c r="HU131" s="11" t="str">
        <f ca="1">IF(History!HY$2="","",#REF!*$C$131)</f>
        <v/>
      </c>
      <c r="HV131" s="11" t="str">
        <f ca="1">IF(History!HZ$2="","",#REF!*$C$131)</f>
        <v/>
      </c>
      <c r="HW131" s="11" t="str">
        <f ca="1">IF(History!IA$2="","",#REF!*$C$131)</f>
        <v/>
      </c>
      <c r="HX131" s="11" t="str">
        <f ca="1">IF(History!IB$2="","",#REF!*$C$131)</f>
        <v/>
      </c>
      <c r="HY131" s="11" t="str">
        <f ca="1">IF(History!IC$2="","",#REF!*$C$131)</f>
        <v/>
      </c>
      <c r="HZ131" s="11" t="str">
        <f ca="1">IF(History!ID$2="","",#REF!*$C$131)</f>
        <v/>
      </c>
      <c r="IA131" s="11" t="str">
        <f ca="1">IF(History!IE$2="","",#REF!*$C$131)</f>
        <v/>
      </c>
      <c r="IB131" s="11" t="str">
        <f ca="1">IF(History!IF$2="","",#REF!*$C$131)</f>
        <v/>
      </c>
      <c r="IC131" s="11" t="str">
        <f ca="1">IF(History!IG$2="","",#REF!*$C$131)</f>
        <v/>
      </c>
      <c r="ID131" s="11" t="str">
        <f ca="1">IF(History!IH$2="","",#REF!*$C$131)</f>
        <v/>
      </c>
      <c r="IE131" s="11" t="str">
        <f ca="1">IF(History!II$2="","",#REF!*$C$131)</f>
        <v/>
      </c>
      <c r="IF131" s="11" t="str">
        <f ca="1">IF(History!IJ$2="","",#REF!*$C$131)</f>
        <v/>
      </c>
      <c r="IG131" s="11" t="str">
        <f ca="1">IF(History!IK$2="","",#REF!*$C$131)</f>
        <v/>
      </c>
      <c r="IH131" s="11" t="str">
        <f ca="1">IF(History!IL$2="","",#REF!*$C$131)</f>
        <v/>
      </c>
      <c r="II131" s="11" t="str">
        <f ca="1">IF(History!IM$2="","",#REF!*$C$131)</f>
        <v/>
      </c>
      <c r="IJ131" s="11" t="str">
        <f ca="1">IF(History!IN$2="","",#REF!*$C$131)</f>
        <v/>
      </c>
      <c r="IK131" s="11" t="str">
        <f ca="1">IF(History!IO$2="","",#REF!*$C$131)</f>
        <v/>
      </c>
      <c r="IL131" s="11" t="str">
        <f ca="1">IF(History!IP$2="","",#REF!*$C$131)</f>
        <v/>
      </c>
      <c r="IM131" s="11" t="str">
        <f ca="1">IF(History!IQ$2="","",#REF!*$C$131)</f>
        <v/>
      </c>
      <c r="IN131" s="11" t="str">
        <f ca="1">IF(History!IR$2="","",#REF!*$C$131)</f>
        <v/>
      </c>
      <c r="IO131" s="11" t="str">
        <f ca="1">IF(History!IS$2="","",#REF!*$C$131)</f>
        <v/>
      </c>
      <c r="IP131" s="11" t="str">
        <f ca="1">IF(History!IT$2="","",#REF!*$C$131)</f>
        <v/>
      </c>
      <c r="IQ131" s="11" t="str">
        <f ca="1">IF(History!IU$2="","",#REF!*$C$131)</f>
        <v/>
      </c>
      <c r="IR131" s="11" t="str">
        <f ca="1">IF(History!IV$2="","",#REF!*$C$131)</f>
        <v/>
      </c>
      <c r="IS131" s="11" t="str">
        <f ca="1">IF(History!IW$2="","",#REF!*$C$131)</f>
        <v/>
      </c>
      <c r="IT131" s="11" t="str">
        <f ca="1">IF(History!IX$2="","",#REF!*$C$131)</f>
        <v/>
      </c>
      <c r="IU131" s="11" t="str">
        <f ca="1">IF(History!IY$2="","",#REF!*$C$131)</f>
        <v/>
      </c>
      <c r="IV131" s="11" t="str">
        <f ca="1">IF(History!IZ$2="","",#REF!*$C$131)</f>
        <v/>
      </c>
      <c r="IW131" s="11" t="str">
        <f ca="1">IF(History!JA$2="","",#REF!*$C$131)</f>
        <v/>
      </c>
      <c r="IX131" s="11" t="str">
        <f ca="1">IF(History!JB$2="","",#REF!*$C$131)</f>
        <v/>
      </c>
      <c r="IY131" s="11" t="str">
        <f ca="1">IF(History!JC$2="","",#REF!*$C$131)</f>
        <v/>
      </c>
      <c r="IZ131" s="11" t="str">
        <f ca="1">IF(History!JD$2="","",#REF!*$C$131)</f>
        <v/>
      </c>
      <c r="JA131" s="11" t="str">
        <f ca="1">IF(History!JE$2="","",#REF!*$C$131)</f>
        <v/>
      </c>
      <c r="JB131" s="11" t="str">
        <f ca="1">IF(History!JF$2="","",#REF!*$C$131)</f>
        <v/>
      </c>
      <c r="JC131" s="11" t="str">
        <f ca="1">IF(History!JG$2="","",#REF!*$C$131)</f>
        <v/>
      </c>
      <c r="JD131" s="11" t="str">
        <f ca="1">IF(History!JH$2="","",#REF!*$C$131)</f>
        <v/>
      </c>
      <c r="JE131" s="11" t="str">
        <f ca="1">IF(History!JI$2="","",#REF!*$C$131)</f>
        <v/>
      </c>
      <c r="JF131" s="11" t="str">
        <f ca="1">IF(History!JJ$2="","",#REF!*$C$131)</f>
        <v/>
      </c>
      <c r="JG131" s="11" t="str">
        <f ca="1">IF(History!JK$2="","",#REF!*$C$131)</f>
        <v/>
      </c>
      <c r="JH131" s="11" t="str">
        <f ca="1">IF(History!JL$2="","",#REF!*$C$131)</f>
        <v/>
      </c>
      <c r="JI131" s="11" t="str">
        <f ca="1">IF(History!JM$2="","",#REF!*$C$131)</f>
        <v/>
      </c>
      <c r="JJ131" s="11" t="str">
        <f ca="1">IF(History!JN$2="","",#REF!*$C$131)</f>
        <v/>
      </c>
      <c r="JK131" s="11" t="str">
        <f ca="1">IF(History!JO$2="","",#REF!*$C$131)</f>
        <v/>
      </c>
      <c r="JL131" s="11" t="str">
        <f ca="1">IF(History!JP$2="","",#REF!*$C$131)</f>
        <v/>
      </c>
      <c r="JM131" s="11" t="str">
        <f ca="1">IF(History!JQ$2="","",#REF!*$C$131)</f>
        <v/>
      </c>
      <c r="JN131" s="11" t="str">
        <f ca="1">IF(History!JR$2="","",#REF!*$C$131)</f>
        <v/>
      </c>
      <c r="JO131" s="11" t="str">
        <f ca="1">IF(History!JS$2="","",#REF!*$C$131)</f>
        <v/>
      </c>
      <c r="JP131" s="11" t="str">
        <f ca="1">IF(History!JT$2="","",#REF!*$C$131)</f>
        <v/>
      </c>
      <c r="JQ131" s="11" t="str">
        <f ca="1">IF(History!JU$2="","",#REF!*$C$131)</f>
        <v/>
      </c>
      <c r="JR131" s="11" t="str">
        <f ca="1">IF(History!JV$2="","",#REF!*$C$131)</f>
        <v/>
      </c>
      <c r="JS131" s="11" t="str">
        <f ca="1">IF(History!JW$2="","",#REF!*$C$131)</f>
        <v/>
      </c>
      <c r="JT131" s="11" t="str">
        <f ca="1">IF(History!JX$2="","",#REF!*$C$131)</f>
        <v/>
      </c>
      <c r="JU131" s="11" t="str">
        <f ca="1">IF(History!JY$2="","",#REF!*$C$131)</f>
        <v/>
      </c>
      <c r="JV131" s="11" t="str">
        <f ca="1">IF(History!JZ$2="","",#REF!*$C$131)</f>
        <v/>
      </c>
      <c r="JW131" s="11" t="str">
        <f ca="1">IF(History!KA$2="","",#REF!*$C$131)</f>
        <v/>
      </c>
      <c r="JX131" s="11" t="str">
        <f ca="1">IF(History!KB$2="","",#REF!*$C$131)</f>
        <v/>
      </c>
      <c r="JY131" s="11" t="str">
        <f ca="1">IF(History!KC$2="","",#REF!*$C$131)</f>
        <v/>
      </c>
      <c r="JZ131" s="11" t="str">
        <f ca="1">IF(History!KD$2="","",#REF!*$C$131)</f>
        <v/>
      </c>
      <c r="KA131" s="11" t="str">
        <f ca="1">IF(History!KE$2="","",#REF!*$C$131)</f>
        <v/>
      </c>
      <c r="KB131" s="11" t="str">
        <f ca="1">IF(History!KF$2="","",#REF!*$C$131)</f>
        <v/>
      </c>
    </row>
    <row r="132" spans="1:288" ht="13">
      <c r="A132" s="2" t="s">
        <v>40</v>
      </c>
      <c r="B132" s="32" t="s">
        <v>119</v>
      </c>
      <c r="C132" s="33">
        <v>939</v>
      </c>
      <c r="D132" s="11" t="e">
        <f ca="1">IF(History!H$2="","",#REF!*$C$132)</f>
        <v>#REF!</v>
      </c>
      <c r="E132" s="11" t="e">
        <f ca="1">IF(History!I$2="","",#REF!*$C$132)</f>
        <v>#REF!</v>
      </c>
      <c r="F132" s="11" t="e">
        <f ca="1">IF(History!J$2="","",#REF!*$C$132)</f>
        <v>#REF!</v>
      </c>
      <c r="G132" s="11" t="e">
        <f ca="1">IF(History!K$2="","",#REF!*$C$132)</f>
        <v>#REF!</v>
      </c>
      <c r="H132" s="11" t="e">
        <f ca="1">IF(History!L$2="","",#REF!*$C$132)</f>
        <v>#REF!</v>
      </c>
      <c r="I132" s="11" t="e">
        <f ca="1">IF(History!M$2="","",#REF!*$C$132)</f>
        <v>#REF!</v>
      </c>
      <c r="J132" s="11" t="e">
        <f ca="1">IF(History!N$2="","",#REF!*$C$132)</f>
        <v>#REF!</v>
      </c>
      <c r="K132" s="11" t="e">
        <f ca="1">IF(History!O$2="","",#REF!*$C$132)</f>
        <v>#REF!</v>
      </c>
      <c r="L132" s="11" t="e">
        <f ca="1">IF(History!P$2="","",#REF!*$C$132)</f>
        <v>#REF!</v>
      </c>
      <c r="M132" s="11" t="e">
        <f ca="1">IF(History!Q$2="","",#REF!*$C$132)</f>
        <v>#REF!</v>
      </c>
      <c r="N132" s="11" t="e">
        <f ca="1">IF(History!R$2="","",#REF!*$C$132)</f>
        <v>#REF!</v>
      </c>
      <c r="O132" s="11" t="e">
        <f ca="1">IF(History!S$2="","",#REF!*$C$132)</f>
        <v>#REF!</v>
      </c>
      <c r="P132" s="11" t="e">
        <f ca="1">IF(History!T$2="","",#REF!*$C$132)</f>
        <v>#REF!</v>
      </c>
      <c r="Q132" s="11" t="e">
        <f ca="1">IF(History!U$2="","",#REF!*$C$132)</f>
        <v>#REF!</v>
      </c>
      <c r="R132" s="11" t="e">
        <f ca="1">IF(History!V$2="","",#REF!*$C$132)</f>
        <v>#REF!</v>
      </c>
      <c r="S132" s="11" t="e">
        <f ca="1">IF(History!W$2="","",#REF!*$C$132)</f>
        <v>#REF!</v>
      </c>
      <c r="T132" s="11" t="e">
        <f ca="1">IF(History!X$2="","",#REF!*$C$132)</f>
        <v>#REF!</v>
      </c>
      <c r="U132" s="11" t="e">
        <f ca="1">IF(History!Y$2="","",#REF!*$C$132)</f>
        <v>#REF!</v>
      </c>
      <c r="V132" s="11" t="e">
        <f ca="1">IF(History!Z$2="","",#REF!*$C$132)</f>
        <v>#REF!</v>
      </c>
      <c r="W132" s="11" t="e">
        <f ca="1">IF(History!AA$2="","",#REF!*$C$132)</f>
        <v>#REF!</v>
      </c>
      <c r="X132" s="11" t="e">
        <f ca="1">IF(History!AB$2="","",#REF!*$C$132)</f>
        <v>#REF!</v>
      </c>
      <c r="Y132" s="11" t="e">
        <f ca="1">IF(History!AC$2="","",#REF!*$C$132)</f>
        <v>#REF!</v>
      </c>
      <c r="Z132" s="11" t="e">
        <f ca="1">IF(History!AD$2="","",#REF!*$C$132)</f>
        <v>#REF!</v>
      </c>
      <c r="AA132" s="11" t="e">
        <f ca="1">IF(History!AE$2="","",#REF!*$C$132)</f>
        <v>#REF!</v>
      </c>
      <c r="AB132" s="11" t="e">
        <f ca="1">IF(History!AF$2="","",#REF!*$C$132)</f>
        <v>#REF!</v>
      </c>
      <c r="AC132" s="11" t="e">
        <f ca="1">IF(History!AG$2="","",#REF!*$C$132)</f>
        <v>#REF!</v>
      </c>
      <c r="AD132" s="11" t="e">
        <f ca="1">IF(History!AH$2="","",#REF!*$C$132)</f>
        <v>#REF!</v>
      </c>
      <c r="AE132" s="11" t="e">
        <f ca="1">IF(History!AI$2="","",#REF!*$C$132)</f>
        <v>#REF!</v>
      </c>
      <c r="AF132" s="11" t="e">
        <f ca="1">IF(History!AJ$2="","",#REF!*$C$132)</f>
        <v>#REF!</v>
      </c>
      <c r="AG132" s="11" t="e">
        <f ca="1">IF(History!AK$2="","",#REF!*$C$132)</f>
        <v>#REF!</v>
      </c>
      <c r="AH132" s="11" t="e">
        <f ca="1">IF(History!AL$2="","",#REF!*$C$132)</f>
        <v>#REF!</v>
      </c>
      <c r="AI132" s="11" t="e">
        <f ca="1">IF(History!AM$2="","",#REF!*$C$132)</f>
        <v>#REF!</v>
      </c>
      <c r="AJ132" s="11" t="e">
        <f ca="1">IF(History!AN$2="","",#REF!*$C$132)</f>
        <v>#REF!</v>
      </c>
      <c r="AK132" s="11" t="e">
        <f ca="1">IF(History!AO$2="","",#REF!*$C$132)</f>
        <v>#REF!</v>
      </c>
      <c r="AL132" s="11" t="e">
        <f ca="1">IF(History!AP$2="","",#REF!*$C$132)</f>
        <v>#REF!</v>
      </c>
      <c r="AM132" s="11" t="e">
        <f ca="1">IF(History!AQ$2="","",#REF!*$C$132)</f>
        <v>#REF!</v>
      </c>
      <c r="AN132" s="11" t="e">
        <f ca="1">IF(History!AR$2="","",#REF!*$C$132)</f>
        <v>#REF!</v>
      </c>
      <c r="AO132" s="11" t="e">
        <f ca="1">IF(History!AS$2="","",#REF!*$C$132)</f>
        <v>#REF!</v>
      </c>
      <c r="AP132" s="11" t="e">
        <f ca="1">IF(History!AT$2="","",#REF!*$C$132)</f>
        <v>#REF!</v>
      </c>
      <c r="AQ132" s="11" t="e">
        <f ca="1">IF(History!AU$2="","",#REF!*$C$132)</f>
        <v>#REF!</v>
      </c>
      <c r="AR132" s="11" t="e">
        <f ca="1">IF(History!AV$2="","",#REF!*$C$132)</f>
        <v>#REF!</v>
      </c>
      <c r="AS132" s="11" t="e">
        <f ca="1">IF(History!AW$2="","",#REF!*$C$132)</f>
        <v>#REF!</v>
      </c>
      <c r="AT132" s="11" t="e">
        <f ca="1">IF(History!AX$2="","",#REF!*$C$132)</f>
        <v>#REF!</v>
      </c>
      <c r="AU132" s="11" t="e">
        <f ca="1">IF(History!AY$2="","",#REF!*$C$132)</f>
        <v>#REF!</v>
      </c>
      <c r="AV132" s="11" t="e">
        <f ca="1">IF(History!AZ$2="","",#REF!*$C$132)</f>
        <v>#REF!</v>
      </c>
      <c r="AW132" s="11" t="e">
        <f ca="1">IF(History!BA$2="","",#REF!*$C$132)</f>
        <v>#REF!</v>
      </c>
      <c r="AX132" s="11" t="e">
        <f ca="1">IF(History!BB$2="","",#REF!*$C$132)</f>
        <v>#REF!</v>
      </c>
      <c r="AY132" s="11" t="e">
        <f ca="1">IF(History!BC$2="","",#REF!*$C$132)</f>
        <v>#REF!</v>
      </c>
      <c r="AZ132" s="11" t="e">
        <f ca="1">IF(History!BD$2="","",#REF!*$C$132)</f>
        <v>#REF!</v>
      </c>
      <c r="BA132" s="11" t="e">
        <f ca="1">IF(History!BE$2="","",#REF!*$C$132)</f>
        <v>#REF!</v>
      </c>
      <c r="BB132" s="11" t="e">
        <f ca="1">IF(History!BF$2="","",#REF!*$C$132)</f>
        <v>#REF!</v>
      </c>
      <c r="BC132" s="11" t="e">
        <f ca="1">IF(History!BG$2="","",#REF!*$C$132)</f>
        <v>#REF!</v>
      </c>
      <c r="BD132" s="11" t="e">
        <f ca="1">IF(History!BH$2="","",#REF!*$C$132)</f>
        <v>#REF!</v>
      </c>
      <c r="BE132" s="11" t="e">
        <f ca="1">IF(History!BI$2="","",#REF!*$C$132)</f>
        <v>#REF!</v>
      </c>
      <c r="BF132" s="11" t="e">
        <f ca="1">IF(History!BJ$2="","",#REF!*$C$132)</f>
        <v>#REF!</v>
      </c>
      <c r="BG132" s="11" t="e">
        <f ca="1">IF(History!BK$2="","",#REF!*$C$132)</f>
        <v>#REF!</v>
      </c>
      <c r="BH132" s="11" t="e">
        <f ca="1">IF(History!BL$2="","",#REF!*$C$132)</f>
        <v>#REF!</v>
      </c>
      <c r="BI132" s="11" t="e">
        <f ca="1">IF(History!BM$2="","",#REF!*$C$132)</f>
        <v>#REF!</v>
      </c>
      <c r="BJ132" s="11" t="e">
        <f ca="1">IF(History!BN$2="","",#REF!*$C$132)</f>
        <v>#REF!</v>
      </c>
      <c r="BK132" s="11" t="e">
        <f ca="1">IF(History!BO$2="","",#REF!*$C$132)</f>
        <v>#REF!</v>
      </c>
      <c r="BL132" s="11" t="e">
        <f ca="1">IF(History!BP$2="","",#REF!*$C$132)</f>
        <v>#REF!</v>
      </c>
      <c r="BM132" s="11" t="e">
        <f ca="1">IF(History!BQ$2="","",#REF!*$C$132)</f>
        <v>#REF!</v>
      </c>
      <c r="BN132" s="11" t="e">
        <f ca="1">IF(History!BR$2="","",#REF!*$C$132)</f>
        <v>#REF!</v>
      </c>
      <c r="BO132" s="11" t="e">
        <f ca="1">IF(History!BS$2="","",#REF!*$C$132)</f>
        <v>#REF!</v>
      </c>
      <c r="BP132" s="11" t="e">
        <f ca="1">IF(History!BT$2="","",#REF!*$C$132)</f>
        <v>#REF!</v>
      </c>
      <c r="BQ132" s="11" t="e">
        <f ca="1">IF(History!BU$2="","",#REF!*$C$132)</f>
        <v>#REF!</v>
      </c>
      <c r="BR132" s="11" t="e">
        <f ca="1">IF(History!BV$2="","",#REF!*$C$132)</f>
        <v>#REF!</v>
      </c>
      <c r="BS132" s="11" t="e">
        <f ca="1">IF(History!BW$2="","",#REF!*$C$132)</f>
        <v>#REF!</v>
      </c>
      <c r="BT132" s="11" t="e">
        <f ca="1">IF(History!BX$2="","",#REF!*$C$132)</f>
        <v>#REF!</v>
      </c>
      <c r="BU132" s="11" t="e">
        <f ca="1">IF(History!BY$2="","",#REF!*$C$132)</f>
        <v>#REF!</v>
      </c>
      <c r="BV132" s="11" t="e">
        <f ca="1">IF(History!BZ$2="","",#REF!*$C$132)</f>
        <v>#REF!</v>
      </c>
      <c r="BW132" s="11" t="e">
        <f ca="1">IF(History!CA$2="","",#REF!*$C$132)</f>
        <v>#REF!</v>
      </c>
      <c r="BX132" s="11" t="e">
        <f ca="1">IF(History!CB$2="","",#REF!*$C$132)</f>
        <v>#REF!</v>
      </c>
      <c r="BY132" s="11" t="e">
        <f ca="1">IF(History!CC$2="","",#REF!*$C$132)</f>
        <v>#REF!</v>
      </c>
      <c r="BZ132" s="11" t="e">
        <f ca="1">IF(History!CD$2="","",#REF!*$C$132)</f>
        <v>#REF!</v>
      </c>
      <c r="CA132" s="11" t="e">
        <f ca="1">IF(History!CE$2="","",#REF!*$C$132)</f>
        <v>#REF!</v>
      </c>
      <c r="CB132" s="11" t="e">
        <f ca="1">IF(History!CF$2="","",#REF!*$C$132)</f>
        <v>#REF!</v>
      </c>
      <c r="CC132" s="11" t="e">
        <f ca="1">IF(History!CG$2="","",#REF!*$C$132)</f>
        <v>#REF!</v>
      </c>
      <c r="CD132" s="11" t="e">
        <f ca="1">IF(History!CH$2="","",#REF!*$C$132)</f>
        <v>#REF!</v>
      </c>
      <c r="CE132" s="11" t="e">
        <f ca="1">IF(History!CI$2="","",#REF!*$C$132)</f>
        <v>#REF!</v>
      </c>
      <c r="CF132" s="11" t="str">
        <f ca="1">IF(History!CJ$2="","",#REF!*$C$132)</f>
        <v/>
      </c>
      <c r="CG132" s="11" t="str">
        <f ca="1">IF(History!CK$2="","",#REF!*$C$132)</f>
        <v/>
      </c>
      <c r="CH132" s="11" t="str">
        <f ca="1">IF(History!CL$2="","",#REF!*$C$132)</f>
        <v/>
      </c>
      <c r="CI132" s="11" t="str">
        <f ca="1">IF(History!CM$2="","",#REF!*$C$132)</f>
        <v/>
      </c>
      <c r="CJ132" s="11" t="str">
        <f ca="1">IF(History!CN$2="","",#REF!*$C$132)</f>
        <v/>
      </c>
      <c r="CK132" s="11" t="str">
        <f ca="1">IF(History!CO$2="","",#REF!*$C$132)</f>
        <v/>
      </c>
      <c r="CL132" s="11" t="str">
        <f ca="1">IF(History!CP$2="","",#REF!*$C$132)</f>
        <v/>
      </c>
      <c r="CM132" s="11" t="str">
        <f ca="1">IF(History!CQ$2="","",#REF!*$C$132)</f>
        <v/>
      </c>
      <c r="CN132" s="11" t="str">
        <f ca="1">IF(History!CR$2="","",#REF!*$C$132)</f>
        <v/>
      </c>
      <c r="CO132" s="11" t="str">
        <f ca="1">IF(History!CS$2="","",#REF!*$C$132)</f>
        <v/>
      </c>
      <c r="CP132" s="11" t="str">
        <f ca="1">IF(History!CT$2="","",#REF!*$C$132)</f>
        <v/>
      </c>
      <c r="CQ132" s="11" t="str">
        <f ca="1">IF(History!CU$2="","",#REF!*$C$132)</f>
        <v/>
      </c>
      <c r="CR132" s="11" t="str">
        <f ca="1">IF(History!CV$2="","",#REF!*$C$132)</f>
        <v/>
      </c>
      <c r="CS132" s="11" t="str">
        <f ca="1">IF(History!CW$2="","",#REF!*$C$132)</f>
        <v/>
      </c>
      <c r="CT132" s="11" t="str">
        <f ca="1">IF(History!CX$2="","",#REF!*$C$132)</f>
        <v/>
      </c>
      <c r="CU132" s="11" t="str">
        <f ca="1">IF(History!CY$2="","",#REF!*$C$132)</f>
        <v/>
      </c>
      <c r="CV132" s="11" t="str">
        <f ca="1">IF(History!CZ$2="","",#REF!*$C$132)</f>
        <v/>
      </c>
      <c r="CW132" s="11" t="str">
        <f ca="1">IF(History!DA$2="","",#REF!*$C$132)</f>
        <v/>
      </c>
      <c r="CX132" s="11" t="str">
        <f ca="1">IF(History!DB$2="","",#REF!*$C$132)</f>
        <v/>
      </c>
      <c r="CY132" s="11" t="str">
        <f ca="1">IF(History!DC$2="","",#REF!*$C$132)</f>
        <v/>
      </c>
      <c r="CZ132" s="11" t="str">
        <f ca="1">IF(History!DD$2="","",#REF!*$C$132)</f>
        <v/>
      </c>
      <c r="DA132" s="11" t="str">
        <f ca="1">IF(History!DE$2="","",#REF!*$C$132)</f>
        <v/>
      </c>
      <c r="DB132" s="11" t="str">
        <f ca="1">IF(History!DF$2="","",#REF!*$C$132)</f>
        <v/>
      </c>
      <c r="DC132" s="11" t="str">
        <f ca="1">IF(History!DG$2="","",#REF!*$C$132)</f>
        <v/>
      </c>
      <c r="DD132" s="11" t="str">
        <f ca="1">IF(History!DH$2="","",#REF!*$C$132)</f>
        <v/>
      </c>
      <c r="DE132" s="11" t="str">
        <f ca="1">IF(History!DI$2="","",#REF!*$C$132)</f>
        <v/>
      </c>
      <c r="DF132" s="11" t="str">
        <f ca="1">IF(History!DJ$2="","",#REF!*$C$132)</f>
        <v/>
      </c>
      <c r="DG132" s="11" t="str">
        <f ca="1">IF(History!DK$2="","",#REF!*$C$132)</f>
        <v/>
      </c>
      <c r="DH132" s="11" t="str">
        <f ca="1">IF(History!DL$2="","",#REF!*$C$132)</f>
        <v/>
      </c>
      <c r="DI132" s="11" t="str">
        <f ca="1">IF(History!DM$2="","",#REF!*$C$132)</f>
        <v/>
      </c>
      <c r="DJ132" s="11" t="str">
        <f ca="1">IF(History!DN$2="","",#REF!*$C$132)</f>
        <v/>
      </c>
      <c r="DK132" s="11" t="str">
        <f ca="1">IF(History!DO$2="","",#REF!*$C$132)</f>
        <v/>
      </c>
      <c r="DL132" s="11" t="str">
        <f ca="1">IF(History!DP$2="","",#REF!*$C$132)</f>
        <v/>
      </c>
      <c r="DM132" s="11" t="str">
        <f ca="1">IF(History!DQ$2="","",#REF!*$C$132)</f>
        <v/>
      </c>
      <c r="DN132" s="11" t="str">
        <f ca="1">IF(History!DR$2="","",#REF!*$C$132)</f>
        <v/>
      </c>
      <c r="DO132" s="11" t="str">
        <f ca="1">IF(History!DS$2="","",#REF!*$C$132)</f>
        <v/>
      </c>
      <c r="DP132" s="11" t="str">
        <f ca="1">IF(History!DT$2="","",#REF!*$C$132)</f>
        <v/>
      </c>
      <c r="DQ132" s="11" t="str">
        <f ca="1">IF(History!DU$2="","",#REF!*$C$132)</f>
        <v/>
      </c>
      <c r="DR132" s="11" t="str">
        <f ca="1">IF(History!DV$2="","",#REF!*$C$132)</f>
        <v/>
      </c>
      <c r="DS132" s="11" t="str">
        <f ca="1">IF(History!DW$2="","",#REF!*$C$132)</f>
        <v/>
      </c>
      <c r="DT132" s="11" t="str">
        <f ca="1">IF(History!DX$2="","",#REF!*$C$132)</f>
        <v/>
      </c>
      <c r="DU132" s="11" t="str">
        <f ca="1">IF(History!DY$2="","",#REF!*$C$132)</f>
        <v/>
      </c>
      <c r="DV132" s="11" t="str">
        <f ca="1">IF(History!DZ$2="","",#REF!*$C$132)</f>
        <v/>
      </c>
      <c r="DW132" s="11" t="str">
        <f ca="1">IF(History!EA$2="","",#REF!*$C$132)</f>
        <v/>
      </c>
      <c r="DX132" s="11" t="str">
        <f ca="1">IF(History!EB$2="","",#REF!*$C$132)</f>
        <v/>
      </c>
      <c r="DY132" s="11" t="str">
        <f ca="1">IF(History!EC$2="","",#REF!*$C$132)</f>
        <v/>
      </c>
      <c r="DZ132" s="11" t="str">
        <f ca="1">IF(History!ED$2="","",#REF!*$C$132)</f>
        <v/>
      </c>
      <c r="EA132" s="11" t="str">
        <f ca="1">IF(History!EE$2="","",#REF!*$C$132)</f>
        <v/>
      </c>
      <c r="EB132" s="11" t="str">
        <f ca="1">IF(History!EF$2="","",#REF!*$C$132)</f>
        <v/>
      </c>
      <c r="EC132" s="11" t="str">
        <f ca="1">IF(History!EG$2="","",#REF!*$C$132)</f>
        <v/>
      </c>
      <c r="ED132" s="11" t="str">
        <f ca="1">IF(History!EH$2="","",#REF!*$C$132)</f>
        <v/>
      </c>
      <c r="EE132" s="11" t="str">
        <f ca="1">IF(History!EI$2="","",#REF!*$C$132)</f>
        <v/>
      </c>
      <c r="EF132" s="11" t="str">
        <f ca="1">IF(History!EJ$2="","",#REF!*$C$132)</f>
        <v/>
      </c>
      <c r="EG132" s="11" t="str">
        <f ca="1">IF(History!EK$2="","",#REF!*$C$132)</f>
        <v/>
      </c>
      <c r="EH132" s="11" t="str">
        <f ca="1">IF(History!EL$2="","",#REF!*$C$132)</f>
        <v/>
      </c>
      <c r="EI132" s="11" t="str">
        <f ca="1">IF(History!EM$2="","",#REF!*$C$132)</f>
        <v/>
      </c>
      <c r="EJ132" s="11" t="str">
        <f ca="1">IF(History!EN$2="","",#REF!*$C$132)</f>
        <v/>
      </c>
      <c r="EK132" s="11" t="str">
        <f ca="1">IF(History!EO$2="","",#REF!*$C$132)</f>
        <v/>
      </c>
      <c r="EL132" s="11" t="str">
        <f ca="1">IF(History!EP$2="","",#REF!*$C$132)</f>
        <v/>
      </c>
      <c r="EM132" s="11" t="str">
        <f ca="1">IF(History!EQ$2="","",#REF!*$C$132)</f>
        <v/>
      </c>
      <c r="EN132" s="11" t="str">
        <f ca="1">IF(History!ER$2="","",#REF!*$C$132)</f>
        <v/>
      </c>
      <c r="EO132" s="11" t="str">
        <f ca="1">IF(History!ES$2="","",#REF!*$C$132)</f>
        <v/>
      </c>
      <c r="EP132" s="11" t="str">
        <f ca="1">IF(History!ET$2="","",#REF!*$C$132)</f>
        <v/>
      </c>
      <c r="EQ132" s="11" t="str">
        <f ca="1">IF(History!EU$2="","",#REF!*$C$132)</f>
        <v/>
      </c>
      <c r="ER132" s="11" t="str">
        <f ca="1">IF(History!EV$2="","",#REF!*$C$132)</f>
        <v/>
      </c>
      <c r="ES132" s="11" t="str">
        <f ca="1">IF(History!EW$2="","",#REF!*$C$132)</f>
        <v/>
      </c>
      <c r="ET132" s="11" t="str">
        <f ca="1">IF(History!EX$2="","",#REF!*$C$132)</f>
        <v/>
      </c>
      <c r="EU132" s="11" t="str">
        <f ca="1">IF(History!EY$2="","",#REF!*$C$132)</f>
        <v/>
      </c>
      <c r="EV132" s="11" t="str">
        <f ca="1">IF(History!EZ$2="","",#REF!*$C$132)</f>
        <v/>
      </c>
      <c r="EW132" s="11" t="str">
        <f ca="1">IF(History!FA$2="","",#REF!*$C$132)</f>
        <v/>
      </c>
      <c r="EX132" s="11" t="str">
        <f ca="1">IF(History!FB$2="","",#REF!*$C$132)</f>
        <v/>
      </c>
      <c r="EY132" s="11" t="str">
        <f ca="1">IF(History!FC$2="","",#REF!*$C$132)</f>
        <v/>
      </c>
      <c r="EZ132" s="11" t="str">
        <f ca="1">IF(History!FD$2="","",#REF!*$C$132)</f>
        <v/>
      </c>
      <c r="FA132" s="11" t="str">
        <f ca="1">IF(History!FE$2="","",#REF!*$C$132)</f>
        <v/>
      </c>
      <c r="FB132" s="11" t="str">
        <f ca="1">IF(History!FF$2="","",#REF!*$C$132)</f>
        <v/>
      </c>
      <c r="FC132" s="11" t="str">
        <f ca="1">IF(History!FG$2="","",#REF!*$C$132)</f>
        <v/>
      </c>
      <c r="FD132" s="11" t="str">
        <f ca="1">IF(History!FH$2="","",#REF!*$C$132)</f>
        <v/>
      </c>
      <c r="FE132" s="11" t="str">
        <f ca="1">IF(History!FI$2="","",#REF!*$C$132)</f>
        <v/>
      </c>
      <c r="FF132" s="11" t="str">
        <f ca="1">IF(History!FJ$2="","",#REF!*$C$132)</f>
        <v/>
      </c>
      <c r="FG132" s="11" t="str">
        <f ca="1">IF(History!FK$2="","",#REF!*$C$132)</f>
        <v/>
      </c>
      <c r="FH132" s="11" t="str">
        <f ca="1">IF(History!FL$2="","",#REF!*$C$132)</f>
        <v/>
      </c>
      <c r="FI132" s="11" t="str">
        <f ca="1">IF(History!FM$2="","",#REF!*$C$132)</f>
        <v/>
      </c>
      <c r="FJ132" s="11" t="str">
        <f ca="1">IF(History!FN$2="","",#REF!*$C$132)</f>
        <v/>
      </c>
      <c r="FK132" s="11" t="str">
        <f ca="1">IF(History!FO$2="","",#REF!*$C$132)</f>
        <v/>
      </c>
      <c r="FL132" s="11" t="str">
        <f ca="1">IF(History!FP$2="","",#REF!*$C$132)</f>
        <v/>
      </c>
      <c r="FM132" s="11" t="str">
        <f ca="1">IF(History!FQ$2="","",#REF!*$C$132)</f>
        <v/>
      </c>
      <c r="FN132" s="11" t="str">
        <f ca="1">IF(History!FR$2="","",#REF!*$C$132)</f>
        <v/>
      </c>
      <c r="FO132" s="11" t="str">
        <f ca="1">IF(History!FS$2="","",#REF!*$C$132)</f>
        <v/>
      </c>
      <c r="FP132" s="11" t="str">
        <f ca="1">IF(History!FT$2="","",#REF!*$C$132)</f>
        <v/>
      </c>
      <c r="FQ132" s="11" t="str">
        <f ca="1">IF(History!FU$2="","",#REF!*$C$132)</f>
        <v/>
      </c>
      <c r="FR132" s="11" t="str">
        <f ca="1">IF(History!FV$2="","",#REF!*$C$132)</f>
        <v/>
      </c>
      <c r="FS132" s="11" t="str">
        <f ca="1">IF(History!FW$2="","",#REF!*$C$132)</f>
        <v/>
      </c>
      <c r="FT132" s="11" t="str">
        <f ca="1">IF(History!FX$2="","",#REF!*$C$132)</f>
        <v/>
      </c>
      <c r="FU132" s="11" t="str">
        <f ca="1">IF(History!FY$2="","",#REF!*$C$132)</f>
        <v/>
      </c>
      <c r="FV132" s="11" t="str">
        <f ca="1">IF(History!FZ$2="","",#REF!*$C$132)</f>
        <v/>
      </c>
      <c r="FW132" s="11" t="str">
        <f ca="1">IF(History!GA$2="","",#REF!*$C$132)</f>
        <v/>
      </c>
      <c r="FX132" s="11" t="str">
        <f ca="1">IF(History!GB$2="","",#REF!*$C$132)</f>
        <v/>
      </c>
      <c r="FY132" s="11" t="str">
        <f ca="1">IF(History!GC$2="","",#REF!*$C$132)</f>
        <v/>
      </c>
      <c r="FZ132" s="11" t="str">
        <f ca="1">IF(History!GD$2="","",#REF!*$C$132)</f>
        <v/>
      </c>
      <c r="GA132" s="11" t="str">
        <f ca="1">IF(History!GE$2="","",#REF!*$C$132)</f>
        <v/>
      </c>
      <c r="GB132" s="11" t="str">
        <f ca="1">IF(History!GF$2="","",#REF!*$C$132)</f>
        <v/>
      </c>
      <c r="GC132" s="11" t="str">
        <f ca="1">IF(History!GG$2="","",#REF!*$C$132)</f>
        <v/>
      </c>
      <c r="GD132" s="11" t="str">
        <f ca="1">IF(History!GH$2="","",#REF!*$C$132)</f>
        <v/>
      </c>
      <c r="GE132" s="11" t="str">
        <f ca="1">IF(History!GI$2="","",#REF!*$C$132)</f>
        <v/>
      </c>
      <c r="GF132" s="11" t="str">
        <f ca="1">IF(History!GJ$2="","",#REF!*$C$132)</f>
        <v/>
      </c>
      <c r="GG132" s="11" t="str">
        <f ca="1">IF(History!GK$2="","",#REF!*$C$132)</f>
        <v/>
      </c>
      <c r="GH132" s="11" t="str">
        <f ca="1">IF(History!GL$2="","",#REF!*$C$132)</f>
        <v/>
      </c>
      <c r="GI132" s="11" t="str">
        <f ca="1">IF(History!GM$2="","",#REF!*$C$132)</f>
        <v/>
      </c>
      <c r="GJ132" s="11" t="str">
        <f ca="1">IF(History!GN$2="","",#REF!*$C$132)</f>
        <v/>
      </c>
      <c r="GK132" s="11" t="str">
        <f ca="1">IF(History!GO$2="","",#REF!*$C$132)</f>
        <v/>
      </c>
      <c r="GL132" s="11" t="str">
        <f ca="1">IF(History!GP$2="","",#REF!*$C$132)</f>
        <v/>
      </c>
      <c r="GM132" s="11" t="str">
        <f ca="1">IF(History!GQ$2="","",#REF!*$C$132)</f>
        <v/>
      </c>
      <c r="GN132" s="11" t="str">
        <f ca="1">IF(History!GR$2="","",#REF!*$C$132)</f>
        <v/>
      </c>
      <c r="GO132" s="11" t="str">
        <f ca="1">IF(History!GS$2="","",#REF!*$C$132)</f>
        <v/>
      </c>
      <c r="GP132" s="11" t="str">
        <f ca="1">IF(History!GT$2="","",#REF!*$C$132)</f>
        <v/>
      </c>
      <c r="GQ132" s="11" t="str">
        <f ca="1">IF(History!GU$2="","",#REF!*$C$132)</f>
        <v/>
      </c>
      <c r="GR132" s="11" t="str">
        <f ca="1">IF(History!GV$2="","",#REF!*$C$132)</f>
        <v/>
      </c>
      <c r="GS132" s="11" t="str">
        <f ca="1">IF(History!GW$2="","",#REF!*$C$132)</f>
        <v/>
      </c>
      <c r="GT132" s="11" t="str">
        <f ca="1">IF(History!GX$2="","",#REF!*$C$132)</f>
        <v/>
      </c>
      <c r="GU132" s="11" t="str">
        <f ca="1">IF(History!GY$2="","",#REF!*$C$132)</f>
        <v/>
      </c>
      <c r="GV132" s="11" t="str">
        <f ca="1">IF(History!GZ$2="","",#REF!*$C$132)</f>
        <v/>
      </c>
      <c r="GW132" s="11" t="str">
        <f ca="1">IF(History!HA$2="","",#REF!*$C$132)</f>
        <v/>
      </c>
      <c r="GX132" s="11" t="str">
        <f ca="1">IF(History!HB$2="","",#REF!*$C$132)</f>
        <v/>
      </c>
      <c r="GY132" s="11" t="str">
        <f ca="1">IF(History!HC$2="","",#REF!*$C$132)</f>
        <v/>
      </c>
      <c r="GZ132" s="11" t="str">
        <f ca="1">IF(History!HD$2="","",#REF!*$C$132)</f>
        <v/>
      </c>
      <c r="HA132" s="11" t="str">
        <f ca="1">IF(History!HE$2="","",#REF!*$C$132)</f>
        <v/>
      </c>
      <c r="HB132" s="11" t="str">
        <f ca="1">IF(History!HF$2="","",#REF!*$C$132)</f>
        <v/>
      </c>
      <c r="HC132" s="11" t="str">
        <f ca="1">IF(History!HG$2="","",#REF!*$C$132)</f>
        <v/>
      </c>
      <c r="HD132" s="11" t="str">
        <f ca="1">IF(History!HH$2="","",#REF!*$C$132)</f>
        <v/>
      </c>
      <c r="HE132" s="11" t="str">
        <f ca="1">IF(History!HI$2="","",#REF!*$C$132)</f>
        <v/>
      </c>
      <c r="HF132" s="11" t="str">
        <f ca="1">IF(History!HJ$2="","",#REF!*$C$132)</f>
        <v/>
      </c>
      <c r="HG132" s="11" t="str">
        <f ca="1">IF(History!HK$2="","",#REF!*$C$132)</f>
        <v/>
      </c>
      <c r="HH132" s="11" t="str">
        <f ca="1">IF(History!HL$2="","",#REF!*$C$132)</f>
        <v/>
      </c>
      <c r="HI132" s="11" t="str">
        <f ca="1">IF(History!HM$2="","",#REF!*$C$132)</f>
        <v/>
      </c>
      <c r="HJ132" s="11" t="str">
        <f ca="1">IF(History!HN$2="","",#REF!*$C$132)</f>
        <v/>
      </c>
      <c r="HK132" s="11" t="str">
        <f ca="1">IF(History!HO$2="","",#REF!*$C$132)</f>
        <v/>
      </c>
      <c r="HL132" s="11" t="str">
        <f ca="1">IF(History!HP$2="","",#REF!*$C$132)</f>
        <v/>
      </c>
      <c r="HM132" s="11" t="str">
        <f ca="1">IF(History!HQ$2="","",#REF!*$C$132)</f>
        <v/>
      </c>
      <c r="HN132" s="11" t="str">
        <f ca="1">IF(History!HR$2="","",#REF!*$C$132)</f>
        <v/>
      </c>
      <c r="HO132" s="11" t="str">
        <f ca="1">IF(History!HS$2="","",#REF!*$C$132)</f>
        <v/>
      </c>
      <c r="HP132" s="11" t="str">
        <f ca="1">IF(History!HT$2="","",#REF!*$C$132)</f>
        <v/>
      </c>
      <c r="HQ132" s="11" t="str">
        <f ca="1">IF(History!HU$2="","",#REF!*$C$132)</f>
        <v/>
      </c>
      <c r="HR132" s="11" t="str">
        <f ca="1">IF(History!HV$2="","",#REF!*$C$132)</f>
        <v/>
      </c>
      <c r="HS132" s="11" t="str">
        <f ca="1">IF(History!HW$2="","",#REF!*$C$132)</f>
        <v/>
      </c>
      <c r="HT132" s="11" t="str">
        <f ca="1">IF(History!HX$2="","",#REF!*$C$132)</f>
        <v/>
      </c>
      <c r="HU132" s="11" t="str">
        <f ca="1">IF(History!HY$2="","",#REF!*$C$132)</f>
        <v/>
      </c>
      <c r="HV132" s="11" t="str">
        <f ca="1">IF(History!HZ$2="","",#REF!*$C$132)</f>
        <v/>
      </c>
      <c r="HW132" s="11" t="str">
        <f ca="1">IF(History!IA$2="","",#REF!*$C$132)</f>
        <v/>
      </c>
      <c r="HX132" s="11" t="str">
        <f ca="1">IF(History!IB$2="","",#REF!*$C$132)</f>
        <v/>
      </c>
      <c r="HY132" s="11" t="str">
        <f ca="1">IF(History!IC$2="","",#REF!*$C$132)</f>
        <v/>
      </c>
      <c r="HZ132" s="11" t="str">
        <f ca="1">IF(History!ID$2="","",#REF!*$C$132)</f>
        <v/>
      </c>
      <c r="IA132" s="11" t="str">
        <f ca="1">IF(History!IE$2="","",#REF!*$C$132)</f>
        <v/>
      </c>
      <c r="IB132" s="11" t="str">
        <f ca="1">IF(History!IF$2="","",#REF!*$C$132)</f>
        <v/>
      </c>
      <c r="IC132" s="11" t="str">
        <f ca="1">IF(History!IG$2="","",#REF!*$C$132)</f>
        <v/>
      </c>
      <c r="ID132" s="11" t="str">
        <f ca="1">IF(History!IH$2="","",#REF!*$C$132)</f>
        <v/>
      </c>
      <c r="IE132" s="11" t="str">
        <f ca="1">IF(History!II$2="","",#REF!*$C$132)</f>
        <v/>
      </c>
      <c r="IF132" s="11" t="str">
        <f ca="1">IF(History!IJ$2="","",#REF!*$C$132)</f>
        <v/>
      </c>
      <c r="IG132" s="11" t="str">
        <f ca="1">IF(History!IK$2="","",#REF!*$C$132)</f>
        <v/>
      </c>
      <c r="IH132" s="11" t="str">
        <f ca="1">IF(History!IL$2="","",#REF!*$C$132)</f>
        <v/>
      </c>
      <c r="II132" s="11" t="str">
        <f ca="1">IF(History!IM$2="","",#REF!*$C$132)</f>
        <v/>
      </c>
      <c r="IJ132" s="11" t="str">
        <f ca="1">IF(History!IN$2="","",#REF!*$C$132)</f>
        <v/>
      </c>
      <c r="IK132" s="11" t="str">
        <f ca="1">IF(History!IO$2="","",#REF!*$C$132)</f>
        <v/>
      </c>
      <c r="IL132" s="11" t="str">
        <f ca="1">IF(History!IP$2="","",#REF!*$C$132)</f>
        <v/>
      </c>
      <c r="IM132" s="11" t="str">
        <f ca="1">IF(History!IQ$2="","",#REF!*$C$132)</f>
        <v/>
      </c>
      <c r="IN132" s="11" t="str">
        <f ca="1">IF(History!IR$2="","",#REF!*$C$132)</f>
        <v/>
      </c>
      <c r="IO132" s="11" t="str">
        <f ca="1">IF(History!IS$2="","",#REF!*$C$132)</f>
        <v/>
      </c>
      <c r="IP132" s="11" t="str">
        <f ca="1">IF(History!IT$2="","",#REF!*$C$132)</f>
        <v/>
      </c>
      <c r="IQ132" s="11" t="str">
        <f ca="1">IF(History!IU$2="","",#REF!*$C$132)</f>
        <v/>
      </c>
      <c r="IR132" s="11" t="str">
        <f ca="1">IF(History!IV$2="","",#REF!*$C$132)</f>
        <v/>
      </c>
      <c r="IS132" s="11" t="str">
        <f ca="1">IF(History!IW$2="","",#REF!*$C$132)</f>
        <v/>
      </c>
      <c r="IT132" s="11" t="str">
        <f ca="1">IF(History!IX$2="","",#REF!*$C$132)</f>
        <v/>
      </c>
      <c r="IU132" s="11" t="str">
        <f ca="1">IF(History!IY$2="","",#REF!*$C$132)</f>
        <v/>
      </c>
      <c r="IV132" s="11" t="str">
        <f ca="1">IF(History!IZ$2="","",#REF!*$C$132)</f>
        <v/>
      </c>
      <c r="IW132" s="11" t="str">
        <f ca="1">IF(History!JA$2="","",#REF!*$C$132)</f>
        <v/>
      </c>
      <c r="IX132" s="11" t="str">
        <f ca="1">IF(History!JB$2="","",#REF!*$C$132)</f>
        <v/>
      </c>
      <c r="IY132" s="11" t="str">
        <f ca="1">IF(History!JC$2="","",#REF!*$C$132)</f>
        <v/>
      </c>
      <c r="IZ132" s="11" t="str">
        <f ca="1">IF(History!JD$2="","",#REF!*$C$132)</f>
        <v/>
      </c>
      <c r="JA132" s="11" t="str">
        <f ca="1">IF(History!JE$2="","",#REF!*$C$132)</f>
        <v/>
      </c>
      <c r="JB132" s="11" t="str">
        <f ca="1">IF(History!JF$2="","",#REF!*$C$132)</f>
        <v/>
      </c>
      <c r="JC132" s="11" t="str">
        <f ca="1">IF(History!JG$2="","",#REF!*$C$132)</f>
        <v/>
      </c>
      <c r="JD132" s="11" t="str">
        <f ca="1">IF(History!JH$2="","",#REF!*$C$132)</f>
        <v/>
      </c>
      <c r="JE132" s="11" t="str">
        <f ca="1">IF(History!JI$2="","",#REF!*$C$132)</f>
        <v/>
      </c>
      <c r="JF132" s="11" t="str">
        <f ca="1">IF(History!JJ$2="","",#REF!*$C$132)</f>
        <v/>
      </c>
      <c r="JG132" s="11" t="str">
        <f ca="1">IF(History!JK$2="","",#REF!*$C$132)</f>
        <v/>
      </c>
      <c r="JH132" s="11" t="str">
        <f ca="1">IF(History!JL$2="","",#REF!*$C$132)</f>
        <v/>
      </c>
      <c r="JI132" s="11" t="str">
        <f ca="1">IF(History!JM$2="","",#REF!*$C$132)</f>
        <v/>
      </c>
      <c r="JJ132" s="11" t="str">
        <f ca="1">IF(History!JN$2="","",#REF!*$C$132)</f>
        <v/>
      </c>
      <c r="JK132" s="11" t="str">
        <f ca="1">IF(History!JO$2="","",#REF!*$C$132)</f>
        <v/>
      </c>
      <c r="JL132" s="11" t="str">
        <f ca="1">IF(History!JP$2="","",#REF!*$C$132)</f>
        <v/>
      </c>
      <c r="JM132" s="11" t="str">
        <f ca="1">IF(History!JQ$2="","",#REF!*$C$132)</f>
        <v/>
      </c>
      <c r="JN132" s="11" t="str">
        <f ca="1">IF(History!JR$2="","",#REF!*$C$132)</f>
        <v/>
      </c>
      <c r="JO132" s="11" t="str">
        <f ca="1">IF(History!JS$2="","",#REF!*$C$132)</f>
        <v/>
      </c>
      <c r="JP132" s="11" t="str">
        <f ca="1">IF(History!JT$2="","",#REF!*$C$132)</f>
        <v/>
      </c>
      <c r="JQ132" s="11" t="str">
        <f ca="1">IF(History!JU$2="","",#REF!*$C$132)</f>
        <v/>
      </c>
      <c r="JR132" s="11" t="str">
        <f ca="1">IF(History!JV$2="","",#REF!*$C$132)</f>
        <v/>
      </c>
      <c r="JS132" s="11" t="str">
        <f ca="1">IF(History!JW$2="","",#REF!*$C$132)</f>
        <v/>
      </c>
      <c r="JT132" s="11" t="str">
        <f ca="1">IF(History!JX$2="","",#REF!*$C$132)</f>
        <v/>
      </c>
      <c r="JU132" s="11" t="str">
        <f ca="1">IF(History!JY$2="","",#REF!*$C$132)</f>
        <v/>
      </c>
      <c r="JV132" s="11" t="str">
        <f ca="1">IF(History!JZ$2="","",#REF!*$C$132)</f>
        <v/>
      </c>
      <c r="JW132" s="11" t="str">
        <f ca="1">IF(History!KA$2="","",#REF!*$C$132)</f>
        <v/>
      </c>
      <c r="JX132" s="11" t="str">
        <f ca="1">IF(History!KB$2="","",#REF!*$C$132)</f>
        <v/>
      </c>
      <c r="JY132" s="11" t="str">
        <f ca="1">IF(History!KC$2="","",#REF!*$C$132)</f>
        <v/>
      </c>
      <c r="JZ132" s="11" t="str">
        <f ca="1">IF(History!KD$2="","",#REF!*$C$132)</f>
        <v/>
      </c>
      <c r="KA132" s="11" t="str">
        <f ca="1">IF(History!KE$2="","",#REF!*$C$132)</f>
        <v/>
      </c>
      <c r="KB132" s="11" t="str">
        <f ca="1">IF(History!KF$2="","",#REF!*$C$132)</f>
        <v/>
      </c>
    </row>
    <row r="133" spans="1:288" ht="13">
      <c r="A133" s="2" t="s">
        <v>40</v>
      </c>
      <c r="B133" s="32" t="s">
        <v>120</v>
      </c>
      <c r="C133" s="33">
        <v>162</v>
      </c>
      <c r="D133" s="11" t="e">
        <f ca="1">IF(History!H$2="","",#REF!*$C$133)</f>
        <v>#REF!</v>
      </c>
      <c r="E133" s="11" t="e">
        <f ca="1">IF(History!I$2="","",#REF!*$C$133)</f>
        <v>#REF!</v>
      </c>
      <c r="F133" s="11" t="e">
        <f ca="1">IF(History!J$2="","",#REF!*$C$133)</f>
        <v>#REF!</v>
      </c>
      <c r="G133" s="11" t="e">
        <f ca="1">IF(History!K$2="","",#REF!*$C$133)</f>
        <v>#REF!</v>
      </c>
      <c r="H133" s="11" t="e">
        <f ca="1">IF(History!L$2="","",#REF!*$C$133)</f>
        <v>#REF!</v>
      </c>
      <c r="I133" s="11" t="e">
        <f ca="1">IF(History!M$2="","",#REF!*$C$133)</f>
        <v>#REF!</v>
      </c>
      <c r="J133" s="11" t="e">
        <f ca="1">IF(History!N$2="","",#REF!*$C$133)</f>
        <v>#REF!</v>
      </c>
      <c r="K133" s="11" t="e">
        <f ca="1">IF(History!O$2="","",#REF!*$C$133)</f>
        <v>#REF!</v>
      </c>
      <c r="L133" s="11" t="e">
        <f ca="1">IF(History!P$2="","",#REF!*$C$133)</f>
        <v>#REF!</v>
      </c>
      <c r="M133" s="11" t="e">
        <f ca="1">IF(History!Q$2="","",#REF!*$C$133)</f>
        <v>#REF!</v>
      </c>
      <c r="N133" s="11" t="e">
        <f ca="1">IF(History!R$2="","",#REF!*$C$133)</f>
        <v>#REF!</v>
      </c>
      <c r="O133" s="11" t="e">
        <f ca="1">IF(History!S$2="","",#REF!*$C$133)</f>
        <v>#REF!</v>
      </c>
      <c r="P133" s="11" t="e">
        <f ca="1">IF(History!T$2="","",#REF!*$C$133)</f>
        <v>#REF!</v>
      </c>
      <c r="Q133" s="11" t="e">
        <f ca="1">IF(History!U$2="","",#REF!*$C$133)</f>
        <v>#REF!</v>
      </c>
      <c r="R133" s="11" t="e">
        <f ca="1">IF(History!V$2="","",#REF!*$C$133)</f>
        <v>#REF!</v>
      </c>
      <c r="S133" s="11" t="e">
        <f ca="1">IF(History!W$2="","",#REF!*$C$133)</f>
        <v>#REF!</v>
      </c>
      <c r="T133" s="11" t="e">
        <f ca="1">IF(History!X$2="","",#REF!*$C$133)</f>
        <v>#REF!</v>
      </c>
      <c r="U133" s="11" t="e">
        <f ca="1">IF(History!Y$2="","",#REF!*$C$133)</f>
        <v>#REF!</v>
      </c>
      <c r="V133" s="11" t="e">
        <f ca="1">IF(History!Z$2="","",#REF!*$C$133)</f>
        <v>#REF!</v>
      </c>
      <c r="W133" s="11" t="e">
        <f ca="1">IF(History!AA$2="","",#REF!*$C$133)</f>
        <v>#REF!</v>
      </c>
      <c r="X133" s="11" t="e">
        <f ca="1">IF(History!AB$2="","",#REF!*$C$133)</f>
        <v>#REF!</v>
      </c>
      <c r="Y133" s="11" t="e">
        <f ca="1">IF(History!AC$2="","",#REF!*$C$133)</f>
        <v>#REF!</v>
      </c>
      <c r="Z133" s="11" t="e">
        <f ca="1">IF(History!AD$2="","",#REF!*$C$133)</f>
        <v>#REF!</v>
      </c>
      <c r="AA133" s="11" t="e">
        <f ca="1">IF(History!AE$2="","",#REF!*$C$133)</f>
        <v>#REF!</v>
      </c>
      <c r="AB133" s="11" t="e">
        <f ca="1">IF(History!AF$2="","",#REF!*$C$133)</f>
        <v>#REF!</v>
      </c>
      <c r="AC133" s="11" t="e">
        <f ca="1">IF(History!AG$2="","",#REF!*$C$133)</f>
        <v>#REF!</v>
      </c>
      <c r="AD133" s="11" t="e">
        <f ca="1">IF(History!AH$2="","",#REF!*$C$133)</f>
        <v>#REF!</v>
      </c>
      <c r="AE133" s="11" t="e">
        <f ca="1">IF(History!AI$2="","",#REF!*$C$133)</f>
        <v>#REF!</v>
      </c>
      <c r="AF133" s="11" t="e">
        <f ca="1">IF(History!AJ$2="","",#REF!*$C$133)</f>
        <v>#REF!</v>
      </c>
      <c r="AG133" s="11" t="e">
        <f ca="1">IF(History!AK$2="","",#REF!*$C$133)</f>
        <v>#REF!</v>
      </c>
      <c r="AH133" s="11" t="e">
        <f ca="1">IF(History!AL$2="","",#REF!*$C$133)</f>
        <v>#REF!</v>
      </c>
      <c r="AI133" s="11" t="e">
        <f ca="1">IF(History!AM$2="","",#REF!*$C$133)</f>
        <v>#REF!</v>
      </c>
      <c r="AJ133" s="11" t="e">
        <f ca="1">IF(History!AN$2="","",#REF!*$C$133)</f>
        <v>#REF!</v>
      </c>
      <c r="AK133" s="11" t="e">
        <f ca="1">IF(History!AO$2="","",#REF!*$C$133)</f>
        <v>#REF!</v>
      </c>
      <c r="AL133" s="11" t="e">
        <f ca="1">IF(History!AP$2="","",#REF!*$C$133)</f>
        <v>#REF!</v>
      </c>
      <c r="AM133" s="11" t="e">
        <f ca="1">IF(History!AQ$2="","",#REF!*$C$133)</f>
        <v>#REF!</v>
      </c>
      <c r="AN133" s="11" t="e">
        <f ca="1">IF(History!AR$2="","",#REF!*$C$133)</f>
        <v>#REF!</v>
      </c>
      <c r="AO133" s="11" t="e">
        <f ca="1">IF(History!AS$2="","",#REF!*$C$133)</f>
        <v>#REF!</v>
      </c>
      <c r="AP133" s="11" t="e">
        <f ca="1">IF(History!AT$2="","",#REF!*$C$133)</f>
        <v>#REF!</v>
      </c>
      <c r="AQ133" s="11" t="e">
        <f ca="1">IF(History!AU$2="","",#REF!*$C$133)</f>
        <v>#REF!</v>
      </c>
      <c r="AR133" s="11" t="e">
        <f ca="1">IF(History!AV$2="","",#REF!*$C$133)</f>
        <v>#REF!</v>
      </c>
      <c r="AS133" s="11" t="e">
        <f ca="1">IF(History!AW$2="","",#REF!*$C$133)</f>
        <v>#REF!</v>
      </c>
      <c r="AT133" s="11" t="e">
        <f ca="1">IF(History!AX$2="","",#REF!*$C$133)</f>
        <v>#REF!</v>
      </c>
      <c r="AU133" s="11" t="e">
        <f ca="1">IF(History!AY$2="","",#REF!*$C$133)</f>
        <v>#REF!</v>
      </c>
      <c r="AV133" s="11" t="e">
        <f ca="1">IF(History!AZ$2="","",#REF!*$C$133)</f>
        <v>#REF!</v>
      </c>
      <c r="AW133" s="11" t="e">
        <f ca="1">IF(History!BA$2="","",#REF!*$C$133)</f>
        <v>#REF!</v>
      </c>
      <c r="AX133" s="11" t="e">
        <f ca="1">IF(History!BB$2="","",#REF!*$C$133)</f>
        <v>#REF!</v>
      </c>
      <c r="AY133" s="11" t="e">
        <f ca="1">IF(History!BC$2="","",#REF!*$C$133)</f>
        <v>#REF!</v>
      </c>
      <c r="AZ133" s="11" t="e">
        <f ca="1">IF(History!BD$2="","",#REF!*$C$133)</f>
        <v>#REF!</v>
      </c>
      <c r="BA133" s="11" t="e">
        <f ca="1">IF(History!BE$2="","",#REF!*$C$133)</f>
        <v>#REF!</v>
      </c>
      <c r="BB133" s="11" t="e">
        <f ca="1">IF(History!BF$2="","",#REF!*$C$133)</f>
        <v>#REF!</v>
      </c>
      <c r="BC133" s="11" t="e">
        <f ca="1">IF(History!BG$2="","",#REF!*$C$133)</f>
        <v>#REF!</v>
      </c>
      <c r="BD133" s="11" t="e">
        <f ca="1">IF(History!BH$2="","",#REF!*$C$133)</f>
        <v>#REF!</v>
      </c>
      <c r="BE133" s="11" t="e">
        <f ca="1">IF(History!BI$2="","",#REF!*$C$133)</f>
        <v>#REF!</v>
      </c>
      <c r="BF133" s="11" t="e">
        <f ca="1">IF(History!BJ$2="","",#REF!*$C$133)</f>
        <v>#REF!</v>
      </c>
      <c r="BG133" s="11" t="e">
        <f ca="1">IF(History!BK$2="","",#REF!*$C$133)</f>
        <v>#REF!</v>
      </c>
      <c r="BH133" s="11" t="e">
        <f ca="1">IF(History!BL$2="","",#REF!*$C$133)</f>
        <v>#REF!</v>
      </c>
      <c r="BI133" s="11" t="e">
        <f ca="1">IF(History!BM$2="","",#REF!*$C$133)</f>
        <v>#REF!</v>
      </c>
      <c r="BJ133" s="11" t="e">
        <f ca="1">IF(History!BN$2="","",#REF!*$C$133)</f>
        <v>#REF!</v>
      </c>
      <c r="BK133" s="11" t="e">
        <f ca="1">IF(History!BO$2="","",#REF!*$C$133)</f>
        <v>#REF!</v>
      </c>
      <c r="BL133" s="11" t="e">
        <f ca="1">IF(History!BP$2="","",#REF!*$C$133)</f>
        <v>#REF!</v>
      </c>
      <c r="BM133" s="11" t="e">
        <f ca="1">IF(History!BQ$2="","",#REF!*$C$133)</f>
        <v>#REF!</v>
      </c>
      <c r="BN133" s="11" t="e">
        <f ca="1">IF(History!BR$2="","",#REF!*$C$133)</f>
        <v>#REF!</v>
      </c>
      <c r="BO133" s="11" t="e">
        <f ca="1">IF(History!BS$2="","",#REF!*$C$133)</f>
        <v>#REF!</v>
      </c>
      <c r="BP133" s="11" t="e">
        <f ca="1">IF(History!BT$2="","",#REF!*$C$133)</f>
        <v>#REF!</v>
      </c>
      <c r="BQ133" s="11" t="e">
        <f ca="1">IF(History!BU$2="","",#REF!*$C$133)</f>
        <v>#REF!</v>
      </c>
      <c r="BR133" s="11" t="e">
        <f ca="1">IF(History!BV$2="","",#REF!*$C$133)</f>
        <v>#REF!</v>
      </c>
      <c r="BS133" s="11" t="e">
        <f ca="1">IF(History!BW$2="","",#REF!*$C$133)</f>
        <v>#REF!</v>
      </c>
      <c r="BT133" s="11" t="e">
        <f ca="1">IF(History!BX$2="","",#REF!*$C$133)</f>
        <v>#REF!</v>
      </c>
      <c r="BU133" s="11" t="e">
        <f ca="1">IF(History!BY$2="","",#REF!*$C$133)</f>
        <v>#REF!</v>
      </c>
      <c r="BV133" s="11" t="e">
        <f ca="1">IF(History!BZ$2="","",#REF!*$C$133)</f>
        <v>#REF!</v>
      </c>
      <c r="BW133" s="11" t="e">
        <f ca="1">IF(History!CA$2="","",#REF!*$C$133)</f>
        <v>#REF!</v>
      </c>
      <c r="BX133" s="11" t="e">
        <f ca="1">IF(History!CB$2="","",#REF!*$C$133)</f>
        <v>#REF!</v>
      </c>
      <c r="BY133" s="11" t="e">
        <f ca="1">IF(History!CC$2="","",#REF!*$C$133)</f>
        <v>#REF!</v>
      </c>
      <c r="BZ133" s="11" t="e">
        <f ca="1">IF(History!CD$2="","",#REF!*$C$133)</f>
        <v>#REF!</v>
      </c>
      <c r="CA133" s="11" t="e">
        <f ca="1">IF(History!CE$2="","",#REF!*$C$133)</f>
        <v>#REF!</v>
      </c>
      <c r="CB133" s="11" t="e">
        <f ca="1">IF(History!CF$2="","",#REF!*$C$133)</f>
        <v>#REF!</v>
      </c>
      <c r="CC133" s="11" t="e">
        <f ca="1">IF(History!CG$2="","",#REF!*$C$133)</f>
        <v>#REF!</v>
      </c>
      <c r="CD133" s="11" t="e">
        <f ca="1">IF(History!CH$2="","",#REF!*$C$133)</f>
        <v>#REF!</v>
      </c>
      <c r="CE133" s="11" t="e">
        <f ca="1">IF(History!CI$2="","",#REF!*$C$133)</f>
        <v>#REF!</v>
      </c>
      <c r="CF133" s="11" t="str">
        <f ca="1">IF(History!CJ$2="","",#REF!*$C$133)</f>
        <v/>
      </c>
      <c r="CG133" s="11" t="str">
        <f ca="1">IF(History!CK$2="","",#REF!*$C$133)</f>
        <v/>
      </c>
      <c r="CH133" s="11" t="str">
        <f ca="1">IF(History!CL$2="","",#REF!*$C$133)</f>
        <v/>
      </c>
      <c r="CI133" s="11" t="str">
        <f ca="1">IF(History!CM$2="","",#REF!*$C$133)</f>
        <v/>
      </c>
      <c r="CJ133" s="11" t="str">
        <f ca="1">IF(History!CN$2="","",#REF!*$C$133)</f>
        <v/>
      </c>
      <c r="CK133" s="11" t="str">
        <f ca="1">IF(History!CO$2="","",#REF!*$C$133)</f>
        <v/>
      </c>
      <c r="CL133" s="11" t="str">
        <f ca="1">IF(History!CP$2="","",#REF!*$C$133)</f>
        <v/>
      </c>
      <c r="CM133" s="11" t="str">
        <f ca="1">IF(History!CQ$2="","",#REF!*$C$133)</f>
        <v/>
      </c>
      <c r="CN133" s="11" t="str">
        <f ca="1">IF(History!CR$2="","",#REF!*$C$133)</f>
        <v/>
      </c>
      <c r="CO133" s="11" t="str">
        <f ca="1">IF(History!CS$2="","",#REF!*$C$133)</f>
        <v/>
      </c>
      <c r="CP133" s="11" t="str">
        <f ca="1">IF(History!CT$2="","",#REF!*$C$133)</f>
        <v/>
      </c>
      <c r="CQ133" s="11" t="str">
        <f ca="1">IF(History!CU$2="","",#REF!*$C$133)</f>
        <v/>
      </c>
      <c r="CR133" s="11" t="str">
        <f ca="1">IF(History!CV$2="","",#REF!*$C$133)</f>
        <v/>
      </c>
      <c r="CS133" s="11" t="str">
        <f ca="1">IF(History!CW$2="","",#REF!*$C$133)</f>
        <v/>
      </c>
      <c r="CT133" s="11" t="str">
        <f ca="1">IF(History!CX$2="","",#REF!*$C$133)</f>
        <v/>
      </c>
      <c r="CU133" s="11" t="str">
        <f ca="1">IF(History!CY$2="","",#REF!*$C$133)</f>
        <v/>
      </c>
      <c r="CV133" s="11" t="str">
        <f ca="1">IF(History!CZ$2="","",#REF!*$C$133)</f>
        <v/>
      </c>
      <c r="CW133" s="11" t="str">
        <f ca="1">IF(History!DA$2="","",#REF!*$C$133)</f>
        <v/>
      </c>
      <c r="CX133" s="11" t="str">
        <f ca="1">IF(History!DB$2="","",#REF!*$C$133)</f>
        <v/>
      </c>
      <c r="CY133" s="11" t="str">
        <f ca="1">IF(History!DC$2="","",#REF!*$C$133)</f>
        <v/>
      </c>
      <c r="CZ133" s="11" t="str">
        <f ca="1">IF(History!DD$2="","",#REF!*$C$133)</f>
        <v/>
      </c>
      <c r="DA133" s="11" t="str">
        <f ca="1">IF(History!DE$2="","",#REF!*$C$133)</f>
        <v/>
      </c>
      <c r="DB133" s="11" t="str">
        <f ca="1">IF(History!DF$2="","",#REF!*$C$133)</f>
        <v/>
      </c>
      <c r="DC133" s="11" t="str">
        <f ca="1">IF(History!DG$2="","",#REF!*$C$133)</f>
        <v/>
      </c>
      <c r="DD133" s="11" t="str">
        <f ca="1">IF(History!DH$2="","",#REF!*$C$133)</f>
        <v/>
      </c>
      <c r="DE133" s="11" t="str">
        <f ca="1">IF(History!DI$2="","",#REF!*$C$133)</f>
        <v/>
      </c>
      <c r="DF133" s="11" t="str">
        <f ca="1">IF(History!DJ$2="","",#REF!*$C$133)</f>
        <v/>
      </c>
      <c r="DG133" s="11" t="str">
        <f ca="1">IF(History!DK$2="","",#REF!*$C$133)</f>
        <v/>
      </c>
      <c r="DH133" s="11" t="str">
        <f ca="1">IF(History!DL$2="","",#REF!*$C$133)</f>
        <v/>
      </c>
      <c r="DI133" s="11" t="str">
        <f ca="1">IF(History!DM$2="","",#REF!*$C$133)</f>
        <v/>
      </c>
      <c r="DJ133" s="11" t="str">
        <f ca="1">IF(History!DN$2="","",#REF!*$C$133)</f>
        <v/>
      </c>
      <c r="DK133" s="11" t="str">
        <f ca="1">IF(History!DO$2="","",#REF!*$C$133)</f>
        <v/>
      </c>
      <c r="DL133" s="11" t="str">
        <f ca="1">IF(History!DP$2="","",#REF!*$C$133)</f>
        <v/>
      </c>
      <c r="DM133" s="11" t="str">
        <f ca="1">IF(History!DQ$2="","",#REF!*$C$133)</f>
        <v/>
      </c>
      <c r="DN133" s="11" t="str">
        <f ca="1">IF(History!DR$2="","",#REF!*$C$133)</f>
        <v/>
      </c>
      <c r="DO133" s="11" t="str">
        <f ca="1">IF(History!DS$2="","",#REF!*$C$133)</f>
        <v/>
      </c>
      <c r="DP133" s="11" t="str">
        <f ca="1">IF(History!DT$2="","",#REF!*$C$133)</f>
        <v/>
      </c>
      <c r="DQ133" s="11" t="str">
        <f ca="1">IF(History!DU$2="","",#REF!*$C$133)</f>
        <v/>
      </c>
      <c r="DR133" s="11" t="str">
        <f ca="1">IF(History!DV$2="","",#REF!*$C$133)</f>
        <v/>
      </c>
      <c r="DS133" s="11" t="str">
        <f ca="1">IF(History!DW$2="","",#REF!*$C$133)</f>
        <v/>
      </c>
      <c r="DT133" s="11" t="str">
        <f ca="1">IF(History!DX$2="","",#REF!*$C$133)</f>
        <v/>
      </c>
      <c r="DU133" s="11" t="str">
        <f ca="1">IF(History!DY$2="","",#REF!*$C$133)</f>
        <v/>
      </c>
      <c r="DV133" s="11" t="str">
        <f ca="1">IF(History!DZ$2="","",#REF!*$C$133)</f>
        <v/>
      </c>
      <c r="DW133" s="11" t="str">
        <f ca="1">IF(History!EA$2="","",#REF!*$C$133)</f>
        <v/>
      </c>
      <c r="DX133" s="11" t="str">
        <f ca="1">IF(History!EB$2="","",#REF!*$C$133)</f>
        <v/>
      </c>
      <c r="DY133" s="11" t="str">
        <f ca="1">IF(History!EC$2="","",#REF!*$C$133)</f>
        <v/>
      </c>
      <c r="DZ133" s="11" t="str">
        <f ca="1">IF(History!ED$2="","",#REF!*$C$133)</f>
        <v/>
      </c>
      <c r="EA133" s="11" t="str">
        <f ca="1">IF(History!EE$2="","",#REF!*$C$133)</f>
        <v/>
      </c>
      <c r="EB133" s="11" t="str">
        <f ca="1">IF(History!EF$2="","",#REF!*$C$133)</f>
        <v/>
      </c>
      <c r="EC133" s="11" t="str">
        <f ca="1">IF(History!EG$2="","",#REF!*$C$133)</f>
        <v/>
      </c>
      <c r="ED133" s="11" t="str">
        <f ca="1">IF(History!EH$2="","",#REF!*$C$133)</f>
        <v/>
      </c>
      <c r="EE133" s="11" t="str">
        <f ca="1">IF(History!EI$2="","",#REF!*$C$133)</f>
        <v/>
      </c>
      <c r="EF133" s="11" t="str">
        <f ca="1">IF(History!EJ$2="","",#REF!*$C$133)</f>
        <v/>
      </c>
      <c r="EG133" s="11" t="str">
        <f ca="1">IF(History!EK$2="","",#REF!*$C$133)</f>
        <v/>
      </c>
      <c r="EH133" s="11" t="str">
        <f ca="1">IF(History!EL$2="","",#REF!*$C$133)</f>
        <v/>
      </c>
      <c r="EI133" s="11" t="str">
        <f ca="1">IF(History!EM$2="","",#REF!*$C$133)</f>
        <v/>
      </c>
      <c r="EJ133" s="11" t="str">
        <f ca="1">IF(History!EN$2="","",#REF!*$C$133)</f>
        <v/>
      </c>
      <c r="EK133" s="11" t="str">
        <f ca="1">IF(History!EO$2="","",#REF!*$C$133)</f>
        <v/>
      </c>
      <c r="EL133" s="11" t="str">
        <f ca="1">IF(History!EP$2="","",#REF!*$C$133)</f>
        <v/>
      </c>
      <c r="EM133" s="11" t="str">
        <f ca="1">IF(History!EQ$2="","",#REF!*$C$133)</f>
        <v/>
      </c>
      <c r="EN133" s="11" t="str">
        <f ca="1">IF(History!ER$2="","",#REF!*$C$133)</f>
        <v/>
      </c>
      <c r="EO133" s="11" t="str">
        <f ca="1">IF(History!ES$2="","",#REF!*$C$133)</f>
        <v/>
      </c>
      <c r="EP133" s="11" t="str">
        <f ca="1">IF(History!ET$2="","",#REF!*$C$133)</f>
        <v/>
      </c>
      <c r="EQ133" s="11" t="str">
        <f ca="1">IF(History!EU$2="","",#REF!*$C$133)</f>
        <v/>
      </c>
      <c r="ER133" s="11" t="str">
        <f ca="1">IF(History!EV$2="","",#REF!*$C$133)</f>
        <v/>
      </c>
      <c r="ES133" s="11" t="str">
        <f ca="1">IF(History!EW$2="","",#REF!*$C$133)</f>
        <v/>
      </c>
      <c r="ET133" s="11" t="str">
        <f ca="1">IF(History!EX$2="","",#REF!*$C$133)</f>
        <v/>
      </c>
      <c r="EU133" s="11" t="str">
        <f ca="1">IF(History!EY$2="","",#REF!*$C$133)</f>
        <v/>
      </c>
      <c r="EV133" s="11" t="str">
        <f ca="1">IF(History!EZ$2="","",#REF!*$C$133)</f>
        <v/>
      </c>
      <c r="EW133" s="11" t="str">
        <f ca="1">IF(History!FA$2="","",#REF!*$C$133)</f>
        <v/>
      </c>
      <c r="EX133" s="11" t="str">
        <f ca="1">IF(History!FB$2="","",#REF!*$C$133)</f>
        <v/>
      </c>
      <c r="EY133" s="11" t="str">
        <f ca="1">IF(History!FC$2="","",#REF!*$C$133)</f>
        <v/>
      </c>
      <c r="EZ133" s="11" t="str">
        <f ca="1">IF(History!FD$2="","",#REF!*$C$133)</f>
        <v/>
      </c>
      <c r="FA133" s="11" t="str">
        <f ca="1">IF(History!FE$2="","",#REF!*$C$133)</f>
        <v/>
      </c>
      <c r="FB133" s="11" t="str">
        <f ca="1">IF(History!FF$2="","",#REF!*$C$133)</f>
        <v/>
      </c>
      <c r="FC133" s="11" t="str">
        <f ca="1">IF(History!FG$2="","",#REF!*$C$133)</f>
        <v/>
      </c>
      <c r="FD133" s="11" t="str">
        <f ca="1">IF(History!FH$2="","",#REF!*$C$133)</f>
        <v/>
      </c>
      <c r="FE133" s="11" t="str">
        <f ca="1">IF(History!FI$2="","",#REF!*$C$133)</f>
        <v/>
      </c>
      <c r="FF133" s="11" t="str">
        <f ca="1">IF(History!FJ$2="","",#REF!*$C$133)</f>
        <v/>
      </c>
      <c r="FG133" s="11" t="str">
        <f ca="1">IF(History!FK$2="","",#REF!*$C$133)</f>
        <v/>
      </c>
      <c r="FH133" s="11" t="str">
        <f ca="1">IF(History!FL$2="","",#REF!*$C$133)</f>
        <v/>
      </c>
      <c r="FI133" s="11" t="str">
        <f ca="1">IF(History!FM$2="","",#REF!*$C$133)</f>
        <v/>
      </c>
      <c r="FJ133" s="11" t="str">
        <f ca="1">IF(History!FN$2="","",#REF!*$C$133)</f>
        <v/>
      </c>
      <c r="FK133" s="11" t="str">
        <f ca="1">IF(History!FO$2="","",#REF!*$C$133)</f>
        <v/>
      </c>
      <c r="FL133" s="11" t="str">
        <f ca="1">IF(History!FP$2="","",#REF!*$C$133)</f>
        <v/>
      </c>
      <c r="FM133" s="11" t="str">
        <f ca="1">IF(History!FQ$2="","",#REF!*$C$133)</f>
        <v/>
      </c>
      <c r="FN133" s="11" t="str">
        <f ca="1">IF(History!FR$2="","",#REF!*$C$133)</f>
        <v/>
      </c>
      <c r="FO133" s="11" t="str">
        <f ca="1">IF(History!FS$2="","",#REF!*$C$133)</f>
        <v/>
      </c>
      <c r="FP133" s="11" t="str">
        <f ca="1">IF(History!FT$2="","",#REF!*$C$133)</f>
        <v/>
      </c>
      <c r="FQ133" s="11" t="str">
        <f ca="1">IF(History!FU$2="","",#REF!*$C$133)</f>
        <v/>
      </c>
      <c r="FR133" s="11" t="str">
        <f ca="1">IF(History!FV$2="","",#REF!*$C$133)</f>
        <v/>
      </c>
      <c r="FS133" s="11" t="str">
        <f ca="1">IF(History!FW$2="","",#REF!*$C$133)</f>
        <v/>
      </c>
      <c r="FT133" s="11" t="str">
        <f ca="1">IF(History!FX$2="","",#REF!*$C$133)</f>
        <v/>
      </c>
      <c r="FU133" s="11" t="str">
        <f ca="1">IF(History!FY$2="","",#REF!*$C$133)</f>
        <v/>
      </c>
      <c r="FV133" s="11" t="str">
        <f ca="1">IF(History!FZ$2="","",#REF!*$C$133)</f>
        <v/>
      </c>
      <c r="FW133" s="11" t="str">
        <f ca="1">IF(History!GA$2="","",#REF!*$C$133)</f>
        <v/>
      </c>
      <c r="FX133" s="11" t="str">
        <f ca="1">IF(History!GB$2="","",#REF!*$C$133)</f>
        <v/>
      </c>
      <c r="FY133" s="11" t="str">
        <f ca="1">IF(History!GC$2="","",#REF!*$C$133)</f>
        <v/>
      </c>
      <c r="FZ133" s="11" t="str">
        <f ca="1">IF(History!GD$2="","",#REF!*$C$133)</f>
        <v/>
      </c>
      <c r="GA133" s="11" t="str">
        <f ca="1">IF(History!GE$2="","",#REF!*$C$133)</f>
        <v/>
      </c>
      <c r="GB133" s="11" t="str">
        <f ca="1">IF(History!GF$2="","",#REF!*$C$133)</f>
        <v/>
      </c>
      <c r="GC133" s="11" t="str">
        <f ca="1">IF(History!GG$2="","",#REF!*$C$133)</f>
        <v/>
      </c>
      <c r="GD133" s="11" t="str">
        <f ca="1">IF(History!GH$2="","",#REF!*$C$133)</f>
        <v/>
      </c>
      <c r="GE133" s="11" t="str">
        <f ca="1">IF(History!GI$2="","",#REF!*$C$133)</f>
        <v/>
      </c>
      <c r="GF133" s="11" t="str">
        <f ca="1">IF(History!GJ$2="","",#REF!*$C$133)</f>
        <v/>
      </c>
      <c r="GG133" s="11" t="str">
        <f ca="1">IF(History!GK$2="","",#REF!*$C$133)</f>
        <v/>
      </c>
      <c r="GH133" s="11" t="str">
        <f ca="1">IF(History!GL$2="","",#REF!*$C$133)</f>
        <v/>
      </c>
      <c r="GI133" s="11" t="str">
        <f ca="1">IF(History!GM$2="","",#REF!*$C$133)</f>
        <v/>
      </c>
      <c r="GJ133" s="11" t="str">
        <f ca="1">IF(History!GN$2="","",#REF!*$C$133)</f>
        <v/>
      </c>
      <c r="GK133" s="11" t="str">
        <f ca="1">IF(History!GO$2="","",#REF!*$C$133)</f>
        <v/>
      </c>
      <c r="GL133" s="11" t="str">
        <f ca="1">IF(History!GP$2="","",#REF!*$C$133)</f>
        <v/>
      </c>
      <c r="GM133" s="11" t="str">
        <f ca="1">IF(History!GQ$2="","",#REF!*$C$133)</f>
        <v/>
      </c>
      <c r="GN133" s="11" t="str">
        <f ca="1">IF(History!GR$2="","",#REF!*$C$133)</f>
        <v/>
      </c>
      <c r="GO133" s="11" t="str">
        <f ca="1">IF(History!GS$2="","",#REF!*$C$133)</f>
        <v/>
      </c>
      <c r="GP133" s="11" t="str">
        <f ca="1">IF(History!GT$2="","",#REF!*$C$133)</f>
        <v/>
      </c>
      <c r="GQ133" s="11" t="str">
        <f ca="1">IF(History!GU$2="","",#REF!*$C$133)</f>
        <v/>
      </c>
      <c r="GR133" s="11" t="str">
        <f ca="1">IF(History!GV$2="","",#REF!*$C$133)</f>
        <v/>
      </c>
      <c r="GS133" s="11" t="str">
        <f ca="1">IF(History!GW$2="","",#REF!*$C$133)</f>
        <v/>
      </c>
      <c r="GT133" s="11" t="str">
        <f ca="1">IF(History!GX$2="","",#REF!*$C$133)</f>
        <v/>
      </c>
      <c r="GU133" s="11" t="str">
        <f ca="1">IF(History!GY$2="","",#REF!*$C$133)</f>
        <v/>
      </c>
      <c r="GV133" s="11" t="str">
        <f ca="1">IF(History!GZ$2="","",#REF!*$C$133)</f>
        <v/>
      </c>
      <c r="GW133" s="11" t="str">
        <f ca="1">IF(History!HA$2="","",#REF!*$C$133)</f>
        <v/>
      </c>
      <c r="GX133" s="11" t="str">
        <f ca="1">IF(History!HB$2="","",#REF!*$C$133)</f>
        <v/>
      </c>
      <c r="GY133" s="11" t="str">
        <f ca="1">IF(History!HC$2="","",#REF!*$C$133)</f>
        <v/>
      </c>
      <c r="GZ133" s="11" t="str">
        <f ca="1">IF(History!HD$2="","",#REF!*$C$133)</f>
        <v/>
      </c>
      <c r="HA133" s="11" t="str">
        <f ca="1">IF(History!HE$2="","",#REF!*$C$133)</f>
        <v/>
      </c>
      <c r="HB133" s="11" t="str">
        <f ca="1">IF(History!HF$2="","",#REF!*$C$133)</f>
        <v/>
      </c>
      <c r="HC133" s="11" t="str">
        <f ca="1">IF(History!HG$2="","",#REF!*$C$133)</f>
        <v/>
      </c>
      <c r="HD133" s="11" t="str">
        <f ca="1">IF(History!HH$2="","",#REF!*$C$133)</f>
        <v/>
      </c>
      <c r="HE133" s="11" t="str">
        <f ca="1">IF(History!HI$2="","",#REF!*$C$133)</f>
        <v/>
      </c>
      <c r="HF133" s="11" t="str">
        <f ca="1">IF(History!HJ$2="","",#REF!*$C$133)</f>
        <v/>
      </c>
      <c r="HG133" s="11" t="str">
        <f ca="1">IF(History!HK$2="","",#REF!*$C$133)</f>
        <v/>
      </c>
      <c r="HH133" s="11" t="str">
        <f ca="1">IF(History!HL$2="","",#REF!*$C$133)</f>
        <v/>
      </c>
      <c r="HI133" s="11" t="str">
        <f ca="1">IF(History!HM$2="","",#REF!*$C$133)</f>
        <v/>
      </c>
      <c r="HJ133" s="11" t="str">
        <f ca="1">IF(History!HN$2="","",#REF!*$C$133)</f>
        <v/>
      </c>
      <c r="HK133" s="11" t="str">
        <f ca="1">IF(History!HO$2="","",#REF!*$C$133)</f>
        <v/>
      </c>
      <c r="HL133" s="11" t="str">
        <f ca="1">IF(History!HP$2="","",#REF!*$C$133)</f>
        <v/>
      </c>
      <c r="HM133" s="11" t="str">
        <f ca="1">IF(History!HQ$2="","",#REF!*$C$133)</f>
        <v/>
      </c>
      <c r="HN133" s="11" t="str">
        <f ca="1">IF(History!HR$2="","",#REF!*$C$133)</f>
        <v/>
      </c>
      <c r="HO133" s="11" t="str">
        <f ca="1">IF(History!HS$2="","",#REF!*$C$133)</f>
        <v/>
      </c>
      <c r="HP133" s="11" t="str">
        <f ca="1">IF(History!HT$2="","",#REF!*$C$133)</f>
        <v/>
      </c>
      <c r="HQ133" s="11" t="str">
        <f ca="1">IF(History!HU$2="","",#REF!*$C$133)</f>
        <v/>
      </c>
      <c r="HR133" s="11" t="str">
        <f ca="1">IF(History!HV$2="","",#REF!*$C$133)</f>
        <v/>
      </c>
      <c r="HS133" s="11" t="str">
        <f ca="1">IF(History!HW$2="","",#REF!*$C$133)</f>
        <v/>
      </c>
      <c r="HT133" s="11" t="str">
        <f ca="1">IF(History!HX$2="","",#REF!*$C$133)</f>
        <v/>
      </c>
      <c r="HU133" s="11" t="str">
        <f ca="1">IF(History!HY$2="","",#REF!*$C$133)</f>
        <v/>
      </c>
      <c r="HV133" s="11" t="str">
        <f ca="1">IF(History!HZ$2="","",#REF!*$C$133)</f>
        <v/>
      </c>
      <c r="HW133" s="11" t="str">
        <f ca="1">IF(History!IA$2="","",#REF!*$C$133)</f>
        <v/>
      </c>
      <c r="HX133" s="11" t="str">
        <f ca="1">IF(History!IB$2="","",#REF!*$C$133)</f>
        <v/>
      </c>
      <c r="HY133" s="11" t="str">
        <f ca="1">IF(History!IC$2="","",#REF!*$C$133)</f>
        <v/>
      </c>
      <c r="HZ133" s="11" t="str">
        <f ca="1">IF(History!ID$2="","",#REF!*$C$133)</f>
        <v/>
      </c>
      <c r="IA133" s="11" t="str">
        <f ca="1">IF(History!IE$2="","",#REF!*$C$133)</f>
        <v/>
      </c>
      <c r="IB133" s="11" t="str">
        <f ca="1">IF(History!IF$2="","",#REF!*$C$133)</f>
        <v/>
      </c>
      <c r="IC133" s="11" t="str">
        <f ca="1">IF(History!IG$2="","",#REF!*$C$133)</f>
        <v/>
      </c>
      <c r="ID133" s="11" t="str">
        <f ca="1">IF(History!IH$2="","",#REF!*$C$133)</f>
        <v/>
      </c>
      <c r="IE133" s="11" t="str">
        <f ca="1">IF(History!II$2="","",#REF!*$C$133)</f>
        <v/>
      </c>
      <c r="IF133" s="11" t="str">
        <f ca="1">IF(History!IJ$2="","",#REF!*$C$133)</f>
        <v/>
      </c>
      <c r="IG133" s="11" t="str">
        <f ca="1">IF(History!IK$2="","",#REF!*$C$133)</f>
        <v/>
      </c>
      <c r="IH133" s="11" t="str">
        <f ca="1">IF(History!IL$2="","",#REF!*$C$133)</f>
        <v/>
      </c>
      <c r="II133" s="11" t="str">
        <f ca="1">IF(History!IM$2="","",#REF!*$C$133)</f>
        <v/>
      </c>
      <c r="IJ133" s="11" t="str">
        <f ca="1">IF(History!IN$2="","",#REF!*$C$133)</f>
        <v/>
      </c>
      <c r="IK133" s="11" t="str">
        <f ca="1">IF(History!IO$2="","",#REF!*$C$133)</f>
        <v/>
      </c>
      <c r="IL133" s="11" t="str">
        <f ca="1">IF(History!IP$2="","",#REF!*$C$133)</f>
        <v/>
      </c>
      <c r="IM133" s="11" t="str">
        <f ca="1">IF(History!IQ$2="","",#REF!*$C$133)</f>
        <v/>
      </c>
      <c r="IN133" s="11" t="str">
        <f ca="1">IF(History!IR$2="","",#REF!*$C$133)</f>
        <v/>
      </c>
      <c r="IO133" s="11" t="str">
        <f ca="1">IF(History!IS$2="","",#REF!*$C$133)</f>
        <v/>
      </c>
      <c r="IP133" s="11" t="str">
        <f ca="1">IF(History!IT$2="","",#REF!*$C$133)</f>
        <v/>
      </c>
      <c r="IQ133" s="11" t="str">
        <f ca="1">IF(History!IU$2="","",#REF!*$C$133)</f>
        <v/>
      </c>
      <c r="IR133" s="11" t="str">
        <f ca="1">IF(History!IV$2="","",#REF!*$C$133)</f>
        <v/>
      </c>
      <c r="IS133" s="11" t="str">
        <f ca="1">IF(History!IW$2="","",#REF!*$C$133)</f>
        <v/>
      </c>
      <c r="IT133" s="11" t="str">
        <f ca="1">IF(History!IX$2="","",#REF!*$C$133)</f>
        <v/>
      </c>
      <c r="IU133" s="11" t="str">
        <f ca="1">IF(History!IY$2="","",#REF!*$C$133)</f>
        <v/>
      </c>
      <c r="IV133" s="11" t="str">
        <f ca="1">IF(History!IZ$2="","",#REF!*$C$133)</f>
        <v/>
      </c>
      <c r="IW133" s="11" t="str">
        <f ca="1">IF(History!JA$2="","",#REF!*$C$133)</f>
        <v/>
      </c>
      <c r="IX133" s="11" t="str">
        <f ca="1">IF(History!JB$2="","",#REF!*$C$133)</f>
        <v/>
      </c>
      <c r="IY133" s="11" t="str">
        <f ca="1">IF(History!JC$2="","",#REF!*$C$133)</f>
        <v/>
      </c>
      <c r="IZ133" s="11" t="str">
        <f ca="1">IF(History!JD$2="","",#REF!*$C$133)</f>
        <v/>
      </c>
      <c r="JA133" s="11" t="str">
        <f ca="1">IF(History!JE$2="","",#REF!*$C$133)</f>
        <v/>
      </c>
      <c r="JB133" s="11" t="str">
        <f ca="1">IF(History!JF$2="","",#REF!*$C$133)</f>
        <v/>
      </c>
      <c r="JC133" s="11" t="str">
        <f ca="1">IF(History!JG$2="","",#REF!*$C$133)</f>
        <v/>
      </c>
      <c r="JD133" s="11" t="str">
        <f ca="1">IF(History!JH$2="","",#REF!*$C$133)</f>
        <v/>
      </c>
      <c r="JE133" s="11" t="str">
        <f ca="1">IF(History!JI$2="","",#REF!*$C$133)</f>
        <v/>
      </c>
      <c r="JF133" s="11" t="str">
        <f ca="1">IF(History!JJ$2="","",#REF!*$C$133)</f>
        <v/>
      </c>
      <c r="JG133" s="11" t="str">
        <f ca="1">IF(History!JK$2="","",#REF!*$C$133)</f>
        <v/>
      </c>
      <c r="JH133" s="11" t="str">
        <f ca="1">IF(History!JL$2="","",#REF!*$C$133)</f>
        <v/>
      </c>
      <c r="JI133" s="11" t="str">
        <f ca="1">IF(History!JM$2="","",#REF!*$C$133)</f>
        <v/>
      </c>
      <c r="JJ133" s="11" t="str">
        <f ca="1">IF(History!JN$2="","",#REF!*$C$133)</f>
        <v/>
      </c>
      <c r="JK133" s="11" t="str">
        <f ca="1">IF(History!JO$2="","",#REF!*$C$133)</f>
        <v/>
      </c>
      <c r="JL133" s="11" t="str">
        <f ca="1">IF(History!JP$2="","",#REF!*$C$133)</f>
        <v/>
      </c>
      <c r="JM133" s="11" t="str">
        <f ca="1">IF(History!JQ$2="","",#REF!*$C$133)</f>
        <v/>
      </c>
      <c r="JN133" s="11" t="str">
        <f ca="1">IF(History!JR$2="","",#REF!*$C$133)</f>
        <v/>
      </c>
      <c r="JO133" s="11" t="str">
        <f ca="1">IF(History!JS$2="","",#REF!*$C$133)</f>
        <v/>
      </c>
      <c r="JP133" s="11" t="str">
        <f ca="1">IF(History!JT$2="","",#REF!*$C$133)</f>
        <v/>
      </c>
      <c r="JQ133" s="11" t="str">
        <f ca="1">IF(History!JU$2="","",#REF!*$C$133)</f>
        <v/>
      </c>
      <c r="JR133" s="11" t="str">
        <f ca="1">IF(History!JV$2="","",#REF!*$C$133)</f>
        <v/>
      </c>
      <c r="JS133" s="11" t="str">
        <f ca="1">IF(History!JW$2="","",#REF!*$C$133)</f>
        <v/>
      </c>
      <c r="JT133" s="11" t="str">
        <f ca="1">IF(History!JX$2="","",#REF!*$C$133)</f>
        <v/>
      </c>
      <c r="JU133" s="11" t="str">
        <f ca="1">IF(History!JY$2="","",#REF!*$C$133)</f>
        <v/>
      </c>
      <c r="JV133" s="11" t="str">
        <f ca="1">IF(History!JZ$2="","",#REF!*$C$133)</f>
        <v/>
      </c>
      <c r="JW133" s="11" t="str">
        <f ca="1">IF(History!KA$2="","",#REF!*$C$133)</f>
        <v/>
      </c>
      <c r="JX133" s="11" t="str">
        <f ca="1">IF(History!KB$2="","",#REF!*$C$133)</f>
        <v/>
      </c>
      <c r="JY133" s="11" t="str">
        <f ca="1">IF(History!KC$2="","",#REF!*$C$133)</f>
        <v/>
      </c>
      <c r="JZ133" s="11" t="str">
        <f ca="1">IF(History!KD$2="","",#REF!*$C$133)</f>
        <v/>
      </c>
      <c r="KA133" s="11" t="str">
        <f ca="1">IF(History!KE$2="","",#REF!*$C$133)</f>
        <v/>
      </c>
      <c r="KB133" s="11" t="str">
        <f ca="1">IF(History!KF$2="","",#REF!*$C$133)</f>
        <v/>
      </c>
    </row>
    <row r="134" spans="1:288" ht="13">
      <c r="A134" s="2" t="s">
        <v>40</v>
      </c>
      <c r="B134" s="32" t="s">
        <v>121</v>
      </c>
      <c r="C134" s="33">
        <v>111</v>
      </c>
      <c r="D134" s="11" t="e">
        <f ca="1">IF(History!H$2="","",#REF!*$C$134)</f>
        <v>#REF!</v>
      </c>
      <c r="E134" s="11" t="e">
        <f ca="1">IF(History!I$2="","",#REF!*$C$134)</f>
        <v>#REF!</v>
      </c>
      <c r="F134" s="11" t="e">
        <f ca="1">IF(History!J$2="","",#REF!*$C$134)</f>
        <v>#REF!</v>
      </c>
      <c r="G134" s="11" t="e">
        <f ca="1">IF(History!K$2="","",#REF!*$C$134)</f>
        <v>#REF!</v>
      </c>
      <c r="H134" s="11" t="e">
        <f ca="1">IF(History!L$2="","",#REF!*$C$134)</f>
        <v>#REF!</v>
      </c>
      <c r="I134" s="11" t="e">
        <f ca="1">IF(History!M$2="","",#REF!*$C$134)</f>
        <v>#REF!</v>
      </c>
      <c r="J134" s="11" t="e">
        <f ca="1">IF(History!N$2="","",#REF!*$C$134)</f>
        <v>#REF!</v>
      </c>
      <c r="K134" s="11" t="e">
        <f ca="1">IF(History!O$2="","",#REF!*$C$134)</f>
        <v>#REF!</v>
      </c>
      <c r="L134" s="11" t="e">
        <f ca="1">IF(History!P$2="","",#REF!*$C$134)</f>
        <v>#REF!</v>
      </c>
      <c r="M134" s="11" t="e">
        <f ca="1">IF(History!Q$2="","",#REF!*$C$134)</f>
        <v>#REF!</v>
      </c>
      <c r="N134" s="11" t="e">
        <f ca="1">IF(History!R$2="","",#REF!*$C$134)</f>
        <v>#REF!</v>
      </c>
      <c r="O134" s="11" t="e">
        <f ca="1">IF(History!S$2="","",#REF!*$C$134)</f>
        <v>#REF!</v>
      </c>
      <c r="P134" s="11" t="e">
        <f ca="1">IF(History!T$2="","",#REF!*$C$134)</f>
        <v>#REF!</v>
      </c>
      <c r="Q134" s="11" t="e">
        <f ca="1">IF(History!U$2="","",#REF!*$C$134)</f>
        <v>#REF!</v>
      </c>
      <c r="R134" s="11" t="e">
        <f ca="1">IF(History!V$2="","",#REF!*$C$134)</f>
        <v>#REF!</v>
      </c>
      <c r="S134" s="11" t="e">
        <f ca="1">IF(History!W$2="","",#REF!*$C$134)</f>
        <v>#REF!</v>
      </c>
      <c r="T134" s="11" t="e">
        <f ca="1">IF(History!X$2="","",#REF!*$C$134)</f>
        <v>#REF!</v>
      </c>
      <c r="U134" s="11" t="e">
        <f ca="1">IF(History!Y$2="","",#REF!*$C$134)</f>
        <v>#REF!</v>
      </c>
      <c r="V134" s="11" t="e">
        <f ca="1">IF(History!Z$2="","",#REF!*$C$134)</f>
        <v>#REF!</v>
      </c>
      <c r="W134" s="11" t="e">
        <f ca="1">IF(History!AA$2="","",#REF!*$C$134)</f>
        <v>#REF!</v>
      </c>
      <c r="X134" s="11" t="e">
        <f ca="1">IF(History!AB$2="","",#REF!*$C$134)</f>
        <v>#REF!</v>
      </c>
      <c r="Y134" s="11" t="e">
        <f ca="1">IF(History!AC$2="","",#REF!*$C$134)</f>
        <v>#REF!</v>
      </c>
      <c r="Z134" s="11" t="e">
        <f ca="1">IF(History!AD$2="","",#REF!*$C$134)</f>
        <v>#REF!</v>
      </c>
      <c r="AA134" s="11" t="e">
        <f ca="1">IF(History!AE$2="","",#REF!*$C$134)</f>
        <v>#REF!</v>
      </c>
      <c r="AB134" s="11" t="e">
        <f ca="1">IF(History!AF$2="","",#REF!*$C$134)</f>
        <v>#REF!</v>
      </c>
      <c r="AC134" s="11" t="e">
        <f ca="1">IF(History!AG$2="","",#REF!*$C$134)</f>
        <v>#REF!</v>
      </c>
      <c r="AD134" s="11" t="e">
        <f ca="1">IF(History!AH$2="","",#REF!*$C$134)</f>
        <v>#REF!</v>
      </c>
      <c r="AE134" s="11" t="e">
        <f ca="1">IF(History!AI$2="","",#REF!*$C$134)</f>
        <v>#REF!</v>
      </c>
      <c r="AF134" s="11" t="e">
        <f ca="1">IF(History!AJ$2="","",#REF!*$C$134)</f>
        <v>#REF!</v>
      </c>
      <c r="AG134" s="11" t="e">
        <f ca="1">IF(History!AK$2="","",#REF!*$C$134)</f>
        <v>#REF!</v>
      </c>
      <c r="AH134" s="11" t="e">
        <f ca="1">IF(History!AL$2="","",#REF!*$C$134)</f>
        <v>#REF!</v>
      </c>
      <c r="AI134" s="11" t="e">
        <f ca="1">IF(History!AM$2="","",#REF!*$C$134)</f>
        <v>#REF!</v>
      </c>
      <c r="AJ134" s="11" t="e">
        <f ca="1">IF(History!AN$2="","",#REF!*$C$134)</f>
        <v>#REF!</v>
      </c>
      <c r="AK134" s="11" t="e">
        <f ca="1">IF(History!AO$2="","",#REF!*$C$134)</f>
        <v>#REF!</v>
      </c>
      <c r="AL134" s="11" t="e">
        <f ca="1">IF(History!AP$2="","",#REF!*$C$134)</f>
        <v>#REF!</v>
      </c>
      <c r="AM134" s="11" t="e">
        <f ca="1">IF(History!AQ$2="","",#REF!*$C$134)</f>
        <v>#REF!</v>
      </c>
      <c r="AN134" s="11" t="e">
        <f ca="1">IF(History!AR$2="","",#REF!*$C$134)</f>
        <v>#REF!</v>
      </c>
      <c r="AO134" s="11" t="e">
        <f ca="1">IF(History!AS$2="","",#REF!*$C$134)</f>
        <v>#REF!</v>
      </c>
      <c r="AP134" s="11" t="e">
        <f ca="1">IF(History!AT$2="","",#REF!*$C$134)</f>
        <v>#REF!</v>
      </c>
      <c r="AQ134" s="11" t="e">
        <f ca="1">IF(History!AU$2="","",#REF!*$C$134)</f>
        <v>#REF!</v>
      </c>
      <c r="AR134" s="11" t="e">
        <f ca="1">IF(History!AV$2="","",#REF!*$C$134)</f>
        <v>#REF!</v>
      </c>
      <c r="AS134" s="11" t="e">
        <f ca="1">IF(History!AW$2="","",#REF!*$C$134)</f>
        <v>#REF!</v>
      </c>
      <c r="AT134" s="11" t="e">
        <f ca="1">IF(History!AX$2="","",#REF!*$C$134)</f>
        <v>#REF!</v>
      </c>
      <c r="AU134" s="11" t="e">
        <f ca="1">IF(History!AY$2="","",#REF!*$C$134)</f>
        <v>#REF!</v>
      </c>
      <c r="AV134" s="11" t="e">
        <f ca="1">IF(History!AZ$2="","",#REF!*$C$134)</f>
        <v>#REF!</v>
      </c>
      <c r="AW134" s="11" t="e">
        <f ca="1">IF(History!BA$2="","",#REF!*$C$134)</f>
        <v>#REF!</v>
      </c>
      <c r="AX134" s="11" t="e">
        <f ca="1">IF(History!BB$2="","",#REF!*$C$134)</f>
        <v>#REF!</v>
      </c>
      <c r="AY134" s="11" t="e">
        <f ca="1">IF(History!BC$2="","",#REF!*$C$134)</f>
        <v>#REF!</v>
      </c>
      <c r="AZ134" s="11" t="e">
        <f ca="1">IF(History!BD$2="","",#REF!*$C$134)</f>
        <v>#REF!</v>
      </c>
      <c r="BA134" s="11" t="e">
        <f ca="1">IF(History!BE$2="","",#REF!*$C$134)</f>
        <v>#REF!</v>
      </c>
      <c r="BB134" s="11" t="e">
        <f ca="1">IF(History!BF$2="","",#REF!*$C$134)</f>
        <v>#REF!</v>
      </c>
      <c r="BC134" s="11" t="e">
        <f ca="1">IF(History!BG$2="","",#REF!*$C$134)</f>
        <v>#REF!</v>
      </c>
      <c r="BD134" s="11" t="e">
        <f ca="1">IF(History!BH$2="","",#REF!*$C$134)</f>
        <v>#REF!</v>
      </c>
      <c r="BE134" s="11" t="e">
        <f ca="1">IF(History!BI$2="","",#REF!*$C$134)</f>
        <v>#REF!</v>
      </c>
      <c r="BF134" s="11" t="e">
        <f ca="1">IF(History!BJ$2="","",#REF!*$C$134)</f>
        <v>#REF!</v>
      </c>
      <c r="BG134" s="11" t="e">
        <f ca="1">IF(History!BK$2="","",#REF!*$C$134)</f>
        <v>#REF!</v>
      </c>
      <c r="BH134" s="11" t="e">
        <f ca="1">IF(History!BL$2="","",#REF!*$C$134)</f>
        <v>#REF!</v>
      </c>
      <c r="BI134" s="11" t="e">
        <f ca="1">IF(History!BM$2="","",#REF!*$C$134)</f>
        <v>#REF!</v>
      </c>
      <c r="BJ134" s="11" t="e">
        <f ca="1">IF(History!BN$2="","",#REF!*$C$134)</f>
        <v>#REF!</v>
      </c>
      <c r="BK134" s="11" t="e">
        <f ca="1">IF(History!BO$2="","",#REF!*$C$134)</f>
        <v>#REF!</v>
      </c>
      <c r="BL134" s="11" t="e">
        <f ca="1">IF(History!BP$2="","",#REF!*$C$134)</f>
        <v>#REF!</v>
      </c>
      <c r="BM134" s="11" t="e">
        <f ca="1">IF(History!BQ$2="","",#REF!*$C$134)</f>
        <v>#REF!</v>
      </c>
      <c r="BN134" s="11" t="e">
        <f ca="1">IF(History!BR$2="","",#REF!*$C$134)</f>
        <v>#REF!</v>
      </c>
      <c r="BO134" s="11" t="e">
        <f ca="1">IF(History!BS$2="","",#REF!*$C$134)</f>
        <v>#REF!</v>
      </c>
      <c r="BP134" s="11" t="e">
        <f ca="1">IF(History!BT$2="","",#REF!*$C$134)</f>
        <v>#REF!</v>
      </c>
      <c r="BQ134" s="11" t="e">
        <f ca="1">IF(History!BU$2="","",#REF!*$C$134)</f>
        <v>#REF!</v>
      </c>
      <c r="BR134" s="11" t="e">
        <f ca="1">IF(History!BV$2="","",#REF!*$C$134)</f>
        <v>#REF!</v>
      </c>
      <c r="BS134" s="11" t="e">
        <f ca="1">IF(History!BW$2="","",#REF!*$C$134)</f>
        <v>#REF!</v>
      </c>
      <c r="BT134" s="11" t="e">
        <f ca="1">IF(History!BX$2="","",#REF!*$C$134)</f>
        <v>#REF!</v>
      </c>
      <c r="BU134" s="11" t="e">
        <f ca="1">IF(History!BY$2="","",#REF!*$C$134)</f>
        <v>#REF!</v>
      </c>
      <c r="BV134" s="11" t="e">
        <f ca="1">IF(History!BZ$2="","",#REF!*$C$134)</f>
        <v>#REF!</v>
      </c>
      <c r="BW134" s="11" t="e">
        <f ca="1">IF(History!CA$2="","",#REF!*$C$134)</f>
        <v>#REF!</v>
      </c>
      <c r="BX134" s="11" t="e">
        <f ca="1">IF(History!CB$2="","",#REF!*$C$134)</f>
        <v>#REF!</v>
      </c>
      <c r="BY134" s="11" t="e">
        <f ca="1">IF(History!CC$2="","",#REF!*$C$134)</f>
        <v>#REF!</v>
      </c>
      <c r="BZ134" s="11" t="e">
        <f ca="1">IF(History!CD$2="","",#REF!*$C$134)</f>
        <v>#REF!</v>
      </c>
      <c r="CA134" s="11" t="e">
        <f ca="1">IF(History!CE$2="","",#REF!*$C$134)</f>
        <v>#REF!</v>
      </c>
      <c r="CB134" s="11" t="e">
        <f ca="1">IF(History!CF$2="","",#REF!*$C$134)</f>
        <v>#REF!</v>
      </c>
      <c r="CC134" s="11" t="e">
        <f ca="1">IF(History!CG$2="","",#REF!*$C$134)</f>
        <v>#REF!</v>
      </c>
      <c r="CD134" s="11" t="e">
        <f ca="1">IF(History!CH$2="","",#REF!*$C$134)</f>
        <v>#REF!</v>
      </c>
      <c r="CE134" s="11" t="e">
        <f ca="1">IF(History!CI$2="","",#REF!*$C$134)</f>
        <v>#REF!</v>
      </c>
      <c r="CF134" s="11" t="str">
        <f ca="1">IF(History!CJ$2="","",#REF!*$C$134)</f>
        <v/>
      </c>
      <c r="CG134" s="11" t="str">
        <f ca="1">IF(History!CK$2="","",#REF!*$C$134)</f>
        <v/>
      </c>
      <c r="CH134" s="11" t="str">
        <f ca="1">IF(History!CL$2="","",#REF!*$C$134)</f>
        <v/>
      </c>
      <c r="CI134" s="11" t="str">
        <f ca="1">IF(History!CM$2="","",#REF!*$C$134)</f>
        <v/>
      </c>
      <c r="CJ134" s="11" t="str">
        <f ca="1">IF(History!CN$2="","",#REF!*$C$134)</f>
        <v/>
      </c>
      <c r="CK134" s="11" t="str">
        <f ca="1">IF(History!CO$2="","",#REF!*$C$134)</f>
        <v/>
      </c>
      <c r="CL134" s="11" t="str">
        <f ca="1">IF(History!CP$2="","",#REF!*$C$134)</f>
        <v/>
      </c>
      <c r="CM134" s="11" t="str">
        <f ca="1">IF(History!CQ$2="","",#REF!*$C$134)</f>
        <v/>
      </c>
      <c r="CN134" s="11" t="str">
        <f ca="1">IF(History!CR$2="","",#REF!*$C$134)</f>
        <v/>
      </c>
      <c r="CO134" s="11" t="str">
        <f ca="1">IF(History!CS$2="","",#REF!*$C$134)</f>
        <v/>
      </c>
      <c r="CP134" s="11" t="str">
        <f ca="1">IF(History!CT$2="","",#REF!*$C$134)</f>
        <v/>
      </c>
      <c r="CQ134" s="11" t="str">
        <f ca="1">IF(History!CU$2="","",#REF!*$C$134)</f>
        <v/>
      </c>
      <c r="CR134" s="11" t="str">
        <f ca="1">IF(History!CV$2="","",#REF!*$C$134)</f>
        <v/>
      </c>
      <c r="CS134" s="11" t="str">
        <f ca="1">IF(History!CW$2="","",#REF!*$C$134)</f>
        <v/>
      </c>
      <c r="CT134" s="11" t="str">
        <f ca="1">IF(History!CX$2="","",#REF!*$C$134)</f>
        <v/>
      </c>
      <c r="CU134" s="11" t="str">
        <f ca="1">IF(History!CY$2="","",#REF!*$C$134)</f>
        <v/>
      </c>
      <c r="CV134" s="11" t="str">
        <f ca="1">IF(History!CZ$2="","",#REF!*$C$134)</f>
        <v/>
      </c>
      <c r="CW134" s="11" t="str">
        <f ca="1">IF(History!DA$2="","",#REF!*$C$134)</f>
        <v/>
      </c>
      <c r="CX134" s="11" t="str">
        <f ca="1">IF(History!DB$2="","",#REF!*$C$134)</f>
        <v/>
      </c>
      <c r="CY134" s="11" t="str">
        <f ca="1">IF(History!DC$2="","",#REF!*$C$134)</f>
        <v/>
      </c>
      <c r="CZ134" s="11" t="str">
        <f ca="1">IF(History!DD$2="","",#REF!*$C$134)</f>
        <v/>
      </c>
      <c r="DA134" s="11" t="str">
        <f ca="1">IF(History!DE$2="","",#REF!*$C$134)</f>
        <v/>
      </c>
      <c r="DB134" s="11" t="str">
        <f ca="1">IF(History!DF$2="","",#REF!*$C$134)</f>
        <v/>
      </c>
      <c r="DC134" s="11" t="str">
        <f ca="1">IF(History!DG$2="","",#REF!*$C$134)</f>
        <v/>
      </c>
      <c r="DD134" s="11" t="str">
        <f ca="1">IF(History!DH$2="","",#REF!*$C$134)</f>
        <v/>
      </c>
      <c r="DE134" s="11" t="str">
        <f ca="1">IF(History!DI$2="","",#REF!*$C$134)</f>
        <v/>
      </c>
      <c r="DF134" s="11" t="str">
        <f ca="1">IF(History!DJ$2="","",#REF!*$C$134)</f>
        <v/>
      </c>
      <c r="DG134" s="11" t="str">
        <f ca="1">IF(History!DK$2="","",#REF!*$C$134)</f>
        <v/>
      </c>
      <c r="DH134" s="11" t="str">
        <f ca="1">IF(History!DL$2="","",#REF!*$C$134)</f>
        <v/>
      </c>
      <c r="DI134" s="11" t="str">
        <f ca="1">IF(History!DM$2="","",#REF!*$C$134)</f>
        <v/>
      </c>
      <c r="DJ134" s="11" t="str">
        <f ca="1">IF(History!DN$2="","",#REF!*$C$134)</f>
        <v/>
      </c>
      <c r="DK134" s="11" t="str">
        <f ca="1">IF(History!DO$2="","",#REF!*$C$134)</f>
        <v/>
      </c>
      <c r="DL134" s="11" t="str">
        <f ca="1">IF(History!DP$2="","",#REF!*$C$134)</f>
        <v/>
      </c>
      <c r="DM134" s="11" t="str">
        <f ca="1">IF(History!DQ$2="","",#REF!*$C$134)</f>
        <v/>
      </c>
      <c r="DN134" s="11" t="str">
        <f ca="1">IF(History!DR$2="","",#REF!*$C$134)</f>
        <v/>
      </c>
      <c r="DO134" s="11" t="str">
        <f ca="1">IF(History!DS$2="","",#REF!*$C$134)</f>
        <v/>
      </c>
      <c r="DP134" s="11" t="str">
        <f ca="1">IF(History!DT$2="","",#REF!*$C$134)</f>
        <v/>
      </c>
      <c r="DQ134" s="11" t="str">
        <f ca="1">IF(History!DU$2="","",#REF!*$C$134)</f>
        <v/>
      </c>
      <c r="DR134" s="11" t="str">
        <f ca="1">IF(History!DV$2="","",#REF!*$C$134)</f>
        <v/>
      </c>
      <c r="DS134" s="11" t="str">
        <f ca="1">IF(History!DW$2="","",#REF!*$C$134)</f>
        <v/>
      </c>
      <c r="DT134" s="11" t="str">
        <f ca="1">IF(History!DX$2="","",#REF!*$C$134)</f>
        <v/>
      </c>
      <c r="DU134" s="11" t="str">
        <f ca="1">IF(History!DY$2="","",#REF!*$C$134)</f>
        <v/>
      </c>
      <c r="DV134" s="11" t="str">
        <f ca="1">IF(History!DZ$2="","",#REF!*$C$134)</f>
        <v/>
      </c>
      <c r="DW134" s="11" t="str">
        <f ca="1">IF(History!EA$2="","",#REF!*$C$134)</f>
        <v/>
      </c>
      <c r="DX134" s="11" t="str">
        <f ca="1">IF(History!EB$2="","",#REF!*$C$134)</f>
        <v/>
      </c>
      <c r="DY134" s="11" t="str">
        <f ca="1">IF(History!EC$2="","",#REF!*$C$134)</f>
        <v/>
      </c>
      <c r="DZ134" s="11" t="str">
        <f ca="1">IF(History!ED$2="","",#REF!*$C$134)</f>
        <v/>
      </c>
      <c r="EA134" s="11" t="str">
        <f ca="1">IF(History!EE$2="","",#REF!*$C$134)</f>
        <v/>
      </c>
      <c r="EB134" s="11" t="str">
        <f ca="1">IF(History!EF$2="","",#REF!*$C$134)</f>
        <v/>
      </c>
      <c r="EC134" s="11" t="str">
        <f ca="1">IF(History!EG$2="","",#REF!*$C$134)</f>
        <v/>
      </c>
      <c r="ED134" s="11" t="str">
        <f ca="1">IF(History!EH$2="","",#REF!*$C$134)</f>
        <v/>
      </c>
      <c r="EE134" s="11" t="str">
        <f ca="1">IF(History!EI$2="","",#REF!*$C$134)</f>
        <v/>
      </c>
      <c r="EF134" s="11" t="str">
        <f ca="1">IF(History!EJ$2="","",#REF!*$C$134)</f>
        <v/>
      </c>
      <c r="EG134" s="11" t="str">
        <f ca="1">IF(History!EK$2="","",#REF!*$C$134)</f>
        <v/>
      </c>
      <c r="EH134" s="11" t="str">
        <f ca="1">IF(History!EL$2="","",#REF!*$C$134)</f>
        <v/>
      </c>
      <c r="EI134" s="11" t="str">
        <f ca="1">IF(History!EM$2="","",#REF!*$C$134)</f>
        <v/>
      </c>
      <c r="EJ134" s="11" t="str">
        <f ca="1">IF(History!EN$2="","",#REF!*$C$134)</f>
        <v/>
      </c>
      <c r="EK134" s="11" t="str">
        <f ca="1">IF(History!EO$2="","",#REF!*$C$134)</f>
        <v/>
      </c>
      <c r="EL134" s="11" t="str">
        <f ca="1">IF(History!EP$2="","",#REF!*$C$134)</f>
        <v/>
      </c>
      <c r="EM134" s="11" t="str">
        <f ca="1">IF(History!EQ$2="","",#REF!*$C$134)</f>
        <v/>
      </c>
      <c r="EN134" s="11" t="str">
        <f ca="1">IF(History!ER$2="","",#REF!*$C$134)</f>
        <v/>
      </c>
      <c r="EO134" s="11" t="str">
        <f ca="1">IF(History!ES$2="","",#REF!*$C$134)</f>
        <v/>
      </c>
      <c r="EP134" s="11" t="str">
        <f ca="1">IF(History!ET$2="","",#REF!*$C$134)</f>
        <v/>
      </c>
      <c r="EQ134" s="11" t="str">
        <f ca="1">IF(History!EU$2="","",#REF!*$C$134)</f>
        <v/>
      </c>
      <c r="ER134" s="11" t="str">
        <f ca="1">IF(History!EV$2="","",#REF!*$C$134)</f>
        <v/>
      </c>
      <c r="ES134" s="11" t="str">
        <f ca="1">IF(History!EW$2="","",#REF!*$C$134)</f>
        <v/>
      </c>
      <c r="ET134" s="11" t="str">
        <f ca="1">IF(History!EX$2="","",#REF!*$C$134)</f>
        <v/>
      </c>
      <c r="EU134" s="11" t="str">
        <f ca="1">IF(History!EY$2="","",#REF!*$C$134)</f>
        <v/>
      </c>
      <c r="EV134" s="11" t="str">
        <f ca="1">IF(History!EZ$2="","",#REF!*$C$134)</f>
        <v/>
      </c>
      <c r="EW134" s="11" t="str">
        <f ca="1">IF(History!FA$2="","",#REF!*$C$134)</f>
        <v/>
      </c>
      <c r="EX134" s="11" t="str">
        <f ca="1">IF(History!FB$2="","",#REF!*$C$134)</f>
        <v/>
      </c>
      <c r="EY134" s="11" t="str">
        <f ca="1">IF(History!FC$2="","",#REF!*$C$134)</f>
        <v/>
      </c>
      <c r="EZ134" s="11" t="str">
        <f ca="1">IF(History!FD$2="","",#REF!*$C$134)</f>
        <v/>
      </c>
      <c r="FA134" s="11" t="str">
        <f ca="1">IF(History!FE$2="","",#REF!*$C$134)</f>
        <v/>
      </c>
      <c r="FB134" s="11" t="str">
        <f ca="1">IF(History!FF$2="","",#REF!*$C$134)</f>
        <v/>
      </c>
      <c r="FC134" s="11" t="str">
        <f ca="1">IF(History!FG$2="","",#REF!*$C$134)</f>
        <v/>
      </c>
      <c r="FD134" s="11" t="str">
        <f ca="1">IF(History!FH$2="","",#REF!*$C$134)</f>
        <v/>
      </c>
      <c r="FE134" s="11" t="str">
        <f ca="1">IF(History!FI$2="","",#REF!*$C$134)</f>
        <v/>
      </c>
      <c r="FF134" s="11" t="str">
        <f ca="1">IF(History!FJ$2="","",#REF!*$C$134)</f>
        <v/>
      </c>
      <c r="FG134" s="11" t="str">
        <f ca="1">IF(History!FK$2="","",#REF!*$C$134)</f>
        <v/>
      </c>
      <c r="FH134" s="11" t="str">
        <f ca="1">IF(History!FL$2="","",#REF!*$C$134)</f>
        <v/>
      </c>
      <c r="FI134" s="11" t="str">
        <f ca="1">IF(History!FM$2="","",#REF!*$C$134)</f>
        <v/>
      </c>
      <c r="FJ134" s="11" t="str">
        <f ca="1">IF(History!FN$2="","",#REF!*$C$134)</f>
        <v/>
      </c>
      <c r="FK134" s="11" t="str">
        <f ca="1">IF(History!FO$2="","",#REF!*$C$134)</f>
        <v/>
      </c>
      <c r="FL134" s="11" t="str">
        <f ca="1">IF(History!FP$2="","",#REF!*$C$134)</f>
        <v/>
      </c>
      <c r="FM134" s="11" t="str">
        <f ca="1">IF(History!FQ$2="","",#REF!*$C$134)</f>
        <v/>
      </c>
      <c r="FN134" s="11" t="str">
        <f ca="1">IF(History!FR$2="","",#REF!*$C$134)</f>
        <v/>
      </c>
      <c r="FO134" s="11" t="str">
        <f ca="1">IF(History!FS$2="","",#REF!*$C$134)</f>
        <v/>
      </c>
      <c r="FP134" s="11" t="str">
        <f ca="1">IF(History!FT$2="","",#REF!*$C$134)</f>
        <v/>
      </c>
      <c r="FQ134" s="11" t="str">
        <f ca="1">IF(History!FU$2="","",#REF!*$C$134)</f>
        <v/>
      </c>
      <c r="FR134" s="11" t="str">
        <f ca="1">IF(History!FV$2="","",#REF!*$C$134)</f>
        <v/>
      </c>
      <c r="FS134" s="11" t="str">
        <f ca="1">IF(History!FW$2="","",#REF!*$C$134)</f>
        <v/>
      </c>
      <c r="FT134" s="11" t="str">
        <f ca="1">IF(History!FX$2="","",#REF!*$C$134)</f>
        <v/>
      </c>
      <c r="FU134" s="11" t="str">
        <f ca="1">IF(History!FY$2="","",#REF!*$C$134)</f>
        <v/>
      </c>
      <c r="FV134" s="11" t="str">
        <f ca="1">IF(History!FZ$2="","",#REF!*$C$134)</f>
        <v/>
      </c>
      <c r="FW134" s="11" t="str">
        <f ca="1">IF(History!GA$2="","",#REF!*$C$134)</f>
        <v/>
      </c>
      <c r="FX134" s="11" t="str">
        <f ca="1">IF(History!GB$2="","",#REF!*$C$134)</f>
        <v/>
      </c>
      <c r="FY134" s="11" t="str">
        <f ca="1">IF(History!GC$2="","",#REF!*$C$134)</f>
        <v/>
      </c>
      <c r="FZ134" s="11" t="str">
        <f ca="1">IF(History!GD$2="","",#REF!*$C$134)</f>
        <v/>
      </c>
      <c r="GA134" s="11" t="str">
        <f ca="1">IF(History!GE$2="","",#REF!*$C$134)</f>
        <v/>
      </c>
      <c r="GB134" s="11" t="str">
        <f ca="1">IF(History!GF$2="","",#REF!*$C$134)</f>
        <v/>
      </c>
      <c r="GC134" s="11" t="str">
        <f ca="1">IF(History!GG$2="","",#REF!*$C$134)</f>
        <v/>
      </c>
      <c r="GD134" s="11" t="str">
        <f ca="1">IF(History!GH$2="","",#REF!*$C$134)</f>
        <v/>
      </c>
      <c r="GE134" s="11" t="str">
        <f ca="1">IF(History!GI$2="","",#REF!*$C$134)</f>
        <v/>
      </c>
      <c r="GF134" s="11" t="str">
        <f ca="1">IF(History!GJ$2="","",#REF!*$C$134)</f>
        <v/>
      </c>
      <c r="GG134" s="11" t="str">
        <f ca="1">IF(History!GK$2="","",#REF!*$C$134)</f>
        <v/>
      </c>
      <c r="GH134" s="11" t="str">
        <f ca="1">IF(History!GL$2="","",#REF!*$C$134)</f>
        <v/>
      </c>
      <c r="GI134" s="11" t="str">
        <f ca="1">IF(History!GM$2="","",#REF!*$C$134)</f>
        <v/>
      </c>
      <c r="GJ134" s="11" t="str">
        <f ca="1">IF(History!GN$2="","",#REF!*$C$134)</f>
        <v/>
      </c>
      <c r="GK134" s="11" t="str">
        <f ca="1">IF(History!GO$2="","",#REF!*$C$134)</f>
        <v/>
      </c>
      <c r="GL134" s="11" t="str">
        <f ca="1">IF(History!GP$2="","",#REF!*$C$134)</f>
        <v/>
      </c>
      <c r="GM134" s="11" t="str">
        <f ca="1">IF(History!GQ$2="","",#REF!*$C$134)</f>
        <v/>
      </c>
      <c r="GN134" s="11" t="str">
        <f ca="1">IF(History!GR$2="","",#REF!*$C$134)</f>
        <v/>
      </c>
      <c r="GO134" s="11" t="str">
        <f ca="1">IF(History!GS$2="","",#REF!*$C$134)</f>
        <v/>
      </c>
      <c r="GP134" s="11" t="str">
        <f ca="1">IF(History!GT$2="","",#REF!*$C$134)</f>
        <v/>
      </c>
      <c r="GQ134" s="11" t="str">
        <f ca="1">IF(History!GU$2="","",#REF!*$C$134)</f>
        <v/>
      </c>
      <c r="GR134" s="11" t="str">
        <f ca="1">IF(History!GV$2="","",#REF!*$C$134)</f>
        <v/>
      </c>
      <c r="GS134" s="11" t="str">
        <f ca="1">IF(History!GW$2="","",#REF!*$C$134)</f>
        <v/>
      </c>
      <c r="GT134" s="11" t="str">
        <f ca="1">IF(History!GX$2="","",#REF!*$C$134)</f>
        <v/>
      </c>
      <c r="GU134" s="11" t="str">
        <f ca="1">IF(History!GY$2="","",#REF!*$C$134)</f>
        <v/>
      </c>
      <c r="GV134" s="11" t="str">
        <f ca="1">IF(History!GZ$2="","",#REF!*$C$134)</f>
        <v/>
      </c>
      <c r="GW134" s="11" t="str">
        <f ca="1">IF(History!HA$2="","",#REF!*$C$134)</f>
        <v/>
      </c>
      <c r="GX134" s="11" t="str">
        <f ca="1">IF(History!HB$2="","",#REF!*$C$134)</f>
        <v/>
      </c>
      <c r="GY134" s="11" t="str">
        <f ca="1">IF(History!HC$2="","",#REF!*$C$134)</f>
        <v/>
      </c>
      <c r="GZ134" s="11" t="str">
        <f ca="1">IF(History!HD$2="","",#REF!*$C$134)</f>
        <v/>
      </c>
      <c r="HA134" s="11" t="str">
        <f ca="1">IF(History!HE$2="","",#REF!*$C$134)</f>
        <v/>
      </c>
      <c r="HB134" s="11" t="str">
        <f ca="1">IF(History!HF$2="","",#REF!*$C$134)</f>
        <v/>
      </c>
      <c r="HC134" s="11" t="str">
        <f ca="1">IF(History!HG$2="","",#REF!*$C$134)</f>
        <v/>
      </c>
      <c r="HD134" s="11" t="str">
        <f ca="1">IF(History!HH$2="","",#REF!*$C$134)</f>
        <v/>
      </c>
      <c r="HE134" s="11" t="str">
        <f ca="1">IF(History!HI$2="","",#REF!*$C$134)</f>
        <v/>
      </c>
      <c r="HF134" s="11" t="str">
        <f ca="1">IF(History!HJ$2="","",#REF!*$C$134)</f>
        <v/>
      </c>
      <c r="HG134" s="11" t="str">
        <f ca="1">IF(History!HK$2="","",#REF!*$C$134)</f>
        <v/>
      </c>
      <c r="HH134" s="11" t="str">
        <f ca="1">IF(History!HL$2="","",#REF!*$C$134)</f>
        <v/>
      </c>
      <c r="HI134" s="11" t="str">
        <f ca="1">IF(History!HM$2="","",#REF!*$C$134)</f>
        <v/>
      </c>
      <c r="HJ134" s="11" t="str">
        <f ca="1">IF(History!HN$2="","",#REF!*$C$134)</f>
        <v/>
      </c>
      <c r="HK134" s="11" t="str">
        <f ca="1">IF(History!HO$2="","",#REF!*$C$134)</f>
        <v/>
      </c>
      <c r="HL134" s="11" t="str">
        <f ca="1">IF(History!HP$2="","",#REF!*$C$134)</f>
        <v/>
      </c>
      <c r="HM134" s="11" t="str">
        <f ca="1">IF(History!HQ$2="","",#REF!*$C$134)</f>
        <v/>
      </c>
      <c r="HN134" s="11" t="str">
        <f ca="1">IF(History!HR$2="","",#REF!*$C$134)</f>
        <v/>
      </c>
      <c r="HO134" s="11" t="str">
        <f ca="1">IF(History!HS$2="","",#REF!*$C$134)</f>
        <v/>
      </c>
      <c r="HP134" s="11" t="str">
        <f ca="1">IF(History!HT$2="","",#REF!*$C$134)</f>
        <v/>
      </c>
      <c r="HQ134" s="11" t="str">
        <f ca="1">IF(History!HU$2="","",#REF!*$C$134)</f>
        <v/>
      </c>
      <c r="HR134" s="11" t="str">
        <f ca="1">IF(History!HV$2="","",#REF!*$C$134)</f>
        <v/>
      </c>
      <c r="HS134" s="11" t="str">
        <f ca="1">IF(History!HW$2="","",#REF!*$C$134)</f>
        <v/>
      </c>
      <c r="HT134" s="11" t="str">
        <f ca="1">IF(History!HX$2="","",#REF!*$C$134)</f>
        <v/>
      </c>
      <c r="HU134" s="11" t="str">
        <f ca="1">IF(History!HY$2="","",#REF!*$C$134)</f>
        <v/>
      </c>
      <c r="HV134" s="11" t="str">
        <f ca="1">IF(History!HZ$2="","",#REF!*$C$134)</f>
        <v/>
      </c>
      <c r="HW134" s="11" t="str">
        <f ca="1">IF(History!IA$2="","",#REF!*$C$134)</f>
        <v/>
      </c>
      <c r="HX134" s="11" t="str">
        <f ca="1">IF(History!IB$2="","",#REF!*$C$134)</f>
        <v/>
      </c>
      <c r="HY134" s="11" t="str">
        <f ca="1">IF(History!IC$2="","",#REF!*$C$134)</f>
        <v/>
      </c>
      <c r="HZ134" s="11" t="str">
        <f ca="1">IF(History!ID$2="","",#REF!*$C$134)</f>
        <v/>
      </c>
      <c r="IA134" s="11" t="str">
        <f ca="1">IF(History!IE$2="","",#REF!*$C$134)</f>
        <v/>
      </c>
      <c r="IB134" s="11" t="str">
        <f ca="1">IF(History!IF$2="","",#REF!*$C$134)</f>
        <v/>
      </c>
      <c r="IC134" s="11" t="str">
        <f ca="1">IF(History!IG$2="","",#REF!*$C$134)</f>
        <v/>
      </c>
      <c r="ID134" s="11" t="str">
        <f ca="1">IF(History!IH$2="","",#REF!*$C$134)</f>
        <v/>
      </c>
      <c r="IE134" s="11" t="str">
        <f ca="1">IF(History!II$2="","",#REF!*$C$134)</f>
        <v/>
      </c>
      <c r="IF134" s="11" t="str">
        <f ca="1">IF(History!IJ$2="","",#REF!*$C$134)</f>
        <v/>
      </c>
      <c r="IG134" s="11" t="str">
        <f ca="1">IF(History!IK$2="","",#REF!*$C$134)</f>
        <v/>
      </c>
      <c r="IH134" s="11" t="str">
        <f ca="1">IF(History!IL$2="","",#REF!*$C$134)</f>
        <v/>
      </c>
      <c r="II134" s="11" t="str">
        <f ca="1">IF(History!IM$2="","",#REF!*$C$134)</f>
        <v/>
      </c>
      <c r="IJ134" s="11" t="str">
        <f ca="1">IF(History!IN$2="","",#REF!*$C$134)</f>
        <v/>
      </c>
      <c r="IK134" s="11" t="str">
        <f ca="1">IF(History!IO$2="","",#REF!*$C$134)</f>
        <v/>
      </c>
      <c r="IL134" s="11" t="str">
        <f ca="1">IF(History!IP$2="","",#REF!*$C$134)</f>
        <v/>
      </c>
      <c r="IM134" s="11" t="str">
        <f ca="1">IF(History!IQ$2="","",#REF!*$C$134)</f>
        <v/>
      </c>
      <c r="IN134" s="11" t="str">
        <f ca="1">IF(History!IR$2="","",#REF!*$C$134)</f>
        <v/>
      </c>
      <c r="IO134" s="11" t="str">
        <f ca="1">IF(History!IS$2="","",#REF!*$C$134)</f>
        <v/>
      </c>
      <c r="IP134" s="11" t="str">
        <f ca="1">IF(History!IT$2="","",#REF!*$C$134)</f>
        <v/>
      </c>
      <c r="IQ134" s="11" t="str">
        <f ca="1">IF(History!IU$2="","",#REF!*$C$134)</f>
        <v/>
      </c>
      <c r="IR134" s="11" t="str">
        <f ca="1">IF(History!IV$2="","",#REF!*$C$134)</f>
        <v/>
      </c>
      <c r="IS134" s="11" t="str">
        <f ca="1">IF(History!IW$2="","",#REF!*$C$134)</f>
        <v/>
      </c>
      <c r="IT134" s="11" t="str">
        <f ca="1">IF(History!IX$2="","",#REF!*$C$134)</f>
        <v/>
      </c>
      <c r="IU134" s="11" t="str">
        <f ca="1">IF(History!IY$2="","",#REF!*$C$134)</f>
        <v/>
      </c>
      <c r="IV134" s="11" t="str">
        <f ca="1">IF(History!IZ$2="","",#REF!*$C$134)</f>
        <v/>
      </c>
      <c r="IW134" s="11" t="str">
        <f ca="1">IF(History!JA$2="","",#REF!*$C$134)</f>
        <v/>
      </c>
      <c r="IX134" s="11" t="str">
        <f ca="1">IF(History!JB$2="","",#REF!*$C$134)</f>
        <v/>
      </c>
      <c r="IY134" s="11" t="str">
        <f ca="1">IF(History!JC$2="","",#REF!*$C$134)</f>
        <v/>
      </c>
      <c r="IZ134" s="11" t="str">
        <f ca="1">IF(History!JD$2="","",#REF!*$C$134)</f>
        <v/>
      </c>
      <c r="JA134" s="11" t="str">
        <f ca="1">IF(History!JE$2="","",#REF!*$C$134)</f>
        <v/>
      </c>
      <c r="JB134" s="11" t="str">
        <f ca="1">IF(History!JF$2="","",#REF!*$C$134)</f>
        <v/>
      </c>
      <c r="JC134" s="11" t="str">
        <f ca="1">IF(History!JG$2="","",#REF!*$C$134)</f>
        <v/>
      </c>
      <c r="JD134" s="11" t="str">
        <f ca="1">IF(History!JH$2="","",#REF!*$C$134)</f>
        <v/>
      </c>
      <c r="JE134" s="11" t="str">
        <f ca="1">IF(History!JI$2="","",#REF!*$C$134)</f>
        <v/>
      </c>
      <c r="JF134" s="11" t="str">
        <f ca="1">IF(History!JJ$2="","",#REF!*$C$134)</f>
        <v/>
      </c>
      <c r="JG134" s="11" t="str">
        <f ca="1">IF(History!JK$2="","",#REF!*$C$134)</f>
        <v/>
      </c>
      <c r="JH134" s="11" t="str">
        <f ca="1">IF(History!JL$2="","",#REF!*$C$134)</f>
        <v/>
      </c>
      <c r="JI134" s="11" t="str">
        <f ca="1">IF(History!JM$2="","",#REF!*$C$134)</f>
        <v/>
      </c>
      <c r="JJ134" s="11" t="str">
        <f ca="1">IF(History!JN$2="","",#REF!*$C$134)</f>
        <v/>
      </c>
      <c r="JK134" s="11" t="str">
        <f ca="1">IF(History!JO$2="","",#REF!*$C$134)</f>
        <v/>
      </c>
      <c r="JL134" s="11" t="str">
        <f ca="1">IF(History!JP$2="","",#REF!*$C$134)</f>
        <v/>
      </c>
      <c r="JM134" s="11" t="str">
        <f ca="1">IF(History!JQ$2="","",#REF!*$C$134)</f>
        <v/>
      </c>
      <c r="JN134" s="11" t="str">
        <f ca="1">IF(History!JR$2="","",#REF!*$C$134)</f>
        <v/>
      </c>
      <c r="JO134" s="11" t="str">
        <f ca="1">IF(History!JS$2="","",#REF!*$C$134)</f>
        <v/>
      </c>
      <c r="JP134" s="11" t="str">
        <f ca="1">IF(History!JT$2="","",#REF!*$C$134)</f>
        <v/>
      </c>
      <c r="JQ134" s="11" t="str">
        <f ca="1">IF(History!JU$2="","",#REF!*$C$134)</f>
        <v/>
      </c>
      <c r="JR134" s="11" t="str">
        <f ca="1">IF(History!JV$2="","",#REF!*$C$134)</f>
        <v/>
      </c>
      <c r="JS134" s="11" t="str">
        <f ca="1">IF(History!JW$2="","",#REF!*$C$134)</f>
        <v/>
      </c>
      <c r="JT134" s="11" t="str">
        <f ca="1">IF(History!JX$2="","",#REF!*$C$134)</f>
        <v/>
      </c>
      <c r="JU134" s="11" t="str">
        <f ca="1">IF(History!JY$2="","",#REF!*$C$134)</f>
        <v/>
      </c>
      <c r="JV134" s="11" t="str">
        <f ca="1">IF(History!JZ$2="","",#REF!*$C$134)</f>
        <v/>
      </c>
      <c r="JW134" s="11" t="str">
        <f ca="1">IF(History!KA$2="","",#REF!*$C$134)</f>
        <v/>
      </c>
      <c r="JX134" s="11" t="str">
        <f ca="1">IF(History!KB$2="","",#REF!*$C$134)</f>
        <v/>
      </c>
      <c r="JY134" s="11" t="str">
        <f ca="1">IF(History!KC$2="","",#REF!*$C$134)</f>
        <v/>
      </c>
      <c r="JZ134" s="11" t="str">
        <f ca="1">IF(History!KD$2="","",#REF!*$C$134)</f>
        <v/>
      </c>
      <c r="KA134" s="11" t="str">
        <f ca="1">IF(History!KE$2="","",#REF!*$C$134)</f>
        <v/>
      </c>
      <c r="KB134" s="11" t="str">
        <f ca="1">IF(History!KF$2="","",#REF!*$C$134)</f>
        <v/>
      </c>
    </row>
    <row r="135" spans="1:288" ht="13">
      <c r="A135" s="2" t="s">
        <v>40</v>
      </c>
      <c r="B135" s="32" t="s">
        <v>122</v>
      </c>
      <c r="C135" s="33">
        <v>157</v>
      </c>
      <c r="D135" s="11" t="e">
        <f ca="1">IF(History!H$2="","",#REF!*$C$135)</f>
        <v>#REF!</v>
      </c>
      <c r="E135" s="11" t="e">
        <f ca="1">IF(History!I$2="","",#REF!*$C$135)</f>
        <v>#REF!</v>
      </c>
      <c r="F135" s="11" t="e">
        <f ca="1">IF(History!J$2="","",#REF!*$C$135)</f>
        <v>#REF!</v>
      </c>
      <c r="G135" s="11" t="e">
        <f ca="1">IF(History!K$2="","",#REF!*$C$135)</f>
        <v>#REF!</v>
      </c>
      <c r="H135" s="11" t="e">
        <f ca="1">IF(History!L$2="","",#REF!*$C$135)</f>
        <v>#REF!</v>
      </c>
      <c r="I135" s="11" t="e">
        <f ca="1">IF(History!M$2="","",#REF!*$C$135)</f>
        <v>#REF!</v>
      </c>
      <c r="J135" s="11" t="e">
        <f ca="1">IF(History!N$2="","",#REF!*$C$135)</f>
        <v>#REF!</v>
      </c>
      <c r="K135" s="11" t="e">
        <f ca="1">IF(History!O$2="","",#REF!*$C$135)</f>
        <v>#REF!</v>
      </c>
      <c r="L135" s="11" t="e">
        <f ca="1">IF(History!P$2="","",#REF!*$C$135)</f>
        <v>#REF!</v>
      </c>
      <c r="M135" s="11" t="e">
        <f ca="1">IF(History!Q$2="","",#REF!*$C$135)</f>
        <v>#REF!</v>
      </c>
      <c r="N135" s="11" t="e">
        <f ca="1">IF(History!R$2="","",#REF!*$C$135)</f>
        <v>#REF!</v>
      </c>
      <c r="O135" s="11" t="e">
        <f ca="1">IF(History!S$2="","",#REF!*$C$135)</f>
        <v>#REF!</v>
      </c>
      <c r="P135" s="11" t="e">
        <f ca="1">IF(History!T$2="","",#REF!*$C$135)</f>
        <v>#REF!</v>
      </c>
      <c r="Q135" s="11" t="e">
        <f ca="1">IF(History!U$2="","",#REF!*$C$135)</f>
        <v>#REF!</v>
      </c>
      <c r="R135" s="11" t="e">
        <f ca="1">IF(History!V$2="","",#REF!*$C$135)</f>
        <v>#REF!</v>
      </c>
      <c r="S135" s="11" t="e">
        <f ca="1">IF(History!W$2="","",#REF!*$C$135)</f>
        <v>#REF!</v>
      </c>
      <c r="T135" s="11" t="e">
        <f ca="1">IF(History!X$2="","",#REF!*$C$135)</f>
        <v>#REF!</v>
      </c>
      <c r="U135" s="11" t="e">
        <f ca="1">IF(History!Y$2="","",#REF!*$C$135)</f>
        <v>#REF!</v>
      </c>
      <c r="V135" s="11" t="e">
        <f ca="1">IF(History!Z$2="","",#REF!*$C$135)</f>
        <v>#REF!</v>
      </c>
      <c r="W135" s="11" t="e">
        <f ca="1">IF(History!AA$2="","",#REF!*$C$135)</f>
        <v>#REF!</v>
      </c>
      <c r="X135" s="11" t="e">
        <f ca="1">IF(History!AB$2="","",#REF!*$C$135)</f>
        <v>#REF!</v>
      </c>
      <c r="Y135" s="11" t="e">
        <f ca="1">IF(History!AC$2="","",#REF!*$C$135)</f>
        <v>#REF!</v>
      </c>
      <c r="Z135" s="11" t="e">
        <f ca="1">IF(History!AD$2="","",#REF!*$C$135)</f>
        <v>#REF!</v>
      </c>
      <c r="AA135" s="11" t="e">
        <f ca="1">IF(History!AE$2="","",#REF!*$C$135)</f>
        <v>#REF!</v>
      </c>
      <c r="AB135" s="11" t="e">
        <f ca="1">IF(History!AF$2="","",#REF!*$C$135)</f>
        <v>#REF!</v>
      </c>
      <c r="AC135" s="11" t="e">
        <f ca="1">IF(History!AG$2="","",#REF!*$C$135)</f>
        <v>#REF!</v>
      </c>
      <c r="AD135" s="11" t="e">
        <f ca="1">IF(History!AH$2="","",#REF!*$C$135)</f>
        <v>#REF!</v>
      </c>
      <c r="AE135" s="11" t="e">
        <f ca="1">IF(History!AI$2="","",#REF!*$C$135)</f>
        <v>#REF!</v>
      </c>
      <c r="AF135" s="11" t="e">
        <f ca="1">IF(History!AJ$2="","",#REF!*$C$135)</f>
        <v>#REF!</v>
      </c>
      <c r="AG135" s="11" t="e">
        <f ca="1">IF(History!AK$2="","",#REF!*$C$135)</f>
        <v>#REF!</v>
      </c>
      <c r="AH135" s="11" t="e">
        <f ca="1">IF(History!AL$2="","",#REF!*$C$135)</f>
        <v>#REF!</v>
      </c>
      <c r="AI135" s="11" t="e">
        <f ca="1">IF(History!AM$2="","",#REF!*$C$135)</f>
        <v>#REF!</v>
      </c>
      <c r="AJ135" s="11" t="e">
        <f ca="1">IF(History!AN$2="","",#REF!*$C$135)</f>
        <v>#REF!</v>
      </c>
      <c r="AK135" s="11" t="e">
        <f ca="1">IF(History!AO$2="","",#REF!*$C$135)</f>
        <v>#REF!</v>
      </c>
      <c r="AL135" s="11" t="e">
        <f ca="1">IF(History!AP$2="","",#REF!*$C$135)</f>
        <v>#REF!</v>
      </c>
      <c r="AM135" s="11" t="e">
        <f ca="1">IF(History!AQ$2="","",#REF!*$C$135)</f>
        <v>#REF!</v>
      </c>
      <c r="AN135" s="11" t="e">
        <f ca="1">IF(History!AR$2="","",#REF!*$C$135)</f>
        <v>#REF!</v>
      </c>
      <c r="AO135" s="11" t="e">
        <f ca="1">IF(History!AS$2="","",#REF!*$C$135)</f>
        <v>#REF!</v>
      </c>
      <c r="AP135" s="11" t="e">
        <f ca="1">IF(History!AT$2="","",#REF!*$C$135)</f>
        <v>#REF!</v>
      </c>
      <c r="AQ135" s="11" t="e">
        <f ca="1">IF(History!AU$2="","",#REF!*$C$135)</f>
        <v>#REF!</v>
      </c>
      <c r="AR135" s="11" t="e">
        <f ca="1">IF(History!AV$2="","",#REF!*$C$135)</f>
        <v>#REF!</v>
      </c>
      <c r="AS135" s="11" t="e">
        <f ca="1">IF(History!AW$2="","",#REF!*$C$135)</f>
        <v>#REF!</v>
      </c>
      <c r="AT135" s="11" t="e">
        <f ca="1">IF(History!AX$2="","",#REF!*$C$135)</f>
        <v>#REF!</v>
      </c>
      <c r="AU135" s="11" t="e">
        <f ca="1">IF(History!AY$2="","",#REF!*$C$135)</f>
        <v>#REF!</v>
      </c>
      <c r="AV135" s="11" t="e">
        <f ca="1">IF(History!AZ$2="","",#REF!*$C$135)</f>
        <v>#REF!</v>
      </c>
      <c r="AW135" s="11" t="e">
        <f ca="1">IF(History!BA$2="","",#REF!*$C$135)</f>
        <v>#REF!</v>
      </c>
      <c r="AX135" s="11" t="e">
        <f ca="1">IF(History!BB$2="","",#REF!*$C$135)</f>
        <v>#REF!</v>
      </c>
      <c r="AY135" s="11" t="e">
        <f ca="1">IF(History!BC$2="","",#REF!*$C$135)</f>
        <v>#REF!</v>
      </c>
      <c r="AZ135" s="11" t="e">
        <f ca="1">IF(History!BD$2="","",#REF!*$C$135)</f>
        <v>#REF!</v>
      </c>
      <c r="BA135" s="11" t="e">
        <f ca="1">IF(History!BE$2="","",#REF!*$C$135)</f>
        <v>#REF!</v>
      </c>
      <c r="BB135" s="11" t="e">
        <f ca="1">IF(History!BF$2="","",#REF!*$C$135)</f>
        <v>#REF!</v>
      </c>
      <c r="BC135" s="11" t="e">
        <f ca="1">IF(History!BG$2="","",#REF!*$C$135)</f>
        <v>#REF!</v>
      </c>
      <c r="BD135" s="11" t="e">
        <f ca="1">IF(History!BH$2="","",#REF!*$C$135)</f>
        <v>#REF!</v>
      </c>
      <c r="BE135" s="11" t="e">
        <f ca="1">IF(History!BI$2="","",#REF!*$C$135)</f>
        <v>#REF!</v>
      </c>
      <c r="BF135" s="11" t="e">
        <f ca="1">IF(History!BJ$2="","",#REF!*$C$135)</f>
        <v>#REF!</v>
      </c>
      <c r="BG135" s="11" t="e">
        <f ca="1">IF(History!BK$2="","",#REF!*$C$135)</f>
        <v>#REF!</v>
      </c>
      <c r="BH135" s="11" t="e">
        <f ca="1">IF(History!BL$2="","",#REF!*$C$135)</f>
        <v>#REF!</v>
      </c>
      <c r="BI135" s="11" t="e">
        <f ca="1">IF(History!BM$2="","",#REF!*$C$135)</f>
        <v>#REF!</v>
      </c>
      <c r="BJ135" s="11" t="e">
        <f ca="1">IF(History!BN$2="","",#REF!*$C$135)</f>
        <v>#REF!</v>
      </c>
      <c r="BK135" s="11" t="e">
        <f ca="1">IF(History!BO$2="","",#REF!*$C$135)</f>
        <v>#REF!</v>
      </c>
      <c r="BL135" s="11" t="e">
        <f ca="1">IF(History!BP$2="","",#REF!*$C$135)</f>
        <v>#REF!</v>
      </c>
      <c r="BM135" s="11" t="e">
        <f ca="1">IF(History!BQ$2="","",#REF!*$C$135)</f>
        <v>#REF!</v>
      </c>
      <c r="BN135" s="11" t="e">
        <f ca="1">IF(History!BR$2="","",#REF!*$C$135)</f>
        <v>#REF!</v>
      </c>
      <c r="BO135" s="11" t="e">
        <f ca="1">IF(History!BS$2="","",#REF!*$C$135)</f>
        <v>#REF!</v>
      </c>
      <c r="BP135" s="11" t="e">
        <f ca="1">IF(History!BT$2="","",#REF!*$C$135)</f>
        <v>#REF!</v>
      </c>
      <c r="BQ135" s="11" t="e">
        <f ca="1">IF(History!BU$2="","",#REF!*$C$135)</f>
        <v>#REF!</v>
      </c>
      <c r="BR135" s="11" t="e">
        <f ca="1">IF(History!BV$2="","",#REF!*$C$135)</f>
        <v>#REF!</v>
      </c>
      <c r="BS135" s="11" t="e">
        <f ca="1">IF(History!BW$2="","",#REF!*$C$135)</f>
        <v>#REF!</v>
      </c>
      <c r="BT135" s="11" t="e">
        <f ca="1">IF(History!BX$2="","",#REF!*$C$135)</f>
        <v>#REF!</v>
      </c>
      <c r="BU135" s="11" t="e">
        <f ca="1">IF(History!BY$2="","",#REF!*$C$135)</f>
        <v>#REF!</v>
      </c>
      <c r="BV135" s="11" t="e">
        <f ca="1">IF(History!BZ$2="","",#REF!*$C$135)</f>
        <v>#REF!</v>
      </c>
      <c r="BW135" s="11" t="e">
        <f ca="1">IF(History!CA$2="","",#REF!*$C$135)</f>
        <v>#REF!</v>
      </c>
      <c r="BX135" s="11" t="e">
        <f ca="1">IF(History!CB$2="","",#REF!*$C$135)</f>
        <v>#REF!</v>
      </c>
      <c r="BY135" s="11" t="e">
        <f ca="1">IF(History!CC$2="","",#REF!*$C$135)</f>
        <v>#REF!</v>
      </c>
      <c r="BZ135" s="11" t="e">
        <f ca="1">IF(History!CD$2="","",#REF!*$C$135)</f>
        <v>#REF!</v>
      </c>
      <c r="CA135" s="11" t="e">
        <f ca="1">IF(History!CE$2="","",#REF!*$C$135)</f>
        <v>#REF!</v>
      </c>
      <c r="CB135" s="11" t="e">
        <f ca="1">IF(History!CF$2="","",#REF!*$C$135)</f>
        <v>#REF!</v>
      </c>
      <c r="CC135" s="11" t="e">
        <f ca="1">IF(History!CG$2="","",#REF!*$C$135)</f>
        <v>#REF!</v>
      </c>
      <c r="CD135" s="11" t="e">
        <f ca="1">IF(History!CH$2="","",#REF!*$C$135)</f>
        <v>#REF!</v>
      </c>
      <c r="CE135" s="11" t="e">
        <f ca="1">IF(History!CI$2="","",#REF!*$C$135)</f>
        <v>#REF!</v>
      </c>
      <c r="CF135" s="11" t="str">
        <f ca="1">IF(History!CJ$2="","",#REF!*$C$135)</f>
        <v/>
      </c>
      <c r="CG135" s="11" t="str">
        <f ca="1">IF(History!CK$2="","",#REF!*$C$135)</f>
        <v/>
      </c>
      <c r="CH135" s="11" t="str">
        <f ca="1">IF(History!CL$2="","",#REF!*$C$135)</f>
        <v/>
      </c>
      <c r="CI135" s="11" t="str">
        <f ca="1">IF(History!CM$2="","",#REF!*$C$135)</f>
        <v/>
      </c>
      <c r="CJ135" s="11" t="str">
        <f ca="1">IF(History!CN$2="","",#REF!*$C$135)</f>
        <v/>
      </c>
      <c r="CK135" s="11" t="str">
        <f ca="1">IF(History!CO$2="","",#REF!*$C$135)</f>
        <v/>
      </c>
      <c r="CL135" s="11" t="str">
        <f ca="1">IF(History!CP$2="","",#REF!*$C$135)</f>
        <v/>
      </c>
      <c r="CM135" s="11" t="str">
        <f ca="1">IF(History!CQ$2="","",#REF!*$C$135)</f>
        <v/>
      </c>
      <c r="CN135" s="11" t="str">
        <f ca="1">IF(History!CR$2="","",#REF!*$C$135)</f>
        <v/>
      </c>
      <c r="CO135" s="11" t="str">
        <f ca="1">IF(History!CS$2="","",#REF!*$C$135)</f>
        <v/>
      </c>
      <c r="CP135" s="11" t="str">
        <f ca="1">IF(History!CT$2="","",#REF!*$C$135)</f>
        <v/>
      </c>
      <c r="CQ135" s="11" t="str">
        <f ca="1">IF(History!CU$2="","",#REF!*$C$135)</f>
        <v/>
      </c>
      <c r="CR135" s="11" t="str">
        <f ca="1">IF(History!CV$2="","",#REF!*$C$135)</f>
        <v/>
      </c>
      <c r="CS135" s="11" t="str">
        <f ca="1">IF(History!CW$2="","",#REF!*$C$135)</f>
        <v/>
      </c>
      <c r="CT135" s="11" t="str">
        <f ca="1">IF(History!CX$2="","",#REF!*$C$135)</f>
        <v/>
      </c>
      <c r="CU135" s="11" t="str">
        <f ca="1">IF(History!CY$2="","",#REF!*$C$135)</f>
        <v/>
      </c>
      <c r="CV135" s="11" t="str">
        <f ca="1">IF(History!CZ$2="","",#REF!*$C$135)</f>
        <v/>
      </c>
      <c r="CW135" s="11" t="str">
        <f ca="1">IF(History!DA$2="","",#REF!*$C$135)</f>
        <v/>
      </c>
      <c r="CX135" s="11" t="str">
        <f ca="1">IF(History!DB$2="","",#REF!*$C$135)</f>
        <v/>
      </c>
      <c r="CY135" s="11" t="str">
        <f ca="1">IF(History!DC$2="","",#REF!*$C$135)</f>
        <v/>
      </c>
      <c r="CZ135" s="11" t="str">
        <f ca="1">IF(History!DD$2="","",#REF!*$C$135)</f>
        <v/>
      </c>
      <c r="DA135" s="11" t="str">
        <f ca="1">IF(History!DE$2="","",#REF!*$C$135)</f>
        <v/>
      </c>
      <c r="DB135" s="11" t="str">
        <f ca="1">IF(History!DF$2="","",#REF!*$C$135)</f>
        <v/>
      </c>
      <c r="DC135" s="11" t="str">
        <f ca="1">IF(History!DG$2="","",#REF!*$C$135)</f>
        <v/>
      </c>
      <c r="DD135" s="11" t="str">
        <f ca="1">IF(History!DH$2="","",#REF!*$C$135)</f>
        <v/>
      </c>
      <c r="DE135" s="11" t="str">
        <f ca="1">IF(History!DI$2="","",#REF!*$C$135)</f>
        <v/>
      </c>
      <c r="DF135" s="11" t="str">
        <f ca="1">IF(History!DJ$2="","",#REF!*$C$135)</f>
        <v/>
      </c>
      <c r="DG135" s="11" t="str">
        <f ca="1">IF(History!DK$2="","",#REF!*$C$135)</f>
        <v/>
      </c>
      <c r="DH135" s="11" t="str">
        <f ca="1">IF(History!DL$2="","",#REF!*$C$135)</f>
        <v/>
      </c>
      <c r="DI135" s="11" t="str">
        <f ca="1">IF(History!DM$2="","",#REF!*$C$135)</f>
        <v/>
      </c>
      <c r="DJ135" s="11" t="str">
        <f ca="1">IF(History!DN$2="","",#REF!*$C$135)</f>
        <v/>
      </c>
      <c r="DK135" s="11" t="str">
        <f ca="1">IF(History!DO$2="","",#REF!*$C$135)</f>
        <v/>
      </c>
      <c r="DL135" s="11" t="str">
        <f ca="1">IF(History!DP$2="","",#REF!*$C$135)</f>
        <v/>
      </c>
      <c r="DM135" s="11" t="str">
        <f ca="1">IF(History!DQ$2="","",#REF!*$C$135)</f>
        <v/>
      </c>
      <c r="DN135" s="11" t="str">
        <f ca="1">IF(History!DR$2="","",#REF!*$C$135)</f>
        <v/>
      </c>
      <c r="DO135" s="11" t="str">
        <f ca="1">IF(History!DS$2="","",#REF!*$C$135)</f>
        <v/>
      </c>
      <c r="DP135" s="11" t="str">
        <f ca="1">IF(History!DT$2="","",#REF!*$C$135)</f>
        <v/>
      </c>
      <c r="DQ135" s="11" t="str">
        <f ca="1">IF(History!DU$2="","",#REF!*$C$135)</f>
        <v/>
      </c>
      <c r="DR135" s="11" t="str">
        <f ca="1">IF(History!DV$2="","",#REF!*$C$135)</f>
        <v/>
      </c>
      <c r="DS135" s="11" t="str">
        <f ca="1">IF(History!DW$2="","",#REF!*$C$135)</f>
        <v/>
      </c>
      <c r="DT135" s="11" t="str">
        <f ca="1">IF(History!DX$2="","",#REF!*$C$135)</f>
        <v/>
      </c>
      <c r="DU135" s="11" t="str">
        <f ca="1">IF(History!DY$2="","",#REF!*$C$135)</f>
        <v/>
      </c>
      <c r="DV135" s="11" t="str">
        <f ca="1">IF(History!DZ$2="","",#REF!*$C$135)</f>
        <v/>
      </c>
      <c r="DW135" s="11" t="str">
        <f ca="1">IF(History!EA$2="","",#REF!*$C$135)</f>
        <v/>
      </c>
      <c r="DX135" s="11" t="str">
        <f ca="1">IF(History!EB$2="","",#REF!*$C$135)</f>
        <v/>
      </c>
      <c r="DY135" s="11" t="str">
        <f ca="1">IF(History!EC$2="","",#REF!*$C$135)</f>
        <v/>
      </c>
      <c r="DZ135" s="11" t="str">
        <f ca="1">IF(History!ED$2="","",#REF!*$C$135)</f>
        <v/>
      </c>
      <c r="EA135" s="11" t="str">
        <f ca="1">IF(History!EE$2="","",#REF!*$C$135)</f>
        <v/>
      </c>
      <c r="EB135" s="11" t="str">
        <f ca="1">IF(History!EF$2="","",#REF!*$C$135)</f>
        <v/>
      </c>
      <c r="EC135" s="11" t="str">
        <f ca="1">IF(History!EG$2="","",#REF!*$C$135)</f>
        <v/>
      </c>
      <c r="ED135" s="11" t="str">
        <f ca="1">IF(History!EH$2="","",#REF!*$C$135)</f>
        <v/>
      </c>
      <c r="EE135" s="11" t="str">
        <f ca="1">IF(History!EI$2="","",#REF!*$C$135)</f>
        <v/>
      </c>
      <c r="EF135" s="11" t="str">
        <f ca="1">IF(History!EJ$2="","",#REF!*$C$135)</f>
        <v/>
      </c>
      <c r="EG135" s="11" t="str">
        <f ca="1">IF(History!EK$2="","",#REF!*$C$135)</f>
        <v/>
      </c>
      <c r="EH135" s="11" t="str">
        <f ca="1">IF(History!EL$2="","",#REF!*$C$135)</f>
        <v/>
      </c>
      <c r="EI135" s="11" t="str">
        <f ca="1">IF(History!EM$2="","",#REF!*$C$135)</f>
        <v/>
      </c>
      <c r="EJ135" s="11" t="str">
        <f ca="1">IF(History!EN$2="","",#REF!*$C$135)</f>
        <v/>
      </c>
      <c r="EK135" s="11" t="str">
        <f ca="1">IF(History!EO$2="","",#REF!*$C$135)</f>
        <v/>
      </c>
      <c r="EL135" s="11" t="str">
        <f ca="1">IF(History!EP$2="","",#REF!*$C$135)</f>
        <v/>
      </c>
      <c r="EM135" s="11" t="str">
        <f ca="1">IF(History!EQ$2="","",#REF!*$C$135)</f>
        <v/>
      </c>
      <c r="EN135" s="11" t="str">
        <f ca="1">IF(History!ER$2="","",#REF!*$C$135)</f>
        <v/>
      </c>
      <c r="EO135" s="11" t="str">
        <f ca="1">IF(History!ES$2="","",#REF!*$C$135)</f>
        <v/>
      </c>
      <c r="EP135" s="11" t="str">
        <f ca="1">IF(History!ET$2="","",#REF!*$C$135)</f>
        <v/>
      </c>
      <c r="EQ135" s="11" t="str">
        <f ca="1">IF(History!EU$2="","",#REF!*$C$135)</f>
        <v/>
      </c>
      <c r="ER135" s="11" t="str">
        <f ca="1">IF(History!EV$2="","",#REF!*$C$135)</f>
        <v/>
      </c>
      <c r="ES135" s="11" t="str">
        <f ca="1">IF(History!EW$2="","",#REF!*$C$135)</f>
        <v/>
      </c>
      <c r="ET135" s="11" t="str">
        <f ca="1">IF(History!EX$2="","",#REF!*$C$135)</f>
        <v/>
      </c>
      <c r="EU135" s="11" t="str">
        <f ca="1">IF(History!EY$2="","",#REF!*$C$135)</f>
        <v/>
      </c>
      <c r="EV135" s="11" t="str">
        <f ca="1">IF(History!EZ$2="","",#REF!*$C$135)</f>
        <v/>
      </c>
      <c r="EW135" s="11" t="str">
        <f ca="1">IF(History!FA$2="","",#REF!*$C$135)</f>
        <v/>
      </c>
      <c r="EX135" s="11" t="str">
        <f ca="1">IF(History!FB$2="","",#REF!*$C$135)</f>
        <v/>
      </c>
      <c r="EY135" s="11" t="str">
        <f ca="1">IF(History!FC$2="","",#REF!*$C$135)</f>
        <v/>
      </c>
      <c r="EZ135" s="11" t="str">
        <f ca="1">IF(History!FD$2="","",#REF!*$C$135)</f>
        <v/>
      </c>
      <c r="FA135" s="11" t="str">
        <f ca="1">IF(History!FE$2="","",#REF!*$C$135)</f>
        <v/>
      </c>
      <c r="FB135" s="11" t="str">
        <f ca="1">IF(History!FF$2="","",#REF!*$C$135)</f>
        <v/>
      </c>
      <c r="FC135" s="11" t="str">
        <f ca="1">IF(History!FG$2="","",#REF!*$C$135)</f>
        <v/>
      </c>
      <c r="FD135" s="11" t="str">
        <f ca="1">IF(History!FH$2="","",#REF!*$C$135)</f>
        <v/>
      </c>
      <c r="FE135" s="11" t="str">
        <f ca="1">IF(History!FI$2="","",#REF!*$C$135)</f>
        <v/>
      </c>
      <c r="FF135" s="11" t="str">
        <f ca="1">IF(History!FJ$2="","",#REF!*$C$135)</f>
        <v/>
      </c>
      <c r="FG135" s="11" t="str">
        <f ca="1">IF(History!FK$2="","",#REF!*$C$135)</f>
        <v/>
      </c>
      <c r="FH135" s="11" t="str">
        <f ca="1">IF(History!FL$2="","",#REF!*$C$135)</f>
        <v/>
      </c>
      <c r="FI135" s="11" t="str">
        <f ca="1">IF(History!FM$2="","",#REF!*$C$135)</f>
        <v/>
      </c>
      <c r="FJ135" s="11" t="str">
        <f ca="1">IF(History!FN$2="","",#REF!*$C$135)</f>
        <v/>
      </c>
      <c r="FK135" s="11" t="str">
        <f ca="1">IF(History!FO$2="","",#REF!*$C$135)</f>
        <v/>
      </c>
      <c r="FL135" s="11" t="str">
        <f ca="1">IF(History!FP$2="","",#REF!*$C$135)</f>
        <v/>
      </c>
      <c r="FM135" s="11" t="str">
        <f ca="1">IF(History!FQ$2="","",#REF!*$C$135)</f>
        <v/>
      </c>
      <c r="FN135" s="11" t="str">
        <f ca="1">IF(History!FR$2="","",#REF!*$C$135)</f>
        <v/>
      </c>
      <c r="FO135" s="11" t="str">
        <f ca="1">IF(History!FS$2="","",#REF!*$C$135)</f>
        <v/>
      </c>
      <c r="FP135" s="11" t="str">
        <f ca="1">IF(History!FT$2="","",#REF!*$C$135)</f>
        <v/>
      </c>
      <c r="FQ135" s="11" t="str">
        <f ca="1">IF(History!FU$2="","",#REF!*$C$135)</f>
        <v/>
      </c>
      <c r="FR135" s="11" t="str">
        <f ca="1">IF(History!FV$2="","",#REF!*$C$135)</f>
        <v/>
      </c>
      <c r="FS135" s="11" t="str">
        <f ca="1">IF(History!FW$2="","",#REF!*$C$135)</f>
        <v/>
      </c>
      <c r="FT135" s="11" t="str">
        <f ca="1">IF(History!FX$2="","",#REF!*$C$135)</f>
        <v/>
      </c>
      <c r="FU135" s="11" t="str">
        <f ca="1">IF(History!FY$2="","",#REF!*$C$135)</f>
        <v/>
      </c>
      <c r="FV135" s="11" t="str">
        <f ca="1">IF(History!FZ$2="","",#REF!*$C$135)</f>
        <v/>
      </c>
      <c r="FW135" s="11" t="str">
        <f ca="1">IF(History!GA$2="","",#REF!*$C$135)</f>
        <v/>
      </c>
      <c r="FX135" s="11" t="str">
        <f ca="1">IF(History!GB$2="","",#REF!*$C$135)</f>
        <v/>
      </c>
      <c r="FY135" s="11" t="str">
        <f ca="1">IF(History!GC$2="","",#REF!*$C$135)</f>
        <v/>
      </c>
      <c r="FZ135" s="11" t="str">
        <f ca="1">IF(History!GD$2="","",#REF!*$C$135)</f>
        <v/>
      </c>
      <c r="GA135" s="11" t="str">
        <f ca="1">IF(History!GE$2="","",#REF!*$C$135)</f>
        <v/>
      </c>
      <c r="GB135" s="11" t="str">
        <f ca="1">IF(History!GF$2="","",#REF!*$C$135)</f>
        <v/>
      </c>
      <c r="GC135" s="11" t="str">
        <f ca="1">IF(History!GG$2="","",#REF!*$C$135)</f>
        <v/>
      </c>
      <c r="GD135" s="11" t="str">
        <f ca="1">IF(History!GH$2="","",#REF!*$C$135)</f>
        <v/>
      </c>
      <c r="GE135" s="11" t="str">
        <f ca="1">IF(History!GI$2="","",#REF!*$C$135)</f>
        <v/>
      </c>
      <c r="GF135" s="11" t="str">
        <f ca="1">IF(History!GJ$2="","",#REF!*$C$135)</f>
        <v/>
      </c>
      <c r="GG135" s="11" t="str">
        <f ca="1">IF(History!GK$2="","",#REF!*$C$135)</f>
        <v/>
      </c>
      <c r="GH135" s="11" t="str">
        <f ca="1">IF(History!GL$2="","",#REF!*$C$135)</f>
        <v/>
      </c>
      <c r="GI135" s="11" t="str">
        <f ca="1">IF(History!GM$2="","",#REF!*$C$135)</f>
        <v/>
      </c>
      <c r="GJ135" s="11" t="str">
        <f ca="1">IF(History!GN$2="","",#REF!*$C$135)</f>
        <v/>
      </c>
      <c r="GK135" s="11" t="str">
        <f ca="1">IF(History!GO$2="","",#REF!*$C$135)</f>
        <v/>
      </c>
      <c r="GL135" s="11" t="str">
        <f ca="1">IF(History!GP$2="","",#REF!*$C$135)</f>
        <v/>
      </c>
      <c r="GM135" s="11" t="str">
        <f ca="1">IF(History!GQ$2="","",#REF!*$C$135)</f>
        <v/>
      </c>
      <c r="GN135" s="11" t="str">
        <f ca="1">IF(History!GR$2="","",#REF!*$C$135)</f>
        <v/>
      </c>
      <c r="GO135" s="11" t="str">
        <f ca="1">IF(History!GS$2="","",#REF!*$C$135)</f>
        <v/>
      </c>
      <c r="GP135" s="11" t="str">
        <f ca="1">IF(History!GT$2="","",#REF!*$C$135)</f>
        <v/>
      </c>
      <c r="GQ135" s="11" t="str">
        <f ca="1">IF(History!GU$2="","",#REF!*$C$135)</f>
        <v/>
      </c>
      <c r="GR135" s="11" t="str">
        <f ca="1">IF(History!GV$2="","",#REF!*$C$135)</f>
        <v/>
      </c>
      <c r="GS135" s="11" t="str">
        <f ca="1">IF(History!GW$2="","",#REF!*$C$135)</f>
        <v/>
      </c>
      <c r="GT135" s="11" t="str">
        <f ca="1">IF(History!GX$2="","",#REF!*$C$135)</f>
        <v/>
      </c>
      <c r="GU135" s="11" t="str">
        <f ca="1">IF(History!GY$2="","",#REF!*$C$135)</f>
        <v/>
      </c>
      <c r="GV135" s="11" t="str">
        <f ca="1">IF(History!GZ$2="","",#REF!*$C$135)</f>
        <v/>
      </c>
      <c r="GW135" s="11" t="str">
        <f ca="1">IF(History!HA$2="","",#REF!*$C$135)</f>
        <v/>
      </c>
      <c r="GX135" s="11" t="str">
        <f ca="1">IF(History!HB$2="","",#REF!*$C$135)</f>
        <v/>
      </c>
      <c r="GY135" s="11" t="str">
        <f ca="1">IF(History!HC$2="","",#REF!*$C$135)</f>
        <v/>
      </c>
      <c r="GZ135" s="11" t="str">
        <f ca="1">IF(History!HD$2="","",#REF!*$C$135)</f>
        <v/>
      </c>
      <c r="HA135" s="11" t="str">
        <f ca="1">IF(History!HE$2="","",#REF!*$C$135)</f>
        <v/>
      </c>
      <c r="HB135" s="11" t="str">
        <f ca="1">IF(History!HF$2="","",#REF!*$C$135)</f>
        <v/>
      </c>
      <c r="HC135" s="11" t="str">
        <f ca="1">IF(History!HG$2="","",#REF!*$C$135)</f>
        <v/>
      </c>
      <c r="HD135" s="11" t="str">
        <f ca="1">IF(History!HH$2="","",#REF!*$C$135)</f>
        <v/>
      </c>
      <c r="HE135" s="11" t="str">
        <f ca="1">IF(History!HI$2="","",#REF!*$C$135)</f>
        <v/>
      </c>
      <c r="HF135" s="11" t="str">
        <f ca="1">IF(History!HJ$2="","",#REF!*$C$135)</f>
        <v/>
      </c>
      <c r="HG135" s="11" t="str">
        <f ca="1">IF(History!HK$2="","",#REF!*$C$135)</f>
        <v/>
      </c>
      <c r="HH135" s="11" t="str">
        <f ca="1">IF(History!HL$2="","",#REF!*$C$135)</f>
        <v/>
      </c>
      <c r="HI135" s="11" t="str">
        <f ca="1">IF(History!HM$2="","",#REF!*$C$135)</f>
        <v/>
      </c>
      <c r="HJ135" s="11" t="str">
        <f ca="1">IF(History!HN$2="","",#REF!*$C$135)</f>
        <v/>
      </c>
      <c r="HK135" s="11" t="str">
        <f ca="1">IF(History!HO$2="","",#REF!*$C$135)</f>
        <v/>
      </c>
      <c r="HL135" s="11" t="str">
        <f ca="1">IF(History!HP$2="","",#REF!*$C$135)</f>
        <v/>
      </c>
      <c r="HM135" s="11" t="str">
        <f ca="1">IF(History!HQ$2="","",#REF!*$C$135)</f>
        <v/>
      </c>
      <c r="HN135" s="11" t="str">
        <f ca="1">IF(History!HR$2="","",#REF!*$C$135)</f>
        <v/>
      </c>
      <c r="HO135" s="11" t="str">
        <f ca="1">IF(History!HS$2="","",#REF!*$C$135)</f>
        <v/>
      </c>
      <c r="HP135" s="11" t="str">
        <f ca="1">IF(History!HT$2="","",#REF!*$C$135)</f>
        <v/>
      </c>
      <c r="HQ135" s="11" t="str">
        <f ca="1">IF(History!HU$2="","",#REF!*$C$135)</f>
        <v/>
      </c>
      <c r="HR135" s="11" t="str">
        <f ca="1">IF(History!HV$2="","",#REF!*$C$135)</f>
        <v/>
      </c>
      <c r="HS135" s="11" t="str">
        <f ca="1">IF(History!HW$2="","",#REF!*$C$135)</f>
        <v/>
      </c>
      <c r="HT135" s="11" t="str">
        <f ca="1">IF(History!HX$2="","",#REF!*$C$135)</f>
        <v/>
      </c>
      <c r="HU135" s="11" t="str">
        <f ca="1">IF(History!HY$2="","",#REF!*$C$135)</f>
        <v/>
      </c>
      <c r="HV135" s="11" t="str">
        <f ca="1">IF(History!HZ$2="","",#REF!*$C$135)</f>
        <v/>
      </c>
      <c r="HW135" s="11" t="str">
        <f ca="1">IF(History!IA$2="","",#REF!*$C$135)</f>
        <v/>
      </c>
      <c r="HX135" s="11" t="str">
        <f ca="1">IF(History!IB$2="","",#REF!*$C$135)</f>
        <v/>
      </c>
      <c r="HY135" s="11" t="str">
        <f ca="1">IF(History!IC$2="","",#REF!*$C$135)</f>
        <v/>
      </c>
      <c r="HZ135" s="11" t="str">
        <f ca="1">IF(History!ID$2="","",#REF!*$C$135)</f>
        <v/>
      </c>
      <c r="IA135" s="11" t="str">
        <f ca="1">IF(History!IE$2="","",#REF!*$C$135)</f>
        <v/>
      </c>
      <c r="IB135" s="11" t="str">
        <f ca="1">IF(History!IF$2="","",#REF!*$C$135)</f>
        <v/>
      </c>
      <c r="IC135" s="11" t="str">
        <f ca="1">IF(History!IG$2="","",#REF!*$C$135)</f>
        <v/>
      </c>
      <c r="ID135" s="11" t="str">
        <f ca="1">IF(History!IH$2="","",#REF!*$C$135)</f>
        <v/>
      </c>
      <c r="IE135" s="11" t="str">
        <f ca="1">IF(History!II$2="","",#REF!*$C$135)</f>
        <v/>
      </c>
      <c r="IF135" s="11" t="str">
        <f ca="1">IF(History!IJ$2="","",#REF!*$C$135)</f>
        <v/>
      </c>
      <c r="IG135" s="11" t="str">
        <f ca="1">IF(History!IK$2="","",#REF!*$C$135)</f>
        <v/>
      </c>
      <c r="IH135" s="11" t="str">
        <f ca="1">IF(History!IL$2="","",#REF!*$C$135)</f>
        <v/>
      </c>
      <c r="II135" s="11" t="str">
        <f ca="1">IF(History!IM$2="","",#REF!*$C$135)</f>
        <v/>
      </c>
      <c r="IJ135" s="11" t="str">
        <f ca="1">IF(History!IN$2="","",#REF!*$C$135)</f>
        <v/>
      </c>
      <c r="IK135" s="11" t="str">
        <f ca="1">IF(History!IO$2="","",#REF!*$C$135)</f>
        <v/>
      </c>
      <c r="IL135" s="11" t="str">
        <f ca="1">IF(History!IP$2="","",#REF!*$C$135)</f>
        <v/>
      </c>
      <c r="IM135" s="11" t="str">
        <f ca="1">IF(History!IQ$2="","",#REF!*$C$135)</f>
        <v/>
      </c>
      <c r="IN135" s="11" t="str">
        <f ca="1">IF(History!IR$2="","",#REF!*$C$135)</f>
        <v/>
      </c>
      <c r="IO135" s="11" t="str">
        <f ca="1">IF(History!IS$2="","",#REF!*$C$135)</f>
        <v/>
      </c>
      <c r="IP135" s="11" t="str">
        <f ca="1">IF(History!IT$2="","",#REF!*$C$135)</f>
        <v/>
      </c>
      <c r="IQ135" s="11" t="str">
        <f ca="1">IF(History!IU$2="","",#REF!*$C$135)</f>
        <v/>
      </c>
      <c r="IR135" s="11" t="str">
        <f ca="1">IF(History!IV$2="","",#REF!*$C$135)</f>
        <v/>
      </c>
      <c r="IS135" s="11" t="str">
        <f ca="1">IF(History!IW$2="","",#REF!*$C$135)</f>
        <v/>
      </c>
      <c r="IT135" s="11" t="str">
        <f ca="1">IF(History!IX$2="","",#REF!*$C$135)</f>
        <v/>
      </c>
      <c r="IU135" s="11" t="str">
        <f ca="1">IF(History!IY$2="","",#REF!*$C$135)</f>
        <v/>
      </c>
      <c r="IV135" s="11" t="str">
        <f ca="1">IF(History!IZ$2="","",#REF!*$C$135)</f>
        <v/>
      </c>
      <c r="IW135" s="11" t="str">
        <f ca="1">IF(History!JA$2="","",#REF!*$C$135)</f>
        <v/>
      </c>
      <c r="IX135" s="11" t="str">
        <f ca="1">IF(History!JB$2="","",#REF!*$C$135)</f>
        <v/>
      </c>
      <c r="IY135" s="11" t="str">
        <f ca="1">IF(History!JC$2="","",#REF!*$C$135)</f>
        <v/>
      </c>
      <c r="IZ135" s="11" t="str">
        <f ca="1">IF(History!JD$2="","",#REF!*$C$135)</f>
        <v/>
      </c>
      <c r="JA135" s="11" t="str">
        <f ca="1">IF(History!JE$2="","",#REF!*$C$135)</f>
        <v/>
      </c>
      <c r="JB135" s="11" t="str">
        <f ca="1">IF(History!JF$2="","",#REF!*$C$135)</f>
        <v/>
      </c>
      <c r="JC135" s="11" t="str">
        <f ca="1">IF(History!JG$2="","",#REF!*$C$135)</f>
        <v/>
      </c>
      <c r="JD135" s="11" t="str">
        <f ca="1">IF(History!JH$2="","",#REF!*$C$135)</f>
        <v/>
      </c>
      <c r="JE135" s="11" t="str">
        <f ca="1">IF(History!JI$2="","",#REF!*$C$135)</f>
        <v/>
      </c>
      <c r="JF135" s="11" t="str">
        <f ca="1">IF(History!JJ$2="","",#REF!*$C$135)</f>
        <v/>
      </c>
      <c r="JG135" s="11" t="str">
        <f ca="1">IF(History!JK$2="","",#REF!*$C$135)</f>
        <v/>
      </c>
      <c r="JH135" s="11" t="str">
        <f ca="1">IF(History!JL$2="","",#REF!*$C$135)</f>
        <v/>
      </c>
      <c r="JI135" s="11" t="str">
        <f ca="1">IF(History!JM$2="","",#REF!*$C$135)</f>
        <v/>
      </c>
      <c r="JJ135" s="11" t="str">
        <f ca="1">IF(History!JN$2="","",#REF!*$C$135)</f>
        <v/>
      </c>
      <c r="JK135" s="11" t="str">
        <f ca="1">IF(History!JO$2="","",#REF!*$C$135)</f>
        <v/>
      </c>
      <c r="JL135" s="11" t="str">
        <f ca="1">IF(History!JP$2="","",#REF!*$C$135)</f>
        <v/>
      </c>
      <c r="JM135" s="11" t="str">
        <f ca="1">IF(History!JQ$2="","",#REF!*$C$135)</f>
        <v/>
      </c>
      <c r="JN135" s="11" t="str">
        <f ca="1">IF(History!JR$2="","",#REF!*$C$135)</f>
        <v/>
      </c>
      <c r="JO135" s="11" t="str">
        <f ca="1">IF(History!JS$2="","",#REF!*$C$135)</f>
        <v/>
      </c>
      <c r="JP135" s="11" t="str">
        <f ca="1">IF(History!JT$2="","",#REF!*$C$135)</f>
        <v/>
      </c>
      <c r="JQ135" s="11" t="str">
        <f ca="1">IF(History!JU$2="","",#REF!*$C$135)</f>
        <v/>
      </c>
      <c r="JR135" s="11" t="str">
        <f ca="1">IF(History!JV$2="","",#REF!*$C$135)</f>
        <v/>
      </c>
      <c r="JS135" s="11" t="str">
        <f ca="1">IF(History!JW$2="","",#REF!*$C$135)</f>
        <v/>
      </c>
      <c r="JT135" s="11" t="str">
        <f ca="1">IF(History!JX$2="","",#REF!*$C$135)</f>
        <v/>
      </c>
      <c r="JU135" s="11" t="str">
        <f ca="1">IF(History!JY$2="","",#REF!*$C$135)</f>
        <v/>
      </c>
      <c r="JV135" s="11" t="str">
        <f ca="1">IF(History!JZ$2="","",#REF!*$C$135)</f>
        <v/>
      </c>
      <c r="JW135" s="11" t="str">
        <f ca="1">IF(History!KA$2="","",#REF!*$C$135)</f>
        <v/>
      </c>
      <c r="JX135" s="11" t="str">
        <f ca="1">IF(History!KB$2="","",#REF!*$C$135)</f>
        <v/>
      </c>
      <c r="JY135" s="11" t="str">
        <f ca="1">IF(History!KC$2="","",#REF!*$C$135)</f>
        <v/>
      </c>
      <c r="JZ135" s="11" t="str">
        <f ca="1">IF(History!KD$2="","",#REF!*$C$135)</f>
        <v/>
      </c>
      <c r="KA135" s="11" t="str">
        <f ca="1">IF(History!KE$2="","",#REF!*$C$135)</f>
        <v/>
      </c>
      <c r="KB135" s="11" t="str">
        <f ca="1">IF(History!KF$2="","",#REF!*$C$135)</f>
        <v/>
      </c>
    </row>
    <row r="136" spans="1:288" ht="13">
      <c r="A136" s="2" t="s">
        <v>40</v>
      </c>
      <c r="B136" s="32" t="s">
        <v>123</v>
      </c>
      <c r="C136" s="5">
        <v>1095</v>
      </c>
      <c r="D136" s="11" t="e">
        <f ca="1">IF(History!H$2="","",#REF!*$C$136)</f>
        <v>#REF!</v>
      </c>
      <c r="E136" s="11" t="e">
        <f ca="1">IF(History!I$2="","",#REF!*$C$136)</f>
        <v>#REF!</v>
      </c>
      <c r="F136" s="11" t="e">
        <f ca="1">IF(History!J$2="","",#REF!*$C$136)</f>
        <v>#REF!</v>
      </c>
      <c r="G136" s="11" t="e">
        <f ca="1">IF(History!K$2="","",#REF!*$C$136)</f>
        <v>#REF!</v>
      </c>
      <c r="H136" s="11" t="e">
        <f ca="1">IF(History!L$2="","",#REF!*$C$136)</f>
        <v>#REF!</v>
      </c>
      <c r="I136" s="11" t="e">
        <f ca="1">IF(History!M$2="","",#REF!*$C$136)</f>
        <v>#REF!</v>
      </c>
      <c r="J136" s="11" t="e">
        <f ca="1">IF(History!N$2="","",#REF!*$C$136)</f>
        <v>#REF!</v>
      </c>
      <c r="K136" s="11" t="e">
        <f ca="1">IF(History!O$2="","",#REF!*$C$136)</f>
        <v>#REF!</v>
      </c>
      <c r="L136" s="11" t="e">
        <f ca="1">IF(History!P$2="","",#REF!*$C$136)</f>
        <v>#REF!</v>
      </c>
      <c r="M136" s="11" t="e">
        <f ca="1">IF(History!Q$2="","",#REF!*$C$136)</f>
        <v>#REF!</v>
      </c>
      <c r="N136" s="11" t="e">
        <f ca="1">IF(History!R$2="","",#REF!*$C$136)</f>
        <v>#REF!</v>
      </c>
      <c r="O136" s="11" t="e">
        <f ca="1">IF(History!S$2="","",#REF!*$C$136)</f>
        <v>#REF!</v>
      </c>
      <c r="P136" s="11" t="e">
        <f ca="1">IF(History!T$2="","",#REF!*$C$136)</f>
        <v>#REF!</v>
      </c>
      <c r="Q136" s="11" t="e">
        <f ca="1">IF(History!U$2="","",#REF!*$C$136)</f>
        <v>#REF!</v>
      </c>
      <c r="R136" s="11" t="e">
        <f ca="1">IF(History!V$2="","",#REF!*$C$136)</f>
        <v>#REF!</v>
      </c>
      <c r="S136" s="11" t="e">
        <f ca="1">IF(History!W$2="","",#REF!*$C$136)</f>
        <v>#REF!</v>
      </c>
      <c r="T136" s="11" t="e">
        <f ca="1">IF(History!X$2="","",#REF!*$C$136)</f>
        <v>#REF!</v>
      </c>
      <c r="U136" s="11" t="e">
        <f ca="1">IF(History!Y$2="","",#REF!*$C$136)</f>
        <v>#REF!</v>
      </c>
      <c r="V136" s="11" t="e">
        <f ca="1">IF(History!Z$2="","",#REF!*$C$136)</f>
        <v>#REF!</v>
      </c>
      <c r="W136" s="11" t="e">
        <f ca="1">IF(History!AA$2="","",#REF!*$C$136)</f>
        <v>#REF!</v>
      </c>
      <c r="X136" s="11" t="e">
        <f ca="1">IF(History!AB$2="","",#REF!*$C$136)</f>
        <v>#REF!</v>
      </c>
      <c r="Y136" s="11" t="e">
        <f ca="1">IF(History!AC$2="","",#REF!*$C$136)</f>
        <v>#REF!</v>
      </c>
      <c r="Z136" s="11" t="e">
        <f ca="1">IF(History!AD$2="","",#REF!*$C$136)</f>
        <v>#REF!</v>
      </c>
      <c r="AA136" s="11" t="e">
        <f ca="1">IF(History!AE$2="","",#REF!*$C$136)</f>
        <v>#REF!</v>
      </c>
      <c r="AB136" s="11" t="e">
        <f ca="1">IF(History!AF$2="","",#REF!*$C$136)</f>
        <v>#REF!</v>
      </c>
      <c r="AC136" s="11" t="e">
        <f ca="1">IF(History!AG$2="","",#REF!*$C$136)</f>
        <v>#REF!</v>
      </c>
      <c r="AD136" s="11" t="e">
        <f ca="1">IF(History!AH$2="","",#REF!*$C$136)</f>
        <v>#REF!</v>
      </c>
      <c r="AE136" s="11" t="e">
        <f ca="1">IF(History!AI$2="","",#REF!*$C$136)</f>
        <v>#REF!</v>
      </c>
      <c r="AF136" s="11" t="e">
        <f ca="1">IF(History!AJ$2="","",#REF!*$C$136)</f>
        <v>#REF!</v>
      </c>
      <c r="AG136" s="11" t="e">
        <f ca="1">IF(History!AK$2="","",#REF!*$C$136)</f>
        <v>#REF!</v>
      </c>
      <c r="AH136" s="11" t="e">
        <f ca="1">IF(History!AL$2="","",#REF!*$C$136)</f>
        <v>#REF!</v>
      </c>
      <c r="AI136" s="11" t="e">
        <f ca="1">IF(History!AM$2="","",#REF!*$C$136)</f>
        <v>#REF!</v>
      </c>
      <c r="AJ136" s="11" t="e">
        <f ca="1">IF(History!AN$2="","",#REF!*$C$136)</f>
        <v>#REF!</v>
      </c>
      <c r="AK136" s="11" t="e">
        <f ca="1">IF(History!AO$2="","",#REF!*$C$136)</f>
        <v>#REF!</v>
      </c>
      <c r="AL136" s="11" t="e">
        <f ca="1">IF(History!AP$2="","",#REF!*$C$136)</f>
        <v>#REF!</v>
      </c>
      <c r="AM136" s="11" t="e">
        <f ca="1">IF(History!AQ$2="","",#REF!*$C$136)</f>
        <v>#REF!</v>
      </c>
      <c r="AN136" s="11" t="e">
        <f ca="1">IF(History!AR$2="","",#REF!*$C$136)</f>
        <v>#REF!</v>
      </c>
      <c r="AO136" s="11" t="e">
        <f ca="1">IF(History!AS$2="","",#REF!*$C$136)</f>
        <v>#REF!</v>
      </c>
      <c r="AP136" s="11" t="e">
        <f ca="1">IF(History!AT$2="","",#REF!*$C$136)</f>
        <v>#REF!</v>
      </c>
      <c r="AQ136" s="11" t="e">
        <f ca="1">IF(History!AU$2="","",#REF!*$C$136)</f>
        <v>#REF!</v>
      </c>
      <c r="AR136" s="11" t="e">
        <f ca="1">IF(History!AV$2="","",#REF!*$C$136)</f>
        <v>#REF!</v>
      </c>
      <c r="AS136" s="11" t="e">
        <f ca="1">IF(History!AW$2="","",#REF!*$C$136)</f>
        <v>#REF!</v>
      </c>
      <c r="AT136" s="11" t="e">
        <f ca="1">IF(History!AX$2="","",#REF!*$C$136)</f>
        <v>#REF!</v>
      </c>
      <c r="AU136" s="11" t="e">
        <f ca="1">IF(History!AY$2="","",#REF!*$C$136)</f>
        <v>#REF!</v>
      </c>
      <c r="AV136" s="11" t="e">
        <f ca="1">IF(History!AZ$2="","",#REF!*$C$136)</f>
        <v>#REF!</v>
      </c>
      <c r="AW136" s="11" t="e">
        <f ca="1">IF(History!BA$2="","",#REF!*$C$136)</f>
        <v>#REF!</v>
      </c>
      <c r="AX136" s="11" t="e">
        <f ca="1">IF(History!BB$2="","",#REF!*$C$136)</f>
        <v>#REF!</v>
      </c>
      <c r="AY136" s="11" t="e">
        <f ca="1">IF(History!BC$2="","",#REF!*$C$136)</f>
        <v>#REF!</v>
      </c>
      <c r="AZ136" s="11" t="e">
        <f ca="1">IF(History!BD$2="","",#REF!*$C$136)</f>
        <v>#REF!</v>
      </c>
      <c r="BA136" s="11" t="e">
        <f ca="1">IF(History!BE$2="","",#REF!*$C$136)</f>
        <v>#REF!</v>
      </c>
      <c r="BB136" s="11" t="e">
        <f ca="1">IF(History!BF$2="","",#REF!*$C$136)</f>
        <v>#REF!</v>
      </c>
      <c r="BC136" s="11" t="e">
        <f ca="1">IF(History!BG$2="","",#REF!*$C$136)</f>
        <v>#REF!</v>
      </c>
      <c r="BD136" s="11" t="e">
        <f ca="1">IF(History!BH$2="","",#REF!*$C$136)</f>
        <v>#REF!</v>
      </c>
      <c r="BE136" s="11" t="e">
        <f ca="1">IF(History!BI$2="","",#REF!*$C$136)</f>
        <v>#REF!</v>
      </c>
      <c r="BF136" s="11" t="e">
        <f ca="1">IF(History!BJ$2="","",#REF!*$C$136)</f>
        <v>#REF!</v>
      </c>
      <c r="BG136" s="11" t="e">
        <f ca="1">IF(History!BK$2="","",#REF!*$C$136)</f>
        <v>#REF!</v>
      </c>
      <c r="BH136" s="11" t="e">
        <f ca="1">IF(History!BL$2="","",#REF!*$C$136)</f>
        <v>#REF!</v>
      </c>
      <c r="BI136" s="11" t="e">
        <f ca="1">IF(History!BM$2="","",#REF!*$C$136)</f>
        <v>#REF!</v>
      </c>
      <c r="BJ136" s="11" t="e">
        <f ca="1">IF(History!BN$2="","",#REF!*$C$136)</f>
        <v>#REF!</v>
      </c>
      <c r="BK136" s="11" t="e">
        <f ca="1">IF(History!BO$2="","",#REF!*$C$136)</f>
        <v>#REF!</v>
      </c>
      <c r="BL136" s="11" t="e">
        <f ca="1">IF(History!BP$2="","",#REF!*$C$136)</f>
        <v>#REF!</v>
      </c>
      <c r="BM136" s="11" t="e">
        <f ca="1">IF(History!BQ$2="","",#REF!*$C$136)</f>
        <v>#REF!</v>
      </c>
      <c r="BN136" s="11" t="e">
        <f ca="1">IF(History!BR$2="","",#REF!*$C$136)</f>
        <v>#REF!</v>
      </c>
      <c r="BO136" s="11" t="e">
        <f ca="1">IF(History!BS$2="","",#REF!*$C$136)</f>
        <v>#REF!</v>
      </c>
      <c r="BP136" s="11" t="e">
        <f ca="1">IF(History!BT$2="","",#REF!*$C$136)</f>
        <v>#REF!</v>
      </c>
      <c r="BQ136" s="11" t="e">
        <f ca="1">IF(History!BU$2="","",#REF!*$C$136)</f>
        <v>#REF!</v>
      </c>
      <c r="BR136" s="11" t="e">
        <f ca="1">IF(History!BV$2="","",#REF!*$C$136)</f>
        <v>#REF!</v>
      </c>
      <c r="BS136" s="11" t="e">
        <f ca="1">IF(History!BW$2="","",#REF!*$C$136)</f>
        <v>#REF!</v>
      </c>
      <c r="BT136" s="11" t="e">
        <f ca="1">IF(History!BX$2="","",#REF!*$C$136)</f>
        <v>#REF!</v>
      </c>
      <c r="BU136" s="11" t="e">
        <f ca="1">IF(History!BY$2="","",#REF!*$C$136)</f>
        <v>#REF!</v>
      </c>
      <c r="BV136" s="11" t="e">
        <f ca="1">IF(History!BZ$2="","",#REF!*$C$136)</f>
        <v>#REF!</v>
      </c>
      <c r="BW136" s="11" t="e">
        <f ca="1">IF(History!CA$2="","",#REF!*$C$136)</f>
        <v>#REF!</v>
      </c>
      <c r="BX136" s="11" t="e">
        <f ca="1">IF(History!CB$2="","",#REF!*$C$136)</f>
        <v>#REF!</v>
      </c>
      <c r="BY136" s="11" t="e">
        <f ca="1">IF(History!CC$2="","",#REF!*$C$136)</f>
        <v>#REF!</v>
      </c>
      <c r="BZ136" s="11" t="e">
        <f ca="1">IF(History!CD$2="","",#REF!*$C$136)</f>
        <v>#REF!</v>
      </c>
      <c r="CA136" s="11" t="e">
        <f ca="1">IF(History!CE$2="","",#REF!*$C$136)</f>
        <v>#REF!</v>
      </c>
      <c r="CB136" s="11" t="e">
        <f ca="1">IF(History!CF$2="","",#REF!*$C$136)</f>
        <v>#REF!</v>
      </c>
      <c r="CC136" s="11" t="e">
        <f ca="1">IF(History!CG$2="","",#REF!*$C$136)</f>
        <v>#REF!</v>
      </c>
      <c r="CD136" s="11" t="e">
        <f ca="1">IF(History!CH$2="","",#REF!*$C$136)</f>
        <v>#REF!</v>
      </c>
      <c r="CE136" s="11" t="e">
        <f ca="1">IF(History!CI$2="","",#REF!*$C$136)</f>
        <v>#REF!</v>
      </c>
      <c r="CF136" s="11" t="str">
        <f ca="1">IF(History!CJ$2="","",#REF!*$C$136)</f>
        <v/>
      </c>
      <c r="CG136" s="11" t="str">
        <f ca="1">IF(History!CK$2="","",#REF!*$C$136)</f>
        <v/>
      </c>
      <c r="CH136" s="11" t="str">
        <f ca="1">IF(History!CL$2="","",#REF!*$C$136)</f>
        <v/>
      </c>
      <c r="CI136" s="11" t="str">
        <f ca="1">IF(History!CM$2="","",#REF!*$C$136)</f>
        <v/>
      </c>
      <c r="CJ136" s="11" t="str">
        <f ca="1">IF(History!CN$2="","",#REF!*$C$136)</f>
        <v/>
      </c>
      <c r="CK136" s="11" t="str">
        <f ca="1">IF(History!CO$2="","",#REF!*$C$136)</f>
        <v/>
      </c>
      <c r="CL136" s="11" t="str">
        <f ca="1">IF(History!CP$2="","",#REF!*$C$136)</f>
        <v/>
      </c>
      <c r="CM136" s="11" t="str">
        <f ca="1">IF(History!CQ$2="","",#REF!*$C$136)</f>
        <v/>
      </c>
      <c r="CN136" s="11" t="str">
        <f ca="1">IF(History!CR$2="","",#REF!*$C$136)</f>
        <v/>
      </c>
      <c r="CO136" s="11" t="str">
        <f ca="1">IF(History!CS$2="","",#REF!*$C$136)</f>
        <v/>
      </c>
      <c r="CP136" s="11" t="str">
        <f ca="1">IF(History!CT$2="","",#REF!*$C$136)</f>
        <v/>
      </c>
      <c r="CQ136" s="11" t="str">
        <f ca="1">IF(History!CU$2="","",#REF!*$C$136)</f>
        <v/>
      </c>
      <c r="CR136" s="11" t="str">
        <f ca="1">IF(History!CV$2="","",#REF!*$C$136)</f>
        <v/>
      </c>
      <c r="CS136" s="11" t="str">
        <f ca="1">IF(History!CW$2="","",#REF!*$C$136)</f>
        <v/>
      </c>
      <c r="CT136" s="11" t="str">
        <f ca="1">IF(History!CX$2="","",#REF!*$C$136)</f>
        <v/>
      </c>
      <c r="CU136" s="11" t="str">
        <f ca="1">IF(History!CY$2="","",#REF!*$C$136)</f>
        <v/>
      </c>
      <c r="CV136" s="11" t="str">
        <f ca="1">IF(History!CZ$2="","",#REF!*$C$136)</f>
        <v/>
      </c>
      <c r="CW136" s="11" t="str">
        <f ca="1">IF(History!DA$2="","",#REF!*$C$136)</f>
        <v/>
      </c>
      <c r="CX136" s="11" t="str">
        <f ca="1">IF(History!DB$2="","",#REF!*$C$136)</f>
        <v/>
      </c>
      <c r="CY136" s="11" t="str">
        <f ca="1">IF(History!DC$2="","",#REF!*$C$136)</f>
        <v/>
      </c>
      <c r="CZ136" s="11" t="str">
        <f ca="1">IF(History!DD$2="","",#REF!*$C$136)</f>
        <v/>
      </c>
      <c r="DA136" s="11" t="str">
        <f ca="1">IF(History!DE$2="","",#REF!*$C$136)</f>
        <v/>
      </c>
      <c r="DB136" s="11" t="str">
        <f ca="1">IF(History!DF$2="","",#REF!*$C$136)</f>
        <v/>
      </c>
      <c r="DC136" s="11" t="str">
        <f ca="1">IF(History!DG$2="","",#REF!*$C$136)</f>
        <v/>
      </c>
      <c r="DD136" s="11" t="str">
        <f ca="1">IF(History!DH$2="","",#REF!*$C$136)</f>
        <v/>
      </c>
      <c r="DE136" s="11" t="str">
        <f ca="1">IF(History!DI$2="","",#REF!*$C$136)</f>
        <v/>
      </c>
      <c r="DF136" s="11" t="str">
        <f ca="1">IF(History!DJ$2="","",#REF!*$C$136)</f>
        <v/>
      </c>
      <c r="DG136" s="11" t="str">
        <f ca="1">IF(History!DK$2="","",#REF!*$C$136)</f>
        <v/>
      </c>
      <c r="DH136" s="11" t="str">
        <f ca="1">IF(History!DL$2="","",#REF!*$C$136)</f>
        <v/>
      </c>
      <c r="DI136" s="11" t="str">
        <f ca="1">IF(History!DM$2="","",#REF!*$C$136)</f>
        <v/>
      </c>
      <c r="DJ136" s="11" t="str">
        <f ca="1">IF(History!DN$2="","",#REF!*$C$136)</f>
        <v/>
      </c>
      <c r="DK136" s="11" t="str">
        <f ca="1">IF(History!DO$2="","",#REF!*$C$136)</f>
        <v/>
      </c>
      <c r="DL136" s="11" t="str">
        <f ca="1">IF(History!DP$2="","",#REF!*$C$136)</f>
        <v/>
      </c>
      <c r="DM136" s="11" t="str">
        <f ca="1">IF(History!DQ$2="","",#REF!*$C$136)</f>
        <v/>
      </c>
      <c r="DN136" s="11" t="str">
        <f ca="1">IF(History!DR$2="","",#REF!*$C$136)</f>
        <v/>
      </c>
      <c r="DO136" s="11" t="str">
        <f ca="1">IF(History!DS$2="","",#REF!*$C$136)</f>
        <v/>
      </c>
      <c r="DP136" s="11" t="str">
        <f ca="1">IF(History!DT$2="","",#REF!*$C$136)</f>
        <v/>
      </c>
      <c r="DQ136" s="11" t="str">
        <f ca="1">IF(History!DU$2="","",#REF!*$C$136)</f>
        <v/>
      </c>
      <c r="DR136" s="11" t="str">
        <f ca="1">IF(History!DV$2="","",#REF!*$C$136)</f>
        <v/>
      </c>
      <c r="DS136" s="11" t="str">
        <f ca="1">IF(History!DW$2="","",#REF!*$C$136)</f>
        <v/>
      </c>
      <c r="DT136" s="11" t="str">
        <f ca="1">IF(History!DX$2="","",#REF!*$C$136)</f>
        <v/>
      </c>
      <c r="DU136" s="11" t="str">
        <f ca="1">IF(History!DY$2="","",#REF!*$C$136)</f>
        <v/>
      </c>
      <c r="DV136" s="11" t="str">
        <f ca="1">IF(History!DZ$2="","",#REF!*$C$136)</f>
        <v/>
      </c>
      <c r="DW136" s="11" t="str">
        <f ca="1">IF(History!EA$2="","",#REF!*$C$136)</f>
        <v/>
      </c>
      <c r="DX136" s="11" t="str">
        <f ca="1">IF(History!EB$2="","",#REF!*$C$136)</f>
        <v/>
      </c>
      <c r="DY136" s="11" t="str">
        <f ca="1">IF(History!EC$2="","",#REF!*$C$136)</f>
        <v/>
      </c>
      <c r="DZ136" s="11" t="str">
        <f ca="1">IF(History!ED$2="","",#REF!*$C$136)</f>
        <v/>
      </c>
      <c r="EA136" s="11" t="str">
        <f ca="1">IF(History!EE$2="","",#REF!*$C$136)</f>
        <v/>
      </c>
      <c r="EB136" s="11" t="str">
        <f ca="1">IF(History!EF$2="","",#REF!*$C$136)</f>
        <v/>
      </c>
      <c r="EC136" s="11" t="str">
        <f ca="1">IF(History!EG$2="","",#REF!*$C$136)</f>
        <v/>
      </c>
      <c r="ED136" s="11" t="str">
        <f ca="1">IF(History!EH$2="","",#REF!*$C$136)</f>
        <v/>
      </c>
      <c r="EE136" s="11" t="str">
        <f ca="1">IF(History!EI$2="","",#REF!*$C$136)</f>
        <v/>
      </c>
      <c r="EF136" s="11" t="str">
        <f ca="1">IF(History!EJ$2="","",#REF!*$C$136)</f>
        <v/>
      </c>
      <c r="EG136" s="11" t="str">
        <f ca="1">IF(History!EK$2="","",#REF!*$C$136)</f>
        <v/>
      </c>
      <c r="EH136" s="11" t="str">
        <f ca="1">IF(History!EL$2="","",#REF!*$C$136)</f>
        <v/>
      </c>
      <c r="EI136" s="11" t="str">
        <f ca="1">IF(History!EM$2="","",#REF!*$C$136)</f>
        <v/>
      </c>
      <c r="EJ136" s="11" t="str">
        <f ca="1">IF(History!EN$2="","",#REF!*$C$136)</f>
        <v/>
      </c>
      <c r="EK136" s="11" t="str">
        <f ca="1">IF(History!EO$2="","",#REF!*$C$136)</f>
        <v/>
      </c>
      <c r="EL136" s="11" t="str">
        <f ca="1">IF(History!EP$2="","",#REF!*$C$136)</f>
        <v/>
      </c>
      <c r="EM136" s="11" t="str">
        <f ca="1">IF(History!EQ$2="","",#REF!*$C$136)</f>
        <v/>
      </c>
      <c r="EN136" s="11" t="str">
        <f ca="1">IF(History!ER$2="","",#REF!*$C$136)</f>
        <v/>
      </c>
      <c r="EO136" s="11" t="str">
        <f ca="1">IF(History!ES$2="","",#REF!*$C$136)</f>
        <v/>
      </c>
      <c r="EP136" s="11" t="str">
        <f ca="1">IF(History!ET$2="","",#REF!*$C$136)</f>
        <v/>
      </c>
      <c r="EQ136" s="11" t="str">
        <f ca="1">IF(History!EU$2="","",#REF!*$C$136)</f>
        <v/>
      </c>
      <c r="ER136" s="11" t="str">
        <f ca="1">IF(History!EV$2="","",#REF!*$C$136)</f>
        <v/>
      </c>
      <c r="ES136" s="11" t="str">
        <f ca="1">IF(History!EW$2="","",#REF!*$C$136)</f>
        <v/>
      </c>
      <c r="ET136" s="11" t="str">
        <f ca="1">IF(History!EX$2="","",#REF!*$C$136)</f>
        <v/>
      </c>
      <c r="EU136" s="11" t="str">
        <f ca="1">IF(History!EY$2="","",#REF!*$C$136)</f>
        <v/>
      </c>
      <c r="EV136" s="11" t="str">
        <f ca="1">IF(History!EZ$2="","",#REF!*$C$136)</f>
        <v/>
      </c>
      <c r="EW136" s="11" t="str">
        <f ca="1">IF(History!FA$2="","",#REF!*$C$136)</f>
        <v/>
      </c>
      <c r="EX136" s="11" t="str">
        <f ca="1">IF(History!FB$2="","",#REF!*$C$136)</f>
        <v/>
      </c>
      <c r="EY136" s="11" t="str">
        <f ca="1">IF(History!FC$2="","",#REF!*$C$136)</f>
        <v/>
      </c>
      <c r="EZ136" s="11" t="str">
        <f ca="1">IF(History!FD$2="","",#REF!*$C$136)</f>
        <v/>
      </c>
      <c r="FA136" s="11" t="str">
        <f ca="1">IF(History!FE$2="","",#REF!*$C$136)</f>
        <v/>
      </c>
      <c r="FB136" s="11" t="str">
        <f ca="1">IF(History!FF$2="","",#REF!*$C$136)</f>
        <v/>
      </c>
      <c r="FC136" s="11" t="str">
        <f ca="1">IF(History!FG$2="","",#REF!*$C$136)</f>
        <v/>
      </c>
      <c r="FD136" s="11" t="str">
        <f ca="1">IF(History!FH$2="","",#REF!*$C$136)</f>
        <v/>
      </c>
      <c r="FE136" s="11" t="str">
        <f ca="1">IF(History!FI$2="","",#REF!*$C$136)</f>
        <v/>
      </c>
      <c r="FF136" s="11" t="str">
        <f ca="1">IF(History!FJ$2="","",#REF!*$C$136)</f>
        <v/>
      </c>
      <c r="FG136" s="11" t="str">
        <f ca="1">IF(History!FK$2="","",#REF!*$C$136)</f>
        <v/>
      </c>
      <c r="FH136" s="11" t="str">
        <f ca="1">IF(History!FL$2="","",#REF!*$C$136)</f>
        <v/>
      </c>
      <c r="FI136" s="11" t="str">
        <f ca="1">IF(History!FM$2="","",#REF!*$C$136)</f>
        <v/>
      </c>
      <c r="FJ136" s="11" t="str">
        <f ca="1">IF(History!FN$2="","",#REF!*$C$136)</f>
        <v/>
      </c>
      <c r="FK136" s="11" t="str">
        <f ca="1">IF(History!FO$2="","",#REF!*$C$136)</f>
        <v/>
      </c>
      <c r="FL136" s="11" t="str">
        <f ca="1">IF(History!FP$2="","",#REF!*$C$136)</f>
        <v/>
      </c>
      <c r="FM136" s="11" t="str">
        <f ca="1">IF(History!FQ$2="","",#REF!*$C$136)</f>
        <v/>
      </c>
      <c r="FN136" s="11" t="str">
        <f ca="1">IF(History!FR$2="","",#REF!*$C$136)</f>
        <v/>
      </c>
      <c r="FO136" s="11" t="str">
        <f ca="1">IF(History!FS$2="","",#REF!*$C$136)</f>
        <v/>
      </c>
      <c r="FP136" s="11" t="str">
        <f ca="1">IF(History!FT$2="","",#REF!*$C$136)</f>
        <v/>
      </c>
      <c r="FQ136" s="11" t="str">
        <f ca="1">IF(History!FU$2="","",#REF!*$C$136)</f>
        <v/>
      </c>
      <c r="FR136" s="11" t="str">
        <f ca="1">IF(History!FV$2="","",#REF!*$C$136)</f>
        <v/>
      </c>
      <c r="FS136" s="11" t="str">
        <f ca="1">IF(History!FW$2="","",#REF!*$C$136)</f>
        <v/>
      </c>
      <c r="FT136" s="11" t="str">
        <f ca="1">IF(History!FX$2="","",#REF!*$C$136)</f>
        <v/>
      </c>
      <c r="FU136" s="11" t="str">
        <f ca="1">IF(History!FY$2="","",#REF!*$C$136)</f>
        <v/>
      </c>
      <c r="FV136" s="11" t="str">
        <f ca="1">IF(History!FZ$2="","",#REF!*$C$136)</f>
        <v/>
      </c>
      <c r="FW136" s="11" t="str">
        <f ca="1">IF(History!GA$2="","",#REF!*$C$136)</f>
        <v/>
      </c>
      <c r="FX136" s="11" t="str">
        <f ca="1">IF(History!GB$2="","",#REF!*$C$136)</f>
        <v/>
      </c>
      <c r="FY136" s="11" t="str">
        <f ca="1">IF(History!GC$2="","",#REF!*$C$136)</f>
        <v/>
      </c>
      <c r="FZ136" s="11" t="str">
        <f ca="1">IF(History!GD$2="","",#REF!*$C$136)</f>
        <v/>
      </c>
      <c r="GA136" s="11" t="str">
        <f ca="1">IF(History!GE$2="","",#REF!*$C$136)</f>
        <v/>
      </c>
      <c r="GB136" s="11" t="str">
        <f ca="1">IF(History!GF$2="","",#REF!*$C$136)</f>
        <v/>
      </c>
      <c r="GC136" s="11" t="str">
        <f ca="1">IF(History!GG$2="","",#REF!*$C$136)</f>
        <v/>
      </c>
      <c r="GD136" s="11" t="str">
        <f ca="1">IF(History!GH$2="","",#REF!*$C$136)</f>
        <v/>
      </c>
      <c r="GE136" s="11" t="str">
        <f ca="1">IF(History!GI$2="","",#REF!*$C$136)</f>
        <v/>
      </c>
      <c r="GF136" s="11" t="str">
        <f ca="1">IF(History!GJ$2="","",#REF!*$C$136)</f>
        <v/>
      </c>
      <c r="GG136" s="11" t="str">
        <f ca="1">IF(History!GK$2="","",#REF!*$C$136)</f>
        <v/>
      </c>
      <c r="GH136" s="11" t="str">
        <f ca="1">IF(History!GL$2="","",#REF!*$C$136)</f>
        <v/>
      </c>
      <c r="GI136" s="11" t="str">
        <f ca="1">IF(History!GM$2="","",#REF!*$C$136)</f>
        <v/>
      </c>
      <c r="GJ136" s="11" t="str">
        <f ca="1">IF(History!GN$2="","",#REF!*$C$136)</f>
        <v/>
      </c>
      <c r="GK136" s="11" t="str">
        <f ca="1">IF(History!GO$2="","",#REF!*$C$136)</f>
        <v/>
      </c>
      <c r="GL136" s="11" t="str">
        <f ca="1">IF(History!GP$2="","",#REF!*$C$136)</f>
        <v/>
      </c>
      <c r="GM136" s="11" t="str">
        <f ca="1">IF(History!GQ$2="","",#REF!*$C$136)</f>
        <v/>
      </c>
      <c r="GN136" s="11" t="str">
        <f ca="1">IF(History!GR$2="","",#REF!*$C$136)</f>
        <v/>
      </c>
      <c r="GO136" s="11" t="str">
        <f ca="1">IF(History!GS$2="","",#REF!*$C$136)</f>
        <v/>
      </c>
      <c r="GP136" s="11" t="str">
        <f ca="1">IF(History!GT$2="","",#REF!*$C$136)</f>
        <v/>
      </c>
      <c r="GQ136" s="11" t="str">
        <f ca="1">IF(History!GU$2="","",#REF!*$C$136)</f>
        <v/>
      </c>
      <c r="GR136" s="11" t="str">
        <f ca="1">IF(History!GV$2="","",#REF!*$C$136)</f>
        <v/>
      </c>
      <c r="GS136" s="11" t="str">
        <f ca="1">IF(History!GW$2="","",#REF!*$C$136)</f>
        <v/>
      </c>
      <c r="GT136" s="11" t="str">
        <f ca="1">IF(History!GX$2="","",#REF!*$C$136)</f>
        <v/>
      </c>
      <c r="GU136" s="11" t="str">
        <f ca="1">IF(History!GY$2="","",#REF!*$C$136)</f>
        <v/>
      </c>
      <c r="GV136" s="11" t="str">
        <f ca="1">IF(History!GZ$2="","",#REF!*$C$136)</f>
        <v/>
      </c>
      <c r="GW136" s="11" t="str">
        <f ca="1">IF(History!HA$2="","",#REF!*$C$136)</f>
        <v/>
      </c>
      <c r="GX136" s="11" t="str">
        <f ca="1">IF(History!HB$2="","",#REF!*$C$136)</f>
        <v/>
      </c>
      <c r="GY136" s="11" t="str">
        <f ca="1">IF(History!HC$2="","",#REF!*$C$136)</f>
        <v/>
      </c>
      <c r="GZ136" s="11" t="str">
        <f ca="1">IF(History!HD$2="","",#REF!*$C$136)</f>
        <v/>
      </c>
      <c r="HA136" s="11" t="str">
        <f ca="1">IF(History!HE$2="","",#REF!*$C$136)</f>
        <v/>
      </c>
      <c r="HB136" s="11" t="str">
        <f ca="1">IF(History!HF$2="","",#REF!*$C$136)</f>
        <v/>
      </c>
      <c r="HC136" s="11" t="str">
        <f ca="1">IF(History!HG$2="","",#REF!*$C$136)</f>
        <v/>
      </c>
      <c r="HD136" s="11" t="str">
        <f ca="1">IF(History!HH$2="","",#REF!*$C$136)</f>
        <v/>
      </c>
      <c r="HE136" s="11" t="str">
        <f ca="1">IF(History!HI$2="","",#REF!*$C$136)</f>
        <v/>
      </c>
      <c r="HF136" s="11" t="str">
        <f ca="1">IF(History!HJ$2="","",#REF!*$C$136)</f>
        <v/>
      </c>
      <c r="HG136" s="11" t="str">
        <f ca="1">IF(History!HK$2="","",#REF!*$C$136)</f>
        <v/>
      </c>
      <c r="HH136" s="11" t="str">
        <f ca="1">IF(History!HL$2="","",#REF!*$C$136)</f>
        <v/>
      </c>
      <c r="HI136" s="11" t="str">
        <f ca="1">IF(History!HM$2="","",#REF!*$C$136)</f>
        <v/>
      </c>
      <c r="HJ136" s="11" t="str">
        <f ca="1">IF(History!HN$2="","",#REF!*$C$136)</f>
        <v/>
      </c>
      <c r="HK136" s="11" t="str">
        <f ca="1">IF(History!HO$2="","",#REF!*$C$136)</f>
        <v/>
      </c>
      <c r="HL136" s="11" t="str">
        <f ca="1">IF(History!HP$2="","",#REF!*$C$136)</f>
        <v/>
      </c>
      <c r="HM136" s="11" t="str">
        <f ca="1">IF(History!HQ$2="","",#REF!*$C$136)</f>
        <v/>
      </c>
      <c r="HN136" s="11" t="str">
        <f ca="1">IF(History!HR$2="","",#REF!*$C$136)</f>
        <v/>
      </c>
      <c r="HO136" s="11" t="str">
        <f ca="1">IF(History!HS$2="","",#REF!*$C$136)</f>
        <v/>
      </c>
      <c r="HP136" s="11" t="str">
        <f ca="1">IF(History!HT$2="","",#REF!*$C$136)</f>
        <v/>
      </c>
      <c r="HQ136" s="11" t="str">
        <f ca="1">IF(History!HU$2="","",#REF!*$C$136)</f>
        <v/>
      </c>
      <c r="HR136" s="11" t="str">
        <f ca="1">IF(History!HV$2="","",#REF!*$C$136)</f>
        <v/>
      </c>
      <c r="HS136" s="11" t="str">
        <f ca="1">IF(History!HW$2="","",#REF!*$C$136)</f>
        <v/>
      </c>
      <c r="HT136" s="11" t="str">
        <f ca="1">IF(History!HX$2="","",#REF!*$C$136)</f>
        <v/>
      </c>
      <c r="HU136" s="11" t="str">
        <f ca="1">IF(History!HY$2="","",#REF!*$C$136)</f>
        <v/>
      </c>
      <c r="HV136" s="11" t="str">
        <f ca="1">IF(History!HZ$2="","",#REF!*$C$136)</f>
        <v/>
      </c>
      <c r="HW136" s="11" t="str">
        <f ca="1">IF(History!IA$2="","",#REF!*$C$136)</f>
        <v/>
      </c>
      <c r="HX136" s="11" t="str">
        <f ca="1">IF(History!IB$2="","",#REF!*$C$136)</f>
        <v/>
      </c>
      <c r="HY136" s="11" t="str">
        <f ca="1">IF(History!IC$2="","",#REF!*$C$136)</f>
        <v/>
      </c>
      <c r="HZ136" s="11" t="str">
        <f ca="1">IF(History!ID$2="","",#REF!*$C$136)</f>
        <v/>
      </c>
      <c r="IA136" s="11" t="str">
        <f ca="1">IF(History!IE$2="","",#REF!*$C$136)</f>
        <v/>
      </c>
      <c r="IB136" s="11" t="str">
        <f ca="1">IF(History!IF$2="","",#REF!*$C$136)</f>
        <v/>
      </c>
      <c r="IC136" s="11" t="str">
        <f ca="1">IF(History!IG$2="","",#REF!*$C$136)</f>
        <v/>
      </c>
      <c r="ID136" s="11" t="str">
        <f ca="1">IF(History!IH$2="","",#REF!*$C$136)</f>
        <v/>
      </c>
      <c r="IE136" s="11" t="str">
        <f ca="1">IF(History!II$2="","",#REF!*$C$136)</f>
        <v/>
      </c>
      <c r="IF136" s="11" t="str">
        <f ca="1">IF(History!IJ$2="","",#REF!*$C$136)</f>
        <v/>
      </c>
      <c r="IG136" s="11" t="str">
        <f ca="1">IF(History!IK$2="","",#REF!*$C$136)</f>
        <v/>
      </c>
      <c r="IH136" s="11" t="str">
        <f ca="1">IF(History!IL$2="","",#REF!*$C$136)</f>
        <v/>
      </c>
      <c r="II136" s="11" t="str">
        <f ca="1">IF(History!IM$2="","",#REF!*$C$136)</f>
        <v/>
      </c>
      <c r="IJ136" s="11" t="str">
        <f ca="1">IF(History!IN$2="","",#REF!*$C$136)</f>
        <v/>
      </c>
      <c r="IK136" s="11" t="str">
        <f ca="1">IF(History!IO$2="","",#REF!*$C$136)</f>
        <v/>
      </c>
      <c r="IL136" s="11" t="str">
        <f ca="1">IF(History!IP$2="","",#REF!*$C$136)</f>
        <v/>
      </c>
      <c r="IM136" s="11" t="str">
        <f ca="1">IF(History!IQ$2="","",#REF!*$C$136)</f>
        <v/>
      </c>
      <c r="IN136" s="11" t="str">
        <f ca="1">IF(History!IR$2="","",#REF!*$C$136)</f>
        <v/>
      </c>
      <c r="IO136" s="11" t="str">
        <f ca="1">IF(History!IS$2="","",#REF!*$C$136)</f>
        <v/>
      </c>
      <c r="IP136" s="11" t="str">
        <f ca="1">IF(History!IT$2="","",#REF!*$C$136)</f>
        <v/>
      </c>
      <c r="IQ136" s="11" t="str">
        <f ca="1">IF(History!IU$2="","",#REF!*$C$136)</f>
        <v/>
      </c>
      <c r="IR136" s="11" t="str">
        <f ca="1">IF(History!IV$2="","",#REF!*$C$136)</f>
        <v/>
      </c>
      <c r="IS136" s="11" t="str">
        <f ca="1">IF(History!IW$2="","",#REF!*$C$136)</f>
        <v/>
      </c>
      <c r="IT136" s="11" t="str">
        <f ca="1">IF(History!IX$2="","",#REF!*$C$136)</f>
        <v/>
      </c>
      <c r="IU136" s="11" t="str">
        <f ca="1">IF(History!IY$2="","",#REF!*$C$136)</f>
        <v/>
      </c>
      <c r="IV136" s="11" t="str">
        <f ca="1">IF(History!IZ$2="","",#REF!*$C$136)</f>
        <v/>
      </c>
      <c r="IW136" s="11" t="str">
        <f ca="1">IF(History!JA$2="","",#REF!*$C$136)</f>
        <v/>
      </c>
      <c r="IX136" s="11" t="str">
        <f ca="1">IF(History!JB$2="","",#REF!*$C$136)</f>
        <v/>
      </c>
      <c r="IY136" s="11" t="str">
        <f ca="1">IF(History!JC$2="","",#REF!*$C$136)</f>
        <v/>
      </c>
      <c r="IZ136" s="11" t="str">
        <f ca="1">IF(History!JD$2="","",#REF!*$C$136)</f>
        <v/>
      </c>
      <c r="JA136" s="11" t="str">
        <f ca="1">IF(History!JE$2="","",#REF!*$C$136)</f>
        <v/>
      </c>
      <c r="JB136" s="11" t="str">
        <f ca="1">IF(History!JF$2="","",#REF!*$C$136)</f>
        <v/>
      </c>
      <c r="JC136" s="11" t="str">
        <f ca="1">IF(History!JG$2="","",#REF!*$C$136)</f>
        <v/>
      </c>
      <c r="JD136" s="11" t="str">
        <f ca="1">IF(History!JH$2="","",#REF!*$C$136)</f>
        <v/>
      </c>
      <c r="JE136" s="11" t="str">
        <f ca="1">IF(History!JI$2="","",#REF!*$C$136)</f>
        <v/>
      </c>
      <c r="JF136" s="11" t="str">
        <f ca="1">IF(History!JJ$2="","",#REF!*$C$136)</f>
        <v/>
      </c>
      <c r="JG136" s="11" t="str">
        <f ca="1">IF(History!JK$2="","",#REF!*$C$136)</f>
        <v/>
      </c>
      <c r="JH136" s="11" t="str">
        <f ca="1">IF(History!JL$2="","",#REF!*$C$136)</f>
        <v/>
      </c>
      <c r="JI136" s="11" t="str">
        <f ca="1">IF(History!JM$2="","",#REF!*$C$136)</f>
        <v/>
      </c>
      <c r="JJ136" s="11" t="str">
        <f ca="1">IF(History!JN$2="","",#REF!*$C$136)</f>
        <v/>
      </c>
      <c r="JK136" s="11" t="str">
        <f ca="1">IF(History!JO$2="","",#REF!*$C$136)</f>
        <v/>
      </c>
      <c r="JL136" s="11" t="str">
        <f ca="1">IF(History!JP$2="","",#REF!*$C$136)</f>
        <v/>
      </c>
      <c r="JM136" s="11" t="str">
        <f ca="1">IF(History!JQ$2="","",#REF!*$C$136)</f>
        <v/>
      </c>
      <c r="JN136" s="11" t="str">
        <f ca="1">IF(History!JR$2="","",#REF!*$C$136)</f>
        <v/>
      </c>
      <c r="JO136" s="11" t="str">
        <f ca="1">IF(History!JS$2="","",#REF!*$C$136)</f>
        <v/>
      </c>
      <c r="JP136" s="11" t="str">
        <f ca="1">IF(History!JT$2="","",#REF!*$C$136)</f>
        <v/>
      </c>
      <c r="JQ136" s="11" t="str">
        <f ca="1">IF(History!JU$2="","",#REF!*$C$136)</f>
        <v/>
      </c>
      <c r="JR136" s="11" t="str">
        <f ca="1">IF(History!JV$2="","",#REF!*$C$136)</f>
        <v/>
      </c>
      <c r="JS136" s="11" t="str">
        <f ca="1">IF(History!JW$2="","",#REF!*$C$136)</f>
        <v/>
      </c>
      <c r="JT136" s="11" t="str">
        <f ca="1">IF(History!JX$2="","",#REF!*$C$136)</f>
        <v/>
      </c>
      <c r="JU136" s="11" t="str">
        <f ca="1">IF(History!JY$2="","",#REF!*$C$136)</f>
        <v/>
      </c>
      <c r="JV136" s="11" t="str">
        <f ca="1">IF(History!JZ$2="","",#REF!*$C$136)</f>
        <v/>
      </c>
      <c r="JW136" s="11" t="str">
        <f ca="1">IF(History!KA$2="","",#REF!*$C$136)</f>
        <v/>
      </c>
      <c r="JX136" s="11" t="str">
        <f ca="1">IF(History!KB$2="","",#REF!*$C$136)</f>
        <v/>
      </c>
      <c r="JY136" s="11" t="str">
        <f ca="1">IF(History!KC$2="","",#REF!*$C$136)</f>
        <v/>
      </c>
      <c r="JZ136" s="11" t="str">
        <f ca="1">IF(History!KD$2="","",#REF!*$C$136)</f>
        <v/>
      </c>
      <c r="KA136" s="11" t="str">
        <f ca="1">IF(History!KE$2="","",#REF!*$C$136)</f>
        <v/>
      </c>
      <c r="KB136" s="11" t="str">
        <f ca="1">IF(History!KF$2="","",#REF!*$C$136)</f>
        <v/>
      </c>
    </row>
    <row r="137" spans="1:288" ht="13">
      <c r="A137" s="2" t="s">
        <v>40</v>
      </c>
      <c r="B137" s="32" t="s">
        <v>124</v>
      </c>
      <c r="C137" s="33">
        <v>92</v>
      </c>
      <c r="D137" s="11" t="e">
        <f ca="1">IF(History!H$2="","",#REF!*$C$137)</f>
        <v>#REF!</v>
      </c>
      <c r="E137" s="11" t="e">
        <f ca="1">IF(History!I$2="","",#REF!*$C$137)</f>
        <v>#REF!</v>
      </c>
      <c r="F137" s="11" t="e">
        <f ca="1">IF(History!J$2="","",#REF!*$C$137)</f>
        <v>#REF!</v>
      </c>
      <c r="G137" s="11" t="e">
        <f ca="1">IF(History!K$2="","",#REF!*$C$137)</f>
        <v>#REF!</v>
      </c>
      <c r="H137" s="11" t="e">
        <f ca="1">IF(History!L$2="","",#REF!*$C$137)</f>
        <v>#REF!</v>
      </c>
      <c r="I137" s="11" t="e">
        <f ca="1">IF(History!M$2="","",#REF!*$C$137)</f>
        <v>#REF!</v>
      </c>
      <c r="J137" s="11" t="e">
        <f ca="1">IF(History!N$2="","",#REF!*$C$137)</f>
        <v>#REF!</v>
      </c>
      <c r="K137" s="11" t="e">
        <f ca="1">IF(History!O$2="","",#REF!*$C$137)</f>
        <v>#REF!</v>
      </c>
      <c r="L137" s="11" t="e">
        <f ca="1">IF(History!P$2="","",#REF!*$C$137)</f>
        <v>#REF!</v>
      </c>
      <c r="M137" s="11" t="e">
        <f ca="1">IF(History!Q$2="","",#REF!*$C$137)</f>
        <v>#REF!</v>
      </c>
      <c r="N137" s="11" t="e">
        <f ca="1">IF(History!R$2="","",#REF!*$C$137)</f>
        <v>#REF!</v>
      </c>
      <c r="O137" s="11" t="e">
        <f ca="1">IF(History!S$2="","",#REF!*$C$137)</f>
        <v>#REF!</v>
      </c>
      <c r="P137" s="11" t="e">
        <f ca="1">IF(History!T$2="","",#REF!*$C$137)</f>
        <v>#REF!</v>
      </c>
      <c r="Q137" s="11" t="e">
        <f ca="1">IF(History!U$2="","",#REF!*$C$137)</f>
        <v>#REF!</v>
      </c>
      <c r="R137" s="11" t="e">
        <f ca="1">IF(History!V$2="","",#REF!*$C$137)</f>
        <v>#REF!</v>
      </c>
      <c r="S137" s="11" t="e">
        <f ca="1">IF(History!W$2="","",#REF!*$C$137)</f>
        <v>#REF!</v>
      </c>
      <c r="T137" s="11" t="e">
        <f ca="1">IF(History!X$2="","",#REF!*$C$137)</f>
        <v>#REF!</v>
      </c>
      <c r="U137" s="11" t="e">
        <f ca="1">IF(History!Y$2="","",#REF!*$C$137)</f>
        <v>#REF!</v>
      </c>
      <c r="V137" s="11" t="e">
        <f ca="1">IF(History!Z$2="","",#REF!*$C$137)</f>
        <v>#REF!</v>
      </c>
      <c r="W137" s="11" t="e">
        <f ca="1">IF(History!AA$2="","",#REF!*$C$137)</f>
        <v>#REF!</v>
      </c>
      <c r="X137" s="11" t="e">
        <f ca="1">IF(History!AB$2="","",#REF!*$C$137)</f>
        <v>#REF!</v>
      </c>
      <c r="Y137" s="11" t="e">
        <f ca="1">IF(History!AC$2="","",#REF!*$C$137)</f>
        <v>#REF!</v>
      </c>
      <c r="Z137" s="11" t="e">
        <f ca="1">IF(History!AD$2="","",#REF!*$C$137)</f>
        <v>#REF!</v>
      </c>
      <c r="AA137" s="11" t="e">
        <f ca="1">IF(History!AE$2="","",#REF!*$C$137)</f>
        <v>#REF!</v>
      </c>
      <c r="AB137" s="11" t="e">
        <f ca="1">IF(History!AF$2="","",#REF!*$C$137)</f>
        <v>#REF!</v>
      </c>
      <c r="AC137" s="11" t="e">
        <f ca="1">IF(History!AG$2="","",#REF!*$C$137)</f>
        <v>#REF!</v>
      </c>
      <c r="AD137" s="11" t="e">
        <f ca="1">IF(History!AH$2="","",#REF!*$C$137)</f>
        <v>#REF!</v>
      </c>
      <c r="AE137" s="11" t="e">
        <f ca="1">IF(History!AI$2="","",#REF!*$C$137)</f>
        <v>#REF!</v>
      </c>
      <c r="AF137" s="11" t="e">
        <f ca="1">IF(History!AJ$2="","",#REF!*$C$137)</f>
        <v>#REF!</v>
      </c>
      <c r="AG137" s="11" t="e">
        <f ca="1">IF(History!AK$2="","",#REF!*$C$137)</f>
        <v>#REF!</v>
      </c>
      <c r="AH137" s="11" t="e">
        <f ca="1">IF(History!AL$2="","",#REF!*$C$137)</f>
        <v>#REF!</v>
      </c>
      <c r="AI137" s="11" t="e">
        <f ca="1">IF(History!AM$2="","",#REF!*$C$137)</f>
        <v>#REF!</v>
      </c>
      <c r="AJ137" s="11" t="e">
        <f ca="1">IF(History!AN$2="","",#REF!*$C$137)</f>
        <v>#REF!</v>
      </c>
      <c r="AK137" s="11" t="e">
        <f ca="1">IF(History!AO$2="","",#REF!*$C$137)</f>
        <v>#REF!</v>
      </c>
      <c r="AL137" s="11" t="e">
        <f ca="1">IF(History!AP$2="","",#REF!*$C$137)</f>
        <v>#REF!</v>
      </c>
      <c r="AM137" s="11" t="e">
        <f ca="1">IF(History!AQ$2="","",#REF!*$C$137)</f>
        <v>#REF!</v>
      </c>
      <c r="AN137" s="11" t="e">
        <f ca="1">IF(History!AR$2="","",#REF!*$C$137)</f>
        <v>#REF!</v>
      </c>
      <c r="AO137" s="11" t="e">
        <f ca="1">IF(History!AS$2="","",#REF!*$C$137)</f>
        <v>#REF!</v>
      </c>
      <c r="AP137" s="11" t="e">
        <f ca="1">IF(History!AT$2="","",#REF!*$C$137)</f>
        <v>#REF!</v>
      </c>
      <c r="AQ137" s="11" t="e">
        <f ca="1">IF(History!AU$2="","",#REF!*$C$137)</f>
        <v>#REF!</v>
      </c>
      <c r="AR137" s="11" t="e">
        <f ca="1">IF(History!AV$2="","",#REF!*$C$137)</f>
        <v>#REF!</v>
      </c>
      <c r="AS137" s="11" t="e">
        <f ca="1">IF(History!AW$2="","",#REF!*$C$137)</f>
        <v>#REF!</v>
      </c>
      <c r="AT137" s="11" t="e">
        <f ca="1">IF(History!AX$2="","",#REF!*$C$137)</f>
        <v>#REF!</v>
      </c>
      <c r="AU137" s="11" t="e">
        <f ca="1">IF(History!AY$2="","",#REF!*$C$137)</f>
        <v>#REF!</v>
      </c>
      <c r="AV137" s="11" t="e">
        <f ca="1">IF(History!AZ$2="","",#REF!*$C$137)</f>
        <v>#REF!</v>
      </c>
      <c r="AW137" s="11" t="e">
        <f ca="1">IF(History!BA$2="","",#REF!*$C$137)</f>
        <v>#REF!</v>
      </c>
      <c r="AX137" s="11" t="e">
        <f ca="1">IF(History!BB$2="","",#REF!*$C$137)</f>
        <v>#REF!</v>
      </c>
      <c r="AY137" s="11" t="e">
        <f ca="1">IF(History!BC$2="","",#REF!*$C$137)</f>
        <v>#REF!</v>
      </c>
      <c r="AZ137" s="11" t="e">
        <f ca="1">IF(History!BD$2="","",#REF!*$C$137)</f>
        <v>#REF!</v>
      </c>
      <c r="BA137" s="11" t="e">
        <f ca="1">IF(History!BE$2="","",#REF!*$C$137)</f>
        <v>#REF!</v>
      </c>
      <c r="BB137" s="11" t="e">
        <f ca="1">IF(History!BF$2="","",#REF!*$C$137)</f>
        <v>#REF!</v>
      </c>
      <c r="BC137" s="11" t="e">
        <f ca="1">IF(History!BG$2="","",#REF!*$C$137)</f>
        <v>#REF!</v>
      </c>
      <c r="BD137" s="11" t="e">
        <f ca="1">IF(History!BH$2="","",#REF!*$C$137)</f>
        <v>#REF!</v>
      </c>
      <c r="BE137" s="11" t="e">
        <f ca="1">IF(History!BI$2="","",#REF!*$C$137)</f>
        <v>#REF!</v>
      </c>
      <c r="BF137" s="11" t="e">
        <f ca="1">IF(History!BJ$2="","",#REF!*$C$137)</f>
        <v>#REF!</v>
      </c>
      <c r="BG137" s="11" t="e">
        <f ca="1">IF(History!BK$2="","",#REF!*$C$137)</f>
        <v>#REF!</v>
      </c>
      <c r="BH137" s="11" t="e">
        <f ca="1">IF(History!BL$2="","",#REF!*$C$137)</f>
        <v>#REF!</v>
      </c>
      <c r="BI137" s="11" t="e">
        <f ca="1">IF(History!BM$2="","",#REF!*$C$137)</f>
        <v>#REF!</v>
      </c>
      <c r="BJ137" s="11" t="e">
        <f ca="1">IF(History!BN$2="","",#REF!*$C$137)</f>
        <v>#REF!</v>
      </c>
      <c r="BK137" s="11" t="e">
        <f ca="1">IF(History!BO$2="","",#REF!*$C$137)</f>
        <v>#REF!</v>
      </c>
      <c r="BL137" s="11" t="e">
        <f ca="1">IF(History!BP$2="","",#REF!*$C$137)</f>
        <v>#REF!</v>
      </c>
      <c r="BM137" s="11" t="e">
        <f ca="1">IF(History!BQ$2="","",#REF!*$C$137)</f>
        <v>#REF!</v>
      </c>
      <c r="BN137" s="11" t="e">
        <f ca="1">IF(History!BR$2="","",#REF!*$C$137)</f>
        <v>#REF!</v>
      </c>
      <c r="BO137" s="11" t="e">
        <f ca="1">IF(History!BS$2="","",#REF!*$C$137)</f>
        <v>#REF!</v>
      </c>
      <c r="BP137" s="11" t="e">
        <f ca="1">IF(History!BT$2="","",#REF!*$C$137)</f>
        <v>#REF!</v>
      </c>
      <c r="BQ137" s="11" t="e">
        <f ca="1">IF(History!BU$2="","",#REF!*$C$137)</f>
        <v>#REF!</v>
      </c>
      <c r="BR137" s="11" t="e">
        <f ca="1">IF(History!BV$2="","",#REF!*$C$137)</f>
        <v>#REF!</v>
      </c>
      <c r="BS137" s="11" t="e">
        <f ca="1">IF(History!BW$2="","",#REF!*$C$137)</f>
        <v>#REF!</v>
      </c>
      <c r="BT137" s="11" t="e">
        <f ca="1">IF(History!BX$2="","",#REF!*$C$137)</f>
        <v>#REF!</v>
      </c>
      <c r="BU137" s="11" t="e">
        <f ca="1">IF(History!BY$2="","",#REF!*$C$137)</f>
        <v>#REF!</v>
      </c>
      <c r="BV137" s="11" t="e">
        <f ca="1">IF(History!BZ$2="","",#REF!*$C$137)</f>
        <v>#REF!</v>
      </c>
      <c r="BW137" s="11" t="e">
        <f ca="1">IF(History!CA$2="","",#REF!*$C$137)</f>
        <v>#REF!</v>
      </c>
      <c r="BX137" s="11" t="e">
        <f ca="1">IF(History!CB$2="","",#REF!*$C$137)</f>
        <v>#REF!</v>
      </c>
      <c r="BY137" s="11" t="e">
        <f ca="1">IF(History!CC$2="","",#REF!*$C$137)</f>
        <v>#REF!</v>
      </c>
      <c r="BZ137" s="11" t="e">
        <f ca="1">IF(History!CD$2="","",#REF!*$C$137)</f>
        <v>#REF!</v>
      </c>
      <c r="CA137" s="11" t="e">
        <f ca="1">IF(History!CE$2="","",#REF!*$C$137)</f>
        <v>#REF!</v>
      </c>
      <c r="CB137" s="11" t="e">
        <f ca="1">IF(History!CF$2="","",#REF!*$C$137)</f>
        <v>#REF!</v>
      </c>
      <c r="CC137" s="11" t="e">
        <f ca="1">IF(History!CG$2="","",#REF!*$C$137)</f>
        <v>#REF!</v>
      </c>
      <c r="CD137" s="11" t="e">
        <f ca="1">IF(History!CH$2="","",#REF!*$C$137)</f>
        <v>#REF!</v>
      </c>
      <c r="CE137" s="11" t="e">
        <f ca="1">IF(History!CI$2="","",#REF!*$C$137)</f>
        <v>#REF!</v>
      </c>
      <c r="CF137" s="11" t="str">
        <f ca="1">IF(History!CJ$2="","",#REF!*$C$137)</f>
        <v/>
      </c>
      <c r="CG137" s="11" t="str">
        <f ca="1">IF(History!CK$2="","",#REF!*$C$137)</f>
        <v/>
      </c>
      <c r="CH137" s="11" t="str">
        <f ca="1">IF(History!CL$2="","",#REF!*$C$137)</f>
        <v/>
      </c>
      <c r="CI137" s="11" t="str">
        <f ca="1">IF(History!CM$2="","",#REF!*$C$137)</f>
        <v/>
      </c>
      <c r="CJ137" s="11" t="str">
        <f ca="1">IF(History!CN$2="","",#REF!*$C$137)</f>
        <v/>
      </c>
      <c r="CK137" s="11" t="str">
        <f ca="1">IF(History!CO$2="","",#REF!*$C$137)</f>
        <v/>
      </c>
      <c r="CL137" s="11" t="str">
        <f ca="1">IF(History!CP$2="","",#REF!*$C$137)</f>
        <v/>
      </c>
      <c r="CM137" s="11" t="str">
        <f ca="1">IF(History!CQ$2="","",#REF!*$C$137)</f>
        <v/>
      </c>
      <c r="CN137" s="11" t="str">
        <f ca="1">IF(History!CR$2="","",#REF!*$C$137)</f>
        <v/>
      </c>
      <c r="CO137" s="11" t="str">
        <f ca="1">IF(History!CS$2="","",#REF!*$C$137)</f>
        <v/>
      </c>
      <c r="CP137" s="11" t="str">
        <f ca="1">IF(History!CT$2="","",#REF!*$C$137)</f>
        <v/>
      </c>
      <c r="CQ137" s="11" t="str">
        <f ca="1">IF(History!CU$2="","",#REF!*$C$137)</f>
        <v/>
      </c>
      <c r="CR137" s="11" t="str">
        <f ca="1">IF(History!CV$2="","",#REF!*$C$137)</f>
        <v/>
      </c>
      <c r="CS137" s="11" t="str">
        <f ca="1">IF(History!CW$2="","",#REF!*$C$137)</f>
        <v/>
      </c>
      <c r="CT137" s="11" t="str">
        <f ca="1">IF(History!CX$2="","",#REF!*$C$137)</f>
        <v/>
      </c>
      <c r="CU137" s="11" t="str">
        <f ca="1">IF(History!CY$2="","",#REF!*$C$137)</f>
        <v/>
      </c>
      <c r="CV137" s="11" t="str">
        <f ca="1">IF(History!CZ$2="","",#REF!*$C$137)</f>
        <v/>
      </c>
      <c r="CW137" s="11" t="str">
        <f ca="1">IF(History!DA$2="","",#REF!*$C$137)</f>
        <v/>
      </c>
      <c r="CX137" s="11" t="str">
        <f ca="1">IF(History!DB$2="","",#REF!*$C$137)</f>
        <v/>
      </c>
      <c r="CY137" s="11" t="str">
        <f ca="1">IF(History!DC$2="","",#REF!*$C$137)</f>
        <v/>
      </c>
      <c r="CZ137" s="11" t="str">
        <f ca="1">IF(History!DD$2="","",#REF!*$C$137)</f>
        <v/>
      </c>
      <c r="DA137" s="11" t="str">
        <f ca="1">IF(History!DE$2="","",#REF!*$C$137)</f>
        <v/>
      </c>
      <c r="DB137" s="11" t="str">
        <f ca="1">IF(History!DF$2="","",#REF!*$C$137)</f>
        <v/>
      </c>
      <c r="DC137" s="11" t="str">
        <f ca="1">IF(History!DG$2="","",#REF!*$C$137)</f>
        <v/>
      </c>
      <c r="DD137" s="11" t="str">
        <f ca="1">IF(History!DH$2="","",#REF!*$C$137)</f>
        <v/>
      </c>
      <c r="DE137" s="11" t="str">
        <f ca="1">IF(History!DI$2="","",#REF!*$C$137)</f>
        <v/>
      </c>
      <c r="DF137" s="11" t="str">
        <f ca="1">IF(History!DJ$2="","",#REF!*$C$137)</f>
        <v/>
      </c>
      <c r="DG137" s="11" t="str">
        <f ca="1">IF(History!DK$2="","",#REF!*$C$137)</f>
        <v/>
      </c>
      <c r="DH137" s="11" t="str">
        <f ca="1">IF(History!DL$2="","",#REF!*$C$137)</f>
        <v/>
      </c>
      <c r="DI137" s="11" t="str">
        <f ca="1">IF(History!DM$2="","",#REF!*$C$137)</f>
        <v/>
      </c>
      <c r="DJ137" s="11" t="str">
        <f ca="1">IF(History!DN$2="","",#REF!*$C$137)</f>
        <v/>
      </c>
      <c r="DK137" s="11" t="str">
        <f ca="1">IF(History!DO$2="","",#REF!*$C$137)</f>
        <v/>
      </c>
      <c r="DL137" s="11" t="str">
        <f ca="1">IF(History!DP$2="","",#REF!*$C$137)</f>
        <v/>
      </c>
      <c r="DM137" s="11" t="str">
        <f ca="1">IF(History!DQ$2="","",#REF!*$C$137)</f>
        <v/>
      </c>
      <c r="DN137" s="11" t="str">
        <f ca="1">IF(History!DR$2="","",#REF!*$C$137)</f>
        <v/>
      </c>
      <c r="DO137" s="11" t="str">
        <f ca="1">IF(History!DS$2="","",#REF!*$C$137)</f>
        <v/>
      </c>
      <c r="DP137" s="11" t="str">
        <f ca="1">IF(History!DT$2="","",#REF!*$C$137)</f>
        <v/>
      </c>
      <c r="DQ137" s="11" t="str">
        <f ca="1">IF(History!DU$2="","",#REF!*$C$137)</f>
        <v/>
      </c>
      <c r="DR137" s="11" t="str">
        <f ca="1">IF(History!DV$2="","",#REF!*$C$137)</f>
        <v/>
      </c>
      <c r="DS137" s="11" t="str">
        <f ca="1">IF(History!DW$2="","",#REF!*$C$137)</f>
        <v/>
      </c>
      <c r="DT137" s="11" t="str">
        <f ca="1">IF(History!DX$2="","",#REF!*$C$137)</f>
        <v/>
      </c>
      <c r="DU137" s="11" t="str">
        <f ca="1">IF(History!DY$2="","",#REF!*$C$137)</f>
        <v/>
      </c>
      <c r="DV137" s="11" t="str">
        <f ca="1">IF(History!DZ$2="","",#REF!*$C$137)</f>
        <v/>
      </c>
      <c r="DW137" s="11" t="str">
        <f ca="1">IF(History!EA$2="","",#REF!*$C$137)</f>
        <v/>
      </c>
      <c r="DX137" s="11" t="str">
        <f ca="1">IF(History!EB$2="","",#REF!*$C$137)</f>
        <v/>
      </c>
      <c r="DY137" s="11" t="str">
        <f ca="1">IF(History!EC$2="","",#REF!*$C$137)</f>
        <v/>
      </c>
      <c r="DZ137" s="11" t="str">
        <f ca="1">IF(History!ED$2="","",#REF!*$C$137)</f>
        <v/>
      </c>
      <c r="EA137" s="11" t="str">
        <f ca="1">IF(History!EE$2="","",#REF!*$C$137)</f>
        <v/>
      </c>
      <c r="EB137" s="11" t="str">
        <f ca="1">IF(History!EF$2="","",#REF!*$C$137)</f>
        <v/>
      </c>
      <c r="EC137" s="11" t="str">
        <f ca="1">IF(History!EG$2="","",#REF!*$C$137)</f>
        <v/>
      </c>
      <c r="ED137" s="11" t="str">
        <f ca="1">IF(History!EH$2="","",#REF!*$C$137)</f>
        <v/>
      </c>
      <c r="EE137" s="11" t="str">
        <f ca="1">IF(History!EI$2="","",#REF!*$C$137)</f>
        <v/>
      </c>
      <c r="EF137" s="11" t="str">
        <f ca="1">IF(History!EJ$2="","",#REF!*$C$137)</f>
        <v/>
      </c>
      <c r="EG137" s="11" t="str">
        <f ca="1">IF(History!EK$2="","",#REF!*$C$137)</f>
        <v/>
      </c>
      <c r="EH137" s="11" t="str">
        <f ca="1">IF(History!EL$2="","",#REF!*$C$137)</f>
        <v/>
      </c>
      <c r="EI137" s="11" t="str">
        <f ca="1">IF(History!EM$2="","",#REF!*$C$137)</f>
        <v/>
      </c>
      <c r="EJ137" s="11" t="str">
        <f ca="1">IF(History!EN$2="","",#REF!*$C$137)</f>
        <v/>
      </c>
      <c r="EK137" s="11" t="str">
        <f ca="1">IF(History!EO$2="","",#REF!*$C$137)</f>
        <v/>
      </c>
      <c r="EL137" s="11" t="str">
        <f ca="1">IF(History!EP$2="","",#REF!*$C$137)</f>
        <v/>
      </c>
      <c r="EM137" s="11" t="str">
        <f ca="1">IF(History!EQ$2="","",#REF!*$C$137)</f>
        <v/>
      </c>
      <c r="EN137" s="11" t="str">
        <f ca="1">IF(History!ER$2="","",#REF!*$C$137)</f>
        <v/>
      </c>
      <c r="EO137" s="11" t="str">
        <f ca="1">IF(History!ES$2="","",#REF!*$C$137)</f>
        <v/>
      </c>
      <c r="EP137" s="11" t="str">
        <f ca="1">IF(History!ET$2="","",#REF!*$C$137)</f>
        <v/>
      </c>
      <c r="EQ137" s="11" t="str">
        <f ca="1">IF(History!EU$2="","",#REF!*$C$137)</f>
        <v/>
      </c>
      <c r="ER137" s="11" t="str">
        <f ca="1">IF(History!EV$2="","",#REF!*$C$137)</f>
        <v/>
      </c>
      <c r="ES137" s="11" t="str">
        <f ca="1">IF(History!EW$2="","",#REF!*$C$137)</f>
        <v/>
      </c>
      <c r="ET137" s="11" t="str">
        <f ca="1">IF(History!EX$2="","",#REF!*$C$137)</f>
        <v/>
      </c>
      <c r="EU137" s="11" t="str">
        <f ca="1">IF(History!EY$2="","",#REF!*$C$137)</f>
        <v/>
      </c>
      <c r="EV137" s="11" t="str">
        <f ca="1">IF(History!EZ$2="","",#REF!*$C$137)</f>
        <v/>
      </c>
      <c r="EW137" s="11" t="str">
        <f ca="1">IF(History!FA$2="","",#REF!*$C$137)</f>
        <v/>
      </c>
      <c r="EX137" s="11" t="str">
        <f ca="1">IF(History!FB$2="","",#REF!*$C$137)</f>
        <v/>
      </c>
      <c r="EY137" s="11" t="str">
        <f ca="1">IF(History!FC$2="","",#REF!*$C$137)</f>
        <v/>
      </c>
      <c r="EZ137" s="11" t="str">
        <f ca="1">IF(History!FD$2="","",#REF!*$C$137)</f>
        <v/>
      </c>
      <c r="FA137" s="11" t="str">
        <f ca="1">IF(History!FE$2="","",#REF!*$C$137)</f>
        <v/>
      </c>
      <c r="FB137" s="11" t="str">
        <f ca="1">IF(History!FF$2="","",#REF!*$C$137)</f>
        <v/>
      </c>
      <c r="FC137" s="11" t="str">
        <f ca="1">IF(History!FG$2="","",#REF!*$C$137)</f>
        <v/>
      </c>
      <c r="FD137" s="11" t="str">
        <f ca="1">IF(History!FH$2="","",#REF!*$C$137)</f>
        <v/>
      </c>
      <c r="FE137" s="11" t="str">
        <f ca="1">IF(History!FI$2="","",#REF!*$C$137)</f>
        <v/>
      </c>
      <c r="FF137" s="11" t="str">
        <f ca="1">IF(History!FJ$2="","",#REF!*$C$137)</f>
        <v/>
      </c>
      <c r="FG137" s="11" t="str">
        <f ca="1">IF(History!FK$2="","",#REF!*$C$137)</f>
        <v/>
      </c>
      <c r="FH137" s="11" t="str">
        <f ca="1">IF(History!FL$2="","",#REF!*$C$137)</f>
        <v/>
      </c>
      <c r="FI137" s="11" t="str">
        <f ca="1">IF(History!FM$2="","",#REF!*$C$137)</f>
        <v/>
      </c>
      <c r="FJ137" s="11" t="str">
        <f ca="1">IF(History!FN$2="","",#REF!*$C$137)</f>
        <v/>
      </c>
      <c r="FK137" s="11" t="str">
        <f ca="1">IF(History!FO$2="","",#REF!*$C$137)</f>
        <v/>
      </c>
      <c r="FL137" s="11" t="str">
        <f ca="1">IF(History!FP$2="","",#REF!*$C$137)</f>
        <v/>
      </c>
      <c r="FM137" s="11" t="str">
        <f ca="1">IF(History!FQ$2="","",#REF!*$C$137)</f>
        <v/>
      </c>
      <c r="FN137" s="11" t="str">
        <f ca="1">IF(History!FR$2="","",#REF!*$C$137)</f>
        <v/>
      </c>
      <c r="FO137" s="11" t="str">
        <f ca="1">IF(History!FS$2="","",#REF!*$C$137)</f>
        <v/>
      </c>
      <c r="FP137" s="11" t="str">
        <f ca="1">IF(History!FT$2="","",#REF!*$C$137)</f>
        <v/>
      </c>
      <c r="FQ137" s="11" t="str">
        <f ca="1">IF(History!FU$2="","",#REF!*$C$137)</f>
        <v/>
      </c>
      <c r="FR137" s="11" t="str">
        <f ca="1">IF(History!FV$2="","",#REF!*$C$137)</f>
        <v/>
      </c>
      <c r="FS137" s="11" t="str">
        <f ca="1">IF(History!FW$2="","",#REF!*$C$137)</f>
        <v/>
      </c>
      <c r="FT137" s="11" t="str">
        <f ca="1">IF(History!FX$2="","",#REF!*$C$137)</f>
        <v/>
      </c>
      <c r="FU137" s="11" t="str">
        <f ca="1">IF(History!FY$2="","",#REF!*$C$137)</f>
        <v/>
      </c>
      <c r="FV137" s="11" t="str">
        <f ca="1">IF(History!FZ$2="","",#REF!*$C$137)</f>
        <v/>
      </c>
      <c r="FW137" s="11" t="str">
        <f ca="1">IF(History!GA$2="","",#REF!*$C$137)</f>
        <v/>
      </c>
      <c r="FX137" s="11" t="str">
        <f ca="1">IF(History!GB$2="","",#REF!*$C$137)</f>
        <v/>
      </c>
      <c r="FY137" s="11" t="str">
        <f ca="1">IF(History!GC$2="","",#REF!*$C$137)</f>
        <v/>
      </c>
      <c r="FZ137" s="11" t="str">
        <f ca="1">IF(History!GD$2="","",#REF!*$C$137)</f>
        <v/>
      </c>
      <c r="GA137" s="11" t="str">
        <f ca="1">IF(History!GE$2="","",#REF!*$C$137)</f>
        <v/>
      </c>
      <c r="GB137" s="11" t="str">
        <f ca="1">IF(History!GF$2="","",#REF!*$C$137)</f>
        <v/>
      </c>
      <c r="GC137" s="11" t="str">
        <f ca="1">IF(History!GG$2="","",#REF!*$C$137)</f>
        <v/>
      </c>
      <c r="GD137" s="11" t="str">
        <f ca="1">IF(History!GH$2="","",#REF!*$C$137)</f>
        <v/>
      </c>
      <c r="GE137" s="11" t="str">
        <f ca="1">IF(History!GI$2="","",#REF!*$C$137)</f>
        <v/>
      </c>
      <c r="GF137" s="11" t="str">
        <f ca="1">IF(History!GJ$2="","",#REF!*$C$137)</f>
        <v/>
      </c>
      <c r="GG137" s="11" t="str">
        <f ca="1">IF(History!GK$2="","",#REF!*$C$137)</f>
        <v/>
      </c>
      <c r="GH137" s="11" t="str">
        <f ca="1">IF(History!GL$2="","",#REF!*$C$137)</f>
        <v/>
      </c>
      <c r="GI137" s="11" t="str">
        <f ca="1">IF(History!GM$2="","",#REF!*$C$137)</f>
        <v/>
      </c>
      <c r="GJ137" s="11" t="str">
        <f ca="1">IF(History!GN$2="","",#REF!*$C$137)</f>
        <v/>
      </c>
      <c r="GK137" s="11" t="str">
        <f ca="1">IF(History!GO$2="","",#REF!*$C$137)</f>
        <v/>
      </c>
      <c r="GL137" s="11" t="str">
        <f ca="1">IF(History!GP$2="","",#REF!*$C$137)</f>
        <v/>
      </c>
      <c r="GM137" s="11" t="str">
        <f ca="1">IF(History!GQ$2="","",#REF!*$C$137)</f>
        <v/>
      </c>
      <c r="GN137" s="11" t="str">
        <f ca="1">IF(History!GR$2="","",#REF!*$C$137)</f>
        <v/>
      </c>
      <c r="GO137" s="11" t="str">
        <f ca="1">IF(History!GS$2="","",#REF!*$C$137)</f>
        <v/>
      </c>
      <c r="GP137" s="11" t="str">
        <f ca="1">IF(History!GT$2="","",#REF!*$C$137)</f>
        <v/>
      </c>
      <c r="GQ137" s="11" t="str">
        <f ca="1">IF(History!GU$2="","",#REF!*$C$137)</f>
        <v/>
      </c>
      <c r="GR137" s="11" t="str">
        <f ca="1">IF(History!GV$2="","",#REF!*$C$137)</f>
        <v/>
      </c>
      <c r="GS137" s="11" t="str">
        <f ca="1">IF(History!GW$2="","",#REF!*$C$137)</f>
        <v/>
      </c>
      <c r="GT137" s="11" t="str">
        <f ca="1">IF(History!GX$2="","",#REF!*$C$137)</f>
        <v/>
      </c>
      <c r="GU137" s="11" t="str">
        <f ca="1">IF(History!GY$2="","",#REF!*$C$137)</f>
        <v/>
      </c>
      <c r="GV137" s="11" t="str">
        <f ca="1">IF(History!GZ$2="","",#REF!*$C$137)</f>
        <v/>
      </c>
      <c r="GW137" s="11" t="str">
        <f ca="1">IF(History!HA$2="","",#REF!*$C$137)</f>
        <v/>
      </c>
      <c r="GX137" s="11" t="str">
        <f ca="1">IF(History!HB$2="","",#REF!*$C$137)</f>
        <v/>
      </c>
      <c r="GY137" s="11" t="str">
        <f ca="1">IF(History!HC$2="","",#REF!*$C$137)</f>
        <v/>
      </c>
      <c r="GZ137" s="11" t="str">
        <f ca="1">IF(History!HD$2="","",#REF!*$C$137)</f>
        <v/>
      </c>
      <c r="HA137" s="11" t="str">
        <f ca="1">IF(History!HE$2="","",#REF!*$C$137)</f>
        <v/>
      </c>
      <c r="HB137" s="11" t="str">
        <f ca="1">IF(History!HF$2="","",#REF!*$C$137)</f>
        <v/>
      </c>
      <c r="HC137" s="11" t="str">
        <f ca="1">IF(History!HG$2="","",#REF!*$C$137)</f>
        <v/>
      </c>
      <c r="HD137" s="11" t="str">
        <f ca="1">IF(History!HH$2="","",#REF!*$C$137)</f>
        <v/>
      </c>
      <c r="HE137" s="11" t="str">
        <f ca="1">IF(History!HI$2="","",#REF!*$C$137)</f>
        <v/>
      </c>
      <c r="HF137" s="11" t="str">
        <f ca="1">IF(History!HJ$2="","",#REF!*$C$137)</f>
        <v/>
      </c>
      <c r="HG137" s="11" t="str">
        <f ca="1">IF(History!HK$2="","",#REF!*$C$137)</f>
        <v/>
      </c>
      <c r="HH137" s="11" t="str">
        <f ca="1">IF(History!HL$2="","",#REF!*$C$137)</f>
        <v/>
      </c>
      <c r="HI137" s="11" t="str">
        <f ca="1">IF(History!HM$2="","",#REF!*$C$137)</f>
        <v/>
      </c>
      <c r="HJ137" s="11" t="str">
        <f ca="1">IF(History!HN$2="","",#REF!*$C$137)</f>
        <v/>
      </c>
      <c r="HK137" s="11" t="str">
        <f ca="1">IF(History!HO$2="","",#REF!*$C$137)</f>
        <v/>
      </c>
      <c r="HL137" s="11" t="str">
        <f ca="1">IF(History!HP$2="","",#REF!*$C$137)</f>
        <v/>
      </c>
      <c r="HM137" s="11" t="str">
        <f ca="1">IF(History!HQ$2="","",#REF!*$C$137)</f>
        <v/>
      </c>
      <c r="HN137" s="11" t="str">
        <f ca="1">IF(History!HR$2="","",#REF!*$C$137)</f>
        <v/>
      </c>
      <c r="HO137" s="11" t="str">
        <f ca="1">IF(History!HS$2="","",#REF!*$C$137)</f>
        <v/>
      </c>
      <c r="HP137" s="11" t="str">
        <f ca="1">IF(History!HT$2="","",#REF!*$C$137)</f>
        <v/>
      </c>
      <c r="HQ137" s="11" t="str">
        <f ca="1">IF(History!HU$2="","",#REF!*$C$137)</f>
        <v/>
      </c>
      <c r="HR137" s="11" t="str">
        <f ca="1">IF(History!HV$2="","",#REF!*$C$137)</f>
        <v/>
      </c>
      <c r="HS137" s="11" t="str">
        <f ca="1">IF(History!HW$2="","",#REF!*$C$137)</f>
        <v/>
      </c>
      <c r="HT137" s="11" t="str">
        <f ca="1">IF(History!HX$2="","",#REF!*$C$137)</f>
        <v/>
      </c>
      <c r="HU137" s="11" t="str">
        <f ca="1">IF(History!HY$2="","",#REF!*$C$137)</f>
        <v/>
      </c>
      <c r="HV137" s="11" t="str">
        <f ca="1">IF(History!HZ$2="","",#REF!*$C$137)</f>
        <v/>
      </c>
      <c r="HW137" s="11" t="str">
        <f ca="1">IF(History!IA$2="","",#REF!*$C$137)</f>
        <v/>
      </c>
      <c r="HX137" s="11" t="str">
        <f ca="1">IF(History!IB$2="","",#REF!*$C$137)</f>
        <v/>
      </c>
      <c r="HY137" s="11" t="str">
        <f ca="1">IF(History!IC$2="","",#REF!*$C$137)</f>
        <v/>
      </c>
      <c r="HZ137" s="11" t="str">
        <f ca="1">IF(History!ID$2="","",#REF!*$C$137)</f>
        <v/>
      </c>
      <c r="IA137" s="11" t="str">
        <f ca="1">IF(History!IE$2="","",#REF!*$C$137)</f>
        <v/>
      </c>
      <c r="IB137" s="11" t="str">
        <f ca="1">IF(History!IF$2="","",#REF!*$C$137)</f>
        <v/>
      </c>
      <c r="IC137" s="11" t="str">
        <f ca="1">IF(History!IG$2="","",#REF!*$C$137)</f>
        <v/>
      </c>
      <c r="ID137" s="11" t="str">
        <f ca="1">IF(History!IH$2="","",#REF!*$C$137)</f>
        <v/>
      </c>
      <c r="IE137" s="11" t="str">
        <f ca="1">IF(History!II$2="","",#REF!*$C$137)</f>
        <v/>
      </c>
      <c r="IF137" s="11" t="str">
        <f ca="1">IF(History!IJ$2="","",#REF!*$C$137)</f>
        <v/>
      </c>
      <c r="IG137" s="11" t="str">
        <f ca="1">IF(History!IK$2="","",#REF!*$C$137)</f>
        <v/>
      </c>
      <c r="IH137" s="11" t="str">
        <f ca="1">IF(History!IL$2="","",#REF!*$C$137)</f>
        <v/>
      </c>
      <c r="II137" s="11" t="str">
        <f ca="1">IF(History!IM$2="","",#REF!*$C$137)</f>
        <v/>
      </c>
      <c r="IJ137" s="11" t="str">
        <f ca="1">IF(History!IN$2="","",#REF!*$C$137)</f>
        <v/>
      </c>
      <c r="IK137" s="11" t="str">
        <f ca="1">IF(History!IO$2="","",#REF!*$C$137)</f>
        <v/>
      </c>
      <c r="IL137" s="11" t="str">
        <f ca="1">IF(History!IP$2="","",#REF!*$C$137)</f>
        <v/>
      </c>
      <c r="IM137" s="11" t="str">
        <f ca="1">IF(History!IQ$2="","",#REF!*$C$137)</f>
        <v/>
      </c>
      <c r="IN137" s="11" t="str">
        <f ca="1">IF(History!IR$2="","",#REF!*$C$137)</f>
        <v/>
      </c>
      <c r="IO137" s="11" t="str">
        <f ca="1">IF(History!IS$2="","",#REF!*$C$137)</f>
        <v/>
      </c>
      <c r="IP137" s="11" t="str">
        <f ca="1">IF(History!IT$2="","",#REF!*$C$137)</f>
        <v/>
      </c>
      <c r="IQ137" s="11" t="str">
        <f ca="1">IF(History!IU$2="","",#REF!*$C$137)</f>
        <v/>
      </c>
      <c r="IR137" s="11" t="str">
        <f ca="1">IF(History!IV$2="","",#REF!*$C$137)</f>
        <v/>
      </c>
      <c r="IS137" s="11" t="str">
        <f ca="1">IF(History!IW$2="","",#REF!*$C$137)</f>
        <v/>
      </c>
      <c r="IT137" s="11" t="str">
        <f ca="1">IF(History!IX$2="","",#REF!*$C$137)</f>
        <v/>
      </c>
      <c r="IU137" s="11" t="str">
        <f ca="1">IF(History!IY$2="","",#REF!*$C$137)</f>
        <v/>
      </c>
      <c r="IV137" s="11" t="str">
        <f ca="1">IF(History!IZ$2="","",#REF!*$C$137)</f>
        <v/>
      </c>
      <c r="IW137" s="11" t="str">
        <f ca="1">IF(History!JA$2="","",#REF!*$C$137)</f>
        <v/>
      </c>
      <c r="IX137" s="11" t="str">
        <f ca="1">IF(History!JB$2="","",#REF!*$C$137)</f>
        <v/>
      </c>
      <c r="IY137" s="11" t="str">
        <f ca="1">IF(History!JC$2="","",#REF!*$C$137)</f>
        <v/>
      </c>
      <c r="IZ137" s="11" t="str">
        <f ca="1">IF(History!JD$2="","",#REF!*$C$137)</f>
        <v/>
      </c>
      <c r="JA137" s="11" t="str">
        <f ca="1">IF(History!JE$2="","",#REF!*$C$137)</f>
        <v/>
      </c>
      <c r="JB137" s="11" t="str">
        <f ca="1">IF(History!JF$2="","",#REF!*$C$137)</f>
        <v/>
      </c>
      <c r="JC137" s="11" t="str">
        <f ca="1">IF(History!JG$2="","",#REF!*$C$137)</f>
        <v/>
      </c>
      <c r="JD137" s="11" t="str">
        <f ca="1">IF(History!JH$2="","",#REF!*$C$137)</f>
        <v/>
      </c>
      <c r="JE137" s="11" t="str">
        <f ca="1">IF(History!JI$2="","",#REF!*$C$137)</f>
        <v/>
      </c>
      <c r="JF137" s="11" t="str">
        <f ca="1">IF(History!JJ$2="","",#REF!*$C$137)</f>
        <v/>
      </c>
      <c r="JG137" s="11" t="str">
        <f ca="1">IF(History!JK$2="","",#REF!*$C$137)</f>
        <v/>
      </c>
      <c r="JH137" s="11" t="str">
        <f ca="1">IF(History!JL$2="","",#REF!*$C$137)</f>
        <v/>
      </c>
      <c r="JI137" s="11" t="str">
        <f ca="1">IF(History!JM$2="","",#REF!*$C$137)</f>
        <v/>
      </c>
      <c r="JJ137" s="11" t="str">
        <f ca="1">IF(History!JN$2="","",#REF!*$C$137)</f>
        <v/>
      </c>
      <c r="JK137" s="11" t="str">
        <f ca="1">IF(History!JO$2="","",#REF!*$C$137)</f>
        <v/>
      </c>
      <c r="JL137" s="11" t="str">
        <f ca="1">IF(History!JP$2="","",#REF!*$C$137)</f>
        <v/>
      </c>
      <c r="JM137" s="11" t="str">
        <f ca="1">IF(History!JQ$2="","",#REF!*$C$137)</f>
        <v/>
      </c>
      <c r="JN137" s="11" t="str">
        <f ca="1">IF(History!JR$2="","",#REF!*$C$137)</f>
        <v/>
      </c>
      <c r="JO137" s="11" t="str">
        <f ca="1">IF(History!JS$2="","",#REF!*$C$137)</f>
        <v/>
      </c>
      <c r="JP137" s="11" t="str">
        <f ca="1">IF(History!JT$2="","",#REF!*$C$137)</f>
        <v/>
      </c>
      <c r="JQ137" s="11" t="str">
        <f ca="1">IF(History!JU$2="","",#REF!*$C$137)</f>
        <v/>
      </c>
      <c r="JR137" s="11" t="str">
        <f ca="1">IF(History!JV$2="","",#REF!*$C$137)</f>
        <v/>
      </c>
      <c r="JS137" s="11" t="str">
        <f ca="1">IF(History!JW$2="","",#REF!*$C$137)</f>
        <v/>
      </c>
      <c r="JT137" s="11" t="str">
        <f ca="1">IF(History!JX$2="","",#REF!*$C$137)</f>
        <v/>
      </c>
      <c r="JU137" s="11" t="str">
        <f ca="1">IF(History!JY$2="","",#REF!*$C$137)</f>
        <v/>
      </c>
      <c r="JV137" s="11" t="str">
        <f ca="1">IF(History!JZ$2="","",#REF!*$C$137)</f>
        <v/>
      </c>
      <c r="JW137" s="11" t="str">
        <f ca="1">IF(History!KA$2="","",#REF!*$C$137)</f>
        <v/>
      </c>
      <c r="JX137" s="11" t="str">
        <f ca="1">IF(History!KB$2="","",#REF!*$C$137)</f>
        <v/>
      </c>
      <c r="JY137" s="11" t="str">
        <f ca="1">IF(History!KC$2="","",#REF!*$C$137)</f>
        <v/>
      </c>
      <c r="JZ137" s="11" t="str">
        <f ca="1">IF(History!KD$2="","",#REF!*$C$137)</f>
        <v/>
      </c>
      <c r="KA137" s="11" t="str">
        <f ca="1">IF(History!KE$2="","",#REF!*$C$137)</f>
        <v/>
      </c>
      <c r="KB137" s="11" t="str">
        <f ca="1">IF(History!KF$2="","",#REF!*$C$137)</f>
        <v/>
      </c>
    </row>
    <row r="138" spans="1:288" ht="13">
      <c r="A138" s="2" t="s">
        <v>40</v>
      </c>
      <c r="B138" s="32" t="s">
        <v>125</v>
      </c>
      <c r="C138" s="33">
        <v>154</v>
      </c>
      <c r="D138" s="11" t="e">
        <f ca="1">IF(History!H$2="","",#REF!*$C$138)</f>
        <v>#REF!</v>
      </c>
      <c r="E138" s="11" t="e">
        <f ca="1">IF(History!I$2="","",#REF!*$C$138)</f>
        <v>#REF!</v>
      </c>
      <c r="F138" s="11" t="e">
        <f ca="1">IF(History!J$2="","",#REF!*$C$138)</f>
        <v>#REF!</v>
      </c>
      <c r="G138" s="11" t="e">
        <f ca="1">IF(History!K$2="","",#REF!*$C$138)</f>
        <v>#REF!</v>
      </c>
      <c r="H138" s="11" t="e">
        <f ca="1">IF(History!L$2="","",#REF!*$C$138)</f>
        <v>#REF!</v>
      </c>
      <c r="I138" s="11" t="e">
        <f ca="1">IF(History!M$2="","",#REF!*$C$138)</f>
        <v>#REF!</v>
      </c>
      <c r="J138" s="11" t="e">
        <f ca="1">IF(History!N$2="","",#REF!*$C$138)</f>
        <v>#REF!</v>
      </c>
      <c r="K138" s="11" t="e">
        <f ca="1">IF(History!O$2="","",#REF!*$C$138)</f>
        <v>#REF!</v>
      </c>
      <c r="L138" s="11" t="e">
        <f ca="1">IF(History!P$2="","",#REF!*$C$138)</f>
        <v>#REF!</v>
      </c>
      <c r="M138" s="11" t="e">
        <f ca="1">IF(History!Q$2="","",#REF!*$C$138)</f>
        <v>#REF!</v>
      </c>
      <c r="N138" s="11" t="e">
        <f ca="1">IF(History!R$2="","",#REF!*$C$138)</f>
        <v>#REF!</v>
      </c>
      <c r="O138" s="11" t="e">
        <f ca="1">IF(History!S$2="","",#REF!*$C$138)</f>
        <v>#REF!</v>
      </c>
      <c r="P138" s="11" t="e">
        <f ca="1">IF(History!T$2="","",#REF!*$C$138)</f>
        <v>#REF!</v>
      </c>
      <c r="Q138" s="11" t="e">
        <f ca="1">IF(History!U$2="","",#REF!*$C$138)</f>
        <v>#REF!</v>
      </c>
      <c r="R138" s="11" t="e">
        <f ca="1">IF(History!V$2="","",#REF!*$C$138)</f>
        <v>#REF!</v>
      </c>
      <c r="S138" s="11" t="e">
        <f ca="1">IF(History!W$2="","",#REF!*$C$138)</f>
        <v>#REF!</v>
      </c>
      <c r="T138" s="11" t="e">
        <f ca="1">IF(History!X$2="","",#REF!*$C$138)</f>
        <v>#REF!</v>
      </c>
      <c r="U138" s="11" t="e">
        <f ca="1">IF(History!Y$2="","",#REF!*$C$138)</f>
        <v>#REF!</v>
      </c>
      <c r="V138" s="11" t="e">
        <f ca="1">IF(History!Z$2="","",#REF!*$C$138)</f>
        <v>#REF!</v>
      </c>
      <c r="W138" s="11" t="e">
        <f ca="1">IF(History!AA$2="","",#REF!*$C$138)</f>
        <v>#REF!</v>
      </c>
      <c r="X138" s="11" t="e">
        <f ca="1">IF(History!AB$2="","",#REF!*$C$138)</f>
        <v>#REF!</v>
      </c>
      <c r="Y138" s="11" t="e">
        <f ca="1">IF(History!AC$2="","",#REF!*$C$138)</f>
        <v>#REF!</v>
      </c>
      <c r="Z138" s="11" t="e">
        <f ca="1">IF(History!AD$2="","",#REF!*$C$138)</f>
        <v>#REF!</v>
      </c>
      <c r="AA138" s="11" t="e">
        <f ca="1">IF(History!AE$2="","",#REF!*$C$138)</f>
        <v>#REF!</v>
      </c>
      <c r="AB138" s="11" t="e">
        <f ca="1">IF(History!AF$2="","",#REF!*$C$138)</f>
        <v>#REF!</v>
      </c>
      <c r="AC138" s="11" t="e">
        <f ca="1">IF(History!AG$2="","",#REF!*$C$138)</f>
        <v>#REF!</v>
      </c>
      <c r="AD138" s="11" t="e">
        <f ca="1">IF(History!AH$2="","",#REF!*$C$138)</f>
        <v>#REF!</v>
      </c>
      <c r="AE138" s="11" t="e">
        <f ca="1">IF(History!AI$2="","",#REF!*$C$138)</f>
        <v>#REF!</v>
      </c>
      <c r="AF138" s="11" t="e">
        <f ca="1">IF(History!AJ$2="","",#REF!*$C$138)</f>
        <v>#REF!</v>
      </c>
      <c r="AG138" s="11" t="e">
        <f ca="1">IF(History!AK$2="","",#REF!*$C$138)</f>
        <v>#REF!</v>
      </c>
      <c r="AH138" s="11" t="e">
        <f ca="1">IF(History!AL$2="","",#REF!*$C$138)</f>
        <v>#REF!</v>
      </c>
      <c r="AI138" s="11" t="e">
        <f ca="1">IF(History!AM$2="","",#REF!*$C$138)</f>
        <v>#REF!</v>
      </c>
      <c r="AJ138" s="11" t="e">
        <f ca="1">IF(History!AN$2="","",#REF!*$C$138)</f>
        <v>#REF!</v>
      </c>
      <c r="AK138" s="11" t="e">
        <f ca="1">IF(History!AO$2="","",#REF!*$C$138)</f>
        <v>#REF!</v>
      </c>
      <c r="AL138" s="11" t="e">
        <f ca="1">IF(History!AP$2="","",#REF!*$C$138)</f>
        <v>#REF!</v>
      </c>
      <c r="AM138" s="11" t="e">
        <f ca="1">IF(History!AQ$2="","",#REF!*$C$138)</f>
        <v>#REF!</v>
      </c>
      <c r="AN138" s="11" t="e">
        <f ca="1">IF(History!AR$2="","",#REF!*$C$138)</f>
        <v>#REF!</v>
      </c>
      <c r="AO138" s="11" t="e">
        <f ca="1">IF(History!AS$2="","",#REF!*$C$138)</f>
        <v>#REF!</v>
      </c>
      <c r="AP138" s="11" t="e">
        <f ca="1">IF(History!AT$2="","",#REF!*$C$138)</f>
        <v>#REF!</v>
      </c>
      <c r="AQ138" s="11" t="e">
        <f ca="1">IF(History!AU$2="","",#REF!*$C$138)</f>
        <v>#REF!</v>
      </c>
      <c r="AR138" s="11" t="e">
        <f ca="1">IF(History!AV$2="","",#REF!*$C$138)</f>
        <v>#REF!</v>
      </c>
      <c r="AS138" s="11" t="e">
        <f ca="1">IF(History!AW$2="","",#REF!*$C$138)</f>
        <v>#REF!</v>
      </c>
      <c r="AT138" s="11" t="e">
        <f ca="1">IF(History!AX$2="","",#REF!*$C$138)</f>
        <v>#REF!</v>
      </c>
      <c r="AU138" s="11" t="e">
        <f ca="1">IF(History!AY$2="","",#REF!*$C$138)</f>
        <v>#REF!</v>
      </c>
      <c r="AV138" s="11" t="e">
        <f ca="1">IF(History!AZ$2="","",#REF!*$C$138)</f>
        <v>#REF!</v>
      </c>
      <c r="AW138" s="11" t="e">
        <f ca="1">IF(History!BA$2="","",#REF!*$C$138)</f>
        <v>#REF!</v>
      </c>
      <c r="AX138" s="11" t="e">
        <f ca="1">IF(History!BB$2="","",#REF!*$C$138)</f>
        <v>#REF!</v>
      </c>
      <c r="AY138" s="11" t="e">
        <f ca="1">IF(History!BC$2="","",#REF!*$C$138)</f>
        <v>#REF!</v>
      </c>
      <c r="AZ138" s="11" t="e">
        <f ca="1">IF(History!BD$2="","",#REF!*$C$138)</f>
        <v>#REF!</v>
      </c>
      <c r="BA138" s="11" t="e">
        <f ca="1">IF(History!BE$2="","",#REF!*$C$138)</f>
        <v>#REF!</v>
      </c>
      <c r="BB138" s="11" t="e">
        <f ca="1">IF(History!BF$2="","",#REF!*$C$138)</f>
        <v>#REF!</v>
      </c>
      <c r="BC138" s="11" t="e">
        <f ca="1">IF(History!BG$2="","",#REF!*$C$138)</f>
        <v>#REF!</v>
      </c>
      <c r="BD138" s="11" t="e">
        <f ca="1">IF(History!BH$2="","",#REF!*$C$138)</f>
        <v>#REF!</v>
      </c>
      <c r="BE138" s="11" t="e">
        <f ca="1">IF(History!BI$2="","",#REF!*$C$138)</f>
        <v>#REF!</v>
      </c>
      <c r="BF138" s="11" t="e">
        <f ca="1">IF(History!BJ$2="","",#REF!*$C$138)</f>
        <v>#REF!</v>
      </c>
      <c r="BG138" s="11" t="e">
        <f ca="1">IF(History!BK$2="","",#REF!*$C$138)</f>
        <v>#REF!</v>
      </c>
      <c r="BH138" s="11" t="e">
        <f ca="1">IF(History!BL$2="","",#REF!*$C$138)</f>
        <v>#REF!</v>
      </c>
      <c r="BI138" s="11" t="e">
        <f ca="1">IF(History!BM$2="","",#REF!*$C$138)</f>
        <v>#REF!</v>
      </c>
      <c r="BJ138" s="11" t="e">
        <f ca="1">IF(History!BN$2="","",#REF!*$C$138)</f>
        <v>#REF!</v>
      </c>
      <c r="BK138" s="11" t="e">
        <f ca="1">IF(History!BO$2="","",#REF!*$C$138)</f>
        <v>#REF!</v>
      </c>
      <c r="BL138" s="11" t="e">
        <f ca="1">IF(History!BP$2="","",#REF!*$C$138)</f>
        <v>#REF!</v>
      </c>
      <c r="BM138" s="11" t="e">
        <f ca="1">IF(History!BQ$2="","",#REF!*$C$138)</f>
        <v>#REF!</v>
      </c>
      <c r="BN138" s="11" t="e">
        <f ca="1">IF(History!BR$2="","",#REF!*$C$138)</f>
        <v>#REF!</v>
      </c>
      <c r="BO138" s="11" t="e">
        <f ca="1">IF(History!BS$2="","",#REF!*$C$138)</f>
        <v>#REF!</v>
      </c>
      <c r="BP138" s="11" t="e">
        <f ca="1">IF(History!BT$2="","",#REF!*$C$138)</f>
        <v>#REF!</v>
      </c>
      <c r="BQ138" s="11" t="e">
        <f ca="1">IF(History!BU$2="","",#REF!*$C$138)</f>
        <v>#REF!</v>
      </c>
      <c r="BR138" s="11" t="e">
        <f ca="1">IF(History!BV$2="","",#REF!*$C$138)</f>
        <v>#REF!</v>
      </c>
      <c r="BS138" s="11" t="e">
        <f ca="1">IF(History!BW$2="","",#REF!*$C$138)</f>
        <v>#REF!</v>
      </c>
      <c r="BT138" s="11" t="e">
        <f ca="1">IF(History!BX$2="","",#REF!*$C$138)</f>
        <v>#REF!</v>
      </c>
      <c r="BU138" s="11" t="e">
        <f ca="1">IF(History!BY$2="","",#REF!*$C$138)</f>
        <v>#REF!</v>
      </c>
      <c r="BV138" s="11" t="e">
        <f ca="1">IF(History!BZ$2="","",#REF!*$C$138)</f>
        <v>#REF!</v>
      </c>
      <c r="BW138" s="11" t="e">
        <f ca="1">IF(History!CA$2="","",#REF!*$C$138)</f>
        <v>#REF!</v>
      </c>
      <c r="BX138" s="11" t="e">
        <f ca="1">IF(History!CB$2="","",#REF!*$C$138)</f>
        <v>#REF!</v>
      </c>
      <c r="BY138" s="11" t="e">
        <f ca="1">IF(History!CC$2="","",#REF!*$C$138)</f>
        <v>#REF!</v>
      </c>
      <c r="BZ138" s="11" t="e">
        <f ca="1">IF(History!CD$2="","",#REF!*$C$138)</f>
        <v>#REF!</v>
      </c>
      <c r="CA138" s="11" t="e">
        <f ca="1">IF(History!CE$2="","",#REF!*$C$138)</f>
        <v>#REF!</v>
      </c>
      <c r="CB138" s="11" t="e">
        <f ca="1">IF(History!CF$2="","",#REF!*$C$138)</f>
        <v>#REF!</v>
      </c>
      <c r="CC138" s="11" t="e">
        <f ca="1">IF(History!CG$2="","",#REF!*$C$138)</f>
        <v>#REF!</v>
      </c>
      <c r="CD138" s="11" t="e">
        <f ca="1">IF(History!CH$2="","",#REF!*$C$138)</f>
        <v>#REF!</v>
      </c>
      <c r="CE138" s="11" t="e">
        <f ca="1">IF(History!CI$2="","",#REF!*$C$138)</f>
        <v>#REF!</v>
      </c>
      <c r="CF138" s="11" t="str">
        <f ca="1">IF(History!CJ$2="","",#REF!*$C$138)</f>
        <v/>
      </c>
      <c r="CG138" s="11" t="str">
        <f ca="1">IF(History!CK$2="","",#REF!*$C$138)</f>
        <v/>
      </c>
      <c r="CH138" s="11" t="str">
        <f ca="1">IF(History!CL$2="","",#REF!*$C$138)</f>
        <v/>
      </c>
      <c r="CI138" s="11" t="str">
        <f ca="1">IF(History!CM$2="","",#REF!*$C$138)</f>
        <v/>
      </c>
      <c r="CJ138" s="11" t="str">
        <f ca="1">IF(History!CN$2="","",#REF!*$C$138)</f>
        <v/>
      </c>
      <c r="CK138" s="11" t="str">
        <f ca="1">IF(History!CO$2="","",#REF!*$C$138)</f>
        <v/>
      </c>
      <c r="CL138" s="11" t="str">
        <f ca="1">IF(History!CP$2="","",#REF!*$C$138)</f>
        <v/>
      </c>
      <c r="CM138" s="11" t="str">
        <f ca="1">IF(History!CQ$2="","",#REF!*$C$138)</f>
        <v/>
      </c>
      <c r="CN138" s="11" t="str">
        <f ca="1">IF(History!CR$2="","",#REF!*$C$138)</f>
        <v/>
      </c>
      <c r="CO138" s="11" t="str">
        <f ca="1">IF(History!CS$2="","",#REF!*$C$138)</f>
        <v/>
      </c>
      <c r="CP138" s="11" t="str">
        <f ca="1">IF(History!CT$2="","",#REF!*$C$138)</f>
        <v/>
      </c>
      <c r="CQ138" s="11" t="str">
        <f ca="1">IF(History!CU$2="","",#REF!*$C$138)</f>
        <v/>
      </c>
      <c r="CR138" s="11" t="str">
        <f ca="1">IF(History!CV$2="","",#REF!*$C$138)</f>
        <v/>
      </c>
      <c r="CS138" s="11" t="str">
        <f ca="1">IF(History!CW$2="","",#REF!*$C$138)</f>
        <v/>
      </c>
      <c r="CT138" s="11" t="str">
        <f ca="1">IF(History!CX$2="","",#REF!*$C$138)</f>
        <v/>
      </c>
      <c r="CU138" s="11" t="str">
        <f ca="1">IF(History!CY$2="","",#REF!*$C$138)</f>
        <v/>
      </c>
      <c r="CV138" s="11" t="str">
        <f ca="1">IF(History!CZ$2="","",#REF!*$C$138)</f>
        <v/>
      </c>
      <c r="CW138" s="11" t="str">
        <f ca="1">IF(History!DA$2="","",#REF!*$C$138)</f>
        <v/>
      </c>
      <c r="CX138" s="11" t="str">
        <f ca="1">IF(History!DB$2="","",#REF!*$C$138)</f>
        <v/>
      </c>
      <c r="CY138" s="11" t="str">
        <f ca="1">IF(History!DC$2="","",#REF!*$C$138)</f>
        <v/>
      </c>
      <c r="CZ138" s="11" t="str">
        <f ca="1">IF(History!DD$2="","",#REF!*$C$138)</f>
        <v/>
      </c>
      <c r="DA138" s="11" t="str">
        <f ca="1">IF(History!DE$2="","",#REF!*$C$138)</f>
        <v/>
      </c>
      <c r="DB138" s="11" t="str">
        <f ca="1">IF(History!DF$2="","",#REF!*$C$138)</f>
        <v/>
      </c>
      <c r="DC138" s="11" t="str">
        <f ca="1">IF(History!DG$2="","",#REF!*$C$138)</f>
        <v/>
      </c>
      <c r="DD138" s="11" t="str">
        <f ca="1">IF(History!DH$2="","",#REF!*$C$138)</f>
        <v/>
      </c>
      <c r="DE138" s="11" t="str">
        <f ca="1">IF(History!DI$2="","",#REF!*$C$138)</f>
        <v/>
      </c>
      <c r="DF138" s="11" t="str">
        <f ca="1">IF(History!DJ$2="","",#REF!*$C$138)</f>
        <v/>
      </c>
      <c r="DG138" s="11" t="str">
        <f ca="1">IF(History!DK$2="","",#REF!*$C$138)</f>
        <v/>
      </c>
      <c r="DH138" s="11" t="str">
        <f ca="1">IF(History!DL$2="","",#REF!*$C$138)</f>
        <v/>
      </c>
      <c r="DI138" s="11" t="str">
        <f ca="1">IF(History!DM$2="","",#REF!*$C$138)</f>
        <v/>
      </c>
      <c r="DJ138" s="11" t="str">
        <f ca="1">IF(History!DN$2="","",#REF!*$C$138)</f>
        <v/>
      </c>
      <c r="DK138" s="11" t="str">
        <f ca="1">IF(History!DO$2="","",#REF!*$C$138)</f>
        <v/>
      </c>
      <c r="DL138" s="11" t="str">
        <f ca="1">IF(History!DP$2="","",#REF!*$C$138)</f>
        <v/>
      </c>
      <c r="DM138" s="11" t="str">
        <f ca="1">IF(History!DQ$2="","",#REF!*$C$138)</f>
        <v/>
      </c>
      <c r="DN138" s="11" t="str">
        <f ca="1">IF(History!DR$2="","",#REF!*$C$138)</f>
        <v/>
      </c>
      <c r="DO138" s="11" t="str">
        <f ca="1">IF(History!DS$2="","",#REF!*$C$138)</f>
        <v/>
      </c>
      <c r="DP138" s="11" t="str">
        <f ca="1">IF(History!DT$2="","",#REF!*$C$138)</f>
        <v/>
      </c>
      <c r="DQ138" s="11" t="str">
        <f ca="1">IF(History!DU$2="","",#REF!*$C$138)</f>
        <v/>
      </c>
      <c r="DR138" s="11" t="str">
        <f ca="1">IF(History!DV$2="","",#REF!*$C$138)</f>
        <v/>
      </c>
      <c r="DS138" s="11" t="str">
        <f ca="1">IF(History!DW$2="","",#REF!*$C$138)</f>
        <v/>
      </c>
      <c r="DT138" s="11" t="str">
        <f ca="1">IF(History!DX$2="","",#REF!*$C$138)</f>
        <v/>
      </c>
      <c r="DU138" s="11" t="str">
        <f ca="1">IF(History!DY$2="","",#REF!*$C$138)</f>
        <v/>
      </c>
      <c r="DV138" s="11" t="str">
        <f ca="1">IF(History!DZ$2="","",#REF!*$C$138)</f>
        <v/>
      </c>
      <c r="DW138" s="11" t="str">
        <f ca="1">IF(History!EA$2="","",#REF!*$C$138)</f>
        <v/>
      </c>
      <c r="DX138" s="11" t="str">
        <f ca="1">IF(History!EB$2="","",#REF!*$C$138)</f>
        <v/>
      </c>
      <c r="DY138" s="11" t="str">
        <f ca="1">IF(History!EC$2="","",#REF!*$C$138)</f>
        <v/>
      </c>
      <c r="DZ138" s="11" t="str">
        <f ca="1">IF(History!ED$2="","",#REF!*$C$138)</f>
        <v/>
      </c>
      <c r="EA138" s="11" t="str">
        <f ca="1">IF(History!EE$2="","",#REF!*$C$138)</f>
        <v/>
      </c>
      <c r="EB138" s="11" t="str">
        <f ca="1">IF(History!EF$2="","",#REF!*$C$138)</f>
        <v/>
      </c>
      <c r="EC138" s="11" t="str">
        <f ca="1">IF(History!EG$2="","",#REF!*$C$138)</f>
        <v/>
      </c>
      <c r="ED138" s="11" t="str">
        <f ca="1">IF(History!EH$2="","",#REF!*$C$138)</f>
        <v/>
      </c>
      <c r="EE138" s="11" t="str">
        <f ca="1">IF(History!EI$2="","",#REF!*$C$138)</f>
        <v/>
      </c>
      <c r="EF138" s="11" t="str">
        <f ca="1">IF(History!EJ$2="","",#REF!*$C$138)</f>
        <v/>
      </c>
      <c r="EG138" s="11" t="str">
        <f ca="1">IF(History!EK$2="","",#REF!*$C$138)</f>
        <v/>
      </c>
      <c r="EH138" s="11" t="str">
        <f ca="1">IF(History!EL$2="","",#REF!*$C$138)</f>
        <v/>
      </c>
      <c r="EI138" s="11" t="str">
        <f ca="1">IF(History!EM$2="","",#REF!*$C$138)</f>
        <v/>
      </c>
      <c r="EJ138" s="11" t="str">
        <f ca="1">IF(History!EN$2="","",#REF!*$C$138)</f>
        <v/>
      </c>
      <c r="EK138" s="11" t="str">
        <f ca="1">IF(History!EO$2="","",#REF!*$C$138)</f>
        <v/>
      </c>
      <c r="EL138" s="11" t="str">
        <f ca="1">IF(History!EP$2="","",#REF!*$C$138)</f>
        <v/>
      </c>
      <c r="EM138" s="11" t="str">
        <f ca="1">IF(History!EQ$2="","",#REF!*$C$138)</f>
        <v/>
      </c>
      <c r="EN138" s="11" t="str">
        <f ca="1">IF(History!ER$2="","",#REF!*$C$138)</f>
        <v/>
      </c>
      <c r="EO138" s="11" t="str">
        <f ca="1">IF(History!ES$2="","",#REF!*$C$138)</f>
        <v/>
      </c>
      <c r="EP138" s="11" t="str">
        <f ca="1">IF(History!ET$2="","",#REF!*$C$138)</f>
        <v/>
      </c>
      <c r="EQ138" s="11" t="str">
        <f ca="1">IF(History!EU$2="","",#REF!*$C$138)</f>
        <v/>
      </c>
      <c r="ER138" s="11" t="str">
        <f ca="1">IF(History!EV$2="","",#REF!*$C$138)</f>
        <v/>
      </c>
      <c r="ES138" s="11" t="str">
        <f ca="1">IF(History!EW$2="","",#REF!*$C$138)</f>
        <v/>
      </c>
      <c r="ET138" s="11" t="str">
        <f ca="1">IF(History!EX$2="","",#REF!*$C$138)</f>
        <v/>
      </c>
      <c r="EU138" s="11" t="str">
        <f ca="1">IF(History!EY$2="","",#REF!*$C$138)</f>
        <v/>
      </c>
      <c r="EV138" s="11" t="str">
        <f ca="1">IF(History!EZ$2="","",#REF!*$C$138)</f>
        <v/>
      </c>
      <c r="EW138" s="11" t="str">
        <f ca="1">IF(History!FA$2="","",#REF!*$C$138)</f>
        <v/>
      </c>
      <c r="EX138" s="11" t="str">
        <f ca="1">IF(History!FB$2="","",#REF!*$C$138)</f>
        <v/>
      </c>
      <c r="EY138" s="11" t="str">
        <f ca="1">IF(History!FC$2="","",#REF!*$C$138)</f>
        <v/>
      </c>
      <c r="EZ138" s="11" t="str">
        <f ca="1">IF(History!FD$2="","",#REF!*$C$138)</f>
        <v/>
      </c>
      <c r="FA138" s="11" t="str">
        <f ca="1">IF(History!FE$2="","",#REF!*$C$138)</f>
        <v/>
      </c>
      <c r="FB138" s="11" t="str">
        <f ca="1">IF(History!FF$2="","",#REF!*$C$138)</f>
        <v/>
      </c>
      <c r="FC138" s="11" t="str">
        <f ca="1">IF(History!FG$2="","",#REF!*$C$138)</f>
        <v/>
      </c>
      <c r="FD138" s="11" t="str">
        <f ca="1">IF(History!FH$2="","",#REF!*$C$138)</f>
        <v/>
      </c>
      <c r="FE138" s="11" t="str">
        <f ca="1">IF(History!FI$2="","",#REF!*$C$138)</f>
        <v/>
      </c>
      <c r="FF138" s="11" t="str">
        <f ca="1">IF(History!FJ$2="","",#REF!*$C$138)</f>
        <v/>
      </c>
      <c r="FG138" s="11" t="str">
        <f ca="1">IF(History!FK$2="","",#REF!*$C$138)</f>
        <v/>
      </c>
      <c r="FH138" s="11" t="str">
        <f ca="1">IF(History!FL$2="","",#REF!*$C$138)</f>
        <v/>
      </c>
      <c r="FI138" s="11" t="str">
        <f ca="1">IF(History!FM$2="","",#REF!*$C$138)</f>
        <v/>
      </c>
      <c r="FJ138" s="11" t="str">
        <f ca="1">IF(History!FN$2="","",#REF!*$C$138)</f>
        <v/>
      </c>
      <c r="FK138" s="11" t="str">
        <f ca="1">IF(History!FO$2="","",#REF!*$C$138)</f>
        <v/>
      </c>
      <c r="FL138" s="11" t="str">
        <f ca="1">IF(History!FP$2="","",#REF!*$C$138)</f>
        <v/>
      </c>
      <c r="FM138" s="11" t="str">
        <f ca="1">IF(History!FQ$2="","",#REF!*$C$138)</f>
        <v/>
      </c>
      <c r="FN138" s="11" t="str">
        <f ca="1">IF(History!FR$2="","",#REF!*$C$138)</f>
        <v/>
      </c>
      <c r="FO138" s="11" t="str">
        <f ca="1">IF(History!FS$2="","",#REF!*$C$138)</f>
        <v/>
      </c>
      <c r="FP138" s="11" t="str">
        <f ca="1">IF(History!FT$2="","",#REF!*$C$138)</f>
        <v/>
      </c>
      <c r="FQ138" s="11" t="str">
        <f ca="1">IF(History!FU$2="","",#REF!*$C$138)</f>
        <v/>
      </c>
      <c r="FR138" s="11" t="str">
        <f ca="1">IF(History!FV$2="","",#REF!*$C$138)</f>
        <v/>
      </c>
      <c r="FS138" s="11" t="str">
        <f ca="1">IF(History!FW$2="","",#REF!*$C$138)</f>
        <v/>
      </c>
      <c r="FT138" s="11" t="str">
        <f ca="1">IF(History!FX$2="","",#REF!*$C$138)</f>
        <v/>
      </c>
      <c r="FU138" s="11" t="str">
        <f ca="1">IF(History!FY$2="","",#REF!*$C$138)</f>
        <v/>
      </c>
      <c r="FV138" s="11" t="str">
        <f ca="1">IF(History!FZ$2="","",#REF!*$C$138)</f>
        <v/>
      </c>
      <c r="FW138" s="11" t="str">
        <f ca="1">IF(History!GA$2="","",#REF!*$C$138)</f>
        <v/>
      </c>
      <c r="FX138" s="11" t="str">
        <f ca="1">IF(History!GB$2="","",#REF!*$C$138)</f>
        <v/>
      </c>
      <c r="FY138" s="11" t="str">
        <f ca="1">IF(History!GC$2="","",#REF!*$C$138)</f>
        <v/>
      </c>
      <c r="FZ138" s="11" t="str">
        <f ca="1">IF(History!GD$2="","",#REF!*$C$138)</f>
        <v/>
      </c>
      <c r="GA138" s="11" t="str">
        <f ca="1">IF(History!GE$2="","",#REF!*$C$138)</f>
        <v/>
      </c>
      <c r="GB138" s="11" t="str">
        <f ca="1">IF(History!GF$2="","",#REF!*$C$138)</f>
        <v/>
      </c>
      <c r="GC138" s="11" t="str">
        <f ca="1">IF(History!GG$2="","",#REF!*$C$138)</f>
        <v/>
      </c>
      <c r="GD138" s="11" t="str">
        <f ca="1">IF(History!GH$2="","",#REF!*$C$138)</f>
        <v/>
      </c>
      <c r="GE138" s="11" t="str">
        <f ca="1">IF(History!GI$2="","",#REF!*$C$138)</f>
        <v/>
      </c>
      <c r="GF138" s="11" t="str">
        <f ca="1">IF(History!GJ$2="","",#REF!*$C$138)</f>
        <v/>
      </c>
      <c r="GG138" s="11" t="str">
        <f ca="1">IF(History!GK$2="","",#REF!*$C$138)</f>
        <v/>
      </c>
      <c r="GH138" s="11" t="str">
        <f ca="1">IF(History!GL$2="","",#REF!*$C$138)</f>
        <v/>
      </c>
      <c r="GI138" s="11" t="str">
        <f ca="1">IF(History!GM$2="","",#REF!*$C$138)</f>
        <v/>
      </c>
      <c r="GJ138" s="11" t="str">
        <f ca="1">IF(History!GN$2="","",#REF!*$C$138)</f>
        <v/>
      </c>
      <c r="GK138" s="11" t="str">
        <f ca="1">IF(History!GO$2="","",#REF!*$C$138)</f>
        <v/>
      </c>
      <c r="GL138" s="11" t="str">
        <f ca="1">IF(History!GP$2="","",#REF!*$C$138)</f>
        <v/>
      </c>
      <c r="GM138" s="11" t="str">
        <f ca="1">IF(History!GQ$2="","",#REF!*$C$138)</f>
        <v/>
      </c>
      <c r="GN138" s="11" t="str">
        <f ca="1">IF(History!GR$2="","",#REF!*$C$138)</f>
        <v/>
      </c>
      <c r="GO138" s="11" t="str">
        <f ca="1">IF(History!GS$2="","",#REF!*$C$138)</f>
        <v/>
      </c>
      <c r="GP138" s="11" t="str">
        <f ca="1">IF(History!GT$2="","",#REF!*$C$138)</f>
        <v/>
      </c>
      <c r="GQ138" s="11" t="str">
        <f ca="1">IF(History!GU$2="","",#REF!*$C$138)</f>
        <v/>
      </c>
      <c r="GR138" s="11" t="str">
        <f ca="1">IF(History!GV$2="","",#REF!*$C$138)</f>
        <v/>
      </c>
      <c r="GS138" s="11" t="str">
        <f ca="1">IF(History!GW$2="","",#REF!*$C$138)</f>
        <v/>
      </c>
      <c r="GT138" s="11" t="str">
        <f ca="1">IF(History!GX$2="","",#REF!*$C$138)</f>
        <v/>
      </c>
      <c r="GU138" s="11" t="str">
        <f ca="1">IF(History!GY$2="","",#REF!*$C$138)</f>
        <v/>
      </c>
      <c r="GV138" s="11" t="str">
        <f ca="1">IF(History!GZ$2="","",#REF!*$C$138)</f>
        <v/>
      </c>
      <c r="GW138" s="11" t="str">
        <f ca="1">IF(History!HA$2="","",#REF!*$C$138)</f>
        <v/>
      </c>
      <c r="GX138" s="11" t="str">
        <f ca="1">IF(History!HB$2="","",#REF!*$C$138)</f>
        <v/>
      </c>
      <c r="GY138" s="11" t="str">
        <f ca="1">IF(History!HC$2="","",#REF!*$C$138)</f>
        <v/>
      </c>
      <c r="GZ138" s="11" t="str">
        <f ca="1">IF(History!HD$2="","",#REF!*$C$138)</f>
        <v/>
      </c>
      <c r="HA138" s="11" t="str">
        <f ca="1">IF(History!HE$2="","",#REF!*$C$138)</f>
        <v/>
      </c>
      <c r="HB138" s="11" t="str">
        <f ca="1">IF(History!HF$2="","",#REF!*$C$138)</f>
        <v/>
      </c>
      <c r="HC138" s="11" t="str">
        <f ca="1">IF(History!HG$2="","",#REF!*$C$138)</f>
        <v/>
      </c>
      <c r="HD138" s="11" t="str">
        <f ca="1">IF(History!HH$2="","",#REF!*$C$138)</f>
        <v/>
      </c>
      <c r="HE138" s="11" t="str">
        <f ca="1">IF(History!HI$2="","",#REF!*$C$138)</f>
        <v/>
      </c>
      <c r="HF138" s="11" t="str">
        <f ca="1">IF(History!HJ$2="","",#REF!*$C$138)</f>
        <v/>
      </c>
      <c r="HG138" s="11" t="str">
        <f ca="1">IF(History!HK$2="","",#REF!*$C$138)</f>
        <v/>
      </c>
      <c r="HH138" s="11" t="str">
        <f ca="1">IF(History!HL$2="","",#REF!*$C$138)</f>
        <v/>
      </c>
      <c r="HI138" s="11" t="str">
        <f ca="1">IF(History!HM$2="","",#REF!*$C$138)</f>
        <v/>
      </c>
      <c r="HJ138" s="11" t="str">
        <f ca="1">IF(History!HN$2="","",#REF!*$C$138)</f>
        <v/>
      </c>
      <c r="HK138" s="11" t="str">
        <f ca="1">IF(History!HO$2="","",#REF!*$C$138)</f>
        <v/>
      </c>
      <c r="HL138" s="11" t="str">
        <f ca="1">IF(History!HP$2="","",#REF!*$C$138)</f>
        <v/>
      </c>
      <c r="HM138" s="11" t="str">
        <f ca="1">IF(History!HQ$2="","",#REF!*$C$138)</f>
        <v/>
      </c>
      <c r="HN138" s="11" t="str">
        <f ca="1">IF(History!HR$2="","",#REF!*$C$138)</f>
        <v/>
      </c>
      <c r="HO138" s="11" t="str">
        <f ca="1">IF(History!HS$2="","",#REF!*$C$138)</f>
        <v/>
      </c>
      <c r="HP138" s="11" t="str">
        <f ca="1">IF(History!HT$2="","",#REF!*$C$138)</f>
        <v/>
      </c>
      <c r="HQ138" s="11" t="str">
        <f ca="1">IF(History!HU$2="","",#REF!*$C$138)</f>
        <v/>
      </c>
      <c r="HR138" s="11" t="str">
        <f ca="1">IF(History!HV$2="","",#REF!*$C$138)</f>
        <v/>
      </c>
      <c r="HS138" s="11" t="str">
        <f ca="1">IF(History!HW$2="","",#REF!*$C$138)</f>
        <v/>
      </c>
      <c r="HT138" s="11" t="str">
        <f ca="1">IF(History!HX$2="","",#REF!*$C$138)</f>
        <v/>
      </c>
      <c r="HU138" s="11" t="str">
        <f ca="1">IF(History!HY$2="","",#REF!*$C$138)</f>
        <v/>
      </c>
      <c r="HV138" s="11" t="str">
        <f ca="1">IF(History!HZ$2="","",#REF!*$C$138)</f>
        <v/>
      </c>
      <c r="HW138" s="11" t="str">
        <f ca="1">IF(History!IA$2="","",#REF!*$C$138)</f>
        <v/>
      </c>
      <c r="HX138" s="11" t="str">
        <f ca="1">IF(History!IB$2="","",#REF!*$C$138)</f>
        <v/>
      </c>
      <c r="HY138" s="11" t="str">
        <f ca="1">IF(History!IC$2="","",#REF!*$C$138)</f>
        <v/>
      </c>
      <c r="HZ138" s="11" t="str">
        <f ca="1">IF(History!ID$2="","",#REF!*$C$138)</f>
        <v/>
      </c>
      <c r="IA138" s="11" t="str">
        <f ca="1">IF(History!IE$2="","",#REF!*$C$138)</f>
        <v/>
      </c>
      <c r="IB138" s="11" t="str">
        <f ca="1">IF(History!IF$2="","",#REF!*$C$138)</f>
        <v/>
      </c>
      <c r="IC138" s="11" t="str">
        <f ca="1">IF(History!IG$2="","",#REF!*$C$138)</f>
        <v/>
      </c>
      <c r="ID138" s="11" t="str">
        <f ca="1">IF(History!IH$2="","",#REF!*$C$138)</f>
        <v/>
      </c>
      <c r="IE138" s="11" t="str">
        <f ca="1">IF(History!II$2="","",#REF!*$C$138)</f>
        <v/>
      </c>
      <c r="IF138" s="11" t="str">
        <f ca="1">IF(History!IJ$2="","",#REF!*$C$138)</f>
        <v/>
      </c>
      <c r="IG138" s="11" t="str">
        <f ca="1">IF(History!IK$2="","",#REF!*$C$138)</f>
        <v/>
      </c>
      <c r="IH138" s="11" t="str">
        <f ca="1">IF(History!IL$2="","",#REF!*$C$138)</f>
        <v/>
      </c>
      <c r="II138" s="11" t="str">
        <f ca="1">IF(History!IM$2="","",#REF!*$C$138)</f>
        <v/>
      </c>
      <c r="IJ138" s="11" t="str">
        <f ca="1">IF(History!IN$2="","",#REF!*$C$138)</f>
        <v/>
      </c>
      <c r="IK138" s="11" t="str">
        <f ca="1">IF(History!IO$2="","",#REF!*$C$138)</f>
        <v/>
      </c>
      <c r="IL138" s="11" t="str">
        <f ca="1">IF(History!IP$2="","",#REF!*$C$138)</f>
        <v/>
      </c>
      <c r="IM138" s="11" t="str">
        <f ca="1">IF(History!IQ$2="","",#REF!*$C$138)</f>
        <v/>
      </c>
      <c r="IN138" s="11" t="str">
        <f ca="1">IF(History!IR$2="","",#REF!*$C$138)</f>
        <v/>
      </c>
      <c r="IO138" s="11" t="str">
        <f ca="1">IF(History!IS$2="","",#REF!*$C$138)</f>
        <v/>
      </c>
      <c r="IP138" s="11" t="str">
        <f ca="1">IF(History!IT$2="","",#REF!*$C$138)</f>
        <v/>
      </c>
      <c r="IQ138" s="11" t="str">
        <f ca="1">IF(History!IU$2="","",#REF!*$C$138)</f>
        <v/>
      </c>
      <c r="IR138" s="11" t="str">
        <f ca="1">IF(History!IV$2="","",#REF!*$C$138)</f>
        <v/>
      </c>
      <c r="IS138" s="11" t="str">
        <f ca="1">IF(History!IW$2="","",#REF!*$C$138)</f>
        <v/>
      </c>
      <c r="IT138" s="11" t="str">
        <f ca="1">IF(History!IX$2="","",#REF!*$C$138)</f>
        <v/>
      </c>
      <c r="IU138" s="11" t="str">
        <f ca="1">IF(History!IY$2="","",#REF!*$C$138)</f>
        <v/>
      </c>
      <c r="IV138" s="11" t="str">
        <f ca="1">IF(History!IZ$2="","",#REF!*$C$138)</f>
        <v/>
      </c>
      <c r="IW138" s="11" t="str">
        <f ca="1">IF(History!JA$2="","",#REF!*$C$138)</f>
        <v/>
      </c>
      <c r="IX138" s="11" t="str">
        <f ca="1">IF(History!JB$2="","",#REF!*$C$138)</f>
        <v/>
      </c>
      <c r="IY138" s="11" t="str">
        <f ca="1">IF(History!JC$2="","",#REF!*$C$138)</f>
        <v/>
      </c>
      <c r="IZ138" s="11" t="str">
        <f ca="1">IF(History!JD$2="","",#REF!*$C$138)</f>
        <v/>
      </c>
      <c r="JA138" s="11" t="str">
        <f ca="1">IF(History!JE$2="","",#REF!*$C$138)</f>
        <v/>
      </c>
      <c r="JB138" s="11" t="str">
        <f ca="1">IF(History!JF$2="","",#REF!*$C$138)</f>
        <v/>
      </c>
      <c r="JC138" s="11" t="str">
        <f ca="1">IF(History!JG$2="","",#REF!*$C$138)</f>
        <v/>
      </c>
      <c r="JD138" s="11" t="str">
        <f ca="1">IF(History!JH$2="","",#REF!*$C$138)</f>
        <v/>
      </c>
      <c r="JE138" s="11" t="str">
        <f ca="1">IF(History!JI$2="","",#REF!*$C$138)</f>
        <v/>
      </c>
      <c r="JF138" s="11" t="str">
        <f ca="1">IF(History!JJ$2="","",#REF!*$C$138)</f>
        <v/>
      </c>
      <c r="JG138" s="11" t="str">
        <f ca="1">IF(History!JK$2="","",#REF!*$C$138)</f>
        <v/>
      </c>
      <c r="JH138" s="11" t="str">
        <f ca="1">IF(History!JL$2="","",#REF!*$C$138)</f>
        <v/>
      </c>
      <c r="JI138" s="11" t="str">
        <f ca="1">IF(History!JM$2="","",#REF!*$C$138)</f>
        <v/>
      </c>
      <c r="JJ138" s="11" t="str">
        <f ca="1">IF(History!JN$2="","",#REF!*$C$138)</f>
        <v/>
      </c>
      <c r="JK138" s="11" t="str">
        <f ca="1">IF(History!JO$2="","",#REF!*$C$138)</f>
        <v/>
      </c>
      <c r="JL138" s="11" t="str">
        <f ca="1">IF(History!JP$2="","",#REF!*$C$138)</f>
        <v/>
      </c>
      <c r="JM138" s="11" t="str">
        <f ca="1">IF(History!JQ$2="","",#REF!*$C$138)</f>
        <v/>
      </c>
      <c r="JN138" s="11" t="str">
        <f ca="1">IF(History!JR$2="","",#REF!*$C$138)</f>
        <v/>
      </c>
      <c r="JO138" s="11" t="str">
        <f ca="1">IF(History!JS$2="","",#REF!*$C$138)</f>
        <v/>
      </c>
      <c r="JP138" s="11" t="str">
        <f ca="1">IF(History!JT$2="","",#REF!*$C$138)</f>
        <v/>
      </c>
      <c r="JQ138" s="11" t="str">
        <f ca="1">IF(History!JU$2="","",#REF!*$C$138)</f>
        <v/>
      </c>
      <c r="JR138" s="11" t="str">
        <f ca="1">IF(History!JV$2="","",#REF!*$C$138)</f>
        <v/>
      </c>
      <c r="JS138" s="11" t="str">
        <f ca="1">IF(History!JW$2="","",#REF!*$C$138)</f>
        <v/>
      </c>
      <c r="JT138" s="11" t="str">
        <f ca="1">IF(History!JX$2="","",#REF!*$C$138)</f>
        <v/>
      </c>
      <c r="JU138" s="11" t="str">
        <f ca="1">IF(History!JY$2="","",#REF!*$C$138)</f>
        <v/>
      </c>
      <c r="JV138" s="11" t="str">
        <f ca="1">IF(History!JZ$2="","",#REF!*$C$138)</f>
        <v/>
      </c>
      <c r="JW138" s="11" t="str">
        <f ca="1">IF(History!KA$2="","",#REF!*$C$138)</f>
        <v/>
      </c>
      <c r="JX138" s="11" t="str">
        <f ca="1">IF(History!KB$2="","",#REF!*$C$138)</f>
        <v/>
      </c>
      <c r="JY138" s="11" t="str">
        <f ca="1">IF(History!KC$2="","",#REF!*$C$138)</f>
        <v/>
      </c>
      <c r="JZ138" s="11" t="str">
        <f ca="1">IF(History!KD$2="","",#REF!*$C$138)</f>
        <v/>
      </c>
      <c r="KA138" s="11" t="str">
        <f ca="1">IF(History!KE$2="","",#REF!*$C$138)</f>
        <v/>
      </c>
      <c r="KB138" s="11" t="str">
        <f ca="1">IF(History!KF$2="","",#REF!*$C$138)</f>
        <v/>
      </c>
    </row>
    <row r="139" spans="1:288" ht="13">
      <c r="A139" s="2" t="s">
        <v>40</v>
      </c>
      <c r="B139" s="32" t="s">
        <v>126</v>
      </c>
      <c r="C139" s="33">
        <v>268</v>
      </c>
      <c r="D139" s="11" t="e">
        <f ca="1">IF(History!H$2="","",#REF!*$C$139)</f>
        <v>#REF!</v>
      </c>
      <c r="E139" s="11" t="e">
        <f ca="1">IF(History!I$2="","",#REF!*$C$139)</f>
        <v>#REF!</v>
      </c>
      <c r="F139" s="11" t="e">
        <f ca="1">IF(History!J$2="","",#REF!*$C$139)</f>
        <v>#REF!</v>
      </c>
      <c r="G139" s="11" t="e">
        <f ca="1">IF(History!K$2="","",#REF!*$C$139)</f>
        <v>#REF!</v>
      </c>
      <c r="H139" s="11" t="e">
        <f ca="1">IF(History!L$2="","",#REF!*$C$139)</f>
        <v>#REF!</v>
      </c>
      <c r="I139" s="11" t="e">
        <f ca="1">IF(History!M$2="","",#REF!*$C$139)</f>
        <v>#REF!</v>
      </c>
      <c r="J139" s="11" t="e">
        <f ca="1">IF(History!N$2="","",#REF!*$C$139)</f>
        <v>#REF!</v>
      </c>
      <c r="K139" s="11" t="e">
        <f ca="1">IF(History!O$2="","",#REF!*$C$139)</f>
        <v>#REF!</v>
      </c>
      <c r="L139" s="11" t="e">
        <f ca="1">IF(History!P$2="","",#REF!*$C$139)</f>
        <v>#REF!</v>
      </c>
      <c r="M139" s="11" t="e">
        <f ca="1">IF(History!Q$2="","",#REF!*$C$139)</f>
        <v>#REF!</v>
      </c>
      <c r="N139" s="11" t="e">
        <f ca="1">IF(History!R$2="","",#REF!*$C$139)</f>
        <v>#REF!</v>
      </c>
      <c r="O139" s="11" t="e">
        <f ca="1">IF(History!S$2="","",#REF!*$C$139)</f>
        <v>#REF!</v>
      </c>
      <c r="P139" s="11" t="e">
        <f ca="1">IF(History!T$2="","",#REF!*$C$139)</f>
        <v>#REF!</v>
      </c>
      <c r="Q139" s="11" t="e">
        <f ca="1">IF(History!U$2="","",#REF!*$C$139)</f>
        <v>#REF!</v>
      </c>
      <c r="R139" s="11" t="e">
        <f ca="1">IF(History!V$2="","",#REF!*$C$139)</f>
        <v>#REF!</v>
      </c>
      <c r="S139" s="11" t="e">
        <f ca="1">IF(History!W$2="","",#REF!*$C$139)</f>
        <v>#REF!</v>
      </c>
      <c r="T139" s="11" t="e">
        <f ca="1">IF(History!X$2="","",#REF!*$C$139)</f>
        <v>#REF!</v>
      </c>
      <c r="U139" s="11" t="e">
        <f ca="1">IF(History!Y$2="","",#REF!*$C$139)</f>
        <v>#REF!</v>
      </c>
      <c r="V139" s="11" t="e">
        <f ca="1">IF(History!Z$2="","",#REF!*$C$139)</f>
        <v>#REF!</v>
      </c>
      <c r="W139" s="11" t="e">
        <f ca="1">IF(History!AA$2="","",#REF!*$C$139)</f>
        <v>#REF!</v>
      </c>
      <c r="X139" s="11" t="e">
        <f ca="1">IF(History!AB$2="","",#REF!*$C$139)</f>
        <v>#REF!</v>
      </c>
      <c r="Y139" s="11" t="e">
        <f ca="1">IF(History!AC$2="","",#REF!*$C$139)</f>
        <v>#REF!</v>
      </c>
      <c r="Z139" s="11" t="e">
        <f ca="1">IF(History!AD$2="","",#REF!*$C$139)</f>
        <v>#REF!</v>
      </c>
      <c r="AA139" s="11" t="e">
        <f ca="1">IF(History!AE$2="","",#REF!*$C$139)</f>
        <v>#REF!</v>
      </c>
      <c r="AB139" s="11" t="e">
        <f ca="1">IF(History!AF$2="","",#REF!*$C$139)</f>
        <v>#REF!</v>
      </c>
      <c r="AC139" s="11" t="e">
        <f ca="1">IF(History!AG$2="","",#REF!*$C$139)</f>
        <v>#REF!</v>
      </c>
      <c r="AD139" s="11" t="e">
        <f ca="1">IF(History!AH$2="","",#REF!*$C$139)</f>
        <v>#REF!</v>
      </c>
      <c r="AE139" s="11" t="e">
        <f ca="1">IF(History!AI$2="","",#REF!*$C$139)</f>
        <v>#REF!</v>
      </c>
      <c r="AF139" s="11" t="e">
        <f ca="1">IF(History!AJ$2="","",#REF!*$C$139)</f>
        <v>#REF!</v>
      </c>
      <c r="AG139" s="11" t="e">
        <f ca="1">IF(History!AK$2="","",#REF!*$C$139)</f>
        <v>#REF!</v>
      </c>
      <c r="AH139" s="11" t="e">
        <f ca="1">IF(History!AL$2="","",#REF!*$C$139)</f>
        <v>#REF!</v>
      </c>
      <c r="AI139" s="11" t="e">
        <f ca="1">IF(History!AM$2="","",#REF!*$C$139)</f>
        <v>#REF!</v>
      </c>
      <c r="AJ139" s="11" t="e">
        <f ca="1">IF(History!AN$2="","",#REF!*$C$139)</f>
        <v>#REF!</v>
      </c>
      <c r="AK139" s="11" t="e">
        <f ca="1">IF(History!AO$2="","",#REF!*$C$139)</f>
        <v>#REF!</v>
      </c>
      <c r="AL139" s="11" t="e">
        <f ca="1">IF(History!AP$2="","",#REF!*$C$139)</f>
        <v>#REF!</v>
      </c>
      <c r="AM139" s="11" t="e">
        <f ca="1">IF(History!AQ$2="","",#REF!*$C$139)</f>
        <v>#REF!</v>
      </c>
      <c r="AN139" s="11" t="e">
        <f ca="1">IF(History!AR$2="","",#REF!*$C$139)</f>
        <v>#REF!</v>
      </c>
      <c r="AO139" s="11" t="e">
        <f ca="1">IF(History!AS$2="","",#REF!*$C$139)</f>
        <v>#REF!</v>
      </c>
      <c r="AP139" s="11" t="e">
        <f ca="1">IF(History!AT$2="","",#REF!*$C$139)</f>
        <v>#REF!</v>
      </c>
      <c r="AQ139" s="11" t="e">
        <f ca="1">IF(History!AU$2="","",#REF!*$C$139)</f>
        <v>#REF!</v>
      </c>
      <c r="AR139" s="11" t="e">
        <f ca="1">IF(History!AV$2="","",#REF!*$C$139)</f>
        <v>#REF!</v>
      </c>
      <c r="AS139" s="11" t="e">
        <f ca="1">IF(History!AW$2="","",#REF!*$C$139)</f>
        <v>#REF!</v>
      </c>
      <c r="AT139" s="11" t="e">
        <f ca="1">IF(History!AX$2="","",#REF!*$C$139)</f>
        <v>#REF!</v>
      </c>
      <c r="AU139" s="11" t="e">
        <f ca="1">IF(History!AY$2="","",#REF!*$C$139)</f>
        <v>#REF!</v>
      </c>
      <c r="AV139" s="11" t="e">
        <f ca="1">IF(History!AZ$2="","",#REF!*$C$139)</f>
        <v>#REF!</v>
      </c>
      <c r="AW139" s="11" t="e">
        <f ca="1">IF(History!BA$2="","",#REF!*$C$139)</f>
        <v>#REF!</v>
      </c>
      <c r="AX139" s="11" t="e">
        <f ca="1">IF(History!BB$2="","",#REF!*$C$139)</f>
        <v>#REF!</v>
      </c>
      <c r="AY139" s="11" t="e">
        <f ca="1">IF(History!BC$2="","",#REF!*$C$139)</f>
        <v>#REF!</v>
      </c>
      <c r="AZ139" s="11" t="e">
        <f ca="1">IF(History!BD$2="","",#REF!*$C$139)</f>
        <v>#REF!</v>
      </c>
      <c r="BA139" s="11" t="e">
        <f ca="1">IF(History!BE$2="","",#REF!*$C$139)</f>
        <v>#REF!</v>
      </c>
      <c r="BB139" s="11" t="e">
        <f ca="1">IF(History!BF$2="","",#REF!*$C$139)</f>
        <v>#REF!</v>
      </c>
      <c r="BC139" s="11" t="e">
        <f ca="1">IF(History!BG$2="","",#REF!*$C$139)</f>
        <v>#REF!</v>
      </c>
      <c r="BD139" s="11" t="e">
        <f ca="1">IF(History!BH$2="","",#REF!*$C$139)</f>
        <v>#REF!</v>
      </c>
      <c r="BE139" s="11" t="e">
        <f ca="1">IF(History!BI$2="","",#REF!*$C$139)</f>
        <v>#REF!</v>
      </c>
      <c r="BF139" s="11" t="e">
        <f ca="1">IF(History!BJ$2="","",#REF!*$C$139)</f>
        <v>#REF!</v>
      </c>
      <c r="BG139" s="11" t="e">
        <f ca="1">IF(History!BK$2="","",#REF!*$C$139)</f>
        <v>#REF!</v>
      </c>
      <c r="BH139" s="11" t="e">
        <f ca="1">IF(History!BL$2="","",#REF!*$C$139)</f>
        <v>#REF!</v>
      </c>
      <c r="BI139" s="11" t="e">
        <f ca="1">IF(History!BM$2="","",#REF!*$C$139)</f>
        <v>#REF!</v>
      </c>
      <c r="BJ139" s="11" t="e">
        <f ca="1">IF(History!BN$2="","",#REF!*$C$139)</f>
        <v>#REF!</v>
      </c>
      <c r="BK139" s="11" t="e">
        <f ca="1">IF(History!BO$2="","",#REF!*$C$139)</f>
        <v>#REF!</v>
      </c>
      <c r="BL139" s="11" t="e">
        <f ca="1">IF(History!BP$2="","",#REF!*$C$139)</f>
        <v>#REF!</v>
      </c>
      <c r="BM139" s="11" t="e">
        <f ca="1">IF(History!BQ$2="","",#REF!*$C$139)</f>
        <v>#REF!</v>
      </c>
      <c r="BN139" s="11" t="e">
        <f ca="1">IF(History!BR$2="","",#REF!*$C$139)</f>
        <v>#REF!</v>
      </c>
      <c r="BO139" s="11" t="e">
        <f ca="1">IF(History!BS$2="","",#REF!*$C$139)</f>
        <v>#REF!</v>
      </c>
      <c r="BP139" s="11" t="e">
        <f ca="1">IF(History!BT$2="","",#REF!*$C$139)</f>
        <v>#REF!</v>
      </c>
      <c r="BQ139" s="11" t="e">
        <f ca="1">IF(History!BU$2="","",#REF!*$C$139)</f>
        <v>#REF!</v>
      </c>
      <c r="BR139" s="11" t="e">
        <f ca="1">IF(History!BV$2="","",#REF!*$C$139)</f>
        <v>#REF!</v>
      </c>
      <c r="BS139" s="11" t="e">
        <f ca="1">IF(History!BW$2="","",#REF!*$C$139)</f>
        <v>#REF!</v>
      </c>
      <c r="BT139" s="11" t="e">
        <f ca="1">IF(History!BX$2="","",#REF!*$C$139)</f>
        <v>#REF!</v>
      </c>
      <c r="BU139" s="11" t="e">
        <f ca="1">IF(History!BY$2="","",#REF!*$C$139)</f>
        <v>#REF!</v>
      </c>
      <c r="BV139" s="11" t="e">
        <f ca="1">IF(History!BZ$2="","",#REF!*$C$139)</f>
        <v>#REF!</v>
      </c>
      <c r="BW139" s="11" t="e">
        <f ca="1">IF(History!CA$2="","",#REF!*$C$139)</f>
        <v>#REF!</v>
      </c>
      <c r="BX139" s="11" t="e">
        <f ca="1">IF(History!CB$2="","",#REF!*$C$139)</f>
        <v>#REF!</v>
      </c>
      <c r="BY139" s="11" t="e">
        <f ca="1">IF(History!CC$2="","",#REF!*$C$139)</f>
        <v>#REF!</v>
      </c>
      <c r="BZ139" s="11" t="e">
        <f ca="1">IF(History!CD$2="","",#REF!*$C$139)</f>
        <v>#REF!</v>
      </c>
      <c r="CA139" s="11" t="e">
        <f ca="1">IF(History!CE$2="","",#REF!*$C$139)</f>
        <v>#REF!</v>
      </c>
      <c r="CB139" s="11" t="e">
        <f ca="1">IF(History!CF$2="","",#REF!*$C$139)</f>
        <v>#REF!</v>
      </c>
      <c r="CC139" s="11" t="e">
        <f ca="1">IF(History!CG$2="","",#REF!*$C$139)</f>
        <v>#REF!</v>
      </c>
      <c r="CD139" s="11" t="e">
        <f ca="1">IF(History!CH$2="","",#REF!*$C$139)</f>
        <v>#REF!</v>
      </c>
      <c r="CE139" s="11" t="e">
        <f ca="1">IF(History!CI$2="","",#REF!*$C$139)</f>
        <v>#REF!</v>
      </c>
      <c r="CF139" s="11" t="str">
        <f ca="1">IF(History!CJ$2="","",#REF!*$C$139)</f>
        <v/>
      </c>
      <c r="CG139" s="11" t="str">
        <f ca="1">IF(History!CK$2="","",#REF!*$C$139)</f>
        <v/>
      </c>
      <c r="CH139" s="11" t="str">
        <f ca="1">IF(History!CL$2="","",#REF!*$C$139)</f>
        <v/>
      </c>
      <c r="CI139" s="11" t="str">
        <f ca="1">IF(History!CM$2="","",#REF!*$C$139)</f>
        <v/>
      </c>
      <c r="CJ139" s="11" t="str">
        <f ca="1">IF(History!CN$2="","",#REF!*$C$139)</f>
        <v/>
      </c>
      <c r="CK139" s="11" t="str">
        <f ca="1">IF(History!CO$2="","",#REF!*$C$139)</f>
        <v/>
      </c>
      <c r="CL139" s="11" t="str">
        <f ca="1">IF(History!CP$2="","",#REF!*$C$139)</f>
        <v/>
      </c>
      <c r="CM139" s="11" t="str">
        <f ca="1">IF(History!CQ$2="","",#REF!*$C$139)</f>
        <v/>
      </c>
      <c r="CN139" s="11" t="str">
        <f ca="1">IF(History!CR$2="","",#REF!*$C$139)</f>
        <v/>
      </c>
      <c r="CO139" s="11" t="str">
        <f ca="1">IF(History!CS$2="","",#REF!*$C$139)</f>
        <v/>
      </c>
      <c r="CP139" s="11" t="str">
        <f ca="1">IF(History!CT$2="","",#REF!*$C$139)</f>
        <v/>
      </c>
      <c r="CQ139" s="11" t="str">
        <f ca="1">IF(History!CU$2="","",#REF!*$C$139)</f>
        <v/>
      </c>
      <c r="CR139" s="11" t="str">
        <f ca="1">IF(History!CV$2="","",#REF!*$C$139)</f>
        <v/>
      </c>
      <c r="CS139" s="11" t="str">
        <f ca="1">IF(History!CW$2="","",#REF!*$C$139)</f>
        <v/>
      </c>
      <c r="CT139" s="11" t="str">
        <f ca="1">IF(History!CX$2="","",#REF!*$C$139)</f>
        <v/>
      </c>
      <c r="CU139" s="11" t="str">
        <f ca="1">IF(History!CY$2="","",#REF!*$C$139)</f>
        <v/>
      </c>
      <c r="CV139" s="11" t="str">
        <f ca="1">IF(History!CZ$2="","",#REF!*$C$139)</f>
        <v/>
      </c>
      <c r="CW139" s="11" t="str">
        <f ca="1">IF(History!DA$2="","",#REF!*$C$139)</f>
        <v/>
      </c>
      <c r="CX139" s="11" t="str">
        <f ca="1">IF(History!DB$2="","",#REF!*$C$139)</f>
        <v/>
      </c>
      <c r="CY139" s="11" t="str">
        <f ca="1">IF(History!DC$2="","",#REF!*$C$139)</f>
        <v/>
      </c>
      <c r="CZ139" s="11" t="str">
        <f ca="1">IF(History!DD$2="","",#REF!*$C$139)</f>
        <v/>
      </c>
      <c r="DA139" s="11" t="str">
        <f ca="1">IF(History!DE$2="","",#REF!*$C$139)</f>
        <v/>
      </c>
      <c r="DB139" s="11" t="str">
        <f ca="1">IF(History!DF$2="","",#REF!*$C$139)</f>
        <v/>
      </c>
      <c r="DC139" s="11" t="str">
        <f ca="1">IF(History!DG$2="","",#REF!*$C$139)</f>
        <v/>
      </c>
      <c r="DD139" s="11" t="str">
        <f ca="1">IF(History!DH$2="","",#REF!*$C$139)</f>
        <v/>
      </c>
      <c r="DE139" s="11" t="str">
        <f ca="1">IF(History!DI$2="","",#REF!*$C$139)</f>
        <v/>
      </c>
      <c r="DF139" s="11" t="str">
        <f ca="1">IF(History!DJ$2="","",#REF!*$C$139)</f>
        <v/>
      </c>
      <c r="DG139" s="11" t="str">
        <f ca="1">IF(History!DK$2="","",#REF!*$C$139)</f>
        <v/>
      </c>
      <c r="DH139" s="11" t="str">
        <f ca="1">IF(History!DL$2="","",#REF!*$C$139)</f>
        <v/>
      </c>
      <c r="DI139" s="11" t="str">
        <f ca="1">IF(History!DM$2="","",#REF!*$C$139)</f>
        <v/>
      </c>
      <c r="DJ139" s="11" t="str">
        <f ca="1">IF(History!DN$2="","",#REF!*$C$139)</f>
        <v/>
      </c>
      <c r="DK139" s="11" t="str">
        <f ca="1">IF(History!DO$2="","",#REF!*$C$139)</f>
        <v/>
      </c>
      <c r="DL139" s="11" t="str">
        <f ca="1">IF(History!DP$2="","",#REF!*$C$139)</f>
        <v/>
      </c>
      <c r="DM139" s="11" t="str">
        <f ca="1">IF(History!DQ$2="","",#REF!*$C$139)</f>
        <v/>
      </c>
      <c r="DN139" s="11" t="str">
        <f ca="1">IF(History!DR$2="","",#REF!*$C$139)</f>
        <v/>
      </c>
      <c r="DO139" s="11" t="str">
        <f ca="1">IF(History!DS$2="","",#REF!*$C$139)</f>
        <v/>
      </c>
      <c r="DP139" s="11" t="str">
        <f ca="1">IF(History!DT$2="","",#REF!*$C$139)</f>
        <v/>
      </c>
      <c r="DQ139" s="11" t="str">
        <f ca="1">IF(History!DU$2="","",#REF!*$C$139)</f>
        <v/>
      </c>
      <c r="DR139" s="11" t="str">
        <f ca="1">IF(History!DV$2="","",#REF!*$C$139)</f>
        <v/>
      </c>
      <c r="DS139" s="11" t="str">
        <f ca="1">IF(History!DW$2="","",#REF!*$C$139)</f>
        <v/>
      </c>
      <c r="DT139" s="11" t="str">
        <f ca="1">IF(History!DX$2="","",#REF!*$C$139)</f>
        <v/>
      </c>
      <c r="DU139" s="11" t="str">
        <f ca="1">IF(History!DY$2="","",#REF!*$C$139)</f>
        <v/>
      </c>
      <c r="DV139" s="11" t="str">
        <f ca="1">IF(History!DZ$2="","",#REF!*$C$139)</f>
        <v/>
      </c>
      <c r="DW139" s="11" t="str">
        <f ca="1">IF(History!EA$2="","",#REF!*$C$139)</f>
        <v/>
      </c>
      <c r="DX139" s="11" t="str">
        <f ca="1">IF(History!EB$2="","",#REF!*$C$139)</f>
        <v/>
      </c>
      <c r="DY139" s="11" t="str">
        <f ca="1">IF(History!EC$2="","",#REF!*$C$139)</f>
        <v/>
      </c>
      <c r="DZ139" s="11" t="str">
        <f ca="1">IF(History!ED$2="","",#REF!*$C$139)</f>
        <v/>
      </c>
      <c r="EA139" s="11" t="str">
        <f ca="1">IF(History!EE$2="","",#REF!*$C$139)</f>
        <v/>
      </c>
      <c r="EB139" s="11" t="str">
        <f ca="1">IF(History!EF$2="","",#REF!*$C$139)</f>
        <v/>
      </c>
      <c r="EC139" s="11" t="str">
        <f ca="1">IF(History!EG$2="","",#REF!*$C$139)</f>
        <v/>
      </c>
      <c r="ED139" s="11" t="str">
        <f ca="1">IF(History!EH$2="","",#REF!*$C$139)</f>
        <v/>
      </c>
      <c r="EE139" s="11" t="str">
        <f ca="1">IF(History!EI$2="","",#REF!*$C$139)</f>
        <v/>
      </c>
      <c r="EF139" s="11" t="str">
        <f ca="1">IF(History!EJ$2="","",#REF!*$C$139)</f>
        <v/>
      </c>
      <c r="EG139" s="11" t="str">
        <f ca="1">IF(History!EK$2="","",#REF!*$C$139)</f>
        <v/>
      </c>
      <c r="EH139" s="11" t="str">
        <f ca="1">IF(History!EL$2="","",#REF!*$C$139)</f>
        <v/>
      </c>
      <c r="EI139" s="11" t="str">
        <f ca="1">IF(History!EM$2="","",#REF!*$C$139)</f>
        <v/>
      </c>
      <c r="EJ139" s="11" t="str">
        <f ca="1">IF(History!EN$2="","",#REF!*$C$139)</f>
        <v/>
      </c>
      <c r="EK139" s="11" t="str">
        <f ca="1">IF(History!EO$2="","",#REF!*$C$139)</f>
        <v/>
      </c>
      <c r="EL139" s="11" t="str">
        <f ca="1">IF(History!EP$2="","",#REF!*$C$139)</f>
        <v/>
      </c>
      <c r="EM139" s="11" t="str">
        <f ca="1">IF(History!EQ$2="","",#REF!*$C$139)</f>
        <v/>
      </c>
      <c r="EN139" s="11" t="str">
        <f ca="1">IF(History!ER$2="","",#REF!*$C$139)</f>
        <v/>
      </c>
      <c r="EO139" s="11" t="str">
        <f ca="1">IF(History!ES$2="","",#REF!*$C$139)</f>
        <v/>
      </c>
      <c r="EP139" s="11" t="str">
        <f ca="1">IF(History!ET$2="","",#REF!*$C$139)</f>
        <v/>
      </c>
      <c r="EQ139" s="11" t="str">
        <f ca="1">IF(History!EU$2="","",#REF!*$C$139)</f>
        <v/>
      </c>
      <c r="ER139" s="11" t="str">
        <f ca="1">IF(History!EV$2="","",#REF!*$C$139)</f>
        <v/>
      </c>
      <c r="ES139" s="11" t="str">
        <f ca="1">IF(History!EW$2="","",#REF!*$C$139)</f>
        <v/>
      </c>
      <c r="ET139" s="11" t="str">
        <f ca="1">IF(History!EX$2="","",#REF!*$C$139)</f>
        <v/>
      </c>
      <c r="EU139" s="11" t="str">
        <f ca="1">IF(History!EY$2="","",#REF!*$C$139)</f>
        <v/>
      </c>
      <c r="EV139" s="11" t="str">
        <f ca="1">IF(History!EZ$2="","",#REF!*$C$139)</f>
        <v/>
      </c>
      <c r="EW139" s="11" t="str">
        <f ca="1">IF(History!FA$2="","",#REF!*$C$139)</f>
        <v/>
      </c>
      <c r="EX139" s="11" t="str">
        <f ca="1">IF(History!FB$2="","",#REF!*$C$139)</f>
        <v/>
      </c>
      <c r="EY139" s="11" t="str">
        <f ca="1">IF(History!FC$2="","",#REF!*$C$139)</f>
        <v/>
      </c>
      <c r="EZ139" s="11" t="str">
        <f ca="1">IF(History!FD$2="","",#REF!*$C$139)</f>
        <v/>
      </c>
      <c r="FA139" s="11" t="str">
        <f ca="1">IF(History!FE$2="","",#REF!*$C$139)</f>
        <v/>
      </c>
      <c r="FB139" s="11" t="str">
        <f ca="1">IF(History!FF$2="","",#REF!*$C$139)</f>
        <v/>
      </c>
      <c r="FC139" s="11" t="str">
        <f ca="1">IF(History!FG$2="","",#REF!*$C$139)</f>
        <v/>
      </c>
      <c r="FD139" s="11" t="str">
        <f ca="1">IF(History!FH$2="","",#REF!*$C$139)</f>
        <v/>
      </c>
      <c r="FE139" s="11" t="str">
        <f ca="1">IF(History!FI$2="","",#REF!*$C$139)</f>
        <v/>
      </c>
      <c r="FF139" s="11" t="str">
        <f ca="1">IF(History!FJ$2="","",#REF!*$C$139)</f>
        <v/>
      </c>
      <c r="FG139" s="11" t="str">
        <f ca="1">IF(History!FK$2="","",#REF!*$C$139)</f>
        <v/>
      </c>
      <c r="FH139" s="11" t="str">
        <f ca="1">IF(History!FL$2="","",#REF!*$C$139)</f>
        <v/>
      </c>
      <c r="FI139" s="11" t="str">
        <f ca="1">IF(History!FM$2="","",#REF!*$C$139)</f>
        <v/>
      </c>
      <c r="FJ139" s="11" t="str">
        <f ca="1">IF(History!FN$2="","",#REF!*$C$139)</f>
        <v/>
      </c>
      <c r="FK139" s="11" t="str">
        <f ca="1">IF(History!FO$2="","",#REF!*$C$139)</f>
        <v/>
      </c>
      <c r="FL139" s="11" t="str">
        <f ca="1">IF(History!FP$2="","",#REF!*$C$139)</f>
        <v/>
      </c>
      <c r="FM139" s="11" t="str">
        <f ca="1">IF(History!FQ$2="","",#REF!*$C$139)</f>
        <v/>
      </c>
      <c r="FN139" s="11" t="str">
        <f ca="1">IF(History!FR$2="","",#REF!*$C$139)</f>
        <v/>
      </c>
      <c r="FO139" s="11" t="str">
        <f ca="1">IF(History!FS$2="","",#REF!*$C$139)</f>
        <v/>
      </c>
      <c r="FP139" s="11" t="str">
        <f ca="1">IF(History!FT$2="","",#REF!*$C$139)</f>
        <v/>
      </c>
      <c r="FQ139" s="11" t="str">
        <f ca="1">IF(History!FU$2="","",#REF!*$C$139)</f>
        <v/>
      </c>
      <c r="FR139" s="11" t="str">
        <f ca="1">IF(History!FV$2="","",#REF!*$C$139)</f>
        <v/>
      </c>
      <c r="FS139" s="11" t="str">
        <f ca="1">IF(History!FW$2="","",#REF!*$C$139)</f>
        <v/>
      </c>
      <c r="FT139" s="11" t="str">
        <f ca="1">IF(History!FX$2="","",#REF!*$C$139)</f>
        <v/>
      </c>
      <c r="FU139" s="11" t="str">
        <f ca="1">IF(History!FY$2="","",#REF!*$C$139)</f>
        <v/>
      </c>
      <c r="FV139" s="11" t="str">
        <f ca="1">IF(History!FZ$2="","",#REF!*$C$139)</f>
        <v/>
      </c>
      <c r="FW139" s="11" t="str">
        <f ca="1">IF(History!GA$2="","",#REF!*$C$139)</f>
        <v/>
      </c>
      <c r="FX139" s="11" t="str">
        <f ca="1">IF(History!GB$2="","",#REF!*$C$139)</f>
        <v/>
      </c>
      <c r="FY139" s="11" t="str">
        <f ca="1">IF(History!GC$2="","",#REF!*$C$139)</f>
        <v/>
      </c>
      <c r="FZ139" s="11" t="str">
        <f ca="1">IF(History!GD$2="","",#REF!*$C$139)</f>
        <v/>
      </c>
      <c r="GA139" s="11" t="str">
        <f ca="1">IF(History!GE$2="","",#REF!*$C$139)</f>
        <v/>
      </c>
      <c r="GB139" s="11" t="str">
        <f ca="1">IF(History!GF$2="","",#REF!*$C$139)</f>
        <v/>
      </c>
      <c r="GC139" s="11" t="str">
        <f ca="1">IF(History!GG$2="","",#REF!*$C$139)</f>
        <v/>
      </c>
      <c r="GD139" s="11" t="str">
        <f ca="1">IF(History!GH$2="","",#REF!*$C$139)</f>
        <v/>
      </c>
      <c r="GE139" s="11" t="str">
        <f ca="1">IF(History!GI$2="","",#REF!*$C$139)</f>
        <v/>
      </c>
      <c r="GF139" s="11" t="str">
        <f ca="1">IF(History!GJ$2="","",#REF!*$C$139)</f>
        <v/>
      </c>
      <c r="GG139" s="11" t="str">
        <f ca="1">IF(History!GK$2="","",#REF!*$C$139)</f>
        <v/>
      </c>
      <c r="GH139" s="11" t="str">
        <f ca="1">IF(History!GL$2="","",#REF!*$C$139)</f>
        <v/>
      </c>
      <c r="GI139" s="11" t="str">
        <f ca="1">IF(History!GM$2="","",#REF!*$C$139)</f>
        <v/>
      </c>
      <c r="GJ139" s="11" t="str">
        <f ca="1">IF(History!GN$2="","",#REF!*$C$139)</f>
        <v/>
      </c>
      <c r="GK139" s="11" t="str">
        <f ca="1">IF(History!GO$2="","",#REF!*$C$139)</f>
        <v/>
      </c>
      <c r="GL139" s="11" t="str">
        <f ca="1">IF(History!GP$2="","",#REF!*$C$139)</f>
        <v/>
      </c>
      <c r="GM139" s="11" t="str">
        <f ca="1">IF(History!GQ$2="","",#REF!*$C$139)</f>
        <v/>
      </c>
      <c r="GN139" s="11" t="str">
        <f ca="1">IF(History!GR$2="","",#REF!*$C$139)</f>
        <v/>
      </c>
      <c r="GO139" s="11" t="str">
        <f ca="1">IF(History!GS$2="","",#REF!*$C$139)</f>
        <v/>
      </c>
      <c r="GP139" s="11" t="str">
        <f ca="1">IF(History!GT$2="","",#REF!*$C$139)</f>
        <v/>
      </c>
      <c r="GQ139" s="11" t="str">
        <f ca="1">IF(History!GU$2="","",#REF!*$C$139)</f>
        <v/>
      </c>
      <c r="GR139" s="11" t="str">
        <f ca="1">IF(History!GV$2="","",#REF!*$C$139)</f>
        <v/>
      </c>
      <c r="GS139" s="11" t="str">
        <f ca="1">IF(History!GW$2="","",#REF!*$C$139)</f>
        <v/>
      </c>
      <c r="GT139" s="11" t="str">
        <f ca="1">IF(History!GX$2="","",#REF!*$C$139)</f>
        <v/>
      </c>
      <c r="GU139" s="11" t="str">
        <f ca="1">IF(History!GY$2="","",#REF!*$C$139)</f>
        <v/>
      </c>
      <c r="GV139" s="11" t="str">
        <f ca="1">IF(History!GZ$2="","",#REF!*$C$139)</f>
        <v/>
      </c>
      <c r="GW139" s="11" t="str">
        <f ca="1">IF(History!HA$2="","",#REF!*$C$139)</f>
        <v/>
      </c>
      <c r="GX139" s="11" t="str">
        <f ca="1">IF(History!HB$2="","",#REF!*$C$139)</f>
        <v/>
      </c>
      <c r="GY139" s="11" t="str">
        <f ca="1">IF(History!HC$2="","",#REF!*$C$139)</f>
        <v/>
      </c>
      <c r="GZ139" s="11" t="str">
        <f ca="1">IF(History!HD$2="","",#REF!*$C$139)</f>
        <v/>
      </c>
      <c r="HA139" s="11" t="str">
        <f ca="1">IF(History!HE$2="","",#REF!*$C$139)</f>
        <v/>
      </c>
      <c r="HB139" s="11" t="str">
        <f ca="1">IF(History!HF$2="","",#REF!*$C$139)</f>
        <v/>
      </c>
      <c r="HC139" s="11" t="str">
        <f ca="1">IF(History!HG$2="","",#REF!*$C$139)</f>
        <v/>
      </c>
      <c r="HD139" s="11" t="str">
        <f ca="1">IF(History!HH$2="","",#REF!*$C$139)</f>
        <v/>
      </c>
      <c r="HE139" s="11" t="str">
        <f ca="1">IF(History!HI$2="","",#REF!*$C$139)</f>
        <v/>
      </c>
      <c r="HF139" s="11" t="str">
        <f ca="1">IF(History!HJ$2="","",#REF!*$C$139)</f>
        <v/>
      </c>
      <c r="HG139" s="11" t="str">
        <f ca="1">IF(History!HK$2="","",#REF!*$C$139)</f>
        <v/>
      </c>
      <c r="HH139" s="11" t="str">
        <f ca="1">IF(History!HL$2="","",#REF!*$C$139)</f>
        <v/>
      </c>
      <c r="HI139" s="11" t="str">
        <f ca="1">IF(History!HM$2="","",#REF!*$C$139)</f>
        <v/>
      </c>
      <c r="HJ139" s="11" t="str">
        <f ca="1">IF(History!HN$2="","",#REF!*$C$139)</f>
        <v/>
      </c>
      <c r="HK139" s="11" t="str">
        <f ca="1">IF(History!HO$2="","",#REF!*$C$139)</f>
        <v/>
      </c>
      <c r="HL139" s="11" t="str">
        <f ca="1">IF(History!HP$2="","",#REF!*$C$139)</f>
        <v/>
      </c>
      <c r="HM139" s="11" t="str">
        <f ca="1">IF(History!HQ$2="","",#REF!*$C$139)</f>
        <v/>
      </c>
      <c r="HN139" s="11" t="str">
        <f ca="1">IF(History!HR$2="","",#REF!*$C$139)</f>
        <v/>
      </c>
      <c r="HO139" s="11" t="str">
        <f ca="1">IF(History!HS$2="","",#REF!*$C$139)</f>
        <v/>
      </c>
      <c r="HP139" s="11" t="str">
        <f ca="1">IF(History!HT$2="","",#REF!*$C$139)</f>
        <v/>
      </c>
      <c r="HQ139" s="11" t="str">
        <f ca="1">IF(History!HU$2="","",#REF!*$C$139)</f>
        <v/>
      </c>
      <c r="HR139" s="11" t="str">
        <f ca="1">IF(History!HV$2="","",#REF!*$C$139)</f>
        <v/>
      </c>
      <c r="HS139" s="11" t="str">
        <f ca="1">IF(History!HW$2="","",#REF!*$C$139)</f>
        <v/>
      </c>
      <c r="HT139" s="11" t="str">
        <f ca="1">IF(History!HX$2="","",#REF!*$C$139)</f>
        <v/>
      </c>
      <c r="HU139" s="11" t="str">
        <f ca="1">IF(History!HY$2="","",#REF!*$C$139)</f>
        <v/>
      </c>
      <c r="HV139" s="11" t="str">
        <f ca="1">IF(History!HZ$2="","",#REF!*$C$139)</f>
        <v/>
      </c>
      <c r="HW139" s="11" t="str">
        <f ca="1">IF(History!IA$2="","",#REF!*$C$139)</f>
        <v/>
      </c>
      <c r="HX139" s="11" t="str">
        <f ca="1">IF(History!IB$2="","",#REF!*$C$139)</f>
        <v/>
      </c>
      <c r="HY139" s="11" t="str">
        <f ca="1">IF(History!IC$2="","",#REF!*$C$139)</f>
        <v/>
      </c>
      <c r="HZ139" s="11" t="str">
        <f ca="1">IF(History!ID$2="","",#REF!*$C$139)</f>
        <v/>
      </c>
      <c r="IA139" s="11" t="str">
        <f ca="1">IF(History!IE$2="","",#REF!*$C$139)</f>
        <v/>
      </c>
      <c r="IB139" s="11" t="str">
        <f ca="1">IF(History!IF$2="","",#REF!*$C$139)</f>
        <v/>
      </c>
      <c r="IC139" s="11" t="str">
        <f ca="1">IF(History!IG$2="","",#REF!*$C$139)</f>
        <v/>
      </c>
      <c r="ID139" s="11" t="str">
        <f ca="1">IF(History!IH$2="","",#REF!*$C$139)</f>
        <v/>
      </c>
      <c r="IE139" s="11" t="str">
        <f ca="1">IF(History!II$2="","",#REF!*$C$139)</f>
        <v/>
      </c>
      <c r="IF139" s="11" t="str">
        <f ca="1">IF(History!IJ$2="","",#REF!*$C$139)</f>
        <v/>
      </c>
      <c r="IG139" s="11" t="str">
        <f ca="1">IF(History!IK$2="","",#REF!*$C$139)</f>
        <v/>
      </c>
      <c r="IH139" s="11" t="str">
        <f ca="1">IF(History!IL$2="","",#REF!*$C$139)</f>
        <v/>
      </c>
      <c r="II139" s="11" t="str">
        <f ca="1">IF(History!IM$2="","",#REF!*$C$139)</f>
        <v/>
      </c>
      <c r="IJ139" s="11" t="str">
        <f ca="1">IF(History!IN$2="","",#REF!*$C$139)</f>
        <v/>
      </c>
      <c r="IK139" s="11" t="str">
        <f ca="1">IF(History!IO$2="","",#REF!*$C$139)</f>
        <v/>
      </c>
      <c r="IL139" s="11" t="str">
        <f ca="1">IF(History!IP$2="","",#REF!*$C$139)</f>
        <v/>
      </c>
      <c r="IM139" s="11" t="str">
        <f ca="1">IF(History!IQ$2="","",#REF!*$C$139)</f>
        <v/>
      </c>
      <c r="IN139" s="11" t="str">
        <f ca="1">IF(History!IR$2="","",#REF!*$C$139)</f>
        <v/>
      </c>
      <c r="IO139" s="11" t="str">
        <f ca="1">IF(History!IS$2="","",#REF!*$C$139)</f>
        <v/>
      </c>
      <c r="IP139" s="11" t="str">
        <f ca="1">IF(History!IT$2="","",#REF!*$C$139)</f>
        <v/>
      </c>
      <c r="IQ139" s="11" t="str">
        <f ca="1">IF(History!IU$2="","",#REF!*$C$139)</f>
        <v/>
      </c>
      <c r="IR139" s="11" t="str">
        <f ca="1">IF(History!IV$2="","",#REF!*$C$139)</f>
        <v/>
      </c>
      <c r="IS139" s="11" t="str">
        <f ca="1">IF(History!IW$2="","",#REF!*$C$139)</f>
        <v/>
      </c>
      <c r="IT139" s="11" t="str">
        <f ca="1">IF(History!IX$2="","",#REF!*$C$139)</f>
        <v/>
      </c>
      <c r="IU139" s="11" t="str">
        <f ca="1">IF(History!IY$2="","",#REF!*$C$139)</f>
        <v/>
      </c>
      <c r="IV139" s="11" t="str">
        <f ca="1">IF(History!IZ$2="","",#REF!*$C$139)</f>
        <v/>
      </c>
      <c r="IW139" s="11" t="str">
        <f ca="1">IF(History!JA$2="","",#REF!*$C$139)</f>
        <v/>
      </c>
      <c r="IX139" s="11" t="str">
        <f ca="1">IF(History!JB$2="","",#REF!*$C$139)</f>
        <v/>
      </c>
      <c r="IY139" s="11" t="str">
        <f ca="1">IF(History!JC$2="","",#REF!*$C$139)</f>
        <v/>
      </c>
      <c r="IZ139" s="11" t="str">
        <f ca="1">IF(History!JD$2="","",#REF!*$C$139)</f>
        <v/>
      </c>
      <c r="JA139" s="11" t="str">
        <f ca="1">IF(History!JE$2="","",#REF!*$C$139)</f>
        <v/>
      </c>
      <c r="JB139" s="11" t="str">
        <f ca="1">IF(History!JF$2="","",#REF!*$C$139)</f>
        <v/>
      </c>
      <c r="JC139" s="11" t="str">
        <f ca="1">IF(History!JG$2="","",#REF!*$C$139)</f>
        <v/>
      </c>
      <c r="JD139" s="11" t="str">
        <f ca="1">IF(History!JH$2="","",#REF!*$C$139)</f>
        <v/>
      </c>
      <c r="JE139" s="11" t="str">
        <f ca="1">IF(History!JI$2="","",#REF!*$C$139)</f>
        <v/>
      </c>
      <c r="JF139" s="11" t="str">
        <f ca="1">IF(History!JJ$2="","",#REF!*$C$139)</f>
        <v/>
      </c>
      <c r="JG139" s="11" t="str">
        <f ca="1">IF(History!JK$2="","",#REF!*$C$139)</f>
        <v/>
      </c>
      <c r="JH139" s="11" t="str">
        <f ca="1">IF(History!JL$2="","",#REF!*$C$139)</f>
        <v/>
      </c>
      <c r="JI139" s="11" t="str">
        <f ca="1">IF(History!JM$2="","",#REF!*$C$139)</f>
        <v/>
      </c>
      <c r="JJ139" s="11" t="str">
        <f ca="1">IF(History!JN$2="","",#REF!*$C$139)</f>
        <v/>
      </c>
      <c r="JK139" s="11" t="str">
        <f ca="1">IF(History!JO$2="","",#REF!*$C$139)</f>
        <v/>
      </c>
      <c r="JL139" s="11" t="str">
        <f ca="1">IF(History!JP$2="","",#REF!*$C$139)</f>
        <v/>
      </c>
      <c r="JM139" s="11" t="str">
        <f ca="1">IF(History!JQ$2="","",#REF!*$C$139)</f>
        <v/>
      </c>
      <c r="JN139" s="11" t="str">
        <f ca="1">IF(History!JR$2="","",#REF!*$C$139)</f>
        <v/>
      </c>
      <c r="JO139" s="11" t="str">
        <f ca="1">IF(History!JS$2="","",#REF!*$C$139)</f>
        <v/>
      </c>
      <c r="JP139" s="11" t="str">
        <f ca="1">IF(History!JT$2="","",#REF!*$C$139)</f>
        <v/>
      </c>
      <c r="JQ139" s="11" t="str">
        <f ca="1">IF(History!JU$2="","",#REF!*$C$139)</f>
        <v/>
      </c>
      <c r="JR139" s="11" t="str">
        <f ca="1">IF(History!JV$2="","",#REF!*$C$139)</f>
        <v/>
      </c>
      <c r="JS139" s="11" t="str">
        <f ca="1">IF(History!JW$2="","",#REF!*$C$139)</f>
        <v/>
      </c>
      <c r="JT139" s="11" t="str">
        <f ca="1">IF(History!JX$2="","",#REF!*$C$139)</f>
        <v/>
      </c>
      <c r="JU139" s="11" t="str">
        <f ca="1">IF(History!JY$2="","",#REF!*$C$139)</f>
        <v/>
      </c>
      <c r="JV139" s="11" t="str">
        <f ca="1">IF(History!JZ$2="","",#REF!*$C$139)</f>
        <v/>
      </c>
      <c r="JW139" s="11" t="str">
        <f ca="1">IF(History!KA$2="","",#REF!*$C$139)</f>
        <v/>
      </c>
      <c r="JX139" s="11" t="str">
        <f ca="1">IF(History!KB$2="","",#REF!*$C$139)</f>
        <v/>
      </c>
      <c r="JY139" s="11" t="str">
        <f ca="1">IF(History!KC$2="","",#REF!*$C$139)</f>
        <v/>
      </c>
      <c r="JZ139" s="11" t="str">
        <f ca="1">IF(History!KD$2="","",#REF!*$C$139)</f>
        <v/>
      </c>
      <c r="KA139" s="11" t="str">
        <f ca="1">IF(History!KE$2="","",#REF!*$C$139)</f>
        <v/>
      </c>
      <c r="KB139" s="11" t="str">
        <f ca="1">IF(History!KF$2="","",#REF!*$C$139)</f>
        <v/>
      </c>
    </row>
    <row r="140" spans="1:288" ht="13">
      <c r="A140" s="2" t="s">
        <v>40</v>
      </c>
      <c r="B140" s="32" t="s">
        <v>127</v>
      </c>
      <c r="C140" s="33">
        <v>290</v>
      </c>
      <c r="D140" s="11" t="e">
        <f ca="1">IF(History!H$2="","",#REF!*$C$140)</f>
        <v>#REF!</v>
      </c>
      <c r="E140" s="11" t="e">
        <f ca="1">IF(History!I$2="","",#REF!*$C$140)</f>
        <v>#REF!</v>
      </c>
      <c r="F140" s="11" t="e">
        <f ca="1">IF(History!J$2="","",#REF!*$C$140)</f>
        <v>#REF!</v>
      </c>
      <c r="G140" s="11" t="e">
        <f ca="1">IF(History!K$2="","",#REF!*$C$140)</f>
        <v>#REF!</v>
      </c>
      <c r="H140" s="11" t="e">
        <f ca="1">IF(History!L$2="","",#REF!*$C$140)</f>
        <v>#REF!</v>
      </c>
      <c r="I140" s="11" t="e">
        <f ca="1">IF(History!M$2="","",#REF!*$C$140)</f>
        <v>#REF!</v>
      </c>
      <c r="J140" s="11" t="e">
        <f ca="1">IF(History!N$2="","",#REF!*$C$140)</f>
        <v>#REF!</v>
      </c>
      <c r="K140" s="11" t="e">
        <f ca="1">IF(History!O$2="","",#REF!*$C$140)</f>
        <v>#REF!</v>
      </c>
      <c r="L140" s="11" t="e">
        <f ca="1">IF(History!P$2="","",#REF!*$C$140)</f>
        <v>#REF!</v>
      </c>
      <c r="M140" s="11" t="e">
        <f ca="1">IF(History!Q$2="","",#REF!*$C$140)</f>
        <v>#REF!</v>
      </c>
      <c r="N140" s="11" t="e">
        <f ca="1">IF(History!R$2="","",#REF!*$C$140)</f>
        <v>#REF!</v>
      </c>
      <c r="O140" s="11" t="e">
        <f ca="1">IF(History!S$2="","",#REF!*$C$140)</f>
        <v>#REF!</v>
      </c>
      <c r="P140" s="11" t="e">
        <f ca="1">IF(History!T$2="","",#REF!*$C$140)</f>
        <v>#REF!</v>
      </c>
      <c r="Q140" s="11" t="e">
        <f ca="1">IF(History!U$2="","",#REF!*$C$140)</f>
        <v>#REF!</v>
      </c>
      <c r="R140" s="11" t="e">
        <f ca="1">IF(History!V$2="","",#REF!*$C$140)</f>
        <v>#REF!</v>
      </c>
      <c r="S140" s="11" t="e">
        <f ca="1">IF(History!W$2="","",#REF!*$C$140)</f>
        <v>#REF!</v>
      </c>
      <c r="T140" s="11" t="e">
        <f ca="1">IF(History!X$2="","",#REF!*$C$140)</f>
        <v>#REF!</v>
      </c>
      <c r="U140" s="11" t="e">
        <f ca="1">IF(History!Y$2="","",#REF!*$C$140)</f>
        <v>#REF!</v>
      </c>
      <c r="V140" s="11" t="e">
        <f ca="1">IF(History!Z$2="","",#REF!*$C$140)</f>
        <v>#REF!</v>
      </c>
      <c r="W140" s="11" t="e">
        <f ca="1">IF(History!AA$2="","",#REF!*$C$140)</f>
        <v>#REF!</v>
      </c>
      <c r="X140" s="11" t="e">
        <f ca="1">IF(History!AB$2="","",#REF!*$C$140)</f>
        <v>#REF!</v>
      </c>
      <c r="Y140" s="11" t="e">
        <f ca="1">IF(History!AC$2="","",#REF!*$C$140)</f>
        <v>#REF!</v>
      </c>
      <c r="Z140" s="11" t="e">
        <f ca="1">IF(History!AD$2="","",#REF!*$C$140)</f>
        <v>#REF!</v>
      </c>
      <c r="AA140" s="11" t="e">
        <f ca="1">IF(History!AE$2="","",#REF!*$C$140)</f>
        <v>#REF!</v>
      </c>
      <c r="AB140" s="11" t="e">
        <f ca="1">IF(History!AF$2="","",#REF!*$C$140)</f>
        <v>#REF!</v>
      </c>
      <c r="AC140" s="11" t="e">
        <f ca="1">IF(History!AG$2="","",#REF!*$C$140)</f>
        <v>#REF!</v>
      </c>
      <c r="AD140" s="11" t="e">
        <f ca="1">IF(History!AH$2="","",#REF!*$C$140)</f>
        <v>#REF!</v>
      </c>
      <c r="AE140" s="11" t="e">
        <f ca="1">IF(History!AI$2="","",#REF!*$C$140)</f>
        <v>#REF!</v>
      </c>
      <c r="AF140" s="11" t="e">
        <f ca="1">IF(History!AJ$2="","",#REF!*$C$140)</f>
        <v>#REF!</v>
      </c>
      <c r="AG140" s="11" t="e">
        <f ca="1">IF(History!AK$2="","",#REF!*$C$140)</f>
        <v>#REF!</v>
      </c>
      <c r="AH140" s="11" t="e">
        <f ca="1">IF(History!AL$2="","",#REF!*$C$140)</f>
        <v>#REF!</v>
      </c>
      <c r="AI140" s="11" t="e">
        <f ca="1">IF(History!AM$2="","",#REF!*$C$140)</f>
        <v>#REF!</v>
      </c>
      <c r="AJ140" s="11" t="e">
        <f ca="1">IF(History!AN$2="","",#REF!*$C$140)</f>
        <v>#REF!</v>
      </c>
      <c r="AK140" s="11" t="e">
        <f ca="1">IF(History!AO$2="","",#REF!*$C$140)</f>
        <v>#REF!</v>
      </c>
      <c r="AL140" s="11" t="e">
        <f ca="1">IF(History!AP$2="","",#REF!*$C$140)</f>
        <v>#REF!</v>
      </c>
      <c r="AM140" s="11" t="e">
        <f ca="1">IF(History!AQ$2="","",#REF!*$C$140)</f>
        <v>#REF!</v>
      </c>
      <c r="AN140" s="11" t="e">
        <f ca="1">IF(History!AR$2="","",#REF!*$C$140)</f>
        <v>#REF!</v>
      </c>
      <c r="AO140" s="11" t="e">
        <f ca="1">IF(History!AS$2="","",#REF!*$C$140)</f>
        <v>#REF!</v>
      </c>
      <c r="AP140" s="11" t="e">
        <f ca="1">IF(History!AT$2="","",#REF!*$C$140)</f>
        <v>#REF!</v>
      </c>
      <c r="AQ140" s="11" t="e">
        <f ca="1">IF(History!AU$2="","",#REF!*$C$140)</f>
        <v>#REF!</v>
      </c>
      <c r="AR140" s="11" t="e">
        <f ca="1">IF(History!AV$2="","",#REF!*$C$140)</f>
        <v>#REF!</v>
      </c>
      <c r="AS140" s="11" t="e">
        <f ca="1">IF(History!AW$2="","",#REF!*$C$140)</f>
        <v>#REF!</v>
      </c>
      <c r="AT140" s="11" t="e">
        <f ca="1">IF(History!AX$2="","",#REF!*$C$140)</f>
        <v>#REF!</v>
      </c>
      <c r="AU140" s="11" t="e">
        <f ca="1">IF(History!AY$2="","",#REF!*$C$140)</f>
        <v>#REF!</v>
      </c>
      <c r="AV140" s="11" t="e">
        <f ca="1">IF(History!AZ$2="","",#REF!*$C$140)</f>
        <v>#REF!</v>
      </c>
      <c r="AW140" s="11" t="e">
        <f ca="1">IF(History!BA$2="","",#REF!*$C$140)</f>
        <v>#REF!</v>
      </c>
      <c r="AX140" s="11" t="e">
        <f ca="1">IF(History!BB$2="","",#REF!*$C$140)</f>
        <v>#REF!</v>
      </c>
      <c r="AY140" s="11" t="e">
        <f ca="1">IF(History!BC$2="","",#REF!*$C$140)</f>
        <v>#REF!</v>
      </c>
      <c r="AZ140" s="11" t="e">
        <f ca="1">IF(History!BD$2="","",#REF!*$C$140)</f>
        <v>#REF!</v>
      </c>
      <c r="BA140" s="11" t="e">
        <f ca="1">IF(History!BE$2="","",#REF!*$C$140)</f>
        <v>#REF!</v>
      </c>
      <c r="BB140" s="11" t="e">
        <f ca="1">IF(History!BF$2="","",#REF!*$C$140)</f>
        <v>#REF!</v>
      </c>
      <c r="BC140" s="11" t="e">
        <f ca="1">IF(History!BG$2="","",#REF!*$C$140)</f>
        <v>#REF!</v>
      </c>
      <c r="BD140" s="11" t="e">
        <f ca="1">IF(History!BH$2="","",#REF!*$C$140)</f>
        <v>#REF!</v>
      </c>
      <c r="BE140" s="11" t="e">
        <f ca="1">IF(History!BI$2="","",#REF!*$C$140)</f>
        <v>#REF!</v>
      </c>
      <c r="BF140" s="11" t="e">
        <f ca="1">IF(History!BJ$2="","",#REF!*$C$140)</f>
        <v>#REF!</v>
      </c>
      <c r="BG140" s="11" t="e">
        <f ca="1">IF(History!BK$2="","",#REF!*$C$140)</f>
        <v>#REF!</v>
      </c>
      <c r="BH140" s="11" t="e">
        <f ca="1">IF(History!BL$2="","",#REF!*$C$140)</f>
        <v>#REF!</v>
      </c>
      <c r="BI140" s="11" t="e">
        <f ca="1">IF(History!BM$2="","",#REF!*$C$140)</f>
        <v>#REF!</v>
      </c>
      <c r="BJ140" s="11" t="e">
        <f ca="1">IF(History!BN$2="","",#REF!*$C$140)</f>
        <v>#REF!</v>
      </c>
      <c r="BK140" s="11" t="e">
        <f ca="1">IF(History!BO$2="","",#REF!*$C$140)</f>
        <v>#REF!</v>
      </c>
      <c r="BL140" s="11" t="e">
        <f ca="1">IF(History!BP$2="","",#REF!*$C$140)</f>
        <v>#REF!</v>
      </c>
      <c r="BM140" s="11" t="e">
        <f ca="1">IF(History!BQ$2="","",#REF!*$C$140)</f>
        <v>#REF!</v>
      </c>
      <c r="BN140" s="11" t="e">
        <f ca="1">IF(History!BR$2="","",#REF!*$C$140)</f>
        <v>#REF!</v>
      </c>
      <c r="BO140" s="11" t="e">
        <f ca="1">IF(History!BS$2="","",#REF!*$C$140)</f>
        <v>#REF!</v>
      </c>
      <c r="BP140" s="11" t="e">
        <f ca="1">IF(History!BT$2="","",#REF!*$C$140)</f>
        <v>#REF!</v>
      </c>
      <c r="BQ140" s="11" t="e">
        <f ca="1">IF(History!BU$2="","",#REF!*$C$140)</f>
        <v>#REF!</v>
      </c>
      <c r="BR140" s="11" t="e">
        <f ca="1">IF(History!BV$2="","",#REF!*$C$140)</f>
        <v>#REF!</v>
      </c>
      <c r="BS140" s="11" t="e">
        <f ca="1">IF(History!BW$2="","",#REF!*$C$140)</f>
        <v>#REF!</v>
      </c>
      <c r="BT140" s="11" t="e">
        <f ca="1">IF(History!BX$2="","",#REF!*$C$140)</f>
        <v>#REF!</v>
      </c>
      <c r="BU140" s="11" t="e">
        <f ca="1">IF(History!BY$2="","",#REF!*$C$140)</f>
        <v>#REF!</v>
      </c>
      <c r="BV140" s="11" t="e">
        <f ca="1">IF(History!BZ$2="","",#REF!*$C$140)</f>
        <v>#REF!</v>
      </c>
      <c r="BW140" s="11" t="e">
        <f ca="1">IF(History!CA$2="","",#REF!*$C$140)</f>
        <v>#REF!</v>
      </c>
      <c r="BX140" s="11" t="e">
        <f ca="1">IF(History!CB$2="","",#REF!*$C$140)</f>
        <v>#REF!</v>
      </c>
      <c r="BY140" s="11" t="e">
        <f ca="1">IF(History!CC$2="","",#REF!*$C$140)</f>
        <v>#REF!</v>
      </c>
      <c r="BZ140" s="11" t="e">
        <f ca="1">IF(History!CD$2="","",#REF!*$C$140)</f>
        <v>#REF!</v>
      </c>
      <c r="CA140" s="11" t="e">
        <f ca="1">IF(History!CE$2="","",#REF!*$C$140)</f>
        <v>#REF!</v>
      </c>
      <c r="CB140" s="11" t="e">
        <f ca="1">IF(History!CF$2="","",#REF!*$C$140)</f>
        <v>#REF!</v>
      </c>
      <c r="CC140" s="11" t="e">
        <f ca="1">IF(History!CG$2="","",#REF!*$C$140)</f>
        <v>#REF!</v>
      </c>
      <c r="CD140" s="11" t="e">
        <f ca="1">IF(History!CH$2="","",#REF!*$C$140)</f>
        <v>#REF!</v>
      </c>
      <c r="CE140" s="11" t="e">
        <f ca="1">IF(History!CI$2="","",#REF!*$C$140)</f>
        <v>#REF!</v>
      </c>
      <c r="CF140" s="11" t="str">
        <f ca="1">IF(History!CJ$2="","",#REF!*$C$140)</f>
        <v/>
      </c>
      <c r="CG140" s="11" t="str">
        <f ca="1">IF(History!CK$2="","",#REF!*$C$140)</f>
        <v/>
      </c>
      <c r="CH140" s="11" t="str">
        <f ca="1">IF(History!CL$2="","",#REF!*$C$140)</f>
        <v/>
      </c>
      <c r="CI140" s="11" t="str">
        <f ca="1">IF(History!CM$2="","",#REF!*$C$140)</f>
        <v/>
      </c>
      <c r="CJ140" s="11" t="str">
        <f ca="1">IF(History!CN$2="","",#REF!*$C$140)</f>
        <v/>
      </c>
      <c r="CK140" s="11" t="str">
        <f ca="1">IF(History!CO$2="","",#REF!*$C$140)</f>
        <v/>
      </c>
      <c r="CL140" s="11" t="str">
        <f ca="1">IF(History!CP$2="","",#REF!*$C$140)</f>
        <v/>
      </c>
      <c r="CM140" s="11" t="str">
        <f ca="1">IF(History!CQ$2="","",#REF!*$C$140)</f>
        <v/>
      </c>
      <c r="CN140" s="11" t="str">
        <f ca="1">IF(History!CR$2="","",#REF!*$C$140)</f>
        <v/>
      </c>
      <c r="CO140" s="11" t="str">
        <f ca="1">IF(History!CS$2="","",#REF!*$C$140)</f>
        <v/>
      </c>
      <c r="CP140" s="11" t="str">
        <f ca="1">IF(History!CT$2="","",#REF!*$C$140)</f>
        <v/>
      </c>
      <c r="CQ140" s="11" t="str">
        <f ca="1">IF(History!CU$2="","",#REF!*$C$140)</f>
        <v/>
      </c>
      <c r="CR140" s="11" t="str">
        <f ca="1">IF(History!CV$2="","",#REF!*$C$140)</f>
        <v/>
      </c>
      <c r="CS140" s="11" t="str">
        <f ca="1">IF(History!CW$2="","",#REF!*$C$140)</f>
        <v/>
      </c>
      <c r="CT140" s="11" t="str">
        <f ca="1">IF(History!CX$2="","",#REF!*$C$140)</f>
        <v/>
      </c>
      <c r="CU140" s="11" t="str">
        <f ca="1">IF(History!CY$2="","",#REF!*$C$140)</f>
        <v/>
      </c>
      <c r="CV140" s="11" t="str">
        <f ca="1">IF(History!CZ$2="","",#REF!*$C$140)</f>
        <v/>
      </c>
      <c r="CW140" s="11" t="str">
        <f ca="1">IF(History!DA$2="","",#REF!*$C$140)</f>
        <v/>
      </c>
      <c r="CX140" s="11" t="str">
        <f ca="1">IF(History!DB$2="","",#REF!*$C$140)</f>
        <v/>
      </c>
      <c r="CY140" s="11" t="str">
        <f ca="1">IF(History!DC$2="","",#REF!*$C$140)</f>
        <v/>
      </c>
      <c r="CZ140" s="11" t="str">
        <f ca="1">IF(History!DD$2="","",#REF!*$C$140)</f>
        <v/>
      </c>
      <c r="DA140" s="11" t="str">
        <f ca="1">IF(History!DE$2="","",#REF!*$C$140)</f>
        <v/>
      </c>
      <c r="DB140" s="11" t="str">
        <f ca="1">IF(History!DF$2="","",#REF!*$C$140)</f>
        <v/>
      </c>
      <c r="DC140" s="11" t="str">
        <f ca="1">IF(History!DG$2="","",#REF!*$C$140)</f>
        <v/>
      </c>
      <c r="DD140" s="11" t="str">
        <f ca="1">IF(History!DH$2="","",#REF!*$C$140)</f>
        <v/>
      </c>
      <c r="DE140" s="11" t="str">
        <f ca="1">IF(History!DI$2="","",#REF!*$C$140)</f>
        <v/>
      </c>
      <c r="DF140" s="11" t="str">
        <f ca="1">IF(History!DJ$2="","",#REF!*$C$140)</f>
        <v/>
      </c>
      <c r="DG140" s="11" t="str">
        <f ca="1">IF(History!DK$2="","",#REF!*$C$140)</f>
        <v/>
      </c>
      <c r="DH140" s="11" t="str">
        <f ca="1">IF(History!DL$2="","",#REF!*$C$140)</f>
        <v/>
      </c>
      <c r="DI140" s="11" t="str">
        <f ca="1">IF(History!DM$2="","",#REF!*$C$140)</f>
        <v/>
      </c>
      <c r="DJ140" s="11" t="str">
        <f ca="1">IF(History!DN$2="","",#REF!*$C$140)</f>
        <v/>
      </c>
      <c r="DK140" s="11" t="str">
        <f ca="1">IF(History!DO$2="","",#REF!*$C$140)</f>
        <v/>
      </c>
      <c r="DL140" s="11" t="str">
        <f ca="1">IF(History!DP$2="","",#REF!*$C$140)</f>
        <v/>
      </c>
      <c r="DM140" s="11" t="str">
        <f ca="1">IF(History!DQ$2="","",#REF!*$C$140)</f>
        <v/>
      </c>
      <c r="DN140" s="11" t="str">
        <f ca="1">IF(History!DR$2="","",#REF!*$C$140)</f>
        <v/>
      </c>
      <c r="DO140" s="11" t="str">
        <f ca="1">IF(History!DS$2="","",#REF!*$C$140)</f>
        <v/>
      </c>
      <c r="DP140" s="11" t="str">
        <f ca="1">IF(History!DT$2="","",#REF!*$C$140)</f>
        <v/>
      </c>
      <c r="DQ140" s="11" t="str">
        <f ca="1">IF(History!DU$2="","",#REF!*$C$140)</f>
        <v/>
      </c>
      <c r="DR140" s="11" t="str">
        <f ca="1">IF(History!DV$2="","",#REF!*$C$140)</f>
        <v/>
      </c>
      <c r="DS140" s="11" t="str">
        <f ca="1">IF(History!DW$2="","",#REF!*$C$140)</f>
        <v/>
      </c>
      <c r="DT140" s="11" t="str">
        <f ca="1">IF(History!DX$2="","",#REF!*$C$140)</f>
        <v/>
      </c>
      <c r="DU140" s="11" t="str">
        <f ca="1">IF(History!DY$2="","",#REF!*$C$140)</f>
        <v/>
      </c>
      <c r="DV140" s="11" t="str">
        <f ca="1">IF(History!DZ$2="","",#REF!*$C$140)</f>
        <v/>
      </c>
      <c r="DW140" s="11" t="str">
        <f ca="1">IF(History!EA$2="","",#REF!*$C$140)</f>
        <v/>
      </c>
      <c r="DX140" s="11" t="str">
        <f ca="1">IF(History!EB$2="","",#REF!*$C$140)</f>
        <v/>
      </c>
      <c r="DY140" s="11" t="str">
        <f ca="1">IF(History!EC$2="","",#REF!*$C$140)</f>
        <v/>
      </c>
      <c r="DZ140" s="11" t="str">
        <f ca="1">IF(History!ED$2="","",#REF!*$C$140)</f>
        <v/>
      </c>
      <c r="EA140" s="11" t="str">
        <f ca="1">IF(History!EE$2="","",#REF!*$C$140)</f>
        <v/>
      </c>
      <c r="EB140" s="11" t="str">
        <f ca="1">IF(History!EF$2="","",#REF!*$C$140)</f>
        <v/>
      </c>
      <c r="EC140" s="11" t="str">
        <f ca="1">IF(History!EG$2="","",#REF!*$C$140)</f>
        <v/>
      </c>
      <c r="ED140" s="11" t="str">
        <f ca="1">IF(History!EH$2="","",#REF!*$C$140)</f>
        <v/>
      </c>
      <c r="EE140" s="11" t="str">
        <f ca="1">IF(History!EI$2="","",#REF!*$C$140)</f>
        <v/>
      </c>
      <c r="EF140" s="11" t="str">
        <f ca="1">IF(History!EJ$2="","",#REF!*$C$140)</f>
        <v/>
      </c>
      <c r="EG140" s="11" t="str">
        <f ca="1">IF(History!EK$2="","",#REF!*$C$140)</f>
        <v/>
      </c>
      <c r="EH140" s="11" t="str">
        <f ca="1">IF(History!EL$2="","",#REF!*$C$140)</f>
        <v/>
      </c>
      <c r="EI140" s="11" t="str">
        <f ca="1">IF(History!EM$2="","",#REF!*$C$140)</f>
        <v/>
      </c>
      <c r="EJ140" s="11" t="str">
        <f ca="1">IF(History!EN$2="","",#REF!*$C$140)</f>
        <v/>
      </c>
      <c r="EK140" s="11" t="str">
        <f ca="1">IF(History!EO$2="","",#REF!*$C$140)</f>
        <v/>
      </c>
      <c r="EL140" s="11" t="str">
        <f ca="1">IF(History!EP$2="","",#REF!*$C$140)</f>
        <v/>
      </c>
      <c r="EM140" s="11" t="str">
        <f ca="1">IF(History!EQ$2="","",#REF!*$C$140)</f>
        <v/>
      </c>
      <c r="EN140" s="11" t="str">
        <f ca="1">IF(History!ER$2="","",#REF!*$C$140)</f>
        <v/>
      </c>
      <c r="EO140" s="11" t="str">
        <f ca="1">IF(History!ES$2="","",#REF!*$C$140)</f>
        <v/>
      </c>
      <c r="EP140" s="11" t="str">
        <f ca="1">IF(History!ET$2="","",#REF!*$C$140)</f>
        <v/>
      </c>
      <c r="EQ140" s="11" t="str">
        <f ca="1">IF(History!EU$2="","",#REF!*$C$140)</f>
        <v/>
      </c>
      <c r="ER140" s="11" t="str">
        <f ca="1">IF(History!EV$2="","",#REF!*$C$140)</f>
        <v/>
      </c>
      <c r="ES140" s="11" t="str">
        <f ca="1">IF(History!EW$2="","",#REF!*$C$140)</f>
        <v/>
      </c>
      <c r="ET140" s="11" t="str">
        <f ca="1">IF(History!EX$2="","",#REF!*$C$140)</f>
        <v/>
      </c>
      <c r="EU140" s="11" t="str">
        <f ca="1">IF(History!EY$2="","",#REF!*$C$140)</f>
        <v/>
      </c>
      <c r="EV140" s="11" t="str">
        <f ca="1">IF(History!EZ$2="","",#REF!*$C$140)</f>
        <v/>
      </c>
      <c r="EW140" s="11" t="str">
        <f ca="1">IF(History!FA$2="","",#REF!*$C$140)</f>
        <v/>
      </c>
      <c r="EX140" s="11" t="str">
        <f ca="1">IF(History!FB$2="","",#REF!*$C$140)</f>
        <v/>
      </c>
      <c r="EY140" s="11" t="str">
        <f ca="1">IF(History!FC$2="","",#REF!*$C$140)</f>
        <v/>
      </c>
      <c r="EZ140" s="11" t="str">
        <f ca="1">IF(History!FD$2="","",#REF!*$C$140)</f>
        <v/>
      </c>
      <c r="FA140" s="11" t="str">
        <f ca="1">IF(History!FE$2="","",#REF!*$C$140)</f>
        <v/>
      </c>
      <c r="FB140" s="11" t="str">
        <f ca="1">IF(History!FF$2="","",#REF!*$C$140)</f>
        <v/>
      </c>
      <c r="FC140" s="11" t="str">
        <f ca="1">IF(History!FG$2="","",#REF!*$C$140)</f>
        <v/>
      </c>
      <c r="FD140" s="11" t="str">
        <f ca="1">IF(History!FH$2="","",#REF!*$C$140)</f>
        <v/>
      </c>
      <c r="FE140" s="11" t="str">
        <f ca="1">IF(History!FI$2="","",#REF!*$C$140)</f>
        <v/>
      </c>
      <c r="FF140" s="11" t="str">
        <f ca="1">IF(History!FJ$2="","",#REF!*$C$140)</f>
        <v/>
      </c>
      <c r="FG140" s="11" t="str">
        <f ca="1">IF(History!FK$2="","",#REF!*$C$140)</f>
        <v/>
      </c>
      <c r="FH140" s="11" t="str">
        <f ca="1">IF(History!FL$2="","",#REF!*$C$140)</f>
        <v/>
      </c>
      <c r="FI140" s="11" t="str">
        <f ca="1">IF(History!FM$2="","",#REF!*$C$140)</f>
        <v/>
      </c>
      <c r="FJ140" s="11" t="str">
        <f ca="1">IF(History!FN$2="","",#REF!*$C$140)</f>
        <v/>
      </c>
      <c r="FK140" s="11" t="str">
        <f ca="1">IF(History!FO$2="","",#REF!*$C$140)</f>
        <v/>
      </c>
      <c r="FL140" s="11" t="str">
        <f ca="1">IF(History!FP$2="","",#REF!*$C$140)</f>
        <v/>
      </c>
      <c r="FM140" s="11" t="str">
        <f ca="1">IF(History!FQ$2="","",#REF!*$C$140)</f>
        <v/>
      </c>
      <c r="FN140" s="11" t="str">
        <f ca="1">IF(History!FR$2="","",#REF!*$C$140)</f>
        <v/>
      </c>
      <c r="FO140" s="11" t="str">
        <f ca="1">IF(History!FS$2="","",#REF!*$C$140)</f>
        <v/>
      </c>
      <c r="FP140" s="11" t="str">
        <f ca="1">IF(History!FT$2="","",#REF!*$C$140)</f>
        <v/>
      </c>
      <c r="FQ140" s="11" t="str">
        <f ca="1">IF(History!FU$2="","",#REF!*$C$140)</f>
        <v/>
      </c>
      <c r="FR140" s="11" t="str">
        <f ca="1">IF(History!FV$2="","",#REF!*$C$140)</f>
        <v/>
      </c>
      <c r="FS140" s="11" t="str">
        <f ca="1">IF(History!FW$2="","",#REF!*$C$140)</f>
        <v/>
      </c>
      <c r="FT140" s="11" t="str">
        <f ca="1">IF(History!FX$2="","",#REF!*$C$140)</f>
        <v/>
      </c>
      <c r="FU140" s="11" t="str">
        <f ca="1">IF(History!FY$2="","",#REF!*$C$140)</f>
        <v/>
      </c>
      <c r="FV140" s="11" t="str">
        <f ca="1">IF(History!FZ$2="","",#REF!*$C$140)</f>
        <v/>
      </c>
      <c r="FW140" s="11" t="str">
        <f ca="1">IF(History!GA$2="","",#REF!*$C$140)</f>
        <v/>
      </c>
      <c r="FX140" s="11" t="str">
        <f ca="1">IF(History!GB$2="","",#REF!*$C$140)</f>
        <v/>
      </c>
      <c r="FY140" s="11" t="str">
        <f ca="1">IF(History!GC$2="","",#REF!*$C$140)</f>
        <v/>
      </c>
      <c r="FZ140" s="11" t="str">
        <f ca="1">IF(History!GD$2="","",#REF!*$C$140)</f>
        <v/>
      </c>
      <c r="GA140" s="11" t="str">
        <f ca="1">IF(History!GE$2="","",#REF!*$C$140)</f>
        <v/>
      </c>
      <c r="GB140" s="11" t="str">
        <f ca="1">IF(History!GF$2="","",#REF!*$C$140)</f>
        <v/>
      </c>
      <c r="GC140" s="11" t="str">
        <f ca="1">IF(History!GG$2="","",#REF!*$C$140)</f>
        <v/>
      </c>
      <c r="GD140" s="11" t="str">
        <f ca="1">IF(History!GH$2="","",#REF!*$C$140)</f>
        <v/>
      </c>
      <c r="GE140" s="11" t="str">
        <f ca="1">IF(History!GI$2="","",#REF!*$C$140)</f>
        <v/>
      </c>
      <c r="GF140" s="11" t="str">
        <f ca="1">IF(History!GJ$2="","",#REF!*$C$140)</f>
        <v/>
      </c>
      <c r="GG140" s="11" t="str">
        <f ca="1">IF(History!GK$2="","",#REF!*$C$140)</f>
        <v/>
      </c>
      <c r="GH140" s="11" t="str">
        <f ca="1">IF(History!GL$2="","",#REF!*$C$140)</f>
        <v/>
      </c>
      <c r="GI140" s="11" t="str">
        <f ca="1">IF(History!GM$2="","",#REF!*$C$140)</f>
        <v/>
      </c>
      <c r="GJ140" s="11" t="str">
        <f ca="1">IF(History!GN$2="","",#REF!*$C$140)</f>
        <v/>
      </c>
      <c r="GK140" s="11" t="str">
        <f ca="1">IF(History!GO$2="","",#REF!*$C$140)</f>
        <v/>
      </c>
      <c r="GL140" s="11" t="str">
        <f ca="1">IF(History!GP$2="","",#REF!*$C$140)</f>
        <v/>
      </c>
      <c r="GM140" s="11" t="str">
        <f ca="1">IF(History!GQ$2="","",#REF!*$C$140)</f>
        <v/>
      </c>
      <c r="GN140" s="11" t="str">
        <f ca="1">IF(History!GR$2="","",#REF!*$C$140)</f>
        <v/>
      </c>
      <c r="GO140" s="11" t="str">
        <f ca="1">IF(History!GS$2="","",#REF!*$C$140)</f>
        <v/>
      </c>
      <c r="GP140" s="11" t="str">
        <f ca="1">IF(History!GT$2="","",#REF!*$C$140)</f>
        <v/>
      </c>
      <c r="GQ140" s="11" t="str">
        <f ca="1">IF(History!GU$2="","",#REF!*$C$140)</f>
        <v/>
      </c>
      <c r="GR140" s="11" t="str">
        <f ca="1">IF(History!GV$2="","",#REF!*$C$140)</f>
        <v/>
      </c>
      <c r="GS140" s="11" t="str">
        <f ca="1">IF(History!GW$2="","",#REF!*$C$140)</f>
        <v/>
      </c>
      <c r="GT140" s="11" t="str">
        <f ca="1">IF(History!GX$2="","",#REF!*$C$140)</f>
        <v/>
      </c>
      <c r="GU140" s="11" t="str">
        <f ca="1">IF(History!GY$2="","",#REF!*$C$140)</f>
        <v/>
      </c>
      <c r="GV140" s="11" t="str">
        <f ca="1">IF(History!GZ$2="","",#REF!*$C$140)</f>
        <v/>
      </c>
      <c r="GW140" s="11" t="str">
        <f ca="1">IF(History!HA$2="","",#REF!*$C$140)</f>
        <v/>
      </c>
      <c r="GX140" s="11" t="str">
        <f ca="1">IF(History!HB$2="","",#REF!*$C$140)</f>
        <v/>
      </c>
      <c r="GY140" s="11" t="str">
        <f ca="1">IF(History!HC$2="","",#REF!*$C$140)</f>
        <v/>
      </c>
      <c r="GZ140" s="11" t="str">
        <f ca="1">IF(History!HD$2="","",#REF!*$C$140)</f>
        <v/>
      </c>
      <c r="HA140" s="11" t="str">
        <f ca="1">IF(History!HE$2="","",#REF!*$C$140)</f>
        <v/>
      </c>
      <c r="HB140" s="11" t="str">
        <f ca="1">IF(History!HF$2="","",#REF!*$C$140)</f>
        <v/>
      </c>
      <c r="HC140" s="11" t="str">
        <f ca="1">IF(History!HG$2="","",#REF!*$C$140)</f>
        <v/>
      </c>
      <c r="HD140" s="11" t="str">
        <f ca="1">IF(History!HH$2="","",#REF!*$C$140)</f>
        <v/>
      </c>
      <c r="HE140" s="11" t="str">
        <f ca="1">IF(History!HI$2="","",#REF!*$C$140)</f>
        <v/>
      </c>
      <c r="HF140" s="11" t="str">
        <f ca="1">IF(History!HJ$2="","",#REF!*$C$140)</f>
        <v/>
      </c>
      <c r="HG140" s="11" t="str">
        <f ca="1">IF(History!HK$2="","",#REF!*$C$140)</f>
        <v/>
      </c>
      <c r="HH140" s="11" t="str">
        <f ca="1">IF(History!HL$2="","",#REF!*$C$140)</f>
        <v/>
      </c>
      <c r="HI140" s="11" t="str">
        <f ca="1">IF(History!HM$2="","",#REF!*$C$140)</f>
        <v/>
      </c>
      <c r="HJ140" s="11" t="str">
        <f ca="1">IF(History!HN$2="","",#REF!*$C$140)</f>
        <v/>
      </c>
      <c r="HK140" s="11" t="str">
        <f ca="1">IF(History!HO$2="","",#REF!*$C$140)</f>
        <v/>
      </c>
      <c r="HL140" s="11" t="str">
        <f ca="1">IF(History!HP$2="","",#REF!*$C$140)</f>
        <v/>
      </c>
      <c r="HM140" s="11" t="str">
        <f ca="1">IF(History!HQ$2="","",#REF!*$C$140)</f>
        <v/>
      </c>
      <c r="HN140" s="11" t="str">
        <f ca="1">IF(History!HR$2="","",#REF!*$C$140)</f>
        <v/>
      </c>
      <c r="HO140" s="11" t="str">
        <f ca="1">IF(History!HS$2="","",#REF!*$C$140)</f>
        <v/>
      </c>
      <c r="HP140" s="11" t="str">
        <f ca="1">IF(History!HT$2="","",#REF!*$C$140)</f>
        <v/>
      </c>
      <c r="HQ140" s="11" t="str">
        <f ca="1">IF(History!HU$2="","",#REF!*$C$140)</f>
        <v/>
      </c>
      <c r="HR140" s="11" t="str">
        <f ca="1">IF(History!HV$2="","",#REF!*$C$140)</f>
        <v/>
      </c>
      <c r="HS140" s="11" t="str">
        <f ca="1">IF(History!HW$2="","",#REF!*$C$140)</f>
        <v/>
      </c>
      <c r="HT140" s="11" t="str">
        <f ca="1">IF(History!HX$2="","",#REF!*$C$140)</f>
        <v/>
      </c>
      <c r="HU140" s="11" t="str">
        <f ca="1">IF(History!HY$2="","",#REF!*$C$140)</f>
        <v/>
      </c>
      <c r="HV140" s="11" t="str">
        <f ca="1">IF(History!HZ$2="","",#REF!*$C$140)</f>
        <v/>
      </c>
      <c r="HW140" s="11" t="str">
        <f ca="1">IF(History!IA$2="","",#REF!*$C$140)</f>
        <v/>
      </c>
      <c r="HX140" s="11" t="str">
        <f ca="1">IF(History!IB$2="","",#REF!*$C$140)</f>
        <v/>
      </c>
      <c r="HY140" s="11" t="str">
        <f ca="1">IF(History!IC$2="","",#REF!*$C$140)</f>
        <v/>
      </c>
      <c r="HZ140" s="11" t="str">
        <f ca="1">IF(History!ID$2="","",#REF!*$C$140)</f>
        <v/>
      </c>
      <c r="IA140" s="11" t="str">
        <f ca="1">IF(History!IE$2="","",#REF!*$C$140)</f>
        <v/>
      </c>
      <c r="IB140" s="11" t="str">
        <f ca="1">IF(History!IF$2="","",#REF!*$C$140)</f>
        <v/>
      </c>
      <c r="IC140" s="11" t="str">
        <f ca="1">IF(History!IG$2="","",#REF!*$C$140)</f>
        <v/>
      </c>
      <c r="ID140" s="11" t="str">
        <f ca="1">IF(History!IH$2="","",#REF!*$C$140)</f>
        <v/>
      </c>
      <c r="IE140" s="11" t="str">
        <f ca="1">IF(History!II$2="","",#REF!*$C$140)</f>
        <v/>
      </c>
      <c r="IF140" s="11" t="str">
        <f ca="1">IF(History!IJ$2="","",#REF!*$C$140)</f>
        <v/>
      </c>
      <c r="IG140" s="11" t="str">
        <f ca="1">IF(History!IK$2="","",#REF!*$C$140)</f>
        <v/>
      </c>
      <c r="IH140" s="11" t="str">
        <f ca="1">IF(History!IL$2="","",#REF!*$C$140)</f>
        <v/>
      </c>
      <c r="II140" s="11" t="str">
        <f ca="1">IF(History!IM$2="","",#REF!*$C$140)</f>
        <v/>
      </c>
      <c r="IJ140" s="11" t="str">
        <f ca="1">IF(History!IN$2="","",#REF!*$C$140)</f>
        <v/>
      </c>
      <c r="IK140" s="11" t="str">
        <f ca="1">IF(History!IO$2="","",#REF!*$C$140)</f>
        <v/>
      </c>
      <c r="IL140" s="11" t="str">
        <f ca="1">IF(History!IP$2="","",#REF!*$C$140)</f>
        <v/>
      </c>
      <c r="IM140" s="11" t="str">
        <f ca="1">IF(History!IQ$2="","",#REF!*$C$140)</f>
        <v/>
      </c>
      <c r="IN140" s="11" t="str">
        <f ca="1">IF(History!IR$2="","",#REF!*$C$140)</f>
        <v/>
      </c>
      <c r="IO140" s="11" t="str">
        <f ca="1">IF(History!IS$2="","",#REF!*$C$140)</f>
        <v/>
      </c>
      <c r="IP140" s="11" t="str">
        <f ca="1">IF(History!IT$2="","",#REF!*$C$140)</f>
        <v/>
      </c>
      <c r="IQ140" s="11" t="str">
        <f ca="1">IF(History!IU$2="","",#REF!*$C$140)</f>
        <v/>
      </c>
      <c r="IR140" s="11" t="str">
        <f ca="1">IF(History!IV$2="","",#REF!*$C$140)</f>
        <v/>
      </c>
      <c r="IS140" s="11" t="str">
        <f ca="1">IF(History!IW$2="","",#REF!*$C$140)</f>
        <v/>
      </c>
      <c r="IT140" s="11" t="str">
        <f ca="1">IF(History!IX$2="","",#REF!*$C$140)</f>
        <v/>
      </c>
      <c r="IU140" s="11" t="str">
        <f ca="1">IF(History!IY$2="","",#REF!*$C$140)</f>
        <v/>
      </c>
      <c r="IV140" s="11" t="str">
        <f ca="1">IF(History!IZ$2="","",#REF!*$C$140)</f>
        <v/>
      </c>
      <c r="IW140" s="11" t="str">
        <f ca="1">IF(History!JA$2="","",#REF!*$C$140)</f>
        <v/>
      </c>
      <c r="IX140" s="11" t="str">
        <f ca="1">IF(History!JB$2="","",#REF!*$C$140)</f>
        <v/>
      </c>
      <c r="IY140" s="11" t="str">
        <f ca="1">IF(History!JC$2="","",#REF!*$C$140)</f>
        <v/>
      </c>
      <c r="IZ140" s="11" t="str">
        <f ca="1">IF(History!JD$2="","",#REF!*$C$140)</f>
        <v/>
      </c>
      <c r="JA140" s="11" t="str">
        <f ca="1">IF(History!JE$2="","",#REF!*$C$140)</f>
        <v/>
      </c>
      <c r="JB140" s="11" t="str">
        <f ca="1">IF(History!JF$2="","",#REF!*$C$140)</f>
        <v/>
      </c>
      <c r="JC140" s="11" t="str">
        <f ca="1">IF(History!JG$2="","",#REF!*$C$140)</f>
        <v/>
      </c>
      <c r="JD140" s="11" t="str">
        <f ca="1">IF(History!JH$2="","",#REF!*$C$140)</f>
        <v/>
      </c>
      <c r="JE140" s="11" t="str">
        <f ca="1">IF(History!JI$2="","",#REF!*$C$140)</f>
        <v/>
      </c>
      <c r="JF140" s="11" t="str">
        <f ca="1">IF(History!JJ$2="","",#REF!*$C$140)</f>
        <v/>
      </c>
      <c r="JG140" s="11" t="str">
        <f ca="1">IF(History!JK$2="","",#REF!*$C$140)</f>
        <v/>
      </c>
      <c r="JH140" s="11" t="str">
        <f ca="1">IF(History!JL$2="","",#REF!*$C$140)</f>
        <v/>
      </c>
      <c r="JI140" s="11" t="str">
        <f ca="1">IF(History!JM$2="","",#REF!*$C$140)</f>
        <v/>
      </c>
      <c r="JJ140" s="11" t="str">
        <f ca="1">IF(History!JN$2="","",#REF!*$C$140)</f>
        <v/>
      </c>
      <c r="JK140" s="11" t="str">
        <f ca="1">IF(History!JO$2="","",#REF!*$C$140)</f>
        <v/>
      </c>
      <c r="JL140" s="11" t="str">
        <f ca="1">IF(History!JP$2="","",#REF!*$C$140)</f>
        <v/>
      </c>
      <c r="JM140" s="11" t="str">
        <f ca="1">IF(History!JQ$2="","",#REF!*$C$140)</f>
        <v/>
      </c>
      <c r="JN140" s="11" t="str">
        <f ca="1">IF(History!JR$2="","",#REF!*$C$140)</f>
        <v/>
      </c>
      <c r="JO140" s="11" t="str">
        <f ca="1">IF(History!JS$2="","",#REF!*$C$140)</f>
        <v/>
      </c>
      <c r="JP140" s="11" t="str">
        <f ca="1">IF(History!JT$2="","",#REF!*$C$140)</f>
        <v/>
      </c>
      <c r="JQ140" s="11" t="str">
        <f ca="1">IF(History!JU$2="","",#REF!*$C$140)</f>
        <v/>
      </c>
      <c r="JR140" s="11" t="str">
        <f ca="1">IF(History!JV$2="","",#REF!*$C$140)</f>
        <v/>
      </c>
      <c r="JS140" s="11" t="str">
        <f ca="1">IF(History!JW$2="","",#REF!*$C$140)</f>
        <v/>
      </c>
      <c r="JT140" s="11" t="str">
        <f ca="1">IF(History!JX$2="","",#REF!*$C$140)</f>
        <v/>
      </c>
      <c r="JU140" s="11" t="str">
        <f ca="1">IF(History!JY$2="","",#REF!*$C$140)</f>
        <v/>
      </c>
      <c r="JV140" s="11" t="str">
        <f ca="1">IF(History!JZ$2="","",#REF!*$C$140)</f>
        <v/>
      </c>
      <c r="JW140" s="11" t="str">
        <f ca="1">IF(History!KA$2="","",#REF!*$C$140)</f>
        <v/>
      </c>
      <c r="JX140" s="11" t="str">
        <f ca="1">IF(History!KB$2="","",#REF!*$C$140)</f>
        <v/>
      </c>
      <c r="JY140" s="11" t="str">
        <f ca="1">IF(History!KC$2="","",#REF!*$C$140)</f>
        <v/>
      </c>
      <c r="JZ140" s="11" t="str">
        <f ca="1">IF(History!KD$2="","",#REF!*$C$140)</f>
        <v/>
      </c>
      <c r="KA140" s="11" t="str">
        <f ca="1">IF(History!KE$2="","",#REF!*$C$140)</f>
        <v/>
      </c>
      <c r="KB140" s="11" t="str">
        <f ca="1">IF(History!KF$2="","",#REF!*$C$140)</f>
        <v/>
      </c>
    </row>
    <row r="141" spans="1:288" ht="13">
      <c r="A141" s="2" t="s">
        <v>40</v>
      </c>
      <c r="B141" s="32" t="s">
        <v>128</v>
      </c>
      <c r="C141" s="33">
        <v>634</v>
      </c>
      <c r="D141" s="11" t="e">
        <f ca="1">IF(History!H$2="","",#REF!*$C$141)</f>
        <v>#REF!</v>
      </c>
      <c r="E141" s="11" t="e">
        <f ca="1">IF(History!I$2="","",#REF!*$C$141)</f>
        <v>#REF!</v>
      </c>
      <c r="F141" s="11" t="e">
        <f ca="1">IF(History!J$2="","",#REF!*$C$141)</f>
        <v>#REF!</v>
      </c>
      <c r="G141" s="11" t="e">
        <f ca="1">IF(History!K$2="","",#REF!*$C$141)</f>
        <v>#REF!</v>
      </c>
      <c r="H141" s="11" t="e">
        <f ca="1">IF(History!L$2="","",#REF!*$C$141)</f>
        <v>#REF!</v>
      </c>
      <c r="I141" s="11" t="e">
        <f ca="1">IF(History!M$2="","",#REF!*$C$141)</f>
        <v>#REF!</v>
      </c>
      <c r="J141" s="11" t="e">
        <f ca="1">IF(History!N$2="","",#REF!*$C$141)</f>
        <v>#REF!</v>
      </c>
      <c r="K141" s="11" t="e">
        <f ca="1">IF(History!O$2="","",#REF!*$C$141)</f>
        <v>#REF!</v>
      </c>
      <c r="L141" s="11" t="e">
        <f ca="1">IF(History!P$2="","",#REF!*$C$141)</f>
        <v>#REF!</v>
      </c>
      <c r="M141" s="11" t="e">
        <f ca="1">IF(History!Q$2="","",#REF!*$C$141)</f>
        <v>#REF!</v>
      </c>
      <c r="N141" s="11" t="e">
        <f ca="1">IF(History!R$2="","",#REF!*$C$141)</f>
        <v>#REF!</v>
      </c>
      <c r="O141" s="11" t="e">
        <f ca="1">IF(History!S$2="","",#REF!*$C$141)</f>
        <v>#REF!</v>
      </c>
      <c r="P141" s="11" t="e">
        <f ca="1">IF(History!T$2="","",#REF!*$C$141)</f>
        <v>#REF!</v>
      </c>
      <c r="Q141" s="11" t="e">
        <f ca="1">IF(History!U$2="","",#REF!*$C$141)</f>
        <v>#REF!</v>
      </c>
      <c r="R141" s="11" t="e">
        <f ca="1">IF(History!V$2="","",#REF!*$C$141)</f>
        <v>#REF!</v>
      </c>
      <c r="S141" s="11" t="e">
        <f ca="1">IF(History!W$2="","",#REF!*$C$141)</f>
        <v>#REF!</v>
      </c>
      <c r="T141" s="11" t="e">
        <f ca="1">IF(History!X$2="","",#REF!*$C$141)</f>
        <v>#REF!</v>
      </c>
      <c r="U141" s="11" t="e">
        <f ca="1">IF(History!Y$2="","",#REF!*$C$141)</f>
        <v>#REF!</v>
      </c>
      <c r="V141" s="11" t="e">
        <f ca="1">IF(History!Z$2="","",#REF!*$C$141)</f>
        <v>#REF!</v>
      </c>
      <c r="W141" s="11" t="e">
        <f ca="1">IF(History!AA$2="","",#REF!*$C$141)</f>
        <v>#REF!</v>
      </c>
      <c r="X141" s="11" t="e">
        <f ca="1">IF(History!AB$2="","",#REF!*$C$141)</f>
        <v>#REF!</v>
      </c>
      <c r="Y141" s="11" t="e">
        <f ca="1">IF(History!AC$2="","",#REF!*$C$141)</f>
        <v>#REF!</v>
      </c>
      <c r="Z141" s="11" t="e">
        <f ca="1">IF(History!AD$2="","",#REF!*$C$141)</f>
        <v>#REF!</v>
      </c>
      <c r="AA141" s="11" t="e">
        <f ca="1">IF(History!AE$2="","",#REF!*$C$141)</f>
        <v>#REF!</v>
      </c>
      <c r="AB141" s="11" t="e">
        <f ca="1">IF(History!AF$2="","",#REF!*$C$141)</f>
        <v>#REF!</v>
      </c>
      <c r="AC141" s="11" t="e">
        <f ca="1">IF(History!AG$2="","",#REF!*$C$141)</f>
        <v>#REF!</v>
      </c>
      <c r="AD141" s="11" t="e">
        <f ca="1">IF(History!AH$2="","",#REF!*$C$141)</f>
        <v>#REF!</v>
      </c>
      <c r="AE141" s="11" t="e">
        <f ca="1">IF(History!AI$2="","",#REF!*$C$141)</f>
        <v>#REF!</v>
      </c>
      <c r="AF141" s="11" t="e">
        <f ca="1">IF(History!AJ$2="","",#REF!*$C$141)</f>
        <v>#REF!</v>
      </c>
      <c r="AG141" s="11" t="e">
        <f ca="1">IF(History!AK$2="","",#REF!*$C$141)</f>
        <v>#REF!</v>
      </c>
      <c r="AH141" s="11" t="e">
        <f ca="1">IF(History!AL$2="","",#REF!*$C$141)</f>
        <v>#REF!</v>
      </c>
      <c r="AI141" s="11" t="e">
        <f ca="1">IF(History!AM$2="","",#REF!*$C$141)</f>
        <v>#REF!</v>
      </c>
      <c r="AJ141" s="11" t="e">
        <f ca="1">IF(History!AN$2="","",#REF!*$C$141)</f>
        <v>#REF!</v>
      </c>
      <c r="AK141" s="11" t="e">
        <f ca="1">IF(History!AO$2="","",#REF!*$C$141)</f>
        <v>#REF!</v>
      </c>
      <c r="AL141" s="11" t="e">
        <f ca="1">IF(History!AP$2="","",#REF!*$C$141)</f>
        <v>#REF!</v>
      </c>
      <c r="AM141" s="11" t="e">
        <f ca="1">IF(History!AQ$2="","",#REF!*$C$141)</f>
        <v>#REF!</v>
      </c>
      <c r="AN141" s="11" t="e">
        <f ca="1">IF(History!AR$2="","",#REF!*$C$141)</f>
        <v>#REF!</v>
      </c>
      <c r="AO141" s="11" t="e">
        <f ca="1">IF(History!AS$2="","",#REF!*$C$141)</f>
        <v>#REF!</v>
      </c>
      <c r="AP141" s="11" t="e">
        <f ca="1">IF(History!AT$2="","",#REF!*$C$141)</f>
        <v>#REF!</v>
      </c>
      <c r="AQ141" s="11" t="e">
        <f ca="1">IF(History!AU$2="","",#REF!*$C$141)</f>
        <v>#REF!</v>
      </c>
      <c r="AR141" s="11" t="e">
        <f ca="1">IF(History!AV$2="","",#REF!*$C$141)</f>
        <v>#REF!</v>
      </c>
      <c r="AS141" s="11" t="e">
        <f ca="1">IF(History!AW$2="","",#REF!*$C$141)</f>
        <v>#REF!</v>
      </c>
      <c r="AT141" s="11" t="e">
        <f ca="1">IF(History!AX$2="","",#REF!*$C$141)</f>
        <v>#REF!</v>
      </c>
      <c r="AU141" s="11" t="e">
        <f ca="1">IF(History!AY$2="","",#REF!*$C$141)</f>
        <v>#REF!</v>
      </c>
      <c r="AV141" s="11" t="e">
        <f ca="1">IF(History!AZ$2="","",#REF!*$C$141)</f>
        <v>#REF!</v>
      </c>
      <c r="AW141" s="11" t="e">
        <f ca="1">IF(History!BA$2="","",#REF!*$C$141)</f>
        <v>#REF!</v>
      </c>
      <c r="AX141" s="11" t="e">
        <f ca="1">IF(History!BB$2="","",#REF!*$C$141)</f>
        <v>#REF!</v>
      </c>
      <c r="AY141" s="11" t="e">
        <f ca="1">IF(History!BC$2="","",#REF!*$C$141)</f>
        <v>#REF!</v>
      </c>
      <c r="AZ141" s="11" t="e">
        <f ca="1">IF(History!BD$2="","",#REF!*$C$141)</f>
        <v>#REF!</v>
      </c>
      <c r="BA141" s="11" t="e">
        <f ca="1">IF(History!BE$2="","",#REF!*$C$141)</f>
        <v>#REF!</v>
      </c>
      <c r="BB141" s="11" t="e">
        <f ca="1">IF(History!BF$2="","",#REF!*$C$141)</f>
        <v>#REF!</v>
      </c>
      <c r="BC141" s="11" t="e">
        <f ca="1">IF(History!BG$2="","",#REF!*$C$141)</f>
        <v>#REF!</v>
      </c>
      <c r="BD141" s="11" t="e">
        <f ca="1">IF(History!BH$2="","",#REF!*$C$141)</f>
        <v>#REF!</v>
      </c>
      <c r="BE141" s="11" t="e">
        <f ca="1">IF(History!BI$2="","",#REF!*$C$141)</f>
        <v>#REF!</v>
      </c>
      <c r="BF141" s="11" t="e">
        <f ca="1">IF(History!BJ$2="","",#REF!*$C$141)</f>
        <v>#REF!</v>
      </c>
      <c r="BG141" s="11" t="e">
        <f ca="1">IF(History!BK$2="","",#REF!*$C$141)</f>
        <v>#REF!</v>
      </c>
      <c r="BH141" s="11" t="e">
        <f ca="1">IF(History!BL$2="","",#REF!*$C$141)</f>
        <v>#REF!</v>
      </c>
      <c r="BI141" s="11" t="e">
        <f ca="1">IF(History!BM$2="","",#REF!*$C$141)</f>
        <v>#REF!</v>
      </c>
      <c r="BJ141" s="11" t="e">
        <f ca="1">IF(History!BN$2="","",#REF!*$C$141)</f>
        <v>#REF!</v>
      </c>
      <c r="BK141" s="11" t="e">
        <f ca="1">IF(History!BO$2="","",#REF!*$C$141)</f>
        <v>#REF!</v>
      </c>
      <c r="BL141" s="11" t="e">
        <f ca="1">IF(History!BP$2="","",#REF!*$C$141)</f>
        <v>#REF!</v>
      </c>
      <c r="BM141" s="11" t="e">
        <f ca="1">IF(History!BQ$2="","",#REF!*$C$141)</f>
        <v>#REF!</v>
      </c>
      <c r="BN141" s="11" t="e">
        <f ca="1">IF(History!BR$2="","",#REF!*$C$141)</f>
        <v>#REF!</v>
      </c>
      <c r="BO141" s="11" t="e">
        <f ca="1">IF(History!BS$2="","",#REF!*$C$141)</f>
        <v>#REF!</v>
      </c>
      <c r="BP141" s="11" t="e">
        <f ca="1">IF(History!BT$2="","",#REF!*$C$141)</f>
        <v>#REF!</v>
      </c>
      <c r="BQ141" s="11" t="e">
        <f ca="1">IF(History!BU$2="","",#REF!*$C$141)</f>
        <v>#REF!</v>
      </c>
      <c r="BR141" s="11" t="e">
        <f ca="1">IF(History!BV$2="","",#REF!*$C$141)</f>
        <v>#REF!</v>
      </c>
      <c r="BS141" s="11" t="e">
        <f ca="1">IF(History!BW$2="","",#REF!*$C$141)</f>
        <v>#REF!</v>
      </c>
      <c r="BT141" s="11" t="e">
        <f ca="1">IF(History!BX$2="","",#REF!*$C$141)</f>
        <v>#REF!</v>
      </c>
      <c r="BU141" s="11" t="e">
        <f ca="1">IF(History!BY$2="","",#REF!*$C$141)</f>
        <v>#REF!</v>
      </c>
      <c r="BV141" s="11" t="e">
        <f ca="1">IF(History!BZ$2="","",#REF!*$C$141)</f>
        <v>#REF!</v>
      </c>
      <c r="BW141" s="11" t="e">
        <f ca="1">IF(History!CA$2="","",#REF!*$C$141)</f>
        <v>#REF!</v>
      </c>
      <c r="BX141" s="11" t="e">
        <f ca="1">IF(History!CB$2="","",#REF!*$C$141)</f>
        <v>#REF!</v>
      </c>
      <c r="BY141" s="11" t="e">
        <f ca="1">IF(History!CC$2="","",#REF!*$C$141)</f>
        <v>#REF!</v>
      </c>
      <c r="BZ141" s="11" t="e">
        <f ca="1">IF(History!CD$2="","",#REF!*$C$141)</f>
        <v>#REF!</v>
      </c>
      <c r="CA141" s="11" t="e">
        <f ca="1">IF(History!CE$2="","",#REF!*$C$141)</f>
        <v>#REF!</v>
      </c>
      <c r="CB141" s="11" t="e">
        <f ca="1">IF(History!CF$2="","",#REF!*$C$141)</f>
        <v>#REF!</v>
      </c>
      <c r="CC141" s="11" t="e">
        <f ca="1">IF(History!CG$2="","",#REF!*$C$141)</f>
        <v>#REF!</v>
      </c>
      <c r="CD141" s="11" t="e">
        <f ca="1">IF(History!CH$2="","",#REF!*$C$141)</f>
        <v>#REF!</v>
      </c>
      <c r="CE141" s="11" t="e">
        <f ca="1">IF(History!CI$2="","",#REF!*$C$141)</f>
        <v>#REF!</v>
      </c>
      <c r="CF141" s="11" t="str">
        <f ca="1">IF(History!CJ$2="","",#REF!*$C$141)</f>
        <v/>
      </c>
      <c r="CG141" s="11" t="str">
        <f ca="1">IF(History!CK$2="","",#REF!*$C$141)</f>
        <v/>
      </c>
      <c r="CH141" s="11" t="str">
        <f ca="1">IF(History!CL$2="","",#REF!*$C$141)</f>
        <v/>
      </c>
      <c r="CI141" s="11" t="str">
        <f ca="1">IF(History!CM$2="","",#REF!*$C$141)</f>
        <v/>
      </c>
      <c r="CJ141" s="11" t="str">
        <f ca="1">IF(History!CN$2="","",#REF!*$C$141)</f>
        <v/>
      </c>
      <c r="CK141" s="11" t="str">
        <f ca="1">IF(History!CO$2="","",#REF!*$C$141)</f>
        <v/>
      </c>
      <c r="CL141" s="11" t="str">
        <f ca="1">IF(History!CP$2="","",#REF!*$C$141)</f>
        <v/>
      </c>
      <c r="CM141" s="11" t="str">
        <f ca="1">IF(History!CQ$2="","",#REF!*$C$141)</f>
        <v/>
      </c>
      <c r="CN141" s="11" t="str">
        <f ca="1">IF(History!CR$2="","",#REF!*$C$141)</f>
        <v/>
      </c>
      <c r="CO141" s="11" t="str">
        <f ca="1">IF(History!CS$2="","",#REF!*$C$141)</f>
        <v/>
      </c>
      <c r="CP141" s="11" t="str">
        <f ca="1">IF(History!CT$2="","",#REF!*$C$141)</f>
        <v/>
      </c>
      <c r="CQ141" s="11" t="str">
        <f ca="1">IF(History!CU$2="","",#REF!*$C$141)</f>
        <v/>
      </c>
      <c r="CR141" s="11" t="str">
        <f ca="1">IF(History!CV$2="","",#REF!*$C$141)</f>
        <v/>
      </c>
      <c r="CS141" s="11" t="str">
        <f ca="1">IF(History!CW$2="","",#REF!*$C$141)</f>
        <v/>
      </c>
      <c r="CT141" s="11" t="str">
        <f ca="1">IF(History!CX$2="","",#REF!*$C$141)</f>
        <v/>
      </c>
      <c r="CU141" s="11" t="str">
        <f ca="1">IF(History!CY$2="","",#REF!*$C$141)</f>
        <v/>
      </c>
      <c r="CV141" s="11" t="str">
        <f ca="1">IF(History!CZ$2="","",#REF!*$C$141)</f>
        <v/>
      </c>
      <c r="CW141" s="11" t="str">
        <f ca="1">IF(History!DA$2="","",#REF!*$C$141)</f>
        <v/>
      </c>
      <c r="CX141" s="11" t="str">
        <f ca="1">IF(History!DB$2="","",#REF!*$C$141)</f>
        <v/>
      </c>
      <c r="CY141" s="11" t="str">
        <f ca="1">IF(History!DC$2="","",#REF!*$C$141)</f>
        <v/>
      </c>
      <c r="CZ141" s="11" t="str">
        <f ca="1">IF(History!DD$2="","",#REF!*$C$141)</f>
        <v/>
      </c>
      <c r="DA141" s="11" t="str">
        <f ca="1">IF(History!DE$2="","",#REF!*$C$141)</f>
        <v/>
      </c>
      <c r="DB141" s="11" t="str">
        <f ca="1">IF(History!DF$2="","",#REF!*$C$141)</f>
        <v/>
      </c>
      <c r="DC141" s="11" t="str">
        <f ca="1">IF(History!DG$2="","",#REF!*$C$141)</f>
        <v/>
      </c>
      <c r="DD141" s="11" t="str">
        <f ca="1">IF(History!DH$2="","",#REF!*$C$141)</f>
        <v/>
      </c>
      <c r="DE141" s="11" t="str">
        <f ca="1">IF(History!DI$2="","",#REF!*$C$141)</f>
        <v/>
      </c>
      <c r="DF141" s="11" t="str">
        <f ca="1">IF(History!DJ$2="","",#REF!*$C$141)</f>
        <v/>
      </c>
      <c r="DG141" s="11" t="str">
        <f ca="1">IF(History!DK$2="","",#REF!*$C$141)</f>
        <v/>
      </c>
      <c r="DH141" s="11" t="str">
        <f ca="1">IF(History!DL$2="","",#REF!*$C$141)</f>
        <v/>
      </c>
      <c r="DI141" s="11" t="str">
        <f ca="1">IF(History!DM$2="","",#REF!*$C$141)</f>
        <v/>
      </c>
      <c r="DJ141" s="11" t="str">
        <f ca="1">IF(History!DN$2="","",#REF!*$C$141)</f>
        <v/>
      </c>
      <c r="DK141" s="11" t="str">
        <f ca="1">IF(History!DO$2="","",#REF!*$C$141)</f>
        <v/>
      </c>
      <c r="DL141" s="11" t="str">
        <f ca="1">IF(History!DP$2="","",#REF!*$C$141)</f>
        <v/>
      </c>
      <c r="DM141" s="11" t="str">
        <f ca="1">IF(History!DQ$2="","",#REF!*$C$141)</f>
        <v/>
      </c>
      <c r="DN141" s="11" t="str">
        <f ca="1">IF(History!DR$2="","",#REF!*$C$141)</f>
        <v/>
      </c>
      <c r="DO141" s="11" t="str">
        <f ca="1">IF(History!DS$2="","",#REF!*$C$141)</f>
        <v/>
      </c>
      <c r="DP141" s="11" t="str">
        <f ca="1">IF(History!DT$2="","",#REF!*$C$141)</f>
        <v/>
      </c>
      <c r="DQ141" s="11" t="str">
        <f ca="1">IF(History!DU$2="","",#REF!*$C$141)</f>
        <v/>
      </c>
      <c r="DR141" s="11" t="str">
        <f ca="1">IF(History!DV$2="","",#REF!*$C$141)</f>
        <v/>
      </c>
      <c r="DS141" s="11" t="str">
        <f ca="1">IF(History!DW$2="","",#REF!*$C$141)</f>
        <v/>
      </c>
      <c r="DT141" s="11" t="str">
        <f ca="1">IF(History!DX$2="","",#REF!*$C$141)</f>
        <v/>
      </c>
      <c r="DU141" s="11" t="str">
        <f ca="1">IF(History!DY$2="","",#REF!*$C$141)</f>
        <v/>
      </c>
      <c r="DV141" s="11" t="str">
        <f ca="1">IF(History!DZ$2="","",#REF!*$C$141)</f>
        <v/>
      </c>
      <c r="DW141" s="11" t="str">
        <f ca="1">IF(History!EA$2="","",#REF!*$C$141)</f>
        <v/>
      </c>
      <c r="DX141" s="11" t="str">
        <f ca="1">IF(History!EB$2="","",#REF!*$C$141)</f>
        <v/>
      </c>
      <c r="DY141" s="11" t="str">
        <f ca="1">IF(History!EC$2="","",#REF!*$C$141)</f>
        <v/>
      </c>
      <c r="DZ141" s="11" t="str">
        <f ca="1">IF(History!ED$2="","",#REF!*$C$141)</f>
        <v/>
      </c>
      <c r="EA141" s="11" t="str">
        <f ca="1">IF(History!EE$2="","",#REF!*$C$141)</f>
        <v/>
      </c>
      <c r="EB141" s="11" t="str">
        <f ca="1">IF(History!EF$2="","",#REF!*$C$141)</f>
        <v/>
      </c>
      <c r="EC141" s="11" t="str">
        <f ca="1">IF(History!EG$2="","",#REF!*$C$141)</f>
        <v/>
      </c>
      <c r="ED141" s="11" t="str">
        <f ca="1">IF(History!EH$2="","",#REF!*$C$141)</f>
        <v/>
      </c>
      <c r="EE141" s="11" t="str">
        <f ca="1">IF(History!EI$2="","",#REF!*$C$141)</f>
        <v/>
      </c>
      <c r="EF141" s="11" t="str">
        <f ca="1">IF(History!EJ$2="","",#REF!*$C$141)</f>
        <v/>
      </c>
      <c r="EG141" s="11" t="str">
        <f ca="1">IF(History!EK$2="","",#REF!*$C$141)</f>
        <v/>
      </c>
      <c r="EH141" s="11" t="str">
        <f ca="1">IF(History!EL$2="","",#REF!*$C$141)</f>
        <v/>
      </c>
      <c r="EI141" s="11" t="str">
        <f ca="1">IF(History!EM$2="","",#REF!*$C$141)</f>
        <v/>
      </c>
      <c r="EJ141" s="11" t="str">
        <f ca="1">IF(History!EN$2="","",#REF!*$C$141)</f>
        <v/>
      </c>
      <c r="EK141" s="11" t="str">
        <f ca="1">IF(History!EO$2="","",#REF!*$C$141)</f>
        <v/>
      </c>
      <c r="EL141" s="11" t="str">
        <f ca="1">IF(History!EP$2="","",#REF!*$C$141)</f>
        <v/>
      </c>
      <c r="EM141" s="11" t="str">
        <f ca="1">IF(History!EQ$2="","",#REF!*$C$141)</f>
        <v/>
      </c>
      <c r="EN141" s="11" t="str">
        <f ca="1">IF(History!ER$2="","",#REF!*$C$141)</f>
        <v/>
      </c>
      <c r="EO141" s="11" t="str">
        <f ca="1">IF(History!ES$2="","",#REF!*$C$141)</f>
        <v/>
      </c>
      <c r="EP141" s="11" t="str">
        <f ca="1">IF(History!ET$2="","",#REF!*$C$141)</f>
        <v/>
      </c>
      <c r="EQ141" s="11" t="str">
        <f ca="1">IF(History!EU$2="","",#REF!*$C$141)</f>
        <v/>
      </c>
      <c r="ER141" s="11" t="str">
        <f ca="1">IF(History!EV$2="","",#REF!*$C$141)</f>
        <v/>
      </c>
      <c r="ES141" s="11" t="str">
        <f ca="1">IF(History!EW$2="","",#REF!*$C$141)</f>
        <v/>
      </c>
      <c r="ET141" s="11" t="str">
        <f ca="1">IF(History!EX$2="","",#REF!*$C$141)</f>
        <v/>
      </c>
      <c r="EU141" s="11" t="str">
        <f ca="1">IF(History!EY$2="","",#REF!*$C$141)</f>
        <v/>
      </c>
      <c r="EV141" s="11" t="str">
        <f ca="1">IF(History!EZ$2="","",#REF!*$C$141)</f>
        <v/>
      </c>
      <c r="EW141" s="11" t="str">
        <f ca="1">IF(History!FA$2="","",#REF!*$C$141)</f>
        <v/>
      </c>
      <c r="EX141" s="11" t="str">
        <f ca="1">IF(History!FB$2="","",#REF!*$C$141)</f>
        <v/>
      </c>
      <c r="EY141" s="11" t="str">
        <f ca="1">IF(History!FC$2="","",#REF!*$C$141)</f>
        <v/>
      </c>
      <c r="EZ141" s="11" t="str">
        <f ca="1">IF(History!FD$2="","",#REF!*$C$141)</f>
        <v/>
      </c>
      <c r="FA141" s="11" t="str">
        <f ca="1">IF(History!FE$2="","",#REF!*$C$141)</f>
        <v/>
      </c>
      <c r="FB141" s="11" t="str">
        <f ca="1">IF(History!FF$2="","",#REF!*$C$141)</f>
        <v/>
      </c>
      <c r="FC141" s="11" t="str">
        <f ca="1">IF(History!FG$2="","",#REF!*$C$141)</f>
        <v/>
      </c>
      <c r="FD141" s="11" t="str">
        <f ca="1">IF(History!FH$2="","",#REF!*$C$141)</f>
        <v/>
      </c>
      <c r="FE141" s="11" t="str">
        <f ca="1">IF(History!FI$2="","",#REF!*$C$141)</f>
        <v/>
      </c>
      <c r="FF141" s="11" t="str">
        <f ca="1">IF(History!FJ$2="","",#REF!*$C$141)</f>
        <v/>
      </c>
      <c r="FG141" s="11" t="str">
        <f ca="1">IF(History!FK$2="","",#REF!*$C$141)</f>
        <v/>
      </c>
      <c r="FH141" s="11" t="str">
        <f ca="1">IF(History!FL$2="","",#REF!*$C$141)</f>
        <v/>
      </c>
      <c r="FI141" s="11" t="str">
        <f ca="1">IF(History!FM$2="","",#REF!*$C$141)</f>
        <v/>
      </c>
      <c r="FJ141" s="11" t="str">
        <f ca="1">IF(History!FN$2="","",#REF!*$C$141)</f>
        <v/>
      </c>
      <c r="FK141" s="11" t="str">
        <f ca="1">IF(History!FO$2="","",#REF!*$C$141)</f>
        <v/>
      </c>
      <c r="FL141" s="11" t="str">
        <f ca="1">IF(History!FP$2="","",#REF!*$C$141)</f>
        <v/>
      </c>
      <c r="FM141" s="11" t="str">
        <f ca="1">IF(History!FQ$2="","",#REF!*$C$141)</f>
        <v/>
      </c>
      <c r="FN141" s="11" t="str">
        <f ca="1">IF(History!FR$2="","",#REF!*$C$141)</f>
        <v/>
      </c>
      <c r="FO141" s="11" t="str">
        <f ca="1">IF(History!FS$2="","",#REF!*$C$141)</f>
        <v/>
      </c>
      <c r="FP141" s="11" t="str">
        <f ca="1">IF(History!FT$2="","",#REF!*$C$141)</f>
        <v/>
      </c>
      <c r="FQ141" s="11" t="str">
        <f ca="1">IF(History!FU$2="","",#REF!*$C$141)</f>
        <v/>
      </c>
      <c r="FR141" s="11" t="str">
        <f ca="1">IF(History!FV$2="","",#REF!*$C$141)</f>
        <v/>
      </c>
      <c r="FS141" s="11" t="str">
        <f ca="1">IF(History!FW$2="","",#REF!*$C$141)</f>
        <v/>
      </c>
      <c r="FT141" s="11" t="str">
        <f ca="1">IF(History!FX$2="","",#REF!*$C$141)</f>
        <v/>
      </c>
      <c r="FU141" s="11" t="str">
        <f ca="1">IF(History!FY$2="","",#REF!*$C$141)</f>
        <v/>
      </c>
      <c r="FV141" s="11" t="str">
        <f ca="1">IF(History!FZ$2="","",#REF!*$C$141)</f>
        <v/>
      </c>
      <c r="FW141" s="11" t="str">
        <f ca="1">IF(History!GA$2="","",#REF!*$C$141)</f>
        <v/>
      </c>
      <c r="FX141" s="11" t="str">
        <f ca="1">IF(History!GB$2="","",#REF!*$C$141)</f>
        <v/>
      </c>
      <c r="FY141" s="11" t="str">
        <f ca="1">IF(History!GC$2="","",#REF!*$C$141)</f>
        <v/>
      </c>
      <c r="FZ141" s="11" t="str">
        <f ca="1">IF(History!GD$2="","",#REF!*$C$141)</f>
        <v/>
      </c>
      <c r="GA141" s="11" t="str">
        <f ca="1">IF(History!GE$2="","",#REF!*$C$141)</f>
        <v/>
      </c>
      <c r="GB141" s="11" t="str">
        <f ca="1">IF(History!GF$2="","",#REF!*$C$141)</f>
        <v/>
      </c>
      <c r="GC141" s="11" t="str">
        <f ca="1">IF(History!GG$2="","",#REF!*$C$141)</f>
        <v/>
      </c>
      <c r="GD141" s="11" t="str">
        <f ca="1">IF(History!GH$2="","",#REF!*$C$141)</f>
        <v/>
      </c>
      <c r="GE141" s="11" t="str">
        <f ca="1">IF(History!GI$2="","",#REF!*$C$141)</f>
        <v/>
      </c>
      <c r="GF141" s="11" t="str">
        <f ca="1">IF(History!GJ$2="","",#REF!*$C$141)</f>
        <v/>
      </c>
      <c r="GG141" s="11" t="str">
        <f ca="1">IF(History!GK$2="","",#REF!*$C$141)</f>
        <v/>
      </c>
      <c r="GH141" s="11" t="str">
        <f ca="1">IF(History!GL$2="","",#REF!*$C$141)</f>
        <v/>
      </c>
      <c r="GI141" s="11" t="str">
        <f ca="1">IF(History!GM$2="","",#REF!*$C$141)</f>
        <v/>
      </c>
      <c r="GJ141" s="11" t="str">
        <f ca="1">IF(History!GN$2="","",#REF!*$C$141)</f>
        <v/>
      </c>
      <c r="GK141" s="11" t="str">
        <f ca="1">IF(History!GO$2="","",#REF!*$C$141)</f>
        <v/>
      </c>
      <c r="GL141" s="11" t="str">
        <f ca="1">IF(History!GP$2="","",#REF!*$C$141)</f>
        <v/>
      </c>
      <c r="GM141" s="11" t="str">
        <f ca="1">IF(History!GQ$2="","",#REF!*$C$141)</f>
        <v/>
      </c>
      <c r="GN141" s="11" t="str">
        <f ca="1">IF(History!GR$2="","",#REF!*$C$141)</f>
        <v/>
      </c>
      <c r="GO141" s="11" t="str">
        <f ca="1">IF(History!GS$2="","",#REF!*$C$141)</f>
        <v/>
      </c>
      <c r="GP141" s="11" t="str">
        <f ca="1">IF(History!GT$2="","",#REF!*$C$141)</f>
        <v/>
      </c>
      <c r="GQ141" s="11" t="str">
        <f ca="1">IF(History!GU$2="","",#REF!*$C$141)</f>
        <v/>
      </c>
      <c r="GR141" s="11" t="str">
        <f ca="1">IF(History!GV$2="","",#REF!*$C$141)</f>
        <v/>
      </c>
      <c r="GS141" s="11" t="str">
        <f ca="1">IF(History!GW$2="","",#REF!*$C$141)</f>
        <v/>
      </c>
      <c r="GT141" s="11" t="str">
        <f ca="1">IF(History!GX$2="","",#REF!*$C$141)</f>
        <v/>
      </c>
      <c r="GU141" s="11" t="str">
        <f ca="1">IF(History!GY$2="","",#REF!*$C$141)</f>
        <v/>
      </c>
      <c r="GV141" s="11" t="str">
        <f ca="1">IF(History!GZ$2="","",#REF!*$C$141)</f>
        <v/>
      </c>
      <c r="GW141" s="11" t="str">
        <f ca="1">IF(History!HA$2="","",#REF!*$C$141)</f>
        <v/>
      </c>
      <c r="GX141" s="11" t="str">
        <f ca="1">IF(History!HB$2="","",#REF!*$C$141)</f>
        <v/>
      </c>
      <c r="GY141" s="11" t="str">
        <f ca="1">IF(History!HC$2="","",#REF!*$C$141)</f>
        <v/>
      </c>
      <c r="GZ141" s="11" t="str">
        <f ca="1">IF(History!HD$2="","",#REF!*$C$141)</f>
        <v/>
      </c>
      <c r="HA141" s="11" t="str">
        <f ca="1">IF(History!HE$2="","",#REF!*$C$141)</f>
        <v/>
      </c>
      <c r="HB141" s="11" t="str">
        <f ca="1">IF(History!HF$2="","",#REF!*$C$141)</f>
        <v/>
      </c>
      <c r="HC141" s="11" t="str">
        <f ca="1">IF(History!HG$2="","",#REF!*$C$141)</f>
        <v/>
      </c>
      <c r="HD141" s="11" t="str">
        <f ca="1">IF(History!HH$2="","",#REF!*$C$141)</f>
        <v/>
      </c>
      <c r="HE141" s="11" t="str">
        <f ca="1">IF(History!HI$2="","",#REF!*$C$141)</f>
        <v/>
      </c>
      <c r="HF141" s="11" t="str">
        <f ca="1">IF(History!HJ$2="","",#REF!*$C$141)</f>
        <v/>
      </c>
      <c r="HG141" s="11" t="str">
        <f ca="1">IF(History!HK$2="","",#REF!*$C$141)</f>
        <v/>
      </c>
      <c r="HH141" s="11" t="str">
        <f ca="1">IF(History!HL$2="","",#REF!*$C$141)</f>
        <v/>
      </c>
      <c r="HI141" s="11" t="str">
        <f ca="1">IF(History!HM$2="","",#REF!*$C$141)</f>
        <v/>
      </c>
      <c r="HJ141" s="11" t="str">
        <f ca="1">IF(History!HN$2="","",#REF!*$C$141)</f>
        <v/>
      </c>
      <c r="HK141" s="11" t="str">
        <f ca="1">IF(History!HO$2="","",#REF!*$C$141)</f>
        <v/>
      </c>
      <c r="HL141" s="11" t="str">
        <f ca="1">IF(History!HP$2="","",#REF!*$C$141)</f>
        <v/>
      </c>
      <c r="HM141" s="11" t="str">
        <f ca="1">IF(History!HQ$2="","",#REF!*$C$141)</f>
        <v/>
      </c>
      <c r="HN141" s="11" t="str">
        <f ca="1">IF(History!HR$2="","",#REF!*$C$141)</f>
        <v/>
      </c>
      <c r="HO141" s="11" t="str">
        <f ca="1">IF(History!HS$2="","",#REF!*$C$141)</f>
        <v/>
      </c>
      <c r="HP141" s="11" t="str">
        <f ca="1">IF(History!HT$2="","",#REF!*$C$141)</f>
        <v/>
      </c>
      <c r="HQ141" s="11" t="str">
        <f ca="1">IF(History!HU$2="","",#REF!*$C$141)</f>
        <v/>
      </c>
      <c r="HR141" s="11" t="str">
        <f ca="1">IF(History!HV$2="","",#REF!*$C$141)</f>
        <v/>
      </c>
      <c r="HS141" s="11" t="str">
        <f ca="1">IF(History!HW$2="","",#REF!*$C$141)</f>
        <v/>
      </c>
      <c r="HT141" s="11" t="str">
        <f ca="1">IF(History!HX$2="","",#REF!*$C$141)</f>
        <v/>
      </c>
      <c r="HU141" s="11" t="str">
        <f ca="1">IF(History!HY$2="","",#REF!*$C$141)</f>
        <v/>
      </c>
      <c r="HV141" s="11" t="str">
        <f ca="1">IF(History!HZ$2="","",#REF!*$C$141)</f>
        <v/>
      </c>
      <c r="HW141" s="11" t="str">
        <f ca="1">IF(History!IA$2="","",#REF!*$C$141)</f>
        <v/>
      </c>
      <c r="HX141" s="11" t="str">
        <f ca="1">IF(History!IB$2="","",#REF!*$C$141)</f>
        <v/>
      </c>
      <c r="HY141" s="11" t="str">
        <f ca="1">IF(History!IC$2="","",#REF!*$C$141)</f>
        <v/>
      </c>
      <c r="HZ141" s="11" t="str">
        <f ca="1">IF(History!ID$2="","",#REF!*$C$141)</f>
        <v/>
      </c>
      <c r="IA141" s="11" t="str">
        <f ca="1">IF(History!IE$2="","",#REF!*$C$141)</f>
        <v/>
      </c>
      <c r="IB141" s="11" t="str">
        <f ca="1">IF(History!IF$2="","",#REF!*$C$141)</f>
        <v/>
      </c>
      <c r="IC141" s="11" t="str">
        <f ca="1">IF(History!IG$2="","",#REF!*$C$141)</f>
        <v/>
      </c>
      <c r="ID141" s="11" t="str">
        <f ca="1">IF(History!IH$2="","",#REF!*$C$141)</f>
        <v/>
      </c>
      <c r="IE141" s="11" t="str">
        <f ca="1">IF(History!II$2="","",#REF!*$C$141)</f>
        <v/>
      </c>
      <c r="IF141" s="11" t="str">
        <f ca="1">IF(History!IJ$2="","",#REF!*$C$141)</f>
        <v/>
      </c>
      <c r="IG141" s="11" t="str">
        <f ca="1">IF(History!IK$2="","",#REF!*$C$141)</f>
        <v/>
      </c>
      <c r="IH141" s="11" t="str">
        <f ca="1">IF(History!IL$2="","",#REF!*$C$141)</f>
        <v/>
      </c>
      <c r="II141" s="11" t="str">
        <f ca="1">IF(History!IM$2="","",#REF!*$C$141)</f>
        <v/>
      </c>
      <c r="IJ141" s="11" t="str">
        <f ca="1">IF(History!IN$2="","",#REF!*$C$141)</f>
        <v/>
      </c>
      <c r="IK141" s="11" t="str">
        <f ca="1">IF(History!IO$2="","",#REF!*$C$141)</f>
        <v/>
      </c>
      <c r="IL141" s="11" t="str">
        <f ca="1">IF(History!IP$2="","",#REF!*$C$141)</f>
        <v/>
      </c>
      <c r="IM141" s="11" t="str">
        <f ca="1">IF(History!IQ$2="","",#REF!*$C$141)</f>
        <v/>
      </c>
      <c r="IN141" s="11" t="str">
        <f ca="1">IF(History!IR$2="","",#REF!*$C$141)</f>
        <v/>
      </c>
      <c r="IO141" s="11" t="str">
        <f ca="1">IF(History!IS$2="","",#REF!*$C$141)</f>
        <v/>
      </c>
      <c r="IP141" s="11" t="str">
        <f ca="1">IF(History!IT$2="","",#REF!*$C$141)</f>
        <v/>
      </c>
      <c r="IQ141" s="11" t="str">
        <f ca="1">IF(History!IU$2="","",#REF!*$C$141)</f>
        <v/>
      </c>
      <c r="IR141" s="11" t="str">
        <f ca="1">IF(History!IV$2="","",#REF!*$C$141)</f>
        <v/>
      </c>
      <c r="IS141" s="11" t="str">
        <f ca="1">IF(History!IW$2="","",#REF!*$C$141)</f>
        <v/>
      </c>
      <c r="IT141" s="11" t="str">
        <f ca="1">IF(History!IX$2="","",#REF!*$C$141)</f>
        <v/>
      </c>
      <c r="IU141" s="11" t="str">
        <f ca="1">IF(History!IY$2="","",#REF!*$C$141)</f>
        <v/>
      </c>
      <c r="IV141" s="11" t="str">
        <f ca="1">IF(History!IZ$2="","",#REF!*$C$141)</f>
        <v/>
      </c>
      <c r="IW141" s="11" t="str">
        <f ca="1">IF(History!JA$2="","",#REF!*$C$141)</f>
        <v/>
      </c>
      <c r="IX141" s="11" t="str">
        <f ca="1">IF(History!JB$2="","",#REF!*$C$141)</f>
        <v/>
      </c>
      <c r="IY141" s="11" t="str">
        <f ca="1">IF(History!JC$2="","",#REF!*$C$141)</f>
        <v/>
      </c>
      <c r="IZ141" s="11" t="str">
        <f ca="1">IF(History!JD$2="","",#REF!*$C$141)</f>
        <v/>
      </c>
      <c r="JA141" s="11" t="str">
        <f ca="1">IF(History!JE$2="","",#REF!*$C$141)</f>
        <v/>
      </c>
      <c r="JB141" s="11" t="str">
        <f ca="1">IF(History!JF$2="","",#REF!*$C$141)</f>
        <v/>
      </c>
      <c r="JC141" s="11" t="str">
        <f ca="1">IF(History!JG$2="","",#REF!*$C$141)</f>
        <v/>
      </c>
      <c r="JD141" s="11" t="str">
        <f ca="1">IF(History!JH$2="","",#REF!*$C$141)</f>
        <v/>
      </c>
      <c r="JE141" s="11" t="str">
        <f ca="1">IF(History!JI$2="","",#REF!*$C$141)</f>
        <v/>
      </c>
      <c r="JF141" s="11" t="str">
        <f ca="1">IF(History!JJ$2="","",#REF!*$C$141)</f>
        <v/>
      </c>
      <c r="JG141" s="11" t="str">
        <f ca="1">IF(History!JK$2="","",#REF!*$C$141)</f>
        <v/>
      </c>
      <c r="JH141" s="11" t="str">
        <f ca="1">IF(History!JL$2="","",#REF!*$C$141)</f>
        <v/>
      </c>
      <c r="JI141" s="11" t="str">
        <f ca="1">IF(History!JM$2="","",#REF!*$C$141)</f>
        <v/>
      </c>
      <c r="JJ141" s="11" t="str">
        <f ca="1">IF(History!JN$2="","",#REF!*$C$141)</f>
        <v/>
      </c>
      <c r="JK141" s="11" t="str">
        <f ca="1">IF(History!JO$2="","",#REF!*$C$141)</f>
        <v/>
      </c>
      <c r="JL141" s="11" t="str">
        <f ca="1">IF(History!JP$2="","",#REF!*$C$141)</f>
        <v/>
      </c>
      <c r="JM141" s="11" t="str">
        <f ca="1">IF(History!JQ$2="","",#REF!*$C$141)</f>
        <v/>
      </c>
      <c r="JN141" s="11" t="str">
        <f ca="1">IF(History!JR$2="","",#REF!*$C$141)</f>
        <v/>
      </c>
      <c r="JO141" s="11" t="str">
        <f ca="1">IF(History!JS$2="","",#REF!*$C$141)</f>
        <v/>
      </c>
      <c r="JP141" s="11" t="str">
        <f ca="1">IF(History!JT$2="","",#REF!*$C$141)</f>
        <v/>
      </c>
      <c r="JQ141" s="11" t="str">
        <f ca="1">IF(History!JU$2="","",#REF!*$C$141)</f>
        <v/>
      </c>
      <c r="JR141" s="11" t="str">
        <f ca="1">IF(History!JV$2="","",#REF!*$C$141)</f>
        <v/>
      </c>
      <c r="JS141" s="11" t="str">
        <f ca="1">IF(History!JW$2="","",#REF!*$C$141)</f>
        <v/>
      </c>
      <c r="JT141" s="11" t="str">
        <f ca="1">IF(History!JX$2="","",#REF!*$C$141)</f>
        <v/>
      </c>
      <c r="JU141" s="11" t="str">
        <f ca="1">IF(History!JY$2="","",#REF!*$C$141)</f>
        <v/>
      </c>
      <c r="JV141" s="11" t="str">
        <f ca="1">IF(History!JZ$2="","",#REF!*$C$141)</f>
        <v/>
      </c>
      <c r="JW141" s="11" t="str">
        <f ca="1">IF(History!KA$2="","",#REF!*$C$141)</f>
        <v/>
      </c>
      <c r="JX141" s="11" t="str">
        <f ca="1">IF(History!KB$2="","",#REF!*$C$141)</f>
        <v/>
      </c>
      <c r="JY141" s="11" t="str">
        <f ca="1">IF(History!KC$2="","",#REF!*$C$141)</f>
        <v/>
      </c>
      <c r="JZ141" s="11" t="str">
        <f ca="1">IF(History!KD$2="","",#REF!*$C$141)</f>
        <v/>
      </c>
      <c r="KA141" s="11" t="str">
        <f ca="1">IF(History!KE$2="","",#REF!*$C$141)</f>
        <v/>
      </c>
      <c r="KB141" s="11" t="str">
        <f ca="1">IF(History!KF$2="","",#REF!*$C$141)</f>
        <v/>
      </c>
    </row>
    <row r="142" spans="1:288" ht="13">
      <c r="A142" s="2" t="s">
        <v>40</v>
      </c>
      <c r="B142" s="32" t="s">
        <v>129</v>
      </c>
      <c r="C142" s="33">
        <v>697</v>
      </c>
      <c r="D142" s="11" t="e">
        <f ca="1">IF(History!H$2="","",#REF!*$C$142)</f>
        <v>#REF!</v>
      </c>
      <c r="E142" s="11" t="e">
        <f ca="1">IF(History!I$2="","",#REF!*$C$142)</f>
        <v>#REF!</v>
      </c>
      <c r="F142" s="11" t="e">
        <f ca="1">IF(History!J$2="","",#REF!*$C$142)</f>
        <v>#REF!</v>
      </c>
      <c r="G142" s="11" t="e">
        <f ca="1">IF(History!K$2="","",#REF!*$C$142)</f>
        <v>#REF!</v>
      </c>
      <c r="H142" s="11" t="e">
        <f ca="1">IF(History!L$2="","",#REF!*$C$142)</f>
        <v>#REF!</v>
      </c>
      <c r="I142" s="11" t="e">
        <f ca="1">IF(History!M$2="","",#REF!*$C$142)</f>
        <v>#REF!</v>
      </c>
      <c r="J142" s="11" t="e">
        <f ca="1">IF(History!N$2="","",#REF!*$C$142)</f>
        <v>#REF!</v>
      </c>
      <c r="K142" s="11" t="e">
        <f ca="1">IF(History!O$2="","",#REF!*$C$142)</f>
        <v>#REF!</v>
      </c>
      <c r="L142" s="11" t="e">
        <f ca="1">IF(History!P$2="","",#REF!*$C$142)</f>
        <v>#REF!</v>
      </c>
      <c r="M142" s="11" t="e">
        <f ca="1">IF(History!Q$2="","",#REF!*$C$142)</f>
        <v>#REF!</v>
      </c>
      <c r="N142" s="11" t="e">
        <f ca="1">IF(History!R$2="","",#REF!*$C$142)</f>
        <v>#REF!</v>
      </c>
      <c r="O142" s="11" t="e">
        <f ca="1">IF(History!S$2="","",#REF!*$C$142)</f>
        <v>#REF!</v>
      </c>
      <c r="P142" s="11" t="e">
        <f ca="1">IF(History!T$2="","",#REF!*$C$142)</f>
        <v>#REF!</v>
      </c>
      <c r="Q142" s="11" t="e">
        <f ca="1">IF(History!U$2="","",#REF!*$C$142)</f>
        <v>#REF!</v>
      </c>
      <c r="R142" s="11" t="e">
        <f ca="1">IF(History!V$2="","",#REF!*$C$142)</f>
        <v>#REF!</v>
      </c>
      <c r="S142" s="11" t="e">
        <f ca="1">IF(History!W$2="","",#REF!*$C$142)</f>
        <v>#REF!</v>
      </c>
      <c r="T142" s="11" t="e">
        <f ca="1">IF(History!X$2="","",#REF!*$C$142)</f>
        <v>#REF!</v>
      </c>
      <c r="U142" s="11" t="e">
        <f ca="1">IF(History!Y$2="","",#REF!*$C$142)</f>
        <v>#REF!</v>
      </c>
      <c r="V142" s="11" t="e">
        <f ca="1">IF(History!Z$2="","",#REF!*$C$142)</f>
        <v>#REF!</v>
      </c>
      <c r="W142" s="11" t="e">
        <f ca="1">IF(History!AA$2="","",#REF!*$C$142)</f>
        <v>#REF!</v>
      </c>
      <c r="X142" s="11" t="e">
        <f ca="1">IF(History!AB$2="","",#REF!*$C$142)</f>
        <v>#REF!</v>
      </c>
      <c r="Y142" s="11" t="e">
        <f ca="1">IF(History!AC$2="","",#REF!*$C$142)</f>
        <v>#REF!</v>
      </c>
      <c r="Z142" s="11" t="e">
        <f ca="1">IF(History!AD$2="","",#REF!*$C$142)</f>
        <v>#REF!</v>
      </c>
      <c r="AA142" s="11" t="e">
        <f ca="1">IF(History!AE$2="","",#REF!*$C$142)</f>
        <v>#REF!</v>
      </c>
      <c r="AB142" s="11" t="e">
        <f ca="1">IF(History!AF$2="","",#REF!*$C$142)</f>
        <v>#REF!</v>
      </c>
      <c r="AC142" s="11" t="e">
        <f ca="1">IF(History!AG$2="","",#REF!*$C$142)</f>
        <v>#REF!</v>
      </c>
      <c r="AD142" s="11" t="e">
        <f ca="1">IF(History!AH$2="","",#REF!*$C$142)</f>
        <v>#REF!</v>
      </c>
      <c r="AE142" s="11" t="e">
        <f ca="1">IF(History!AI$2="","",#REF!*$C$142)</f>
        <v>#REF!</v>
      </c>
      <c r="AF142" s="11" t="e">
        <f ca="1">IF(History!AJ$2="","",#REF!*$C$142)</f>
        <v>#REF!</v>
      </c>
      <c r="AG142" s="11" t="e">
        <f ca="1">IF(History!AK$2="","",#REF!*$C$142)</f>
        <v>#REF!</v>
      </c>
      <c r="AH142" s="11" t="e">
        <f ca="1">IF(History!AL$2="","",#REF!*$C$142)</f>
        <v>#REF!</v>
      </c>
      <c r="AI142" s="11" t="e">
        <f ca="1">IF(History!AM$2="","",#REF!*$C$142)</f>
        <v>#REF!</v>
      </c>
      <c r="AJ142" s="11" t="e">
        <f ca="1">IF(History!AN$2="","",#REF!*$C$142)</f>
        <v>#REF!</v>
      </c>
      <c r="AK142" s="11" t="e">
        <f ca="1">IF(History!AO$2="","",#REF!*$C$142)</f>
        <v>#REF!</v>
      </c>
      <c r="AL142" s="11" t="e">
        <f ca="1">IF(History!AP$2="","",#REF!*$C$142)</f>
        <v>#REF!</v>
      </c>
      <c r="AM142" s="11" t="e">
        <f ca="1">IF(History!AQ$2="","",#REF!*$C$142)</f>
        <v>#REF!</v>
      </c>
      <c r="AN142" s="11" t="e">
        <f ca="1">IF(History!AR$2="","",#REF!*$C$142)</f>
        <v>#REF!</v>
      </c>
      <c r="AO142" s="11" t="e">
        <f ca="1">IF(History!AS$2="","",#REF!*$C$142)</f>
        <v>#REF!</v>
      </c>
      <c r="AP142" s="11" t="e">
        <f ca="1">IF(History!AT$2="","",#REF!*$C$142)</f>
        <v>#REF!</v>
      </c>
      <c r="AQ142" s="11" t="e">
        <f ca="1">IF(History!AU$2="","",#REF!*$C$142)</f>
        <v>#REF!</v>
      </c>
      <c r="AR142" s="11" t="e">
        <f ca="1">IF(History!AV$2="","",#REF!*$C$142)</f>
        <v>#REF!</v>
      </c>
      <c r="AS142" s="11" t="e">
        <f ca="1">IF(History!AW$2="","",#REF!*$C$142)</f>
        <v>#REF!</v>
      </c>
      <c r="AT142" s="11" t="e">
        <f ca="1">IF(History!AX$2="","",#REF!*$C$142)</f>
        <v>#REF!</v>
      </c>
      <c r="AU142" s="11" t="e">
        <f ca="1">IF(History!AY$2="","",#REF!*$C$142)</f>
        <v>#REF!</v>
      </c>
      <c r="AV142" s="11" t="e">
        <f ca="1">IF(History!AZ$2="","",#REF!*$C$142)</f>
        <v>#REF!</v>
      </c>
      <c r="AW142" s="11" t="e">
        <f ca="1">IF(History!BA$2="","",#REF!*$C$142)</f>
        <v>#REF!</v>
      </c>
      <c r="AX142" s="11" t="e">
        <f ca="1">IF(History!BB$2="","",#REF!*$C$142)</f>
        <v>#REF!</v>
      </c>
      <c r="AY142" s="11" t="e">
        <f ca="1">IF(History!BC$2="","",#REF!*$C$142)</f>
        <v>#REF!</v>
      </c>
      <c r="AZ142" s="11" t="e">
        <f ca="1">IF(History!BD$2="","",#REF!*$C$142)</f>
        <v>#REF!</v>
      </c>
      <c r="BA142" s="11" t="e">
        <f ca="1">IF(History!BE$2="","",#REF!*$C$142)</f>
        <v>#REF!</v>
      </c>
      <c r="BB142" s="11" t="e">
        <f ca="1">IF(History!BF$2="","",#REF!*$C$142)</f>
        <v>#REF!</v>
      </c>
      <c r="BC142" s="11" t="e">
        <f ca="1">IF(History!BG$2="","",#REF!*$C$142)</f>
        <v>#REF!</v>
      </c>
      <c r="BD142" s="11" t="e">
        <f ca="1">IF(History!BH$2="","",#REF!*$C$142)</f>
        <v>#REF!</v>
      </c>
      <c r="BE142" s="11" t="e">
        <f ca="1">IF(History!BI$2="","",#REF!*$C$142)</f>
        <v>#REF!</v>
      </c>
      <c r="BF142" s="11" t="e">
        <f ca="1">IF(History!BJ$2="","",#REF!*$C$142)</f>
        <v>#REF!</v>
      </c>
      <c r="BG142" s="11" t="e">
        <f ca="1">IF(History!BK$2="","",#REF!*$C$142)</f>
        <v>#REF!</v>
      </c>
      <c r="BH142" s="11" t="e">
        <f ca="1">IF(History!BL$2="","",#REF!*$C$142)</f>
        <v>#REF!</v>
      </c>
      <c r="BI142" s="11" t="e">
        <f ca="1">IF(History!BM$2="","",#REF!*$C$142)</f>
        <v>#REF!</v>
      </c>
      <c r="BJ142" s="11" t="e">
        <f ca="1">IF(History!BN$2="","",#REF!*$C$142)</f>
        <v>#REF!</v>
      </c>
      <c r="BK142" s="11" t="e">
        <f ca="1">IF(History!BO$2="","",#REF!*$C$142)</f>
        <v>#REF!</v>
      </c>
      <c r="BL142" s="11" t="e">
        <f ca="1">IF(History!BP$2="","",#REF!*$C$142)</f>
        <v>#REF!</v>
      </c>
      <c r="BM142" s="11" t="e">
        <f ca="1">IF(History!BQ$2="","",#REF!*$C$142)</f>
        <v>#REF!</v>
      </c>
      <c r="BN142" s="11" t="e">
        <f ca="1">IF(History!BR$2="","",#REF!*$C$142)</f>
        <v>#REF!</v>
      </c>
      <c r="BO142" s="11" t="e">
        <f ca="1">IF(History!BS$2="","",#REF!*$C$142)</f>
        <v>#REF!</v>
      </c>
      <c r="BP142" s="11" t="e">
        <f ca="1">IF(History!BT$2="","",#REF!*$C$142)</f>
        <v>#REF!</v>
      </c>
      <c r="BQ142" s="11" t="e">
        <f ca="1">IF(History!BU$2="","",#REF!*$C$142)</f>
        <v>#REF!</v>
      </c>
      <c r="BR142" s="11" t="e">
        <f ca="1">IF(History!BV$2="","",#REF!*$C$142)</f>
        <v>#REF!</v>
      </c>
      <c r="BS142" s="11" t="e">
        <f ca="1">IF(History!BW$2="","",#REF!*$C$142)</f>
        <v>#REF!</v>
      </c>
      <c r="BT142" s="11" t="e">
        <f ca="1">IF(History!BX$2="","",#REF!*$C$142)</f>
        <v>#REF!</v>
      </c>
      <c r="BU142" s="11" t="e">
        <f ca="1">IF(History!BY$2="","",#REF!*$C$142)</f>
        <v>#REF!</v>
      </c>
      <c r="BV142" s="11" t="e">
        <f ca="1">IF(History!BZ$2="","",#REF!*$C$142)</f>
        <v>#REF!</v>
      </c>
      <c r="BW142" s="11" t="e">
        <f ca="1">IF(History!CA$2="","",#REF!*$C$142)</f>
        <v>#REF!</v>
      </c>
      <c r="BX142" s="11" t="e">
        <f ca="1">IF(History!CB$2="","",#REF!*$C$142)</f>
        <v>#REF!</v>
      </c>
      <c r="BY142" s="11" t="e">
        <f ca="1">IF(History!CC$2="","",#REF!*$C$142)</f>
        <v>#REF!</v>
      </c>
      <c r="BZ142" s="11" t="e">
        <f ca="1">IF(History!CD$2="","",#REF!*$C$142)</f>
        <v>#REF!</v>
      </c>
      <c r="CA142" s="11" t="e">
        <f ca="1">IF(History!CE$2="","",#REF!*$C$142)</f>
        <v>#REF!</v>
      </c>
      <c r="CB142" s="11" t="e">
        <f ca="1">IF(History!CF$2="","",#REF!*$C$142)</f>
        <v>#REF!</v>
      </c>
      <c r="CC142" s="11" t="e">
        <f ca="1">IF(History!CG$2="","",#REF!*$C$142)</f>
        <v>#REF!</v>
      </c>
      <c r="CD142" s="11" t="e">
        <f ca="1">IF(History!CH$2="","",#REF!*$C$142)</f>
        <v>#REF!</v>
      </c>
      <c r="CE142" s="11" t="e">
        <f ca="1">IF(History!CI$2="","",#REF!*$C$142)</f>
        <v>#REF!</v>
      </c>
      <c r="CF142" s="11" t="str">
        <f ca="1">IF(History!CJ$2="","",#REF!*$C$142)</f>
        <v/>
      </c>
      <c r="CG142" s="11" t="str">
        <f ca="1">IF(History!CK$2="","",#REF!*$C$142)</f>
        <v/>
      </c>
      <c r="CH142" s="11" t="str">
        <f ca="1">IF(History!CL$2="","",#REF!*$C$142)</f>
        <v/>
      </c>
      <c r="CI142" s="11" t="str">
        <f ca="1">IF(History!CM$2="","",#REF!*$C$142)</f>
        <v/>
      </c>
      <c r="CJ142" s="11" t="str">
        <f ca="1">IF(History!CN$2="","",#REF!*$C$142)</f>
        <v/>
      </c>
      <c r="CK142" s="11" t="str">
        <f ca="1">IF(History!CO$2="","",#REF!*$C$142)</f>
        <v/>
      </c>
      <c r="CL142" s="11" t="str">
        <f ca="1">IF(History!CP$2="","",#REF!*$C$142)</f>
        <v/>
      </c>
      <c r="CM142" s="11" t="str">
        <f ca="1">IF(History!CQ$2="","",#REF!*$C$142)</f>
        <v/>
      </c>
      <c r="CN142" s="11" t="str">
        <f ca="1">IF(History!CR$2="","",#REF!*$C$142)</f>
        <v/>
      </c>
      <c r="CO142" s="11" t="str">
        <f ca="1">IF(History!CS$2="","",#REF!*$C$142)</f>
        <v/>
      </c>
      <c r="CP142" s="11" t="str">
        <f ca="1">IF(History!CT$2="","",#REF!*$C$142)</f>
        <v/>
      </c>
      <c r="CQ142" s="11" t="str">
        <f ca="1">IF(History!CU$2="","",#REF!*$C$142)</f>
        <v/>
      </c>
      <c r="CR142" s="11" t="str">
        <f ca="1">IF(History!CV$2="","",#REF!*$C$142)</f>
        <v/>
      </c>
      <c r="CS142" s="11" t="str">
        <f ca="1">IF(History!CW$2="","",#REF!*$C$142)</f>
        <v/>
      </c>
      <c r="CT142" s="11" t="str">
        <f ca="1">IF(History!CX$2="","",#REF!*$C$142)</f>
        <v/>
      </c>
      <c r="CU142" s="11" t="str">
        <f ca="1">IF(History!CY$2="","",#REF!*$C$142)</f>
        <v/>
      </c>
      <c r="CV142" s="11" t="str">
        <f ca="1">IF(History!CZ$2="","",#REF!*$C$142)</f>
        <v/>
      </c>
      <c r="CW142" s="11" t="str">
        <f ca="1">IF(History!DA$2="","",#REF!*$C$142)</f>
        <v/>
      </c>
      <c r="CX142" s="11" t="str">
        <f ca="1">IF(History!DB$2="","",#REF!*$C$142)</f>
        <v/>
      </c>
      <c r="CY142" s="11" t="str">
        <f ca="1">IF(History!DC$2="","",#REF!*$C$142)</f>
        <v/>
      </c>
      <c r="CZ142" s="11" t="str">
        <f ca="1">IF(History!DD$2="","",#REF!*$C$142)</f>
        <v/>
      </c>
      <c r="DA142" s="11" t="str">
        <f ca="1">IF(History!DE$2="","",#REF!*$C$142)</f>
        <v/>
      </c>
      <c r="DB142" s="11" t="str">
        <f ca="1">IF(History!DF$2="","",#REF!*$C$142)</f>
        <v/>
      </c>
      <c r="DC142" s="11" t="str">
        <f ca="1">IF(History!DG$2="","",#REF!*$C$142)</f>
        <v/>
      </c>
      <c r="DD142" s="11" t="str">
        <f ca="1">IF(History!DH$2="","",#REF!*$C$142)</f>
        <v/>
      </c>
      <c r="DE142" s="11" t="str">
        <f ca="1">IF(History!DI$2="","",#REF!*$C$142)</f>
        <v/>
      </c>
      <c r="DF142" s="11" t="str">
        <f ca="1">IF(History!DJ$2="","",#REF!*$C$142)</f>
        <v/>
      </c>
      <c r="DG142" s="11" t="str">
        <f ca="1">IF(History!DK$2="","",#REF!*$C$142)</f>
        <v/>
      </c>
      <c r="DH142" s="11" t="str">
        <f ca="1">IF(History!DL$2="","",#REF!*$C$142)</f>
        <v/>
      </c>
      <c r="DI142" s="11" t="str">
        <f ca="1">IF(History!DM$2="","",#REF!*$C$142)</f>
        <v/>
      </c>
      <c r="DJ142" s="11" t="str">
        <f ca="1">IF(History!DN$2="","",#REF!*$C$142)</f>
        <v/>
      </c>
      <c r="DK142" s="11" t="str">
        <f ca="1">IF(History!DO$2="","",#REF!*$C$142)</f>
        <v/>
      </c>
      <c r="DL142" s="11" t="str">
        <f ca="1">IF(History!DP$2="","",#REF!*$C$142)</f>
        <v/>
      </c>
      <c r="DM142" s="11" t="str">
        <f ca="1">IF(History!DQ$2="","",#REF!*$C$142)</f>
        <v/>
      </c>
      <c r="DN142" s="11" t="str">
        <f ca="1">IF(History!DR$2="","",#REF!*$C$142)</f>
        <v/>
      </c>
      <c r="DO142" s="11" t="str">
        <f ca="1">IF(History!DS$2="","",#REF!*$C$142)</f>
        <v/>
      </c>
      <c r="DP142" s="11" t="str">
        <f ca="1">IF(History!DT$2="","",#REF!*$C$142)</f>
        <v/>
      </c>
      <c r="DQ142" s="11" t="str">
        <f ca="1">IF(History!DU$2="","",#REF!*$C$142)</f>
        <v/>
      </c>
      <c r="DR142" s="11" t="str">
        <f ca="1">IF(History!DV$2="","",#REF!*$C$142)</f>
        <v/>
      </c>
      <c r="DS142" s="11" t="str">
        <f ca="1">IF(History!DW$2="","",#REF!*$C$142)</f>
        <v/>
      </c>
      <c r="DT142" s="11" t="str">
        <f ca="1">IF(History!DX$2="","",#REF!*$C$142)</f>
        <v/>
      </c>
      <c r="DU142" s="11" t="str">
        <f ca="1">IF(History!DY$2="","",#REF!*$C$142)</f>
        <v/>
      </c>
      <c r="DV142" s="11" t="str">
        <f ca="1">IF(History!DZ$2="","",#REF!*$C$142)</f>
        <v/>
      </c>
      <c r="DW142" s="11" t="str">
        <f ca="1">IF(History!EA$2="","",#REF!*$C$142)</f>
        <v/>
      </c>
      <c r="DX142" s="11" t="str">
        <f ca="1">IF(History!EB$2="","",#REF!*$C$142)</f>
        <v/>
      </c>
      <c r="DY142" s="11" t="str">
        <f ca="1">IF(History!EC$2="","",#REF!*$C$142)</f>
        <v/>
      </c>
      <c r="DZ142" s="11" t="str">
        <f ca="1">IF(History!ED$2="","",#REF!*$C$142)</f>
        <v/>
      </c>
      <c r="EA142" s="11" t="str">
        <f ca="1">IF(History!EE$2="","",#REF!*$C$142)</f>
        <v/>
      </c>
      <c r="EB142" s="11" t="str">
        <f ca="1">IF(History!EF$2="","",#REF!*$C$142)</f>
        <v/>
      </c>
      <c r="EC142" s="11" t="str">
        <f ca="1">IF(History!EG$2="","",#REF!*$C$142)</f>
        <v/>
      </c>
      <c r="ED142" s="11" t="str">
        <f ca="1">IF(History!EH$2="","",#REF!*$C$142)</f>
        <v/>
      </c>
      <c r="EE142" s="11" t="str">
        <f ca="1">IF(History!EI$2="","",#REF!*$C$142)</f>
        <v/>
      </c>
      <c r="EF142" s="11" t="str">
        <f ca="1">IF(History!EJ$2="","",#REF!*$C$142)</f>
        <v/>
      </c>
      <c r="EG142" s="11" t="str">
        <f ca="1">IF(History!EK$2="","",#REF!*$C$142)</f>
        <v/>
      </c>
      <c r="EH142" s="11" t="str">
        <f ca="1">IF(History!EL$2="","",#REF!*$C$142)</f>
        <v/>
      </c>
      <c r="EI142" s="11" t="str">
        <f ca="1">IF(History!EM$2="","",#REF!*$C$142)</f>
        <v/>
      </c>
      <c r="EJ142" s="11" t="str">
        <f ca="1">IF(History!EN$2="","",#REF!*$C$142)</f>
        <v/>
      </c>
      <c r="EK142" s="11" t="str">
        <f ca="1">IF(History!EO$2="","",#REF!*$C$142)</f>
        <v/>
      </c>
      <c r="EL142" s="11" t="str">
        <f ca="1">IF(History!EP$2="","",#REF!*$C$142)</f>
        <v/>
      </c>
      <c r="EM142" s="11" t="str">
        <f ca="1">IF(History!EQ$2="","",#REF!*$C$142)</f>
        <v/>
      </c>
      <c r="EN142" s="11" t="str">
        <f ca="1">IF(History!ER$2="","",#REF!*$C$142)</f>
        <v/>
      </c>
      <c r="EO142" s="11" t="str">
        <f ca="1">IF(History!ES$2="","",#REF!*$C$142)</f>
        <v/>
      </c>
      <c r="EP142" s="11" t="str">
        <f ca="1">IF(History!ET$2="","",#REF!*$C$142)</f>
        <v/>
      </c>
      <c r="EQ142" s="11" t="str">
        <f ca="1">IF(History!EU$2="","",#REF!*$C$142)</f>
        <v/>
      </c>
      <c r="ER142" s="11" t="str">
        <f ca="1">IF(History!EV$2="","",#REF!*$C$142)</f>
        <v/>
      </c>
      <c r="ES142" s="11" t="str">
        <f ca="1">IF(History!EW$2="","",#REF!*$C$142)</f>
        <v/>
      </c>
      <c r="ET142" s="11" t="str">
        <f ca="1">IF(History!EX$2="","",#REF!*$C$142)</f>
        <v/>
      </c>
      <c r="EU142" s="11" t="str">
        <f ca="1">IF(History!EY$2="","",#REF!*$C$142)</f>
        <v/>
      </c>
      <c r="EV142" s="11" t="str">
        <f ca="1">IF(History!EZ$2="","",#REF!*$C$142)</f>
        <v/>
      </c>
      <c r="EW142" s="11" t="str">
        <f ca="1">IF(History!FA$2="","",#REF!*$C$142)</f>
        <v/>
      </c>
      <c r="EX142" s="11" t="str">
        <f ca="1">IF(History!FB$2="","",#REF!*$C$142)</f>
        <v/>
      </c>
      <c r="EY142" s="11" t="str">
        <f ca="1">IF(History!FC$2="","",#REF!*$C$142)</f>
        <v/>
      </c>
      <c r="EZ142" s="11" t="str">
        <f ca="1">IF(History!FD$2="","",#REF!*$C$142)</f>
        <v/>
      </c>
      <c r="FA142" s="11" t="str">
        <f ca="1">IF(History!FE$2="","",#REF!*$C$142)</f>
        <v/>
      </c>
      <c r="FB142" s="11" t="str">
        <f ca="1">IF(History!FF$2="","",#REF!*$C$142)</f>
        <v/>
      </c>
      <c r="FC142" s="11" t="str">
        <f ca="1">IF(History!FG$2="","",#REF!*$C$142)</f>
        <v/>
      </c>
      <c r="FD142" s="11" t="str">
        <f ca="1">IF(History!FH$2="","",#REF!*$C$142)</f>
        <v/>
      </c>
      <c r="FE142" s="11" t="str">
        <f ca="1">IF(History!FI$2="","",#REF!*$C$142)</f>
        <v/>
      </c>
      <c r="FF142" s="11" t="str">
        <f ca="1">IF(History!FJ$2="","",#REF!*$C$142)</f>
        <v/>
      </c>
      <c r="FG142" s="11" t="str">
        <f ca="1">IF(History!FK$2="","",#REF!*$C$142)</f>
        <v/>
      </c>
      <c r="FH142" s="11" t="str">
        <f ca="1">IF(History!FL$2="","",#REF!*$C$142)</f>
        <v/>
      </c>
      <c r="FI142" s="11" t="str">
        <f ca="1">IF(History!FM$2="","",#REF!*$C$142)</f>
        <v/>
      </c>
      <c r="FJ142" s="11" t="str">
        <f ca="1">IF(History!FN$2="","",#REF!*$C$142)</f>
        <v/>
      </c>
      <c r="FK142" s="11" t="str">
        <f ca="1">IF(History!FO$2="","",#REF!*$C$142)</f>
        <v/>
      </c>
      <c r="FL142" s="11" t="str">
        <f ca="1">IF(History!FP$2="","",#REF!*$C$142)</f>
        <v/>
      </c>
      <c r="FM142" s="11" t="str">
        <f ca="1">IF(History!FQ$2="","",#REF!*$C$142)</f>
        <v/>
      </c>
      <c r="FN142" s="11" t="str">
        <f ca="1">IF(History!FR$2="","",#REF!*$C$142)</f>
        <v/>
      </c>
      <c r="FO142" s="11" t="str">
        <f ca="1">IF(History!FS$2="","",#REF!*$C$142)</f>
        <v/>
      </c>
      <c r="FP142" s="11" t="str">
        <f ca="1">IF(History!FT$2="","",#REF!*$C$142)</f>
        <v/>
      </c>
      <c r="FQ142" s="11" t="str">
        <f ca="1">IF(History!FU$2="","",#REF!*$C$142)</f>
        <v/>
      </c>
      <c r="FR142" s="11" t="str">
        <f ca="1">IF(History!FV$2="","",#REF!*$C$142)</f>
        <v/>
      </c>
      <c r="FS142" s="11" t="str">
        <f ca="1">IF(History!FW$2="","",#REF!*$C$142)</f>
        <v/>
      </c>
      <c r="FT142" s="11" t="str">
        <f ca="1">IF(History!FX$2="","",#REF!*$C$142)</f>
        <v/>
      </c>
      <c r="FU142" s="11" t="str">
        <f ca="1">IF(History!FY$2="","",#REF!*$C$142)</f>
        <v/>
      </c>
      <c r="FV142" s="11" t="str">
        <f ca="1">IF(History!FZ$2="","",#REF!*$C$142)</f>
        <v/>
      </c>
      <c r="FW142" s="11" t="str">
        <f ca="1">IF(History!GA$2="","",#REF!*$C$142)</f>
        <v/>
      </c>
      <c r="FX142" s="11" t="str">
        <f ca="1">IF(History!GB$2="","",#REF!*$C$142)</f>
        <v/>
      </c>
      <c r="FY142" s="11" t="str">
        <f ca="1">IF(History!GC$2="","",#REF!*$C$142)</f>
        <v/>
      </c>
      <c r="FZ142" s="11" t="str">
        <f ca="1">IF(History!GD$2="","",#REF!*$C$142)</f>
        <v/>
      </c>
      <c r="GA142" s="11" t="str">
        <f ca="1">IF(History!GE$2="","",#REF!*$C$142)</f>
        <v/>
      </c>
      <c r="GB142" s="11" t="str">
        <f ca="1">IF(History!GF$2="","",#REF!*$C$142)</f>
        <v/>
      </c>
      <c r="GC142" s="11" t="str">
        <f ca="1">IF(History!GG$2="","",#REF!*$C$142)</f>
        <v/>
      </c>
      <c r="GD142" s="11" t="str">
        <f ca="1">IF(History!GH$2="","",#REF!*$C$142)</f>
        <v/>
      </c>
      <c r="GE142" s="11" t="str">
        <f ca="1">IF(History!GI$2="","",#REF!*$C$142)</f>
        <v/>
      </c>
      <c r="GF142" s="11" t="str">
        <f ca="1">IF(History!GJ$2="","",#REF!*$C$142)</f>
        <v/>
      </c>
      <c r="GG142" s="11" t="str">
        <f ca="1">IF(History!GK$2="","",#REF!*$C$142)</f>
        <v/>
      </c>
      <c r="GH142" s="11" t="str">
        <f ca="1">IF(History!GL$2="","",#REF!*$C$142)</f>
        <v/>
      </c>
      <c r="GI142" s="11" t="str">
        <f ca="1">IF(History!GM$2="","",#REF!*$C$142)</f>
        <v/>
      </c>
      <c r="GJ142" s="11" t="str">
        <f ca="1">IF(History!GN$2="","",#REF!*$C$142)</f>
        <v/>
      </c>
      <c r="GK142" s="11" t="str">
        <f ca="1">IF(History!GO$2="","",#REF!*$C$142)</f>
        <v/>
      </c>
      <c r="GL142" s="11" t="str">
        <f ca="1">IF(History!GP$2="","",#REF!*$C$142)</f>
        <v/>
      </c>
      <c r="GM142" s="11" t="str">
        <f ca="1">IF(History!GQ$2="","",#REF!*$C$142)</f>
        <v/>
      </c>
      <c r="GN142" s="11" t="str">
        <f ca="1">IF(History!GR$2="","",#REF!*$C$142)</f>
        <v/>
      </c>
      <c r="GO142" s="11" t="str">
        <f ca="1">IF(History!GS$2="","",#REF!*$C$142)</f>
        <v/>
      </c>
      <c r="GP142" s="11" t="str">
        <f ca="1">IF(History!GT$2="","",#REF!*$C$142)</f>
        <v/>
      </c>
      <c r="GQ142" s="11" t="str">
        <f ca="1">IF(History!GU$2="","",#REF!*$C$142)</f>
        <v/>
      </c>
      <c r="GR142" s="11" t="str">
        <f ca="1">IF(History!GV$2="","",#REF!*$C$142)</f>
        <v/>
      </c>
      <c r="GS142" s="11" t="str">
        <f ca="1">IF(History!GW$2="","",#REF!*$C$142)</f>
        <v/>
      </c>
      <c r="GT142" s="11" t="str">
        <f ca="1">IF(History!GX$2="","",#REF!*$C$142)</f>
        <v/>
      </c>
      <c r="GU142" s="11" t="str">
        <f ca="1">IF(History!GY$2="","",#REF!*$C$142)</f>
        <v/>
      </c>
      <c r="GV142" s="11" t="str">
        <f ca="1">IF(History!GZ$2="","",#REF!*$C$142)</f>
        <v/>
      </c>
      <c r="GW142" s="11" t="str">
        <f ca="1">IF(History!HA$2="","",#REF!*$C$142)</f>
        <v/>
      </c>
      <c r="GX142" s="11" t="str">
        <f ca="1">IF(History!HB$2="","",#REF!*$C$142)</f>
        <v/>
      </c>
      <c r="GY142" s="11" t="str">
        <f ca="1">IF(History!HC$2="","",#REF!*$C$142)</f>
        <v/>
      </c>
      <c r="GZ142" s="11" t="str">
        <f ca="1">IF(History!HD$2="","",#REF!*$C$142)</f>
        <v/>
      </c>
      <c r="HA142" s="11" t="str">
        <f ca="1">IF(History!HE$2="","",#REF!*$C$142)</f>
        <v/>
      </c>
      <c r="HB142" s="11" t="str">
        <f ca="1">IF(History!HF$2="","",#REF!*$C$142)</f>
        <v/>
      </c>
      <c r="HC142" s="11" t="str">
        <f ca="1">IF(History!HG$2="","",#REF!*$C$142)</f>
        <v/>
      </c>
      <c r="HD142" s="11" t="str">
        <f ca="1">IF(History!HH$2="","",#REF!*$C$142)</f>
        <v/>
      </c>
      <c r="HE142" s="11" t="str">
        <f ca="1">IF(History!HI$2="","",#REF!*$C$142)</f>
        <v/>
      </c>
      <c r="HF142" s="11" t="str">
        <f ca="1">IF(History!HJ$2="","",#REF!*$C$142)</f>
        <v/>
      </c>
      <c r="HG142" s="11" t="str">
        <f ca="1">IF(History!HK$2="","",#REF!*$C$142)</f>
        <v/>
      </c>
      <c r="HH142" s="11" t="str">
        <f ca="1">IF(History!HL$2="","",#REF!*$C$142)</f>
        <v/>
      </c>
      <c r="HI142" s="11" t="str">
        <f ca="1">IF(History!HM$2="","",#REF!*$C$142)</f>
        <v/>
      </c>
      <c r="HJ142" s="11" t="str">
        <f ca="1">IF(History!HN$2="","",#REF!*$C$142)</f>
        <v/>
      </c>
      <c r="HK142" s="11" t="str">
        <f ca="1">IF(History!HO$2="","",#REF!*$C$142)</f>
        <v/>
      </c>
      <c r="HL142" s="11" t="str">
        <f ca="1">IF(History!HP$2="","",#REF!*$C$142)</f>
        <v/>
      </c>
      <c r="HM142" s="11" t="str">
        <f ca="1">IF(History!HQ$2="","",#REF!*$C$142)</f>
        <v/>
      </c>
      <c r="HN142" s="11" t="str">
        <f ca="1">IF(History!HR$2="","",#REF!*$C$142)</f>
        <v/>
      </c>
      <c r="HO142" s="11" t="str">
        <f ca="1">IF(History!HS$2="","",#REF!*$C$142)</f>
        <v/>
      </c>
      <c r="HP142" s="11" t="str">
        <f ca="1">IF(History!HT$2="","",#REF!*$C$142)</f>
        <v/>
      </c>
      <c r="HQ142" s="11" t="str">
        <f ca="1">IF(History!HU$2="","",#REF!*$C$142)</f>
        <v/>
      </c>
      <c r="HR142" s="11" t="str">
        <f ca="1">IF(History!HV$2="","",#REF!*$C$142)</f>
        <v/>
      </c>
      <c r="HS142" s="11" t="str">
        <f ca="1">IF(History!HW$2="","",#REF!*$C$142)</f>
        <v/>
      </c>
      <c r="HT142" s="11" t="str">
        <f ca="1">IF(History!HX$2="","",#REF!*$C$142)</f>
        <v/>
      </c>
      <c r="HU142" s="11" t="str">
        <f ca="1">IF(History!HY$2="","",#REF!*$C$142)</f>
        <v/>
      </c>
      <c r="HV142" s="11" t="str">
        <f ca="1">IF(History!HZ$2="","",#REF!*$C$142)</f>
        <v/>
      </c>
      <c r="HW142" s="11" t="str">
        <f ca="1">IF(History!IA$2="","",#REF!*$C$142)</f>
        <v/>
      </c>
      <c r="HX142" s="11" t="str">
        <f ca="1">IF(History!IB$2="","",#REF!*$C$142)</f>
        <v/>
      </c>
      <c r="HY142" s="11" t="str">
        <f ca="1">IF(History!IC$2="","",#REF!*$C$142)</f>
        <v/>
      </c>
      <c r="HZ142" s="11" t="str">
        <f ca="1">IF(History!ID$2="","",#REF!*$C$142)</f>
        <v/>
      </c>
      <c r="IA142" s="11" t="str">
        <f ca="1">IF(History!IE$2="","",#REF!*$C$142)</f>
        <v/>
      </c>
      <c r="IB142" s="11" t="str">
        <f ca="1">IF(History!IF$2="","",#REF!*$C$142)</f>
        <v/>
      </c>
      <c r="IC142" s="11" t="str">
        <f ca="1">IF(History!IG$2="","",#REF!*$C$142)</f>
        <v/>
      </c>
      <c r="ID142" s="11" t="str">
        <f ca="1">IF(History!IH$2="","",#REF!*$C$142)</f>
        <v/>
      </c>
      <c r="IE142" s="11" t="str">
        <f ca="1">IF(History!II$2="","",#REF!*$C$142)</f>
        <v/>
      </c>
      <c r="IF142" s="11" t="str">
        <f ca="1">IF(History!IJ$2="","",#REF!*$C$142)</f>
        <v/>
      </c>
      <c r="IG142" s="11" t="str">
        <f ca="1">IF(History!IK$2="","",#REF!*$C$142)</f>
        <v/>
      </c>
      <c r="IH142" s="11" t="str">
        <f ca="1">IF(History!IL$2="","",#REF!*$C$142)</f>
        <v/>
      </c>
      <c r="II142" s="11" t="str">
        <f ca="1">IF(History!IM$2="","",#REF!*$C$142)</f>
        <v/>
      </c>
      <c r="IJ142" s="11" t="str">
        <f ca="1">IF(History!IN$2="","",#REF!*$C$142)</f>
        <v/>
      </c>
      <c r="IK142" s="11" t="str">
        <f ca="1">IF(History!IO$2="","",#REF!*$C$142)</f>
        <v/>
      </c>
      <c r="IL142" s="11" t="str">
        <f ca="1">IF(History!IP$2="","",#REF!*$C$142)</f>
        <v/>
      </c>
      <c r="IM142" s="11" t="str">
        <f ca="1">IF(History!IQ$2="","",#REF!*$C$142)</f>
        <v/>
      </c>
      <c r="IN142" s="11" t="str">
        <f ca="1">IF(History!IR$2="","",#REF!*$C$142)</f>
        <v/>
      </c>
      <c r="IO142" s="11" t="str">
        <f ca="1">IF(History!IS$2="","",#REF!*$C$142)</f>
        <v/>
      </c>
      <c r="IP142" s="11" t="str">
        <f ca="1">IF(History!IT$2="","",#REF!*$C$142)</f>
        <v/>
      </c>
      <c r="IQ142" s="11" t="str">
        <f ca="1">IF(History!IU$2="","",#REF!*$C$142)</f>
        <v/>
      </c>
      <c r="IR142" s="11" t="str">
        <f ca="1">IF(History!IV$2="","",#REF!*$C$142)</f>
        <v/>
      </c>
      <c r="IS142" s="11" t="str">
        <f ca="1">IF(History!IW$2="","",#REF!*$C$142)</f>
        <v/>
      </c>
      <c r="IT142" s="11" t="str">
        <f ca="1">IF(History!IX$2="","",#REF!*$C$142)</f>
        <v/>
      </c>
      <c r="IU142" s="11" t="str">
        <f ca="1">IF(History!IY$2="","",#REF!*$C$142)</f>
        <v/>
      </c>
      <c r="IV142" s="11" t="str">
        <f ca="1">IF(History!IZ$2="","",#REF!*$C$142)</f>
        <v/>
      </c>
      <c r="IW142" s="11" t="str">
        <f ca="1">IF(History!JA$2="","",#REF!*$C$142)</f>
        <v/>
      </c>
      <c r="IX142" s="11" t="str">
        <f ca="1">IF(History!JB$2="","",#REF!*$C$142)</f>
        <v/>
      </c>
      <c r="IY142" s="11" t="str">
        <f ca="1">IF(History!JC$2="","",#REF!*$C$142)</f>
        <v/>
      </c>
      <c r="IZ142" s="11" t="str">
        <f ca="1">IF(History!JD$2="","",#REF!*$C$142)</f>
        <v/>
      </c>
      <c r="JA142" s="11" t="str">
        <f ca="1">IF(History!JE$2="","",#REF!*$C$142)</f>
        <v/>
      </c>
      <c r="JB142" s="11" t="str">
        <f ca="1">IF(History!JF$2="","",#REF!*$C$142)</f>
        <v/>
      </c>
      <c r="JC142" s="11" t="str">
        <f ca="1">IF(History!JG$2="","",#REF!*$C$142)</f>
        <v/>
      </c>
      <c r="JD142" s="11" t="str">
        <f ca="1">IF(History!JH$2="","",#REF!*$C$142)</f>
        <v/>
      </c>
      <c r="JE142" s="11" t="str">
        <f ca="1">IF(History!JI$2="","",#REF!*$C$142)</f>
        <v/>
      </c>
      <c r="JF142" s="11" t="str">
        <f ca="1">IF(History!JJ$2="","",#REF!*$C$142)</f>
        <v/>
      </c>
      <c r="JG142" s="11" t="str">
        <f ca="1">IF(History!JK$2="","",#REF!*$C$142)</f>
        <v/>
      </c>
      <c r="JH142" s="11" t="str">
        <f ca="1">IF(History!JL$2="","",#REF!*$C$142)</f>
        <v/>
      </c>
      <c r="JI142" s="11" t="str">
        <f ca="1">IF(History!JM$2="","",#REF!*$C$142)</f>
        <v/>
      </c>
      <c r="JJ142" s="11" t="str">
        <f ca="1">IF(History!JN$2="","",#REF!*$C$142)</f>
        <v/>
      </c>
      <c r="JK142" s="11" t="str">
        <f ca="1">IF(History!JO$2="","",#REF!*$C$142)</f>
        <v/>
      </c>
      <c r="JL142" s="11" t="str">
        <f ca="1">IF(History!JP$2="","",#REF!*$C$142)</f>
        <v/>
      </c>
      <c r="JM142" s="11" t="str">
        <f ca="1">IF(History!JQ$2="","",#REF!*$C$142)</f>
        <v/>
      </c>
      <c r="JN142" s="11" t="str">
        <f ca="1">IF(History!JR$2="","",#REF!*$C$142)</f>
        <v/>
      </c>
      <c r="JO142" s="11" t="str">
        <f ca="1">IF(History!JS$2="","",#REF!*$C$142)</f>
        <v/>
      </c>
      <c r="JP142" s="11" t="str">
        <f ca="1">IF(History!JT$2="","",#REF!*$C$142)</f>
        <v/>
      </c>
      <c r="JQ142" s="11" t="str">
        <f ca="1">IF(History!JU$2="","",#REF!*$C$142)</f>
        <v/>
      </c>
      <c r="JR142" s="11" t="str">
        <f ca="1">IF(History!JV$2="","",#REF!*$C$142)</f>
        <v/>
      </c>
      <c r="JS142" s="11" t="str">
        <f ca="1">IF(History!JW$2="","",#REF!*$C$142)</f>
        <v/>
      </c>
      <c r="JT142" s="11" t="str">
        <f ca="1">IF(History!JX$2="","",#REF!*$C$142)</f>
        <v/>
      </c>
      <c r="JU142" s="11" t="str">
        <f ca="1">IF(History!JY$2="","",#REF!*$C$142)</f>
        <v/>
      </c>
      <c r="JV142" s="11" t="str">
        <f ca="1">IF(History!JZ$2="","",#REF!*$C$142)</f>
        <v/>
      </c>
      <c r="JW142" s="11" t="str">
        <f ca="1">IF(History!KA$2="","",#REF!*$C$142)</f>
        <v/>
      </c>
      <c r="JX142" s="11" t="str">
        <f ca="1">IF(History!KB$2="","",#REF!*$C$142)</f>
        <v/>
      </c>
      <c r="JY142" s="11" t="str">
        <f ca="1">IF(History!KC$2="","",#REF!*$C$142)</f>
        <v/>
      </c>
      <c r="JZ142" s="11" t="str">
        <f ca="1">IF(History!KD$2="","",#REF!*$C$142)</f>
        <v/>
      </c>
      <c r="KA142" s="11" t="str">
        <f ca="1">IF(History!KE$2="","",#REF!*$C$142)</f>
        <v/>
      </c>
      <c r="KB142" s="11" t="str">
        <f ca="1">IF(History!KF$2="","",#REF!*$C$142)</f>
        <v/>
      </c>
    </row>
    <row r="143" spans="1:288" ht="13">
      <c r="A143" s="2" t="s">
        <v>40</v>
      </c>
      <c r="B143" s="32" t="s">
        <v>130</v>
      </c>
      <c r="C143" s="33">
        <v>189</v>
      </c>
      <c r="D143" s="11" t="e">
        <f ca="1">IF(History!H$2="","",#REF!*$C$143)</f>
        <v>#REF!</v>
      </c>
      <c r="E143" s="11" t="e">
        <f ca="1">IF(History!I$2="","",#REF!*$C$143)</f>
        <v>#REF!</v>
      </c>
      <c r="F143" s="11" t="e">
        <f ca="1">IF(History!J$2="","",#REF!*$C$143)</f>
        <v>#REF!</v>
      </c>
      <c r="G143" s="11" t="e">
        <f ca="1">IF(History!K$2="","",#REF!*$C$143)</f>
        <v>#REF!</v>
      </c>
      <c r="H143" s="11" t="e">
        <f ca="1">IF(History!L$2="","",#REF!*$C$143)</f>
        <v>#REF!</v>
      </c>
      <c r="I143" s="11" t="e">
        <f ca="1">IF(History!M$2="","",#REF!*$C$143)</f>
        <v>#REF!</v>
      </c>
      <c r="J143" s="11" t="e">
        <f ca="1">IF(History!N$2="","",#REF!*$C$143)</f>
        <v>#REF!</v>
      </c>
      <c r="K143" s="11" t="e">
        <f ca="1">IF(History!O$2="","",#REF!*$C$143)</f>
        <v>#REF!</v>
      </c>
      <c r="L143" s="11" t="e">
        <f ca="1">IF(History!P$2="","",#REF!*$C$143)</f>
        <v>#REF!</v>
      </c>
      <c r="M143" s="11" t="e">
        <f ca="1">IF(History!Q$2="","",#REF!*$C$143)</f>
        <v>#REF!</v>
      </c>
      <c r="N143" s="11" t="e">
        <f ca="1">IF(History!R$2="","",#REF!*$C$143)</f>
        <v>#REF!</v>
      </c>
      <c r="O143" s="11" t="e">
        <f ca="1">IF(History!S$2="","",#REF!*$C$143)</f>
        <v>#REF!</v>
      </c>
      <c r="P143" s="11" t="e">
        <f ca="1">IF(History!T$2="","",#REF!*$C$143)</f>
        <v>#REF!</v>
      </c>
      <c r="Q143" s="11" t="e">
        <f ca="1">IF(History!U$2="","",#REF!*$C$143)</f>
        <v>#REF!</v>
      </c>
      <c r="R143" s="11" t="e">
        <f ca="1">IF(History!V$2="","",#REF!*$C$143)</f>
        <v>#REF!</v>
      </c>
      <c r="S143" s="11" t="e">
        <f ca="1">IF(History!W$2="","",#REF!*$C$143)</f>
        <v>#REF!</v>
      </c>
      <c r="T143" s="11" t="e">
        <f ca="1">IF(History!X$2="","",#REF!*$C$143)</f>
        <v>#REF!</v>
      </c>
      <c r="U143" s="11" t="e">
        <f ca="1">IF(History!Y$2="","",#REF!*$C$143)</f>
        <v>#REF!</v>
      </c>
      <c r="V143" s="11" t="e">
        <f ca="1">IF(History!Z$2="","",#REF!*$C$143)</f>
        <v>#REF!</v>
      </c>
      <c r="W143" s="11" t="e">
        <f ca="1">IF(History!AA$2="","",#REF!*$C$143)</f>
        <v>#REF!</v>
      </c>
      <c r="X143" s="11" t="e">
        <f ca="1">IF(History!AB$2="","",#REF!*$C$143)</f>
        <v>#REF!</v>
      </c>
      <c r="Y143" s="11" t="e">
        <f ca="1">IF(History!AC$2="","",#REF!*$C$143)</f>
        <v>#REF!</v>
      </c>
      <c r="Z143" s="11" t="e">
        <f ca="1">IF(History!AD$2="","",#REF!*$C$143)</f>
        <v>#REF!</v>
      </c>
      <c r="AA143" s="11" t="e">
        <f ca="1">IF(History!AE$2="","",#REF!*$C$143)</f>
        <v>#REF!</v>
      </c>
      <c r="AB143" s="11" t="e">
        <f ca="1">IF(History!AF$2="","",#REF!*$C$143)</f>
        <v>#REF!</v>
      </c>
      <c r="AC143" s="11" t="e">
        <f ca="1">IF(History!AG$2="","",#REF!*$C$143)</f>
        <v>#REF!</v>
      </c>
      <c r="AD143" s="11" t="e">
        <f ca="1">IF(History!AH$2="","",#REF!*$C$143)</f>
        <v>#REF!</v>
      </c>
      <c r="AE143" s="11" t="e">
        <f ca="1">IF(History!AI$2="","",#REF!*$C$143)</f>
        <v>#REF!</v>
      </c>
      <c r="AF143" s="11" t="e">
        <f ca="1">IF(History!AJ$2="","",#REF!*$C$143)</f>
        <v>#REF!</v>
      </c>
      <c r="AG143" s="11" t="e">
        <f ca="1">IF(History!AK$2="","",#REF!*$C$143)</f>
        <v>#REF!</v>
      </c>
      <c r="AH143" s="11" t="e">
        <f ca="1">IF(History!AL$2="","",#REF!*$C$143)</f>
        <v>#REF!</v>
      </c>
      <c r="AI143" s="11" t="e">
        <f ca="1">IF(History!AM$2="","",#REF!*$C$143)</f>
        <v>#REF!</v>
      </c>
      <c r="AJ143" s="11" t="e">
        <f ca="1">IF(History!AN$2="","",#REF!*$C$143)</f>
        <v>#REF!</v>
      </c>
      <c r="AK143" s="11" t="e">
        <f ca="1">IF(History!AO$2="","",#REF!*$C$143)</f>
        <v>#REF!</v>
      </c>
      <c r="AL143" s="11" t="e">
        <f ca="1">IF(History!AP$2="","",#REF!*$C$143)</f>
        <v>#REF!</v>
      </c>
      <c r="AM143" s="11" t="e">
        <f ca="1">IF(History!AQ$2="","",#REF!*$C$143)</f>
        <v>#REF!</v>
      </c>
      <c r="AN143" s="11" t="e">
        <f ca="1">IF(History!AR$2="","",#REF!*$C$143)</f>
        <v>#REF!</v>
      </c>
      <c r="AO143" s="11" t="e">
        <f ca="1">IF(History!AS$2="","",#REF!*$C$143)</f>
        <v>#REF!</v>
      </c>
      <c r="AP143" s="11" t="e">
        <f ca="1">IF(History!AT$2="","",#REF!*$C$143)</f>
        <v>#REF!</v>
      </c>
      <c r="AQ143" s="11" t="e">
        <f ca="1">IF(History!AU$2="","",#REF!*$C$143)</f>
        <v>#REF!</v>
      </c>
      <c r="AR143" s="11" t="e">
        <f ca="1">IF(History!AV$2="","",#REF!*$C$143)</f>
        <v>#REF!</v>
      </c>
      <c r="AS143" s="11" t="e">
        <f ca="1">IF(History!AW$2="","",#REF!*$C$143)</f>
        <v>#REF!</v>
      </c>
      <c r="AT143" s="11" t="e">
        <f ca="1">IF(History!AX$2="","",#REF!*$C$143)</f>
        <v>#REF!</v>
      </c>
      <c r="AU143" s="11" t="e">
        <f ca="1">IF(History!AY$2="","",#REF!*$C$143)</f>
        <v>#REF!</v>
      </c>
      <c r="AV143" s="11" t="e">
        <f ca="1">IF(History!AZ$2="","",#REF!*$C$143)</f>
        <v>#REF!</v>
      </c>
      <c r="AW143" s="11" t="e">
        <f ca="1">IF(History!BA$2="","",#REF!*$C$143)</f>
        <v>#REF!</v>
      </c>
      <c r="AX143" s="11" t="e">
        <f ca="1">IF(History!BB$2="","",#REF!*$C$143)</f>
        <v>#REF!</v>
      </c>
      <c r="AY143" s="11" t="e">
        <f ca="1">IF(History!BC$2="","",#REF!*$C$143)</f>
        <v>#REF!</v>
      </c>
      <c r="AZ143" s="11" t="e">
        <f ca="1">IF(History!BD$2="","",#REF!*$C$143)</f>
        <v>#REF!</v>
      </c>
      <c r="BA143" s="11" t="e">
        <f ca="1">IF(History!BE$2="","",#REF!*$C$143)</f>
        <v>#REF!</v>
      </c>
      <c r="BB143" s="11" t="e">
        <f ca="1">IF(History!BF$2="","",#REF!*$C$143)</f>
        <v>#REF!</v>
      </c>
      <c r="BC143" s="11" t="e">
        <f ca="1">IF(History!BG$2="","",#REF!*$C$143)</f>
        <v>#REF!</v>
      </c>
      <c r="BD143" s="11" t="e">
        <f ca="1">IF(History!BH$2="","",#REF!*$C$143)</f>
        <v>#REF!</v>
      </c>
      <c r="BE143" s="11" t="e">
        <f ca="1">IF(History!BI$2="","",#REF!*$C$143)</f>
        <v>#REF!</v>
      </c>
      <c r="BF143" s="11" t="e">
        <f ca="1">IF(History!BJ$2="","",#REF!*$C$143)</f>
        <v>#REF!</v>
      </c>
      <c r="BG143" s="11" t="e">
        <f ca="1">IF(History!BK$2="","",#REF!*$C$143)</f>
        <v>#REF!</v>
      </c>
      <c r="BH143" s="11" t="e">
        <f ca="1">IF(History!BL$2="","",#REF!*$C$143)</f>
        <v>#REF!</v>
      </c>
      <c r="BI143" s="11" t="e">
        <f ca="1">IF(History!BM$2="","",#REF!*$C$143)</f>
        <v>#REF!</v>
      </c>
      <c r="BJ143" s="11" t="e">
        <f ca="1">IF(History!BN$2="","",#REF!*$C$143)</f>
        <v>#REF!</v>
      </c>
      <c r="BK143" s="11" t="e">
        <f ca="1">IF(History!BO$2="","",#REF!*$C$143)</f>
        <v>#REF!</v>
      </c>
      <c r="BL143" s="11" t="e">
        <f ca="1">IF(History!BP$2="","",#REF!*$C$143)</f>
        <v>#REF!</v>
      </c>
      <c r="BM143" s="11" t="e">
        <f ca="1">IF(History!BQ$2="","",#REF!*$C$143)</f>
        <v>#REF!</v>
      </c>
      <c r="BN143" s="11" t="e">
        <f ca="1">IF(History!BR$2="","",#REF!*$C$143)</f>
        <v>#REF!</v>
      </c>
      <c r="BO143" s="11" t="e">
        <f ca="1">IF(History!BS$2="","",#REF!*$C$143)</f>
        <v>#REF!</v>
      </c>
      <c r="BP143" s="11" t="e">
        <f ca="1">IF(History!BT$2="","",#REF!*$C$143)</f>
        <v>#REF!</v>
      </c>
      <c r="BQ143" s="11" t="e">
        <f ca="1">IF(History!BU$2="","",#REF!*$C$143)</f>
        <v>#REF!</v>
      </c>
      <c r="BR143" s="11" t="e">
        <f ca="1">IF(History!BV$2="","",#REF!*$C$143)</f>
        <v>#REF!</v>
      </c>
      <c r="BS143" s="11" t="e">
        <f ca="1">IF(History!BW$2="","",#REF!*$C$143)</f>
        <v>#REF!</v>
      </c>
      <c r="BT143" s="11" t="e">
        <f ca="1">IF(History!BX$2="","",#REF!*$C$143)</f>
        <v>#REF!</v>
      </c>
      <c r="BU143" s="11" t="e">
        <f ca="1">IF(History!BY$2="","",#REF!*$C$143)</f>
        <v>#REF!</v>
      </c>
      <c r="BV143" s="11" t="e">
        <f ca="1">IF(History!BZ$2="","",#REF!*$C$143)</f>
        <v>#REF!</v>
      </c>
      <c r="BW143" s="11" t="e">
        <f ca="1">IF(History!CA$2="","",#REF!*$C$143)</f>
        <v>#REF!</v>
      </c>
      <c r="BX143" s="11" t="e">
        <f ca="1">IF(History!CB$2="","",#REF!*$C$143)</f>
        <v>#REF!</v>
      </c>
      <c r="BY143" s="11" t="e">
        <f ca="1">IF(History!CC$2="","",#REF!*$C$143)</f>
        <v>#REF!</v>
      </c>
      <c r="BZ143" s="11" t="e">
        <f ca="1">IF(History!CD$2="","",#REF!*$C$143)</f>
        <v>#REF!</v>
      </c>
      <c r="CA143" s="11" t="e">
        <f ca="1">IF(History!CE$2="","",#REF!*$C$143)</f>
        <v>#REF!</v>
      </c>
      <c r="CB143" s="11" t="e">
        <f ca="1">IF(History!CF$2="","",#REF!*$C$143)</f>
        <v>#REF!</v>
      </c>
      <c r="CC143" s="11" t="e">
        <f ca="1">IF(History!CG$2="","",#REF!*$C$143)</f>
        <v>#REF!</v>
      </c>
      <c r="CD143" s="11" t="e">
        <f ca="1">IF(History!CH$2="","",#REF!*$C$143)</f>
        <v>#REF!</v>
      </c>
      <c r="CE143" s="11" t="e">
        <f ca="1">IF(History!CI$2="","",#REF!*$C$143)</f>
        <v>#REF!</v>
      </c>
      <c r="CF143" s="11" t="str">
        <f ca="1">IF(History!CJ$2="","",#REF!*$C$143)</f>
        <v/>
      </c>
      <c r="CG143" s="11" t="str">
        <f ca="1">IF(History!CK$2="","",#REF!*$C$143)</f>
        <v/>
      </c>
      <c r="CH143" s="11" t="str">
        <f ca="1">IF(History!CL$2="","",#REF!*$C$143)</f>
        <v/>
      </c>
      <c r="CI143" s="11" t="str">
        <f ca="1">IF(History!CM$2="","",#REF!*$C$143)</f>
        <v/>
      </c>
      <c r="CJ143" s="11" t="str">
        <f ca="1">IF(History!CN$2="","",#REF!*$C$143)</f>
        <v/>
      </c>
      <c r="CK143" s="11" t="str">
        <f ca="1">IF(History!CO$2="","",#REF!*$C$143)</f>
        <v/>
      </c>
      <c r="CL143" s="11" t="str">
        <f ca="1">IF(History!CP$2="","",#REF!*$C$143)</f>
        <v/>
      </c>
      <c r="CM143" s="11" t="str">
        <f ca="1">IF(History!CQ$2="","",#REF!*$C$143)</f>
        <v/>
      </c>
      <c r="CN143" s="11" t="str">
        <f ca="1">IF(History!CR$2="","",#REF!*$C$143)</f>
        <v/>
      </c>
      <c r="CO143" s="11" t="str">
        <f ca="1">IF(History!CS$2="","",#REF!*$C$143)</f>
        <v/>
      </c>
      <c r="CP143" s="11" t="str">
        <f ca="1">IF(History!CT$2="","",#REF!*$C$143)</f>
        <v/>
      </c>
      <c r="CQ143" s="11" t="str">
        <f ca="1">IF(History!CU$2="","",#REF!*$C$143)</f>
        <v/>
      </c>
      <c r="CR143" s="11" t="str">
        <f ca="1">IF(History!CV$2="","",#REF!*$C$143)</f>
        <v/>
      </c>
      <c r="CS143" s="11" t="str">
        <f ca="1">IF(History!CW$2="","",#REF!*$C$143)</f>
        <v/>
      </c>
      <c r="CT143" s="11" t="str">
        <f ca="1">IF(History!CX$2="","",#REF!*$C$143)</f>
        <v/>
      </c>
      <c r="CU143" s="11" t="str">
        <f ca="1">IF(History!CY$2="","",#REF!*$C$143)</f>
        <v/>
      </c>
      <c r="CV143" s="11" t="str">
        <f ca="1">IF(History!CZ$2="","",#REF!*$C$143)</f>
        <v/>
      </c>
      <c r="CW143" s="11" t="str">
        <f ca="1">IF(History!DA$2="","",#REF!*$C$143)</f>
        <v/>
      </c>
      <c r="CX143" s="11" t="str">
        <f ca="1">IF(History!DB$2="","",#REF!*$C$143)</f>
        <v/>
      </c>
      <c r="CY143" s="11" t="str">
        <f ca="1">IF(History!DC$2="","",#REF!*$C$143)</f>
        <v/>
      </c>
      <c r="CZ143" s="11" t="str">
        <f ca="1">IF(History!DD$2="","",#REF!*$C$143)</f>
        <v/>
      </c>
      <c r="DA143" s="11" t="str">
        <f ca="1">IF(History!DE$2="","",#REF!*$C$143)</f>
        <v/>
      </c>
      <c r="DB143" s="11" t="str">
        <f ca="1">IF(History!DF$2="","",#REF!*$C$143)</f>
        <v/>
      </c>
      <c r="DC143" s="11" t="str">
        <f ca="1">IF(History!DG$2="","",#REF!*$C$143)</f>
        <v/>
      </c>
      <c r="DD143" s="11" t="str">
        <f ca="1">IF(History!DH$2="","",#REF!*$C$143)</f>
        <v/>
      </c>
      <c r="DE143" s="11" t="str">
        <f ca="1">IF(History!DI$2="","",#REF!*$C$143)</f>
        <v/>
      </c>
      <c r="DF143" s="11" t="str">
        <f ca="1">IF(History!DJ$2="","",#REF!*$C$143)</f>
        <v/>
      </c>
      <c r="DG143" s="11" t="str">
        <f ca="1">IF(History!DK$2="","",#REF!*$C$143)</f>
        <v/>
      </c>
      <c r="DH143" s="11" t="str">
        <f ca="1">IF(History!DL$2="","",#REF!*$C$143)</f>
        <v/>
      </c>
      <c r="DI143" s="11" t="str">
        <f ca="1">IF(History!DM$2="","",#REF!*$C$143)</f>
        <v/>
      </c>
      <c r="DJ143" s="11" t="str">
        <f ca="1">IF(History!DN$2="","",#REF!*$C$143)</f>
        <v/>
      </c>
      <c r="DK143" s="11" t="str">
        <f ca="1">IF(History!DO$2="","",#REF!*$C$143)</f>
        <v/>
      </c>
      <c r="DL143" s="11" t="str">
        <f ca="1">IF(History!DP$2="","",#REF!*$C$143)</f>
        <v/>
      </c>
      <c r="DM143" s="11" t="str">
        <f ca="1">IF(History!DQ$2="","",#REF!*$C$143)</f>
        <v/>
      </c>
      <c r="DN143" s="11" t="str">
        <f ca="1">IF(History!DR$2="","",#REF!*$C$143)</f>
        <v/>
      </c>
      <c r="DO143" s="11" t="str">
        <f ca="1">IF(History!DS$2="","",#REF!*$C$143)</f>
        <v/>
      </c>
      <c r="DP143" s="11" t="str">
        <f ca="1">IF(History!DT$2="","",#REF!*$C$143)</f>
        <v/>
      </c>
      <c r="DQ143" s="11" t="str">
        <f ca="1">IF(History!DU$2="","",#REF!*$C$143)</f>
        <v/>
      </c>
      <c r="DR143" s="11" t="str">
        <f ca="1">IF(History!DV$2="","",#REF!*$C$143)</f>
        <v/>
      </c>
      <c r="DS143" s="11" t="str">
        <f ca="1">IF(History!DW$2="","",#REF!*$C$143)</f>
        <v/>
      </c>
      <c r="DT143" s="11" t="str">
        <f ca="1">IF(History!DX$2="","",#REF!*$C$143)</f>
        <v/>
      </c>
      <c r="DU143" s="11" t="str">
        <f ca="1">IF(History!DY$2="","",#REF!*$C$143)</f>
        <v/>
      </c>
      <c r="DV143" s="11" t="str">
        <f ca="1">IF(History!DZ$2="","",#REF!*$C$143)</f>
        <v/>
      </c>
      <c r="DW143" s="11" t="str">
        <f ca="1">IF(History!EA$2="","",#REF!*$C$143)</f>
        <v/>
      </c>
      <c r="DX143" s="11" t="str">
        <f ca="1">IF(History!EB$2="","",#REF!*$C$143)</f>
        <v/>
      </c>
      <c r="DY143" s="11" t="str">
        <f ca="1">IF(History!EC$2="","",#REF!*$C$143)</f>
        <v/>
      </c>
      <c r="DZ143" s="11" t="str">
        <f ca="1">IF(History!ED$2="","",#REF!*$C$143)</f>
        <v/>
      </c>
      <c r="EA143" s="11" t="str">
        <f ca="1">IF(History!EE$2="","",#REF!*$C$143)</f>
        <v/>
      </c>
      <c r="EB143" s="11" t="str">
        <f ca="1">IF(History!EF$2="","",#REF!*$C$143)</f>
        <v/>
      </c>
      <c r="EC143" s="11" t="str">
        <f ca="1">IF(History!EG$2="","",#REF!*$C$143)</f>
        <v/>
      </c>
      <c r="ED143" s="11" t="str">
        <f ca="1">IF(History!EH$2="","",#REF!*$C$143)</f>
        <v/>
      </c>
      <c r="EE143" s="11" t="str">
        <f ca="1">IF(History!EI$2="","",#REF!*$C$143)</f>
        <v/>
      </c>
      <c r="EF143" s="11" t="str">
        <f ca="1">IF(History!EJ$2="","",#REF!*$C$143)</f>
        <v/>
      </c>
      <c r="EG143" s="11" t="str">
        <f ca="1">IF(History!EK$2="","",#REF!*$C$143)</f>
        <v/>
      </c>
      <c r="EH143" s="11" t="str">
        <f ca="1">IF(History!EL$2="","",#REF!*$C$143)</f>
        <v/>
      </c>
      <c r="EI143" s="11" t="str">
        <f ca="1">IF(History!EM$2="","",#REF!*$C$143)</f>
        <v/>
      </c>
      <c r="EJ143" s="11" t="str">
        <f ca="1">IF(History!EN$2="","",#REF!*$C$143)</f>
        <v/>
      </c>
      <c r="EK143" s="11" t="str">
        <f ca="1">IF(History!EO$2="","",#REF!*$C$143)</f>
        <v/>
      </c>
      <c r="EL143" s="11" t="str">
        <f ca="1">IF(History!EP$2="","",#REF!*$C$143)</f>
        <v/>
      </c>
      <c r="EM143" s="11" t="str">
        <f ca="1">IF(History!EQ$2="","",#REF!*$C$143)</f>
        <v/>
      </c>
      <c r="EN143" s="11" t="str">
        <f ca="1">IF(History!ER$2="","",#REF!*$C$143)</f>
        <v/>
      </c>
      <c r="EO143" s="11" t="str">
        <f ca="1">IF(History!ES$2="","",#REF!*$C$143)</f>
        <v/>
      </c>
      <c r="EP143" s="11" t="str">
        <f ca="1">IF(History!ET$2="","",#REF!*$C$143)</f>
        <v/>
      </c>
      <c r="EQ143" s="11" t="str">
        <f ca="1">IF(History!EU$2="","",#REF!*$C$143)</f>
        <v/>
      </c>
      <c r="ER143" s="11" t="str">
        <f ca="1">IF(History!EV$2="","",#REF!*$C$143)</f>
        <v/>
      </c>
      <c r="ES143" s="11" t="str">
        <f ca="1">IF(History!EW$2="","",#REF!*$C$143)</f>
        <v/>
      </c>
      <c r="ET143" s="11" t="str">
        <f ca="1">IF(History!EX$2="","",#REF!*$C$143)</f>
        <v/>
      </c>
      <c r="EU143" s="11" t="str">
        <f ca="1">IF(History!EY$2="","",#REF!*$C$143)</f>
        <v/>
      </c>
      <c r="EV143" s="11" t="str">
        <f ca="1">IF(History!EZ$2="","",#REF!*$C$143)</f>
        <v/>
      </c>
      <c r="EW143" s="11" t="str">
        <f ca="1">IF(History!FA$2="","",#REF!*$C$143)</f>
        <v/>
      </c>
      <c r="EX143" s="11" t="str">
        <f ca="1">IF(History!FB$2="","",#REF!*$C$143)</f>
        <v/>
      </c>
      <c r="EY143" s="11" t="str">
        <f ca="1">IF(History!FC$2="","",#REF!*$C$143)</f>
        <v/>
      </c>
      <c r="EZ143" s="11" t="str">
        <f ca="1">IF(History!FD$2="","",#REF!*$C$143)</f>
        <v/>
      </c>
      <c r="FA143" s="11" t="str">
        <f ca="1">IF(History!FE$2="","",#REF!*$C$143)</f>
        <v/>
      </c>
      <c r="FB143" s="11" t="str">
        <f ca="1">IF(History!FF$2="","",#REF!*$C$143)</f>
        <v/>
      </c>
      <c r="FC143" s="11" t="str">
        <f ca="1">IF(History!FG$2="","",#REF!*$C$143)</f>
        <v/>
      </c>
      <c r="FD143" s="11" t="str">
        <f ca="1">IF(History!FH$2="","",#REF!*$C$143)</f>
        <v/>
      </c>
      <c r="FE143" s="11" t="str">
        <f ca="1">IF(History!FI$2="","",#REF!*$C$143)</f>
        <v/>
      </c>
      <c r="FF143" s="11" t="str">
        <f ca="1">IF(History!FJ$2="","",#REF!*$C$143)</f>
        <v/>
      </c>
      <c r="FG143" s="11" t="str">
        <f ca="1">IF(History!FK$2="","",#REF!*$C$143)</f>
        <v/>
      </c>
      <c r="FH143" s="11" t="str">
        <f ca="1">IF(History!FL$2="","",#REF!*$C$143)</f>
        <v/>
      </c>
      <c r="FI143" s="11" t="str">
        <f ca="1">IF(History!FM$2="","",#REF!*$C$143)</f>
        <v/>
      </c>
      <c r="FJ143" s="11" t="str">
        <f ca="1">IF(History!FN$2="","",#REF!*$C$143)</f>
        <v/>
      </c>
      <c r="FK143" s="11" t="str">
        <f ca="1">IF(History!FO$2="","",#REF!*$C$143)</f>
        <v/>
      </c>
      <c r="FL143" s="11" t="str">
        <f ca="1">IF(History!FP$2="","",#REF!*$C$143)</f>
        <v/>
      </c>
      <c r="FM143" s="11" t="str">
        <f ca="1">IF(History!FQ$2="","",#REF!*$C$143)</f>
        <v/>
      </c>
      <c r="FN143" s="11" t="str">
        <f ca="1">IF(History!FR$2="","",#REF!*$C$143)</f>
        <v/>
      </c>
      <c r="FO143" s="11" t="str">
        <f ca="1">IF(History!FS$2="","",#REF!*$C$143)</f>
        <v/>
      </c>
      <c r="FP143" s="11" t="str">
        <f ca="1">IF(History!FT$2="","",#REF!*$C$143)</f>
        <v/>
      </c>
      <c r="FQ143" s="11" t="str">
        <f ca="1">IF(History!FU$2="","",#REF!*$C$143)</f>
        <v/>
      </c>
      <c r="FR143" s="11" t="str">
        <f ca="1">IF(History!FV$2="","",#REF!*$C$143)</f>
        <v/>
      </c>
      <c r="FS143" s="11" t="str">
        <f ca="1">IF(History!FW$2="","",#REF!*$C$143)</f>
        <v/>
      </c>
      <c r="FT143" s="11" t="str">
        <f ca="1">IF(History!FX$2="","",#REF!*$C$143)</f>
        <v/>
      </c>
      <c r="FU143" s="11" t="str">
        <f ca="1">IF(History!FY$2="","",#REF!*$C$143)</f>
        <v/>
      </c>
      <c r="FV143" s="11" t="str">
        <f ca="1">IF(History!FZ$2="","",#REF!*$C$143)</f>
        <v/>
      </c>
      <c r="FW143" s="11" t="str">
        <f ca="1">IF(History!GA$2="","",#REF!*$C$143)</f>
        <v/>
      </c>
      <c r="FX143" s="11" t="str">
        <f ca="1">IF(History!GB$2="","",#REF!*$C$143)</f>
        <v/>
      </c>
      <c r="FY143" s="11" t="str">
        <f ca="1">IF(History!GC$2="","",#REF!*$C$143)</f>
        <v/>
      </c>
      <c r="FZ143" s="11" t="str">
        <f ca="1">IF(History!GD$2="","",#REF!*$C$143)</f>
        <v/>
      </c>
      <c r="GA143" s="11" t="str">
        <f ca="1">IF(History!GE$2="","",#REF!*$C$143)</f>
        <v/>
      </c>
      <c r="GB143" s="11" t="str">
        <f ca="1">IF(History!GF$2="","",#REF!*$C$143)</f>
        <v/>
      </c>
      <c r="GC143" s="11" t="str">
        <f ca="1">IF(History!GG$2="","",#REF!*$C$143)</f>
        <v/>
      </c>
      <c r="GD143" s="11" t="str">
        <f ca="1">IF(History!GH$2="","",#REF!*$C$143)</f>
        <v/>
      </c>
      <c r="GE143" s="11" t="str">
        <f ca="1">IF(History!GI$2="","",#REF!*$C$143)</f>
        <v/>
      </c>
      <c r="GF143" s="11" t="str">
        <f ca="1">IF(History!GJ$2="","",#REF!*$C$143)</f>
        <v/>
      </c>
      <c r="GG143" s="11" t="str">
        <f ca="1">IF(History!GK$2="","",#REF!*$C$143)</f>
        <v/>
      </c>
      <c r="GH143" s="11" t="str">
        <f ca="1">IF(History!GL$2="","",#REF!*$C$143)</f>
        <v/>
      </c>
      <c r="GI143" s="11" t="str">
        <f ca="1">IF(History!GM$2="","",#REF!*$C$143)</f>
        <v/>
      </c>
      <c r="GJ143" s="11" t="str">
        <f ca="1">IF(History!GN$2="","",#REF!*$C$143)</f>
        <v/>
      </c>
      <c r="GK143" s="11" t="str">
        <f ca="1">IF(History!GO$2="","",#REF!*$C$143)</f>
        <v/>
      </c>
      <c r="GL143" s="11" t="str">
        <f ca="1">IF(History!GP$2="","",#REF!*$C$143)</f>
        <v/>
      </c>
      <c r="GM143" s="11" t="str">
        <f ca="1">IF(History!GQ$2="","",#REF!*$C$143)</f>
        <v/>
      </c>
      <c r="GN143" s="11" t="str">
        <f ca="1">IF(History!GR$2="","",#REF!*$C$143)</f>
        <v/>
      </c>
      <c r="GO143" s="11" t="str">
        <f ca="1">IF(History!GS$2="","",#REF!*$C$143)</f>
        <v/>
      </c>
      <c r="GP143" s="11" t="str">
        <f ca="1">IF(History!GT$2="","",#REF!*$C$143)</f>
        <v/>
      </c>
      <c r="GQ143" s="11" t="str">
        <f ca="1">IF(History!GU$2="","",#REF!*$C$143)</f>
        <v/>
      </c>
      <c r="GR143" s="11" t="str">
        <f ca="1">IF(History!GV$2="","",#REF!*$C$143)</f>
        <v/>
      </c>
      <c r="GS143" s="11" t="str">
        <f ca="1">IF(History!GW$2="","",#REF!*$C$143)</f>
        <v/>
      </c>
      <c r="GT143" s="11" t="str">
        <f ca="1">IF(History!GX$2="","",#REF!*$C$143)</f>
        <v/>
      </c>
      <c r="GU143" s="11" t="str">
        <f ca="1">IF(History!GY$2="","",#REF!*$C$143)</f>
        <v/>
      </c>
      <c r="GV143" s="11" t="str">
        <f ca="1">IF(History!GZ$2="","",#REF!*$C$143)</f>
        <v/>
      </c>
      <c r="GW143" s="11" t="str">
        <f ca="1">IF(History!HA$2="","",#REF!*$C$143)</f>
        <v/>
      </c>
      <c r="GX143" s="11" t="str">
        <f ca="1">IF(History!HB$2="","",#REF!*$C$143)</f>
        <v/>
      </c>
      <c r="GY143" s="11" t="str">
        <f ca="1">IF(History!HC$2="","",#REF!*$C$143)</f>
        <v/>
      </c>
      <c r="GZ143" s="11" t="str">
        <f ca="1">IF(History!HD$2="","",#REF!*$C$143)</f>
        <v/>
      </c>
      <c r="HA143" s="11" t="str">
        <f ca="1">IF(History!HE$2="","",#REF!*$C$143)</f>
        <v/>
      </c>
      <c r="HB143" s="11" t="str">
        <f ca="1">IF(History!HF$2="","",#REF!*$C$143)</f>
        <v/>
      </c>
      <c r="HC143" s="11" t="str">
        <f ca="1">IF(History!HG$2="","",#REF!*$C$143)</f>
        <v/>
      </c>
      <c r="HD143" s="11" t="str">
        <f ca="1">IF(History!HH$2="","",#REF!*$C$143)</f>
        <v/>
      </c>
      <c r="HE143" s="11" t="str">
        <f ca="1">IF(History!HI$2="","",#REF!*$C$143)</f>
        <v/>
      </c>
      <c r="HF143" s="11" t="str">
        <f ca="1">IF(History!HJ$2="","",#REF!*$C$143)</f>
        <v/>
      </c>
      <c r="HG143" s="11" t="str">
        <f ca="1">IF(History!HK$2="","",#REF!*$C$143)</f>
        <v/>
      </c>
      <c r="HH143" s="11" t="str">
        <f ca="1">IF(History!HL$2="","",#REF!*$C$143)</f>
        <v/>
      </c>
      <c r="HI143" s="11" t="str">
        <f ca="1">IF(History!HM$2="","",#REF!*$C$143)</f>
        <v/>
      </c>
      <c r="HJ143" s="11" t="str">
        <f ca="1">IF(History!HN$2="","",#REF!*$C$143)</f>
        <v/>
      </c>
      <c r="HK143" s="11" t="str">
        <f ca="1">IF(History!HO$2="","",#REF!*$C$143)</f>
        <v/>
      </c>
      <c r="HL143" s="11" t="str">
        <f ca="1">IF(History!HP$2="","",#REF!*$C$143)</f>
        <v/>
      </c>
      <c r="HM143" s="11" t="str">
        <f ca="1">IF(History!HQ$2="","",#REF!*$C$143)</f>
        <v/>
      </c>
      <c r="HN143" s="11" t="str">
        <f ca="1">IF(History!HR$2="","",#REF!*$C$143)</f>
        <v/>
      </c>
      <c r="HO143" s="11" t="str">
        <f ca="1">IF(History!HS$2="","",#REF!*$C$143)</f>
        <v/>
      </c>
      <c r="HP143" s="11" t="str">
        <f ca="1">IF(History!HT$2="","",#REF!*$C$143)</f>
        <v/>
      </c>
      <c r="HQ143" s="11" t="str">
        <f ca="1">IF(History!HU$2="","",#REF!*$C$143)</f>
        <v/>
      </c>
      <c r="HR143" s="11" t="str">
        <f ca="1">IF(History!HV$2="","",#REF!*$C$143)</f>
        <v/>
      </c>
      <c r="HS143" s="11" t="str">
        <f ca="1">IF(History!HW$2="","",#REF!*$C$143)</f>
        <v/>
      </c>
      <c r="HT143" s="11" t="str">
        <f ca="1">IF(History!HX$2="","",#REF!*$C$143)</f>
        <v/>
      </c>
      <c r="HU143" s="11" t="str">
        <f ca="1">IF(History!HY$2="","",#REF!*$C$143)</f>
        <v/>
      </c>
      <c r="HV143" s="11" t="str">
        <f ca="1">IF(History!HZ$2="","",#REF!*$C$143)</f>
        <v/>
      </c>
      <c r="HW143" s="11" t="str">
        <f ca="1">IF(History!IA$2="","",#REF!*$C$143)</f>
        <v/>
      </c>
      <c r="HX143" s="11" t="str">
        <f ca="1">IF(History!IB$2="","",#REF!*$C$143)</f>
        <v/>
      </c>
      <c r="HY143" s="11" t="str">
        <f ca="1">IF(History!IC$2="","",#REF!*$C$143)</f>
        <v/>
      </c>
      <c r="HZ143" s="11" t="str">
        <f ca="1">IF(History!ID$2="","",#REF!*$C$143)</f>
        <v/>
      </c>
      <c r="IA143" s="11" t="str">
        <f ca="1">IF(History!IE$2="","",#REF!*$C$143)</f>
        <v/>
      </c>
      <c r="IB143" s="11" t="str">
        <f ca="1">IF(History!IF$2="","",#REF!*$C$143)</f>
        <v/>
      </c>
      <c r="IC143" s="11" t="str">
        <f ca="1">IF(History!IG$2="","",#REF!*$C$143)</f>
        <v/>
      </c>
      <c r="ID143" s="11" t="str">
        <f ca="1">IF(History!IH$2="","",#REF!*$C$143)</f>
        <v/>
      </c>
      <c r="IE143" s="11" t="str">
        <f ca="1">IF(History!II$2="","",#REF!*$C$143)</f>
        <v/>
      </c>
      <c r="IF143" s="11" t="str">
        <f ca="1">IF(History!IJ$2="","",#REF!*$C$143)</f>
        <v/>
      </c>
      <c r="IG143" s="11" t="str">
        <f ca="1">IF(History!IK$2="","",#REF!*$C$143)</f>
        <v/>
      </c>
      <c r="IH143" s="11" t="str">
        <f ca="1">IF(History!IL$2="","",#REF!*$C$143)</f>
        <v/>
      </c>
      <c r="II143" s="11" t="str">
        <f ca="1">IF(History!IM$2="","",#REF!*$C$143)</f>
        <v/>
      </c>
      <c r="IJ143" s="11" t="str">
        <f ca="1">IF(History!IN$2="","",#REF!*$C$143)</f>
        <v/>
      </c>
      <c r="IK143" s="11" t="str">
        <f ca="1">IF(History!IO$2="","",#REF!*$C$143)</f>
        <v/>
      </c>
      <c r="IL143" s="11" t="str">
        <f ca="1">IF(History!IP$2="","",#REF!*$C$143)</f>
        <v/>
      </c>
      <c r="IM143" s="11" t="str">
        <f ca="1">IF(History!IQ$2="","",#REF!*$C$143)</f>
        <v/>
      </c>
      <c r="IN143" s="11" t="str">
        <f ca="1">IF(History!IR$2="","",#REF!*$C$143)</f>
        <v/>
      </c>
      <c r="IO143" s="11" t="str">
        <f ca="1">IF(History!IS$2="","",#REF!*$C$143)</f>
        <v/>
      </c>
      <c r="IP143" s="11" t="str">
        <f ca="1">IF(History!IT$2="","",#REF!*$C$143)</f>
        <v/>
      </c>
      <c r="IQ143" s="11" t="str">
        <f ca="1">IF(History!IU$2="","",#REF!*$C$143)</f>
        <v/>
      </c>
      <c r="IR143" s="11" t="str">
        <f ca="1">IF(History!IV$2="","",#REF!*$C$143)</f>
        <v/>
      </c>
      <c r="IS143" s="11" t="str">
        <f ca="1">IF(History!IW$2="","",#REF!*$C$143)</f>
        <v/>
      </c>
      <c r="IT143" s="11" t="str">
        <f ca="1">IF(History!IX$2="","",#REF!*$C$143)</f>
        <v/>
      </c>
      <c r="IU143" s="11" t="str">
        <f ca="1">IF(History!IY$2="","",#REF!*$C$143)</f>
        <v/>
      </c>
      <c r="IV143" s="11" t="str">
        <f ca="1">IF(History!IZ$2="","",#REF!*$C$143)</f>
        <v/>
      </c>
      <c r="IW143" s="11" t="str">
        <f ca="1">IF(History!JA$2="","",#REF!*$C$143)</f>
        <v/>
      </c>
      <c r="IX143" s="11" t="str">
        <f ca="1">IF(History!JB$2="","",#REF!*$C$143)</f>
        <v/>
      </c>
      <c r="IY143" s="11" t="str">
        <f ca="1">IF(History!JC$2="","",#REF!*$C$143)</f>
        <v/>
      </c>
      <c r="IZ143" s="11" t="str">
        <f ca="1">IF(History!JD$2="","",#REF!*$C$143)</f>
        <v/>
      </c>
      <c r="JA143" s="11" t="str">
        <f ca="1">IF(History!JE$2="","",#REF!*$C$143)</f>
        <v/>
      </c>
      <c r="JB143" s="11" t="str">
        <f ca="1">IF(History!JF$2="","",#REF!*$C$143)</f>
        <v/>
      </c>
      <c r="JC143" s="11" t="str">
        <f ca="1">IF(History!JG$2="","",#REF!*$C$143)</f>
        <v/>
      </c>
      <c r="JD143" s="11" t="str">
        <f ca="1">IF(History!JH$2="","",#REF!*$C$143)</f>
        <v/>
      </c>
      <c r="JE143" s="11" t="str">
        <f ca="1">IF(History!JI$2="","",#REF!*$C$143)</f>
        <v/>
      </c>
      <c r="JF143" s="11" t="str">
        <f ca="1">IF(History!JJ$2="","",#REF!*$C$143)</f>
        <v/>
      </c>
      <c r="JG143" s="11" t="str">
        <f ca="1">IF(History!JK$2="","",#REF!*$C$143)</f>
        <v/>
      </c>
      <c r="JH143" s="11" t="str">
        <f ca="1">IF(History!JL$2="","",#REF!*$C$143)</f>
        <v/>
      </c>
      <c r="JI143" s="11" t="str">
        <f ca="1">IF(History!JM$2="","",#REF!*$C$143)</f>
        <v/>
      </c>
      <c r="JJ143" s="11" t="str">
        <f ca="1">IF(History!JN$2="","",#REF!*$C$143)</f>
        <v/>
      </c>
      <c r="JK143" s="11" t="str">
        <f ca="1">IF(History!JO$2="","",#REF!*$C$143)</f>
        <v/>
      </c>
      <c r="JL143" s="11" t="str">
        <f ca="1">IF(History!JP$2="","",#REF!*$C$143)</f>
        <v/>
      </c>
      <c r="JM143" s="11" t="str">
        <f ca="1">IF(History!JQ$2="","",#REF!*$C$143)</f>
        <v/>
      </c>
      <c r="JN143" s="11" t="str">
        <f ca="1">IF(History!JR$2="","",#REF!*$C$143)</f>
        <v/>
      </c>
      <c r="JO143" s="11" t="str">
        <f ca="1">IF(History!JS$2="","",#REF!*$C$143)</f>
        <v/>
      </c>
      <c r="JP143" s="11" t="str">
        <f ca="1">IF(History!JT$2="","",#REF!*$C$143)</f>
        <v/>
      </c>
      <c r="JQ143" s="11" t="str">
        <f ca="1">IF(History!JU$2="","",#REF!*$C$143)</f>
        <v/>
      </c>
      <c r="JR143" s="11" t="str">
        <f ca="1">IF(History!JV$2="","",#REF!*$C$143)</f>
        <v/>
      </c>
      <c r="JS143" s="11" t="str">
        <f ca="1">IF(History!JW$2="","",#REF!*$C$143)</f>
        <v/>
      </c>
      <c r="JT143" s="11" t="str">
        <f ca="1">IF(History!JX$2="","",#REF!*$C$143)</f>
        <v/>
      </c>
      <c r="JU143" s="11" t="str">
        <f ca="1">IF(History!JY$2="","",#REF!*$C$143)</f>
        <v/>
      </c>
      <c r="JV143" s="11" t="str">
        <f ca="1">IF(History!JZ$2="","",#REF!*$C$143)</f>
        <v/>
      </c>
      <c r="JW143" s="11" t="str">
        <f ca="1">IF(History!KA$2="","",#REF!*$C$143)</f>
        <v/>
      </c>
      <c r="JX143" s="11" t="str">
        <f ca="1">IF(History!KB$2="","",#REF!*$C$143)</f>
        <v/>
      </c>
      <c r="JY143" s="11" t="str">
        <f ca="1">IF(History!KC$2="","",#REF!*$C$143)</f>
        <v/>
      </c>
      <c r="JZ143" s="11" t="str">
        <f ca="1">IF(History!KD$2="","",#REF!*$C$143)</f>
        <v/>
      </c>
      <c r="KA143" s="11" t="str">
        <f ca="1">IF(History!KE$2="","",#REF!*$C$143)</f>
        <v/>
      </c>
      <c r="KB143" s="11" t="str">
        <f ca="1">IF(History!KF$2="","",#REF!*$C$143)</f>
        <v/>
      </c>
    </row>
    <row r="144" spans="1:288" ht="13">
      <c r="A144" s="2" t="s">
        <v>40</v>
      </c>
      <c r="B144" s="32" t="s">
        <v>131</v>
      </c>
      <c r="C144" s="33">
        <v>445</v>
      </c>
      <c r="D144" s="11" t="e">
        <f ca="1">IF(History!H$2="","",#REF!*$C$144)</f>
        <v>#REF!</v>
      </c>
      <c r="E144" s="11" t="e">
        <f ca="1">IF(History!I$2="","",#REF!*$C$144)</f>
        <v>#REF!</v>
      </c>
      <c r="F144" s="11" t="e">
        <f ca="1">IF(History!J$2="","",#REF!*$C$144)</f>
        <v>#REF!</v>
      </c>
      <c r="G144" s="11" t="e">
        <f ca="1">IF(History!K$2="","",#REF!*$C$144)</f>
        <v>#REF!</v>
      </c>
      <c r="H144" s="11" t="e">
        <f ca="1">IF(History!L$2="","",#REF!*$C$144)</f>
        <v>#REF!</v>
      </c>
      <c r="I144" s="11" t="e">
        <f ca="1">IF(History!M$2="","",#REF!*$C$144)</f>
        <v>#REF!</v>
      </c>
      <c r="J144" s="11" t="e">
        <f ca="1">IF(History!N$2="","",#REF!*$C$144)</f>
        <v>#REF!</v>
      </c>
      <c r="K144" s="11" t="e">
        <f ca="1">IF(History!O$2="","",#REF!*$C$144)</f>
        <v>#REF!</v>
      </c>
      <c r="L144" s="11" t="e">
        <f ca="1">IF(History!P$2="","",#REF!*$C$144)</f>
        <v>#REF!</v>
      </c>
      <c r="M144" s="11" t="e">
        <f ca="1">IF(History!Q$2="","",#REF!*$C$144)</f>
        <v>#REF!</v>
      </c>
      <c r="N144" s="11" t="e">
        <f ca="1">IF(History!R$2="","",#REF!*$C$144)</f>
        <v>#REF!</v>
      </c>
      <c r="O144" s="11" t="e">
        <f ca="1">IF(History!S$2="","",#REF!*$C$144)</f>
        <v>#REF!</v>
      </c>
      <c r="P144" s="11" t="e">
        <f ca="1">IF(History!T$2="","",#REF!*$C$144)</f>
        <v>#REF!</v>
      </c>
      <c r="Q144" s="11" t="e">
        <f ca="1">IF(History!U$2="","",#REF!*$C$144)</f>
        <v>#REF!</v>
      </c>
      <c r="R144" s="11" t="e">
        <f ca="1">IF(History!V$2="","",#REF!*$C$144)</f>
        <v>#REF!</v>
      </c>
      <c r="S144" s="11" t="e">
        <f ca="1">IF(History!W$2="","",#REF!*$C$144)</f>
        <v>#REF!</v>
      </c>
      <c r="T144" s="11" t="e">
        <f ca="1">IF(History!X$2="","",#REF!*$C$144)</f>
        <v>#REF!</v>
      </c>
      <c r="U144" s="11" t="e">
        <f ca="1">IF(History!Y$2="","",#REF!*$C$144)</f>
        <v>#REF!</v>
      </c>
      <c r="V144" s="11" t="e">
        <f ca="1">IF(History!Z$2="","",#REF!*$C$144)</f>
        <v>#REF!</v>
      </c>
      <c r="W144" s="11" t="e">
        <f ca="1">IF(History!AA$2="","",#REF!*$C$144)</f>
        <v>#REF!</v>
      </c>
      <c r="X144" s="11" t="e">
        <f ca="1">IF(History!AB$2="","",#REF!*$C$144)</f>
        <v>#REF!</v>
      </c>
      <c r="Y144" s="11" t="e">
        <f ca="1">IF(History!AC$2="","",#REF!*$C$144)</f>
        <v>#REF!</v>
      </c>
      <c r="Z144" s="11" t="e">
        <f ca="1">IF(History!AD$2="","",#REF!*$C$144)</f>
        <v>#REF!</v>
      </c>
      <c r="AA144" s="11" t="e">
        <f ca="1">IF(History!AE$2="","",#REF!*$C$144)</f>
        <v>#REF!</v>
      </c>
      <c r="AB144" s="11" t="e">
        <f ca="1">IF(History!AF$2="","",#REF!*$C$144)</f>
        <v>#REF!</v>
      </c>
      <c r="AC144" s="11" t="e">
        <f ca="1">IF(History!AG$2="","",#REF!*$C$144)</f>
        <v>#REF!</v>
      </c>
      <c r="AD144" s="11" t="e">
        <f ca="1">IF(History!AH$2="","",#REF!*$C$144)</f>
        <v>#REF!</v>
      </c>
      <c r="AE144" s="11" t="e">
        <f ca="1">IF(History!AI$2="","",#REF!*$C$144)</f>
        <v>#REF!</v>
      </c>
      <c r="AF144" s="11" t="e">
        <f ca="1">IF(History!AJ$2="","",#REF!*$C$144)</f>
        <v>#REF!</v>
      </c>
      <c r="AG144" s="11" t="e">
        <f ca="1">IF(History!AK$2="","",#REF!*$C$144)</f>
        <v>#REF!</v>
      </c>
      <c r="AH144" s="11" t="e">
        <f ca="1">IF(History!AL$2="","",#REF!*$C$144)</f>
        <v>#REF!</v>
      </c>
      <c r="AI144" s="11" t="e">
        <f ca="1">IF(History!AM$2="","",#REF!*$C$144)</f>
        <v>#REF!</v>
      </c>
      <c r="AJ144" s="11" t="e">
        <f ca="1">IF(History!AN$2="","",#REF!*$C$144)</f>
        <v>#REF!</v>
      </c>
      <c r="AK144" s="11" t="e">
        <f ca="1">IF(History!AO$2="","",#REF!*$C$144)</f>
        <v>#REF!</v>
      </c>
      <c r="AL144" s="11" t="e">
        <f ca="1">IF(History!AP$2="","",#REF!*$C$144)</f>
        <v>#REF!</v>
      </c>
      <c r="AM144" s="11" t="e">
        <f ca="1">IF(History!AQ$2="","",#REF!*$C$144)</f>
        <v>#REF!</v>
      </c>
      <c r="AN144" s="11" t="e">
        <f ca="1">IF(History!AR$2="","",#REF!*$C$144)</f>
        <v>#REF!</v>
      </c>
      <c r="AO144" s="11" t="e">
        <f ca="1">IF(History!AS$2="","",#REF!*$C$144)</f>
        <v>#REF!</v>
      </c>
      <c r="AP144" s="11" t="e">
        <f ca="1">IF(History!AT$2="","",#REF!*$C$144)</f>
        <v>#REF!</v>
      </c>
      <c r="AQ144" s="11" t="e">
        <f ca="1">IF(History!AU$2="","",#REF!*$C$144)</f>
        <v>#REF!</v>
      </c>
      <c r="AR144" s="11" t="e">
        <f ca="1">IF(History!AV$2="","",#REF!*$C$144)</f>
        <v>#REF!</v>
      </c>
      <c r="AS144" s="11" t="e">
        <f ca="1">IF(History!AW$2="","",#REF!*$C$144)</f>
        <v>#REF!</v>
      </c>
      <c r="AT144" s="11" t="e">
        <f ca="1">IF(History!AX$2="","",#REF!*$C$144)</f>
        <v>#REF!</v>
      </c>
      <c r="AU144" s="11" t="e">
        <f ca="1">IF(History!AY$2="","",#REF!*$C$144)</f>
        <v>#REF!</v>
      </c>
      <c r="AV144" s="11" t="e">
        <f ca="1">IF(History!AZ$2="","",#REF!*$C$144)</f>
        <v>#REF!</v>
      </c>
      <c r="AW144" s="11" t="e">
        <f ca="1">IF(History!BA$2="","",#REF!*$C$144)</f>
        <v>#REF!</v>
      </c>
      <c r="AX144" s="11" t="e">
        <f ca="1">IF(History!BB$2="","",#REF!*$C$144)</f>
        <v>#REF!</v>
      </c>
      <c r="AY144" s="11" t="e">
        <f ca="1">IF(History!BC$2="","",#REF!*$C$144)</f>
        <v>#REF!</v>
      </c>
      <c r="AZ144" s="11" t="e">
        <f ca="1">IF(History!BD$2="","",#REF!*$C$144)</f>
        <v>#REF!</v>
      </c>
      <c r="BA144" s="11" t="e">
        <f ca="1">IF(History!BE$2="","",#REF!*$C$144)</f>
        <v>#REF!</v>
      </c>
      <c r="BB144" s="11" t="e">
        <f ca="1">IF(History!BF$2="","",#REF!*$C$144)</f>
        <v>#REF!</v>
      </c>
      <c r="BC144" s="11" t="e">
        <f ca="1">IF(History!BG$2="","",#REF!*$C$144)</f>
        <v>#REF!</v>
      </c>
      <c r="BD144" s="11" t="e">
        <f ca="1">IF(History!BH$2="","",#REF!*$C$144)</f>
        <v>#REF!</v>
      </c>
      <c r="BE144" s="11" t="e">
        <f ca="1">IF(History!BI$2="","",#REF!*$C$144)</f>
        <v>#REF!</v>
      </c>
      <c r="BF144" s="11" t="e">
        <f ca="1">IF(History!BJ$2="","",#REF!*$C$144)</f>
        <v>#REF!</v>
      </c>
      <c r="BG144" s="11" t="e">
        <f ca="1">IF(History!BK$2="","",#REF!*$C$144)</f>
        <v>#REF!</v>
      </c>
      <c r="BH144" s="11" t="e">
        <f ca="1">IF(History!BL$2="","",#REF!*$C$144)</f>
        <v>#REF!</v>
      </c>
      <c r="BI144" s="11" t="e">
        <f ca="1">IF(History!BM$2="","",#REF!*$C$144)</f>
        <v>#REF!</v>
      </c>
      <c r="BJ144" s="11" t="e">
        <f ca="1">IF(History!BN$2="","",#REF!*$C$144)</f>
        <v>#REF!</v>
      </c>
      <c r="BK144" s="11" t="e">
        <f ca="1">IF(History!BO$2="","",#REF!*$C$144)</f>
        <v>#REF!</v>
      </c>
      <c r="BL144" s="11" t="e">
        <f ca="1">IF(History!BP$2="","",#REF!*$C$144)</f>
        <v>#REF!</v>
      </c>
      <c r="BM144" s="11" t="e">
        <f ca="1">IF(History!BQ$2="","",#REF!*$C$144)</f>
        <v>#REF!</v>
      </c>
      <c r="BN144" s="11" t="e">
        <f ca="1">IF(History!BR$2="","",#REF!*$C$144)</f>
        <v>#REF!</v>
      </c>
      <c r="BO144" s="11" t="e">
        <f ca="1">IF(History!BS$2="","",#REF!*$C$144)</f>
        <v>#REF!</v>
      </c>
      <c r="BP144" s="11" t="e">
        <f ca="1">IF(History!BT$2="","",#REF!*$C$144)</f>
        <v>#REF!</v>
      </c>
      <c r="BQ144" s="11" t="e">
        <f ca="1">IF(History!BU$2="","",#REF!*$C$144)</f>
        <v>#REF!</v>
      </c>
      <c r="BR144" s="11" t="e">
        <f ca="1">IF(History!BV$2="","",#REF!*$C$144)</f>
        <v>#REF!</v>
      </c>
      <c r="BS144" s="11" t="e">
        <f ca="1">IF(History!BW$2="","",#REF!*$C$144)</f>
        <v>#REF!</v>
      </c>
      <c r="BT144" s="11" t="e">
        <f ca="1">IF(History!BX$2="","",#REF!*$C$144)</f>
        <v>#REF!</v>
      </c>
      <c r="BU144" s="11" t="e">
        <f ca="1">IF(History!BY$2="","",#REF!*$C$144)</f>
        <v>#REF!</v>
      </c>
      <c r="BV144" s="11" t="e">
        <f ca="1">IF(History!BZ$2="","",#REF!*$C$144)</f>
        <v>#REF!</v>
      </c>
      <c r="BW144" s="11" t="e">
        <f ca="1">IF(History!CA$2="","",#REF!*$C$144)</f>
        <v>#REF!</v>
      </c>
      <c r="BX144" s="11" t="e">
        <f ca="1">IF(History!CB$2="","",#REF!*$C$144)</f>
        <v>#REF!</v>
      </c>
      <c r="BY144" s="11" t="e">
        <f ca="1">IF(History!CC$2="","",#REF!*$C$144)</f>
        <v>#REF!</v>
      </c>
      <c r="BZ144" s="11" t="e">
        <f ca="1">IF(History!CD$2="","",#REF!*$C$144)</f>
        <v>#REF!</v>
      </c>
      <c r="CA144" s="11" t="e">
        <f ca="1">IF(History!CE$2="","",#REF!*$C$144)</f>
        <v>#REF!</v>
      </c>
      <c r="CB144" s="11" t="e">
        <f ca="1">IF(History!CF$2="","",#REF!*$C$144)</f>
        <v>#REF!</v>
      </c>
      <c r="CC144" s="11" t="e">
        <f ca="1">IF(History!CG$2="","",#REF!*$C$144)</f>
        <v>#REF!</v>
      </c>
      <c r="CD144" s="11" t="e">
        <f ca="1">IF(History!CH$2="","",#REF!*$C$144)</f>
        <v>#REF!</v>
      </c>
      <c r="CE144" s="11" t="e">
        <f ca="1">IF(History!CI$2="","",#REF!*$C$144)</f>
        <v>#REF!</v>
      </c>
      <c r="CF144" s="11" t="str">
        <f ca="1">IF(History!CJ$2="","",#REF!*$C$144)</f>
        <v/>
      </c>
      <c r="CG144" s="11" t="str">
        <f ca="1">IF(History!CK$2="","",#REF!*$C$144)</f>
        <v/>
      </c>
      <c r="CH144" s="11" t="str">
        <f ca="1">IF(History!CL$2="","",#REF!*$C$144)</f>
        <v/>
      </c>
      <c r="CI144" s="11" t="str">
        <f ca="1">IF(History!CM$2="","",#REF!*$C$144)</f>
        <v/>
      </c>
      <c r="CJ144" s="11" t="str">
        <f ca="1">IF(History!CN$2="","",#REF!*$C$144)</f>
        <v/>
      </c>
      <c r="CK144" s="11" t="str">
        <f ca="1">IF(History!CO$2="","",#REF!*$C$144)</f>
        <v/>
      </c>
      <c r="CL144" s="11" t="str">
        <f ca="1">IF(History!CP$2="","",#REF!*$C$144)</f>
        <v/>
      </c>
      <c r="CM144" s="11" t="str">
        <f ca="1">IF(History!CQ$2="","",#REF!*$C$144)</f>
        <v/>
      </c>
      <c r="CN144" s="11" t="str">
        <f ca="1">IF(History!CR$2="","",#REF!*$C$144)</f>
        <v/>
      </c>
      <c r="CO144" s="11" t="str">
        <f ca="1">IF(History!CS$2="","",#REF!*$C$144)</f>
        <v/>
      </c>
      <c r="CP144" s="11" t="str">
        <f ca="1">IF(History!CT$2="","",#REF!*$C$144)</f>
        <v/>
      </c>
      <c r="CQ144" s="11" t="str">
        <f ca="1">IF(History!CU$2="","",#REF!*$C$144)</f>
        <v/>
      </c>
      <c r="CR144" s="11" t="str">
        <f ca="1">IF(History!CV$2="","",#REF!*$C$144)</f>
        <v/>
      </c>
      <c r="CS144" s="11" t="str">
        <f ca="1">IF(History!CW$2="","",#REF!*$C$144)</f>
        <v/>
      </c>
      <c r="CT144" s="11" t="str">
        <f ca="1">IF(History!CX$2="","",#REF!*$C$144)</f>
        <v/>
      </c>
      <c r="CU144" s="11" t="str">
        <f ca="1">IF(History!CY$2="","",#REF!*$C$144)</f>
        <v/>
      </c>
      <c r="CV144" s="11" t="str">
        <f ca="1">IF(History!CZ$2="","",#REF!*$C$144)</f>
        <v/>
      </c>
      <c r="CW144" s="11" t="str">
        <f ca="1">IF(History!DA$2="","",#REF!*$C$144)</f>
        <v/>
      </c>
      <c r="CX144" s="11" t="str">
        <f ca="1">IF(History!DB$2="","",#REF!*$C$144)</f>
        <v/>
      </c>
      <c r="CY144" s="11" t="str">
        <f ca="1">IF(History!DC$2="","",#REF!*$C$144)</f>
        <v/>
      </c>
      <c r="CZ144" s="11" t="str">
        <f ca="1">IF(History!DD$2="","",#REF!*$C$144)</f>
        <v/>
      </c>
      <c r="DA144" s="11" t="str">
        <f ca="1">IF(History!DE$2="","",#REF!*$C$144)</f>
        <v/>
      </c>
      <c r="DB144" s="11" t="str">
        <f ca="1">IF(History!DF$2="","",#REF!*$C$144)</f>
        <v/>
      </c>
      <c r="DC144" s="11" t="str">
        <f ca="1">IF(History!DG$2="","",#REF!*$C$144)</f>
        <v/>
      </c>
      <c r="DD144" s="11" t="str">
        <f ca="1">IF(History!DH$2="","",#REF!*$C$144)</f>
        <v/>
      </c>
      <c r="DE144" s="11" t="str">
        <f ca="1">IF(History!DI$2="","",#REF!*$C$144)</f>
        <v/>
      </c>
      <c r="DF144" s="11" t="str">
        <f ca="1">IF(History!DJ$2="","",#REF!*$C$144)</f>
        <v/>
      </c>
      <c r="DG144" s="11" t="str">
        <f ca="1">IF(History!DK$2="","",#REF!*$C$144)</f>
        <v/>
      </c>
      <c r="DH144" s="11" t="str">
        <f ca="1">IF(History!DL$2="","",#REF!*$C$144)</f>
        <v/>
      </c>
      <c r="DI144" s="11" t="str">
        <f ca="1">IF(History!DM$2="","",#REF!*$C$144)</f>
        <v/>
      </c>
      <c r="DJ144" s="11" t="str">
        <f ca="1">IF(History!DN$2="","",#REF!*$C$144)</f>
        <v/>
      </c>
      <c r="DK144" s="11" t="str">
        <f ca="1">IF(History!DO$2="","",#REF!*$C$144)</f>
        <v/>
      </c>
      <c r="DL144" s="11" t="str">
        <f ca="1">IF(History!DP$2="","",#REF!*$C$144)</f>
        <v/>
      </c>
      <c r="DM144" s="11" t="str">
        <f ca="1">IF(History!DQ$2="","",#REF!*$C$144)</f>
        <v/>
      </c>
      <c r="DN144" s="11" t="str">
        <f ca="1">IF(History!DR$2="","",#REF!*$C$144)</f>
        <v/>
      </c>
      <c r="DO144" s="11" t="str">
        <f ca="1">IF(History!DS$2="","",#REF!*$C$144)</f>
        <v/>
      </c>
      <c r="DP144" s="11" t="str">
        <f ca="1">IF(History!DT$2="","",#REF!*$C$144)</f>
        <v/>
      </c>
      <c r="DQ144" s="11" t="str">
        <f ca="1">IF(History!DU$2="","",#REF!*$C$144)</f>
        <v/>
      </c>
      <c r="DR144" s="11" t="str">
        <f ca="1">IF(History!DV$2="","",#REF!*$C$144)</f>
        <v/>
      </c>
      <c r="DS144" s="11" t="str">
        <f ca="1">IF(History!DW$2="","",#REF!*$C$144)</f>
        <v/>
      </c>
      <c r="DT144" s="11" t="str">
        <f ca="1">IF(History!DX$2="","",#REF!*$C$144)</f>
        <v/>
      </c>
      <c r="DU144" s="11" t="str">
        <f ca="1">IF(History!DY$2="","",#REF!*$C$144)</f>
        <v/>
      </c>
      <c r="DV144" s="11" t="str">
        <f ca="1">IF(History!DZ$2="","",#REF!*$C$144)</f>
        <v/>
      </c>
      <c r="DW144" s="11" t="str">
        <f ca="1">IF(History!EA$2="","",#REF!*$C$144)</f>
        <v/>
      </c>
      <c r="DX144" s="11" t="str">
        <f ca="1">IF(History!EB$2="","",#REF!*$C$144)</f>
        <v/>
      </c>
      <c r="DY144" s="11" t="str">
        <f ca="1">IF(History!EC$2="","",#REF!*$C$144)</f>
        <v/>
      </c>
      <c r="DZ144" s="11" t="str">
        <f ca="1">IF(History!ED$2="","",#REF!*$C$144)</f>
        <v/>
      </c>
      <c r="EA144" s="11" t="str">
        <f ca="1">IF(History!EE$2="","",#REF!*$C$144)</f>
        <v/>
      </c>
      <c r="EB144" s="11" t="str">
        <f ca="1">IF(History!EF$2="","",#REF!*$C$144)</f>
        <v/>
      </c>
      <c r="EC144" s="11" t="str">
        <f ca="1">IF(History!EG$2="","",#REF!*$C$144)</f>
        <v/>
      </c>
      <c r="ED144" s="11" t="str">
        <f ca="1">IF(History!EH$2="","",#REF!*$C$144)</f>
        <v/>
      </c>
      <c r="EE144" s="11" t="str">
        <f ca="1">IF(History!EI$2="","",#REF!*$C$144)</f>
        <v/>
      </c>
      <c r="EF144" s="11" t="str">
        <f ca="1">IF(History!EJ$2="","",#REF!*$C$144)</f>
        <v/>
      </c>
      <c r="EG144" s="11" t="str">
        <f ca="1">IF(History!EK$2="","",#REF!*$C$144)</f>
        <v/>
      </c>
      <c r="EH144" s="11" t="str">
        <f ca="1">IF(History!EL$2="","",#REF!*$C$144)</f>
        <v/>
      </c>
      <c r="EI144" s="11" t="str">
        <f ca="1">IF(History!EM$2="","",#REF!*$C$144)</f>
        <v/>
      </c>
      <c r="EJ144" s="11" t="str">
        <f ca="1">IF(History!EN$2="","",#REF!*$C$144)</f>
        <v/>
      </c>
      <c r="EK144" s="11" t="str">
        <f ca="1">IF(History!EO$2="","",#REF!*$C$144)</f>
        <v/>
      </c>
      <c r="EL144" s="11" t="str">
        <f ca="1">IF(History!EP$2="","",#REF!*$C$144)</f>
        <v/>
      </c>
      <c r="EM144" s="11" t="str">
        <f ca="1">IF(History!EQ$2="","",#REF!*$C$144)</f>
        <v/>
      </c>
      <c r="EN144" s="11" t="str">
        <f ca="1">IF(History!ER$2="","",#REF!*$C$144)</f>
        <v/>
      </c>
      <c r="EO144" s="11" t="str">
        <f ca="1">IF(History!ES$2="","",#REF!*$C$144)</f>
        <v/>
      </c>
      <c r="EP144" s="11" t="str">
        <f ca="1">IF(History!ET$2="","",#REF!*$C$144)</f>
        <v/>
      </c>
      <c r="EQ144" s="11" t="str">
        <f ca="1">IF(History!EU$2="","",#REF!*$C$144)</f>
        <v/>
      </c>
      <c r="ER144" s="11" t="str">
        <f ca="1">IF(History!EV$2="","",#REF!*$C$144)</f>
        <v/>
      </c>
      <c r="ES144" s="11" t="str">
        <f ca="1">IF(History!EW$2="","",#REF!*$C$144)</f>
        <v/>
      </c>
      <c r="ET144" s="11" t="str">
        <f ca="1">IF(History!EX$2="","",#REF!*$C$144)</f>
        <v/>
      </c>
      <c r="EU144" s="11" t="str">
        <f ca="1">IF(History!EY$2="","",#REF!*$C$144)</f>
        <v/>
      </c>
      <c r="EV144" s="11" t="str">
        <f ca="1">IF(History!EZ$2="","",#REF!*$C$144)</f>
        <v/>
      </c>
      <c r="EW144" s="11" t="str">
        <f ca="1">IF(History!FA$2="","",#REF!*$C$144)</f>
        <v/>
      </c>
      <c r="EX144" s="11" t="str">
        <f ca="1">IF(History!FB$2="","",#REF!*$C$144)</f>
        <v/>
      </c>
      <c r="EY144" s="11" t="str">
        <f ca="1">IF(History!FC$2="","",#REF!*$C$144)</f>
        <v/>
      </c>
      <c r="EZ144" s="11" t="str">
        <f ca="1">IF(History!FD$2="","",#REF!*$C$144)</f>
        <v/>
      </c>
      <c r="FA144" s="11" t="str">
        <f ca="1">IF(History!FE$2="","",#REF!*$C$144)</f>
        <v/>
      </c>
      <c r="FB144" s="11" t="str">
        <f ca="1">IF(History!FF$2="","",#REF!*$C$144)</f>
        <v/>
      </c>
      <c r="FC144" s="11" t="str">
        <f ca="1">IF(History!FG$2="","",#REF!*$C$144)</f>
        <v/>
      </c>
      <c r="FD144" s="11" t="str">
        <f ca="1">IF(History!FH$2="","",#REF!*$C$144)</f>
        <v/>
      </c>
      <c r="FE144" s="11" t="str">
        <f ca="1">IF(History!FI$2="","",#REF!*$C$144)</f>
        <v/>
      </c>
      <c r="FF144" s="11" t="str">
        <f ca="1">IF(History!FJ$2="","",#REF!*$C$144)</f>
        <v/>
      </c>
      <c r="FG144" s="11" t="str">
        <f ca="1">IF(History!FK$2="","",#REF!*$C$144)</f>
        <v/>
      </c>
      <c r="FH144" s="11" t="str">
        <f ca="1">IF(History!FL$2="","",#REF!*$C$144)</f>
        <v/>
      </c>
      <c r="FI144" s="11" t="str">
        <f ca="1">IF(History!FM$2="","",#REF!*$C$144)</f>
        <v/>
      </c>
      <c r="FJ144" s="11" t="str">
        <f ca="1">IF(History!FN$2="","",#REF!*$C$144)</f>
        <v/>
      </c>
      <c r="FK144" s="11" t="str">
        <f ca="1">IF(History!FO$2="","",#REF!*$C$144)</f>
        <v/>
      </c>
      <c r="FL144" s="11" t="str">
        <f ca="1">IF(History!FP$2="","",#REF!*$C$144)</f>
        <v/>
      </c>
      <c r="FM144" s="11" t="str">
        <f ca="1">IF(History!FQ$2="","",#REF!*$C$144)</f>
        <v/>
      </c>
      <c r="FN144" s="11" t="str">
        <f ca="1">IF(History!FR$2="","",#REF!*$C$144)</f>
        <v/>
      </c>
      <c r="FO144" s="11" t="str">
        <f ca="1">IF(History!FS$2="","",#REF!*$C$144)</f>
        <v/>
      </c>
      <c r="FP144" s="11" t="str">
        <f ca="1">IF(History!FT$2="","",#REF!*$C$144)</f>
        <v/>
      </c>
      <c r="FQ144" s="11" t="str">
        <f ca="1">IF(History!FU$2="","",#REF!*$C$144)</f>
        <v/>
      </c>
      <c r="FR144" s="11" t="str">
        <f ca="1">IF(History!FV$2="","",#REF!*$C$144)</f>
        <v/>
      </c>
      <c r="FS144" s="11" t="str">
        <f ca="1">IF(History!FW$2="","",#REF!*$C$144)</f>
        <v/>
      </c>
      <c r="FT144" s="11" t="str">
        <f ca="1">IF(History!FX$2="","",#REF!*$C$144)</f>
        <v/>
      </c>
      <c r="FU144" s="11" t="str">
        <f ca="1">IF(History!FY$2="","",#REF!*$C$144)</f>
        <v/>
      </c>
      <c r="FV144" s="11" t="str">
        <f ca="1">IF(History!FZ$2="","",#REF!*$C$144)</f>
        <v/>
      </c>
      <c r="FW144" s="11" t="str">
        <f ca="1">IF(History!GA$2="","",#REF!*$C$144)</f>
        <v/>
      </c>
      <c r="FX144" s="11" t="str">
        <f ca="1">IF(History!GB$2="","",#REF!*$C$144)</f>
        <v/>
      </c>
      <c r="FY144" s="11" t="str">
        <f ca="1">IF(History!GC$2="","",#REF!*$C$144)</f>
        <v/>
      </c>
      <c r="FZ144" s="11" t="str">
        <f ca="1">IF(History!GD$2="","",#REF!*$C$144)</f>
        <v/>
      </c>
      <c r="GA144" s="11" t="str">
        <f ca="1">IF(History!GE$2="","",#REF!*$C$144)</f>
        <v/>
      </c>
      <c r="GB144" s="11" t="str">
        <f ca="1">IF(History!GF$2="","",#REF!*$C$144)</f>
        <v/>
      </c>
      <c r="GC144" s="11" t="str">
        <f ca="1">IF(History!GG$2="","",#REF!*$C$144)</f>
        <v/>
      </c>
      <c r="GD144" s="11" t="str">
        <f ca="1">IF(History!GH$2="","",#REF!*$C$144)</f>
        <v/>
      </c>
      <c r="GE144" s="11" t="str">
        <f ca="1">IF(History!GI$2="","",#REF!*$C$144)</f>
        <v/>
      </c>
      <c r="GF144" s="11" t="str">
        <f ca="1">IF(History!GJ$2="","",#REF!*$C$144)</f>
        <v/>
      </c>
      <c r="GG144" s="11" t="str">
        <f ca="1">IF(History!GK$2="","",#REF!*$C$144)</f>
        <v/>
      </c>
      <c r="GH144" s="11" t="str">
        <f ca="1">IF(History!GL$2="","",#REF!*$C$144)</f>
        <v/>
      </c>
      <c r="GI144" s="11" t="str">
        <f ca="1">IF(History!GM$2="","",#REF!*$C$144)</f>
        <v/>
      </c>
      <c r="GJ144" s="11" t="str">
        <f ca="1">IF(History!GN$2="","",#REF!*$C$144)</f>
        <v/>
      </c>
      <c r="GK144" s="11" t="str">
        <f ca="1">IF(History!GO$2="","",#REF!*$C$144)</f>
        <v/>
      </c>
      <c r="GL144" s="11" t="str">
        <f ca="1">IF(History!GP$2="","",#REF!*$C$144)</f>
        <v/>
      </c>
      <c r="GM144" s="11" t="str">
        <f ca="1">IF(History!GQ$2="","",#REF!*$C$144)</f>
        <v/>
      </c>
      <c r="GN144" s="11" t="str">
        <f ca="1">IF(History!GR$2="","",#REF!*$C$144)</f>
        <v/>
      </c>
      <c r="GO144" s="11" t="str">
        <f ca="1">IF(History!GS$2="","",#REF!*$C$144)</f>
        <v/>
      </c>
      <c r="GP144" s="11" t="str">
        <f ca="1">IF(History!GT$2="","",#REF!*$C$144)</f>
        <v/>
      </c>
      <c r="GQ144" s="11" t="str">
        <f ca="1">IF(History!GU$2="","",#REF!*$C$144)</f>
        <v/>
      </c>
      <c r="GR144" s="11" t="str">
        <f ca="1">IF(History!GV$2="","",#REF!*$C$144)</f>
        <v/>
      </c>
      <c r="GS144" s="11" t="str">
        <f ca="1">IF(History!GW$2="","",#REF!*$C$144)</f>
        <v/>
      </c>
      <c r="GT144" s="11" t="str">
        <f ca="1">IF(History!GX$2="","",#REF!*$C$144)</f>
        <v/>
      </c>
      <c r="GU144" s="11" t="str">
        <f ca="1">IF(History!GY$2="","",#REF!*$C$144)</f>
        <v/>
      </c>
      <c r="GV144" s="11" t="str">
        <f ca="1">IF(History!GZ$2="","",#REF!*$C$144)</f>
        <v/>
      </c>
      <c r="GW144" s="11" t="str">
        <f ca="1">IF(History!HA$2="","",#REF!*$C$144)</f>
        <v/>
      </c>
      <c r="GX144" s="11" t="str">
        <f ca="1">IF(History!HB$2="","",#REF!*$C$144)</f>
        <v/>
      </c>
      <c r="GY144" s="11" t="str">
        <f ca="1">IF(History!HC$2="","",#REF!*$C$144)</f>
        <v/>
      </c>
      <c r="GZ144" s="11" t="str">
        <f ca="1">IF(History!HD$2="","",#REF!*$C$144)</f>
        <v/>
      </c>
      <c r="HA144" s="11" t="str">
        <f ca="1">IF(History!HE$2="","",#REF!*$C$144)</f>
        <v/>
      </c>
      <c r="HB144" s="11" t="str">
        <f ca="1">IF(History!HF$2="","",#REF!*$C$144)</f>
        <v/>
      </c>
      <c r="HC144" s="11" t="str">
        <f ca="1">IF(History!HG$2="","",#REF!*$C$144)</f>
        <v/>
      </c>
      <c r="HD144" s="11" t="str">
        <f ca="1">IF(History!HH$2="","",#REF!*$C$144)</f>
        <v/>
      </c>
      <c r="HE144" s="11" t="str">
        <f ca="1">IF(History!HI$2="","",#REF!*$C$144)</f>
        <v/>
      </c>
      <c r="HF144" s="11" t="str">
        <f ca="1">IF(History!HJ$2="","",#REF!*$C$144)</f>
        <v/>
      </c>
      <c r="HG144" s="11" t="str">
        <f ca="1">IF(History!HK$2="","",#REF!*$C$144)</f>
        <v/>
      </c>
      <c r="HH144" s="11" t="str">
        <f ca="1">IF(History!HL$2="","",#REF!*$C$144)</f>
        <v/>
      </c>
      <c r="HI144" s="11" t="str">
        <f ca="1">IF(History!HM$2="","",#REF!*$C$144)</f>
        <v/>
      </c>
      <c r="HJ144" s="11" t="str">
        <f ca="1">IF(History!HN$2="","",#REF!*$C$144)</f>
        <v/>
      </c>
      <c r="HK144" s="11" t="str">
        <f ca="1">IF(History!HO$2="","",#REF!*$C$144)</f>
        <v/>
      </c>
      <c r="HL144" s="11" t="str">
        <f ca="1">IF(History!HP$2="","",#REF!*$C$144)</f>
        <v/>
      </c>
      <c r="HM144" s="11" t="str">
        <f ca="1">IF(History!HQ$2="","",#REF!*$C$144)</f>
        <v/>
      </c>
      <c r="HN144" s="11" t="str">
        <f ca="1">IF(History!HR$2="","",#REF!*$C$144)</f>
        <v/>
      </c>
      <c r="HO144" s="11" t="str">
        <f ca="1">IF(History!HS$2="","",#REF!*$C$144)</f>
        <v/>
      </c>
      <c r="HP144" s="11" t="str">
        <f ca="1">IF(History!HT$2="","",#REF!*$C$144)</f>
        <v/>
      </c>
      <c r="HQ144" s="11" t="str">
        <f ca="1">IF(History!HU$2="","",#REF!*$C$144)</f>
        <v/>
      </c>
      <c r="HR144" s="11" t="str">
        <f ca="1">IF(History!HV$2="","",#REF!*$C$144)</f>
        <v/>
      </c>
      <c r="HS144" s="11" t="str">
        <f ca="1">IF(History!HW$2="","",#REF!*$C$144)</f>
        <v/>
      </c>
      <c r="HT144" s="11" t="str">
        <f ca="1">IF(History!HX$2="","",#REF!*$C$144)</f>
        <v/>
      </c>
      <c r="HU144" s="11" t="str">
        <f ca="1">IF(History!HY$2="","",#REF!*$C$144)</f>
        <v/>
      </c>
      <c r="HV144" s="11" t="str">
        <f ca="1">IF(History!HZ$2="","",#REF!*$C$144)</f>
        <v/>
      </c>
      <c r="HW144" s="11" t="str">
        <f ca="1">IF(History!IA$2="","",#REF!*$C$144)</f>
        <v/>
      </c>
      <c r="HX144" s="11" t="str">
        <f ca="1">IF(History!IB$2="","",#REF!*$C$144)</f>
        <v/>
      </c>
      <c r="HY144" s="11" t="str">
        <f ca="1">IF(History!IC$2="","",#REF!*$C$144)</f>
        <v/>
      </c>
      <c r="HZ144" s="11" t="str">
        <f ca="1">IF(History!ID$2="","",#REF!*$C$144)</f>
        <v/>
      </c>
      <c r="IA144" s="11" t="str">
        <f ca="1">IF(History!IE$2="","",#REF!*$C$144)</f>
        <v/>
      </c>
      <c r="IB144" s="11" t="str">
        <f ca="1">IF(History!IF$2="","",#REF!*$C$144)</f>
        <v/>
      </c>
      <c r="IC144" s="11" t="str">
        <f ca="1">IF(History!IG$2="","",#REF!*$C$144)</f>
        <v/>
      </c>
      <c r="ID144" s="11" t="str">
        <f ca="1">IF(History!IH$2="","",#REF!*$C$144)</f>
        <v/>
      </c>
      <c r="IE144" s="11" t="str">
        <f ca="1">IF(History!II$2="","",#REF!*$C$144)</f>
        <v/>
      </c>
      <c r="IF144" s="11" t="str">
        <f ca="1">IF(History!IJ$2="","",#REF!*$C$144)</f>
        <v/>
      </c>
      <c r="IG144" s="11" t="str">
        <f ca="1">IF(History!IK$2="","",#REF!*$C$144)</f>
        <v/>
      </c>
      <c r="IH144" s="11" t="str">
        <f ca="1">IF(History!IL$2="","",#REF!*$C$144)</f>
        <v/>
      </c>
      <c r="II144" s="11" t="str">
        <f ca="1">IF(History!IM$2="","",#REF!*$C$144)</f>
        <v/>
      </c>
      <c r="IJ144" s="11" t="str">
        <f ca="1">IF(History!IN$2="","",#REF!*$C$144)</f>
        <v/>
      </c>
      <c r="IK144" s="11" t="str">
        <f ca="1">IF(History!IO$2="","",#REF!*$C$144)</f>
        <v/>
      </c>
      <c r="IL144" s="11" t="str">
        <f ca="1">IF(History!IP$2="","",#REF!*$C$144)</f>
        <v/>
      </c>
      <c r="IM144" s="11" t="str">
        <f ca="1">IF(History!IQ$2="","",#REF!*$C$144)</f>
        <v/>
      </c>
      <c r="IN144" s="11" t="str">
        <f ca="1">IF(History!IR$2="","",#REF!*$C$144)</f>
        <v/>
      </c>
      <c r="IO144" s="11" t="str">
        <f ca="1">IF(History!IS$2="","",#REF!*$C$144)</f>
        <v/>
      </c>
      <c r="IP144" s="11" t="str">
        <f ca="1">IF(History!IT$2="","",#REF!*$C$144)</f>
        <v/>
      </c>
      <c r="IQ144" s="11" t="str">
        <f ca="1">IF(History!IU$2="","",#REF!*$C$144)</f>
        <v/>
      </c>
      <c r="IR144" s="11" t="str">
        <f ca="1">IF(History!IV$2="","",#REF!*$C$144)</f>
        <v/>
      </c>
      <c r="IS144" s="11" t="str">
        <f ca="1">IF(History!IW$2="","",#REF!*$C$144)</f>
        <v/>
      </c>
      <c r="IT144" s="11" t="str">
        <f ca="1">IF(History!IX$2="","",#REF!*$C$144)</f>
        <v/>
      </c>
      <c r="IU144" s="11" t="str">
        <f ca="1">IF(History!IY$2="","",#REF!*$C$144)</f>
        <v/>
      </c>
      <c r="IV144" s="11" t="str">
        <f ca="1">IF(History!IZ$2="","",#REF!*$C$144)</f>
        <v/>
      </c>
      <c r="IW144" s="11" t="str">
        <f ca="1">IF(History!JA$2="","",#REF!*$C$144)</f>
        <v/>
      </c>
      <c r="IX144" s="11" t="str">
        <f ca="1">IF(History!JB$2="","",#REF!*$C$144)</f>
        <v/>
      </c>
      <c r="IY144" s="11" t="str">
        <f ca="1">IF(History!JC$2="","",#REF!*$C$144)</f>
        <v/>
      </c>
      <c r="IZ144" s="11" t="str">
        <f ca="1">IF(History!JD$2="","",#REF!*$C$144)</f>
        <v/>
      </c>
      <c r="JA144" s="11" t="str">
        <f ca="1">IF(History!JE$2="","",#REF!*$C$144)</f>
        <v/>
      </c>
      <c r="JB144" s="11" t="str">
        <f ca="1">IF(History!JF$2="","",#REF!*$C$144)</f>
        <v/>
      </c>
      <c r="JC144" s="11" t="str">
        <f ca="1">IF(History!JG$2="","",#REF!*$C$144)</f>
        <v/>
      </c>
      <c r="JD144" s="11" t="str">
        <f ca="1">IF(History!JH$2="","",#REF!*$C$144)</f>
        <v/>
      </c>
      <c r="JE144" s="11" t="str">
        <f ca="1">IF(History!JI$2="","",#REF!*$C$144)</f>
        <v/>
      </c>
      <c r="JF144" s="11" t="str">
        <f ca="1">IF(History!JJ$2="","",#REF!*$C$144)</f>
        <v/>
      </c>
      <c r="JG144" s="11" t="str">
        <f ca="1">IF(History!JK$2="","",#REF!*$C$144)</f>
        <v/>
      </c>
      <c r="JH144" s="11" t="str">
        <f ca="1">IF(History!JL$2="","",#REF!*$C$144)</f>
        <v/>
      </c>
      <c r="JI144" s="11" t="str">
        <f ca="1">IF(History!JM$2="","",#REF!*$C$144)</f>
        <v/>
      </c>
      <c r="JJ144" s="11" t="str">
        <f ca="1">IF(History!JN$2="","",#REF!*$C$144)</f>
        <v/>
      </c>
      <c r="JK144" s="11" t="str">
        <f ca="1">IF(History!JO$2="","",#REF!*$C$144)</f>
        <v/>
      </c>
      <c r="JL144" s="11" t="str">
        <f ca="1">IF(History!JP$2="","",#REF!*$C$144)</f>
        <v/>
      </c>
      <c r="JM144" s="11" t="str">
        <f ca="1">IF(History!JQ$2="","",#REF!*$C$144)</f>
        <v/>
      </c>
      <c r="JN144" s="11" t="str">
        <f ca="1">IF(History!JR$2="","",#REF!*$C$144)</f>
        <v/>
      </c>
      <c r="JO144" s="11" t="str">
        <f ca="1">IF(History!JS$2="","",#REF!*$C$144)</f>
        <v/>
      </c>
      <c r="JP144" s="11" t="str">
        <f ca="1">IF(History!JT$2="","",#REF!*$C$144)</f>
        <v/>
      </c>
      <c r="JQ144" s="11" t="str">
        <f ca="1">IF(History!JU$2="","",#REF!*$C$144)</f>
        <v/>
      </c>
      <c r="JR144" s="11" t="str">
        <f ca="1">IF(History!JV$2="","",#REF!*$C$144)</f>
        <v/>
      </c>
      <c r="JS144" s="11" t="str">
        <f ca="1">IF(History!JW$2="","",#REF!*$C$144)</f>
        <v/>
      </c>
      <c r="JT144" s="11" t="str">
        <f ca="1">IF(History!JX$2="","",#REF!*$C$144)</f>
        <v/>
      </c>
      <c r="JU144" s="11" t="str">
        <f ca="1">IF(History!JY$2="","",#REF!*$C$144)</f>
        <v/>
      </c>
      <c r="JV144" s="11" t="str">
        <f ca="1">IF(History!JZ$2="","",#REF!*$C$144)</f>
        <v/>
      </c>
      <c r="JW144" s="11" t="str">
        <f ca="1">IF(History!KA$2="","",#REF!*$C$144)</f>
        <v/>
      </c>
      <c r="JX144" s="11" t="str">
        <f ca="1">IF(History!KB$2="","",#REF!*$C$144)</f>
        <v/>
      </c>
      <c r="JY144" s="11" t="str">
        <f ca="1">IF(History!KC$2="","",#REF!*$C$144)</f>
        <v/>
      </c>
      <c r="JZ144" s="11" t="str">
        <f ca="1">IF(History!KD$2="","",#REF!*$C$144)</f>
        <v/>
      </c>
      <c r="KA144" s="11" t="str">
        <f ca="1">IF(History!KE$2="","",#REF!*$C$144)</f>
        <v/>
      </c>
      <c r="KB144" s="11" t="str">
        <f ca="1">IF(History!KF$2="","",#REF!*$C$144)</f>
        <v/>
      </c>
    </row>
    <row r="148" spans="1:288" ht="16">
      <c r="A148" s="37" t="s">
        <v>191</v>
      </c>
      <c r="B148" s="19"/>
      <c r="C148" s="19"/>
      <c r="D148" s="38">
        <v>44571</v>
      </c>
      <c r="E148" s="38">
        <f ca="1">IF(History!I2="","",History!I2)</f>
        <v>44572.666666666599</v>
      </c>
      <c r="F148" s="38">
        <f ca="1">IF(History!J2="","",History!J2)</f>
        <v>44573.666666666599</v>
      </c>
      <c r="G148" s="38">
        <f ca="1">IF(History!K2="","",History!K2)</f>
        <v>44574.666666666599</v>
      </c>
      <c r="H148" s="38">
        <f ca="1">IF(History!L2="","",History!L2)</f>
        <v>44575.666666666599</v>
      </c>
      <c r="I148" s="38">
        <f ca="1">IF(History!M2="","",History!M2)</f>
        <v>44579.666666666599</v>
      </c>
      <c r="J148" s="38">
        <f ca="1">IF(History!N2="","",History!N2)</f>
        <v>44580.666666666599</v>
      </c>
      <c r="K148" s="38">
        <f ca="1">IF(History!O2="","",History!O2)</f>
        <v>44581.666666666599</v>
      </c>
      <c r="L148" s="38">
        <f ca="1">IF(History!P2="","",History!P2)</f>
        <v>44582.666666666599</v>
      </c>
      <c r="M148" s="38">
        <f ca="1">IF(History!Q2="","",History!Q2)</f>
        <v>44585.666666666599</v>
      </c>
      <c r="N148" s="38">
        <f ca="1">IF(History!R2="","",History!R2)</f>
        <v>44586.666666666599</v>
      </c>
      <c r="O148" s="38">
        <f ca="1">IF(History!S2="","",History!S2)</f>
        <v>44587.666666666599</v>
      </c>
      <c r="P148" s="38">
        <f ca="1">IF(History!T2="","",History!T2)</f>
        <v>44588.666666666599</v>
      </c>
      <c r="Q148" s="38">
        <f ca="1">IF(History!U2="","",History!U2)</f>
        <v>44589.666666666599</v>
      </c>
      <c r="R148" s="38">
        <f ca="1">IF(History!V2="","",History!V2)</f>
        <v>44592.666666666599</v>
      </c>
      <c r="S148" s="38">
        <f ca="1">IF(History!W2="","",History!W2)</f>
        <v>44593.666666666599</v>
      </c>
      <c r="T148" s="38">
        <f ca="1">IF(History!X2="","",History!X2)</f>
        <v>44594.666666666599</v>
      </c>
      <c r="U148" s="38">
        <f ca="1">IF(History!Y2="","",History!Y2)</f>
        <v>44595.666666666599</v>
      </c>
      <c r="V148" s="38">
        <f ca="1">IF(History!Z2="","",History!Z2)</f>
        <v>44596.666666666599</v>
      </c>
      <c r="W148" s="38">
        <f ca="1">IF(History!AA2="","",History!AA2)</f>
        <v>44599.666666666599</v>
      </c>
      <c r="X148" s="38">
        <f ca="1">IF(History!AB2="","",History!AB2)</f>
        <v>44600.666666666599</v>
      </c>
      <c r="Y148" s="38">
        <f ca="1">IF(History!AC2="","",History!AC2)</f>
        <v>44601.666666666599</v>
      </c>
      <c r="Z148" s="38">
        <f ca="1">IF(History!AD2="","",History!AD2)</f>
        <v>44602.666666666599</v>
      </c>
      <c r="AA148" s="38">
        <f ca="1">IF(History!AE2="","",History!AE2)</f>
        <v>44603.666666666599</v>
      </c>
      <c r="AB148" s="38">
        <f ca="1">IF(History!AF2="","",History!AF2)</f>
        <v>44606.666666666599</v>
      </c>
      <c r="AC148" s="38">
        <f ca="1">IF(History!AG2="","",History!AG2)</f>
        <v>44607.666666666599</v>
      </c>
      <c r="AD148" s="38">
        <f ca="1">IF(History!AH2="","",History!AH2)</f>
        <v>44608.666666666599</v>
      </c>
      <c r="AE148" s="38">
        <f ca="1">IF(History!AI2="","",History!AI2)</f>
        <v>44609.666666666599</v>
      </c>
      <c r="AF148" s="38">
        <f ca="1">IF(History!AJ2="","",History!AJ2)</f>
        <v>44610.666666666599</v>
      </c>
      <c r="AG148" s="38">
        <f ca="1">IF(History!AK2="","",History!AK2)</f>
        <v>44614.666666666599</v>
      </c>
      <c r="AH148" s="38">
        <f ca="1">IF(History!AL2="","",History!AL2)</f>
        <v>44615.666666666599</v>
      </c>
      <c r="AI148" s="38">
        <f ca="1">IF(History!AM2="","",History!AM2)</f>
        <v>44616.666666666599</v>
      </c>
      <c r="AJ148" s="38">
        <f ca="1">IF(History!AN2="","",History!AN2)</f>
        <v>44617.666666666599</v>
      </c>
      <c r="AK148" s="38">
        <f ca="1">IF(History!AO2="","",History!AO2)</f>
        <v>44620.666666666599</v>
      </c>
      <c r="AL148" s="38">
        <f ca="1">IF(History!AP2="","",History!AP2)</f>
        <v>44621.666666666599</v>
      </c>
      <c r="AM148" s="38">
        <f ca="1">IF(History!AQ2="","",History!AQ2)</f>
        <v>44622.666666666599</v>
      </c>
      <c r="AN148" s="38">
        <f ca="1">IF(History!AR2="","",History!AR2)</f>
        <v>44623.666666666599</v>
      </c>
      <c r="AO148" s="38">
        <f ca="1">IF(History!AS2="","",History!AS2)</f>
        <v>44624.666666666599</v>
      </c>
      <c r="AP148" s="38">
        <f ca="1">IF(History!AT2="","",History!AT2)</f>
        <v>44627.666666666599</v>
      </c>
      <c r="AQ148" s="38">
        <f ca="1">IF(History!AU2="","",History!AU2)</f>
        <v>44628.666666666599</v>
      </c>
      <c r="AR148" s="38">
        <f ca="1">IF(History!AV2="","",History!AV2)</f>
        <v>44629.666666666599</v>
      </c>
      <c r="AS148" s="38">
        <f ca="1">IF(History!AW2="","",History!AW2)</f>
        <v>44630.666666666599</v>
      </c>
      <c r="AT148" s="38">
        <f ca="1">IF(History!AX2="","",History!AX2)</f>
        <v>44631.666666666599</v>
      </c>
      <c r="AU148" s="38">
        <f ca="1">IF(History!AY2="","",History!AY2)</f>
        <v>44634.666666666599</v>
      </c>
      <c r="AV148" s="38">
        <f ca="1">IF(History!AZ2="","",History!AZ2)</f>
        <v>44635.666666666599</v>
      </c>
      <c r="AW148" s="38">
        <f ca="1">IF(History!BA2="","",History!BA2)</f>
        <v>44636.666666666599</v>
      </c>
      <c r="AX148" s="38">
        <f ca="1">IF(History!BB2="","",History!BB2)</f>
        <v>44637.666666666599</v>
      </c>
      <c r="AY148" s="38">
        <f ca="1">IF(History!BC2="","",History!BC2)</f>
        <v>44638.666666666599</v>
      </c>
      <c r="AZ148" s="38">
        <f ca="1">IF(History!BD2="","",History!BD2)</f>
        <v>44641.666666666599</v>
      </c>
      <c r="BA148" s="38">
        <f ca="1">IF(History!BE2="","",History!BE2)</f>
        <v>44642.666666666599</v>
      </c>
      <c r="BB148" s="38">
        <f ca="1">IF(History!BF2="","",History!BF2)</f>
        <v>44643.666666666599</v>
      </c>
      <c r="BC148" s="38">
        <f ca="1">IF(History!BG2="","",History!BG2)</f>
        <v>44644.666666666599</v>
      </c>
      <c r="BD148" s="38">
        <f ca="1">IF(History!BH2="","",History!BH2)</f>
        <v>44645.666666666599</v>
      </c>
      <c r="BE148" s="38">
        <f ca="1">IF(History!BI2="","",History!BI2)</f>
        <v>44648.666666666599</v>
      </c>
      <c r="BF148" s="38">
        <f ca="1">IF(History!BJ2="","",History!BJ2)</f>
        <v>44649.666666666599</v>
      </c>
      <c r="BG148" s="38">
        <f ca="1">IF(History!BK2="","",History!BK2)</f>
        <v>44650.666666666599</v>
      </c>
      <c r="BH148" s="38">
        <f ca="1">IF(History!BL2="","",History!BL2)</f>
        <v>44651.666666666599</v>
      </c>
      <c r="BI148" s="38">
        <f ca="1">IF(History!BM2="","",History!BM2)</f>
        <v>44652.666666666599</v>
      </c>
      <c r="BJ148" s="38">
        <f ca="1">IF(History!BN2="","",History!BN2)</f>
        <v>44655.666666666599</v>
      </c>
      <c r="BK148" s="38">
        <f ca="1">IF(History!BO2="","",History!BO2)</f>
        <v>44656.666666666599</v>
      </c>
      <c r="BL148" s="38">
        <f ca="1">IF(History!BP2="","",History!BP2)</f>
        <v>44657.666666666599</v>
      </c>
      <c r="BM148" s="38">
        <f ca="1">IF(History!BQ2="","",History!BQ2)</f>
        <v>44658.666666666599</v>
      </c>
      <c r="BN148" s="38">
        <f ca="1">IF(History!BR2="","",History!BR2)</f>
        <v>44659.666666666599</v>
      </c>
      <c r="BO148" s="38">
        <f ca="1">IF(History!BS2="","",History!BS2)</f>
        <v>44662.666666666599</v>
      </c>
      <c r="BP148" s="38">
        <f ca="1">IF(History!BT2="","",History!BT2)</f>
        <v>44663.666666666599</v>
      </c>
      <c r="BQ148" s="38">
        <f ca="1">IF(History!BU2="","",History!BU2)</f>
        <v>44664.666666666599</v>
      </c>
      <c r="BR148" s="38">
        <f ca="1">IF(History!BV2="","",History!BV2)</f>
        <v>44665.666666666599</v>
      </c>
      <c r="BS148" s="38">
        <f ca="1">IF(History!BW2="","",History!BW2)</f>
        <v>44669.666666666599</v>
      </c>
      <c r="BT148" s="38">
        <f ca="1">IF(History!BX2="","",History!BX2)</f>
        <v>44670.666666666599</v>
      </c>
      <c r="BU148" s="38">
        <f ca="1">IF(History!BY2="","",History!BY2)</f>
        <v>44671.666666666599</v>
      </c>
      <c r="BV148" s="38">
        <f ca="1">IF(History!BZ2="","",History!BZ2)</f>
        <v>44672.666666666599</v>
      </c>
      <c r="BW148" s="38">
        <f ca="1">IF(History!CA2="","",History!CA2)</f>
        <v>44673.666666666599</v>
      </c>
      <c r="BX148" s="38">
        <f ca="1">IF(History!CB2="","",History!CB2)</f>
        <v>44676.666666666599</v>
      </c>
      <c r="BY148" s="38">
        <f ca="1">IF(History!CC2="","",History!CC2)</f>
        <v>44677.666666666599</v>
      </c>
      <c r="BZ148" s="38">
        <f ca="1">IF(History!CD2="","",History!CD2)</f>
        <v>44678.666666666599</v>
      </c>
      <c r="CA148" s="38">
        <f ca="1">IF(History!CE2="","",History!CE2)</f>
        <v>44679.666666666599</v>
      </c>
      <c r="CB148" s="38">
        <f ca="1">IF(History!CF2="","",History!CF2)</f>
        <v>44680.666666666599</v>
      </c>
      <c r="CC148" s="38">
        <f ca="1">IF(History!CG2="","",History!CG2)</f>
        <v>44683.666666666599</v>
      </c>
      <c r="CD148" s="38">
        <f ca="1">IF(History!CH2="","",History!CH2)</f>
        <v>44684.666666666599</v>
      </c>
      <c r="CE148" s="38">
        <f ca="1">IF(History!CI2="","",History!CI2)</f>
        <v>44685.666666666599</v>
      </c>
      <c r="CF148" s="38" t="str">
        <f ca="1">IF(History!CJ2="","",History!CJ2)</f>
        <v/>
      </c>
      <c r="CG148" s="38" t="str">
        <f ca="1">IF(History!CK2="","",History!CK2)</f>
        <v/>
      </c>
      <c r="CH148" s="38" t="str">
        <f ca="1">IF(History!CL2="","",History!CL2)</f>
        <v/>
      </c>
      <c r="CI148" s="38" t="str">
        <f ca="1">IF(History!CM2="","",History!CM2)</f>
        <v/>
      </c>
      <c r="CJ148" s="38" t="str">
        <f ca="1">IF(History!CN2="","",History!CN2)</f>
        <v/>
      </c>
      <c r="CK148" s="38" t="str">
        <f ca="1">IF(History!CO2="","",History!CO2)</f>
        <v/>
      </c>
      <c r="CL148" s="38" t="str">
        <f ca="1">IF(History!CP2="","",History!CP2)</f>
        <v/>
      </c>
      <c r="CM148" s="38" t="str">
        <f ca="1">IF(History!CQ2="","",History!CQ2)</f>
        <v/>
      </c>
      <c r="CN148" s="38" t="str">
        <f ca="1">IF(History!CR2="","",History!CR2)</f>
        <v/>
      </c>
      <c r="CO148" s="38" t="str">
        <f ca="1">IF(History!CS2="","",History!CS2)</f>
        <v/>
      </c>
      <c r="CP148" s="38" t="str">
        <f ca="1">IF(History!CT2="","",History!CT2)</f>
        <v/>
      </c>
      <c r="CQ148" s="38" t="str">
        <f ca="1">IF(History!CU2="","",History!CU2)</f>
        <v/>
      </c>
      <c r="CR148" s="38" t="str">
        <f ca="1">IF(History!CV2="","",History!CV2)</f>
        <v/>
      </c>
      <c r="CS148" s="38" t="str">
        <f ca="1">IF(History!CW2="","",History!CW2)</f>
        <v/>
      </c>
      <c r="CT148" s="38" t="str">
        <f ca="1">IF(History!CX2="","",History!CX2)</f>
        <v/>
      </c>
      <c r="CU148" s="38" t="str">
        <f ca="1">IF(History!CY2="","",History!CY2)</f>
        <v/>
      </c>
      <c r="CV148" s="38" t="str">
        <f ca="1">IF(History!CZ2="","",History!CZ2)</f>
        <v/>
      </c>
      <c r="CW148" s="38" t="str">
        <f ca="1">IF(History!DA2="","",History!DA2)</f>
        <v/>
      </c>
      <c r="CX148" s="38" t="str">
        <f ca="1">IF(History!DB2="","",History!DB2)</f>
        <v/>
      </c>
      <c r="CY148" s="38" t="str">
        <f ca="1">IF(History!DC2="","",History!DC2)</f>
        <v/>
      </c>
      <c r="CZ148" s="38" t="str">
        <f ca="1">IF(History!DD2="","",History!DD2)</f>
        <v/>
      </c>
      <c r="DA148" s="38" t="str">
        <f ca="1">IF(History!DE2="","",History!DE2)</f>
        <v/>
      </c>
      <c r="DB148" s="38" t="str">
        <f ca="1">IF(History!DF2="","",History!DF2)</f>
        <v/>
      </c>
      <c r="DC148" s="38" t="str">
        <f ca="1">IF(History!DG2="","",History!DG2)</f>
        <v/>
      </c>
      <c r="DD148" s="38" t="str">
        <f ca="1">IF(History!DH2="","",History!DH2)</f>
        <v/>
      </c>
      <c r="DE148" s="38" t="str">
        <f ca="1">IF(History!DI2="","",History!DI2)</f>
        <v/>
      </c>
      <c r="DF148" s="38" t="str">
        <f ca="1">IF(History!DJ2="","",History!DJ2)</f>
        <v/>
      </c>
      <c r="DG148" s="38" t="str">
        <f ca="1">IF(History!DK2="","",History!DK2)</f>
        <v/>
      </c>
      <c r="DH148" s="38" t="str">
        <f ca="1">IF(History!DL2="","",History!DL2)</f>
        <v/>
      </c>
      <c r="DI148" s="38" t="str">
        <f ca="1">IF(History!DM2="","",History!DM2)</f>
        <v/>
      </c>
      <c r="DJ148" s="38" t="str">
        <f ca="1">IF(History!DN2="","",History!DN2)</f>
        <v/>
      </c>
      <c r="DK148" s="38" t="str">
        <f ca="1">IF(History!DO2="","",History!DO2)</f>
        <v/>
      </c>
      <c r="DL148" s="38" t="str">
        <f ca="1">IF(History!DP2="","",History!DP2)</f>
        <v/>
      </c>
      <c r="DM148" s="38" t="str">
        <f ca="1">IF(History!DQ2="","",History!DQ2)</f>
        <v/>
      </c>
      <c r="DN148" s="38" t="str">
        <f ca="1">IF(History!DR2="","",History!DR2)</f>
        <v/>
      </c>
      <c r="DO148" s="38" t="str">
        <f ca="1">IF(History!DS2="","",History!DS2)</f>
        <v/>
      </c>
      <c r="DP148" s="38" t="str">
        <f ca="1">IF(History!DT2="","",History!DT2)</f>
        <v/>
      </c>
      <c r="DQ148" s="38" t="str">
        <f ca="1">IF(History!DU2="","",History!DU2)</f>
        <v/>
      </c>
      <c r="DR148" s="38" t="str">
        <f ca="1">IF(History!DV2="","",History!DV2)</f>
        <v/>
      </c>
      <c r="DS148" s="38" t="str">
        <f ca="1">IF(History!DW2="","",History!DW2)</f>
        <v/>
      </c>
      <c r="DT148" s="38" t="str">
        <f ca="1">IF(History!DX2="","",History!DX2)</f>
        <v/>
      </c>
      <c r="DU148" s="38" t="str">
        <f ca="1">IF(History!DY2="","",History!DY2)</f>
        <v/>
      </c>
      <c r="DV148" s="38" t="str">
        <f ca="1">IF(History!DZ2="","",History!DZ2)</f>
        <v/>
      </c>
      <c r="DW148" s="38" t="str">
        <f ca="1">IF(History!EA2="","",History!EA2)</f>
        <v/>
      </c>
      <c r="DX148" s="38" t="str">
        <f ca="1">IF(History!EB2="","",History!EB2)</f>
        <v/>
      </c>
      <c r="DY148" s="38" t="str">
        <f ca="1">IF(History!EC2="","",History!EC2)</f>
        <v/>
      </c>
      <c r="DZ148" s="38" t="str">
        <f ca="1">IF(History!ED2="","",History!ED2)</f>
        <v/>
      </c>
      <c r="EA148" s="38" t="str">
        <f ca="1">IF(History!EE2="","",History!EE2)</f>
        <v/>
      </c>
      <c r="EB148" s="38" t="str">
        <f ca="1">IF(History!EF2="","",History!EF2)</f>
        <v/>
      </c>
      <c r="EC148" s="38" t="str">
        <f ca="1">IF(History!EG2="","",History!EG2)</f>
        <v/>
      </c>
      <c r="ED148" s="38" t="str">
        <f ca="1">IF(History!EH2="","",History!EH2)</f>
        <v/>
      </c>
      <c r="EE148" s="38" t="str">
        <f ca="1">IF(History!EI2="","",History!EI2)</f>
        <v/>
      </c>
      <c r="EF148" s="38" t="str">
        <f ca="1">IF(History!EJ2="","",History!EJ2)</f>
        <v/>
      </c>
      <c r="EG148" s="38" t="str">
        <f ca="1">IF(History!EK2="","",History!EK2)</f>
        <v/>
      </c>
      <c r="EH148" s="38" t="str">
        <f ca="1">IF(History!EL2="","",History!EL2)</f>
        <v/>
      </c>
      <c r="EI148" s="38" t="str">
        <f ca="1">IF(History!EM2="","",History!EM2)</f>
        <v/>
      </c>
      <c r="EJ148" s="38" t="str">
        <f ca="1">IF(History!EN2="","",History!EN2)</f>
        <v/>
      </c>
      <c r="EK148" s="38" t="str">
        <f ca="1">IF(History!EO2="","",History!EO2)</f>
        <v/>
      </c>
      <c r="EL148" s="38" t="str">
        <f ca="1">IF(History!EP2="","",History!EP2)</f>
        <v/>
      </c>
      <c r="EM148" s="38" t="str">
        <f ca="1">IF(History!EQ2="","",History!EQ2)</f>
        <v/>
      </c>
      <c r="EN148" s="38" t="str">
        <f ca="1">IF(History!ER2="","",History!ER2)</f>
        <v/>
      </c>
      <c r="EO148" s="38" t="str">
        <f ca="1">IF(History!ES2="","",History!ES2)</f>
        <v/>
      </c>
      <c r="EP148" s="38" t="str">
        <f ca="1">IF(History!ET2="","",History!ET2)</f>
        <v/>
      </c>
      <c r="EQ148" s="38" t="str">
        <f ca="1">IF(History!EU2="","",History!EU2)</f>
        <v/>
      </c>
      <c r="ER148" s="38" t="str">
        <f ca="1">IF(History!EV2="","",History!EV2)</f>
        <v/>
      </c>
      <c r="ES148" s="38" t="str">
        <f ca="1">IF(History!EW2="","",History!EW2)</f>
        <v/>
      </c>
      <c r="ET148" s="38" t="str">
        <f ca="1">IF(History!EX2="","",History!EX2)</f>
        <v/>
      </c>
      <c r="EU148" s="38" t="str">
        <f ca="1">IF(History!EY2="","",History!EY2)</f>
        <v/>
      </c>
      <c r="EV148" s="38" t="str">
        <f ca="1">IF(History!EZ2="","",History!EZ2)</f>
        <v/>
      </c>
      <c r="EW148" s="38" t="str">
        <f ca="1">IF(History!FA2="","",History!FA2)</f>
        <v/>
      </c>
      <c r="EX148" s="38" t="str">
        <f ca="1">IF(History!FB2="","",History!FB2)</f>
        <v/>
      </c>
      <c r="EY148" s="38" t="str">
        <f ca="1">IF(History!FC2="","",History!FC2)</f>
        <v/>
      </c>
      <c r="EZ148" s="38" t="str">
        <f ca="1">IF(History!FD2="","",History!FD2)</f>
        <v/>
      </c>
      <c r="FA148" s="38" t="str">
        <f ca="1">IF(History!FE2="","",History!FE2)</f>
        <v/>
      </c>
      <c r="FB148" s="38" t="str">
        <f ca="1">IF(History!FF2="","",History!FF2)</f>
        <v/>
      </c>
      <c r="FC148" s="38" t="str">
        <f ca="1">IF(History!FG2="","",History!FG2)</f>
        <v/>
      </c>
      <c r="FD148" s="38" t="str">
        <f ca="1">IF(History!FH2="","",History!FH2)</f>
        <v/>
      </c>
      <c r="FE148" s="38" t="str">
        <f ca="1">IF(History!FI2="","",History!FI2)</f>
        <v/>
      </c>
      <c r="FF148" s="38" t="str">
        <f ca="1">IF(History!FJ2="","",History!FJ2)</f>
        <v/>
      </c>
      <c r="FG148" s="38" t="str">
        <f ca="1">IF(History!FK2="","",History!FK2)</f>
        <v/>
      </c>
      <c r="FH148" s="38" t="str">
        <f ca="1">IF(History!FL2="","",History!FL2)</f>
        <v/>
      </c>
      <c r="FI148" s="38" t="str">
        <f ca="1">IF(History!FM2="","",History!FM2)</f>
        <v/>
      </c>
      <c r="FJ148" s="38" t="str">
        <f ca="1">IF(History!FN2="","",History!FN2)</f>
        <v/>
      </c>
      <c r="FK148" s="38" t="str">
        <f ca="1">IF(History!FO2="","",History!FO2)</f>
        <v/>
      </c>
      <c r="FL148" s="38" t="str">
        <f ca="1">IF(History!FP2="","",History!FP2)</f>
        <v/>
      </c>
      <c r="FM148" s="38" t="str">
        <f ca="1">IF(History!FQ2="","",History!FQ2)</f>
        <v/>
      </c>
      <c r="FN148" s="38" t="str">
        <f ca="1">IF(History!FR2="","",History!FR2)</f>
        <v/>
      </c>
      <c r="FO148" s="38" t="str">
        <f ca="1">IF(History!FS2="","",History!FS2)</f>
        <v/>
      </c>
      <c r="FP148" s="38" t="str">
        <f ca="1">IF(History!FT2="","",History!FT2)</f>
        <v/>
      </c>
      <c r="FQ148" s="38" t="str">
        <f ca="1">IF(History!FU2="","",History!FU2)</f>
        <v/>
      </c>
      <c r="FR148" s="38" t="str">
        <f ca="1">IF(History!FV2="","",History!FV2)</f>
        <v/>
      </c>
      <c r="FS148" s="38" t="str">
        <f ca="1">IF(History!FW2="","",History!FW2)</f>
        <v/>
      </c>
      <c r="FT148" s="38" t="str">
        <f ca="1">IF(History!FX2="","",History!FX2)</f>
        <v/>
      </c>
      <c r="FU148" s="38" t="str">
        <f ca="1">IF(History!FY2="","",History!FY2)</f>
        <v/>
      </c>
      <c r="FV148" s="38" t="str">
        <f ca="1">IF(History!FZ2="","",History!FZ2)</f>
        <v/>
      </c>
      <c r="FW148" s="38" t="str">
        <f ca="1">IF(History!GA2="","",History!GA2)</f>
        <v/>
      </c>
      <c r="FX148" s="38" t="str">
        <f ca="1">IF(History!GB2="","",History!GB2)</f>
        <v/>
      </c>
      <c r="FY148" s="38" t="str">
        <f ca="1">IF(History!GC2="","",History!GC2)</f>
        <v/>
      </c>
      <c r="FZ148" s="38" t="str">
        <f ca="1">IF(History!GD2="","",History!GD2)</f>
        <v/>
      </c>
      <c r="GA148" s="38" t="str">
        <f ca="1">IF(History!GE2="","",History!GE2)</f>
        <v/>
      </c>
      <c r="GB148" s="38" t="str">
        <f ca="1">IF(History!GF2="","",History!GF2)</f>
        <v/>
      </c>
      <c r="GC148" s="38" t="str">
        <f ca="1">IF(History!GG2="","",History!GG2)</f>
        <v/>
      </c>
      <c r="GD148" s="38" t="str">
        <f ca="1">IF(History!GH2="","",History!GH2)</f>
        <v/>
      </c>
      <c r="GE148" s="38" t="str">
        <f ca="1">IF(History!GI2="","",History!GI2)</f>
        <v/>
      </c>
      <c r="GF148" s="38" t="str">
        <f ca="1">IF(History!GJ2="","",History!GJ2)</f>
        <v/>
      </c>
      <c r="GG148" s="38" t="str">
        <f ca="1">IF(History!GK2="","",History!GK2)</f>
        <v/>
      </c>
      <c r="GH148" s="38" t="str">
        <f ca="1">IF(History!GL2="","",History!GL2)</f>
        <v/>
      </c>
      <c r="GI148" s="38" t="str">
        <f ca="1">IF(History!GM2="","",History!GM2)</f>
        <v/>
      </c>
      <c r="GJ148" s="38" t="str">
        <f ca="1">IF(History!GN2="","",History!GN2)</f>
        <v/>
      </c>
      <c r="GK148" s="38" t="str">
        <f ca="1">IF(History!GO2="","",History!GO2)</f>
        <v/>
      </c>
      <c r="GL148" s="38" t="str">
        <f ca="1">IF(History!GP2="","",History!GP2)</f>
        <v/>
      </c>
      <c r="GM148" s="38" t="str">
        <f ca="1">IF(History!GQ2="","",History!GQ2)</f>
        <v/>
      </c>
      <c r="GN148" s="38" t="str">
        <f ca="1">IF(History!GR2="","",History!GR2)</f>
        <v/>
      </c>
      <c r="GO148" s="38" t="str">
        <f ca="1">IF(History!GS2="","",History!GS2)</f>
        <v/>
      </c>
      <c r="GP148" s="38" t="str">
        <f ca="1">IF(History!GT2="","",History!GT2)</f>
        <v/>
      </c>
      <c r="GQ148" s="38" t="str">
        <f ca="1">IF(History!GU2="","",History!GU2)</f>
        <v/>
      </c>
      <c r="GR148" s="38" t="str">
        <f ca="1">IF(History!GV2="","",History!GV2)</f>
        <v/>
      </c>
      <c r="GS148" s="38" t="str">
        <f ca="1">IF(History!GW2="","",History!GW2)</f>
        <v/>
      </c>
      <c r="GT148" s="38" t="str">
        <f ca="1">IF(History!GX2="","",History!GX2)</f>
        <v/>
      </c>
      <c r="GU148" s="38" t="str">
        <f ca="1">IF(History!GY2="","",History!GY2)</f>
        <v/>
      </c>
      <c r="GV148" s="38" t="str">
        <f ca="1">IF(History!GZ2="","",History!GZ2)</f>
        <v/>
      </c>
      <c r="GW148" s="38" t="str">
        <f ca="1">IF(History!HA2="","",History!HA2)</f>
        <v/>
      </c>
      <c r="GX148" s="38" t="str">
        <f ca="1">IF(History!HB2="","",History!HB2)</f>
        <v/>
      </c>
      <c r="GY148" s="38" t="str">
        <f ca="1">IF(History!HC2="","",History!HC2)</f>
        <v/>
      </c>
      <c r="GZ148" s="38" t="str">
        <f ca="1">IF(History!HD2="","",History!HD2)</f>
        <v/>
      </c>
      <c r="HA148" s="38" t="str">
        <f ca="1">IF(History!HE2="","",History!HE2)</f>
        <v/>
      </c>
      <c r="HB148" s="38" t="str">
        <f ca="1">IF(History!HF2="","",History!HF2)</f>
        <v/>
      </c>
      <c r="HC148" s="38" t="str">
        <f ca="1">IF(History!HG2="","",History!HG2)</f>
        <v/>
      </c>
      <c r="HD148" s="38" t="str">
        <f ca="1">IF(History!HH2="","",History!HH2)</f>
        <v/>
      </c>
      <c r="HE148" s="38" t="str">
        <f ca="1">IF(History!HI2="","",History!HI2)</f>
        <v/>
      </c>
      <c r="HF148" s="38" t="str">
        <f ca="1">IF(History!HJ2="","",History!HJ2)</f>
        <v/>
      </c>
      <c r="HG148" s="38" t="str">
        <f ca="1">IF(History!HK2="","",History!HK2)</f>
        <v/>
      </c>
      <c r="HH148" s="38" t="str">
        <f ca="1">IF(History!HL2="","",History!HL2)</f>
        <v/>
      </c>
      <c r="HI148" s="38" t="str">
        <f ca="1">IF(History!HM2="","",History!HM2)</f>
        <v/>
      </c>
      <c r="HJ148" s="38" t="str">
        <f ca="1">IF(History!HN2="","",History!HN2)</f>
        <v/>
      </c>
      <c r="HK148" s="38" t="str">
        <f ca="1">IF(History!HO2="","",History!HO2)</f>
        <v/>
      </c>
      <c r="HL148" s="38" t="str">
        <f ca="1">IF(History!HP2="","",History!HP2)</f>
        <v/>
      </c>
      <c r="HM148" s="38" t="str">
        <f ca="1">IF(History!HQ2="","",History!HQ2)</f>
        <v/>
      </c>
      <c r="HN148" s="38" t="str">
        <f ca="1">IF(History!HR2="","",History!HR2)</f>
        <v/>
      </c>
      <c r="HO148" s="38" t="str">
        <f ca="1">IF(History!HS2="","",History!HS2)</f>
        <v/>
      </c>
      <c r="HP148" s="38" t="str">
        <f ca="1">IF(History!HT2="","",History!HT2)</f>
        <v/>
      </c>
      <c r="HQ148" s="38" t="str">
        <f ca="1">IF(History!HU2="","",History!HU2)</f>
        <v/>
      </c>
      <c r="HR148" s="38" t="str">
        <f ca="1">IF(History!HV2="","",History!HV2)</f>
        <v/>
      </c>
      <c r="HS148" s="38" t="str">
        <f ca="1">IF(History!HW2="","",History!HW2)</f>
        <v/>
      </c>
      <c r="HT148" s="38" t="str">
        <f ca="1">IF(History!HX2="","",History!HX2)</f>
        <v/>
      </c>
      <c r="HU148" s="38" t="str">
        <f ca="1">IF(History!HY2="","",History!HY2)</f>
        <v/>
      </c>
      <c r="HV148" s="38" t="str">
        <f ca="1">IF(History!HZ2="","",History!HZ2)</f>
        <v/>
      </c>
      <c r="HW148" s="38" t="str">
        <f ca="1">IF(History!IA2="","",History!IA2)</f>
        <v/>
      </c>
      <c r="HX148" s="38" t="str">
        <f ca="1">IF(History!IB2="","",History!IB2)</f>
        <v/>
      </c>
      <c r="HY148" s="38" t="str">
        <f ca="1">IF(History!IC2="","",History!IC2)</f>
        <v/>
      </c>
      <c r="HZ148" s="38" t="str">
        <f ca="1">IF(History!ID2="","",History!ID2)</f>
        <v/>
      </c>
      <c r="IA148" s="38" t="str">
        <f ca="1">IF(History!IE2="","",History!IE2)</f>
        <v/>
      </c>
      <c r="IB148" s="38" t="str">
        <f ca="1">IF(History!IF2="","",History!IF2)</f>
        <v/>
      </c>
      <c r="IC148" s="38" t="str">
        <f ca="1">IF(History!IG2="","",History!IG2)</f>
        <v/>
      </c>
      <c r="ID148" s="38" t="str">
        <f ca="1">IF(History!IH2="","",History!IH2)</f>
        <v/>
      </c>
      <c r="IE148" s="38" t="str">
        <f ca="1">IF(History!II2="","",History!II2)</f>
        <v/>
      </c>
      <c r="IF148" s="38" t="str">
        <f ca="1">IF(History!IJ2="","",History!IJ2)</f>
        <v/>
      </c>
      <c r="IG148" s="38" t="str">
        <f ca="1">IF(History!IK2="","",History!IK2)</f>
        <v/>
      </c>
      <c r="IH148" s="38" t="str">
        <f ca="1">IF(History!IL2="","",History!IL2)</f>
        <v/>
      </c>
      <c r="II148" s="38" t="str">
        <f ca="1">IF(History!IM2="","",History!IM2)</f>
        <v/>
      </c>
      <c r="IJ148" s="38" t="str">
        <f ca="1">IF(History!IN2="","",History!IN2)</f>
        <v/>
      </c>
      <c r="IK148" s="38" t="str">
        <f ca="1">IF(History!IO2="","",History!IO2)</f>
        <v/>
      </c>
      <c r="IL148" s="38" t="str">
        <f ca="1">IF(History!IP2="","",History!IP2)</f>
        <v/>
      </c>
      <c r="IM148" s="38" t="str">
        <f ca="1">IF(History!IQ2="","",History!IQ2)</f>
        <v/>
      </c>
      <c r="IN148" s="38" t="str">
        <f ca="1">IF(History!IR2="","",History!IR2)</f>
        <v/>
      </c>
      <c r="IO148" s="38" t="str">
        <f ca="1">IF(History!IS2="","",History!IS2)</f>
        <v/>
      </c>
      <c r="IP148" s="38" t="str">
        <f ca="1">IF(History!IT2="","",History!IT2)</f>
        <v/>
      </c>
      <c r="IQ148" s="38" t="str">
        <f ca="1">IF(History!IU2="","",History!IU2)</f>
        <v/>
      </c>
      <c r="IR148" s="38" t="str">
        <f ca="1">IF(History!IV2="","",History!IV2)</f>
        <v/>
      </c>
      <c r="IS148" s="38" t="str">
        <f ca="1">IF(History!IW2="","",History!IW2)</f>
        <v/>
      </c>
      <c r="IT148" s="38" t="str">
        <f ca="1">IF(History!IX2="","",History!IX2)</f>
        <v/>
      </c>
      <c r="IU148" s="38" t="str">
        <f ca="1">IF(History!IY2="","",History!IY2)</f>
        <v/>
      </c>
      <c r="IV148" s="38" t="str">
        <f ca="1">IF(History!IZ2="","",History!IZ2)</f>
        <v/>
      </c>
      <c r="IW148" s="38" t="str">
        <f ca="1">IF(History!JA2="","",History!JA2)</f>
        <v/>
      </c>
      <c r="IX148" s="38" t="str">
        <f ca="1">IF(History!JB2="","",History!JB2)</f>
        <v/>
      </c>
      <c r="IY148" s="38" t="str">
        <f ca="1">IF(History!JC2="","",History!JC2)</f>
        <v/>
      </c>
      <c r="IZ148" s="38" t="str">
        <f ca="1">IF(History!JD2="","",History!JD2)</f>
        <v/>
      </c>
      <c r="JA148" s="38" t="str">
        <f ca="1">IF(History!JE2="","",History!JE2)</f>
        <v/>
      </c>
      <c r="JB148" s="38" t="str">
        <f ca="1">IF(History!JF2="","",History!JF2)</f>
        <v/>
      </c>
      <c r="JC148" s="38" t="str">
        <f ca="1">IF(History!JG2="","",History!JG2)</f>
        <v/>
      </c>
      <c r="JD148" s="38" t="str">
        <f ca="1">IF(History!JH2="","",History!JH2)</f>
        <v/>
      </c>
      <c r="JE148" s="38" t="str">
        <f ca="1">IF(History!JI2="","",History!JI2)</f>
        <v/>
      </c>
      <c r="JF148" s="38" t="str">
        <f ca="1">IF(History!JJ2="","",History!JJ2)</f>
        <v/>
      </c>
      <c r="JG148" s="38" t="str">
        <f ca="1">IF(History!JK2="","",History!JK2)</f>
        <v/>
      </c>
      <c r="JH148" s="38" t="str">
        <f ca="1">IF(History!JL2="","",History!JL2)</f>
        <v/>
      </c>
      <c r="JI148" s="38" t="str">
        <f ca="1">IF(History!JM2="","",History!JM2)</f>
        <v/>
      </c>
      <c r="JJ148" s="38" t="str">
        <f ca="1">IF(History!JN2="","",History!JN2)</f>
        <v/>
      </c>
      <c r="JK148" s="38" t="str">
        <f ca="1">IF(History!JO2="","",History!JO2)</f>
        <v/>
      </c>
      <c r="JL148" s="38" t="str">
        <f ca="1">IF(History!JP2="","",History!JP2)</f>
        <v/>
      </c>
      <c r="JM148" s="38" t="str">
        <f ca="1">IF(History!JQ2="","",History!JQ2)</f>
        <v/>
      </c>
      <c r="JN148" s="38" t="str">
        <f ca="1">IF(History!JR2="","",History!JR2)</f>
        <v/>
      </c>
      <c r="JO148" s="38" t="str">
        <f ca="1">IF(History!JS2="","",History!JS2)</f>
        <v/>
      </c>
      <c r="JP148" s="38" t="str">
        <f ca="1">IF(History!JT2="","",History!JT2)</f>
        <v/>
      </c>
      <c r="JQ148" s="38" t="str">
        <f ca="1">IF(History!JU2="","",History!JU2)</f>
        <v/>
      </c>
      <c r="JR148" s="38" t="str">
        <f ca="1">IF(History!JV2="","",History!JV2)</f>
        <v/>
      </c>
      <c r="JS148" s="38" t="str">
        <f ca="1">IF(History!JW2="","",History!JW2)</f>
        <v/>
      </c>
      <c r="JT148" s="38" t="str">
        <f ca="1">IF(History!JX2="","",History!JX2)</f>
        <v/>
      </c>
      <c r="JU148" s="38" t="str">
        <f ca="1">IF(History!JY2="","",History!JY2)</f>
        <v/>
      </c>
      <c r="JV148" s="38" t="str">
        <f ca="1">IF(History!JZ2="","",History!JZ2)</f>
        <v/>
      </c>
      <c r="JW148" s="38" t="str">
        <f ca="1">IF(History!KA2="","",History!KA2)</f>
        <v/>
      </c>
      <c r="JX148" s="38" t="str">
        <f ca="1">IF(History!KB2="","",History!KB2)</f>
        <v/>
      </c>
      <c r="JY148" s="38" t="str">
        <f ca="1">IF(History!KC2="","",History!KC2)</f>
        <v/>
      </c>
      <c r="JZ148" s="38" t="str">
        <f ca="1">IF(History!KD2="","",History!KD2)</f>
        <v/>
      </c>
      <c r="KA148" s="38" t="str">
        <f ca="1">IF(History!KE2="","",History!KE2)</f>
        <v/>
      </c>
      <c r="KB148" s="38" t="str">
        <f ca="1">IF(History!KF2="","",History!KF2)</f>
        <v/>
      </c>
    </row>
    <row r="149" spans="1:288" ht="13">
      <c r="A149" s="9" t="s">
        <v>30</v>
      </c>
      <c r="D149" s="11">
        <f ca="1">IF(D2="","", SUMIF($A$3:$A$144,$A$149,D$3:D$144)+Positions!$E$51+Dividends!$H$52)</f>
        <v>327530.85000000003</v>
      </c>
      <c r="E149" s="11">
        <f ca="1">IF(E2="","", SUMIF($A$3:$A$144,$A$149,E$3:E$144)+Positions!$E$51+Dividends!$H$52)</f>
        <v>331666.68</v>
      </c>
      <c r="F149" s="11">
        <f ca="1">IF(F2="","", SUMIF($A$3:$A$144,$A$149,F$3:F$144)+Positions!$E$51+Dividends!$H$52)</f>
        <v>330422.90000000014</v>
      </c>
      <c r="G149" s="11">
        <f ca="1">IF(G2="","", SUMIF($A$3:$A$144,$A$149,G$3:G$144)+Positions!$E$51+Dividends!$H$52)</f>
        <v>323363.53999999992</v>
      </c>
      <c r="H149" s="11">
        <f ca="1">IF(H2="","", SUMIF($A$3:$A$144,$A$149,H$3:H$144)+Positions!$E$51+Dividends!$H$52)</f>
        <v>323883.93000000005</v>
      </c>
      <c r="I149" s="11">
        <f ca="1">IF(I2="","", SUMIF($A$3:$A$144,$A$149,I$3:I$144)+Positions!$E$51+Dividends!$H$52)</f>
        <v>316645.32999999978</v>
      </c>
      <c r="J149" s="11">
        <f ca="1">IF(J2="","", SUMIF($A$3:$A$144,$A$149,J$3:J$144)+Positions!$E$51+Dividends!$H$52)</f>
        <v>314553.16000000003</v>
      </c>
      <c r="K149" s="11">
        <f ca="1">IF(K2="","", SUMIF($A$3:$A$144,$A$149,K$3:K$144)+Positions!$E$51+Dividends!$H$52)</f>
        <v>311849.37999999995</v>
      </c>
      <c r="L149" s="11">
        <f ca="1">IF(L2="","", SUMIF($A$3:$A$144,$A$149,L$3:L$144)+Positions!$E$51+Dividends!$H$52)</f>
        <v>305721.46999999997</v>
      </c>
      <c r="M149" s="11">
        <f ca="1">IF(M2="","", SUMIF($A$3:$A$144,$A$149,M$3:M$144)+Positions!$E$51+Dividends!$H$52)</f>
        <v>308532.40000000008</v>
      </c>
      <c r="N149" s="11">
        <f ca="1">IF(N2="","", SUMIF($A$3:$A$144,$A$149,N$3:N$144)+Positions!$E$51+Dividends!$H$52)</f>
        <v>304299.01999999996</v>
      </c>
      <c r="O149" s="11">
        <f ca="1">IF(O2="","", SUMIF($A$3:$A$144,$A$149,O$3:O$144)+Positions!$E$51+Dividends!$H$52)</f>
        <v>302198.37999999995</v>
      </c>
      <c r="P149" s="11">
        <f ca="1">IF(P2="","", SUMIF($A$3:$A$144,$A$149,P$3:P$144)+Positions!$E$51+Dividends!$H$52)</f>
        <v>306075.18999999994</v>
      </c>
      <c r="Q149" s="11">
        <f ca="1">IF(Q2="","", SUMIF($A$3:$A$144,$A$149,Q$3:Q$144)+Positions!$E$51+Dividends!$H$52)</f>
        <v>313164.57000000007</v>
      </c>
      <c r="R149" s="11">
        <f ca="1">IF(R2="","", SUMIF($A$3:$A$144,$A$149,R$3:R$144)+Positions!$E$51+Dividends!$H$52)</f>
        <v>320762.37999999989</v>
      </c>
      <c r="S149" s="11">
        <f ca="1">IF(S2="","", SUMIF($A$3:$A$144,$A$149,S$3:S$144)+Positions!$E$51+Dividends!$H$52)</f>
        <v>324920.44999999995</v>
      </c>
      <c r="T149" s="11">
        <f ca="1">IF(T2="","", SUMIF($A$3:$A$144,$A$149,T$3:T$144)+Positions!$E$51+Dividends!$H$52)</f>
        <v>324233.90000000008</v>
      </c>
      <c r="U149" s="11">
        <f ca="1">IF(U2="","", SUMIF($A$3:$A$144,$A$149,U$3:U$144)+Positions!$E$51+Dividends!$H$52)</f>
        <v>316642.44999999984</v>
      </c>
      <c r="V149" s="11">
        <f ca="1">IF(V2="","", SUMIF($A$3:$A$144,$A$149,V$3:V$144)+Positions!$E$51+Dividends!$H$52)</f>
        <v>319591.39000000019</v>
      </c>
      <c r="W149" s="11">
        <f ca="1">IF(W2="","", SUMIF($A$3:$A$144,$A$149,W$3:W$144)+Positions!$E$51+Dividends!$H$52)</f>
        <v>320157.35000000009</v>
      </c>
      <c r="X149" s="11">
        <f ca="1">IF(X2="","", SUMIF($A$3:$A$144,$A$149,X$3:X$144)+Positions!$E$51+Dividends!$H$52)</f>
        <v>325809.51000000007</v>
      </c>
      <c r="Y149" s="11">
        <f ca="1">IF(Y2="","", SUMIF($A$3:$A$144,$A$149,Y$3:Y$144)+Positions!$E$51+Dividends!$H$52)</f>
        <v>333502.1700000001</v>
      </c>
      <c r="Z149" s="11">
        <f ca="1">IF(Z2="","", SUMIF($A$3:$A$144,$A$149,Z$3:Z$144)+Positions!$E$51+Dividends!$H$52)</f>
        <v>331685.96999999986</v>
      </c>
      <c r="AA149" s="11">
        <f ca="1">IF(AA2="","", SUMIF($A$3:$A$144,$A$149,AA$3:AA$144)+Positions!$E$51+Dividends!$H$52)</f>
        <v>324577.32999999996</v>
      </c>
      <c r="AB149" s="11">
        <f ca="1">IF(AB2="","", SUMIF($A$3:$A$144,$A$149,AB$3:AB$144)+Positions!$E$51+Dividends!$H$52)</f>
        <v>322469.00999999995</v>
      </c>
      <c r="AC149" s="11">
        <f ca="1">IF(AC2="","", SUMIF($A$3:$A$144,$A$149,AC$3:AC$144)+Positions!$E$51+Dividends!$H$52)</f>
        <v>328903.49</v>
      </c>
      <c r="AD149" s="11">
        <f ca="1">IF(AD2="","", SUMIF($A$3:$A$144,$A$149,AD$3:AD$144)+Positions!$E$51+Dividends!$H$52)</f>
        <v>329134.61000000004</v>
      </c>
      <c r="AE149" s="11">
        <f ca="1">IF(AE2="","", SUMIF($A$3:$A$144,$A$149,AE$3:AE$144)+Positions!$E$51+Dividends!$H$52)</f>
        <v>318568.92</v>
      </c>
      <c r="AF149" s="11">
        <f ca="1">IF(AF2="","", SUMIF($A$3:$A$144,$A$149,AF$3:AF$144)+Positions!$E$51+Dividends!$H$52)</f>
        <v>314369.12999999995</v>
      </c>
      <c r="AG149" s="11">
        <f ca="1">IF(AG2="","", SUMIF($A$3:$A$144,$A$149,AG$3:AG$144)+Positions!$E$51+Dividends!$H$52)</f>
        <v>312055.31999999995</v>
      </c>
      <c r="AH149" s="11">
        <f ca="1">IF(AH2="","", SUMIF($A$3:$A$144,$A$149,AH$3:AH$144)+Positions!$E$51+Dividends!$H$52)</f>
        <v>306260.52999999997</v>
      </c>
      <c r="AI149" s="11">
        <f ca="1">IF(AI2="","", SUMIF($A$3:$A$144,$A$149,AI$3:AI$144)+Positions!$E$51+Dividends!$H$52)</f>
        <v>311055.63000000006</v>
      </c>
      <c r="AJ149" s="11">
        <f ca="1">IF(AJ2="","", SUMIF($A$3:$A$144,$A$149,AJ$3:AJ$144)+Positions!$E$51+Dividends!$H$52)</f>
        <v>316658.89000000007</v>
      </c>
      <c r="AK149" s="11">
        <f ca="1">IF(AK2="","", SUMIF($A$3:$A$144,$A$149,AK$3:AK$144)+Positions!$E$51+Dividends!$H$52)</f>
        <v>313166.46999999991</v>
      </c>
      <c r="AL149" s="11">
        <f ca="1">IF(AL2="","", SUMIF($A$3:$A$144,$A$149,AL$3:AL$144)+Positions!$E$51+Dividends!$H$52)</f>
        <v>308707</v>
      </c>
      <c r="AM149" s="11">
        <f ca="1">IF(AM2="","", SUMIF($A$3:$A$144,$A$149,AM$3:AM$144)+Positions!$E$51+Dividends!$H$52)</f>
        <v>315634.8899999999</v>
      </c>
      <c r="AN149" s="11">
        <f ca="1">IF(AN2="","", SUMIF($A$3:$A$144,$A$149,AN$3:AN$144)+Positions!$E$51+Dividends!$H$52)</f>
        <v>305094.09999999974</v>
      </c>
      <c r="AO149" s="11">
        <f ca="1">IF(AO2="","", SUMIF($A$3:$A$144,$A$149,AO$3:AO$144)+Positions!$E$51+Dividends!$H$52)</f>
        <v>297767.39999999997</v>
      </c>
      <c r="AP149" s="11">
        <f ca="1">IF(AP2="","", SUMIF($A$3:$A$144,$A$149,AP$3:AP$144)+Positions!$E$51+Dividends!$H$52)</f>
        <v>286948.91999999987</v>
      </c>
      <c r="AQ149" s="11">
        <f ca="1">IF(AQ2="","", SUMIF($A$3:$A$144,$A$149,AQ$3:AQ$144)+Positions!$E$51+Dividends!$H$52)</f>
        <v>285709.51000000007</v>
      </c>
      <c r="AR149" s="11">
        <f ca="1">IF(AR2="","", SUMIF($A$3:$A$144,$A$149,AR$3:AR$144)+Positions!$E$51+Dividends!$H$52)</f>
        <v>297685.82</v>
      </c>
      <c r="AS149" s="11">
        <f ca="1">IF(AS2="","", SUMIF($A$3:$A$144,$A$149,AS$3:AS$144)+Positions!$E$51+Dividends!$H$52)</f>
        <v>293161.09999999992</v>
      </c>
      <c r="AT149" s="11">
        <f ca="1">IF(AT2="","", SUMIF($A$3:$A$144,$A$149,AT$3:AT$144)+Positions!$E$51+Dividends!$H$52)</f>
        <v>286052.54999999987</v>
      </c>
      <c r="AU149" s="11">
        <f ca="1">IF(AU2="","", SUMIF($A$3:$A$144,$A$149,AU$3:AU$144)+Positions!$E$51+Dividends!$H$52)</f>
        <v>280777.40000000002</v>
      </c>
      <c r="AV149" s="11">
        <f ca="1">IF(AV2="","", SUMIF($A$3:$A$144,$A$149,AV$3:AV$144)+Positions!$E$51+Dividends!$H$52)</f>
        <v>285618.32000000007</v>
      </c>
      <c r="AW149" s="11">
        <f ca="1">IF(AW2="","", SUMIF($A$3:$A$144,$A$149,AW$3:AW$144)+Positions!$E$51+Dividends!$H$52)</f>
        <v>297138.70000000013</v>
      </c>
      <c r="AX149" s="11">
        <f ca="1">IF(AX2="","", SUMIF($A$3:$A$144,$A$149,AX$3:AX$144)+Positions!$E$51+Dividends!$H$52)</f>
        <v>303645.93999999971</v>
      </c>
      <c r="AY149" s="11">
        <f ca="1">IF(AY2="","", SUMIF($A$3:$A$144,$A$149,AY$3:AY$144)+Positions!$E$51+Dividends!$H$52)</f>
        <v>307600.43000000005</v>
      </c>
      <c r="AZ149" s="11">
        <f ca="1">IF(AZ2="","", SUMIF($A$3:$A$144,$A$149,AZ$3:AZ$144)+Positions!$E$51+Dividends!$H$52)</f>
        <v>305797.81999999972</v>
      </c>
      <c r="BA149" s="11">
        <f ca="1">IF(BA2="","", SUMIF($A$3:$A$144,$A$149,BA$3:BA$144)+Positions!$E$51+Dividends!$H$52)</f>
        <v>311235.89000000007</v>
      </c>
      <c r="BB149" s="11">
        <f ca="1">IF(BB2="","", SUMIF($A$3:$A$144,$A$149,BB$3:BB$144)+Positions!$E$51+Dividends!$H$52)</f>
        <v>305200.24</v>
      </c>
      <c r="BC149" s="11">
        <f ca="1">IF(BC2="","", SUMIF($A$3:$A$144,$A$149,BC$3:BC$144)+Positions!$E$51+Dividends!$H$52)</f>
        <v>308785.14999999991</v>
      </c>
      <c r="BD149" s="11">
        <f ca="1">IF(BD2="","", SUMIF($A$3:$A$144,$A$149,BD$3:BD$144)+Positions!$E$51+Dividends!$H$52)</f>
        <v>306805.24999999988</v>
      </c>
      <c r="BE149" s="11">
        <f ca="1">IF(BE2="","", SUMIF($A$3:$A$144,$A$149,BE$3:BE$144)+Positions!$E$51+Dividends!$H$52)</f>
        <v>308212.31</v>
      </c>
      <c r="BF149" s="11">
        <f ca="1">IF(BF2="","", SUMIF($A$3:$A$144,$A$149,BF$3:BF$144)+Positions!$E$51+Dividends!$H$52)</f>
        <v>314843.65000000002</v>
      </c>
      <c r="BG149" s="11">
        <f ca="1">IF(BG2="","", SUMIF($A$3:$A$144,$A$149,BG$3:BG$144)+Positions!$E$51+Dividends!$H$52)</f>
        <v>308659.55000000005</v>
      </c>
      <c r="BH149" s="11">
        <f ca="1">IF(BH2="","", SUMIF($A$3:$A$144,$A$149,BH$3:BH$144)+Positions!$E$51+Dividends!$H$52)</f>
        <v>302940.24000000017</v>
      </c>
      <c r="BI149" s="11">
        <f ca="1">IF(BI2="","", SUMIF($A$3:$A$144,$A$149,BI$3:BI$144)+Positions!$E$51+Dividends!$H$52)</f>
        <v>302935.53000000003</v>
      </c>
      <c r="BJ149" s="11">
        <f ca="1">IF(BJ2="","", SUMIF($A$3:$A$144,$A$149,BJ$3:BJ$144)+Positions!$E$51+Dividends!$H$52)</f>
        <v>306505.65999999986</v>
      </c>
      <c r="BK149" s="11">
        <f ca="1">IF(BK2="","", SUMIF($A$3:$A$144,$A$149,BK$3:BK$144)+Positions!$E$51+Dividends!$H$52)</f>
        <v>300829.61000000016</v>
      </c>
      <c r="BL149" s="11">
        <f ca="1">IF(BL2="","", SUMIF($A$3:$A$144,$A$149,BL$3:BL$144)+Positions!$E$51+Dividends!$H$52)</f>
        <v>294256.40999999992</v>
      </c>
      <c r="BM149" s="11">
        <f ca="1">IF(BM2="","", SUMIF($A$3:$A$144,$A$149,BM$3:BM$144)+Positions!$E$51+Dividends!$H$52)</f>
        <v>293717.14</v>
      </c>
      <c r="BN149" s="11">
        <f ca="1">IF(BN2="","", SUMIF($A$3:$A$144,$A$149,BN$3:BN$144)+Positions!$E$51+Dividends!$H$52)</f>
        <v>292136.24000000011</v>
      </c>
      <c r="BO149" s="11">
        <f ca="1">IF(BO2="","", SUMIF($A$3:$A$144,$A$149,BO$3:BO$144)+Positions!$E$51+Dividends!$H$52)</f>
        <v>290304.53000000009</v>
      </c>
      <c r="BP149" s="11">
        <f ca="1">IF(BP2="","", SUMIF($A$3:$A$144,$A$149,BP$3:BP$144)+Positions!$E$51+Dividends!$H$52)</f>
        <v>289216.92000000016</v>
      </c>
      <c r="BQ149" s="11">
        <f ca="1">IF(BQ2="","", SUMIF($A$3:$A$144,$A$149,BQ$3:BQ$144)+Positions!$E$51+Dividends!$H$52)</f>
        <v>294046.21000000014</v>
      </c>
      <c r="BR149" s="11">
        <f ca="1">IF(BR2="","", SUMIF($A$3:$A$144,$A$149,BR$3:BR$144)+Positions!$E$51+Dividends!$H$52)</f>
        <v>291807.62999999989</v>
      </c>
      <c r="BS149" s="11">
        <f ca="1">IF(BS2="","", SUMIF($A$3:$A$144,$A$149,BS$3:BS$144)+Positions!$E$51+Dividends!$H$52)</f>
        <v>291055.08999999991</v>
      </c>
      <c r="BT149" s="11">
        <f ca="1">IF(BT2="","", SUMIF($A$3:$A$144,$A$149,BT$3:BT$144)+Positions!$E$51+Dividends!$H$52)</f>
        <v>298592.25000000012</v>
      </c>
      <c r="BU149" s="11">
        <f ca="1">IF(BU2="","", SUMIF($A$3:$A$144,$A$149,BU$3:BU$144)+Positions!$E$51+Dividends!$H$52)</f>
        <v>298248.56</v>
      </c>
      <c r="BV149" s="11">
        <f ca="1">IF(BV2="","", SUMIF($A$3:$A$144,$A$149,BV$3:BV$144)+Positions!$E$51+Dividends!$H$52)</f>
        <v>292672.86</v>
      </c>
      <c r="BW149" s="11">
        <f ca="1">IF(BW2="","", SUMIF($A$3:$A$144,$A$149,BW$3:BW$144)+Positions!$E$51+Dividends!$H$52)</f>
        <v>284660.13000000006</v>
      </c>
      <c r="BX149" s="11">
        <f ca="1">IF(BX2="","", SUMIF($A$3:$A$144,$A$149,BX$3:BX$144)+Positions!$E$51+Dividends!$H$52)</f>
        <v>285465.40999999992</v>
      </c>
      <c r="BY149" s="11">
        <f ca="1">IF(BY2="","", SUMIF($A$3:$A$144,$A$149,BY$3:BY$144)+Positions!$E$51+Dividends!$H$52)</f>
        <v>278913.49999999994</v>
      </c>
      <c r="BZ149" s="11">
        <f ca="1">IF(BZ2="","", SUMIF($A$3:$A$144,$A$149,BZ$3:BZ$144)+Positions!$E$51+Dividends!$H$52)</f>
        <v>279988.60999999993</v>
      </c>
      <c r="CA149" s="11">
        <f ca="1">IF(CA2="","", SUMIF($A$3:$A$144,$A$149,CA$3:CA$144)+Positions!$E$51+Dividends!$H$52)</f>
        <v>284881.40999999997</v>
      </c>
      <c r="CB149" s="11">
        <f ca="1">IF(CB2="","", SUMIF($A$3:$A$144,$A$149,CB$3:CB$144)+Positions!$E$51+Dividends!$H$52)</f>
        <v>276843.41000000009</v>
      </c>
      <c r="CC149" s="11">
        <f ca="1">IF(CC2="","", SUMIF($A$3:$A$144,$A$149,CC$3:CC$144)+Positions!$E$51+Dividends!$H$52)</f>
        <v>280638.07000000012</v>
      </c>
      <c r="CD149" s="11">
        <f ca="1">IF(CD2="","", SUMIF($A$3:$A$144,$A$149,CD$3:CD$144)+Positions!$E$51+Dividends!$H$52)</f>
        <v>282803.27</v>
      </c>
      <c r="CE149" s="11">
        <f ca="1">IF(CE2="","", SUMIF($A$3:$A$144,$A$149,CE$3:CE$144)+Positions!$E$51+Dividends!$H$52)</f>
        <v>291226.49</v>
      </c>
      <c r="CF149" s="11" t="str">
        <f ca="1">IF(CF2="","", SUMIF($A$3:$A$144,$A$149,CF$3:CF$144)+Positions!$E$51+Dividends!$H$52)</f>
        <v/>
      </c>
      <c r="CG149" s="11" t="str">
        <f ca="1">IF(CG2="","", SUMIF($A$3:$A$144,$A$149,CG$3:CG$144)+Positions!$E$51+Dividends!$H$52)</f>
        <v/>
      </c>
      <c r="CH149" s="11" t="str">
        <f ca="1">IF(CH2="","", SUMIF($A$3:$A$144,$A$149,CH$3:CH$144)+Positions!$E$51+Dividends!$H$52)</f>
        <v/>
      </c>
      <c r="CI149" s="11" t="str">
        <f ca="1">IF(CI2="","", SUMIF($A$3:$A$144,$A$149,CI$3:CI$144)+Positions!$E$51+Dividends!$H$52)</f>
        <v/>
      </c>
      <c r="CJ149" s="11" t="str">
        <f ca="1">IF(CJ2="","", SUMIF($A$3:$A$144,$A$149,CJ$3:CJ$144)+Positions!$E$51+Dividends!$H$52)</f>
        <v/>
      </c>
      <c r="CK149" s="11" t="str">
        <f ca="1">IF(CK2="","", SUMIF($A$3:$A$144,$A$149,CK$3:CK$144)+Positions!$E$51+Dividends!$H$52)</f>
        <v/>
      </c>
      <c r="CL149" s="11" t="str">
        <f ca="1">IF(CL2="","", SUMIF($A$3:$A$144,$A$149,CL$3:CL$144)+Positions!$E$51+Dividends!$H$52)</f>
        <v/>
      </c>
      <c r="CM149" s="11" t="str">
        <f ca="1">IF(CM2="","", SUMIF($A$3:$A$144,$A$149,CM$3:CM$144)+Positions!$E$51+Dividends!$H$52)</f>
        <v/>
      </c>
      <c r="CN149" s="11" t="str">
        <f ca="1">IF(CN2="","", SUMIF($A$3:$A$144,$A$149,CN$3:CN$144)+Positions!$E$51+Dividends!$H$52)</f>
        <v/>
      </c>
      <c r="CO149" s="11" t="str">
        <f ca="1">IF(CO2="","", SUMIF($A$3:$A$144,$A$149,CO$3:CO$144)+Positions!$E$51+Dividends!$H$52)</f>
        <v/>
      </c>
      <c r="CP149" s="11" t="str">
        <f ca="1">IF(CP2="","", SUMIF($A$3:$A$144,$A$149,CP$3:CP$144)+Positions!$E$51+Dividends!$H$52)</f>
        <v/>
      </c>
      <c r="CQ149" s="11" t="str">
        <f ca="1">IF(CQ2="","", SUMIF($A$3:$A$144,$A$149,CQ$3:CQ$144)+Positions!$E$51+Dividends!$H$52)</f>
        <v/>
      </c>
      <c r="CR149" s="11" t="str">
        <f ca="1">IF(CR2="","", SUMIF($A$3:$A$144,$A$149,CR$3:CR$144)+Positions!$E$51+Dividends!$H$52)</f>
        <v/>
      </c>
      <c r="CS149" s="11" t="str">
        <f ca="1">IF(CS2="","", SUMIF($A$3:$A$144,$A$149,CS$3:CS$144)+Positions!$E$51+Dividends!$H$52)</f>
        <v/>
      </c>
      <c r="CT149" s="11" t="str">
        <f ca="1">IF(CT2="","", SUMIF($A$3:$A$144,$A$149,CT$3:CT$144)+Positions!$E$51+Dividends!$H$52)</f>
        <v/>
      </c>
      <c r="CU149" s="11" t="str">
        <f ca="1">IF(CU2="","", SUMIF($A$3:$A$144,$A$149,CU$3:CU$144)+Positions!$E$51+Dividends!$H$52)</f>
        <v/>
      </c>
      <c r="CV149" s="11" t="str">
        <f ca="1">IF(CV2="","", SUMIF($A$3:$A$144,$A$149,CV$3:CV$144)+Positions!$E$51+Dividends!$H$52)</f>
        <v/>
      </c>
      <c r="CW149" s="11" t="str">
        <f ca="1">IF(CW2="","", SUMIF($A$3:$A$144,$A$149,CW$3:CW$144)+Positions!$E$51+Dividends!$H$52)</f>
        <v/>
      </c>
      <c r="CX149" s="11" t="str">
        <f ca="1">IF(CX2="","", SUMIF($A$3:$A$144,$A$149,CX$3:CX$144)+Positions!$E$51+Dividends!$H$52)</f>
        <v/>
      </c>
      <c r="CY149" s="11" t="str">
        <f ca="1">IF(CY2="","", SUMIF($A$3:$A$144,$A$149,CY$3:CY$144)+Positions!$E$51+Dividends!$H$52)</f>
        <v/>
      </c>
      <c r="CZ149" s="11" t="str">
        <f ca="1">IF(CZ2="","", SUMIF($A$3:$A$144,$A$149,CZ$3:CZ$144)+Positions!$E$51+Dividends!$H$52)</f>
        <v/>
      </c>
      <c r="DA149" s="11" t="str">
        <f ca="1">IF(DA2="","", SUMIF($A$3:$A$144,$A$149,DA$3:DA$144)+Positions!$E$51+Dividends!$H$52)</f>
        <v/>
      </c>
      <c r="DB149" s="11" t="str">
        <f ca="1">IF(DB2="","", SUMIF($A$3:$A$144,$A$149,DB$3:DB$144)+Positions!$E$51+Dividends!$H$52)</f>
        <v/>
      </c>
      <c r="DC149" s="11" t="str">
        <f ca="1">IF(DC2="","", SUMIF($A$3:$A$144,$A$149,DC$3:DC$144)+Positions!$E$51+Dividends!$H$52)</f>
        <v/>
      </c>
      <c r="DD149" s="11" t="str">
        <f ca="1">IF(DD2="","", SUMIF($A$3:$A$144,$A$149,DD$3:DD$144)+Positions!$E$51+Dividends!$H$52)</f>
        <v/>
      </c>
      <c r="DE149" s="11" t="str">
        <f ca="1">IF(DE2="","", SUMIF($A$3:$A$144,$A$149,DE$3:DE$144)+Positions!$E$51+Dividends!$H$52)</f>
        <v/>
      </c>
      <c r="DF149" s="11" t="str">
        <f ca="1">IF(DF2="","", SUMIF($A$3:$A$144,$A$149,DF$3:DF$144)+Positions!$E$51+Dividends!$H$52)</f>
        <v/>
      </c>
      <c r="DG149" s="11" t="str">
        <f ca="1">IF(DG2="","", SUMIF($A$3:$A$144,$A$149,DG$3:DG$144)+Positions!$E$51+Dividends!$H$52)</f>
        <v/>
      </c>
      <c r="DH149" s="11" t="str">
        <f ca="1">IF(DH2="","", SUMIF($A$3:$A$144,$A$149,DH$3:DH$144)+Positions!$E$51+Dividends!$H$52)</f>
        <v/>
      </c>
      <c r="DI149" s="11" t="str">
        <f ca="1">IF(DI2="","", SUMIF($A$3:$A$144,$A$149,DI$3:DI$144)+Positions!$E$51+Dividends!$H$52)</f>
        <v/>
      </c>
      <c r="DJ149" s="11" t="str">
        <f ca="1">IF(DJ2="","", SUMIF($A$3:$A$144,$A$149,DJ$3:DJ$144)+Positions!$E$51+Dividends!$H$52)</f>
        <v/>
      </c>
      <c r="DK149" s="11" t="str">
        <f ca="1">IF(DK2="","", SUMIF($A$3:$A$144,$A$149,DK$3:DK$144)+Positions!$E$51+Dividends!$H$52)</f>
        <v/>
      </c>
      <c r="DL149" s="11" t="str">
        <f ca="1">IF(DL2="","", SUMIF($A$3:$A$144,$A$149,DL$3:DL$144)+Positions!$E$51+Dividends!$H$52)</f>
        <v/>
      </c>
      <c r="DM149" s="11" t="str">
        <f ca="1">IF(DM2="","", SUMIF($A$3:$A$144,$A$149,DM$3:DM$144)+Positions!$E$51+Dividends!$H$52)</f>
        <v/>
      </c>
      <c r="DN149" s="11" t="str">
        <f ca="1">IF(DN2="","", SUMIF($A$3:$A$144,$A$149,DN$3:DN$144)+Positions!$E$51+Dividends!$H$52)</f>
        <v/>
      </c>
      <c r="DO149" s="11" t="str">
        <f ca="1">IF(DO2="","", SUMIF($A$3:$A$144,$A$149,DO$3:DO$144)+Positions!$E$51+Dividends!$H$52)</f>
        <v/>
      </c>
      <c r="DP149" s="11" t="str">
        <f ca="1">IF(DP2="","", SUMIF($A$3:$A$144,$A$149,DP$3:DP$144)+Positions!$E$51+Dividends!$H$52)</f>
        <v/>
      </c>
      <c r="DQ149" s="11" t="str">
        <f ca="1">IF(DQ2="","", SUMIF($A$3:$A$144,$A$149,DQ$3:DQ$144)+Positions!$E$51+Dividends!$H$52)</f>
        <v/>
      </c>
      <c r="DR149" s="11" t="str">
        <f ca="1">IF(DR2="","", SUMIF($A$3:$A$144,$A$149,DR$3:DR$144)+Positions!$E$51+Dividends!$H$52)</f>
        <v/>
      </c>
      <c r="DS149" s="11" t="str">
        <f ca="1">IF(DS2="","", SUMIF($A$3:$A$144,$A$149,DS$3:DS$144)+Positions!$E$51+Dividends!$H$52)</f>
        <v/>
      </c>
      <c r="DT149" s="11" t="str">
        <f ca="1">IF(DT2="","", SUMIF($A$3:$A$144,$A$149,DT$3:DT$144)+Positions!$E$51+Dividends!$H$52)</f>
        <v/>
      </c>
      <c r="DU149" s="11" t="str">
        <f ca="1">IF(DU2="","", SUMIF($A$3:$A$144,$A$149,DU$3:DU$144)+Positions!$E$51+Dividends!$H$52)</f>
        <v/>
      </c>
      <c r="DV149" s="11" t="str">
        <f ca="1">IF(DV2="","", SUMIF($A$3:$A$144,$A$149,DV$3:DV$144)+#REF!+Dividends!$H$52)</f>
        <v/>
      </c>
      <c r="DW149" s="11" t="str">
        <f ca="1">IF(DW2="","", SUMIF($A$3:$A$144,$A$149,DW$3:DW$144)+#REF!+Dividends!$H$52)</f>
        <v/>
      </c>
      <c r="DX149" s="11" t="str">
        <f ca="1">IF(DX2="","", SUMIF($A$3:$A$144,$A$149,DX$3:DX$144)+#REF!+Dividends!$H$52)</f>
        <v/>
      </c>
      <c r="DY149" s="11" t="str">
        <f ca="1">IF(DY2="","", SUMIF($A$3:$A$144,$A$149,DY$3:DY$144)+#REF!+Dividends!$H$52)</f>
        <v/>
      </c>
      <c r="DZ149" s="11" t="str">
        <f ca="1">IF(DZ2="","", SUMIF($A$3:$A$144,$A$149,DZ$3:DZ$144)+#REF!+Dividends!$H$52)</f>
        <v/>
      </c>
      <c r="EA149" s="11" t="str">
        <f ca="1">IF(EA2="","", SUMIF($A$3:$A$144,$A$149,EA$3:EA$144)+#REF!+Dividends!$H$52)</f>
        <v/>
      </c>
      <c r="EB149" s="11" t="str">
        <f ca="1">IF(EB2="","", SUMIF($A$3:$A$144,$A$149,EB$3:EB$144)+#REF!+Dividends!$H$52)</f>
        <v/>
      </c>
      <c r="EC149" s="11" t="str">
        <f ca="1">IF(EC2="","", SUMIF($A$3:$A$144,$A$149,EC$3:EC$144)+#REF!+Dividends!$H$52)</f>
        <v/>
      </c>
      <c r="ED149" s="11" t="str">
        <f ca="1">IF(ED2="","", SUMIF($A$3:$A$144,$A$149,ED$3:ED$144)+#REF!+Dividends!$H$52)</f>
        <v/>
      </c>
      <c r="EE149" s="11" t="str">
        <f ca="1">IF(EE2="","", SUMIF($A$3:$A$144,$A$149,EE$3:EE$144)+#REF!+Dividends!$H$52)</f>
        <v/>
      </c>
      <c r="EF149" s="11" t="str">
        <f ca="1">IF(EF2="","", SUMIF($A$3:$A$144,$A$149,EF$3:EF$144)+#REF!+Dividends!$H$52)</f>
        <v/>
      </c>
      <c r="EG149" s="11" t="str">
        <f ca="1">IF(EG2="","", SUMIF($A$3:$A$144,$A$149,EG$3:EG$144)+#REF!+Dividends!$H$52)</f>
        <v/>
      </c>
      <c r="EH149" s="11" t="str">
        <f ca="1">IF(EH2="","", SUMIF($A$3:$A$144,$A$149,EH$3:EH$144)+#REF!+Dividends!$H$52)</f>
        <v/>
      </c>
      <c r="EI149" s="11" t="str">
        <f ca="1">IF(EI2="","", SUMIF($A$3:$A$144,$A$149,EI$3:EI$144)+#REF!+Dividends!$H$52)</f>
        <v/>
      </c>
      <c r="EJ149" s="11" t="str">
        <f ca="1">IF(EJ2="","", SUMIF($A$3:$A$144,$A$149,EJ$3:EJ$144)+#REF!+Dividends!$H$52)</f>
        <v/>
      </c>
      <c r="EK149" s="11" t="str">
        <f ca="1">IF(EK2="","", SUMIF($A$3:$A$144,$A$149,EK$3:EK$144)+#REF!+Dividends!$H$52)</f>
        <v/>
      </c>
      <c r="EL149" s="11" t="str">
        <f ca="1">IF(EL2="","", SUMIF($A$3:$A$144,$A$149,EL$3:EL$144)+#REF!+Dividends!$H$52)</f>
        <v/>
      </c>
      <c r="EM149" s="11" t="str">
        <f ca="1">IF(EM2="","", SUMIF($A$3:$A$144,$A$149,EM$3:EM$144)+#REF!+Dividends!$H$52)</f>
        <v/>
      </c>
      <c r="EN149" s="11" t="str">
        <f ca="1">IF(EN2="","", SUMIF($A$3:$A$144,$A$149,EN$3:EN$144)+#REF!+Dividends!$H$52)</f>
        <v/>
      </c>
      <c r="EO149" s="11" t="str">
        <f ca="1">IF(EO2="","", SUMIF($A$3:$A$144,$A$149,EO$3:EO$144)+#REF!+Dividends!$H$52)</f>
        <v/>
      </c>
      <c r="EP149" s="11" t="str">
        <f ca="1">IF(EP2="","", SUMIF($A$3:$A$144,$A$149,EP$3:EP$144)+#REF!+Dividends!$H$52)</f>
        <v/>
      </c>
      <c r="EQ149" s="11" t="str">
        <f ca="1">IF(EQ2="","", SUMIF($A$3:$A$144,$A$149,EQ$3:EQ$144)+#REF!+Dividends!$H$52)</f>
        <v/>
      </c>
      <c r="ER149" s="11" t="str">
        <f ca="1">IF(ER2="","", SUMIF($A$3:$A$144,$A$149,ER$3:ER$144)+#REF!+Dividends!$H$52)</f>
        <v/>
      </c>
      <c r="ES149" s="11" t="str">
        <f ca="1">IF(ES2="","", SUMIF($A$3:$A$144,$A$149,ES$3:ES$144)+#REF!+Dividends!$H$52)</f>
        <v/>
      </c>
      <c r="ET149" s="11" t="str">
        <f ca="1">IF(ET2="","", SUMIF($A$3:$A$144,$A$149,ET$3:ET$144)+#REF!+Dividends!$H$52)</f>
        <v/>
      </c>
      <c r="EU149" s="11" t="str">
        <f ca="1">IF(EU2="","", SUMIF($A$3:$A$144,$A$149,EU$3:EU$144)+#REF!+Dividends!$H$52)</f>
        <v/>
      </c>
      <c r="EV149" s="11" t="str">
        <f ca="1">IF(EV2="","", SUMIF($A$3:$A$144,$A$149,EV$3:EV$144)+#REF!+Dividends!$H$52)</f>
        <v/>
      </c>
      <c r="EW149" s="11" t="str">
        <f ca="1">IF(EW2="","", SUMIF($A$3:$A$144,$A$149,EW$3:EW$144)+#REF!+Dividends!$H$52)</f>
        <v/>
      </c>
      <c r="EX149" s="11" t="str">
        <f ca="1">IF(EX2="","", SUMIF($A$3:$A$144,$A$149,EX$3:EX$144)+#REF!+Dividends!$H$52)</f>
        <v/>
      </c>
      <c r="EY149" s="11" t="str">
        <f ca="1">IF(EY2="","", SUMIF($A$3:$A$144,$A$149,EY$3:EY$144)+#REF!+Dividends!$H$52)</f>
        <v/>
      </c>
      <c r="EZ149" s="11" t="str">
        <f ca="1">IF(EZ2="","", SUMIF($A$3:$A$144,$A$149,EZ$3:EZ$144)+#REF!+Dividends!$H$52)</f>
        <v/>
      </c>
      <c r="FA149" s="11" t="str">
        <f ca="1">IF(FA2="","", SUMIF($A$3:$A$144,$A$149,FA$3:FA$144)+#REF!+Dividends!$H$52)</f>
        <v/>
      </c>
      <c r="FB149" s="11" t="str">
        <f ca="1">IF(FB2="","", SUMIF($A$3:$A$144,$A$149,FB$3:FB$144)+#REF!+Dividends!$H$52)</f>
        <v/>
      </c>
      <c r="FC149" s="11" t="str">
        <f ca="1">IF(FC2="","", SUMIF($A$3:$A$144,$A$149,FC$3:FC$144)+#REF!+Dividends!$H$52)</f>
        <v/>
      </c>
      <c r="FD149" s="11" t="str">
        <f ca="1">IF(FD2="","", SUMIF($A$3:$A$144,$A$149,FD$3:FD$144)+#REF!+Dividends!$H$52)</f>
        <v/>
      </c>
      <c r="FE149" s="11" t="str">
        <f ca="1">IF(FE2="","", SUMIF($A$3:$A$144,$A$149,FE$3:FE$144)+#REF!+Dividends!$H$52)</f>
        <v/>
      </c>
      <c r="FF149" s="11" t="str">
        <f ca="1">IF(FF2="","", SUMIF($A$3:$A$144,$A$149,FF$3:FF$144)+#REF!+Dividends!$H$52)</f>
        <v/>
      </c>
      <c r="FG149" s="11" t="str">
        <f ca="1">IF(FG2="","", SUMIF($A$3:$A$144,$A$149,FG$3:FG$144)+#REF!+Dividends!$H$52)</f>
        <v/>
      </c>
      <c r="FH149" s="11" t="str">
        <f ca="1">IF(FH2="","", SUMIF($A$3:$A$144,$A$149,FH$3:FH$144)+#REF!+Dividends!$H$52)</f>
        <v/>
      </c>
      <c r="FI149" s="11" t="str">
        <f ca="1">IF(FI2="","", SUMIF($A$3:$A$144,$A$149,FI$3:FI$144)+#REF!+Dividends!$H$52)</f>
        <v/>
      </c>
      <c r="FJ149" s="11" t="str">
        <f ca="1">IF(FJ2="","", SUMIF($A$3:$A$144,$A$149,FJ$3:FJ$144)+#REF!+Dividends!$H$52)</f>
        <v/>
      </c>
      <c r="FK149" s="11" t="str">
        <f ca="1">IF(FK2="","", SUMIF($A$3:$A$144,$A$149,FK$3:FK$144)+#REF!+Dividends!$H$52)</f>
        <v/>
      </c>
      <c r="FL149" s="11" t="str">
        <f ca="1">IF(FL2="","", SUMIF($A$3:$A$144,$A$149,FL$3:FL$144)+#REF!+Dividends!$H$52)</f>
        <v/>
      </c>
      <c r="FM149" s="11" t="str">
        <f ca="1">IF(FM2="","", SUMIF($A$3:$A$144,$A$149,FM$3:FM$144)+#REF!+Dividends!$H$52)</f>
        <v/>
      </c>
      <c r="FN149" s="11" t="str">
        <f ca="1">IF(FN2="","", SUMIF($A$3:$A$144,$A$149,FN$3:FN$144)+#REF!+Dividends!$H$52)</f>
        <v/>
      </c>
      <c r="FO149" s="11" t="str">
        <f ca="1">IF(FO2="","", SUMIF($A$3:$A$144,$A$149,FO$3:FO$144)+#REF!+Dividends!$H$52)</f>
        <v/>
      </c>
      <c r="FP149" s="11" t="str">
        <f ca="1">IF(FP2="","", SUMIF($A$3:$A$144,$A$149,FP$3:FP$144)+#REF!+Dividends!$H$52)</f>
        <v/>
      </c>
      <c r="FQ149" s="11" t="str">
        <f ca="1">IF(FQ2="","", SUMIF($A$3:$A$144,$A$149,FQ$3:FQ$144)+#REF!+Dividends!$H$52)</f>
        <v/>
      </c>
      <c r="FR149" s="11" t="str">
        <f ca="1">IF(FR2="","", SUMIF($A$3:$A$144,$A$149,FR$3:FR$144)+#REF!+Dividends!$H$52)</f>
        <v/>
      </c>
      <c r="FS149" s="11" t="str">
        <f ca="1">IF(FS2="","", SUMIF($A$3:$A$144,$A$149,FS$3:FS$144)+#REF!+Dividends!$H$52)</f>
        <v/>
      </c>
      <c r="FT149" s="11" t="str">
        <f ca="1">IF(FT2="","", SUMIF($A$3:$A$144,$A$149,FT$3:FT$144)+#REF!+Dividends!$H$52)</f>
        <v/>
      </c>
      <c r="FU149" s="11" t="str">
        <f ca="1">IF(FU2="","", SUMIF($A$3:$A$144,$A$149,FU$3:FU$144)+#REF!+Dividends!$H$52)</f>
        <v/>
      </c>
      <c r="FV149" s="11" t="str">
        <f ca="1">IF(FV2="","", SUMIF($A$3:$A$144,$A$149,FV$3:FV$144)+#REF!+Dividends!$H$52)</f>
        <v/>
      </c>
      <c r="FW149" s="11" t="str">
        <f ca="1">IF(FW2="","", SUMIF($A$3:$A$144,$A$149,FW$3:FW$144)+#REF!+Dividends!$H$52)</f>
        <v/>
      </c>
      <c r="FX149" s="11" t="str">
        <f ca="1">IF(FX2="","", SUMIF($A$3:$A$144,$A$149,FX$3:FX$144)+#REF!+Dividends!$H$52)</f>
        <v/>
      </c>
      <c r="FY149" s="11" t="str">
        <f ca="1">IF(FY2="","", SUMIF($A$3:$A$144,$A$149,FY$3:FY$144)+#REF!+Dividends!$H$52)</f>
        <v/>
      </c>
      <c r="FZ149" s="11" t="str">
        <f ca="1">IF(FZ2="","", SUMIF($A$3:$A$144,$A$149,FZ$3:FZ$144)+#REF!+Dividends!$H$52)</f>
        <v/>
      </c>
      <c r="GA149" s="11" t="str">
        <f ca="1">IF(GA2="","", SUMIF($A$3:$A$144,$A$149,GA$3:GA$144)+#REF!+Dividends!$H$52)</f>
        <v/>
      </c>
      <c r="GB149" s="11" t="str">
        <f ca="1">IF(GB2="","", SUMIF($A$3:$A$144,$A$149,GB$3:GB$144)+#REF!+Dividends!$H$52)</f>
        <v/>
      </c>
      <c r="GC149" s="11" t="str">
        <f ca="1">IF(GC2="","", SUMIF($A$3:$A$144,$A$149,GC$3:GC$144)+#REF!+Dividends!$H$52)</f>
        <v/>
      </c>
      <c r="GD149" s="11" t="str">
        <f ca="1">IF(GD2="","", SUMIF($A$3:$A$144,$A$149,GD$3:GD$144)+#REF!+Dividends!$H$52)</f>
        <v/>
      </c>
      <c r="GE149" s="11" t="str">
        <f ca="1">IF(GE2="","", SUMIF($A$3:$A$144,$A$149,GE$3:GE$144)+#REF!+Dividends!$H$52)</f>
        <v/>
      </c>
      <c r="GF149" s="11" t="str">
        <f ca="1">IF(GF2="","", SUMIF($A$3:$A$144,$A$149,GF$3:GF$144)+#REF!+Dividends!$H$52)</f>
        <v/>
      </c>
      <c r="GG149" s="11" t="str">
        <f ca="1">IF(GG2="","", SUMIF($A$3:$A$144,$A$149,GG$3:GG$144)+#REF!+Dividends!$H$52)</f>
        <v/>
      </c>
      <c r="GH149" s="11" t="str">
        <f ca="1">IF(GH2="","", SUMIF($A$3:$A$144,$A$149,GH$3:GH$144)+#REF!+Dividends!$H$52)</f>
        <v/>
      </c>
      <c r="GI149" s="11" t="str">
        <f ca="1">IF(GI2="","", SUMIF($A$3:$A$144,$A$149,GI$3:GI$144)+#REF!+Dividends!$H$52)</f>
        <v/>
      </c>
      <c r="GJ149" s="11" t="str">
        <f ca="1">IF(GJ2="","", SUMIF($A$3:$A$144,$A$149,GJ$3:GJ$144)+#REF!+Dividends!$H$52)</f>
        <v/>
      </c>
      <c r="GK149" s="11" t="str">
        <f ca="1">IF(GK2="","", SUMIF($A$3:$A$144,$A$149,GK$3:GK$144)+#REF!+Dividends!$H$52)</f>
        <v/>
      </c>
      <c r="GL149" s="11" t="str">
        <f ca="1">IF(GL2="","", SUMIF($A$3:$A$144,$A$149,GL$3:GL$144)+#REF!+Dividends!$H$52)</f>
        <v/>
      </c>
      <c r="GM149" s="11" t="str">
        <f ca="1">IF(GM2="","", SUMIF($A$3:$A$144,$A$149,GM$3:GM$144)+#REF!+Dividends!$H$52)</f>
        <v/>
      </c>
      <c r="GN149" s="11" t="str">
        <f ca="1">IF(GN2="","", SUMIF($A$3:$A$144,$A$149,GN$3:GN$144)+#REF!+Dividends!$H$52)</f>
        <v/>
      </c>
      <c r="GO149" s="11" t="str">
        <f ca="1">IF(GO2="","", SUMIF($A$3:$A$144,$A$149,GO$3:GO$144)+#REF!+Dividends!$H$52)</f>
        <v/>
      </c>
      <c r="GP149" s="11" t="str">
        <f ca="1">IF(GP2="","", SUMIF($A$3:$A$144,$A$149,GP$3:GP$144)+#REF!+Dividends!$H$52)</f>
        <v/>
      </c>
      <c r="GQ149" s="11" t="str">
        <f ca="1">IF(GQ2="","", SUMIF($A$3:$A$144,$A$149,GQ$3:GQ$144)+#REF!+Dividends!$H$52)</f>
        <v/>
      </c>
      <c r="GR149" s="11" t="str">
        <f ca="1">IF(GR2="","", SUMIF($A$3:$A$144,$A$149,GR$3:GR$144)+#REF!+Dividends!$H$52)</f>
        <v/>
      </c>
      <c r="GS149" s="11" t="str">
        <f ca="1">IF(GS2="","", SUMIF($A$3:$A$144,$A$149,GS$3:GS$144)+#REF!+Dividends!$H$52)</f>
        <v/>
      </c>
      <c r="GT149" s="11" t="str">
        <f ca="1">IF(GT2="","", SUMIF($A$3:$A$144,$A$149,GT$3:GT$144)+#REF!+Dividends!$H$52)</f>
        <v/>
      </c>
      <c r="GU149" s="11" t="str">
        <f ca="1">IF(GU2="","", SUMIF($A$3:$A$144,$A$149,GU$3:GU$144)+#REF!+Dividends!$H$52)</f>
        <v/>
      </c>
      <c r="GV149" s="11" t="str">
        <f ca="1">IF(GV2="","", SUMIF($A$3:$A$144,$A$149,GV$3:GV$144)+#REF!+Dividends!$H$52)</f>
        <v/>
      </c>
      <c r="GW149" s="11" t="str">
        <f ca="1">IF(GW2="","", SUMIF($A$3:$A$144,$A$149,GW$3:GW$144)+#REF!+Dividends!$H$52)</f>
        <v/>
      </c>
      <c r="GX149" s="11" t="str">
        <f ca="1">IF(GX2="","", SUMIF($A$3:$A$144,$A$149,GX$3:GX$144)+#REF!+Dividends!$H$52)</f>
        <v/>
      </c>
      <c r="GY149" s="11" t="str">
        <f ca="1">IF(GY2="","", SUMIF($A$3:$A$144,$A$149,GY$3:GY$144)+#REF!+Dividends!$H$52)</f>
        <v/>
      </c>
      <c r="GZ149" s="11" t="str">
        <f ca="1">IF(GZ2="","", SUMIF($A$3:$A$144,$A$149,GZ$3:GZ$144)+#REF!+Dividends!$H$52)</f>
        <v/>
      </c>
      <c r="HA149" s="11" t="str">
        <f ca="1">IF(HA2="","", SUMIF($A$3:$A$144,$A$149,HA$3:HA$144)+#REF!+Dividends!$H$52)</f>
        <v/>
      </c>
      <c r="HB149" s="11" t="str">
        <f ca="1">IF(HB2="","", SUMIF($A$3:$A$144,$A$149,HB$3:HB$144)+#REF!+Dividends!$H$52)</f>
        <v/>
      </c>
      <c r="HC149" s="11" t="str">
        <f ca="1">IF(HC2="","", SUMIF($A$3:$A$144,$A$149,HC$3:HC$144)+#REF!+Dividends!$H$52)</f>
        <v/>
      </c>
      <c r="HD149" s="11" t="str">
        <f ca="1">IF(HD2="","", SUMIF($A$3:$A$144,$A$149,HD$3:HD$144)+#REF!+Dividends!$H$52)</f>
        <v/>
      </c>
      <c r="HE149" s="11" t="str">
        <f ca="1">IF(HE2="","", SUMIF($A$3:$A$144,$A$149,HE$3:HE$144)+#REF!+Dividends!$H$52)</f>
        <v/>
      </c>
      <c r="HF149" s="11" t="str">
        <f ca="1">IF(HF2="","", SUMIF($A$3:$A$144,$A$149,HF$3:HF$144)+#REF!+Dividends!$H$52)</f>
        <v/>
      </c>
      <c r="HG149" s="11" t="str">
        <f ca="1">IF(HG2="","", SUMIF($A$3:$A$144,$A$149,HG$3:HG$144)+#REF!+Dividends!$H$52)</f>
        <v/>
      </c>
      <c r="HH149" s="11" t="str">
        <f ca="1">IF(HH2="","", SUMIF($A$3:$A$144,$A$149,HH$3:HH$144)+#REF!+Dividends!$H$52)</f>
        <v/>
      </c>
      <c r="HI149" s="11" t="str">
        <f ca="1">IF(HI2="","", SUMIF($A$3:$A$144,$A$149,HI$3:HI$144)+#REF!+Dividends!$H$52)</f>
        <v/>
      </c>
      <c r="HJ149" s="11" t="str">
        <f ca="1">IF(HJ2="","", SUMIF($A$3:$A$144,$A$149,HJ$3:HJ$144)+#REF!+Dividends!$H$52)</f>
        <v/>
      </c>
      <c r="HK149" s="11" t="str">
        <f ca="1">IF(HK2="","", SUMIF($A$3:$A$144,$A$149,HK$3:HK$144)+#REF!+Dividends!$H$52)</f>
        <v/>
      </c>
      <c r="HL149" s="11" t="str">
        <f ca="1">IF(HL2="","", SUMIF($A$3:$A$144,$A$149,HL$3:HL$144)+#REF!+Dividends!$H$52)</f>
        <v/>
      </c>
      <c r="HM149" s="11" t="str">
        <f ca="1">IF(HM2="","", SUMIF($A$3:$A$144,$A$149,HM$3:HM$144)+#REF!+Dividends!$H$52)</f>
        <v/>
      </c>
      <c r="HN149" s="11" t="str">
        <f ca="1">IF(HN2="","", SUMIF($A$3:$A$144,$A$149,HN$3:HN$144)+#REF!+Dividends!$H$52)</f>
        <v/>
      </c>
      <c r="HO149" s="11" t="str">
        <f ca="1">IF(HO2="","", SUMIF($A$3:$A$144,$A$149,HO$3:HO$144)+#REF!+Dividends!$H$52)</f>
        <v/>
      </c>
      <c r="HP149" s="11" t="str">
        <f ca="1">IF(HP2="","", SUMIF($A$3:$A$144,$A$149,HP$3:HP$144)+#REF!+Dividends!$H$52)</f>
        <v/>
      </c>
      <c r="HQ149" s="11" t="str">
        <f ca="1">IF(HQ2="","", SUMIF($A$3:$A$144,$A$149,HQ$3:HQ$144)+#REF!+Dividends!$H$52)</f>
        <v/>
      </c>
      <c r="HR149" s="11" t="str">
        <f ca="1">IF(HR2="","", SUMIF($A$3:$A$144,$A$149,HR$3:HR$144)+#REF!+Dividends!$H$52)</f>
        <v/>
      </c>
      <c r="HS149" s="11" t="str">
        <f ca="1">IF(HS2="","", SUMIF($A$3:$A$144,$A$149,HS$3:HS$144)+#REF!+Dividends!$H$52)</f>
        <v/>
      </c>
      <c r="HT149" s="11" t="str">
        <f ca="1">IF(HT2="","", SUMIF($A$3:$A$144,$A$149,HT$3:HT$144)+#REF!+Dividends!$H$52)</f>
        <v/>
      </c>
      <c r="HU149" s="11" t="str">
        <f ca="1">IF(HU2="","", SUMIF($A$3:$A$144,$A$149,HU$3:HU$144)+#REF!+Dividends!$H$52)</f>
        <v/>
      </c>
      <c r="HV149" s="11" t="str">
        <f ca="1">IF(HV2="","", SUMIF($A$3:$A$144,$A$149,HV$3:HV$144)+#REF!+Dividends!$H$52)</f>
        <v/>
      </c>
      <c r="HW149" s="11" t="str">
        <f ca="1">IF(HW2="","", SUMIF($A$3:$A$144,$A$149,HW$3:HW$144)+#REF!+Dividends!$H$52)</f>
        <v/>
      </c>
      <c r="HX149" s="11" t="str">
        <f ca="1">IF(HX2="","", SUMIF($A$3:$A$144,$A$149,HX$3:HX$144)+#REF!+Dividends!$H$52)</f>
        <v/>
      </c>
      <c r="HY149" s="11" t="str">
        <f ca="1">IF(HY2="","", SUMIF($A$3:$A$144,$A$149,HY$3:HY$144)+#REF!+Dividends!$H$52)</f>
        <v/>
      </c>
      <c r="HZ149" s="11" t="str">
        <f ca="1">IF(HZ2="","", SUMIF($A$3:$A$144,$A$149,HZ$3:HZ$144)+#REF!+Dividends!$H$52)</f>
        <v/>
      </c>
      <c r="IA149" s="11" t="str">
        <f ca="1">IF(IA2="","", SUMIF($A$3:$A$144,$A$149,IA$3:IA$144)+#REF!+Dividends!$H$52)</f>
        <v/>
      </c>
      <c r="IB149" s="11" t="str">
        <f ca="1">IF(IB2="","", SUMIF($A$3:$A$144,$A$149,IB$3:IB$144)+#REF!+Dividends!$H$52)</f>
        <v/>
      </c>
      <c r="IC149" s="11" t="str">
        <f ca="1">IF(IC2="","", SUMIF($A$3:$A$144,$A$149,IC$3:IC$144)+#REF!+Dividends!$H$52)</f>
        <v/>
      </c>
      <c r="ID149" s="11" t="str">
        <f ca="1">IF(ID2="","", SUMIF($A$3:$A$144,$A$149,ID$3:ID$144)+#REF!+Dividends!$H$52)</f>
        <v/>
      </c>
      <c r="IE149" s="11" t="str">
        <f ca="1">IF(IE2="","", SUMIF($A$3:$A$144,$A$149,IE$3:IE$144)+#REF!+Dividends!$H$52)</f>
        <v/>
      </c>
      <c r="IF149" s="11" t="str">
        <f ca="1">IF(IF2="","", SUMIF($A$3:$A$144,$A$149,IF$3:IF$144)+#REF!+Dividends!$H$52)</f>
        <v/>
      </c>
      <c r="IG149" s="11" t="str">
        <f ca="1">IF(IG2="","", SUMIF($A$3:$A$144,$A$149,IG$3:IG$144)+#REF!+Dividends!$H$52)</f>
        <v/>
      </c>
      <c r="IH149" s="11" t="str">
        <f ca="1">IF(IH2="","", SUMIF($A$3:$A$144,$A$149,IH$3:IH$144)+#REF!+Dividends!$H$52)</f>
        <v/>
      </c>
      <c r="II149" s="11" t="str">
        <f ca="1">IF(II2="","", SUMIF($A$3:$A$144,$A$149,II$3:II$144)+#REF!+Dividends!$H$52)</f>
        <v/>
      </c>
      <c r="IJ149" s="11" t="str">
        <f ca="1">IF(IJ2="","", SUMIF($A$3:$A$144,$A$149,IJ$3:IJ$144)+#REF!+Dividends!$H$52)</f>
        <v/>
      </c>
      <c r="IK149" s="11" t="str">
        <f ca="1">IF(IK2="","", SUMIF($A$3:$A$144,$A$149,IK$3:IK$144)+#REF!+Dividends!$H$52)</f>
        <v/>
      </c>
      <c r="IL149" s="11" t="str">
        <f ca="1">IF(IL2="","", SUMIF($A$3:$A$144,$A$149,IL$3:IL$144)+#REF!+Dividends!$H$52)</f>
        <v/>
      </c>
      <c r="IM149" s="11" t="str">
        <f ca="1">IF(IM2="","", SUMIF($A$3:$A$144,$A$149,IM$3:IM$144)+#REF!+Dividends!$H$52)</f>
        <v/>
      </c>
      <c r="IN149" s="11" t="str">
        <f ca="1">IF(IN2="","", SUMIF($A$3:$A$144,$A$149,IN$3:IN$144)+#REF!+Dividends!$H$52)</f>
        <v/>
      </c>
      <c r="IO149" s="11" t="str">
        <f ca="1">IF(IO2="","", SUMIF($A$3:$A$144,$A$149,IO$3:IO$144)+#REF!+Dividends!$H$52)</f>
        <v/>
      </c>
      <c r="IP149" s="11" t="str">
        <f ca="1">IF(IP2="","", SUMIF($A$3:$A$144,$A$149,IP$3:IP$144)+#REF!+Dividends!$H$52)</f>
        <v/>
      </c>
      <c r="IQ149" s="11" t="str">
        <f ca="1">IF(IQ2="","", SUMIF($A$3:$A$144,$A$149,IQ$3:IQ$144)+#REF!+Dividends!$H$52)</f>
        <v/>
      </c>
      <c r="IR149" s="11" t="str">
        <f ca="1">IF(IR2="","", SUMIF($A$3:$A$144,$A$149,IR$3:IR$144)+#REF!+Dividends!$H$52)</f>
        <v/>
      </c>
      <c r="IS149" s="11" t="str">
        <f ca="1">IF(IS2="","", SUMIF($A$3:$A$144,$A$149,IS$3:IS$144)+#REF!+Dividends!$H$52)</f>
        <v/>
      </c>
      <c r="IT149" s="11" t="str">
        <f ca="1">IF(IT2="","", SUMIF($A$3:$A$144,$A$149,IT$3:IT$144)+#REF!+Dividends!$H$52)</f>
        <v/>
      </c>
      <c r="IU149" s="11" t="str">
        <f ca="1">IF(IU2="","", SUMIF($A$3:$A$144,$A$149,IU$3:IU$144)+#REF!+Dividends!$H$52)</f>
        <v/>
      </c>
      <c r="IV149" s="11" t="str">
        <f ca="1">IF(IV2="","", SUMIF($A$3:$A$144,$A$149,IV$3:IV$144)+#REF!+Dividends!$H$52)</f>
        <v/>
      </c>
      <c r="IW149" s="11" t="str">
        <f ca="1">IF(IW2="","", SUMIF($A$3:$A$144,$A$149,IW$3:IW$144)+#REF!+Dividends!$H$52)</f>
        <v/>
      </c>
      <c r="IX149" s="11" t="str">
        <f ca="1">IF(IX2="","", SUMIF($A$3:$A$144,$A$149,IX$3:IX$144)+#REF!+Dividends!$H$52)</f>
        <v/>
      </c>
      <c r="IY149" s="11" t="str">
        <f ca="1">IF(IY2="","", SUMIF($A$3:$A$144,$A$149,IY$3:IY$144)+#REF!+Dividends!$H$52)</f>
        <v/>
      </c>
      <c r="IZ149" s="11" t="str">
        <f ca="1">IF(IZ2="","", SUMIF($A$3:$A$144,$A$149,IZ$3:IZ$144)+#REF!+Dividends!$H$52)</f>
        <v/>
      </c>
      <c r="JA149" s="11" t="str">
        <f ca="1">IF(JA2="","", SUMIF($A$3:$A$144,$A$149,JA$3:JA$144)+#REF!+Dividends!$H$52)</f>
        <v/>
      </c>
      <c r="JB149" s="11" t="str">
        <f ca="1">IF(JB2="","", SUMIF($A$3:$A$144,$A$149,JB$3:JB$144)+#REF!+Dividends!$H$52)</f>
        <v/>
      </c>
      <c r="JC149" s="11" t="str">
        <f ca="1">IF(JC2="","", SUMIF($A$3:$A$144,$A$149,JC$3:JC$144)+#REF!+Dividends!$H$52)</f>
        <v/>
      </c>
      <c r="JD149" s="11" t="str">
        <f ca="1">IF(JD2="","", SUMIF($A$3:$A$144,$A$149,JD$3:JD$144)+#REF!+Dividends!$H$52)</f>
        <v/>
      </c>
      <c r="JE149" s="11" t="str">
        <f ca="1">IF(JE2="","", SUMIF($A$3:$A$144,$A$149,JE$3:JE$144)+#REF!+Dividends!$H$52)</f>
        <v/>
      </c>
      <c r="JF149" s="11" t="str">
        <f ca="1">IF(JF2="","", SUMIF($A$3:$A$144,$A$149,JF$3:JF$144)+#REF!+Dividends!$H$52)</f>
        <v/>
      </c>
      <c r="JG149" s="11" t="str">
        <f ca="1">IF(JG2="","", SUMIF($A$3:$A$144,$A$149,JG$3:JG$144)+#REF!+Dividends!$H$52)</f>
        <v/>
      </c>
      <c r="JH149" s="11" t="str">
        <f ca="1">IF(JH2="","", SUMIF($A$3:$A$144,$A$149,JH$3:JH$144)+#REF!+Dividends!$H$52)</f>
        <v/>
      </c>
      <c r="JI149" s="11" t="str">
        <f ca="1">IF(JI2="","", SUMIF($A$3:$A$144,$A$149,JI$3:JI$144)+#REF!+Dividends!$H$52)</f>
        <v/>
      </c>
      <c r="JJ149" s="11" t="str">
        <f ca="1">IF(JJ2="","", SUMIF($A$3:$A$144,$A$149,JJ$3:JJ$144)+#REF!+Dividends!$H$52)</f>
        <v/>
      </c>
      <c r="JK149" s="11" t="str">
        <f ca="1">IF(JK2="","", SUMIF($A$3:$A$144,$A$149,JK$3:JK$144)+#REF!+Dividends!$H$52)</f>
        <v/>
      </c>
      <c r="JL149" s="11" t="str">
        <f ca="1">IF(JL2="","", SUMIF($A$3:$A$144,$A$149,JL$3:JL$144)+#REF!+Dividends!$H$52)</f>
        <v/>
      </c>
      <c r="JM149" s="11" t="str">
        <f ca="1">IF(JM2="","", SUMIF($A$3:$A$144,$A$149,JM$3:JM$144)+#REF!+Dividends!$H$52)</f>
        <v/>
      </c>
      <c r="JN149" s="11" t="str">
        <f ca="1">IF(JN2="","", SUMIF($A$3:$A$144,$A$149,JN$3:JN$144)+#REF!+Dividends!$H$52)</f>
        <v/>
      </c>
      <c r="JO149" s="11" t="str">
        <f ca="1">IF(JO2="","", SUMIF($A$3:$A$144,$A$149,JO$3:JO$144)+#REF!+Dividends!$H$52)</f>
        <v/>
      </c>
      <c r="JP149" s="11" t="str">
        <f ca="1">IF(JP2="","", SUMIF($A$3:$A$144,$A$149,JP$3:JP$144)+#REF!+Dividends!$H$52)</f>
        <v/>
      </c>
      <c r="JQ149" s="11" t="str">
        <f ca="1">IF(JQ2="","", SUMIF($A$3:$A$144,$A$149,JQ$3:JQ$144)+#REF!+Dividends!$H$52)</f>
        <v/>
      </c>
      <c r="JR149" s="11" t="str">
        <f ca="1">IF(JR2="","", SUMIF($A$3:$A$144,$A$149,JR$3:JR$144)+#REF!+Dividends!$H$52)</f>
        <v/>
      </c>
      <c r="JS149" s="11" t="str">
        <f ca="1">IF(JS2="","", SUMIF($A$3:$A$144,$A$149,JS$3:JS$144)+#REF!+Dividends!$H$52)</f>
        <v/>
      </c>
      <c r="JT149" s="11" t="str">
        <f ca="1">IF(JT2="","", SUMIF($A$3:$A$144,$A$149,JT$3:JT$144)+#REF!+Dividends!$H$52)</f>
        <v/>
      </c>
      <c r="JU149" s="11" t="str">
        <f ca="1">IF(JU2="","", SUMIF($A$3:$A$144,$A$149,JU$3:JU$144)+#REF!+Dividends!$H$52)</f>
        <v/>
      </c>
      <c r="JV149" s="11" t="str">
        <f ca="1">IF(JV2="","", SUMIF($A$3:$A$144,$A$149,JV$3:JV$144)+#REF!+Dividends!$H$52)</f>
        <v/>
      </c>
      <c r="JW149" s="11" t="str">
        <f ca="1">IF(JW2="","", SUMIF($A$3:$A$144,$A$149,JW$3:JW$144)+#REF!+Dividends!$H$52)</f>
        <v/>
      </c>
      <c r="JX149" s="11" t="str">
        <f ca="1">IF(JX2="","", SUMIF($A$3:$A$144,$A$149,JX$3:JX$144)+#REF!+Dividends!$H$52)</f>
        <v/>
      </c>
      <c r="JY149" s="11" t="str">
        <f ca="1">IF(JY2="","", SUMIF($A$3:$A$144,$A$149,JY$3:JY$144)+#REF!+Dividends!$H$52)</f>
        <v/>
      </c>
      <c r="JZ149" s="11" t="str">
        <f ca="1">IF(JZ2="","", SUMIF($A$3:$A$144,$A$149,JZ$3:JZ$144)+#REF!+Dividends!$H$52)</f>
        <v/>
      </c>
      <c r="KA149" s="11" t="str">
        <f ca="1">IF(KA2="","", SUMIF($A$3:$A$144,$A$149,KA$3:KA$144)+#REF!+Dividends!$H$52)</f>
        <v/>
      </c>
      <c r="KB149" s="11" t="str">
        <f ca="1">IF(KB2="","", SUMIF($A$3:$A$144,$A$149,KB$3:KB$144)+#REF!+Dividends!$H$52)</f>
        <v/>
      </c>
    </row>
    <row r="150" spans="1:288" ht="13">
      <c r="A150" s="2" t="s">
        <v>192</v>
      </c>
      <c r="D150" s="11">
        <f ca="1">IF(D$2="","",History!H51)</f>
        <v>2138.16</v>
      </c>
      <c r="E150" s="11">
        <f ca="1">IF(E$2="","",History!I51)</f>
        <v>2194</v>
      </c>
      <c r="F150" s="11">
        <f ca="1">IF(F$2="","",History!J51)</f>
        <v>2176.06</v>
      </c>
      <c r="G150" s="11">
        <f ca="1">IF(G$2="","",History!K51)</f>
        <v>2159.44</v>
      </c>
      <c r="H150" s="11">
        <f ca="1">IF(H$2="","",History!L51)</f>
        <v>2162.46</v>
      </c>
      <c r="I150" s="11">
        <f ca="1">IF(I$2="","",History!M51)</f>
        <v>2096.23</v>
      </c>
      <c r="J150" s="11">
        <f ca="1">IF(J$2="","",History!N51)</f>
        <v>2062.7800000000002</v>
      </c>
      <c r="K150" s="11">
        <f ca="1">IF(K$2="","",History!O51)</f>
        <v>2024.04</v>
      </c>
      <c r="L150" s="11">
        <f ca="1">IF(L$2="","",History!P51)</f>
        <v>1987.92</v>
      </c>
      <c r="M150" s="11">
        <f ca="1">IF(M$2="","",History!Q51)</f>
        <v>2033.51</v>
      </c>
      <c r="N150" s="11">
        <f ca="1">IF(N$2="","",History!R51)</f>
        <v>2004.03</v>
      </c>
      <c r="O150" s="11">
        <f ca="1">IF(O$2="","",History!S51)</f>
        <v>1976.46</v>
      </c>
      <c r="P150" s="11">
        <f ca="1">IF(P$2="","",History!T51)</f>
        <v>1931.29</v>
      </c>
      <c r="Q150" s="11">
        <f ca="1">IF(Q$2="","",History!U51)</f>
        <v>1968.51</v>
      </c>
      <c r="R150" s="11">
        <f ca="1">IF(R$2="","",History!V51)</f>
        <v>2028.45</v>
      </c>
      <c r="S150" s="11">
        <f ca="1">IF(S$2="","",History!W51)</f>
        <v>2050.7399999999998</v>
      </c>
      <c r="T150" s="11">
        <f ca="1">IF(T$2="","",History!X51)</f>
        <v>2029.52</v>
      </c>
      <c r="U150" s="11">
        <f ca="1">IF(U$2="","",History!Y51)</f>
        <v>1991.03</v>
      </c>
      <c r="V150" s="11">
        <f ca="1">IF(V$2="","",History!Z51)</f>
        <v>2002.36</v>
      </c>
      <c r="W150" s="11">
        <f ca="1">IF(W$2="","",History!AA51)</f>
        <v>2012.6</v>
      </c>
      <c r="X150" s="11">
        <f ca="1">IF(X$2="","",History!AB51)</f>
        <v>2045.37</v>
      </c>
      <c r="Y150" s="11">
        <f ca="1">IF(Y$2="","",History!AC51)</f>
        <v>2083.5</v>
      </c>
      <c r="Z150" s="11">
        <f ca="1">IF(Z$2="","",History!AD51)</f>
        <v>2051.16</v>
      </c>
      <c r="AA150" s="11">
        <f ca="1">IF(AA$2="","",History!AE51)</f>
        <v>2030.15</v>
      </c>
      <c r="AB150" s="11">
        <f ca="1">IF(AB$2="","",History!AF51)</f>
        <v>2020.79</v>
      </c>
      <c r="AC150" s="11">
        <f ca="1">IF(AC$2="","",History!AG51)</f>
        <v>2076.46</v>
      </c>
      <c r="AD150" s="11">
        <f ca="1">IF(AD$2="","",History!AH51)</f>
        <v>2079.31</v>
      </c>
      <c r="AE150" s="11">
        <f ca="1">IF(AE$2="","",History!AI51)</f>
        <v>2028.09</v>
      </c>
      <c r="AF150" s="11">
        <f ca="1">IF(AF$2="","",History!AJ51)</f>
        <v>2009.33</v>
      </c>
      <c r="AG150" s="11">
        <f ca="1">IF(AG$2="","",History!AK51)</f>
        <v>1980.17</v>
      </c>
      <c r="AH150" s="11">
        <f ca="1">IF(AH$2="","",History!AL51)</f>
        <v>1944.09</v>
      </c>
      <c r="AI150" s="11">
        <f ca="1">IF(AI$2="","",History!AM51)</f>
        <v>1996</v>
      </c>
      <c r="AJ150" s="11">
        <f ca="1">IF(AJ$2="","",History!AN51)</f>
        <v>2040.93</v>
      </c>
      <c r="AK150" s="11">
        <f ca="1">IF(AK$2="","",History!AO51)</f>
        <v>2048.09</v>
      </c>
      <c r="AL150" s="11">
        <f ca="1">IF(AL$2="","",History!AP51)</f>
        <v>2008.51</v>
      </c>
      <c r="AM150" s="11">
        <f ca="1">IF(AM$2="","",History!AQ51)</f>
        <v>2058.87</v>
      </c>
      <c r="AN150" s="11">
        <f ca="1">IF(AN$2="","",History!AR51)</f>
        <v>2032.41</v>
      </c>
      <c r="AO150" s="11">
        <f ca="1">IF(AO$2="","",History!AS51)</f>
        <v>2000.9</v>
      </c>
      <c r="AP150" s="11">
        <f ca="1">IF(AP$2="","",History!AT51)</f>
        <v>1951.33</v>
      </c>
      <c r="AQ150" s="11">
        <f ca="1">IF(AQ$2="","",History!AU51)</f>
        <v>1963.01</v>
      </c>
      <c r="AR150" s="11">
        <f ca="1">IF(AR$2="","",History!AV51)</f>
        <v>2016.29</v>
      </c>
      <c r="AS150" s="11">
        <f ca="1">IF(AS$2="","",History!AW51)</f>
        <v>2011.67</v>
      </c>
      <c r="AT150" s="11">
        <f ca="1">IF(AT$2="","",History!AX51)</f>
        <v>1979.67</v>
      </c>
      <c r="AU150" s="11">
        <f ca="1">IF(AU$2="","",History!AY51)</f>
        <v>1941.72</v>
      </c>
      <c r="AV150" s="11">
        <f ca="1">IF(AV$2="","",History!AZ51)</f>
        <v>1968.97</v>
      </c>
      <c r="AW150" s="11">
        <f ca="1">IF(AW$2="","",History!BA51)</f>
        <v>2030.72</v>
      </c>
      <c r="AX150" s="11">
        <f ca="1">IF(AX$2="","",History!BB51)</f>
        <v>2065.02</v>
      </c>
      <c r="AY150" s="11">
        <f ca="1">IF(AY$2="","",History!BC51)</f>
        <v>2086.14</v>
      </c>
      <c r="AZ150" s="11">
        <f ca="1">IF(AZ$2="","",History!BD51)</f>
        <v>2065.94</v>
      </c>
      <c r="BA150" s="11">
        <f ca="1">IF(BA$2="","",History!BE51)</f>
        <v>2088.34</v>
      </c>
      <c r="BB150" s="11">
        <f ca="1">IF(BB$2="","",History!BF51)</f>
        <v>2052.21</v>
      </c>
      <c r="BC150" s="11">
        <f ca="1">IF(BC$2="","",History!BG51)</f>
        <v>2075.44</v>
      </c>
      <c r="BD150" s="11">
        <f ca="1">IF(BD$2="","",History!BH51)</f>
        <v>2077.98</v>
      </c>
      <c r="BE150" s="11">
        <f ca="1">IF(BE$2="","",History!BI51)</f>
        <v>2078.06</v>
      </c>
      <c r="BF150" s="11">
        <f ca="1">IF(BF$2="","",History!BJ51)</f>
        <v>2133.1</v>
      </c>
      <c r="BG150" s="11">
        <f ca="1">IF(BG$2="","",History!BK51)</f>
        <v>2091.0700000000002</v>
      </c>
      <c r="BH150" s="11">
        <f ca="1">IF(BH$2="","",History!BL51)</f>
        <v>2070.13</v>
      </c>
      <c r="BI150" s="11">
        <f ca="1">IF(BI$2="","",History!BM51)</f>
        <v>2091.11</v>
      </c>
      <c r="BJ150" s="11">
        <f ca="1">IF(BJ$2="","",History!BN51)</f>
        <v>2095.44</v>
      </c>
      <c r="BK150" s="11">
        <f ca="1">IF(BK$2="","",History!BO51)</f>
        <v>2046.04</v>
      </c>
      <c r="BL150" s="11">
        <f ca="1">IF(BL$2="","",History!BP51)</f>
        <v>2016.94</v>
      </c>
      <c r="BM150" s="11">
        <f ca="1">IF(BM$2="","",History!BQ51)</f>
        <v>2009.8</v>
      </c>
      <c r="BN150" s="11">
        <f ca="1">IF(BN$2="","",History!BR51)</f>
        <v>1994.56</v>
      </c>
      <c r="BO150" s="11">
        <f ca="1">IF(BO$2="","",History!BS51)</f>
        <v>1980.32</v>
      </c>
      <c r="BP150" s="11">
        <f ca="1">IF(BP$2="","",History!BT51)</f>
        <v>1986.94</v>
      </c>
      <c r="BQ150" s="11">
        <f ca="1">IF(BQ$2="","",History!BU51)</f>
        <v>2025.1</v>
      </c>
      <c r="BR150" s="11">
        <f ca="1">IF(BR$2="","",History!BV51)</f>
        <v>2004.98</v>
      </c>
      <c r="BS150" s="11">
        <f ca="1">IF(BS$2="","",History!BW51)</f>
        <v>1990.13</v>
      </c>
      <c r="BT150" s="11">
        <f ca="1">IF(BT$2="","",History!BX51)</f>
        <v>2030.77</v>
      </c>
      <c r="BU150" s="11">
        <f ca="1">IF(BU$2="","",History!BY51)</f>
        <v>2038.19</v>
      </c>
      <c r="BV150" s="11">
        <f ca="1">IF(BV$2="","",History!BZ51)</f>
        <v>1991.46</v>
      </c>
      <c r="BW150" s="11">
        <f ca="1">IF(BW$2="","",History!CA51)</f>
        <v>1940.66</v>
      </c>
      <c r="BX150" s="11">
        <f ca="1">IF(BX$2="","",History!CB51)</f>
        <v>1954.2</v>
      </c>
      <c r="BY150" s="11">
        <f ca="1">IF(BY$2="","",History!CC51)</f>
        <v>1890.47</v>
      </c>
      <c r="BZ150" s="11">
        <f ca="1">IF(BZ$2="","",History!CD51)</f>
        <v>1884.04</v>
      </c>
      <c r="CA150" s="11">
        <f ca="1">IF(CA$2="","",History!CE51)</f>
        <v>1917.94</v>
      </c>
      <c r="CB150" s="11">
        <f ca="1">IF(CB$2="","",History!CF51)</f>
        <v>1864.1</v>
      </c>
      <c r="CC150" s="11">
        <f ca="1">IF(CC$2="","",History!CG51)</f>
        <v>1882.91</v>
      </c>
      <c r="CD150" s="11">
        <f ca="1">IF(CD$2="","",History!CH51)</f>
        <v>1898.86</v>
      </c>
      <c r="CE150" s="11">
        <f ca="1">IF(CE$2="","",History!CI51)</f>
        <v>1949.92</v>
      </c>
      <c r="CF150" s="11" t="str">
        <f ca="1">IF(CF$2="","",History!CJ51)</f>
        <v/>
      </c>
      <c r="CG150" s="11" t="str">
        <f ca="1">IF(CG$2="","",History!CK51)</f>
        <v/>
      </c>
      <c r="CH150" s="11" t="str">
        <f ca="1">IF(CH$2="","",History!CL51)</f>
        <v/>
      </c>
      <c r="CI150" s="11" t="str">
        <f ca="1">IF(CI$2="","",History!CM51)</f>
        <v/>
      </c>
      <c r="CJ150" s="11" t="str">
        <f ca="1">IF(CJ$2="","",History!CN51)</f>
        <v/>
      </c>
      <c r="CK150" s="11" t="str">
        <f ca="1">IF(CK$2="","",History!CO51)</f>
        <v/>
      </c>
      <c r="CL150" s="11" t="str">
        <f ca="1">IF(CL$2="","",History!CP51)</f>
        <v/>
      </c>
      <c r="CM150" s="11" t="str">
        <f ca="1">IF(CM$2="","",History!CQ51)</f>
        <v/>
      </c>
      <c r="CN150" s="11" t="str">
        <f ca="1">IF(CN$2="","",History!CR51)</f>
        <v/>
      </c>
      <c r="CO150" s="11" t="str">
        <f ca="1">IF(CO$2="","",History!CS51)</f>
        <v/>
      </c>
      <c r="CP150" s="11" t="str">
        <f ca="1">IF(CP$2="","",History!CT51)</f>
        <v/>
      </c>
      <c r="CQ150" s="11" t="str">
        <f ca="1">IF(CQ$2="","",History!CU51)</f>
        <v/>
      </c>
      <c r="CR150" s="11" t="str">
        <f ca="1">IF(CR$2="","",History!CV51)</f>
        <v/>
      </c>
      <c r="CS150" s="11" t="str">
        <f ca="1">IF(CS$2="","",History!CW51)</f>
        <v/>
      </c>
      <c r="CT150" s="11" t="str">
        <f ca="1">IF(CT$2="","",History!CX51)</f>
        <v/>
      </c>
      <c r="CU150" s="11" t="str">
        <f ca="1">IF(CU$2="","",History!CY51)</f>
        <v/>
      </c>
      <c r="CV150" s="11" t="str">
        <f ca="1">IF(CV$2="","",History!CZ51)</f>
        <v/>
      </c>
      <c r="CW150" s="11" t="str">
        <f ca="1">IF(CW$2="","",History!DA51)</f>
        <v/>
      </c>
      <c r="CX150" s="11" t="str">
        <f ca="1">IF(CX$2="","",History!DB51)</f>
        <v/>
      </c>
      <c r="CY150" s="11" t="str">
        <f ca="1">IF(CY$2="","",History!DC51)</f>
        <v/>
      </c>
      <c r="CZ150" s="11" t="str">
        <f ca="1">IF(CZ$2="","",History!DD51)</f>
        <v/>
      </c>
      <c r="DA150" s="11" t="str">
        <f ca="1">IF(DA$2="","",History!DE51)</f>
        <v/>
      </c>
      <c r="DB150" s="11" t="str">
        <f ca="1">IF(DB$2="","",History!DF51)</f>
        <v/>
      </c>
      <c r="DC150" s="11" t="str">
        <f ca="1">IF(DC$2="","",History!DG51)</f>
        <v/>
      </c>
      <c r="DD150" s="11" t="str">
        <f ca="1">IF(DD$2="","",History!DH51)</f>
        <v/>
      </c>
      <c r="DE150" s="11" t="str">
        <f ca="1">IF(DE$2="","",History!DI51)</f>
        <v/>
      </c>
      <c r="DF150" s="11" t="str">
        <f ca="1">IF(DF$2="","",History!DJ51)</f>
        <v/>
      </c>
      <c r="DG150" s="11" t="str">
        <f ca="1">IF(DG$2="","",History!DK51)</f>
        <v/>
      </c>
      <c r="DH150" s="11" t="str">
        <f ca="1">IF(DH$2="","",History!DL51)</f>
        <v/>
      </c>
      <c r="DI150" s="11" t="str">
        <f ca="1">IF(DI$2="","",History!DM51)</f>
        <v/>
      </c>
      <c r="DJ150" s="11" t="str">
        <f ca="1">IF(DJ$2="","",History!DN51)</f>
        <v/>
      </c>
      <c r="DK150" s="11" t="str">
        <f ca="1">IF(DK$2="","",History!DO51)</f>
        <v/>
      </c>
      <c r="DL150" s="11" t="str">
        <f ca="1">IF(DL$2="","",History!DP51)</f>
        <v/>
      </c>
      <c r="DM150" s="11" t="str">
        <f ca="1">IF(DM$2="","",History!DQ51)</f>
        <v/>
      </c>
      <c r="DN150" s="11" t="str">
        <f ca="1">IF(DN$2="","",History!DR51)</f>
        <v/>
      </c>
      <c r="DO150" s="11" t="str">
        <f ca="1">IF(DO$2="","",History!DS51)</f>
        <v/>
      </c>
      <c r="DP150" s="11" t="str">
        <f ca="1">IF(DP$2="","",History!DT51)</f>
        <v/>
      </c>
      <c r="DQ150" s="11" t="str">
        <f ca="1">IF(DQ$2="","",History!DU51)</f>
        <v/>
      </c>
      <c r="DR150" s="11" t="str">
        <f ca="1">IF(DR$2="","",History!DV51)</f>
        <v/>
      </c>
      <c r="DS150" s="11" t="str">
        <f ca="1">IF(DS$2="","",History!DW51)</f>
        <v/>
      </c>
      <c r="DT150" s="11" t="str">
        <f ca="1">IF(DT$2="","",History!DX51)</f>
        <v/>
      </c>
      <c r="DU150" s="11" t="str">
        <f ca="1">IF(DU$2="","",History!DY51)</f>
        <v/>
      </c>
      <c r="DV150" s="11" t="str">
        <f ca="1">IF(DV$2="","",History!DZ51)</f>
        <v/>
      </c>
      <c r="DW150" s="11" t="str">
        <f ca="1">IF(DW$2="","",History!EA51)</f>
        <v/>
      </c>
      <c r="DX150" s="11" t="str">
        <f ca="1">IF(DX$2="","",History!EB51)</f>
        <v/>
      </c>
      <c r="DY150" s="11" t="str">
        <f ca="1">IF(DY$2="","",History!EC51)</f>
        <v/>
      </c>
      <c r="DZ150" s="11" t="str">
        <f ca="1">IF(DZ$2="","",History!ED51)</f>
        <v/>
      </c>
      <c r="EA150" s="11" t="str">
        <f ca="1">IF(EA$2="","",History!EE51)</f>
        <v/>
      </c>
      <c r="EB150" s="11" t="str">
        <f ca="1">IF(EB$2="","",History!EF51)</f>
        <v/>
      </c>
      <c r="EC150" s="11" t="str">
        <f ca="1">IF(EC$2="","",History!EG51)</f>
        <v/>
      </c>
      <c r="ED150" s="11" t="str">
        <f ca="1">IF(ED$2="","",History!EH51)</f>
        <v/>
      </c>
      <c r="EE150" s="11" t="str">
        <f ca="1">IF(EE$2="","",History!EI51)</f>
        <v/>
      </c>
      <c r="EF150" s="11" t="str">
        <f ca="1">IF(EF$2="","",History!EJ51)</f>
        <v/>
      </c>
      <c r="EG150" s="11" t="str">
        <f ca="1">IF(EG$2="","",History!EK51)</f>
        <v/>
      </c>
      <c r="EH150" s="11" t="str">
        <f ca="1">IF(EH$2="","",History!EL51)</f>
        <v/>
      </c>
      <c r="EI150" s="11" t="str">
        <f ca="1">IF(EI$2="","",History!EM51)</f>
        <v/>
      </c>
      <c r="EJ150" s="11" t="str">
        <f ca="1">IF(EJ$2="","",History!EN51)</f>
        <v/>
      </c>
      <c r="EK150" s="11" t="str">
        <f ca="1">IF(EK$2="","",History!EO51)</f>
        <v/>
      </c>
      <c r="EL150" s="11" t="str">
        <f ca="1">IF(EL$2="","",History!EP51)</f>
        <v/>
      </c>
      <c r="EM150" s="11" t="str">
        <f ca="1">IF(EM$2="","",History!EQ51)</f>
        <v/>
      </c>
      <c r="EN150" s="11" t="str">
        <f ca="1">IF(EN$2="","",History!ER51)</f>
        <v/>
      </c>
      <c r="EO150" s="11" t="str">
        <f ca="1">IF(EO$2="","",History!ES51)</f>
        <v/>
      </c>
      <c r="EP150" s="11" t="str">
        <f ca="1">IF(EP$2="","",History!ET51)</f>
        <v/>
      </c>
      <c r="EQ150" s="11" t="str">
        <f ca="1">IF(EQ$2="","",History!EU51)</f>
        <v/>
      </c>
      <c r="ER150" s="11" t="str">
        <f ca="1">IF(ER$2="","",History!EV51)</f>
        <v/>
      </c>
      <c r="ES150" s="11" t="str">
        <f ca="1">IF(ES$2="","",History!EW51)</f>
        <v/>
      </c>
      <c r="ET150" s="11" t="str">
        <f ca="1">IF(ET$2="","",History!EX51)</f>
        <v/>
      </c>
      <c r="EU150" s="11" t="str">
        <f ca="1">IF(EU$2="","",History!EY51)</f>
        <v/>
      </c>
      <c r="EV150" s="11" t="str">
        <f ca="1">IF(EV$2="","",History!EZ51)</f>
        <v/>
      </c>
      <c r="EW150" s="11" t="str">
        <f ca="1">IF(EW$2="","",History!FA51)</f>
        <v/>
      </c>
      <c r="EX150" s="11" t="str">
        <f ca="1">IF(EX$2="","",History!FB51)</f>
        <v/>
      </c>
      <c r="EY150" s="11" t="str">
        <f ca="1">IF(EY$2="","",History!FC51)</f>
        <v/>
      </c>
      <c r="EZ150" s="11" t="str">
        <f ca="1">IF(EZ$2="","",History!FD51)</f>
        <v/>
      </c>
      <c r="FA150" s="11" t="str">
        <f ca="1">IF(FA$2="","",History!FE51)</f>
        <v/>
      </c>
      <c r="FB150" s="11" t="str">
        <f ca="1">IF(FB$2="","",History!FF51)</f>
        <v/>
      </c>
      <c r="FC150" s="11" t="str">
        <f ca="1">IF(FC$2="","",History!FG51)</f>
        <v/>
      </c>
      <c r="FD150" s="11" t="str">
        <f ca="1">IF(FD$2="","",History!FH51)</f>
        <v/>
      </c>
      <c r="FE150" s="11" t="str">
        <f ca="1">IF(FE$2="","",History!FI51)</f>
        <v/>
      </c>
      <c r="FF150" s="11" t="str">
        <f ca="1">IF(FF$2="","",History!FJ51)</f>
        <v/>
      </c>
      <c r="FG150" s="11" t="str">
        <f ca="1">IF(FG$2="","",History!FK51)</f>
        <v/>
      </c>
      <c r="FH150" s="11" t="str">
        <f ca="1">IF(FH$2="","",History!FL51)</f>
        <v/>
      </c>
      <c r="FI150" s="11" t="str">
        <f ca="1">IF(FI$2="","",History!FM51)</f>
        <v/>
      </c>
      <c r="FJ150" s="11" t="str">
        <f ca="1">IF(FJ$2="","",History!FN51)</f>
        <v/>
      </c>
      <c r="FK150" s="11" t="str">
        <f ca="1">IF(FK$2="","",History!FO51)</f>
        <v/>
      </c>
      <c r="FL150" s="11" t="str">
        <f ca="1">IF(FL$2="","",History!FP51)</f>
        <v/>
      </c>
      <c r="FM150" s="11" t="str">
        <f ca="1">IF(FM$2="","",History!FQ51)</f>
        <v/>
      </c>
      <c r="FN150" s="11" t="str">
        <f ca="1">IF(FN$2="","",History!FR51)</f>
        <v/>
      </c>
      <c r="FO150" s="11" t="str">
        <f ca="1">IF(FO$2="","",History!FS51)</f>
        <v/>
      </c>
      <c r="FP150" s="11" t="str">
        <f ca="1">IF(FP$2="","",History!FT51)</f>
        <v/>
      </c>
      <c r="FQ150" s="11" t="str">
        <f ca="1">IF(FQ$2="","",History!FU51)</f>
        <v/>
      </c>
      <c r="FR150" s="11" t="str">
        <f ca="1">IF(FR$2="","",History!FV51)</f>
        <v/>
      </c>
      <c r="FS150" s="11" t="str">
        <f ca="1">IF(FS$2="","",History!FW51)</f>
        <v/>
      </c>
      <c r="FT150" s="11" t="str">
        <f ca="1">IF(FT$2="","",History!FX51)</f>
        <v/>
      </c>
      <c r="FU150" s="11" t="str">
        <f ca="1">IF(FU$2="","",History!FY51)</f>
        <v/>
      </c>
      <c r="FV150" s="11" t="str">
        <f ca="1">IF(FV$2="","",History!FZ51)</f>
        <v/>
      </c>
      <c r="FW150" s="11" t="str">
        <f ca="1">IF(FW$2="","",History!GA51)</f>
        <v/>
      </c>
      <c r="FX150" s="11" t="str">
        <f ca="1">IF(FX$2="","",History!GB51)</f>
        <v/>
      </c>
      <c r="FY150" s="11" t="str">
        <f ca="1">IF(FY$2="","",History!GC51)</f>
        <v/>
      </c>
      <c r="FZ150" s="11" t="str">
        <f ca="1">IF(FZ$2="","",History!GD51)</f>
        <v/>
      </c>
      <c r="GA150" s="11" t="str">
        <f ca="1">IF(GA$2="","",History!GE51)</f>
        <v/>
      </c>
      <c r="GB150" s="11" t="str">
        <f ca="1">IF(GB$2="","",History!GF51)</f>
        <v/>
      </c>
      <c r="GC150" s="11" t="str">
        <f ca="1">IF(GC$2="","",History!GG51)</f>
        <v/>
      </c>
      <c r="GD150" s="11" t="str">
        <f ca="1">IF(GD$2="","",History!GH51)</f>
        <v/>
      </c>
      <c r="GE150" s="11" t="str">
        <f ca="1">IF(GE$2="","",History!GI51)</f>
        <v/>
      </c>
      <c r="GF150" s="11" t="str">
        <f ca="1">IF(GF$2="","",History!GJ51)</f>
        <v/>
      </c>
      <c r="GG150" s="11" t="str">
        <f ca="1">IF(GG$2="","",History!GK51)</f>
        <v/>
      </c>
      <c r="GH150" s="11" t="str">
        <f ca="1">IF(GH$2="","",History!GL51)</f>
        <v/>
      </c>
      <c r="GI150" s="11" t="str">
        <f ca="1">IF(GI$2="","",History!GM51)</f>
        <v/>
      </c>
      <c r="GJ150" s="11" t="str">
        <f ca="1">IF(GJ$2="","",History!GN51)</f>
        <v/>
      </c>
      <c r="GK150" s="11" t="str">
        <f ca="1">IF(GK$2="","",History!GO51)</f>
        <v/>
      </c>
      <c r="GL150" s="11" t="str">
        <f ca="1">IF(GL$2="","",History!GP51)</f>
        <v/>
      </c>
      <c r="GM150" s="11" t="str">
        <f ca="1">IF(GM$2="","",History!GQ51)</f>
        <v/>
      </c>
      <c r="GN150" s="11" t="str">
        <f ca="1">IF(GN$2="","",History!GR51)</f>
        <v/>
      </c>
      <c r="GO150" s="11" t="str">
        <f ca="1">IF(GO$2="","",History!GS51)</f>
        <v/>
      </c>
      <c r="GP150" s="11" t="str">
        <f ca="1">IF(GP$2="","",History!GT51)</f>
        <v/>
      </c>
      <c r="GQ150" s="11" t="str">
        <f ca="1">IF(GQ$2="","",History!GU51)</f>
        <v/>
      </c>
      <c r="GR150" s="11" t="str">
        <f ca="1">IF(GR$2="","",History!GV51)</f>
        <v/>
      </c>
      <c r="GS150" s="11" t="str">
        <f ca="1">IF(GS$2="","",History!GW51)</f>
        <v/>
      </c>
      <c r="GT150" s="11" t="str">
        <f ca="1">IF(GT$2="","",History!GX51)</f>
        <v/>
      </c>
      <c r="GU150" s="11" t="str">
        <f ca="1">IF(GU$2="","",History!GY51)</f>
        <v/>
      </c>
      <c r="GV150" s="11" t="str">
        <f ca="1">IF(GV$2="","",History!GZ51)</f>
        <v/>
      </c>
      <c r="GW150" s="11" t="str">
        <f ca="1">IF(GW$2="","",History!HA51)</f>
        <v/>
      </c>
      <c r="GX150" s="11" t="str">
        <f ca="1">IF(GX$2="","",History!HB51)</f>
        <v/>
      </c>
      <c r="GY150" s="11" t="str">
        <f ca="1">IF(GY$2="","",History!HC51)</f>
        <v/>
      </c>
      <c r="GZ150" s="11" t="str">
        <f ca="1">IF(GZ$2="","",History!HD51)</f>
        <v/>
      </c>
      <c r="HA150" s="11" t="str">
        <f ca="1">IF(HA$2="","",History!HE51)</f>
        <v/>
      </c>
      <c r="HB150" s="11" t="str">
        <f ca="1">IF(HB$2="","",History!HF51)</f>
        <v/>
      </c>
      <c r="HC150" s="11" t="str">
        <f ca="1">IF(HC$2="","",History!HG51)</f>
        <v/>
      </c>
      <c r="HD150" s="11" t="str">
        <f ca="1">IF(HD$2="","",History!HH51)</f>
        <v/>
      </c>
      <c r="HE150" s="11" t="str">
        <f ca="1">IF(HE$2="","",History!HI51)</f>
        <v/>
      </c>
      <c r="HF150" s="11" t="str">
        <f ca="1">IF(HF$2="","",History!HJ51)</f>
        <v/>
      </c>
      <c r="HG150" s="11" t="str">
        <f ca="1">IF(HG$2="","",History!HK51)</f>
        <v/>
      </c>
      <c r="HH150" s="11" t="str">
        <f ca="1">IF(HH$2="","",History!HL51)</f>
        <v/>
      </c>
      <c r="HI150" s="11" t="str">
        <f ca="1">IF(HI$2="","",History!HM51)</f>
        <v/>
      </c>
      <c r="HJ150" s="11" t="str">
        <f ca="1">IF(HJ$2="","",History!HN51)</f>
        <v/>
      </c>
      <c r="HK150" s="11" t="str">
        <f ca="1">IF(HK$2="","",History!HO51)</f>
        <v/>
      </c>
      <c r="HL150" s="11" t="str">
        <f ca="1">IF(HL$2="","",History!HP51)</f>
        <v/>
      </c>
      <c r="HM150" s="11" t="str">
        <f ca="1">IF(HM$2="","",History!HQ51)</f>
        <v/>
      </c>
      <c r="HN150" s="11" t="str">
        <f ca="1">IF(HN$2="","",History!HR51)</f>
        <v/>
      </c>
      <c r="HO150" s="11" t="str">
        <f ca="1">IF(HO$2="","",History!HS51)</f>
        <v/>
      </c>
      <c r="HP150" s="11" t="str">
        <f ca="1">IF(HP$2="","",History!HT51)</f>
        <v/>
      </c>
      <c r="HQ150" s="11" t="str">
        <f ca="1">IF(HQ$2="","",History!HU51)</f>
        <v/>
      </c>
      <c r="HR150" s="11" t="str">
        <f ca="1">IF(HR$2="","",History!HV51)</f>
        <v/>
      </c>
      <c r="HS150" s="11" t="str">
        <f ca="1">IF(HS$2="","",History!HW51)</f>
        <v/>
      </c>
      <c r="HT150" s="11" t="str">
        <f ca="1">IF(HT$2="","",History!HX51)</f>
        <v/>
      </c>
      <c r="HU150" s="11" t="str">
        <f ca="1">IF(HU$2="","",History!HY51)</f>
        <v/>
      </c>
      <c r="HV150" s="11" t="str">
        <f ca="1">IF(HV$2="","",History!HZ51)</f>
        <v/>
      </c>
      <c r="HW150" s="11" t="str">
        <f ca="1">IF(HW$2="","",History!IA51)</f>
        <v/>
      </c>
      <c r="HX150" s="11" t="str">
        <f ca="1">IF(HX$2="","",History!IB51)</f>
        <v/>
      </c>
      <c r="HY150" s="11" t="str">
        <f ca="1">IF(HY$2="","",History!IC51)</f>
        <v/>
      </c>
      <c r="HZ150" s="11" t="str">
        <f ca="1">IF(HZ$2="","",History!ID51)</f>
        <v/>
      </c>
      <c r="IA150" s="11" t="str">
        <f ca="1">IF(IA$2="","",History!IE51)</f>
        <v/>
      </c>
      <c r="IB150" s="11" t="str">
        <f ca="1">IF(IB$2="","",History!IF51)</f>
        <v/>
      </c>
      <c r="IC150" s="11" t="str">
        <f ca="1">IF(IC$2="","",History!IG51)</f>
        <v/>
      </c>
      <c r="ID150" s="11" t="str">
        <f ca="1">IF(ID$2="","",History!IH51)</f>
        <v/>
      </c>
      <c r="IE150" s="11" t="str">
        <f ca="1">IF(IE$2="","",History!II51)</f>
        <v/>
      </c>
      <c r="IF150" s="11" t="str">
        <f ca="1">IF(IF$2="","",History!IJ51)</f>
        <v/>
      </c>
      <c r="IG150" s="11" t="str">
        <f ca="1">IF(IG$2="","",History!IK51)</f>
        <v/>
      </c>
      <c r="IH150" s="11" t="str">
        <f ca="1">IF(IH$2="","",History!IL51)</f>
        <v/>
      </c>
      <c r="II150" s="11" t="str">
        <f ca="1">IF(II$2="","",History!IM51)</f>
        <v/>
      </c>
      <c r="IJ150" s="11" t="str">
        <f ca="1">IF(IJ$2="","",History!IN51)</f>
        <v/>
      </c>
      <c r="IK150" s="11" t="str">
        <f ca="1">IF(IK$2="","",History!IO51)</f>
        <v/>
      </c>
      <c r="IL150" s="11" t="str">
        <f ca="1">IF(IL$2="","",History!IP51)</f>
        <v/>
      </c>
      <c r="IM150" s="11" t="str">
        <f ca="1">IF(IM$2="","",History!IQ51)</f>
        <v/>
      </c>
      <c r="IN150" s="11" t="str">
        <f ca="1">IF(IN$2="","",History!IR51)</f>
        <v/>
      </c>
      <c r="IO150" s="11" t="str">
        <f ca="1">IF(IO$2="","",History!IS51)</f>
        <v/>
      </c>
      <c r="IP150" s="11" t="str">
        <f ca="1">IF(IP$2="","",History!IT51)</f>
        <v/>
      </c>
      <c r="IQ150" s="11" t="str">
        <f ca="1">IF(IQ$2="","",History!IU51)</f>
        <v/>
      </c>
      <c r="IR150" s="11" t="str">
        <f ca="1">IF(IR$2="","",History!IV51)</f>
        <v/>
      </c>
      <c r="IS150" s="11" t="str">
        <f ca="1">IF(IS$2="","",History!IW51)</f>
        <v/>
      </c>
      <c r="IT150" s="11" t="str">
        <f ca="1">IF(IT$2="","",History!IX51)</f>
        <v/>
      </c>
      <c r="IU150" s="11" t="str">
        <f ca="1">IF(IU$2="","",History!IY51)</f>
        <v/>
      </c>
      <c r="IV150" s="11" t="str">
        <f ca="1">IF(IV$2="","",History!IZ51)</f>
        <v/>
      </c>
      <c r="IW150" s="11" t="str">
        <f ca="1">IF(IW$2="","",History!JA51)</f>
        <v/>
      </c>
      <c r="IX150" s="11" t="str">
        <f ca="1">IF(IX$2="","",History!JB51)</f>
        <v/>
      </c>
      <c r="IY150" s="11" t="str">
        <f ca="1">IF(IY$2="","",History!JC51)</f>
        <v/>
      </c>
      <c r="IZ150" s="11" t="str">
        <f ca="1">IF(IZ$2="","",History!JD51)</f>
        <v/>
      </c>
      <c r="JA150" s="11" t="str">
        <f ca="1">IF(JA$2="","",History!JE51)</f>
        <v/>
      </c>
      <c r="JB150" s="11" t="str">
        <f ca="1">IF(JB$2="","",History!JF51)</f>
        <v/>
      </c>
      <c r="JC150" s="11" t="str">
        <f ca="1">IF(JC$2="","",History!JG51)</f>
        <v/>
      </c>
      <c r="JD150" s="11" t="str">
        <f ca="1">IF(JD$2="","",History!JH51)</f>
        <v/>
      </c>
      <c r="JE150" s="11" t="str">
        <f ca="1">IF(JE$2="","",History!JI51)</f>
        <v/>
      </c>
      <c r="JF150" s="11" t="str">
        <f ca="1">IF(JF$2="","",History!JJ51)</f>
        <v/>
      </c>
      <c r="JG150" s="11" t="str">
        <f ca="1">IF(JG$2="","",History!JK51)</f>
        <v/>
      </c>
      <c r="JH150" s="11" t="str">
        <f ca="1">IF(JH$2="","",History!JL51)</f>
        <v/>
      </c>
      <c r="JI150" s="11" t="str">
        <f ca="1">IF(JI$2="","",History!JM51)</f>
        <v/>
      </c>
      <c r="JJ150" s="11" t="str">
        <f ca="1">IF(JJ$2="","",History!JN51)</f>
        <v/>
      </c>
      <c r="JK150" s="11" t="str">
        <f ca="1">IF(JK$2="","",History!JO51)</f>
        <v/>
      </c>
      <c r="JL150" s="11" t="str">
        <f ca="1">IF(JL$2="","",History!JP51)</f>
        <v/>
      </c>
      <c r="JM150" s="11" t="str">
        <f ca="1">IF(JM$2="","",History!JQ51)</f>
        <v/>
      </c>
      <c r="JN150" s="11" t="str">
        <f ca="1">IF(JN$2="","",History!JR51)</f>
        <v/>
      </c>
      <c r="JO150" s="11" t="str">
        <f ca="1">IF(JO$2="","",History!JS51)</f>
        <v/>
      </c>
      <c r="JP150" s="11" t="str">
        <f ca="1">IF(JP$2="","",History!JT51)</f>
        <v/>
      </c>
      <c r="JQ150" s="11" t="str">
        <f ca="1">IF(JQ$2="","",History!JU51)</f>
        <v/>
      </c>
      <c r="JR150" s="11" t="str">
        <f ca="1">IF(JR$2="","",History!JV51)</f>
        <v/>
      </c>
      <c r="JS150" s="11" t="str">
        <f ca="1">IF(JS$2="","",History!JW51)</f>
        <v/>
      </c>
      <c r="JT150" s="11" t="str">
        <f ca="1">IF(JT$2="","",History!JX51)</f>
        <v/>
      </c>
      <c r="JU150" s="11" t="str">
        <f ca="1">IF(JU$2="","",History!JY51)</f>
        <v/>
      </c>
      <c r="JV150" s="11" t="str">
        <f ca="1">IF(JV$2="","",History!JZ51)</f>
        <v/>
      </c>
      <c r="JW150" s="11" t="str">
        <f ca="1">IF(JW$2="","",History!KA51)</f>
        <v/>
      </c>
      <c r="JX150" s="11" t="str">
        <f ca="1">IF(JX$2="","",History!KB51)</f>
        <v/>
      </c>
      <c r="JY150" s="11" t="str">
        <f ca="1">IF(JY$2="","",History!KC51)</f>
        <v/>
      </c>
      <c r="JZ150" s="11" t="str">
        <f ca="1">IF(JZ$2="","",History!KD51)</f>
        <v/>
      </c>
      <c r="KA150" s="11" t="str">
        <f ca="1">IF(KA$2="","",History!KE51)</f>
        <v/>
      </c>
      <c r="KB150" s="11" t="str">
        <f ca="1">IF(KB$2="","",History!KF51)</f>
        <v/>
      </c>
    </row>
    <row r="151" spans="1:288" ht="13">
      <c r="A151" s="2" t="s">
        <v>193</v>
      </c>
      <c r="D151" s="11">
        <f ca="1">IF(D$2="","",History!H52)</f>
        <v>4670.29</v>
      </c>
      <c r="E151" s="11">
        <f ca="1">IF(E$2="","",History!I52)</f>
        <v>4713.07</v>
      </c>
      <c r="F151" s="11">
        <f ca="1">IF(F$2="","",History!J52)</f>
        <v>4726.3500000000004</v>
      </c>
      <c r="G151" s="11">
        <f ca="1">IF(G$2="","",History!K52)</f>
        <v>4659.03</v>
      </c>
      <c r="H151" s="11">
        <f ca="1">IF(H$2="","",History!L52)</f>
        <v>4662.8500000000004</v>
      </c>
      <c r="I151" s="11">
        <f ca="1">IF(I$2="","",History!M52)</f>
        <v>4577.1099999999997</v>
      </c>
      <c r="J151" s="11">
        <f ca="1">IF(J$2="","",History!N52)</f>
        <v>4532.76</v>
      </c>
      <c r="K151" s="11">
        <f ca="1">IF(K$2="","",History!O52)</f>
        <v>4482.7299999999996</v>
      </c>
      <c r="L151" s="11">
        <f ca="1">IF(L$2="","",History!P52)</f>
        <v>4397.9399999999996</v>
      </c>
      <c r="M151" s="11">
        <f ca="1">IF(M$2="","",History!Q52)</f>
        <v>4410.13</v>
      </c>
      <c r="N151" s="11">
        <f ca="1">IF(N$2="","",History!R52)</f>
        <v>4356.45</v>
      </c>
      <c r="O151" s="11">
        <f ca="1">IF(O$2="","",History!S52)</f>
        <v>4349.93</v>
      </c>
      <c r="P151" s="11">
        <f ca="1">IF(P$2="","",History!T52)</f>
        <v>4326.51</v>
      </c>
      <c r="Q151" s="11">
        <f ca="1">IF(Q$2="","",History!U52)</f>
        <v>4431.8500000000004</v>
      </c>
      <c r="R151" s="11">
        <f ca="1">IF(R$2="","",History!V52)</f>
        <v>4515.55</v>
      </c>
      <c r="S151" s="11">
        <f ca="1">IF(S$2="","",History!W52)</f>
        <v>4546.54</v>
      </c>
      <c r="T151" s="11">
        <f ca="1">IF(T$2="","",History!X52)</f>
        <v>4589.38</v>
      </c>
      <c r="U151" s="11">
        <f ca="1">IF(U$2="","",History!Y52)</f>
        <v>4477.4399999999996</v>
      </c>
      <c r="V151" s="11">
        <f ca="1">IF(V$2="","",History!Z52)</f>
        <v>4500.53</v>
      </c>
      <c r="W151" s="11">
        <f ca="1">IF(W$2="","",History!AA52)</f>
        <v>4483.87</v>
      </c>
      <c r="X151" s="11">
        <f ca="1">IF(X$2="","",History!AB52)</f>
        <v>4521.54</v>
      </c>
      <c r="Y151" s="11">
        <f ca="1">IF(Y$2="","",History!AC52)</f>
        <v>4587.18</v>
      </c>
      <c r="Z151" s="11">
        <f ca="1">IF(Z$2="","",History!AD52)</f>
        <v>4504.08</v>
      </c>
      <c r="AA151" s="11">
        <f ca="1">IF(AA$2="","",History!AE52)</f>
        <v>4418.6400000000003</v>
      </c>
      <c r="AB151" s="11">
        <f ca="1">IF(AB$2="","",History!AF52)</f>
        <v>4401.67</v>
      </c>
      <c r="AC151" s="11">
        <f ca="1">IF(AC$2="","",History!AG52)</f>
        <v>4471.07</v>
      </c>
      <c r="AD151" s="11">
        <f ca="1">IF(AD$2="","",History!AH52)</f>
        <v>4475.01</v>
      </c>
      <c r="AE151" s="11">
        <f ca="1">IF(AE$2="","",History!AI52)</f>
        <v>4380.26</v>
      </c>
      <c r="AF151" s="11">
        <f ca="1">IF(AF$2="","",History!AJ52)</f>
        <v>4348.87</v>
      </c>
      <c r="AG151" s="11">
        <f ca="1">IF(AG$2="","",History!AK52)</f>
        <v>4304.76</v>
      </c>
      <c r="AH151" s="11">
        <f ca="1">IF(AH$2="","",History!AL52)</f>
        <v>4225.5</v>
      </c>
      <c r="AI151" s="11">
        <f ca="1">IF(AI$2="","",History!AM52)</f>
        <v>4288.7</v>
      </c>
      <c r="AJ151" s="11">
        <f ca="1">IF(AJ$2="","",History!AN52)</f>
        <v>4384.6499999999996</v>
      </c>
      <c r="AK151" s="11">
        <f ca="1">IF(AK$2="","",History!AO52)</f>
        <v>4373.9399999999996</v>
      </c>
      <c r="AL151" s="11">
        <f ca="1">IF(AL$2="","",History!AP52)</f>
        <v>4306.26</v>
      </c>
      <c r="AM151" s="11">
        <f ca="1">IF(AM$2="","",History!AQ52)</f>
        <v>4386.54</v>
      </c>
      <c r="AN151" s="11">
        <f ca="1">IF(AN$2="","",History!AR52)</f>
        <v>4363.49</v>
      </c>
      <c r="AO151" s="11">
        <f ca="1">IF(AO$2="","",History!AS52)</f>
        <v>4328.87</v>
      </c>
      <c r="AP151" s="11">
        <f ca="1">IF(AP$2="","",History!AT52)</f>
        <v>4201.09</v>
      </c>
      <c r="AQ151" s="11">
        <f ca="1">IF(AQ$2="","",History!AU52)</f>
        <v>4170.7</v>
      </c>
      <c r="AR151" s="11">
        <f ca="1">IF(AR$2="","",History!AV52)</f>
        <v>4277.88</v>
      </c>
      <c r="AS151" s="11">
        <f ca="1">IF(AS$2="","",History!AW52)</f>
        <v>4259.5200000000004</v>
      </c>
      <c r="AT151" s="11">
        <f ca="1">IF(AT$2="","",History!AX52)</f>
        <v>4204.3100000000004</v>
      </c>
      <c r="AU151" s="11">
        <f ca="1">IF(AU$2="","",History!AY52)</f>
        <v>4173.1099999999997</v>
      </c>
      <c r="AV151" s="11">
        <f ca="1">IF(AV$2="","",History!AZ52)</f>
        <v>4262.45</v>
      </c>
      <c r="AW151" s="11">
        <f ca="1">IF(AW$2="","",History!BA52)</f>
        <v>4357.8599999999997</v>
      </c>
      <c r="AX151" s="11">
        <f ca="1">IF(AX$2="","",History!BB52)</f>
        <v>4411.67</v>
      </c>
      <c r="AY151" s="11">
        <f ca="1">IF(AY$2="","",History!BC52)</f>
        <v>4463.12</v>
      </c>
      <c r="AZ151" s="11">
        <f ca="1">IF(AZ$2="","",History!BD52)</f>
        <v>4461.18</v>
      </c>
      <c r="BA151" s="11">
        <f ca="1">IF(BA$2="","",History!BE52)</f>
        <v>4511.6099999999997</v>
      </c>
      <c r="BB151" s="11">
        <f ca="1">IF(BB$2="","",History!BF52)</f>
        <v>4456.24</v>
      </c>
      <c r="BC151" s="11">
        <f ca="1">IF(BC$2="","",History!BG52)</f>
        <v>4520.16</v>
      </c>
      <c r="BD151" s="11">
        <f ca="1">IF(BD$2="","",History!BH52)</f>
        <v>4543.0600000000004</v>
      </c>
      <c r="BE151" s="11">
        <f ca="1">IF(BE$2="","",History!BI52)</f>
        <v>4575.5200000000004</v>
      </c>
      <c r="BF151" s="11">
        <f ca="1">IF(BF$2="","",History!BJ52)</f>
        <v>4631.6000000000004</v>
      </c>
      <c r="BG151" s="11">
        <f ca="1">IF(BG$2="","",History!BK52)</f>
        <v>4602.45</v>
      </c>
      <c r="BH151" s="11">
        <f ca="1">IF(BH$2="","",History!BL52)</f>
        <v>4530.41</v>
      </c>
      <c r="BI151" s="11">
        <f ca="1">IF(BI$2="","",History!BM52)</f>
        <v>4545.8599999999997</v>
      </c>
      <c r="BJ151" s="11">
        <f ca="1">IF(BJ$2="","",History!BN52)</f>
        <v>4582.6400000000003</v>
      </c>
      <c r="BK151" s="11">
        <f ca="1">IF(BK$2="","",History!BO52)</f>
        <v>4525.12</v>
      </c>
      <c r="BL151" s="11">
        <f ca="1">IF(BL$2="","",History!BP52)</f>
        <v>4481.1499999999996</v>
      </c>
      <c r="BM151" s="11">
        <f ca="1">IF(BM$2="","",History!BQ52)</f>
        <v>4500.21</v>
      </c>
      <c r="BN151" s="11">
        <f ca="1">IF(BN$2="","",History!BR52)</f>
        <v>4488.28</v>
      </c>
      <c r="BO151" s="11">
        <f ca="1">IF(BO$2="","",History!BS52)</f>
        <v>4412.53</v>
      </c>
      <c r="BP151" s="11">
        <f ca="1">IF(BP$2="","",History!BT52)</f>
        <v>4397.45</v>
      </c>
      <c r="BQ151" s="11">
        <f ca="1">IF(BQ$2="","",History!BU52)</f>
        <v>4446.59</v>
      </c>
      <c r="BR151" s="11">
        <f ca="1">IF(BR$2="","",History!BV52)</f>
        <v>4392.59</v>
      </c>
      <c r="BS151" s="11">
        <f ca="1">IF(BS$2="","",History!BW52)</f>
        <v>4391.6899999999996</v>
      </c>
      <c r="BT151" s="11">
        <f ca="1">IF(BT$2="","",History!BX52)</f>
        <v>4462.21</v>
      </c>
      <c r="BU151" s="11">
        <f ca="1">IF(BU$2="","",History!BY52)</f>
        <v>4459.45</v>
      </c>
      <c r="BV151" s="11">
        <f ca="1">IF(BV$2="","",History!BZ52)</f>
        <v>4393.66</v>
      </c>
      <c r="BW151" s="11">
        <f ca="1">IF(BW$2="","",History!CA52)</f>
        <v>4271.78</v>
      </c>
      <c r="BX151" s="11">
        <f ca="1">IF(BX$2="","",History!CB52)</f>
        <v>4296.12</v>
      </c>
      <c r="BY151" s="11">
        <f ca="1">IF(BY$2="","",History!CC52)</f>
        <v>4175.2</v>
      </c>
      <c r="BZ151" s="11">
        <f ca="1">IF(BZ$2="","",History!CD52)</f>
        <v>4183.96</v>
      </c>
      <c r="CA151" s="11">
        <f ca="1">IF(CA$2="","",History!CE52)</f>
        <v>4287.5</v>
      </c>
      <c r="CB151" s="11">
        <f ca="1">IF(CB$2="","",History!CF52)</f>
        <v>4131.93</v>
      </c>
      <c r="CC151" s="11">
        <f ca="1">IF(CC$2="","",History!CG52)</f>
        <v>4155.38</v>
      </c>
      <c r="CD151" s="11">
        <f ca="1">IF(CD$2="","",History!CH52)</f>
        <v>4175.4799999999996</v>
      </c>
      <c r="CE151" s="11">
        <f ca="1">IF(CE$2="","",History!CI52)</f>
        <v>4300.17</v>
      </c>
      <c r="CF151" s="11" t="str">
        <f ca="1">IF(CF$2="","",History!CJ52)</f>
        <v/>
      </c>
      <c r="CG151" s="11" t="str">
        <f ca="1">IF(CG$2="","",History!CK52)</f>
        <v/>
      </c>
      <c r="CH151" s="11" t="str">
        <f ca="1">IF(CH$2="","",History!CL52)</f>
        <v/>
      </c>
      <c r="CI151" s="11" t="str">
        <f ca="1">IF(CI$2="","",History!CM52)</f>
        <v/>
      </c>
      <c r="CJ151" s="11" t="str">
        <f ca="1">IF(CJ$2="","",History!CN52)</f>
        <v/>
      </c>
      <c r="CK151" s="11" t="str">
        <f ca="1">IF(CK$2="","",History!CO52)</f>
        <v/>
      </c>
      <c r="CL151" s="11" t="str">
        <f ca="1">IF(CL$2="","",History!CP52)</f>
        <v/>
      </c>
      <c r="CM151" s="11" t="str">
        <f ca="1">IF(CM$2="","",History!CQ52)</f>
        <v/>
      </c>
      <c r="CN151" s="11" t="str">
        <f ca="1">IF(CN$2="","",History!CR52)</f>
        <v/>
      </c>
      <c r="CO151" s="11" t="str">
        <f ca="1">IF(CO$2="","",History!CS52)</f>
        <v/>
      </c>
      <c r="CP151" s="11" t="str">
        <f ca="1">IF(CP$2="","",History!CT52)</f>
        <v/>
      </c>
      <c r="CQ151" s="11" t="str">
        <f ca="1">IF(CQ$2="","",History!CU52)</f>
        <v/>
      </c>
      <c r="CR151" s="11" t="str">
        <f ca="1">IF(CR$2="","",History!CV52)</f>
        <v/>
      </c>
      <c r="CS151" s="11" t="str">
        <f ca="1">IF(CS$2="","",History!CW52)</f>
        <v/>
      </c>
      <c r="CT151" s="11" t="str">
        <f ca="1">IF(CT$2="","",History!CX52)</f>
        <v/>
      </c>
      <c r="CU151" s="11" t="str">
        <f ca="1">IF(CU$2="","",History!CY52)</f>
        <v/>
      </c>
      <c r="CV151" s="11" t="str">
        <f ca="1">IF(CV$2="","",History!CZ52)</f>
        <v/>
      </c>
      <c r="CW151" s="11" t="str">
        <f ca="1">IF(CW$2="","",History!DA52)</f>
        <v/>
      </c>
      <c r="CX151" s="11" t="str">
        <f ca="1">IF(CX$2="","",History!DB52)</f>
        <v/>
      </c>
      <c r="CY151" s="11" t="str">
        <f ca="1">IF(CY$2="","",History!DC52)</f>
        <v/>
      </c>
      <c r="CZ151" s="11" t="str">
        <f ca="1">IF(CZ$2="","",History!DD52)</f>
        <v/>
      </c>
      <c r="DA151" s="11" t="str">
        <f ca="1">IF(DA$2="","",History!DE52)</f>
        <v/>
      </c>
      <c r="DB151" s="11" t="str">
        <f ca="1">IF(DB$2="","",History!DF52)</f>
        <v/>
      </c>
      <c r="DC151" s="11" t="str">
        <f ca="1">IF(DC$2="","",History!DG52)</f>
        <v/>
      </c>
      <c r="DD151" s="11" t="str">
        <f ca="1">IF(DD$2="","",History!DH52)</f>
        <v/>
      </c>
      <c r="DE151" s="11" t="str">
        <f ca="1">IF(DE$2="","",History!DI52)</f>
        <v/>
      </c>
      <c r="DF151" s="11" t="str">
        <f ca="1">IF(DF$2="","",History!DJ52)</f>
        <v/>
      </c>
      <c r="DG151" s="11" t="str">
        <f ca="1">IF(DG$2="","",History!DK52)</f>
        <v/>
      </c>
      <c r="DH151" s="11" t="str">
        <f ca="1">IF(DH$2="","",History!DL52)</f>
        <v/>
      </c>
      <c r="DI151" s="11" t="str">
        <f ca="1">IF(DI$2="","",History!DM52)</f>
        <v/>
      </c>
      <c r="DJ151" s="11" t="str">
        <f ca="1">IF(DJ$2="","",History!DN52)</f>
        <v/>
      </c>
      <c r="DK151" s="11" t="str">
        <f ca="1">IF(DK$2="","",History!DO52)</f>
        <v/>
      </c>
      <c r="DL151" s="11" t="str">
        <f ca="1">IF(DL$2="","",History!DP52)</f>
        <v/>
      </c>
      <c r="DM151" s="11" t="str">
        <f ca="1">IF(DM$2="","",History!DQ52)</f>
        <v/>
      </c>
      <c r="DN151" s="11" t="str">
        <f ca="1">IF(DN$2="","",History!DR52)</f>
        <v/>
      </c>
      <c r="DO151" s="11" t="str">
        <f ca="1">IF(DO$2="","",History!DS52)</f>
        <v/>
      </c>
      <c r="DP151" s="11" t="str">
        <f ca="1">IF(DP$2="","",History!DT52)</f>
        <v/>
      </c>
      <c r="DQ151" s="11" t="str">
        <f ca="1">IF(DQ$2="","",History!DU52)</f>
        <v/>
      </c>
      <c r="DR151" s="11" t="str">
        <f ca="1">IF(DR$2="","",History!DV52)</f>
        <v/>
      </c>
      <c r="DS151" s="11" t="str">
        <f ca="1">IF(DS$2="","",History!DW52)</f>
        <v/>
      </c>
      <c r="DT151" s="11" t="str">
        <f ca="1">IF(DT$2="","",History!DX52)</f>
        <v/>
      </c>
      <c r="DU151" s="11" t="str">
        <f ca="1">IF(DU$2="","",History!DY52)</f>
        <v/>
      </c>
      <c r="DV151" s="11" t="str">
        <f ca="1">IF(DV$2="","",History!DZ52)</f>
        <v/>
      </c>
      <c r="DW151" s="11" t="str">
        <f ca="1">IF(DW$2="","",History!EA52)</f>
        <v/>
      </c>
      <c r="DX151" s="11" t="str">
        <f ca="1">IF(DX$2="","",History!EB52)</f>
        <v/>
      </c>
      <c r="DY151" s="11" t="str">
        <f ca="1">IF(DY$2="","",History!EC52)</f>
        <v/>
      </c>
      <c r="DZ151" s="11" t="str">
        <f ca="1">IF(DZ$2="","",History!ED52)</f>
        <v/>
      </c>
      <c r="EA151" s="11" t="str">
        <f ca="1">IF(EA$2="","",History!EE52)</f>
        <v/>
      </c>
      <c r="EB151" s="11" t="str">
        <f ca="1">IF(EB$2="","",History!EF52)</f>
        <v/>
      </c>
      <c r="EC151" s="11" t="str">
        <f ca="1">IF(EC$2="","",History!EG52)</f>
        <v/>
      </c>
      <c r="ED151" s="11" t="str">
        <f ca="1">IF(ED$2="","",History!EH52)</f>
        <v/>
      </c>
      <c r="EE151" s="11" t="str">
        <f ca="1">IF(EE$2="","",History!EI52)</f>
        <v/>
      </c>
      <c r="EF151" s="11" t="str">
        <f ca="1">IF(EF$2="","",History!EJ52)</f>
        <v/>
      </c>
      <c r="EG151" s="11" t="str">
        <f ca="1">IF(EG$2="","",History!EK52)</f>
        <v/>
      </c>
      <c r="EH151" s="11" t="str">
        <f ca="1">IF(EH$2="","",History!EL52)</f>
        <v/>
      </c>
      <c r="EI151" s="11" t="str">
        <f ca="1">IF(EI$2="","",History!EM52)</f>
        <v/>
      </c>
      <c r="EJ151" s="11" t="str">
        <f ca="1">IF(EJ$2="","",History!EN52)</f>
        <v/>
      </c>
      <c r="EK151" s="11" t="str">
        <f ca="1">IF(EK$2="","",History!EO52)</f>
        <v/>
      </c>
      <c r="EL151" s="11" t="str">
        <f ca="1">IF(EL$2="","",History!EP52)</f>
        <v/>
      </c>
      <c r="EM151" s="11" t="str">
        <f ca="1">IF(EM$2="","",History!EQ52)</f>
        <v/>
      </c>
      <c r="EN151" s="11" t="str">
        <f ca="1">IF(EN$2="","",History!ER52)</f>
        <v/>
      </c>
      <c r="EO151" s="11" t="str">
        <f ca="1">IF(EO$2="","",History!ES52)</f>
        <v/>
      </c>
      <c r="EP151" s="11" t="str">
        <f ca="1">IF(EP$2="","",History!ET52)</f>
        <v/>
      </c>
      <c r="EQ151" s="11" t="str">
        <f ca="1">IF(EQ$2="","",History!EU52)</f>
        <v/>
      </c>
      <c r="ER151" s="11" t="str">
        <f ca="1">IF(ER$2="","",History!EV52)</f>
        <v/>
      </c>
      <c r="ES151" s="11" t="str">
        <f ca="1">IF(ES$2="","",History!EW52)</f>
        <v/>
      </c>
      <c r="ET151" s="11" t="str">
        <f ca="1">IF(ET$2="","",History!EX52)</f>
        <v/>
      </c>
      <c r="EU151" s="11" t="str">
        <f ca="1">IF(EU$2="","",History!EY52)</f>
        <v/>
      </c>
      <c r="EV151" s="11" t="str">
        <f ca="1">IF(EV$2="","",History!EZ52)</f>
        <v/>
      </c>
      <c r="EW151" s="11" t="str">
        <f ca="1">IF(EW$2="","",History!FA52)</f>
        <v/>
      </c>
      <c r="EX151" s="11" t="str">
        <f ca="1">IF(EX$2="","",History!FB52)</f>
        <v/>
      </c>
      <c r="EY151" s="11" t="str">
        <f ca="1">IF(EY$2="","",History!FC52)</f>
        <v/>
      </c>
      <c r="EZ151" s="11" t="str">
        <f ca="1">IF(EZ$2="","",History!FD52)</f>
        <v/>
      </c>
      <c r="FA151" s="11" t="str">
        <f ca="1">IF(FA$2="","",History!FE52)</f>
        <v/>
      </c>
      <c r="FB151" s="11" t="str">
        <f ca="1">IF(FB$2="","",History!FF52)</f>
        <v/>
      </c>
      <c r="FC151" s="11" t="str">
        <f ca="1">IF(FC$2="","",History!FG52)</f>
        <v/>
      </c>
      <c r="FD151" s="11" t="str">
        <f ca="1">IF(FD$2="","",History!FH52)</f>
        <v/>
      </c>
      <c r="FE151" s="11" t="str">
        <f ca="1">IF(FE$2="","",History!FI52)</f>
        <v/>
      </c>
      <c r="FF151" s="11" t="str">
        <f ca="1">IF(FF$2="","",History!FJ52)</f>
        <v/>
      </c>
      <c r="FG151" s="11" t="str">
        <f ca="1">IF(FG$2="","",History!FK52)</f>
        <v/>
      </c>
      <c r="FH151" s="11" t="str">
        <f ca="1">IF(FH$2="","",History!FL52)</f>
        <v/>
      </c>
      <c r="FI151" s="11" t="str">
        <f ca="1">IF(FI$2="","",History!FM52)</f>
        <v/>
      </c>
      <c r="FJ151" s="11" t="str">
        <f ca="1">IF(FJ$2="","",History!FN52)</f>
        <v/>
      </c>
      <c r="FK151" s="11" t="str">
        <f ca="1">IF(FK$2="","",History!FO52)</f>
        <v/>
      </c>
      <c r="FL151" s="11" t="str">
        <f ca="1">IF(FL$2="","",History!FP52)</f>
        <v/>
      </c>
      <c r="FM151" s="11" t="str">
        <f ca="1">IF(FM$2="","",History!FQ52)</f>
        <v/>
      </c>
      <c r="FN151" s="11" t="str">
        <f ca="1">IF(FN$2="","",History!FR52)</f>
        <v/>
      </c>
      <c r="FO151" s="11" t="str">
        <f ca="1">IF(FO$2="","",History!FS52)</f>
        <v/>
      </c>
      <c r="FP151" s="11" t="str">
        <f ca="1">IF(FP$2="","",History!FT52)</f>
        <v/>
      </c>
      <c r="FQ151" s="11" t="str">
        <f ca="1">IF(FQ$2="","",History!FU52)</f>
        <v/>
      </c>
      <c r="FR151" s="11" t="str">
        <f ca="1">IF(FR$2="","",History!FV52)</f>
        <v/>
      </c>
      <c r="FS151" s="11" t="str">
        <f ca="1">IF(FS$2="","",History!FW52)</f>
        <v/>
      </c>
      <c r="FT151" s="11" t="str">
        <f ca="1">IF(FT$2="","",History!FX52)</f>
        <v/>
      </c>
      <c r="FU151" s="11" t="str">
        <f ca="1">IF(FU$2="","",History!FY52)</f>
        <v/>
      </c>
      <c r="FV151" s="11" t="str">
        <f ca="1">IF(FV$2="","",History!FZ52)</f>
        <v/>
      </c>
      <c r="FW151" s="11" t="str">
        <f ca="1">IF(FW$2="","",History!GA52)</f>
        <v/>
      </c>
      <c r="FX151" s="11" t="str">
        <f ca="1">IF(FX$2="","",History!GB52)</f>
        <v/>
      </c>
      <c r="FY151" s="11" t="str">
        <f ca="1">IF(FY$2="","",History!GC52)</f>
        <v/>
      </c>
      <c r="FZ151" s="11" t="str">
        <f ca="1">IF(FZ$2="","",History!GD52)</f>
        <v/>
      </c>
      <c r="GA151" s="11" t="str">
        <f ca="1">IF(GA$2="","",History!GE52)</f>
        <v/>
      </c>
      <c r="GB151" s="11" t="str">
        <f ca="1">IF(GB$2="","",History!GF52)</f>
        <v/>
      </c>
      <c r="GC151" s="11" t="str">
        <f ca="1">IF(GC$2="","",History!GG52)</f>
        <v/>
      </c>
      <c r="GD151" s="11" t="str">
        <f ca="1">IF(GD$2="","",History!GH52)</f>
        <v/>
      </c>
      <c r="GE151" s="11" t="str">
        <f ca="1">IF(GE$2="","",History!GI52)</f>
        <v/>
      </c>
      <c r="GF151" s="11" t="str">
        <f ca="1">IF(GF$2="","",History!GJ52)</f>
        <v/>
      </c>
      <c r="GG151" s="11" t="str">
        <f ca="1">IF(GG$2="","",History!GK52)</f>
        <v/>
      </c>
      <c r="GH151" s="11" t="str">
        <f ca="1">IF(GH$2="","",History!GL52)</f>
        <v/>
      </c>
      <c r="GI151" s="11" t="str">
        <f ca="1">IF(GI$2="","",History!GM52)</f>
        <v/>
      </c>
      <c r="GJ151" s="11" t="str">
        <f ca="1">IF(GJ$2="","",History!GN52)</f>
        <v/>
      </c>
      <c r="GK151" s="11" t="str">
        <f ca="1">IF(GK$2="","",History!GO52)</f>
        <v/>
      </c>
      <c r="GL151" s="11" t="str">
        <f ca="1">IF(GL$2="","",History!GP52)</f>
        <v/>
      </c>
      <c r="GM151" s="11" t="str">
        <f ca="1">IF(GM$2="","",History!GQ52)</f>
        <v/>
      </c>
      <c r="GN151" s="11" t="str">
        <f ca="1">IF(GN$2="","",History!GR52)</f>
        <v/>
      </c>
      <c r="GO151" s="11" t="str">
        <f ca="1">IF(GO$2="","",History!GS52)</f>
        <v/>
      </c>
      <c r="GP151" s="11" t="str">
        <f ca="1">IF(GP$2="","",History!GT52)</f>
        <v/>
      </c>
      <c r="GQ151" s="11" t="str">
        <f ca="1">IF(GQ$2="","",History!GU52)</f>
        <v/>
      </c>
      <c r="GR151" s="11" t="str">
        <f ca="1">IF(GR$2="","",History!GV52)</f>
        <v/>
      </c>
      <c r="GS151" s="11" t="str">
        <f ca="1">IF(GS$2="","",History!GW52)</f>
        <v/>
      </c>
      <c r="GT151" s="11" t="str">
        <f ca="1">IF(GT$2="","",History!GX52)</f>
        <v/>
      </c>
      <c r="GU151" s="11" t="str">
        <f ca="1">IF(GU$2="","",History!GY52)</f>
        <v/>
      </c>
      <c r="GV151" s="11" t="str">
        <f ca="1">IF(GV$2="","",History!GZ52)</f>
        <v/>
      </c>
      <c r="GW151" s="11" t="str">
        <f ca="1">IF(GW$2="","",History!HA52)</f>
        <v/>
      </c>
      <c r="GX151" s="11" t="str">
        <f ca="1">IF(GX$2="","",History!HB52)</f>
        <v/>
      </c>
      <c r="GY151" s="11" t="str">
        <f ca="1">IF(GY$2="","",History!HC52)</f>
        <v/>
      </c>
      <c r="GZ151" s="11" t="str">
        <f ca="1">IF(GZ$2="","",History!HD52)</f>
        <v/>
      </c>
      <c r="HA151" s="11" t="str">
        <f ca="1">IF(HA$2="","",History!HE52)</f>
        <v/>
      </c>
      <c r="HB151" s="11" t="str">
        <f ca="1">IF(HB$2="","",History!HF52)</f>
        <v/>
      </c>
      <c r="HC151" s="11" t="str">
        <f ca="1">IF(HC$2="","",History!HG52)</f>
        <v/>
      </c>
      <c r="HD151" s="11" t="str">
        <f ca="1">IF(HD$2="","",History!HH52)</f>
        <v/>
      </c>
      <c r="HE151" s="11" t="str">
        <f ca="1">IF(HE$2="","",History!HI52)</f>
        <v/>
      </c>
      <c r="HF151" s="11" t="str">
        <f ca="1">IF(HF$2="","",History!HJ52)</f>
        <v/>
      </c>
      <c r="HG151" s="11" t="str">
        <f ca="1">IF(HG$2="","",History!HK52)</f>
        <v/>
      </c>
      <c r="HH151" s="11" t="str">
        <f ca="1">IF(HH$2="","",History!HL52)</f>
        <v/>
      </c>
      <c r="HI151" s="11" t="str">
        <f ca="1">IF(HI$2="","",History!HM52)</f>
        <v/>
      </c>
      <c r="HJ151" s="11" t="str">
        <f ca="1">IF(HJ$2="","",History!HN52)</f>
        <v/>
      </c>
      <c r="HK151" s="11" t="str">
        <f ca="1">IF(HK$2="","",History!HO52)</f>
        <v/>
      </c>
      <c r="HL151" s="11" t="str">
        <f ca="1">IF(HL$2="","",History!HP52)</f>
        <v/>
      </c>
      <c r="HM151" s="11" t="str">
        <f ca="1">IF(HM$2="","",History!HQ52)</f>
        <v/>
      </c>
      <c r="HN151" s="11" t="str">
        <f ca="1">IF(HN$2="","",History!HR52)</f>
        <v/>
      </c>
      <c r="HO151" s="11" t="str">
        <f ca="1">IF(HO$2="","",History!HS52)</f>
        <v/>
      </c>
      <c r="HP151" s="11" t="str">
        <f ca="1">IF(HP$2="","",History!HT52)</f>
        <v/>
      </c>
      <c r="HQ151" s="11" t="str">
        <f ca="1">IF(HQ$2="","",History!HU52)</f>
        <v/>
      </c>
      <c r="HR151" s="11" t="str">
        <f ca="1">IF(HR$2="","",History!HV52)</f>
        <v/>
      </c>
      <c r="HS151" s="11" t="str">
        <f ca="1">IF(HS$2="","",History!HW52)</f>
        <v/>
      </c>
      <c r="HT151" s="11" t="str">
        <f ca="1">IF(HT$2="","",History!HX52)</f>
        <v/>
      </c>
      <c r="HU151" s="11" t="str">
        <f ca="1">IF(HU$2="","",History!HY52)</f>
        <v/>
      </c>
      <c r="HV151" s="11" t="str">
        <f ca="1">IF(HV$2="","",History!HZ52)</f>
        <v/>
      </c>
      <c r="HW151" s="11" t="str">
        <f ca="1">IF(HW$2="","",History!IA52)</f>
        <v/>
      </c>
      <c r="HX151" s="11" t="str">
        <f ca="1">IF(HX$2="","",History!IB52)</f>
        <v/>
      </c>
      <c r="HY151" s="11" t="str">
        <f ca="1">IF(HY$2="","",History!IC52)</f>
        <v/>
      </c>
      <c r="HZ151" s="11" t="str">
        <f ca="1">IF(HZ$2="","",History!ID52)</f>
        <v/>
      </c>
      <c r="IA151" s="11" t="str">
        <f ca="1">IF(IA$2="","",History!IE52)</f>
        <v/>
      </c>
      <c r="IB151" s="11" t="str">
        <f ca="1">IF(IB$2="","",History!IF52)</f>
        <v/>
      </c>
      <c r="IC151" s="11" t="str">
        <f ca="1">IF(IC$2="","",History!IG52)</f>
        <v/>
      </c>
      <c r="ID151" s="11" t="str">
        <f ca="1">IF(ID$2="","",History!IH52)</f>
        <v/>
      </c>
      <c r="IE151" s="11" t="str">
        <f ca="1">IF(IE$2="","",History!II52)</f>
        <v/>
      </c>
      <c r="IF151" s="11" t="str">
        <f ca="1">IF(IF$2="","",History!IJ52)</f>
        <v/>
      </c>
      <c r="IG151" s="11" t="str">
        <f ca="1">IF(IG$2="","",History!IK52)</f>
        <v/>
      </c>
      <c r="IH151" s="11" t="str">
        <f ca="1">IF(IH$2="","",History!IL52)</f>
        <v/>
      </c>
      <c r="II151" s="11" t="str">
        <f ca="1">IF(II$2="","",History!IM52)</f>
        <v/>
      </c>
      <c r="IJ151" s="11" t="str">
        <f ca="1">IF(IJ$2="","",History!IN52)</f>
        <v/>
      </c>
      <c r="IK151" s="11" t="str">
        <f ca="1">IF(IK$2="","",History!IO52)</f>
        <v/>
      </c>
      <c r="IL151" s="11" t="str">
        <f ca="1">IF(IL$2="","",History!IP52)</f>
        <v/>
      </c>
      <c r="IM151" s="11" t="str">
        <f ca="1">IF(IM$2="","",History!IQ52)</f>
        <v/>
      </c>
      <c r="IN151" s="11" t="str">
        <f ca="1">IF(IN$2="","",History!IR52)</f>
        <v/>
      </c>
      <c r="IO151" s="11" t="str">
        <f ca="1">IF(IO$2="","",History!IS52)</f>
        <v/>
      </c>
      <c r="IP151" s="11" t="str">
        <f ca="1">IF(IP$2="","",History!IT52)</f>
        <v/>
      </c>
      <c r="IQ151" s="11" t="str">
        <f ca="1">IF(IQ$2="","",History!IU52)</f>
        <v/>
      </c>
      <c r="IR151" s="11" t="str">
        <f ca="1">IF(IR$2="","",History!IV52)</f>
        <v/>
      </c>
      <c r="IS151" s="11" t="str">
        <f ca="1">IF(IS$2="","",History!IW52)</f>
        <v/>
      </c>
      <c r="IT151" s="11" t="str">
        <f ca="1">IF(IT$2="","",History!IX52)</f>
        <v/>
      </c>
      <c r="IU151" s="11" t="str">
        <f ca="1">IF(IU$2="","",History!IY52)</f>
        <v/>
      </c>
      <c r="IV151" s="11" t="str">
        <f ca="1">IF(IV$2="","",History!IZ52)</f>
        <v/>
      </c>
      <c r="IW151" s="11" t="str">
        <f ca="1">IF(IW$2="","",History!JA52)</f>
        <v/>
      </c>
      <c r="IX151" s="11" t="str">
        <f ca="1">IF(IX$2="","",History!JB52)</f>
        <v/>
      </c>
      <c r="IY151" s="11" t="str">
        <f ca="1">IF(IY$2="","",History!JC52)</f>
        <v/>
      </c>
      <c r="IZ151" s="11" t="str">
        <f ca="1">IF(IZ$2="","",History!JD52)</f>
        <v/>
      </c>
      <c r="JA151" s="11" t="str">
        <f ca="1">IF(JA$2="","",History!JE52)</f>
        <v/>
      </c>
      <c r="JB151" s="11" t="str">
        <f ca="1">IF(JB$2="","",History!JF52)</f>
        <v/>
      </c>
      <c r="JC151" s="11" t="str">
        <f ca="1">IF(JC$2="","",History!JG52)</f>
        <v/>
      </c>
      <c r="JD151" s="11" t="str">
        <f ca="1">IF(JD$2="","",History!JH52)</f>
        <v/>
      </c>
      <c r="JE151" s="11" t="str">
        <f ca="1">IF(JE$2="","",History!JI52)</f>
        <v/>
      </c>
      <c r="JF151" s="11" t="str">
        <f ca="1">IF(JF$2="","",History!JJ52)</f>
        <v/>
      </c>
      <c r="JG151" s="11" t="str">
        <f ca="1">IF(JG$2="","",History!JK52)</f>
        <v/>
      </c>
      <c r="JH151" s="11" t="str">
        <f ca="1">IF(JH$2="","",History!JL52)</f>
        <v/>
      </c>
      <c r="JI151" s="11" t="str">
        <f ca="1">IF(JI$2="","",History!JM52)</f>
        <v/>
      </c>
      <c r="JJ151" s="11" t="str">
        <f ca="1">IF(JJ$2="","",History!JN52)</f>
        <v/>
      </c>
      <c r="JK151" s="11" t="str">
        <f ca="1">IF(JK$2="","",History!JO52)</f>
        <v/>
      </c>
      <c r="JL151" s="11" t="str">
        <f ca="1">IF(JL$2="","",History!JP52)</f>
        <v/>
      </c>
      <c r="JM151" s="11" t="str">
        <f ca="1">IF(JM$2="","",History!JQ52)</f>
        <v/>
      </c>
      <c r="JN151" s="11" t="str">
        <f ca="1">IF(JN$2="","",History!JR52)</f>
        <v/>
      </c>
      <c r="JO151" s="11" t="str">
        <f ca="1">IF(JO$2="","",History!JS52)</f>
        <v/>
      </c>
      <c r="JP151" s="11" t="str">
        <f ca="1">IF(JP$2="","",History!JT52)</f>
        <v/>
      </c>
      <c r="JQ151" s="11" t="str">
        <f ca="1">IF(JQ$2="","",History!JU52)</f>
        <v/>
      </c>
      <c r="JR151" s="11" t="str">
        <f ca="1">IF(JR$2="","",History!JV52)</f>
        <v/>
      </c>
      <c r="JS151" s="11" t="str">
        <f ca="1">IF(JS$2="","",History!JW52)</f>
        <v/>
      </c>
      <c r="JT151" s="11" t="str">
        <f ca="1">IF(JT$2="","",History!JX52)</f>
        <v/>
      </c>
      <c r="JU151" s="11" t="str">
        <f ca="1">IF(JU$2="","",History!JY52)</f>
        <v/>
      </c>
      <c r="JV151" s="11" t="str">
        <f ca="1">IF(JV$2="","",History!JZ52)</f>
        <v/>
      </c>
      <c r="JW151" s="11" t="str">
        <f ca="1">IF(JW$2="","",History!KA52)</f>
        <v/>
      </c>
      <c r="JX151" s="11" t="str">
        <f ca="1">IF(JX$2="","",History!KB52)</f>
        <v/>
      </c>
      <c r="JY151" s="11" t="str">
        <f ca="1">IF(JY$2="","",History!KC52)</f>
        <v/>
      </c>
      <c r="JZ151" s="11" t="str">
        <f ca="1">IF(JZ$2="","",History!KD52)</f>
        <v/>
      </c>
      <c r="KA151" s="11" t="str">
        <f ca="1">IF(KA$2="","",History!KE52)</f>
        <v/>
      </c>
      <c r="KB151" s="11" t="str">
        <f ca="1">IF(KB$2="","",History!KF52)</f>
        <v/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KB55"/>
  <sheetViews>
    <sheetView workbookViewId="0"/>
  </sheetViews>
  <sheetFormatPr baseColWidth="10" defaultColWidth="12.6640625" defaultRowHeight="15.75" customHeight="1"/>
  <cols>
    <col min="1" max="1" width="22.83203125" customWidth="1"/>
  </cols>
  <sheetData>
    <row r="1" spans="1:288">
      <c r="A1" s="19" t="s">
        <v>45</v>
      </c>
      <c r="B1" s="19" t="s">
        <v>93</v>
      </c>
      <c r="C1" s="19" t="s">
        <v>98</v>
      </c>
      <c r="D1" s="38">
        <v>44571</v>
      </c>
      <c r="E1" s="38">
        <f ca="1">IF(History!I2="","",History!I2)</f>
        <v>44572.666666666599</v>
      </c>
      <c r="F1" s="38">
        <f ca="1">IF(History!J2="","",History!J2)</f>
        <v>44573.666666666599</v>
      </c>
      <c r="G1" s="38">
        <f ca="1">IF(History!K2="","",History!K2)</f>
        <v>44574.666666666599</v>
      </c>
      <c r="H1" s="38">
        <f ca="1">IF(History!L2="","",History!L2)</f>
        <v>44575.666666666599</v>
      </c>
      <c r="I1" s="38">
        <f ca="1">IF(History!M2="","",History!M2)</f>
        <v>44579.666666666599</v>
      </c>
      <c r="J1" s="38">
        <f ca="1">IF(History!N2="","",History!N2)</f>
        <v>44580.666666666599</v>
      </c>
      <c r="K1" s="38">
        <f ca="1">IF(History!O2="","",History!O2)</f>
        <v>44581.666666666599</v>
      </c>
      <c r="L1" s="38">
        <f ca="1">IF(History!P2="","",History!P2)</f>
        <v>44582.666666666599</v>
      </c>
      <c r="M1" s="38">
        <f ca="1">IF(History!Q2="","",History!Q2)</f>
        <v>44585.666666666599</v>
      </c>
      <c r="N1" s="38">
        <f ca="1">IF(History!R2="","",History!R2)</f>
        <v>44586.666666666599</v>
      </c>
      <c r="O1" s="38">
        <f ca="1">IF(History!S2="","",History!S2)</f>
        <v>44587.666666666599</v>
      </c>
      <c r="P1" s="38">
        <f ca="1">IF(History!T2="","",History!T2)</f>
        <v>44588.666666666599</v>
      </c>
      <c r="Q1" s="38">
        <f ca="1">IF(History!U2="","",History!U2)</f>
        <v>44589.666666666599</v>
      </c>
      <c r="R1" s="38">
        <f ca="1">IF(History!V2="","",History!V2)</f>
        <v>44592.666666666599</v>
      </c>
      <c r="S1" s="38">
        <f ca="1">IF(History!W2="","",History!W2)</f>
        <v>44593.666666666599</v>
      </c>
      <c r="T1" s="38">
        <f ca="1">IF(History!X2="","",History!X2)</f>
        <v>44594.666666666599</v>
      </c>
      <c r="U1" s="38">
        <f ca="1">IF(History!Y2="","",History!Y2)</f>
        <v>44595.666666666599</v>
      </c>
      <c r="V1" s="38">
        <f ca="1">IF(History!Z2="","",History!Z2)</f>
        <v>44596.666666666599</v>
      </c>
      <c r="W1" s="38">
        <f ca="1">IF(History!AA2="","",History!AA2)</f>
        <v>44599.666666666599</v>
      </c>
      <c r="X1" s="38">
        <f ca="1">IF(History!AB2="","",History!AB2)</f>
        <v>44600.666666666599</v>
      </c>
      <c r="Y1" s="38">
        <f ca="1">IF(History!AC2="","",History!AC2)</f>
        <v>44601.666666666599</v>
      </c>
      <c r="Z1" s="38">
        <f ca="1">IF(History!AD2="","",History!AD2)</f>
        <v>44602.666666666599</v>
      </c>
      <c r="AA1" s="38">
        <f ca="1">IF(History!AE2="","",History!AE2)</f>
        <v>44603.666666666599</v>
      </c>
      <c r="AB1" s="38">
        <f ca="1">IF(History!AF2="","",History!AF2)</f>
        <v>44606.666666666599</v>
      </c>
      <c r="AC1" s="38">
        <f ca="1">IF(History!AG2="","",History!AG2)</f>
        <v>44607.666666666599</v>
      </c>
      <c r="AD1" s="38">
        <f ca="1">IF(History!AH2="","",History!AH2)</f>
        <v>44608.666666666599</v>
      </c>
      <c r="AE1" s="38">
        <f ca="1">IF(History!AI2="","",History!AI2)</f>
        <v>44609.666666666599</v>
      </c>
      <c r="AF1" s="38">
        <f ca="1">IF(History!AJ2="","",History!AJ2)</f>
        <v>44610.666666666599</v>
      </c>
      <c r="AG1" s="38">
        <f ca="1">IF(History!AK2="","",History!AK2)</f>
        <v>44614.666666666599</v>
      </c>
      <c r="AH1" s="38">
        <f ca="1">IF(History!AL2="","",History!AL2)</f>
        <v>44615.666666666599</v>
      </c>
      <c r="AI1" s="38">
        <f ca="1">IF(History!AM2="","",History!AM2)</f>
        <v>44616.666666666599</v>
      </c>
      <c r="AJ1" s="38">
        <f ca="1">IF(History!AN2="","",History!AN2)</f>
        <v>44617.666666666599</v>
      </c>
      <c r="AK1" s="38">
        <f ca="1">IF(History!AO2="","",History!AO2)</f>
        <v>44620.666666666599</v>
      </c>
      <c r="AL1" s="38">
        <f ca="1">IF(History!AP2="","",History!AP2)</f>
        <v>44621.666666666599</v>
      </c>
      <c r="AM1" s="38">
        <f ca="1">IF(History!AQ2="","",History!AQ2)</f>
        <v>44622.666666666599</v>
      </c>
      <c r="AN1" s="38">
        <f ca="1">IF(History!AR2="","",History!AR2)</f>
        <v>44623.666666666599</v>
      </c>
      <c r="AO1" s="38">
        <f ca="1">IF(History!AS2="","",History!AS2)</f>
        <v>44624.666666666599</v>
      </c>
      <c r="AP1" s="38">
        <f ca="1">IF(History!AT2="","",History!AT2)</f>
        <v>44627.666666666599</v>
      </c>
      <c r="AQ1" s="38">
        <f ca="1">IF(History!AU2="","",History!AU2)</f>
        <v>44628.666666666599</v>
      </c>
      <c r="AR1" s="38">
        <f ca="1">IF(History!AV2="","",History!AV2)</f>
        <v>44629.666666666599</v>
      </c>
      <c r="AS1" s="38">
        <f ca="1">IF(History!AW2="","",History!AW2)</f>
        <v>44630.666666666599</v>
      </c>
      <c r="AT1" s="38">
        <f ca="1">IF(History!AX2="","",History!AX2)</f>
        <v>44631.666666666599</v>
      </c>
      <c r="AU1" s="38">
        <f ca="1">IF(History!AY2="","",History!AY2)</f>
        <v>44634.666666666599</v>
      </c>
      <c r="AV1" s="38">
        <f ca="1">IF(History!AZ2="","",History!AZ2)</f>
        <v>44635.666666666599</v>
      </c>
      <c r="AW1" s="38">
        <f ca="1">IF(History!BA2="","",History!BA2)</f>
        <v>44636.666666666599</v>
      </c>
      <c r="AX1" s="38">
        <f ca="1">IF(History!BB2="","",History!BB2)</f>
        <v>44637.666666666599</v>
      </c>
      <c r="AY1" s="38">
        <f ca="1">IF(History!BC2="","",History!BC2)</f>
        <v>44638.666666666599</v>
      </c>
      <c r="AZ1" s="38">
        <f ca="1">IF(History!BD2="","",History!BD2)</f>
        <v>44641.666666666599</v>
      </c>
      <c r="BA1" s="38">
        <f ca="1">IF(History!BE2="","",History!BE2)</f>
        <v>44642.666666666599</v>
      </c>
      <c r="BB1" s="38">
        <f ca="1">IF(History!BF2="","",History!BF2)</f>
        <v>44643.666666666599</v>
      </c>
      <c r="BC1" s="38">
        <f ca="1">IF(History!BG2="","",History!BG2)</f>
        <v>44644.666666666599</v>
      </c>
      <c r="BD1" s="38">
        <f ca="1">IF(History!BH2="","",History!BH2)</f>
        <v>44645.666666666599</v>
      </c>
      <c r="BE1" s="38">
        <f ca="1">IF(History!BI2="","",History!BI2)</f>
        <v>44648.666666666599</v>
      </c>
      <c r="BF1" s="38">
        <f ca="1">IF(History!BJ2="","",History!BJ2)</f>
        <v>44649.666666666599</v>
      </c>
      <c r="BG1" s="38">
        <f ca="1">IF(History!BK2="","",History!BK2)</f>
        <v>44650.666666666599</v>
      </c>
      <c r="BH1" s="38">
        <f ca="1">IF(History!BL2="","",History!BL2)</f>
        <v>44651.666666666599</v>
      </c>
      <c r="BI1" s="38">
        <f ca="1">IF(History!BM2="","",History!BM2)</f>
        <v>44652.666666666599</v>
      </c>
      <c r="BJ1" s="38">
        <f ca="1">IF(History!BN2="","",History!BN2)</f>
        <v>44655.666666666599</v>
      </c>
      <c r="BK1" s="38">
        <f ca="1">IF(History!BO2="","",History!BO2)</f>
        <v>44656.666666666599</v>
      </c>
      <c r="BL1" s="38">
        <f ca="1">IF(History!BP2="","",History!BP2)</f>
        <v>44657.666666666599</v>
      </c>
      <c r="BM1" s="38">
        <f ca="1">IF(History!BQ2="","",History!BQ2)</f>
        <v>44658.666666666599</v>
      </c>
      <c r="BN1" s="38">
        <f ca="1">IF(History!BR2="","",History!BR2)</f>
        <v>44659.666666666599</v>
      </c>
      <c r="BO1" s="38">
        <f ca="1">IF(History!BS2="","",History!BS2)</f>
        <v>44662.666666666599</v>
      </c>
      <c r="BP1" s="38">
        <f ca="1">IF(History!BT2="","",History!BT2)</f>
        <v>44663.666666666599</v>
      </c>
      <c r="BQ1" s="38">
        <f ca="1">IF(History!BU2="","",History!BU2)</f>
        <v>44664.666666666599</v>
      </c>
      <c r="BR1" s="38">
        <f ca="1">IF(History!BV2="","",History!BV2)</f>
        <v>44665.666666666599</v>
      </c>
      <c r="BS1" s="38">
        <f ca="1">IF(History!BW2="","",History!BW2)</f>
        <v>44669.666666666599</v>
      </c>
      <c r="BT1" s="38">
        <f ca="1">IF(History!BX2="","",History!BX2)</f>
        <v>44670.666666666599</v>
      </c>
      <c r="BU1" s="38">
        <f ca="1">IF(History!BY2="","",History!BY2)</f>
        <v>44671.666666666599</v>
      </c>
      <c r="BV1" s="38">
        <f ca="1">IF(History!BZ2="","",History!BZ2)</f>
        <v>44672.666666666599</v>
      </c>
      <c r="BW1" s="38">
        <f ca="1">IF(History!CA2="","",History!CA2)</f>
        <v>44673.666666666599</v>
      </c>
      <c r="BX1" s="38">
        <f ca="1">IF(History!CB2="","",History!CB2)</f>
        <v>44676.666666666599</v>
      </c>
      <c r="BY1" s="38">
        <f ca="1">IF(History!CC2="","",History!CC2)</f>
        <v>44677.666666666599</v>
      </c>
      <c r="BZ1" s="38">
        <f ca="1">IF(History!CD2="","",History!CD2)</f>
        <v>44678.666666666599</v>
      </c>
      <c r="CA1" s="38">
        <f ca="1">IF(History!CE2="","",History!CE2)</f>
        <v>44679.666666666599</v>
      </c>
      <c r="CB1" s="38">
        <f ca="1">IF(History!CF2="","",History!CF2)</f>
        <v>44680.666666666599</v>
      </c>
      <c r="CC1" s="38">
        <f ca="1">IF(History!CG2="","",History!CG2)</f>
        <v>44683.666666666599</v>
      </c>
      <c r="CD1" s="38">
        <f ca="1">IF(History!CH2="","",History!CH2)</f>
        <v>44684.666666666599</v>
      </c>
      <c r="CE1" s="38">
        <f ca="1">IF(History!CI2="","",History!CI2)</f>
        <v>44685.666666666599</v>
      </c>
      <c r="CF1" s="38" t="str">
        <f ca="1">IF(History!CJ2="","",History!CJ2)</f>
        <v/>
      </c>
      <c r="CG1" s="38" t="str">
        <f ca="1">IF(History!CK2="","",History!CK2)</f>
        <v/>
      </c>
      <c r="CH1" s="38" t="str">
        <f ca="1">IF(History!CL2="","",History!CL2)</f>
        <v/>
      </c>
      <c r="CI1" s="38" t="str">
        <f ca="1">IF(History!CM2="","",History!CM2)</f>
        <v/>
      </c>
      <c r="CJ1" s="38" t="str">
        <f ca="1">IF(History!CN2="","",History!CN2)</f>
        <v/>
      </c>
      <c r="CK1" s="38" t="str">
        <f ca="1">IF(History!CO2="","",History!CO2)</f>
        <v/>
      </c>
      <c r="CL1" s="38" t="str">
        <f ca="1">IF(History!CP2="","",History!CP2)</f>
        <v/>
      </c>
      <c r="CM1" s="38" t="str">
        <f ca="1">IF(History!CQ2="","",History!CQ2)</f>
        <v/>
      </c>
      <c r="CN1" s="38" t="str">
        <f ca="1">IF(History!CR2="","",History!CR2)</f>
        <v/>
      </c>
      <c r="CO1" s="38" t="str">
        <f ca="1">IF(History!CS2="","",History!CS2)</f>
        <v/>
      </c>
      <c r="CP1" s="38" t="str">
        <f ca="1">IF(History!CT2="","",History!CT2)</f>
        <v/>
      </c>
      <c r="CQ1" s="38" t="str">
        <f ca="1">IF(History!CU2="","",History!CU2)</f>
        <v/>
      </c>
      <c r="CR1" s="38" t="str">
        <f ca="1">IF(History!CV2="","",History!CV2)</f>
        <v/>
      </c>
      <c r="CS1" s="38" t="str">
        <f ca="1">IF(History!CW2="","",History!CW2)</f>
        <v/>
      </c>
      <c r="CT1" s="38" t="str">
        <f ca="1">IF(History!CX2="","",History!CX2)</f>
        <v/>
      </c>
      <c r="CU1" s="38" t="str">
        <f ca="1">IF(History!CY2="","",History!CY2)</f>
        <v/>
      </c>
      <c r="CV1" s="38" t="str">
        <f ca="1">IF(History!CZ2="","",History!CZ2)</f>
        <v/>
      </c>
      <c r="CW1" s="38" t="str">
        <f ca="1">IF(History!DA2="","",History!DA2)</f>
        <v/>
      </c>
      <c r="CX1" s="38" t="str">
        <f ca="1">IF(History!DB2="","",History!DB2)</f>
        <v/>
      </c>
      <c r="CY1" s="38" t="str">
        <f ca="1">IF(History!DC2="","",History!DC2)</f>
        <v/>
      </c>
      <c r="CZ1" s="38" t="str">
        <f ca="1">IF(History!DD2="","",History!DD2)</f>
        <v/>
      </c>
      <c r="DA1" s="38" t="str">
        <f ca="1">IF(History!DE2="","",History!DE2)</f>
        <v/>
      </c>
      <c r="DB1" s="38" t="str">
        <f ca="1">IF(History!DF2="","",History!DF2)</f>
        <v/>
      </c>
      <c r="DC1" s="38" t="str">
        <f ca="1">IF(History!DG2="","",History!DG2)</f>
        <v/>
      </c>
      <c r="DD1" s="38" t="str">
        <f ca="1">IF(History!DH2="","",History!DH2)</f>
        <v/>
      </c>
      <c r="DE1" s="38" t="str">
        <f ca="1">IF(History!DI2="","",History!DI2)</f>
        <v/>
      </c>
      <c r="DF1" s="38" t="str">
        <f ca="1">IF(History!DJ2="","",History!DJ2)</f>
        <v/>
      </c>
      <c r="DG1" s="38" t="str">
        <f ca="1">IF(History!DK2="","",History!DK2)</f>
        <v/>
      </c>
      <c r="DH1" s="38" t="str">
        <f ca="1">IF(History!DL2="","",History!DL2)</f>
        <v/>
      </c>
      <c r="DI1" s="38" t="str">
        <f ca="1">IF(History!DM2="","",History!DM2)</f>
        <v/>
      </c>
      <c r="DJ1" s="38" t="str">
        <f ca="1">IF(History!DN2="","",History!DN2)</f>
        <v/>
      </c>
      <c r="DK1" s="38" t="str">
        <f ca="1">IF(History!DO2="","",History!DO2)</f>
        <v/>
      </c>
      <c r="DL1" s="38" t="str">
        <f ca="1">IF(History!DP2="","",History!DP2)</f>
        <v/>
      </c>
      <c r="DM1" s="38" t="str">
        <f ca="1">IF(History!DQ2="","",History!DQ2)</f>
        <v/>
      </c>
      <c r="DN1" s="38" t="str">
        <f ca="1">IF(History!DR2="","",History!DR2)</f>
        <v/>
      </c>
      <c r="DO1" s="38" t="str">
        <f ca="1">IF(History!DS2="","",History!DS2)</f>
        <v/>
      </c>
      <c r="DP1" s="38" t="str">
        <f ca="1">IF(History!DT2="","",History!DT2)</f>
        <v/>
      </c>
      <c r="DQ1" s="38" t="str">
        <f ca="1">IF(History!DU2="","",History!DU2)</f>
        <v/>
      </c>
      <c r="DR1" s="38" t="str">
        <f ca="1">IF(History!DV2="","",History!DV2)</f>
        <v/>
      </c>
      <c r="DS1" s="38" t="str">
        <f ca="1">IF(History!DW2="","",History!DW2)</f>
        <v/>
      </c>
      <c r="DT1" s="38" t="str">
        <f ca="1">IF(History!DX2="","",History!DX2)</f>
        <v/>
      </c>
      <c r="DU1" s="38" t="str">
        <f ca="1">IF(History!DY2="","",History!DY2)</f>
        <v/>
      </c>
      <c r="DV1" s="38" t="str">
        <f ca="1">IF(History!DZ2="","",History!DZ2)</f>
        <v/>
      </c>
      <c r="DW1" s="38" t="str">
        <f ca="1">IF(History!EA2="","",History!EA2)</f>
        <v/>
      </c>
      <c r="DX1" s="38" t="str">
        <f ca="1">IF(History!EB2="","",History!EB2)</f>
        <v/>
      </c>
      <c r="DY1" s="38" t="str">
        <f ca="1">IF(History!EC2="","",History!EC2)</f>
        <v/>
      </c>
      <c r="DZ1" s="38" t="str">
        <f ca="1">IF(History!ED2="","",History!ED2)</f>
        <v/>
      </c>
      <c r="EA1" s="38" t="str">
        <f ca="1">IF(History!EE2="","",History!EE2)</f>
        <v/>
      </c>
      <c r="EB1" s="38" t="str">
        <f ca="1">IF(History!EF2="","",History!EF2)</f>
        <v/>
      </c>
      <c r="EC1" s="38" t="str">
        <f ca="1">IF(History!EG2="","",History!EG2)</f>
        <v/>
      </c>
      <c r="ED1" s="38" t="str">
        <f ca="1">IF(History!EH2="","",History!EH2)</f>
        <v/>
      </c>
      <c r="EE1" s="38" t="str">
        <f ca="1">IF(History!EI2="","",History!EI2)</f>
        <v/>
      </c>
      <c r="EF1" s="38" t="str">
        <f ca="1">IF(History!EJ2="","",History!EJ2)</f>
        <v/>
      </c>
      <c r="EG1" s="38" t="str">
        <f ca="1">IF(History!EK2="","",History!EK2)</f>
        <v/>
      </c>
      <c r="EH1" s="38" t="str">
        <f ca="1">IF(History!EL2="","",History!EL2)</f>
        <v/>
      </c>
      <c r="EI1" s="38" t="str">
        <f ca="1">IF(History!EM2="","",History!EM2)</f>
        <v/>
      </c>
      <c r="EJ1" s="38" t="str">
        <f ca="1">IF(History!EN2="","",History!EN2)</f>
        <v/>
      </c>
      <c r="EK1" s="38" t="str">
        <f ca="1">IF(History!EO2="","",History!EO2)</f>
        <v/>
      </c>
      <c r="EL1" s="38" t="str">
        <f ca="1">IF(History!EP2="","",History!EP2)</f>
        <v/>
      </c>
      <c r="EM1" s="38" t="str">
        <f ca="1">IF(History!EQ2="","",History!EQ2)</f>
        <v/>
      </c>
      <c r="EN1" s="38" t="str">
        <f ca="1">IF(History!ER2="","",History!ER2)</f>
        <v/>
      </c>
      <c r="EO1" s="38" t="str">
        <f ca="1">IF(History!ES2="","",History!ES2)</f>
        <v/>
      </c>
      <c r="EP1" s="38" t="str">
        <f ca="1">IF(History!ET2="","",History!ET2)</f>
        <v/>
      </c>
      <c r="EQ1" s="38" t="str">
        <f ca="1">IF(History!EU2="","",History!EU2)</f>
        <v/>
      </c>
      <c r="ER1" s="38" t="str">
        <f ca="1">IF(History!EV2="","",History!EV2)</f>
        <v/>
      </c>
      <c r="ES1" s="38" t="str">
        <f ca="1">IF(History!EW2="","",History!EW2)</f>
        <v/>
      </c>
      <c r="ET1" s="38" t="str">
        <f ca="1">IF(History!EX2="","",History!EX2)</f>
        <v/>
      </c>
      <c r="EU1" s="38" t="str">
        <f ca="1">IF(History!EY2="","",History!EY2)</f>
        <v/>
      </c>
      <c r="EV1" s="38" t="str">
        <f ca="1">IF(History!EZ2="","",History!EZ2)</f>
        <v/>
      </c>
      <c r="EW1" s="38" t="str">
        <f ca="1">IF(History!FA2="","",History!FA2)</f>
        <v/>
      </c>
      <c r="EX1" s="38" t="str">
        <f ca="1">IF(History!FB2="","",History!FB2)</f>
        <v/>
      </c>
      <c r="EY1" s="38" t="str">
        <f ca="1">IF(History!FC2="","",History!FC2)</f>
        <v/>
      </c>
      <c r="EZ1" s="38" t="str">
        <f ca="1">IF(History!FD2="","",History!FD2)</f>
        <v/>
      </c>
      <c r="FA1" s="38" t="str">
        <f ca="1">IF(History!FE2="","",History!FE2)</f>
        <v/>
      </c>
      <c r="FB1" s="38" t="str">
        <f ca="1">IF(History!FF2="","",History!FF2)</f>
        <v/>
      </c>
      <c r="FC1" s="38" t="str">
        <f ca="1">IF(History!FG2="","",History!FG2)</f>
        <v/>
      </c>
      <c r="FD1" s="38" t="str">
        <f ca="1">IF(History!FH2="","",History!FH2)</f>
        <v/>
      </c>
      <c r="FE1" s="38" t="str">
        <f ca="1">IF(History!FI2="","",History!FI2)</f>
        <v/>
      </c>
      <c r="FF1" s="38" t="str">
        <f ca="1">IF(History!FJ2="","",History!FJ2)</f>
        <v/>
      </c>
      <c r="FG1" s="38" t="str">
        <f ca="1">IF(History!FK2="","",History!FK2)</f>
        <v/>
      </c>
      <c r="FH1" s="38" t="str">
        <f ca="1">IF(History!FL2="","",History!FL2)</f>
        <v/>
      </c>
      <c r="FI1" s="38" t="str">
        <f ca="1">IF(History!FM2="","",History!FM2)</f>
        <v/>
      </c>
      <c r="FJ1" s="38" t="str">
        <f ca="1">IF(History!FN2="","",History!FN2)</f>
        <v/>
      </c>
      <c r="FK1" s="38" t="str">
        <f ca="1">IF(History!FO2="","",History!FO2)</f>
        <v/>
      </c>
      <c r="FL1" s="38" t="str">
        <f ca="1">IF(History!FP2="","",History!FP2)</f>
        <v/>
      </c>
      <c r="FM1" s="38" t="str">
        <f ca="1">IF(History!FQ2="","",History!FQ2)</f>
        <v/>
      </c>
      <c r="FN1" s="38" t="str">
        <f ca="1">IF(History!FR2="","",History!FR2)</f>
        <v/>
      </c>
      <c r="FO1" s="38" t="str">
        <f ca="1">IF(History!FS2="","",History!FS2)</f>
        <v/>
      </c>
      <c r="FP1" s="38" t="str">
        <f ca="1">IF(History!FT2="","",History!FT2)</f>
        <v/>
      </c>
      <c r="FQ1" s="38" t="str">
        <f ca="1">IF(History!FU2="","",History!FU2)</f>
        <v/>
      </c>
      <c r="FR1" s="38" t="str">
        <f ca="1">IF(History!FV2="","",History!FV2)</f>
        <v/>
      </c>
      <c r="FS1" s="38" t="str">
        <f ca="1">IF(History!FW2="","",History!FW2)</f>
        <v/>
      </c>
      <c r="FT1" s="38" t="str">
        <f ca="1">IF(History!FX2="","",History!FX2)</f>
        <v/>
      </c>
      <c r="FU1" s="38" t="str">
        <f ca="1">IF(History!FY2="","",History!FY2)</f>
        <v/>
      </c>
      <c r="FV1" s="38" t="str">
        <f ca="1">IF(History!FZ2="","",History!FZ2)</f>
        <v/>
      </c>
      <c r="FW1" s="38" t="str">
        <f ca="1">IF(History!GA2="","",History!GA2)</f>
        <v/>
      </c>
      <c r="FX1" s="38" t="str">
        <f ca="1">IF(History!GB2="","",History!GB2)</f>
        <v/>
      </c>
      <c r="FY1" s="38" t="str">
        <f ca="1">IF(History!GC2="","",History!GC2)</f>
        <v/>
      </c>
      <c r="FZ1" s="38" t="str">
        <f ca="1">IF(History!GD2="","",History!GD2)</f>
        <v/>
      </c>
      <c r="GA1" s="38" t="str">
        <f ca="1">IF(History!GE2="","",History!GE2)</f>
        <v/>
      </c>
      <c r="GB1" s="38" t="str">
        <f ca="1">IF(History!GF2="","",History!GF2)</f>
        <v/>
      </c>
      <c r="GC1" s="38" t="str">
        <f ca="1">IF(History!GG2="","",History!GG2)</f>
        <v/>
      </c>
      <c r="GD1" s="38" t="str">
        <f ca="1">IF(History!GH2="","",History!GH2)</f>
        <v/>
      </c>
      <c r="GE1" s="38" t="str">
        <f ca="1">IF(History!GI2="","",History!GI2)</f>
        <v/>
      </c>
      <c r="GF1" s="38" t="str">
        <f ca="1">IF(History!GJ2="","",History!GJ2)</f>
        <v/>
      </c>
      <c r="GG1" s="38" t="str">
        <f ca="1">IF(History!GK2="","",History!GK2)</f>
        <v/>
      </c>
      <c r="GH1" s="38" t="str">
        <f ca="1">IF(History!GL2="","",History!GL2)</f>
        <v/>
      </c>
      <c r="GI1" s="38" t="str">
        <f ca="1">IF(History!GM2="","",History!GM2)</f>
        <v/>
      </c>
      <c r="GJ1" s="38" t="str">
        <f ca="1">IF(History!GN2="","",History!GN2)</f>
        <v/>
      </c>
      <c r="GK1" s="38" t="str">
        <f ca="1">IF(History!GO2="","",History!GO2)</f>
        <v/>
      </c>
      <c r="GL1" s="38" t="str">
        <f ca="1">IF(History!GP2="","",History!GP2)</f>
        <v/>
      </c>
      <c r="GM1" s="38" t="str">
        <f ca="1">IF(History!GQ2="","",History!GQ2)</f>
        <v/>
      </c>
      <c r="GN1" s="38" t="str">
        <f ca="1">IF(History!GR2="","",History!GR2)</f>
        <v/>
      </c>
      <c r="GO1" s="38" t="str">
        <f ca="1">IF(History!GS2="","",History!GS2)</f>
        <v/>
      </c>
      <c r="GP1" s="38" t="str">
        <f ca="1">IF(History!GT2="","",History!GT2)</f>
        <v/>
      </c>
      <c r="GQ1" s="38" t="str">
        <f ca="1">IF(History!GU2="","",History!GU2)</f>
        <v/>
      </c>
      <c r="GR1" s="38" t="str">
        <f ca="1">IF(History!GV2="","",History!GV2)</f>
        <v/>
      </c>
      <c r="GS1" s="38" t="str">
        <f ca="1">IF(History!GW2="","",History!GW2)</f>
        <v/>
      </c>
      <c r="GT1" s="38" t="str">
        <f ca="1">IF(History!GX2="","",History!GX2)</f>
        <v/>
      </c>
      <c r="GU1" s="38" t="str">
        <f ca="1">IF(History!GY2="","",History!GY2)</f>
        <v/>
      </c>
      <c r="GV1" s="38" t="str">
        <f ca="1">IF(History!GZ2="","",History!GZ2)</f>
        <v/>
      </c>
      <c r="GW1" s="38" t="str">
        <f ca="1">IF(History!HA2="","",History!HA2)</f>
        <v/>
      </c>
      <c r="GX1" s="38" t="str">
        <f ca="1">IF(History!HB2="","",History!HB2)</f>
        <v/>
      </c>
      <c r="GY1" s="38" t="str">
        <f ca="1">IF(History!HC2="","",History!HC2)</f>
        <v/>
      </c>
      <c r="GZ1" s="38" t="str">
        <f ca="1">IF(History!HD2="","",History!HD2)</f>
        <v/>
      </c>
      <c r="HA1" s="38" t="str">
        <f ca="1">IF(History!HE2="","",History!HE2)</f>
        <v/>
      </c>
      <c r="HB1" s="38" t="str">
        <f ca="1">IF(History!HF2="","",History!HF2)</f>
        <v/>
      </c>
      <c r="HC1" s="38" t="str">
        <f ca="1">IF(History!HG2="","",History!HG2)</f>
        <v/>
      </c>
      <c r="HD1" s="38" t="str">
        <f ca="1">IF(History!HH2="","",History!HH2)</f>
        <v/>
      </c>
      <c r="HE1" s="38" t="str">
        <f ca="1">IF(History!HI2="","",History!HI2)</f>
        <v/>
      </c>
      <c r="HF1" s="38" t="str">
        <f ca="1">IF(History!HJ2="","",History!HJ2)</f>
        <v/>
      </c>
      <c r="HG1" s="38" t="str">
        <f ca="1">IF(History!HK2="","",History!HK2)</f>
        <v/>
      </c>
      <c r="HH1" s="38" t="str">
        <f ca="1">IF(History!HL2="","",History!HL2)</f>
        <v/>
      </c>
      <c r="HI1" s="38" t="str">
        <f ca="1">IF(History!HM2="","",History!HM2)</f>
        <v/>
      </c>
      <c r="HJ1" s="38" t="str">
        <f ca="1">IF(History!HN2="","",History!HN2)</f>
        <v/>
      </c>
      <c r="HK1" s="38" t="str">
        <f ca="1">IF(History!HO2="","",History!HO2)</f>
        <v/>
      </c>
      <c r="HL1" s="38" t="str">
        <f ca="1">IF(History!HP2="","",History!HP2)</f>
        <v/>
      </c>
      <c r="HM1" s="38" t="str">
        <f ca="1">IF(History!HQ2="","",History!HQ2)</f>
        <v/>
      </c>
      <c r="HN1" s="38" t="str">
        <f ca="1">IF(History!HR2="","",History!HR2)</f>
        <v/>
      </c>
      <c r="HO1" s="38" t="str">
        <f ca="1">IF(History!HS2="","",History!HS2)</f>
        <v/>
      </c>
      <c r="HP1" s="38" t="str">
        <f ca="1">IF(History!HT2="","",History!HT2)</f>
        <v/>
      </c>
      <c r="HQ1" s="38" t="str">
        <f ca="1">IF(History!HU2="","",History!HU2)</f>
        <v/>
      </c>
      <c r="HR1" s="38" t="str">
        <f ca="1">IF(History!HV2="","",History!HV2)</f>
        <v/>
      </c>
      <c r="HS1" s="38" t="str">
        <f ca="1">IF(History!HW2="","",History!HW2)</f>
        <v/>
      </c>
      <c r="HT1" s="38" t="str">
        <f ca="1">IF(History!HX2="","",History!HX2)</f>
        <v/>
      </c>
      <c r="HU1" s="38" t="str">
        <f ca="1">IF(History!HY2="","",History!HY2)</f>
        <v/>
      </c>
      <c r="HV1" s="38" t="str">
        <f ca="1">IF(History!HZ2="","",History!HZ2)</f>
        <v/>
      </c>
      <c r="HW1" s="38" t="str">
        <f ca="1">IF(History!IA2="","",History!IA2)</f>
        <v/>
      </c>
      <c r="HX1" s="38" t="str">
        <f ca="1">IF(History!IB2="","",History!IB2)</f>
        <v/>
      </c>
      <c r="HY1" s="38" t="str">
        <f ca="1">IF(History!IC2="","",History!IC2)</f>
        <v/>
      </c>
      <c r="HZ1" s="38" t="str">
        <f ca="1">IF(History!ID2="","",History!ID2)</f>
        <v/>
      </c>
      <c r="IA1" s="38" t="str">
        <f ca="1">IF(History!IE2="","",History!IE2)</f>
        <v/>
      </c>
      <c r="IB1" s="38" t="str">
        <f ca="1">IF(History!IF2="","",History!IF2)</f>
        <v/>
      </c>
      <c r="IC1" s="38" t="str">
        <f ca="1">IF(History!IG2="","",History!IG2)</f>
        <v/>
      </c>
      <c r="ID1" s="38" t="str">
        <f ca="1">IF(History!IH2="","",History!IH2)</f>
        <v/>
      </c>
      <c r="IE1" s="38" t="str">
        <f ca="1">IF(History!II2="","",History!II2)</f>
        <v/>
      </c>
      <c r="IF1" s="38" t="str">
        <f ca="1">IF(History!IJ2="","",History!IJ2)</f>
        <v/>
      </c>
      <c r="IG1" s="38" t="str">
        <f ca="1">IF(History!IK2="","",History!IK2)</f>
        <v/>
      </c>
      <c r="IH1" s="38" t="str">
        <f ca="1">IF(History!IL2="","",History!IL2)</f>
        <v/>
      </c>
      <c r="II1" s="38" t="str">
        <f ca="1">IF(History!IM2="","",History!IM2)</f>
        <v/>
      </c>
      <c r="IJ1" s="38" t="str">
        <f ca="1">IF(History!IN2="","",History!IN2)</f>
        <v/>
      </c>
      <c r="IK1" s="38" t="str">
        <f ca="1">IF(History!IO2="","",History!IO2)</f>
        <v/>
      </c>
      <c r="IL1" s="38" t="str">
        <f ca="1">IF(History!IP2="","",History!IP2)</f>
        <v/>
      </c>
      <c r="IM1" s="38" t="str">
        <f ca="1">IF(History!IQ2="","",History!IQ2)</f>
        <v/>
      </c>
      <c r="IN1" s="38" t="str">
        <f ca="1">IF(History!IR2="","",History!IR2)</f>
        <v/>
      </c>
      <c r="IO1" s="38" t="str">
        <f ca="1">IF(History!IS2="","",History!IS2)</f>
        <v/>
      </c>
      <c r="IP1" s="38" t="str">
        <f ca="1">IF(History!IT2="","",History!IT2)</f>
        <v/>
      </c>
      <c r="IQ1" s="38" t="str">
        <f ca="1">IF(History!IU2="","",History!IU2)</f>
        <v/>
      </c>
      <c r="IR1" s="38" t="str">
        <f ca="1">IF(History!IV2="","",History!IV2)</f>
        <v/>
      </c>
      <c r="IS1" s="38" t="str">
        <f ca="1">IF(History!IW2="","",History!IW2)</f>
        <v/>
      </c>
      <c r="IT1" s="38" t="str">
        <f ca="1">IF(History!IX2="","",History!IX2)</f>
        <v/>
      </c>
      <c r="IU1" s="38" t="str">
        <f ca="1">IF(History!IY2="","",History!IY2)</f>
        <v/>
      </c>
      <c r="IV1" s="38" t="str">
        <f ca="1">IF(History!IZ2="","",History!IZ2)</f>
        <v/>
      </c>
      <c r="IW1" s="38" t="str">
        <f ca="1">IF(History!JA2="","",History!JA2)</f>
        <v/>
      </c>
      <c r="IX1" s="38" t="str">
        <f ca="1">IF(History!JB2="","",History!JB2)</f>
        <v/>
      </c>
      <c r="IY1" s="38" t="str">
        <f ca="1">IF(History!JC2="","",History!JC2)</f>
        <v/>
      </c>
      <c r="IZ1" s="38" t="str">
        <f ca="1">IF(History!JD2="","",History!JD2)</f>
        <v/>
      </c>
      <c r="JA1" s="38" t="str">
        <f ca="1">IF(History!JE2="","",History!JE2)</f>
        <v/>
      </c>
      <c r="JB1" s="38" t="str">
        <f ca="1">IF(History!JF2="","",History!JF2)</f>
        <v/>
      </c>
      <c r="JC1" s="38" t="str">
        <f ca="1">IF(History!JG2="","",History!JG2)</f>
        <v/>
      </c>
      <c r="JD1" s="38" t="str">
        <f ca="1">IF(History!JH2="","",History!JH2)</f>
        <v/>
      </c>
      <c r="JE1" s="38" t="str">
        <f ca="1">IF(History!JI2="","",History!JI2)</f>
        <v/>
      </c>
      <c r="JF1" s="38" t="str">
        <f ca="1">IF(History!JJ2="","",History!JJ2)</f>
        <v/>
      </c>
      <c r="JG1" s="38" t="str">
        <f ca="1">IF(History!JK2="","",History!JK2)</f>
        <v/>
      </c>
      <c r="JH1" s="38" t="str">
        <f ca="1">IF(History!JL2="","",History!JL2)</f>
        <v/>
      </c>
      <c r="JI1" s="38" t="str">
        <f ca="1">IF(History!JM2="","",History!JM2)</f>
        <v/>
      </c>
      <c r="JJ1" s="38" t="str">
        <f ca="1">IF(History!JN2="","",History!JN2)</f>
        <v/>
      </c>
      <c r="JK1" s="38" t="str">
        <f ca="1">IF(History!JO2="","",History!JO2)</f>
        <v/>
      </c>
      <c r="JL1" s="38" t="str">
        <f ca="1">IF(History!JP2="","",History!JP2)</f>
        <v/>
      </c>
      <c r="JM1" s="38" t="str">
        <f ca="1">IF(History!JQ2="","",History!JQ2)</f>
        <v/>
      </c>
      <c r="JN1" s="38" t="str">
        <f ca="1">IF(History!JR2="","",History!JR2)</f>
        <v/>
      </c>
      <c r="JO1" s="38" t="str">
        <f ca="1">IF(History!JS2="","",History!JS2)</f>
        <v/>
      </c>
      <c r="JP1" s="38" t="str">
        <f ca="1">IF(History!JT2="","",History!JT2)</f>
        <v/>
      </c>
      <c r="JQ1" s="38" t="str">
        <f ca="1">IF(History!JU2="","",History!JU2)</f>
        <v/>
      </c>
      <c r="JR1" s="38" t="str">
        <f ca="1">IF(History!JV2="","",History!JV2)</f>
        <v/>
      </c>
      <c r="JS1" s="38" t="str">
        <f ca="1">IF(History!JW2="","",History!JW2)</f>
        <v/>
      </c>
      <c r="JT1" s="38" t="str">
        <f ca="1">IF(History!JX2="","",History!JX2)</f>
        <v/>
      </c>
      <c r="JU1" s="38" t="str">
        <f ca="1">IF(History!JY2="","",History!JY2)</f>
        <v/>
      </c>
      <c r="JV1" s="38" t="str">
        <f ca="1">IF(History!JZ2="","",History!JZ2)</f>
        <v/>
      </c>
      <c r="JW1" s="38" t="str">
        <f ca="1">IF(History!KA2="","",History!KA2)</f>
        <v/>
      </c>
      <c r="JX1" s="38" t="str">
        <f ca="1">IF(History!KB2="","",History!KB2)</f>
        <v/>
      </c>
      <c r="JY1" s="38" t="str">
        <f ca="1">IF(History!KC2="","",History!KC2)</f>
        <v/>
      </c>
      <c r="JZ1" s="38" t="str">
        <f ca="1">IF(History!KD2="","",History!KD2)</f>
        <v/>
      </c>
      <c r="KA1" s="38" t="str">
        <f ca="1">IF(History!KE2="","",History!KE2)</f>
        <v/>
      </c>
      <c r="KB1" s="38" t="str">
        <f ca="1">IF(History!KF2="","",History!KF2)</f>
        <v/>
      </c>
    </row>
    <row r="2" spans="1:288" ht="15.75" customHeight="1">
      <c r="A2" s="9" t="s">
        <v>30</v>
      </c>
      <c r="B2" s="6" t="s">
        <v>47</v>
      </c>
      <c r="C2" s="26">
        <v>1202</v>
      </c>
      <c r="D2" s="13">
        <v>0</v>
      </c>
      <c r="E2" s="14">
        <f ca="1">IF(E$1="","",'Total Value'!E14/'Total Value'!$D14-1)</f>
        <v>1.6356201726487996E-2</v>
      </c>
      <c r="F2" s="14">
        <f ca="1">IF(F$1="","",'Total Value'!F14/'Total Value'!$D14-1)</f>
        <v>1.8930789035286999E-2</v>
      </c>
      <c r="G2" s="14">
        <f ca="1">IF(G$1="","",'Total Value'!G14/'Total Value'!$D14-1)</f>
        <v>2.6503104649401754E-2</v>
      </c>
      <c r="H2" s="14">
        <f ca="1">IF(H$1="","",'Total Value'!H14/'Total Value'!$D14-1)</f>
        <v>1.3630168105406959E-2</v>
      </c>
      <c r="I2" s="14">
        <f ca="1">IF(I$1="","",'Total Value'!I14/'Total Value'!$D14-1)</f>
        <v>-1.1055580796607734E-2</v>
      </c>
      <c r="J2" s="14">
        <f ca="1">IF(J$1="","",'Total Value'!J14/'Total Value'!$D14-1)</f>
        <v>-2.7108889898530997E-2</v>
      </c>
      <c r="K2" s="14">
        <f ca="1">IF(K$1="","",'Total Value'!K14/'Total Value'!$D14-1)</f>
        <v>-2.3777071028320496E-2</v>
      </c>
      <c r="L2" s="14">
        <f ca="1">IF(L$1="","",'Total Value'!L14/'Total Value'!$D14-1)</f>
        <v>-4.179918218991352E-2</v>
      </c>
      <c r="M2" s="14">
        <f ca="1">IF(M$1="","",'Total Value'!M14/'Total Value'!$D14-1)</f>
        <v>-5.0431621990004394E-2</v>
      </c>
      <c r="N2" s="14">
        <f ca="1">IF(N$1="","",'Total Value'!N14/'Total Value'!$D14-1)</f>
        <v>-2.9077691958200758E-2</v>
      </c>
      <c r="O2" s="14">
        <f ca="1">IF(O$1="","",'Total Value'!O14/'Total Value'!$D14-1)</f>
        <v>-1.9385127972133875E-2</v>
      </c>
      <c r="P2" s="14">
        <f ca="1">IF(P$1="","",'Total Value'!P14/'Total Value'!$D14-1)</f>
        <v>-2.8471906709071515E-2</v>
      </c>
      <c r="Q2" s="14">
        <f ca="1">IF(Q$1="","",'Total Value'!Q14/'Total Value'!$D14-1)</f>
        <v>-2.0293805845827739E-2</v>
      </c>
      <c r="R2" s="14">
        <f ca="1">IF(R$1="","",'Total Value'!R14/'Total Value'!$D14-1)</f>
        <v>-1.3781614417688881E-2</v>
      </c>
      <c r="S2" s="14">
        <f ca="1">IF(S$1="","",'Total Value'!S14/'Total Value'!$D14-1)</f>
        <v>8.0266545509617426E-3</v>
      </c>
      <c r="T2" s="14">
        <f ca="1">IF(T$1="","",'Total Value'!T14/'Total Value'!$D14-1)</f>
        <v>3.0289262456459909E-3</v>
      </c>
      <c r="U2" s="14">
        <f ca="1">IF(U$1="","",'Total Value'!U14/'Total Value'!$D14-1)</f>
        <v>-1.1661366045736754E-2</v>
      </c>
      <c r="V2" s="14">
        <f ca="1">IF(V$1="","",'Total Value'!V14/'Total Value'!$D14-1)</f>
        <v>7.5723156141149772E-4</v>
      </c>
      <c r="W2" s="14">
        <f ca="1">IF(W$1="","",'Total Value'!W14/'Total Value'!$D14-1)</f>
        <v>4.9977283053157517E-3</v>
      </c>
      <c r="X2" s="14">
        <f ca="1">IF(X$1="","",'Total Value'!X14/'Total Value'!$D14-1)</f>
        <v>1.6507648038770251E-2</v>
      </c>
      <c r="Y2" s="14">
        <f ca="1">IF(Y$1="","",'Total Value'!Y14/'Total Value'!$D14-1)</f>
        <v>2.7411782523095729E-2</v>
      </c>
      <c r="Z2" s="14">
        <f ca="1">IF(Z$1="","",'Total Value'!Z14/'Total Value'!$D14-1)</f>
        <v>2.22626079054975E-2</v>
      </c>
      <c r="AA2" s="14">
        <f ca="1">IF(AA$1="","",'Total Value'!AA14/'Total Value'!$D14-1)</f>
        <v>1.6961986975617238E-2</v>
      </c>
      <c r="AB2" s="14">
        <f ca="1">IF(AB$1="","",'Total Value'!AB14/'Total Value'!$D14-1)</f>
        <v>6.5121914281387472E-3</v>
      </c>
      <c r="AC2" s="14">
        <f ca="1">IF(AC$1="","",'Total Value'!AC14/'Total Value'!$D14-1)</f>
        <v>1.4690292291382745E-2</v>
      </c>
      <c r="AD2" s="14">
        <f ca="1">IF(AD$1="","",'Total Value'!AD14/'Total Value'!$D14-1)</f>
        <v>1.3933060729971469E-2</v>
      </c>
      <c r="AE2" s="14">
        <f ca="1">IF(AE$1="","",'Total Value'!AE14/'Total Value'!$D14-1)</f>
        <v>-1.9990913221263007E-2</v>
      </c>
      <c r="AF2" s="14">
        <f ca="1">IF(AF$1="","",'Total Value'!AF14/'Total Value'!$D14-1)</f>
        <v>-2.8623353021353881E-2</v>
      </c>
      <c r="AG2" s="14">
        <f ca="1">IF(AG$1="","",'Total Value'!AG14/'Total Value'!$D14-1)</f>
        <v>-3.240951082841137E-2</v>
      </c>
      <c r="AH2" s="14">
        <f ca="1">IF(AH$1="","",'Total Value'!AH14/'Total Value'!$D14-1)</f>
        <v>-4.2556413751325128E-2</v>
      </c>
      <c r="AI2" s="14">
        <f ca="1">IF(AI$1="","",'Total Value'!AI14/'Total Value'!$D14-1)</f>
        <v>-8.1175223383310624E-2</v>
      </c>
      <c r="AJ2" s="14">
        <f ca="1">IF(AJ$1="","",'Total Value'!AJ14/'Total Value'!$D14-1)</f>
        <v>-6.1335756474329872E-2</v>
      </c>
      <c r="AK2" s="14">
        <f ca="1">IF(AK$1="","",'Total Value'!AK14/'Total Value'!$D14-1)</f>
        <v>-0.10298349235196136</v>
      </c>
      <c r="AL2" s="14">
        <f ca="1">IF(AL$1="","",'Total Value'!AL14/'Total Value'!$D14-1)</f>
        <v>-0.11267605633802802</v>
      </c>
      <c r="AM2" s="14">
        <f ca="1">IF(AM$1="","",'Total Value'!AM14/'Total Value'!$D14-1)</f>
        <v>-9.7985764046645274E-2</v>
      </c>
      <c r="AN2" s="14">
        <f ca="1">IF(AN$1="","",'Total Value'!AN14/'Total Value'!$D14-1)</f>
        <v>-0.12736634862941099</v>
      </c>
      <c r="AO2" s="14">
        <f ca="1">IF(AO$1="","",'Total Value'!AO14/'Total Value'!$D14-1)</f>
        <v>-0.14296531879448726</v>
      </c>
      <c r="AP2" s="14">
        <f ca="1">IF(AP$1="","",'Total Value'!AP14/'Total Value'!$D14-1)</f>
        <v>-0.15871573527184624</v>
      </c>
      <c r="AQ2" s="14">
        <f ca="1">IF(AQ$1="","",'Total Value'!AQ14/'Total Value'!$D14-1)</f>
        <v>-0.16901408450704236</v>
      </c>
      <c r="AR2" s="14">
        <f ca="1">IF(AR$1="","",'Total Value'!AR14/'Total Value'!$D14-1)</f>
        <v>-0.15265788278055414</v>
      </c>
      <c r="AS2" s="14">
        <f ca="1">IF(AS$1="","",'Total Value'!AS14/'Total Value'!$D14-1)</f>
        <v>-0.16886263819475977</v>
      </c>
      <c r="AT2" s="14">
        <f ca="1">IF(AT$1="","",'Total Value'!AT14/'Total Value'!$D14-1)</f>
        <v>-0.17976677267908536</v>
      </c>
      <c r="AU2" s="14">
        <f ca="1">IF(AU$1="","",'Total Value'!AU14/'Total Value'!$D14-1)</f>
        <v>-0.17870664849310913</v>
      </c>
      <c r="AV2" s="14">
        <f ca="1">IF(AV$1="","",'Total Value'!AV14/'Total Value'!$D14-1)</f>
        <v>-0.16537937301226713</v>
      </c>
      <c r="AW2" s="14">
        <f ca="1">IF(AW$1="","",'Total Value'!AW14/'Total Value'!$D14-1)</f>
        <v>-0.13978494623655924</v>
      </c>
      <c r="AX2" s="14">
        <f ca="1">IF(AX$1="","",'Total Value'!AX14/'Total Value'!$D14-1)</f>
        <v>-0.13236407693472663</v>
      </c>
      <c r="AY2" s="14">
        <f ca="1">IF(AY$1="","",'Total Value'!AY14/'Total Value'!$D14-1)</f>
        <v>-0.13145539906103287</v>
      </c>
      <c r="AZ2" s="14">
        <f ca="1">IF(AZ$1="","",'Total Value'!AZ14/'Total Value'!$D14-1)</f>
        <v>-0.13705891261547787</v>
      </c>
      <c r="BA2" s="14">
        <f ca="1">IF(BA$1="","",'Total Value'!BA14/'Total Value'!$D14-1)</f>
        <v>-0.12918370437679838</v>
      </c>
      <c r="BB2" s="14">
        <f ca="1">IF(BB$1="","",'Total Value'!BB14/'Total Value'!$D14-1)</f>
        <v>-0.1466000302892625</v>
      </c>
      <c r="BC2" s="14">
        <f ca="1">IF(BC$1="","",'Total Value'!BC14/'Total Value'!$D14-1)</f>
        <v>-0.14553990610328638</v>
      </c>
      <c r="BD2" s="14">
        <f ca="1">IF(BD$1="","",'Total Value'!BD14/'Total Value'!$D14-1)</f>
        <v>-0.14069362411025299</v>
      </c>
      <c r="BE2" s="14">
        <f ca="1">IF(BE$1="","",'Total Value'!BE14/'Total Value'!$D14-1)</f>
        <v>-0.15311222171740124</v>
      </c>
      <c r="BF2" s="14">
        <f ca="1">IF(BF$1="","",'Total Value'!BF14/'Total Value'!$D14-1)</f>
        <v>-0.14478267454187488</v>
      </c>
      <c r="BG2" s="14">
        <f ca="1">IF(BG$1="","",'Total Value'!BG14/'Total Value'!$D14-1)</f>
        <v>-0.16749962138421925</v>
      </c>
      <c r="BH2" s="14">
        <f ca="1">IF(BH$1="","",'Total Value'!BH14/'Total Value'!$D14-1)</f>
        <v>-0.19127669241253975</v>
      </c>
      <c r="BI2" s="14">
        <f ca="1">IF(BI$1="","",'Total Value'!BI14/'Total Value'!$D14-1)</f>
        <v>-0.20748144782674549</v>
      </c>
      <c r="BJ2" s="14">
        <f ca="1">IF(BJ$1="","",'Total Value'!BJ14/'Total Value'!$D14-1)</f>
        <v>-0.2003634711494775</v>
      </c>
      <c r="BK2" s="14">
        <f ca="1">IF(BK$1="","",'Total Value'!BK14/'Total Value'!$D14-1)</f>
        <v>-0.21883992124791762</v>
      </c>
      <c r="BL2" s="14">
        <f ca="1">IF(BL$1="","",'Total Value'!BL14/'Total Value'!$D14-1)</f>
        <v>-0.23474178403755863</v>
      </c>
      <c r="BM2" s="14">
        <f ca="1">IF(BM$1="","",'Total Value'!BM14/'Total Value'!$D14-1)</f>
        <v>-0.24231409965167339</v>
      </c>
      <c r="BN2" s="14">
        <f ca="1">IF(BN$1="","",'Total Value'!BN14/'Total Value'!$D14-1)</f>
        <v>-0.22944116310767826</v>
      </c>
      <c r="BO2" s="14">
        <f ca="1">IF(BO$1="","",'Total Value'!BO14/'Total Value'!$D14-1)</f>
        <v>-0.23443889141299412</v>
      </c>
      <c r="BP2" s="14">
        <f ca="1">IF(BP$1="","",'Total Value'!BP14/'Total Value'!$D14-1)</f>
        <v>-0.23761926397092215</v>
      </c>
      <c r="BQ2" s="14">
        <f ca="1">IF(BQ$1="","",'Total Value'!BQ14/'Total Value'!$D14-1)</f>
        <v>-0.24049674390428599</v>
      </c>
      <c r="BR2" s="14">
        <f ca="1">IF(BR$1="","",'Total Value'!BR14/'Total Value'!$D14-1)</f>
        <v>-0.22868393154626687</v>
      </c>
      <c r="BS2" s="14">
        <f ca="1">IF(BS$1="","",'Total Value'!BS14/'Total Value'!$D14-1)</f>
        <v>-0.20778434045131</v>
      </c>
      <c r="BT2" s="14">
        <f ca="1">IF(BT$1="","",'Total Value'!BT14/'Total Value'!$D14-1)</f>
        <v>-0.19854611540208988</v>
      </c>
      <c r="BU2" s="14">
        <f ca="1">IF(BU$1="","",'Total Value'!BU14/'Total Value'!$D14-1)</f>
        <v>-0.19582008178100851</v>
      </c>
      <c r="BV2" s="14">
        <f ca="1">IF(BV$1="","",'Total Value'!BV14/'Total Value'!$D14-1)</f>
        <v>-0.2029380584582765</v>
      </c>
      <c r="BW2" s="14">
        <f ca="1">IF(BW$1="","",'Total Value'!BW14/'Total Value'!$D14-1)</f>
        <v>-0.224140542177798</v>
      </c>
      <c r="BX2" s="14">
        <f ca="1">IF(BX$1="","",'Total Value'!BX14/'Total Value'!$D14-1)</f>
        <v>-0.22565500530062088</v>
      </c>
      <c r="BY2" s="14">
        <f ca="1">IF(BY$1="","",'Total Value'!BY14/'Total Value'!$D14-1)</f>
        <v>-0.23928517340602751</v>
      </c>
      <c r="BZ2" s="14">
        <f ca="1">IF(BZ$1="","",'Total Value'!BZ14/'Total Value'!$D14-1)</f>
        <v>-0.24882629107981213</v>
      </c>
      <c r="CA2" s="14">
        <f ca="1">IF(CA$1="","",'Total Value'!CA14/'Total Value'!$D14-1)</f>
        <v>-0.24246554596395575</v>
      </c>
      <c r="CB2" s="14">
        <f ca="1">IF(CB$1="","",'Total Value'!CB14/'Total Value'!$D14-1)</f>
        <v>-0.26987732848705137</v>
      </c>
      <c r="CC2" s="14">
        <f ca="1">IF(CC$1="","",'Total Value'!CC14/'Total Value'!$D14-1)</f>
        <v>-0.2623050128729365</v>
      </c>
      <c r="CD2" s="14">
        <f ca="1">IF(CD$1="","",'Total Value'!CD14/'Total Value'!$D14-1)</f>
        <v>-0.24125397546569738</v>
      </c>
      <c r="CE2" s="14">
        <f ca="1">IF(CE$1="","",'Total Value'!CE14/'Total Value'!$D14-1)</f>
        <v>-0.20899591094956838</v>
      </c>
      <c r="CF2" s="14" t="str">
        <f ca="1">IF(CF$1="","",'Total Value'!CF14/'Total Value'!$D14-1)</f>
        <v/>
      </c>
      <c r="CG2" s="14" t="str">
        <f ca="1">IF(CG$1="","",'Total Value'!CG14/'Total Value'!$D14-1)</f>
        <v/>
      </c>
      <c r="CH2" s="14" t="str">
        <f ca="1">IF(CH$1="","",'Total Value'!CH14/'Total Value'!$D14-1)</f>
        <v/>
      </c>
      <c r="CI2" s="14" t="str">
        <f ca="1">IF(CI$1="","",'Total Value'!CI14/'Total Value'!$D14-1)</f>
        <v/>
      </c>
      <c r="CJ2" s="14" t="str">
        <f ca="1">IF(CJ$1="","",'Total Value'!CJ14/'Total Value'!$D14-1)</f>
        <v/>
      </c>
      <c r="CK2" s="14" t="str">
        <f ca="1">IF(CK$1="","",'Total Value'!CK14/'Total Value'!$D14-1)</f>
        <v/>
      </c>
      <c r="CL2" s="14" t="str">
        <f ca="1">IF(CL$1="","",'Total Value'!CL14/'Total Value'!$D14-1)</f>
        <v/>
      </c>
      <c r="CM2" s="14" t="str">
        <f ca="1">IF(CM$1="","",'Total Value'!CM14/'Total Value'!$D14-1)</f>
        <v/>
      </c>
      <c r="CN2" s="14" t="str">
        <f ca="1">IF(CN$1="","",'Total Value'!CN14/'Total Value'!$D14-1)</f>
        <v/>
      </c>
      <c r="CO2" s="14" t="str">
        <f ca="1">IF(CO$1="","",'Total Value'!CO14/'Total Value'!$D14-1)</f>
        <v/>
      </c>
      <c r="CP2" s="14" t="str">
        <f ca="1">IF(CP$1="","",'Total Value'!CP14/'Total Value'!$D14-1)</f>
        <v/>
      </c>
      <c r="CQ2" s="14" t="str">
        <f ca="1">IF(CQ$1="","",'Total Value'!CQ14/'Total Value'!$D14-1)</f>
        <v/>
      </c>
      <c r="CR2" s="14" t="str">
        <f ca="1">IF(CR$1="","",'Total Value'!CR14/'Total Value'!$D14-1)</f>
        <v/>
      </c>
      <c r="CS2" s="14" t="str">
        <f ca="1">IF(CS$1="","",'Total Value'!CS14/'Total Value'!$D14-1)</f>
        <v/>
      </c>
      <c r="CT2" s="14" t="str">
        <f ca="1">IF(CT$1="","",'Total Value'!CT14/'Total Value'!$D14-1)</f>
        <v/>
      </c>
      <c r="CU2" s="14" t="str">
        <f ca="1">IF(CU$1="","",'Total Value'!CU14/'Total Value'!$D14-1)</f>
        <v/>
      </c>
      <c r="CV2" s="14" t="str">
        <f ca="1">IF(CV$1="","",'Total Value'!CV14/'Total Value'!$D14-1)</f>
        <v/>
      </c>
      <c r="CW2" s="14" t="str">
        <f ca="1">IF(CW$1="","",'Total Value'!CW14/'Total Value'!$D14-1)</f>
        <v/>
      </c>
      <c r="CX2" s="14" t="str">
        <f ca="1">IF(CX$1="","",'Total Value'!CX14/'Total Value'!$D14-1)</f>
        <v/>
      </c>
      <c r="CY2" s="14" t="str">
        <f ca="1">IF(CY$1="","",'Total Value'!CY14/'Total Value'!$D14-1)</f>
        <v/>
      </c>
      <c r="CZ2" s="14" t="str">
        <f ca="1">IF(CZ$1="","",'Total Value'!CZ14/'Total Value'!$D14-1)</f>
        <v/>
      </c>
      <c r="DA2" s="14" t="str">
        <f ca="1">IF(DA$1="","",'Total Value'!DA14/'Total Value'!$D14-1)</f>
        <v/>
      </c>
      <c r="DB2" s="14" t="str">
        <f ca="1">IF(DB$1="","",'Total Value'!DB14/'Total Value'!$D14-1)</f>
        <v/>
      </c>
      <c r="DC2" s="14" t="str">
        <f ca="1">IF(DC$1="","",'Total Value'!DC14/'Total Value'!$D14-1)</f>
        <v/>
      </c>
      <c r="DD2" s="14" t="str">
        <f ca="1">IF(DD$1="","",'Total Value'!DD14/'Total Value'!$D14-1)</f>
        <v/>
      </c>
      <c r="DE2" s="14" t="str">
        <f ca="1">IF(DE$1="","",'Total Value'!DE14/'Total Value'!$D14-1)</f>
        <v/>
      </c>
      <c r="DF2" s="14" t="str">
        <f ca="1">IF(DF$1="","",'Total Value'!DF14/'Total Value'!$D14-1)</f>
        <v/>
      </c>
      <c r="DG2" s="14" t="str">
        <f ca="1">IF(DG$1="","",'Total Value'!DG14/'Total Value'!$D14-1)</f>
        <v/>
      </c>
      <c r="DH2" s="14" t="str">
        <f ca="1">IF(DH$1="","",'Total Value'!DH14/'Total Value'!$D14-1)</f>
        <v/>
      </c>
      <c r="DI2" s="14" t="str">
        <f ca="1">IF(DI$1="","",'Total Value'!DI14/'Total Value'!$D14-1)</f>
        <v/>
      </c>
      <c r="DJ2" s="14" t="str">
        <f ca="1">IF(DJ$1="","",'Total Value'!DJ14/'Total Value'!$D14-1)</f>
        <v/>
      </c>
      <c r="DK2" s="14" t="str">
        <f ca="1">IF(DK$1="","",'Total Value'!DK14/'Total Value'!$D14-1)</f>
        <v/>
      </c>
      <c r="DL2" s="14" t="str">
        <f ca="1">IF(DL$1="","",'Total Value'!DL14/'Total Value'!$D14-1)</f>
        <v/>
      </c>
      <c r="DM2" s="14" t="str">
        <f ca="1">IF(DM$1="","",'Total Value'!DM14/'Total Value'!$D14-1)</f>
        <v/>
      </c>
      <c r="DN2" s="14" t="str">
        <f ca="1">IF(DN$1="","",'Total Value'!DN14/'Total Value'!$D14-1)</f>
        <v/>
      </c>
      <c r="DO2" s="14" t="str">
        <f ca="1">IF(DO$1="","",'Total Value'!DO14/'Total Value'!$D14-1)</f>
        <v/>
      </c>
      <c r="DP2" s="14" t="str">
        <f ca="1">IF(DP$1="","",'Total Value'!DP14/'Total Value'!$D14-1)</f>
        <v/>
      </c>
      <c r="DQ2" s="14" t="str">
        <f ca="1">IF(DQ$1="","",'Total Value'!DQ14/'Total Value'!$D14-1)</f>
        <v/>
      </c>
      <c r="DR2" s="14" t="str">
        <f ca="1">IF(DR$1="","",'Total Value'!DR14/'Total Value'!$D14-1)</f>
        <v/>
      </c>
      <c r="DS2" s="14" t="str">
        <f ca="1">IF(DS$1="","",'Total Value'!DS14/'Total Value'!$D14-1)</f>
        <v/>
      </c>
      <c r="DT2" s="14" t="str">
        <f ca="1">IF(DT$1="","",'Total Value'!DT14/'Total Value'!$D14-1)</f>
        <v/>
      </c>
      <c r="DU2" s="14" t="str">
        <f ca="1">IF(DU$1="","",'Total Value'!DU14/'Total Value'!$D14-1)</f>
        <v/>
      </c>
      <c r="DV2" s="14" t="str">
        <f ca="1">IF(DV$1="","",'Total Value'!DV14/'Total Value'!$D14-1)</f>
        <v/>
      </c>
      <c r="DW2" s="14" t="str">
        <f ca="1">IF(DW$1="","",'Total Value'!DW14/'Total Value'!$D14-1)</f>
        <v/>
      </c>
      <c r="DX2" s="14" t="str">
        <f ca="1">IF(DX$1="","",'Total Value'!DX14/'Total Value'!$D14-1)</f>
        <v/>
      </c>
      <c r="DY2" s="14" t="str">
        <f ca="1">IF(DY$1="","",'Total Value'!DY14/'Total Value'!$D14-1)</f>
        <v/>
      </c>
      <c r="DZ2" s="14" t="str">
        <f ca="1">IF(DZ$1="","",'Total Value'!DZ14/'Total Value'!$D14-1)</f>
        <v/>
      </c>
      <c r="EA2" s="14" t="str">
        <f ca="1">IF(EA$1="","",'Total Value'!EA14/'Total Value'!$D14-1)</f>
        <v/>
      </c>
      <c r="EB2" s="14" t="str">
        <f ca="1">IF(EB$1="","",'Total Value'!EB14/'Total Value'!$D14-1)</f>
        <v/>
      </c>
      <c r="EC2" s="14" t="str">
        <f ca="1">IF(EC$1="","",'Total Value'!EC14/'Total Value'!$D14-1)</f>
        <v/>
      </c>
      <c r="ED2" s="14" t="str">
        <f ca="1">IF(ED$1="","",'Total Value'!ED14/'Total Value'!$D14-1)</f>
        <v/>
      </c>
      <c r="EE2" s="14" t="str">
        <f ca="1">IF(EE$1="","",'Total Value'!EE14/'Total Value'!$D14-1)</f>
        <v/>
      </c>
      <c r="EF2" s="14" t="str">
        <f ca="1">IF(EF$1="","",'Total Value'!EF14/'Total Value'!$D14-1)</f>
        <v/>
      </c>
      <c r="EG2" s="14" t="str">
        <f ca="1">IF(EG$1="","",'Total Value'!EG14/'Total Value'!$D14-1)</f>
        <v/>
      </c>
      <c r="EH2" s="14" t="str">
        <f ca="1">IF(EH$1="","",'Total Value'!EH14/'Total Value'!$D14-1)</f>
        <v/>
      </c>
      <c r="EI2" s="14" t="str">
        <f ca="1">IF(EI$1="","",'Total Value'!EI14/'Total Value'!$D14-1)</f>
        <v/>
      </c>
      <c r="EJ2" s="14" t="str">
        <f ca="1">IF(EJ$1="","",'Total Value'!EJ14/'Total Value'!$D14-1)</f>
        <v/>
      </c>
      <c r="EK2" s="14" t="str">
        <f ca="1">IF(EK$1="","",'Total Value'!EK14/'Total Value'!$D14-1)</f>
        <v/>
      </c>
      <c r="EL2" s="14" t="str">
        <f ca="1">IF(EL$1="","",'Total Value'!EL14/'Total Value'!$D14-1)</f>
        <v/>
      </c>
      <c r="EM2" s="14" t="str">
        <f ca="1">IF(EM$1="","",'Total Value'!EM14/'Total Value'!$D14-1)</f>
        <v/>
      </c>
      <c r="EN2" s="14" t="str">
        <f ca="1">IF(EN$1="","",'Total Value'!EN14/'Total Value'!$D14-1)</f>
        <v/>
      </c>
      <c r="EO2" s="14" t="str">
        <f ca="1">IF(EO$1="","",'Total Value'!EO14/'Total Value'!$D14-1)</f>
        <v/>
      </c>
      <c r="EP2" s="14" t="str">
        <f ca="1">IF(EP$1="","",'Total Value'!EP14/'Total Value'!$D14-1)</f>
        <v/>
      </c>
      <c r="EQ2" s="14" t="str">
        <f ca="1">IF(EQ$1="","",'Total Value'!EQ14/'Total Value'!$D14-1)</f>
        <v/>
      </c>
      <c r="ER2" s="14" t="str">
        <f ca="1">IF(ER$1="","",'Total Value'!ER14/'Total Value'!$D14-1)</f>
        <v/>
      </c>
      <c r="ES2" s="14" t="str">
        <f ca="1">IF(ES$1="","",'Total Value'!ES14/'Total Value'!$D14-1)</f>
        <v/>
      </c>
      <c r="ET2" s="14" t="str">
        <f ca="1">IF(ET$1="","",'Total Value'!ET14/'Total Value'!$D14-1)</f>
        <v/>
      </c>
      <c r="EU2" s="14" t="str">
        <f ca="1">IF(EU$1="","",'Total Value'!EU14/'Total Value'!$D14-1)</f>
        <v/>
      </c>
      <c r="EV2" s="14" t="str">
        <f ca="1">IF(EV$1="","",'Total Value'!EV14/'Total Value'!$D14-1)</f>
        <v/>
      </c>
      <c r="EW2" s="14" t="str">
        <f ca="1">IF(EW$1="","",'Total Value'!EW14/'Total Value'!$D14-1)</f>
        <v/>
      </c>
      <c r="EX2" s="14" t="str">
        <f ca="1">IF(EX$1="","",'Total Value'!EX14/'Total Value'!$D14-1)</f>
        <v/>
      </c>
      <c r="EY2" s="14" t="str">
        <f ca="1">IF(EY$1="","",'Total Value'!EY14/'Total Value'!$D14-1)</f>
        <v/>
      </c>
      <c r="EZ2" s="14" t="str">
        <f ca="1">IF(EZ$1="","",'Total Value'!EZ14/'Total Value'!$D14-1)</f>
        <v/>
      </c>
      <c r="FA2" s="14" t="str">
        <f ca="1">IF(FA$1="","",'Total Value'!FA14/'Total Value'!$D14-1)</f>
        <v/>
      </c>
      <c r="FB2" s="14" t="str">
        <f ca="1">IF(FB$1="","",'Total Value'!FB14/'Total Value'!$D14-1)</f>
        <v/>
      </c>
      <c r="FC2" s="14" t="str">
        <f ca="1">IF(FC$1="","",'Total Value'!FC14/'Total Value'!$D14-1)</f>
        <v/>
      </c>
      <c r="FD2" s="14" t="str">
        <f ca="1">IF(FD$1="","",'Total Value'!FD14/'Total Value'!$D14-1)</f>
        <v/>
      </c>
      <c r="FE2" s="14" t="str">
        <f ca="1">IF(FE$1="","",'Total Value'!FE14/'Total Value'!$D14-1)</f>
        <v/>
      </c>
      <c r="FF2" s="14" t="str">
        <f ca="1">IF(FF$1="","",'Total Value'!FF14/'Total Value'!$D14-1)</f>
        <v/>
      </c>
      <c r="FG2" s="14" t="str">
        <f ca="1">IF(FG$1="","",'Total Value'!FG14/'Total Value'!$D14-1)</f>
        <v/>
      </c>
      <c r="FH2" s="14" t="str">
        <f ca="1">IF(FH$1="","",'Total Value'!FH14/'Total Value'!$D14-1)</f>
        <v/>
      </c>
      <c r="FI2" s="14" t="str">
        <f ca="1">IF(FI$1="","",'Total Value'!FI14/'Total Value'!$D14-1)</f>
        <v/>
      </c>
      <c r="FJ2" s="14" t="str">
        <f ca="1">IF(FJ$1="","",'Total Value'!FJ14/'Total Value'!$D14-1)</f>
        <v/>
      </c>
      <c r="FK2" s="14" t="str">
        <f ca="1">IF(FK$1="","",'Total Value'!FK14/'Total Value'!$D14-1)</f>
        <v/>
      </c>
      <c r="FL2" s="14" t="str">
        <f ca="1">IF(FL$1="","",'Total Value'!FL14/'Total Value'!$D14-1)</f>
        <v/>
      </c>
      <c r="FM2" s="14" t="str">
        <f ca="1">IF(FM$1="","",'Total Value'!FM14/'Total Value'!$D14-1)</f>
        <v/>
      </c>
      <c r="FN2" s="14" t="str">
        <f ca="1">IF(FN$1="","",'Total Value'!FN14/'Total Value'!$D14-1)</f>
        <v/>
      </c>
      <c r="FO2" s="14" t="str">
        <f ca="1">IF(FO$1="","",'Total Value'!FO14/'Total Value'!$D14-1)</f>
        <v/>
      </c>
      <c r="FP2" s="14" t="str">
        <f ca="1">IF(FP$1="","",'Total Value'!FP14/'Total Value'!$D14-1)</f>
        <v/>
      </c>
      <c r="FQ2" s="14" t="str">
        <f ca="1">IF(FQ$1="","",'Total Value'!FQ14/'Total Value'!$D14-1)</f>
        <v/>
      </c>
      <c r="FR2" s="14" t="str">
        <f ca="1">IF(FR$1="","",'Total Value'!FR14/'Total Value'!$D14-1)</f>
        <v/>
      </c>
      <c r="FS2" s="14" t="str">
        <f ca="1">IF(FS$1="","",'Total Value'!FS14/'Total Value'!$D14-1)</f>
        <v/>
      </c>
      <c r="FT2" s="14" t="str">
        <f ca="1">IF(FT$1="","",'Total Value'!FT14/'Total Value'!$D14-1)</f>
        <v/>
      </c>
      <c r="FU2" s="14" t="str">
        <f ca="1">IF(FU$1="","",'Total Value'!FU14/'Total Value'!$D14-1)</f>
        <v/>
      </c>
      <c r="FV2" s="14" t="str">
        <f ca="1">IF(FV$1="","",'Total Value'!FV14/'Total Value'!$D14-1)</f>
        <v/>
      </c>
      <c r="FW2" s="14" t="str">
        <f ca="1">IF(FW$1="","",'Total Value'!FW14/'Total Value'!$D14-1)</f>
        <v/>
      </c>
      <c r="FX2" s="14" t="str">
        <f ca="1">IF(FX$1="","",'Total Value'!FX14/'Total Value'!$D14-1)</f>
        <v/>
      </c>
      <c r="FY2" s="14" t="str">
        <f ca="1">IF(FY$1="","",'Total Value'!FY14/'Total Value'!$D14-1)</f>
        <v/>
      </c>
      <c r="FZ2" s="14" t="str">
        <f ca="1">IF(FZ$1="","",'Total Value'!FZ14/'Total Value'!$D14-1)</f>
        <v/>
      </c>
      <c r="GA2" s="14" t="str">
        <f ca="1">IF(GA$1="","",'Total Value'!GA14/'Total Value'!$D14-1)</f>
        <v/>
      </c>
      <c r="GB2" s="14" t="str">
        <f ca="1">IF(GB$1="","",'Total Value'!GB14/'Total Value'!$D14-1)</f>
        <v/>
      </c>
      <c r="GC2" s="14" t="str">
        <f ca="1">IF(GC$1="","",'Total Value'!GC14/'Total Value'!$D14-1)</f>
        <v/>
      </c>
      <c r="GD2" s="14" t="str">
        <f ca="1">IF(GD$1="","",'Total Value'!GD14/'Total Value'!$D14-1)</f>
        <v/>
      </c>
      <c r="GE2" s="14" t="str">
        <f ca="1">IF(GE$1="","",'Total Value'!GE14/'Total Value'!$D14-1)</f>
        <v/>
      </c>
      <c r="GF2" s="14" t="str">
        <f ca="1">IF(GF$1="","",'Total Value'!GF14/'Total Value'!$D14-1)</f>
        <v/>
      </c>
      <c r="GG2" s="14" t="str">
        <f ca="1">IF(GG$1="","",'Total Value'!GG14/'Total Value'!$D14-1)</f>
        <v/>
      </c>
      <c r="GH2" s="14" t="str">
        <f ca="1">IF(GH$1="","",'Total Value'!GH14/'Total Value'!$D14-1)</f>
        <v/>
      </c>
      <c r="GI2" s="14" t="str">
        <f ca="1">IF(GI$1="","",'Total Value'!GI14/'Total Value'!$D14-1)</f>
        <v/>
      </c>
      <c r="GJ2" s="14" t="str">
        <f ca="1">IF(GJ$1="","",'Total Value'!GJ14/'Total Value'!$D14-1)</f>
        <v/>
      </c>
      <c r="GK2" s="14" t="str">
        <f ca="1">IF(GK$1="","",'Total Value'!GK14/'Total Value'!$D14-1)</f>
        <v/>
      </c>
      <c r="GL2" s="14" t="str">
        <f ca="1">IF(GL$1="","",'Total Value'!GL14/'Total Value'!$D14-1)</f>
        <v/>
      </c>
      <c r="GM2" s="14" t="str">
        <f ca="1">IF(GM$1="","",'Total Value'!GM14/'Total Value'!$D14-1)</f>
        <v/>
      </c>
      <c r="GN2" s="14" t="str">
        <f ca="1">IF(GN$1="","",'Total Value'!GN14/'Total Value'!$D14-1)</f>
        <v/>
      </c>
      <c r="GO2" s="14" t="str">
        <f ca="1">IF(GO$1="","",'Total Value'!GO14/'Total Value'!$D14-1)</f>
        <v/>
      </c>
      <c r="GP2" s="14" t="str">
        <f ca="1">IF(GP$1="","",'Total Value'!GP14/'Total Value'!$D14-1)</f>
        <v/>
      </c>
      <c r="GQ2" s="14" t="str">
        <f ca="1">IF(GQ$1="","",'Total Value'!GQ14/'Total Value'!$D14-1)</f>
        <v/>
      </c>
      <c r="GR2" s="14" t="str">
        <f ca="1">IF(GR$1="","",'Total Value'!GR14/'Total Value'!$D14-1)</f>
        <v/>
      </c>
      <c r="GS2" s="14" t="str">
        <f ca="1">IF(GS$1="","",'Total Value'!GS14/'Total Value'!$D14-1)</f>
        <v/>
      </c>
      <c r="GT2" s="14" t="str">
        <f ca="1">IF(GT$1="","",'Total Value'!GT14/'Total Value'!$D14-1)</f>
        <v/>
      </c>
      <c r="GU2" s="14" t="str">
        <f ca="1">IF(GU$1="","",'Total Value'!GU14/'Total Value'!$D14-1)</f>
        <v/>
      </c>
      <c r="GV2" s="14" t="str">
        <f ca="1">IF(GV$1="","",'Total Value'!GV14/'Total Value'!$D14-1)</f>
        <v/>
      </c>
      <c r="GW2" s="14" t="str">
        <f ca="1">IF(GW$1="","",'Total Value'!GW14/'Total Value'!$D14-1)</f>
        <v/>
      </c>
      <c r="GX2" s="14" t="str">
        <f ca="1">IF(GX$1="","",'Total Value'!GX14/'Total Value'!$D14-1)</f>
        <v/>
      </c>
      <c r="GY2" s="14" t="str">
        <f ca="1">IF(GY$1="","",'Total Value'!GY14/'Total Value'!$D14-1)</f>
        <v/>
      </c>
      <c r="GZ2" s="14" t="str">
        <f ca="1">IF(GZ$1="","",'Total Value'!GZ14/'Total Value'!$D14-1)</f>
        <v/>
      </c>
      <c r="HA2" s="14" t="str">
        <f ca="1">IF(HA$1="","",'Total Value'!HA14/'Total Value'!$D14-1)</f>
        <v/>
      </c>
      <c r="HB2" s="14" t="str">
        <f ca="1">IF(HB$1="","",'Total Value'!HB14/'Total Value'!$D14-1)</f>
        <v/>
      </c>
      <c r="HC2" s="14" t="str">
        <f ca="1">IF(HC$1="","",'Total Value'!HC14/'Total Value'!$D14-1)</f>
        <v/>
      </c>
      <c r="HD2" s="14" t="str">
        <f ca="1">IF(HD$1="","",'Total Value'!HD14/'Total Value'!$D14-1)</f>
        <v/>
      </c>
      <c r="HE2" s="14" t="str">
        <f ca="1">IF(HE$1="","",'Total Value'!HE14/'Total Value'!$D14-1)</f>
        <v/>
      </c>
      <c r="HF2" s="14" t="str">
        <f ca="1">IF(HF$1="","",'Total Value'!HF14/'Total Value'!$D14-1)</f>
        <v/>
      </c>
      <c r="HG2" s="14" t="str">
        <f ca="1">IF(HG$1="","",'Total Value'!HG14/'Total Value'!$D14-1)</f>
        <v/>
      </c>
      <c r="HH2" s="14" t="str">
        <f ca="1">IF(HH$1="","",'Total Value'!HH14/'Total Value'!$D14-1)</f>
        <v/>
      </c>
      <c r="HI2" s="14" t="str">
        <f ca="1">IF(HI$1="","",'Total Value'!HI14/'Total Value'!$D14-1)</f>
        <v/>
      </c>
      <c r="HJ2" s="14" t="str">
        <f ca="1">IF(HJ$1="","",'Total Value'!HJ14/'Total Value'!$D14-1)</f>
        <v/>
      </c>
      <c r="HK2" s="14" t="str">
        <f ca="1">IF(HK$1="","",'Total Value'!HK14/'Total Value'!$D14-1)</f>
        <v/>
      </c>
      <c r="HL2" s="14" t="str">
        <f ca="1">IF(HL$1="","",'Total Value'!HL14/'Total Value'!$D14-1)</f>
        <v/>
      </c>
      <c r="HM2" s="14" t="str">
        <f ca="1">IF(HM$1="","",'Total Value'!HM14/'Total Value'!$D14-1)</f>
        <v/>
      </c>
      <c r="HN2" s="14" t="str">
        <f ca="1">IF(HN$1="","",'Total Value'!HN14/'Total Value'!$D14-1)</f>
        <v/>
      </c>
      <c r="HO2" s="14" t="str">
        <f ca="1">IF(HO$1="","",'Total Value'!HO14/'Total Value'!$D14-1)</f>
        <v/>
      </c>
      <c r="HP2" s="14" t="str">
        <f ca="1">IF(HP$1="","",'Total Value'!HP14/'Total Value'!$D14-1)</f>
        <v/>
      </c>
      <c r="HQ2" s="14" t="str">
        <f ca="1">IF(HQ$1="","",'Total Value'!HQ14/'Total Value'!$D14-1)</f>
        <v/>
      </c>
      <c r="HR2" s="14" t="str">
        <f ca="1">IF(HR$1="","",'Total Value'!HR14/'Total Value'!$D14-1)</f>
        <v/>
      </c>
      <c r="HS2" s="14" t="str">
        <f ca="1">IF(HS$1="","",'Total Value'!HS14/'Total Value'!$D14-1)</f>
        <v/>
      </c>
      <c r="HT2" s="14" t="str">
        <f ca="1">IF(HT$1="","",'Total Value'!HT14/'Total Value'!$D14-1)</f>
        <v/>
      </c>
      <c r="HU2" s="14" t="str">
        <f ca="1">IF(HU$1="","",'Total Value'!HU14/'Total Value'!$D14-1)</f>
        <v/>
      </c>
      <c r="HV2" s="14" t="str">
        <f ca="1">IF(HV$1="","",'Total Value'!HV14/'Total Value'!$D14-1)</f>
        <v/>
      </c>
      <c r="HW2" s="14" t="str">
        <f ca="1">IF(HW$1="","",'Total Value'!HW14/'Total Value'!$D14-1)</f>
        <v/>
      </c>
      <c r="HX2" s="14" t="str">
        <f ca="1">IF(HX$1="","",'Total Value'!HX14/'Total Value'!$D14-1)</f>
        <v/>
      </c>
      <c r="HY2" s="14" t="str">
        <f ca="1">IF(HY$1="","",'Total Value'!HY14/'Total Value'!$D14-1)</f>
        <v/>
      </c>
      <c r="HZ2" s="14" t="str">
        <f ca="1">IF(HZ$1="","",'Total Value'!HZ14/'Total Value'!$D14-1)</f>
        <v/>
      </c>
      <c r="IA2" s="14" t="str">
        <f ca="1">IF(IA$1="","",'Total Value'!IA14/'Total Value'!$D14-1)</f>
        <v/>
      </c>
      <c r="IB2" s="14" t="str">
        <f ca="1">IF(IB$1="","",'Total Value'!IB14/'Total Value'!$D14-1)</f>
        <v/>
      </c>
      <c r="IC2" s="14" t="str">
        <f ca="1">IF(IC$1="","",'Total Value'!IC14/'Total Value'!$D14-1)</f>
        <v/>
      </c>
      <c r="ID2" s="14" t="str">
        <f ca="1">IF(ID$1="","",'Total Value'!ID14/'Total Value'!$D14-1)</f>
        <v/>
      </c>
      <c r="IE2" s="14" t="str">
        <f ca="1">IF(IE$1="","",'Total Value'!IE14/'Total Value'!$D14-1)</f>
        <v/>
      </c>
      <c r="IF2" s="14" t="str">
        <f ca="1">IF(IF$1="","",'Total Value'!IF14/'Total Value'!$D14-1)</f>
        <v/>
      </c>
      <c r="IG2" s="14" t="str">
        <f ca="1">IF(IG$1="","",'Total Value'!IG14/'Total Value'!$D14-1)</f>
        <v/>
      </c>
      <c r="IH2" s="14" t="str">
        <f ca="1">IF(IH$1="","",'Total Value'!IH14/'Total Value'!$D14-1)</f>
        <v/>
      </c>
      <c r="II2" s="14" t="str">
        <f ca="1">IF(II$1="","",'Total Value'!II14/'Total Value'!$D14-1)</f>
        <v/>
      </c>
      <c r="IJ2" s="14" t="str">
        <f ca="1">IF(IJ$1="","",'Total Value'!IJ14/'Total Value'!$D14-1)</f>
        <v/>
      </c>
      <c r="IK2" s="14" t="str">
        <f ca="1">IF(IK$1="","",'Total Value'!IK14/'Total Value'!$D14-1)</f>
        <v/>
      </c>
      <c r="IL2" s="14" t="str">
        <f ca="1">IF(IL$1="","",'Total Value'!IL14/'Total Value'!$D14-1)</f>
        <v/>
      </c>
      <c r="IM2" s="14" t="str">
        <f ca="1">IF(IM$1="","",'Total Value'!IM14/'Total Value'!$D14-1)</f>
        <v/>
      </c>
      <c r="IN2" s="14" t="str">
        <f ca="1">IF(IN$1="","",'Total Value'!IN14/'Total Value'!$D14-1)</f>
        <v/>
      </c>
      <c r="IO2" s="14" t="str">
        <f ca="1">IF(IO$1="","",'Total Value'!IO14/'Total Value'!$D14-1)</f>
        <v/>
      </c>
      <c r="IP2" s="14" t="str">
        <f ca="1">IF(IP$1="","",'Total Value'!IP14/'Total Value'!$D14-1)</f>
        <v/>
      </c>
      <c r="IQ2" s="14" t="str">
        <f ca="1">IF(IQ$1="","",'Total Value'!IQ14/'Total Value'!$D14-1)</f>
        <v/>
      </c>
      <c r="IR2" s="14" t="str">
        <f ca="1">IF(IR$1="","",'Total Value'!IR14/'Total Value'!$D14-1)</f>
        <v/>
      </c>
      <c r="IS2" s="14" t="str">
        <f ca="1">IF(IS$1="","",'Total Value'!IS14/'Total Value'!$D14-1)</f>
        <v/>
      </c>
      <c r="IT2" s="14" t="str">
        <f ca="1">IF(IT$1="","",'Total Value'!IT14/'Total Value'!$D14-1)</f>
        <v/>
      </c>
      <c r="IU2" s="14" t="str">
        <f ca="1">IF(IU$1="","",'Total Value'!IU14/'Total Value'!$D14-1)</f>
        <v/>
      </c>
      <c r="IV2" s="14" t="str">
        <f ca="1">IF(IV$1="","",'Total Value'!IV14/'Total Value'!$D14-1)</f>
        <v/>
      </c>
      <c r="IW2" s="14" t="str">
        <f ca="1">IF(IW$1="","",'Total Value'!IW14/'Total Value'!$D14-1)</f>
        <v/>
      </c>
      <c r="IX2" s="14" t="str">
        <f ca="1">IF(IX$1="","",'Total Value'!IX14/'Total Value'!$D14-1)</f>
        <v/>
      </c>
      <c r="IY2" s="14" t="str">
        <f ca="1">IF(IY$1="","",'Total Value'!IY14/'Total Value'!$D14-1)</f>
        <v/>
      </c>
      <c r="IZ2" s="14" t="str">
        <f ca="1">IF(IZ$1="","",'Total Value'!IZ14/'Total Value'!$D14-1)</f>
        <v/>
      </c>
      <c r="JA2" s="14" t="str">
        <f ca="1">IF(JA$1="","",'Total Value'!JA14/'Total Value'!$D14-1)</f>
        <v/>
      </c>
      <c r="JB2" s="14" t="str">
        <f ca="1">IF(JB$1="","",'Total Value'!JB14/'Total Value'!$D14-1)</f>
        <v/>
      </c>
      <c r="JC2" s="14" t="str">
        <f ca="1">IF(JC$1="","",'Total Value'!JC14/'Total Value'!$D14-1)</f>
        <v/>
      </c>
      <c r="JD2" s="14" t="str">
        <f ca="1">IF(JD$1="","",'Total Value'!JD14/'Total Value'!$D14-1)</f>
        <v/>
      </c>
      <c r="JE2" s="14" t="str">
        <f ca="1">IF(JE$1="","",'Total Value'!JE14/'Total Value'!$D14-1)</f>
        <v/>
      </c>
      <c r="JF2" s="14" t="str">
        <f ca="1">IF(JF$1="","",'Total Value'!JF14/'Total Value'!$D14-1)</f>
        <v/>
      </c>
      <c r="JG2" s="14" t="str">
        <f ca="1">IF(JG$1="","",'Total Value'!JG14/'Total Value'!$D14-1)</f>
        <v/>
      </c>
      <c r="JH2" s="14" t="str">
        <f ca="1">IF(JH$1="","",'Total Value'!JH14/'Total Value'!$D14-1)</f>
        <v/>
      </c>
      <c r="JI2" s="14" t="str">
        <f ca="1">IF(JI$1="","",'Total Value'!JI14/'Total Value'!$D14-1)</f>
        <v/>
      </c>
      <c r="JJ2" s="14" t="str">
        <f ca="1">IF(JJ$1="","",'Total Value'!JJ14/'Total Value'!$D14-1)</f>
        <v/>
      </c>
      <c r="JK2" s="14" t="str">
        <f ca="1">IF(JK$1="","",'Total Value'!JK14/'Total Value'!$D14-1)</f>
        <v/>
      </c>
      <c r="JL2" s="14" t="str">
        <f ca="1">IF(JL$1="","",'Total Value'!JL14/'Total Value'!$D14-1)</f>
        <v/>
      </c>
      <c r="JM2" s="14" t="str">
        <f ca="1">IF(JM$1="","",'Total Value'!JM14/'Total Value'!$D14-1)</f>
        <v/>
      </c>
      <c r="JN2" s="14" t="str">
        <f ca="1">IF(JN$1="","",'Total Value'!JN14/'Total Value'!$D14-1)</f>
        <v/>
      </c>
      <c r="JO2" s="14" t="str">
        <f ca="1">IF(JO$1="","",'Total Value'!JO14/'Total Value'!$D14-1)</f>
        <v/>
      </c>
      <c r="JP2" s="14" t="str">
        <f ca="1">IF(JP$1="","",'Total Value'!JP14/'Total Value'!$D14-1)</f>
        <v/>
      </c>
      <c r="JQ2" s="14" t="str">
        <f ca="1">IF(JQ$1="","",'Total Value'!JQ14/'Total Value'!$D14-1)</f>
        <v/>
      </c>
      <c r="JR2" s="14" t="str">
        <f ca="1">IF(JR$1="","",'Total Value'!JR14/'Total Value'!$D14-1)</f>
        <v/>
      </c>
      <c r="JS2" s="14" t="str">
        <f ca="1">IF(JS$1="","",'Total Value'!JS14/'Total Value'!$D14-1)</f>
        <v/>
      </c>
      <c r="JT2" s="14" t="str">
        <f ca="1">IF(JT$1="","",'Total Value'!JT14/'Total Value'!$D14-1)</f>
        <v/>
      </c>
      <c r="JU2" s="14" t="str">
        <f ca="1">IF(JU$1="","",'Total Value'!JU14/'Total Value'!$D14-1)</f>
        <v/>
      </c>
      <c r="JV2" s="14" t="str">
        <f ca="1">IF(JV$1="","",'Total Value'!JV14/'Total Value'!$D14-1)</f>
        <v/>
      </c>
      <c r="JW2" s="14" t="str">
        <f ca="1">IF(JW$1="","",'Total Value'!JW14/'Total Value'!$D14-1)</f>
        <v/>
      </c>
      <c r="JX2" s="14" t="str">
        <f ca="1">IF(JX$1="","",'Total Value'!JX14/'Total Value'!$D14-1)</f>
        <v/>
      </c>
      <c r="JY2" s="14" t="str">
        <f ca="1">IF(JY$1="","",'Total Value'!JY14/'Total Value'!$D14-1)</f>
        <v/>
      </c>
      <c r="JZ2" s="14" t="str">
        <f ca="1">IF(JZ$1="","",'Total Value'!JZ14/'Total Value'!$D14-1)</f>
        <v/>
      </c>
      <c r="KA2" s="14" t="str">
        <f ca="1">IF(KA$1="","",'Total Value'!KA14/'Total Value'!$D14-1)</f>
        <v/>
      </c>
      <c r="KB2" s="14" t="str">
        <f ca="1">IF(KB$1="","",'Total Value'!KB14/'Total Value'!$D14-1)</f>
        <v/>
      </c>
    </row>
    <row r="3" spans="1:288" ht="15.75" customHeight="1">
      <c r="A3" s="9" t="s">
        <v>30</v>
      </c>
      <c r="B3" s="6" t="s">
        <v>48</v>
      </c>
      <c r="C3" s="26">
        <v>93</v>
      </c>
      <c r="D3" s="13">
        <v>0</v>
      </c>
      <c r="E3" s="14">
        <f ca="1">IF(E$1="","",'Total Value'!E15/'Total Value'!$D15-1)</f>
        <v>1.1258741258741267E-2</v>
      </c>
      <c r="F3" s="14">
        <f ca="1">IF(F$1="","",'Total Value'!F15/'Total Value'!$D15-1)</f>
        <v>2.4300699300698891E-3</v>
      </c>
      <c r="G3" s="14">
        <f ca="1">IF(G$1="","",'Total Value'!G15/'Total Value'!$D15-1)</f>
        <v>-8.8706293706293682E-2</v>
      </c>
      <c r="H3" s="14">
        <f ca="1">IF(H$1="","",'Total Value'!H15/'Total Value'!$D15-1)</f>
        <v>-7.1643356643356637E-2</v>
      </c>
      <c r="I3" s="14">
        <f ca="1">IF(I$1="","",'Total Value'!I15/'Total Value'!$D15-1)</f>
        <v>-8.6818181818181794E-2</v>
      </c>
      <c r="J3" s="14">
        <f ca="1">IF(J$1="","",'Total Value'!J15/'Total Value'!$D15-1)</f>
        <v>-8.8653846153846305E-2</v>
      </c>
      <c r="K3" s="14">
        <f ca="1">IF(K$1="","",'Total Value'!K15/'Total Value'!$D15-1)</f>
        <v>-9.965034965034969E-2</v>
      </c>
      <c r="L3" s="14">
        <f ca="1">IF(L$1="","",'Total Value'!L15/'Total Value'!$D15-1)</f>
        <v>-0.11234265734265736</v>
      </c>
      <c r="M3" s="14">
        <f ca="1">IF(M$1="","",'Total Value'!M15/'Total Value'!$D15-1)</f>
        <v>-8.0699300699300647E-2</v>
      </c>
      <c r="N3" s="14">
        <f ca="1">IF(N$1="","",'Total Value'!N15/'Total Value'!$D15-1)</f>
        <v>-0.13447552447552458</v>
      </c>
      <c r="O3" s="14">
        <f ca="1">IF(O$1="","",'Total Value'!O15/'Total Value'!$D15-1)</f>
        <v>-0.15311188811188803</v>
      </c>
      <c r="P3" s="14">
        <f ca="1">IF(P$1="","",'Total Value'!P15/'Total Value'!$D15-1)</f>
        <v>-7.5716783216783101E-2</v>
      </c>
      <c r="Q3" s="14">
        <f ca="1">IF(Q$1="","",'Total Value'!Q15/'Total Value'!$D15-1)</f>
        <v>-1.9090909090909047E-2</v>
      </c>
      <c r="R3" s="14">
        <f ca="1">IF(R$1="","",'Total Value'!R15/'Total Value'!$D15-1)</f>
        <v>2.4090909090909163E-2</v>
      </c>
      <c r="S3" s="14">
        <f ca="1">IF(S$1="","",'Total Value'!S15/'Total Value'!$D15-1)</f>
        <v>2.5419580419580257E-2</v>
      </c>
      <c r="T3" s="14">
        <f ca="1">IF(T$1="","",'Total Value'!T15/'Total Value'!$D15-1)</f>
        <v>1.59965034965035E-2</v>
      </c>
      <c r="U3" s="14">
        <f ca="1">IF(U$1="","",'Total Value'!U15/'Total Value'!$D15-1)</f>
        <v>-1.9493006993006934E-2</v>
      </c>
      <c r="V3" s="14">
        <f ca="1">IF(V$1="","",'Total Value'!V15/'Total Value'!$D15-1)</f>
        <v>9.650349650349721E-3</v>
      </c>
      <c r="W3" s="14">
        <f ca="1">IF(W$1="","",'Total Value'!W15/'Total Value'!$D15-1)</f>
        <v>2.0979020979021712E-3</v>
      </c>
      <c r="X3" s="14">
        <f ca="1">IF(X$1="","",'Total Value'!X15/'Total Value'!$D15-1)</f>
        <v>3.3688811188811174E-2</v>
      </c>
      <c r="Y3" s="14">
        <f ca="1">IF(Y$1="","",'Total Value'!Y15/'Total Value'!$D15-1)</f>
        <v>7.337412587412584E-2</v>
      </c>
      <c r="Z3" s="14">
        <f ca="1">IF(Z$1="","",'Total Value'!Z15/'Total Value'!$D15-1)</f>
        <v>6.7237762237762455E-2</v>
      </c>
      <c r="AA3" s="14">
        <f ca="1">IF(AA$1="","",'Total Value'!AA15/'Total Value'!$D15-1)</f>
        <v>2.0489510489510421E-2</v>
      </c>
      <c r="AB3" s="14">
        <f ca="1">IF(AB$1="","",'Total Value'!AB15/'Total Value'!$D15-1)</f>
        <v>1.3251748251748241E-2</v>
      </c>
      <c r="AC3" s="14">
        <f ca="1">IF(AC$1="","",'Total Value'!AC15/'Total Value'!$D15-1)</f>
        <v>3.4370629370629402E-2</v>
      </c>
      <c r="AD3" s="14">
        <f ca="1">IF(AD$1="","",'Total Value'!AD15/'Total Value'!$D15-1)</f>
        <v>3.3024475524475516E-2</v>
      </c>
      <c r="AE3" s="14">
        <f ca="1">IF(AE$1="","",'Total Value'!AE15/'Total Value'!$D15-1)</f>
        <v>-1.0926573426573438E-2</v>
      </c>
      <c r="AF3" s="14">
        <f ca="1">IF(AF$1="","",'Total Value'!AF15/'Total Value'!$D15-1)</f>
        <v>-2.7954545454545454E-2</v>
      </c>
      <c r="AG3" s="14">
        <f ca="1">IF(AG$1="","",'Total Value'!AG15/'Total Value'!$D15-1)</f>
        <v>-3.8199300699300776E-2</v>
      </c>
      <c r="AH3" s="14">
        <f ca="1">IF(AH$1="","",'Total Value'!AH15/'Total Value'!$D15-1)</f>
        <v>-8.2692307692307621E-2</v>
      </c>
      <c r="AI3" s="14">
        <f ca="1">IF(AI$1="","",'Total Value'!AI15/'Total Value'!$D15-1)</f>
        <v>3.4090909090909172E-3</v>
      </c>
      <c r="AJ3" s="14">
        <f ca="1">IF(AJ$1="","",'Total Value'!AJ15/'Total Value'!$D15-1)</f>
        <v>1.4388111888111954E-2</v>
      </c>
      <c r="AK3" s="14">
        <f ca="1">IF(AK$1="","",'Total Value'!AK15/'Total Value'!$D15-1)</f>
        <v>1.3846153846153841E-2</v>
      </c>
      <c r="AL3" s="14">
        <f ca="1">IF(AL$1="","",'Total Value'!AL15/'Total Value'!$D15-1)</f>
        <v>-1.6258741258741161E-3</v>
      </c>
      <c r="AM3" s="14">
        <f ca="1">IF(AM$1="","",'Total Value'!AM15/'Total Value'!$D15-1)</f>
        <v>2.6328671328671227E-2</v>
      </c>
      <c r="AN3" s="14">
        <f ca="1">IF(AN$1="","",'Total Value'!AN15/'Total Value'!$D15-1)</f>
        <v>-1.6940559440559499E-2</v>
      </c>
      <c r="AO3" s="14">
        <f ca="1">IF(AO$1="","",'Total Value'!AO15/'Total Value'!$D15-1)</f>
        <v>-4.3583916083916097E-2</v>
      </c>
      <c r="AP3" s="14">
        <f ca="1">IF(AP$1="","",'Total Value'!AP15/'Total Value'!$D15-1)</f>
        <v>-9.1573426573426486E-2</v>
      </c>
      <c r="AQ3" s="14">
        <f ca="1">IF(AQ$1="","",'Total Value'!AQ15/'Total Value'!$D15-1)</f>
        <v>-9.4055944055943974E-2</v>
      </c>
      <c r="AR3" s="14">
        <f ca="1">IF(AR$1="","",'Total Value'!AR15/'Total Value'!$D15-1)</f>
        <v>-2.171328671328665E-2</v>
      </c>
      <c r="AS3" s="14">
        <f ca="1">IF(AS$1="","",'Total Value'!AS15/'Total Value'!$D15-1)</f>
        <v>-6.7150349650349606E-2</v>
      </c>
      <c r="AT3" s="14">
        <f ca="1">IF(AT$1="","",'Total Value'!AT15/'Total Value'!$D15-1)</f>
        <v>-0.10463286713286724</v>
      </c>
      <c r="AU3" s="14">
        <f ca="1">IF(AU$1="","",'Total Value'!AU15/'Total Value'!$D15-1)</f>
        <v>-0.13444055944055944</v>
      </c>
      <c r="AV3" s="14">
        <f ca="1">IF(AV$1="","",'Total Value'!AV15/'Total Value'!$D15-1)</f>
        <v>-0.10101398601398603</v>
      </c>
      <c r="AW3" s="14">
        <f ca="1">IF(AW$1="","",'Total Value'!AW15/'Total Value'!$D15-1)</f>
        <v>-4.3006993006993066E-2</v>
      </c>
      <c r="AX3" s="14">
        <f ca="1">IF(AX$1="","",'Total Value'!AX15/'Total Value'!$D15-1)</f>
        <v>-9.3006993006993222E-3</v>
      </c>
      <c r="AY3" s="14">
        <f ca="1">IF(AY$1="","",'Total Value'!AY15/'Total Value'!$D15-1)</f>
        <v>1.3776223776223784E-2</v>
      </c>
      <c r="AZ3" s="14">
        <f ca="1">IF(AZ$1="","",'Total Value'!AZ15/'Total Value'!$D15-1)</f>
        <v>-3.8461538461539435E-3</v>
      </c>
      <c r="BA3" s="14">
        <f ca="1">IF(BA$1="","",'Total Value'!BA15/'Total Value'!$D15-1)</f>
        <v>2.9125874125873974E-2</v>
      </c>
      <c r="BB3" s="14">
        <f ca="1">IF(BB$1="","",'Total Value'!BB15/'Total Value'!$D15-1)</f>
        <v>-7.0629370629369248E-3</v>
      </c>
      <c r="BC3" s="14">
        <f ca="1">IF(BC$1="","",'Total Value'!BC15/'Total Value'!$D15-1)</f>
        <v>1.5891608391608525E-2</v>
      </c>
      <c r="BD3" s="14">
        <f ca="1">IF(BD$1="","",'Total Value'!BD15/'Total Value'!$D15-1)</f>
        <v>-1.7709790209790133E-2</v>
      </c>
      <c r="BE3" s="14">
        <f ca="1">IF(BE$1="","",'Total Value'!BE15/'Total Value'!$D15-1)</f>
        <v>1.8811188811188817E-2</v>
      </c>
      <c r="BF3" s="14">
        <f ca="1">IF(BF$1="","",'Total Value'!BF15/'Total Value'!$D15-1)</f>
        <v>4.5017482517482499E-2</v>
      </c>
      <c r="BG3" s="14">
        <f ca="1">IF(BG$1="","",'Total Value'!BG15/'Total Value'!$D15-1)</f>
        <v>3.4790209790209747E-3</v>
      </c>
      <c r="BH3" s="14">
        <f ca="1">IF(BH$1="","",'Total Value'!BH15/'Total Value'!$D15-1)</f>
        <v>-2.6416083916083966E-2</v>
      </c>
      <c r="BI3" s="14">
        <f ca="1">IF(BI$1="","",'Total Value'!BI15/'Total Value'!$D15-1)</f>
        <v>-4.0751748251748099E-2</v>
      </c>
      <c r="BJ3" s="14">
        <f ca="1">IF(BJ$1="","",'Total Value'!BJ15/'Total Value'!$D15-1)</f>
        <v>4.9300699300700579E-3</v>
      </c>
      <c r="BK3" s="14">
        <f ca="1">IF(BK$1="","",'Total Value'!BK15/'Total Value'!$D15-1)</f>
        <v>-3.2832167832167802E-2</v>
      </c>
      <c r="BL3" s="14">
        <f ca="1">IF(BL$1="","",'Total Value'!BL15/'Total Value'!$D15-1)</f>
        <v>-7.7010489510489388E-2</v>
      </c>
      <c r="BM3" s="14">
        <f ca="1">IF(BM$1="","",'Total Value'!BM15/'Total Value'!$D15-1)</f>
        <v>-7.3811188811188755E-2</v>
      </c>
      <c r="BN3" s="14">
        <f ca="1">IF(BN$1="","",'Total Value'!BN15/'Total Value'!$D15-1)</f>
        <v>-9.8601398601398493E-2</v>
      </c>
      <c r="BO3" s="14">
        <f ca="1">IF(BO$1="","",'Total Value'!BO15/'Total Value'!$D15-1)</f>
        <v>-0.10590909090909084</v>
      </c>
      <c r="BP3" s="14">
        <f ca="1">IF(BP$1="","",'Total Value'!BP15/'Total Value'!$D15-1)</f>
        <v>-0.10802447552447558</v>
      </c>
      <c r="BQ3" s="14">
        <f ca="1">IF(BQ$1="","",'Total Value'!BQ15/'Total Value'!$D15-1)</f>
        <v>-8.029720279720276E-2</v>
      </c>
      <c r="BR3" s="14">
        <f ca="1">IF(BR$1="","",'Total Value'!BR15/'Total Value'!$D15-1)</f>
        <v>-0.11305944055944062</v>
      </c>
      <c r="BS3" s="14">
        <f ca="1">IF(BS$1="","",'Total Value'!BS15/'Total Value'!$D15-1)</f>
        <v>-0.13019230769230772</v>
      </c>
      <c r="BT3" s="14">
        <f ca="1">IF(BT$1="","",'Total Value'!BT15/'Total Value'!$D15-1)</f>
        <v>-0.10069930069930078</v>
      </c>
      <c r="BU3" s="14">
        <f ca="1">IF(BU$1="","",'Total Value'!BU15/'Total Value'!$D15-1)</f>
        <v>-0.11674825174825176</v>
      </c>
      <c r="BV3" s="14">
        <f ca="1">IF(BV$1="","",'Total Value'!BV15/'Total Value'!$D15-1)</f>
        <v>-0.14043706293706282</v>
      </c>
      <c r="BW3" s="14">
        <f ca="1">IF(BW$1="","",'Total Value'!BW15/'Total Value'!$D15-1)</f>
        <v>-0.17587412587412588</v>
      </c>
      <c r="BX3" s="14">
        <f ca="1">IF(BX$1="","",'Total Value'!BX15/'Total Value'!$D15-1)</f>
        <v>-0.17435314685314685</v>
      </c>
      <c r="BY3" s="14">
        <f ca="1">IF(BY$1="","",'Total Value'!BY15/'Total Value'!$D15-1)</f>
        <v>-0.20279720279720281</v>
      </c>
      <c r="BZ3" s="14">
        <f ca="1">IF(BZ$1="","",'Total Value'!BZ15/'Total Value'!$D15-1)</f>
        <v>-0.18480769230769234</v>
      </c>
      <c r="CA3" s="14">
        <f ca="1">IF(CA$1="","",'Total Value'!CA15/'Total Value'!$D15-1)</f>
        <v>-0.11884615384615382</v>
      </c>
      <c r="CB3" s="14">
        <f ca="1">IF(CB$1="","",'Total Value'!CB15/'Total Value'!$D15-1)</f>
        <v>-0.16416083916083912</v>
      </c>
      <c r="CC3" s="14">
        <f ca="1">IF(CC$1="","",'Total Value'!CC15/'Total Value'!$D15-1)</f>
        <v>-0.15297202797202802</v>
      </c>
      <c r="CD3" s="14">
        <f ca="1">IF(CD$1="","",'Total Value'!CD15/'Total Value'!$D15-1)</f>
        <v>-0.15758741258741249</v>
      </c>
      <c r="CE3" s="14">
        <f ca="1">IF(CE$1="","",'Total Value'!CE15/'Total Value'!$D15-1)</f>
        <v>-0.12681818181818183</v>
      </c>
      <c r="CF3" s="14" t="str">
        <f ca="1">IF(CF$1="","",'Total Value'!CF15/'Total Value'!$D15-1)</f>
        <v/>
      </c>
      <c r="CG3" s="14" t="str">
        <f ca="1">IF(CG$1="","",'Total Value'!CG15/'Total Value'!$D15-1)</f>
        <v/>
      </c>
      <c r="CH3" s="14" t="str">
        <f ca="1">IF(CH$1="","",'Total Value'!CH15/'Total Value'!$D15-1)</f>
        <v/>
      </c>
      <c r="CI3" s="14" t="str">
        <f ca="1">IF(CI$1="","",'Total Value'!CI15/'Total Value'!$D15-1)</f>
        <v/>
      </c>
      <c r="CJ3" s="14" t="str">
        <f ca="1">IF(CJ$1="","",'Total Value'!CJ15/'Total Value'!$D15-1)</f>
        <v/>
      </c>
      <c r="CK3" s="14" t="str">
        <f ca="1">IF(CK$1="","",'Total Value'!CK15/'Total Value'!$D15-1)</f>
        <v/>
      </c>
      <c r="CL3" s="14" t="str">
        <f ca="1">IF(CL$1="","",'Total Value'!CL15/'Total Value'!$D15-1)</f>
        <v/>
      </c>
      <c r="CM3" s="14" t="str">
        <f ca="1">IF(CM$1="","",'Total Value'!CM15/'Total Value'!$D15-1)</f>
        <v/>
      </c>
      <c r="CN3" s="14" t="str">
        <f ca="1">IF(CN$1="","",'Total Value'!CN15/'Total Value'!$D15-1)</f>
        <v/>
      </c>
      <c r="CO3" s="14" t="str">
        <f ca="1">IF(CO$1="","",'Total Value'!CO15/'Total Value'!$D15-1)</f>
        <v/>
      </c>
      <c r="CP3" s="14" t="str">
        <f ca="1">IF(CP$1="","",'Total Value'!CP15/'Total Value'!$D15-1)</f>
        <v/>
      </c>
      <c r="CQ3" s="14" t="str">
        <f ca="1">IF(CQ$1="","",'Total Value'!CQ15/'Total Value'!$D15-1)</f>
        <v/>
      </c>
      <c r="CR3" s="14" t="str">
        <f ca="1">IF(CR$1="","",'Total Value'!CR15/'Total Value'!$D15-1)</f>
        <v/>
      </c>
      <c r="CS3" s="14" t="str">
        <f ca="1">IF(CS$1="","",'Total Value'!CS15/'Total Value'!$D15-1)</f>
        <v/>
      </c>
      <c r="CT3" s="14" t="str">
        <f ca="1">IF(CT$1="","",'Total Value'!CT15/'Total Value'!$D15-1)</f>
        <v/>
      </c>
      <c r="CU3" s="14" t="str">
        <f ca="1">IF(CU$1="","",'Total Value'!CU15/'Total Value'!$D15-1)</f>
        <v/>
      </c>
      <c r="CV3" s="14" t="str">
        <f ca="1">IF(CV$1="","",'Total Value'!CV15/'Total Value'!$D15-1)</f>
        <v/>
      </c>
      <c r="CW3" s="14" t="str">
        <f ca="1">IF(CW$1="","",'Total Value'!CW15/'Total Value'!$D15-1)</f>
        <v/>
      </c>
      <c r="CX3" s="14" t="str">
        <f ca="1">IF(CX$1="","",'Total Value'!CX15/'Total Value'!$D15-1)</f>
        <v/>
      </c>
      <c r="CY3" s="14" t="str">
        <f ca="1">IF(CY$1="","",'Total Value'!CY15/'Total Value'!$D15-1)</f>
        <v/>
      </c>
      <c r="CZ3" s="14" t="str">
        <f ca="1">IF(CZ$1="","",'Total Value'!CZ15/'Total Value'!$D15-1)</f>
        <v/>
      </c>
      <c r="DA3" s="14" t="str">
        <f ca="1">IF(DA$1="","",'Total Value'!DA15/'Total Value'!$D15-1)</f>
        <v/>
      </c>
      <c r="DB3" s="14" t="str">
        <f ca="1">IF(DB$1="","",'Total Value'!DB15/'Total Value'!$D15-1)</f>
        <v/>
      </c>
      <c r="DC3" s="14" t="str">
        <f ca="1">IF(DC$1="","",'Total Value'!DC15/'Total Value'!$D15-1)</f>
        <v/>
      </c>
      <c r="DD3" s="14" t="str">
        <f ca="1">IF(DD$1="","",'Total Value'!DD15/'Total Value'!$D15-1)</f>
        <v/>
      </c>
      <c r="DE3" s="14" t="str">
        <f ca="1">IF(DE$1="","",'Total Value'!DE15/'Total Value'!$D15-1)</f>
        <v/>
      </c>
      <c r="DF3" s="14" t="str">
        <f ca="1">IF(DF$1="","",'Total Value'!DF15/'Total Value'!$D15-1)</f>
        <v/>
      </c>
      <c r="DG3" s="14" t="str">
        <f ca="1">IF(DG$1="","",'Total Value'!DG15/'Total Value'!$D15-1)</f>
        <v/>
      </c>
      <c r="DH3" s="14" t="str">
        <f ca="1">IF(DH$1="","",'Total Value'!DH15/'Total Value'!$D15-1)</f>
        <v/>
      </c>
      <c r="DI3" s="14" t="str">
        <f ca="1">IF(DI$1="","",'Total Value'!DI15/'Total Value'!$D15-1)</f>
        <v/>
      </c>
      <c r="DJ3" s="14" t="str">
        <f ca="1">IF(DJ$1="","",'Total Value'!DJ15/'Total Value'!$D15-1)</f>
        <v/>
      </c>
      <c r="DK3" s="14" t="str">
        <f ca="1">IF(DK$1="","",'Total Value'!DK15/'Total Value'!$D15-1)</f>
        <v/>
      </c>
      <c r="DL3" s="14" t="str">
        <f ca="1">IF(DL$1="","",'Total Value'!DL15/'Total Value'!$D15-1)</f>
        <v/>
      </c>
      <c r="DM3" s="14" t="str">
        <f ca="1">IF(DM$1="","",'Total Value'!DM15/'Total Value'!$D15-1)</f>
        <v/>
      </c>
      <c r="DN3" s="14" t="str">
        <f ca="1">IF(DN$1="","",'Total Value'!DN15/'Total Value'!$D15-1)</f>
        <v/>
      </c>
      <c r="DO3" s="14" t="str">
        <f ca="1">IF(DO$1="","",'Total Value'!DO15/'Total Value'!$D15-1)</f>
        <v/>
      </c>
      <c r="DP3" s="14" t="str">
        <f ca="1">IF(DP$1="","",'Total Value'!DP15/'Total Value'!$D15-1)</f>
        <v/>
      </c>
      <c r="DQ3" s="14" t="str">
        <f ca="1">IF(DQ$1="","",'Total Value'!DQ15/'Total Value'!$D15-1)</f>
        <v/>
      </c>
      <c r="DR3" s="14" t="str">
        <f ca="1">IF(DR$1="","",'Total Value'!DR15/'Total Value'!$D15-1)</f>
        <v/>
      </c>
      <c r="DS3" s="14" t="str">
        <f ca="1">IF(DS$1="","",'Total Value'!DS15/'Total Value'!$D15-1)</f>
        <v/>
      </c>
      <c r="DT3" s="14" t="str">
        <f ca="1">IF(DT$1="","",'Total Value'!DT15/'Total Value'!$D15-1)</f>
        <v/>
      </c>
      <c r="DU3" s="14" t="str">
        <f ca="1">IF(DU$1="","",'Total Value'!DU15/'Total Value'!$D15-1)</f>
        <v/>
      </c>
      <c r="DV3" s="14" t="str">
        <f ca="1">IF(DV$1="","",'Total Value'!DV15/'Total Value'!$D15-1)</f>
        <v/>
      </c>
      <c r="DW3" s="14" t="str">
        <f ca="1">IF(DW$1="","",'Total Value'!DW15/'Total Value'!$D15-1)</f>
        <v/>
      </c>
      <c r="DX3" s="14" t="str">
        <f ca="1">IF(DX$1="","",'Total Value'!DX15/'Total Value'!$D15-1)</f>
        <v/>
      </c>
      <c r="DY3" s="14" t="str">
        <f ca="1">IF(DY$1="","",'Total Value'!DY15/'Total Value'!$D15-1)</f>
        <v/>
      </c>
      <c r="DZ3" s="14" t="str">
        <f ca="1">IF(DZ$1="","",'Total Value'!DZ15/'Total Value'!$D15-1)</f>
        <v/>
      </c>
      <c r="EA3" s="14" t="str">
        <f ca="1">IF(EA$1="","",'Total Value'!EA15/'Total Value'!$D15-1)</f>
        <v/>
      </c>
      <c r="EB3" s="14" t="str">
        <f ca="1">IF(EB$1="","",'Total Value'!EB15/'Total Value'!$D15-1)</f>
        <v/>
      </c>
      <c r="EC3" s="14" t="str">
        <f ca="1">IF(EC$1="","",'Total Value'!EC15/'Total Value'!$D15-1)</f>
        <v/>
      </c>
      <c r="ED3" s="14" t="str">
        <f ca="1">IF(ED$1="","",'Total Value'!ED15/'Total Value'!$D15-1)</f>
        <v/>
      </c>
      <c r="EE3" s="14" t="str">
        <f ca="1">IF(EE$1="","",'Total Value'!EE15/'Total Value'!$D15-1)</f>
        <v/>
      </c>
      <c r="EF3" s="14" t="str">
        <f ca="1">IF(EF$1="","",'Total Value'!EF15/'Total Value'!$D15-1)</f>
        <v/>
      </c>
      <c r="EG3" s="14" t="str">
        <f ca="1">IF(EG$1="","",'Total Value'!EG15/'Total Value'!$D15-1)</f>
        <v/>
      </c>
      <c r="EH3" s="14" t="str">
        <f ca="1">IF(EH$1="","",'Total Value'!EH15/'Total Value'!$D15-1)</f>
        <v/>
      </c>
      <c r="EI3" s="14" t="str">
        <f ca="1">IF(EI$1="","",'Total Value'!EI15/'Total Value'!$D15-1)</f>
        <v/>
      </c>
      <c r="EJ3" s="14" t="str">
        <f ca="1">IF(EJ$1="","",'Total Value'!EJ15/'Total Value'!$D15-1)</f>
        <v/>
      </c>
      <c r="EK3" s="14" t="str">
        <f ca="1">IF(EK$1="","",'Total Value'!EK15/'Total Value'!$D15-1)</f>
        <v/>
      </c>
      <c r="EL3" s="14" t="str">
        <f ca="1">IF(EL$1="","",'Total Value'!EL15/'Total Value'!$D15-1)</f>
        <v/>
      </c>
      <c r="EM3" s="14" t="str">
        <f ca="1">IF(EM$1="","",'Total Value'!EM15/'Total Value'!$D15-1)</f>
        <v/>
      </c>
      <c r="EN3" s="14" t="str">
        <f ca="1">IF(EN$1="","",'Total Value'!EN15/'Total Value'!$D15-1)</f>
        <v/>
      </c>
      <c r="EO3" s="14" t="str">
        <f ca="1">IF(EO$1="","",'Total Value'!EO15/'Total Value'!$D15-1)</f>
        <v/>
      </c>
      <c r="EP3" s="14" t="str">
        <f ca="1">IF(EP$1="","",'Total Value'!EP15/'Total Value'!$D15-1)</f>
        <v/>
      </c>
      <c r="EQ3" s="14" t="str">
        <f ca="1">IF(EQ$1="","",'Total Value'!EQ15/'Total Value'!$D15-1)</f>
        <v/>
      </c>
      <c r="ER3" s="14" t="str">
        <f ca="1">IF(ER$1="","",'Total Value'!ER15/'Total Value'!$D15-1)</f>
        <v/>
      </c>
      <c r="ES3" s="14" t="str">
        <f ca="1">IF(ES$1="","",'Total Value'!ES15/'Total Value'!$D15-1)</f>
        <v/>
      </c>
      <c r="ET3" s="14" t="str">
        <f ca="1">IF(ET$1="","",'Total Value'!ET15/'Total Value'!$D15-1)</f>
        <v/>
      </c>
      <c r="EU3" s="14" t="str">
        <f ca="1">IF(EU$1="","",'Total Value'!EU15/'Total Value'!$D15-1)</f>
        <v/>
      </c>
      <c r="EV3" s="14" t="str">
        <f ca="1">IF(EV$1="","",'Total Value'!EV15/'Total Value'!$D15-1)</f>
        <v/>
      </c>
      <c r="EW3" s="14" t="str">
        <f ca="1">IF(EW$1="","",'Total Value'!EW15/'Total Value'!$D15-1)</f>
        <v/>
      </c>
      <c r="EX3" s="14" t="str">
        <f ca="1">IF(EX$1="","",'Total Value'!EX15/'Total Value'!$D15-1)</f>
        <v/>
      </c>
      <c r="EY3" s="14" t="str">
        <f ca="1">IF(EY$1="","",'Total Value'!EY15/'Total Value'!$D15-1)</f>
        <v/>
      </c>
      <c r="EZ3" s="14" t="str">
        <f ca="1">IF(EZ$1="","",'Total Value'!EZ15/'Total Value'!$D15-1)</f>
        <v/>
      </c>
      <c r="FA3" s="14" t="str">
        <f ca="1">IF(FA$1="","",'Total Value'!FA15/'Total Value'!$D15-1)</f>
        <v/>
      </c>
      <c r="FB3" s="14" t="str">
        <f ca="1">IF(FB$1="","",'Total Value'!FB15/'Total Value'!$D15-1)</f>
        <v/>
      </c>
      <c r="FC3" s="14" t="str">
        <f ca="1">IF(FC$1="","",'Total Value'!FC15/'Total Value'!$D15-1)</f>
        <v/>
      </c>
      <c r="FD3" s="14" t="str">
        <f ca="1">IF(FD$1="","",'Total Value'!FD15/'Total Value'!$D15-1)</f>
        <v/>
      </c>
      <c r="FE3" s="14" t="str">
        <f ca="1">IF(FE$1="","",'Total Value'!FE15/'Total Value'!$D15-1)</f>
        <v/>
      </c>
      <c r="FF3" s="14" t="str">
        <f ca="1">IF(FF$1="","",'Total Value'!FF15/'Total Value'!$D15-1)</f>
        <v/>
      </c>
      <c r="FG3" s="14" t="str">
        <f ca="1">IF(FG$1="","",'Total Value'!FG15/'Total Value'!$D15-1)</f>
        <v/>
      </c>
      <c r="FH3" s="14" t="str">
        <f ca="1">IF(FH$1="","",'Total Value'!FH15/'Total Value'!$D15-1)</f>
        <v/>
      </c>
      <c r="FI3" s="14" t="str">
        <f ca="1">IF(FI$1="","",'Total Value'!FI15/'Total Value'!$D15-1)</f>
        <v/>
      </c>
      <c r="FJ3" s="14" t="str">
        <f ca="1">IF(FJ$1="","",'Total Value'!FJ15/'Total Value'!$D15-1)</f>
        <v/>
      </c>
      <c r="FK3" s="14" t="str">
        <f ca="1">IF(FK$1="","",'Total Value'!FK15/'Total Value'!$D15-1)</f>
        <v/>
      </c>
      <c r="FL3" s="14" t="str">
        <f ca="1">IF(FL$1="","",'Total Value'!FL15/'Total Value'!$D15-1)</f>
        <v/>
      </c>
      <c r="FM3" s="14" t="str">
        <f ca="1">IF(FM$1="","",'Total Value'!FM15/'Total Value'!$D15-1)</f>
        <v/>
      </c>
      <c r="FN3" s="14" t="str">
        <f ca="1">IF(FN$1="","",'Total Value'!FN15/'Total Value'!$D15-1)</f>
        <v/>
      </c>
      <c r="FO3" s="14" t="str">
        <f ca="1">IF(FO$1="","",'Total Value'!FO15/'Total Value'!$D15-1)</f>
        <v/>
      </c>
      <c r="FP3" s="14" t="str">
        <f ca="1">IF(FP$1="","",'Total Value'!FP15/'Total Value'!$D15-1)</f>
        <v/>
      </c>
      <c r="FQ3" s="14" t="str">
        <f ca="1">IF(FQ$1="","",'Total Value'!FQ15/'Total Value'!$D15-1)</f>
        <v/>
      </c>
      <c r="FR3" s="14" t="str">
        <f ca="1">IF(FR$1="","",'Total Value'!FR15/'Total Value'!$D15-1)</f>
        <v/>
      </c>
      <c r="FS3" s="14" t="str">
        <f ca="1">IF(FS$1="","",'Total Value'!FS15/'Total Value'!$D15-1)</f>
        <v/>
      </c>
      <c r="FT3" s="14" t="str">
        <f ca="1">IF(FT$1="","",'Total Value'!FT15/'Total Value'!$D15-1)</f>
        <v/>
      </c>
      <c r="FU3" s="14" t="str">
        <f ca="1">IF(FU$1="","",'Total Value'!FU15/'Total Value'!$D15-1)</f>
        <v/>
      </c>
      <c r="FV3" s="14" t="str">
        <f ca="1">IF(FV$1="","",'Total Value'!FV15/'Total Value'!$D15-1)</f>
        <v/>
      </c>
      <c r="FW3" s="14" t="str">
        <f ca="1">IF(FW$1="","",'Total Value'!FW15/'Total Value'!$D15-1)</f>
        <v/>
      </c>
      <c r="FX3" s="14" t="str">
        <f ca="1">IF(FX$1="","",'Total Value'!FX15/'Total Value'!$D15-1)</f>
        <v/>
      </c>
      <c r="FY3" s="14" t="str">
        <f ca="1">IF(FY$1="","",'Total Value'!FY15/'Total Value'!$D15-1)</f>
        <v/>
      </c>
      <c r="FZ3" s="14" t="str">
        <f ca="1">IF(FZ$1="","",'Total Value'!FZ15/'Total Value'!$D15-1)</f>
        <v/>
      </c>
      <c r="GA3" s="14" t="str">
        <f ca="1">IF(GA$1="","",'Total Value'!GA15/'Total Value'!$D15-1)</f>
        <v/>
      </c>
      <c r="GB3" s="14" t="str">
        <f ca="1">IF(GB$1="","",'Total Value'!GB15/'Total Value'!$D15-1)</f>
        <v/>
      </c>
      <c r="GC3" s="14" t="str">
        <f ca="1">IF(GC$1="","",'Total Value'!GC15/'Total Value'!$D15-1)</f>
        <v/>
      </c>
      <c r="GD3" s="14" t="str">
        <f ca="1">IF(GD$1="","",'Total Value'!GD15/'Total Value'!$D15-1)</f>
        <v/>
      </c>
      <c r="GE3" s="14" t="str">
        <f ca="1">IF(GE$1="","",'Total Value'!GE15/'Total Value'!$D15-1)</f>
        <v/>
      </c>
      <c r="GF3" s="14" t="str">
        <f ca="1">IF(GF$1="","",'Total Value'!GF15/'Total Value'!$D15-1)</f>
        <v/>
      </c>
      <c r="GG3" s="14" t="str">
        <f ca="1">IF(GG$1="","",'Total Value'!GG15/'Total Value'!$D15-1)</f>
        <v/>
      </c>
      <c r="GH3" s="14" t="str">
        <f ca="1">IF(GH$1="","",'Total Value'!GH15/'Total Value'!$D15-1)</f>
        <v/>
      </c>
      <c r="GI3" s="14" t="str">
        <f ca="1">IF(GI$1="","",'Total Value'!GI15/'Total Value'!$D15-1)</f>
        <v/>
      </c>
      <c r="GJ3" s="14" t="str">
        <f ca="1">IF(GJ$1="","",'Total Value'!GJ15/'Total Value'!$D15-1)</f>
        <v/>
      </c>
      <c r="GK3" s="14" t="str">
        <f ca="1">IF(GK$1="","",'Total Value'!GK15/'Total Value'!$D15-1)</f>
        <v/>
      </c>
      <c r="GL3" s="14" t="str">
        <f ca="1">IF(GL$1="","",'Total Value'!GL15/'Total Value'!$D15-1)</f>
        <v/>
      </c>
      <c r="GM3" s="14" t="str">
        <f ca="1">IF(GM$1="","",'Total Value'!GM15/'Total Value'!$D15-1)</f>
        <v/>
      </c>
      <c r="GN3" s="14" t="str">
        <f ca="1">IF(GN$1="","",'Total Value'!GN15/'Total Value'!$D15-1)</f>
        <v/>
      </c>
      <c r="GO3" s="14" t="str">
        <f ca="1">IF(GO$1="","",'Total Value'!GO15/'Total Value'!$D15-1)</f>
        <v/>
      </c>
      <c r="GP3" s="14" t="str">
        <f ca="1">IF(GP$1="","",'Total Value'!GP15/'Total Value'!$D15-1)</f>
        <v/>
      </c>
      <c r="GQ3" s="14" t="str">
        <f ca="1">IF(GQ$1="","",'Total Value'!GQ15/'Total Value'!$D15-1)</f>
        <v/>
      </c>
      <c r="GR3" s="14" t="str">
        <f ca="1">IF(GR$1="","",'Total Value'!GR15/'Total Value'!$D15-1)</f>
        <v/>
      </c>
      <c r="GS3" s="14" t="str">
        <f ca="1">IF(GS$1="","",'Total Value'!GS15/'Total Value'!$D15-1)</f>
        <v/>
      </c>
      <c r="GT3" s="14" t="str">
        <f ca="1">IF(GT$1="","",'Total Value'!GT15/'Total Value'!$D15-1)</f>
        <v/>
      </c>
      <c r="GU3" s="14" t="str">
        <f ca="1">IF(GU$1="","",'Total Value'!GU15/'Total Value'!$D15-1)</f>
        <v/>
      </c>
      <c r="GV3" s="14" t="str">
        <f ca="1">IF(GV$1="","",'Total Value'!GV15/'Total Value'!$D15-1)</f>
        <v/>
      </c>
      <c r="GW3" s="14" t="str">
        <f ca="1">IF(GW$1="","",'Total Value'!GW15/'Total Value'!$D15-1)</f>
        <v/>
      </c>
      <c r="GX3" s="14" t="str">
        <f ca="1">IF(GX$1="","",'Total Value'!GX15/'Total Value'!$D15-1)</f>
        <v/>
      </c>
      <c r="GY3" s="14" t="str">
        <f ca="1">IF(GY$1="","",'Total Value'!GY15/'Total Value'!$D15-1)</f>
        <v/>
      </c>
      <c r="GZ3" s="14" t="str">
        <f ca="1">IF(GZ$1="","",'Total Value'!GZ15/'Total Value'!$D15-1)</f>
        <v/>
      </c>
      <c r="HA3" s="14" t="str">
        <f ca="1">IF(HA$1="","",'Total Value'!HA15/'Total Value'!$D15-1)</f>
        <v/>
      </c>
      <c r="HB3" s="14" t="str">
        <f ca="1">IF(HB$1="","",'Total Value'!HB15/'Total Value'!$D15-1)</f>
        <v/>
      </c>
      <c r="HC3" s="14" t="str">
        <f ca="1">IF(HC$1="","",'Total Value'!HC15/'Total Value'!$D15-1)</f>
        <v/>
      </c>
      <c r="HD3" s="14" t="str">
        <f ca="1">IF(HD$1="","",'Total Value'!HD15/'Total Value'!$D15-1)</f>
        <v/>
      </c>
      <c r="HE3" s="14" t="str">
        <f ca="1">IF(HE$1="","",'Total Value'!HE15/'Total Value'!$D15-1)</f>
        <v/>
      </c>
      <c r="HF3" s="14" t="str">
        <f ca="1">IF(HF$1="","",'Total Value'!HF15/'Total Value'!$D15-1)</f>
        <v/>
      </c>
      <c r="HG3" s="14" t="str">
        <f ca="1">IF(HG$1="","",'Total Value'!HG15/'Total Value'!$D15-1)</f>
        <v/>
      </c>
      <c r="HH3" s="14" t="str">
        <f ca="1">IF(HH$1="","",'Total Value'!HH15/'Total Value'!$D15-1)</f>
        <v/>
      </c>
      <c r="HI3" s="14" t="str">
        <f ca="1">IF(HI$1="","",'Total Value'!HI15/'Total Value'!$D15-1)</f>
        <v/>
      </c>
      <c r="HJ3" s="14" t="str">
        <f ca="1">IF(HJ$1="","",'Total Value'!HJ15/'Total Value'!$D15-1)</f>
        <v/>
      </c>
      <c r="HK3" s="14" t="str">
        <f ca="1">IF(HK$1="","",'Total Value'!HK15/'Total Value'!$D15-1)</f>
        <v/>
      </c>
      <c r="HL3" s="14" t="str">
        <f ca="1">IF(HL$1="","",'Total Value'!HL15/'Total Value'!$D15-1)</f>
        <v/>
      </c>
      <c r="HM3" s="14" t="str">
        <f ca="1">IF(HM$1="","",'Total Value'!HM15/'Total Value'!$D15-1)</f>
        <v/>
      </c>
      <c r="HN3" s="14" t="str">
        <f ca="1">IF(HN$1="","",'Total Value'!HN15/'Total Value'!$D15-1)</f>
        <v/>
      </c>
      <c r="HO3" s="14" t="str">
        <f ca="1">IF(HO$1="","",'Total Value'!HO15/'Total Value'!$D15-1)</f>
        <v/>
      </c>
      <c r="HP3" s="14" t="str">
        <f ca="1">IF(HP$1="","",'Total Value'!HP15/'Total Value'!$D15-1)</f>
        <v/>
      </c>
      <c r="HQ3" s="14" t="str">
        <f ca="1">IF(HQ$1="","",'Total Value'!HQ15/'Total Value'!$D15-1)</f>
        <v/>
      </c>
      <c r="HR3" s="14" t="str">
        <f ca="1">IF(HR$1="","",'Total Value'!HR15/'Total Value'!$D15-1)</f>
        <v/>
      </c>
      <c r="HS3" s="14" t="str">
        <f ca="1">IF(HS$1="","",'Total Value'!HS15/'Total Value'!$D15-1)</f>
        <v/>
      </c>
      <c r="HT3" s="14" t="str">
        <f ca="1">IF(HT$1="","",'Total Value'!HT15/'Total Value'!$D15-1)</f>
        <v/>
      </c>
      <c r="HU3" s="14" t="str">
        <f ca="1">IF(HU$1="","",'Total Value'!HU15/'Total Value'!$D15-1)</f>
        <v/>
      </c>
      <c r="HV3" s="14" t="str">
        <f ca="1">IF(HV$1="","",'Total Value'!HV15/'Total Value'!$D15-1)</f>
        <v/>
      </c>
      <c r="HW3" s="14" t="str">
        <f ca="1">IF(HW$1="","",'Total Value'!HW15/'Total Value'!$D15-1)</f>
        <v/>
      </c>
      <c r="HX3" s="14" t="str">
        <f ca="1">IF(HX$1="","",'Total Value'!HX15/'Total Value'!$D15-1)</f>
        <v/>
      </c>
      <c r="HY3" s="14" t="str">
        <f ca="1">IF(HY$1="","",'Total Value'!HY15/'Total Value'!$D15-1)</f>
        <v/>
      </c>
      <c r="HZ3" s="14" t="str">
        <f ca="1">IF(HZ$1="","",'Total Value'!HZ15/'Total Value'!$D15-1)</f>
        <v/>
      </c>
      <c r="IA3" s="14" t="str">
        <f ca="1">IF(IA$1="","",'Total Value'!IA15/'Total Value'!$D15-1)</f>
        <v/>
      </c>
      <c r="IB3" s="14" t="str">
        <f ca="1">IF(IB$1="","",'Total Value'!IB15/'Total Value'!$D15-1)</f>
        <v/>
      </c>
      <c r="IC3" s="14" t="str">
        <f ca="1">IF(IC$1="","",'Total Value'!IC15/'Total Value'!$D15-1)</f>
        <v/>
      </c>
      <c r="ID3" s="14" t="str">
        <f ca="1">IF(ID$1="","",'Total Value'!ID15/'Total Value'!$D15-1)</f>
        <v/>
      </c>
      <c r="IE3" s="14" t="str">
        <f ca="1">IF(IE$1="","",'Total Value'!IE15/'Total Value'!$D15-1)</f>
        <v/>
      </c>
      <c r="IF3" s="14" t="str">
        <f ca="1">IF(IF$1="","",'Total Value'!IF15/'Total Value'!$D15-1)</f>
        <v/>
      </c>
      <c r="IG3" s="14" t="str">
        <f ca="1">IF(IG$1="","",'Total Value'!IG15/'Total Value'!$D15-1)</f>
        <v/>
      </c>
      <c r="IH3" s="14" t="str">
        <f ca="1">IF(IH$1="","",'Total Value'!IH15/'Total Value'!$D15-1)</f>
        <v/>
      </c>
      <c r="II3" s="14" t="str">
        <f ca="1">IF(II$1="","",'Total Value'!II15/'Total Value'!$D15-1)</f>
        <v/>
      </c>
      <c r="IJ3" s="14" t="str">
        <f ca="1">IF(IJ$1="","",'Total Value'!IJ15/'Total Value'!$D15-1)</f>
        <v/>
      </c>
      <c r="IK3" s="14" t="str">
        <f ca="1">IF(IK$1="","",'Total Value'!IK15/'Total Value'!$D15-1)</f>
        <v/>
      </c>
      <c r="IL3" s="14" t="str">
        <f ca="1">IF(IL$1="","",'Total Value'!IL15/'Total Value'!$D15-1)</f>
        <v/>
      </c>
      <c r="IM3" s="14" t="str">
        <f ca="1">IF(IM$1="","",'Total Value'!IM15/'Total Value'!$D15-1)</f>
        <v/>
      </c>
      <c r="IN3" s="14" t="str">
        <f ca="1">IF(IN$1="","",'Total Value'!IN15/'Total Value'!$D15-1)</f>
        <v/>
      </c>
      <c r="IO3" s="14" t="str">
        <f ca="1">IF(IO$1="","",'Total Value'!IO15/'Total Value'!$D15-1)</f>
        <v/>
      </c>
      <c r="IP3" s="14" t="str">
        <f ca="1">IF(IP$1="","",'Total Value'!IP15/'Total Value'!$D15-1)</f>
        <v/>
      </c>
      <c r="IQ3" s="14" t="str">
        <f ca="1">IF(IQ$1="","",'Total Value'!IQ15/'Total Value'!$D15-1)</f>
        <v/>
      </c>
      <c r="IR3" s="14" t="str">
        <f ca="1">IF(IR$1="","",'Total Value'!IR15/'Total Value'!$D15-1)</f>
        <v/>
      </c>
      <c r="IS3" s="14" t="str">
        <f ca="1">IF(IS$1="","",'Total Value'!IS15/'Total Value'!$D15-1)</f>
        <v/>
      </c>
      <c r="IT3" s="14" t="str">
        <f ca="1">IF(IT$1="","",'Total Value'!IT15/'Total Value'!$D15-1)</f>
        <v/>
      </c>
      <c r="IU3" s="14" t="str">
        <f ca="1">IF(IU$1="","",'Total Value'!IU15/'Total Value'!$D15-1)</f>
        <v/>
      </c>
      <c r="IV3" s="14" t="str">
        <f ca="1">IF(IV$1="","",'Total Value'!IV15/'Total Value'!$D15-1)</f>
        <v/>
      </c>
      <c r="IW3" s="14" t="str">
        <f ca="1">IF(IW$1="","",'Total Value'!IW15/'Total Value'!$D15-1)</f>
        <v/>
      </c>
      <c r="IX3" s="14" t="str">
        <f ca="1">IF(IX$1="","",'Total Value'!IX15/'Total Value'!$D15-1)</f>
        <v/>
      </c>
      <c r="IY3" s="14" t="str">
        <f ca="1">IF(IY$1="","",'Total Value'!IY15/'Total Value'!$D15-1)</f>
        <v/>
      </c>
      <c r="IZ3" s="14" t="str">
        <f ca="1">IF(IZ$1="","",'Total Value'!IZ15/'Total Value'!$D15-1)</f>
        <v/>
      </c>
      <c r="JA3" s="14" t="str">
        <f ca="1">IF(JA$1="","",'Total Value'!JA15/'Total Value'!$D15-1)</f>
        <v/>
      </c>
      <c r="JB3" s="14" t="str">
        <f ca="1">IF(JB$1="","",'Total Value'!JB15/'Total Value'!$D15-1)</f>
        <v/>
      </c>
      <c r="JC3" s="14" t="str">
        <f ca="1">IF(JC$1="","",'Total Value'!JC15/'Total Value'!$D15-1)</f>
        <v/>
      </c>
      <c r="JD3" s="14" t="str">
        <f ca="1">IF(JD$1="","",'Total Value'!JD15/'Total Value'!$D15-1)</f>
        <v/>
      </c>
      <c r="JE3" s="14" t="str">
        <f ca="1">IF(JE$1="","",'Total Value'!JE15/'Total Value'!$D15-1)</f>
        <v/>
      </c>
      <c r="JF3" s="14" t="str">
        <f ca="1">IF(JF$1="","",'Total Value'!JF15/'Total Value'!$D15-1)</f>
        <v/>
      </c>
      <c r="JG3" s="14" t="str">
        <f ca="1">IF(JG$1="","",'Total Value'!JG15/'Total Value'!$D15-1)</f>
        <v/>
      </c>
      <c r="JH3" s="14" t="str">
        <f ca="1">IF(JH$1="","",'Total Value'!JH15/'Total Value'!$D15-1)</f>
        <v/>
      </c>
      <c r="JI3" s="14" t="str">
        <f ca="1">IF(JI$1="","",'Total Value'!JI15/'Total Value'!$D15-1)</f>
        <v/>
      </c>
      <c r="JJ3" s="14" t="str">
        <f ca="1">IF(JJ$1="","",'Total Value'!JJ15/'Total Value'!$D15-1)</f>
        <v/>
      </c>
      <c r="JK3" s="14" t="str">
        <f ca="1">IF(JK$1="","",'Total Value'!JK15/'Total Value'!$D15-1)</f>
        <v/>
      </c>
      <c r="JL3" s="14" t="str">
        <f ca="1">IF(JL$1="","",'Total Value'!JL15/'Total Value'!$D15-1)</f>
        <v/>
      </c>
      <c r="JM3" s="14" t="str">
        <f ca="1">IF(JM$1="","",'Total Value'!JM15/'Total Value'!$D15-1)</f>
        <v/>
      </c>
      <c r="JN3" s="14" t="str">
        <f ca="1">IF(JN$1="","",'Total Value'!JN15/'Total Value'!$D15-1)</f>
        <v/>
      </c>
      <c r="JO3" s="14" t="str">
        <f ca="1">IF(JO$1="","",'Total Value'!JO15/'Total Value'!$D15-1)</f>
        <v/>
      </c>
      <c r="JP3" s="14" t="str">
        <f ca="1">IF(JP$1="","",'Total Value'!JP15/'Total Value'!$D15-1)</f>
        <v/>
      </c>
      <c r="JQ3" s="14" t="str">
        <f ca="1">IF(JQ$1="","",'Total Value'!JQ15/'Total Value'!$D15-1)</f>
        <v/>
      </c>
      <c r="JR3" s="14" t="str">
        <f ca="1">IF(JR$1="","",'Total Value'!JR15/'Total Value'!$D15-1)</f>
        <v/>
      </c>
      <c r="JS3" s="14" t="str">
        <f ca="1">IF(JS$1="","",'Total Value'!JS15/'Total Value'!$D15-1)</f>
        <v/>
      </c>
      <c r="JT3" s="14" t="str">
        <f ca="1">IF(JT$1="","",'Total Value'!JT15/'Total Value'!$D15-1)</f>
        <v/>
      </c>
      <c r="JU3" s="14" t="str">
        <f ca="1">IF(JU$1="","",'Total Value'!JU15/'Total Value'!$D15-1)</f>
        <v/>
      </c>
      <c r="JV3" s="14" t="str">
        <f ca="1">IF(JV$1="","",'Total Value'!JV15/'Total Value'!$D15-1)</f>
        <v/>
      </c>
      <c r="JW3" s="14" t="str">
        <f ca="1">IF(JW$1="","",'Total Value'!JW15/'Total Value'!$D15-1)</f>
        <v/>
      </c>
      <c r="JX3" s="14" t="str">
        <f ca="1">IF(JX$1="","",'Total Value'!JX15/'Total Value'!$D15-1)</f>
        <v/>
      </c>
      <c r="JY3" s="14" t="str">
        <f ca="1">IF(JY$1="","",'Total Value'!JY15/'Total Value'!$D15-1)</f>
        <v/>
      </c>
      <c r="JZ3" s="14" t="str">
        <f ca="1">IF(JZ$1="","",'Total Value'!JZ15/'Total Value'!$D15-1)</f>
        <v/>
      </c>
      <c r="KA3" s="14" t="str">
        <f ca="1">IF(KA$1="","",'Total Value'!KA15/'Total Value'!$D15-1)</f>
        <v/>
      </c>
      <c r="KB3" s="14" t="str">
        <f ca="1">IF(KB$1="","",'Total Value'!KB15/'Total Value'!$D15-1)</f>
        <v/>
      </c>
    </row>
    <row r="4" spans="1:288" ht="15.75" customHeight="1">
      <c r="A4" s="9" t="s">
        <v>30</v>
      </c>
      <c r="B4" s="6" t="s">
        <v>49</v>
      </c>
      <c r="C4" s="26">
        <v>36</v>
      </c>
      <c r="D4" s="13">
        <v>0</v>
      </c>
      <c r="E4" s="14">
        <f ca="1">IF(E$1="","",'Total Value'!E16/'Total Value'!$D16-1)</f>
        <v>1.9547831156291773E-2</v>
      </c>
      <c r="F4" s="14">
        <f ca="1">IF(F$1="","",'Total Value'!F16/'Total Value'!$D16-1)</f>
        <v>-1.7197719116066157E-2</v>
      </c>
      <c r="G4" s="14">
        <f ca="1">IF(G$1="","",'Total Value'!G16/'Total Value'!$D16-1)</f>
        <v>-4.3959847698165522E-2</v>
      </c>
      <c r="H4" s="14">
        <f ca="1">IF(H$1="","",'Total Value'!H16/'Total Value'!$D16-1)</f>
        <v>-4.423311654005202E-2</v>
      </c>
      <c r="I4" s="14">
        <f ca="1">IF(I$1="","",'Total Value'!I16/'Total Value'!$D16-1)</f>
        <v>-0.10812337177315035</v>
      </c>
      <c r="J4" s="14">
        <f ca="1">IF(J$1="","",'Total Value'!J16/'Total Value'!$D16-1)</f>
        <v>-9.3494379770818536E-2</v>
      </c>
      <c r="K4" s="14">
        <f ca="1">IF(K$1="","",'Total Value'!K16/'Total Value'!$D16-1)</f>
        <v>-0.10602831065201945</v>
      </c>
      <c r="L4" s="14">
        <f ca="1">IF(L$1="","",'Total Value'!L16/'Total Value'!$D16-1)</f>
        <v>-0.15691096901131341</v>
      </c>
      <c r="M4" s="14">
        <f ca="1">IF(M$1="","",'Total Value'!M16/'Total Value'!$D16-1)</f>
        <v>-0.13568708895811699</v>
      </c>
      <c r="N4" s="14">
        <f ca="1">IF(N$1="","",'Total Value'!N16/'Total Value'!$D16-1)</f>
        <v>-0.1474194312364504</v>
      </c>
      <c r="O4" s="14">
        <f ca="1">IF(O$1="","",'Total Value'!O16/'Total Value'!$D16-1)</f>
        <v>-0.16678508316481755</v>
      </c>
      <c r="P4" s="14">
        <f ca="1">IF(P$1="","",'Total Value'!P16/'Total Value'!$D16-1)</f>
        <v>-0.16995500173070266</v>
      </c>
      <c r="Q4" s="14">
        <f ca="1">IF(Q$1="","",'Total Value'!Q16/'Total Value'!$D16-1)</f>
        <v>-0.15476125412180508</v>
      </c>
      <c r="R4" s="14">
        <f ca="1">IF(R$1="","",'Total Value'!R16/'Total Value'!$D16-1)</f>
        <v>-9.8285693465231194E-2</v>
      </c>
      <c r="S4" s="14">
        <f ca="1">IF(S$1="","",'Total Value'!S16/'Total Value'!$D16-1)</f>
        <v>-7.35093184675083E-2</v>
      </c>
      <c r="T4" s="14">
        <f ca="1">IF(T$1="","",'Total Value'!T16/'Total Value'!$D16-1)</f>
        <v>-7.8865387768486617E-2</v>
      </c>
      <c r="U4" s="14">
        <f ca="1">IF(U$1="","",'Total Value'!U16/'Total Value'!$D16-1)</f>
        <v>-8.3073727933540953E-2</v>
      </c>
      <c r="V4" s="14">
        <f ca="1">IF(V$1="","",'Total Value'!V16/'Total Value'!$D16-1)</f>
        <v>-0.10757683408937713</v>
      </c>
      <c r="W4" s="14">
        <f ca="1">IF(W$1="","",'Total Value'!W16/'Total Value'!$D16-1)</f>
        <v>-8.8703066076405768E-2</v>
      </c>
      <c r="X4" s="14">
        <f ca="1">IF(X$1="","",'Total Value'!X16/'Total Value'!$D16-1)</f>
        <v>-6.088429797234518E-2</v>
      </c>
      <c r="Y4" s="14">
        <f ca="1">IF(Y$1="","",'Total Value'!Y16/'Total Value'!$D16-1)</f>
        <v>-5.4107230693553054E-3</v>
      </c>
      <c r="Z4" s="14">
        <f ca="1">IF(Z$1="","",'Total Value'!Z16/'Total Value'!$D16-1)</f>
        <v>-3.0150662221493429E-2</v>
      </c>
      <c r="AA4" s="14">
        <f ca="1">IF(AA$1="","",'Total Value'!AA16/'Total Value'!$D16-1)</f>
        <v>-7.2525550636716174E-2</v>
      </c>
      <c r="AB4" s="14">
        <f ca="1">IF(AB$1="","",'Total Value'!AB16/'Total Value'!$D16-1)</f>
        <v>-7.8774298154524414E-2</v>
      </c>
      <c r="AC4" s="14">
        <f ca="1">IF(AC$1="","",'Total Value'!AC16/'Total Value'!$D16-1)</f>
        <v>-3.7656446411980071E-2</v>
      </c>
      <c r="AD4" s="14">
        <f ca="1">IF(AD$1="","",'Total Value'!AD16/'Total Value'!$D16-1)</f>
        <v>-4.1044980051374469E-2</v>
      </c>
      <c r="AE4" s="14">
        <f ca="1">IF(AE$1="","",'Total Value'!AE16/'Total Value'!$D16-1)</f>
        <v>-8.5897505966369581E-2</v>
      </c>
      <c r="AF4" s="14">
        <f ca="1">IF(AF$1="","",'Total Value'!AF16/'Total Value'!$D16-1)</f>
        <v>-9.156327995481961E-2</v>
      </c>
      <c r="AG4" s="14">
        <f ca="1">IF(AG$1="","",'Total Value'!AG16/'Total Value'!$D16-1)</f>
        <v>-9.9834216902588757E-2</v>
      </c>
      <c r="AH4" s="14">
        <f ca="1">IF(AH$1="","",'Total Value'!AH16/'Total Value'!$D16-1)</f>
        <v>-0.12069373849993603</v>
      </c>
      <c r="AI4" s="14">
        <f ca="1">IF(AI$1="","",'Total Value'!AI16/'Total Value'!$D16-1)</f>
        <v>-7.2434461022754193E-2</v>
      </c>
      <c r="AJ4" s="14">
        <f ca="1">IF(AJ$1="","",'Total Value'!AJ16/'Total Value'!$D16-1)</f>
        <v>-6.6222149350531168E-2</v>
      </c>
      <c r="AK4" s="14">
        <f ca="1">IF(AK$1="","",'Total Value'!AK16/'Total Value'!$D16-1)</f>
        <v>-6.8226120857699857E-2</v>
      </c>
      <c r="AL4" s="14">
        <f ca="1">IF(AL$1="","",'Total Value'!AL16/'Total Value'!$D16-1)</f>
        <v>-8.7336721866972611E-2</v>
      </c>
      <c r="AM4" s="14">
        <f ca="1">IF(AM$1="","",'Total Value'!AM16/'Total Value'!$D16-1)</f>
        <v>-9.6135978575722647E-2</v>
      </c>
      <c r="AN4" s="14">
        <f ca="1">IF(AN$1="","",'Total Value'!AN16/'Total Value'!$D16-1)</f>
        <v>-0.13018527627479903</v>
      </c>
      <c r="AO4" s="14">
        <f ca="1">IF(AO$1="","",'Total Value'!AO16/'Total Value'!$D16-1)</f>
        <v>-0.15381392213659795</v>
      </c>
      <c r="AP4" s="14">
        <f ca="1">IF(AP$1="","",'Total Value'!AP16/'Total Value'!$D16-1)</f>
        <v>-0.20648193692955119</v>
      </c>
      <c r="AQ4" s="14">
        <f ca="1">IF(AQ$1="","",'Total Value'!AQ16/'Total Value'!$D16-1)</f>
        <v>-0.24393798619081442</v>
      </c>
      <c r="AR4" s="14">
        <f ca="1">IF(AR$1="","",'Total Value'!AR16/'Total Value'!$D16-1)</f>
        <v>-0.19467672296004801</v>
      </c>
      <c r="AS4" s="14">
        <f ca="1">IF(AS$1="","",'Total Value'!AS16/'Total Value'!$D16-1)</f>
        <v>-0.21646535861981009</v>
      </c>
      <c r="AT4" s="14">
        <f ca="1">IF(AT$1="","",'Total Value'!AT16/'Total Value'!$D16-1)</f>
        <v>-0.27006248747517803</v>
      </c>
      <c r="AU4" s="14">
        <f ca="1">IF(AU$1="","",'Total Value'!AU16/'Total Value'!$D16-1)</f>
        <v>-0.31119855714051481</v>
      </c>
      <c r="AV4" s="14">
        <f ca="1">IF(AV$1="","",'Total Value'!AV16/'Total Value'!$D16-1)</f>
        <v>-0.28817110273086655</v>
      </c>
      <c r="AW4" s="14">
        <f ca="1">IF(AW$1="","",'Total Value'!AW16/'Total Value'!$D16-1)</f>
        <v>-0.23366307773587647</v>
      </c>
      <c r="AX4" s="14">
        <f ca="1">IF(AX$1="","",'Total Value'!AX16/'Total Value'!$D16-1)</f>
        <v>-0.22486382102712643</v>
      </c>
      <c r="AY4" s="14">
        <f ca="1">IF(AY$1="","",'Total Value'!AY16/'Total Value'!$D16-1)</f>
        <v>-0.19318285329106766</v>
      </c>
      <c r="AZ4" s="14">
        <f ca="1">IF(AZ$1="","",'Total Value'!AZ16/'Total Value'!$D16-1)</f>
        <v>-0.21212949299520856</v>
      </c>
      <c r="BA4" s="14">
        <f ca="1">IF(BA$1="","",'Total Value'!BA16/'Total Value'!$D16-1)</f>
        <v>-0.1673862746169682</v>
      </c>
      <c r="BB4" s="14">
        <f ca="1">IF(BB$1="","",'Total Value'!BB16/'Total Value'!$D16-1)</f>
        <v>-0.20376746643347721</v>
      </c>
      <c r="BC4" s="14">
        <f ca="1">IF(BC$1="","",'Total Value'!BC16/'Total Value'!$D16-1)</f>
        <v>-0.20522490025687257</v>
      </c>
      <c r="BD4" s="14">
        <f ca="1">IF(BD$1="","",'Total Value'!BD16/'Total Value'!$D16-1)</f>
        <v>-0.21582773132207456</v>
      </c>
      <c r="BE4" s="14">
        <f ca="1">IF(BE$1="","",'Total Value'!BE16/'Total Value'!$D16-1)</f>
        <v>-0.20934215080796481</v>
      </c>
      <c r="BF4" s="14">
        <f ca="1">IF(BF$1="","",'Total Value'!BF16/'Total Value'!$D16-1)</f>
        <v>-0.17483740503907741</v>
      </c>
      <c r="BG4" s="14">
        <f ca="1">IF(BG$1="","",'Total Value'!BG16/'Total Value'!$D16-1)</f>
        <v>-0.19445810788653872</v>
      </c>
      <c r="BH4" s="14">
        <f ca="1">IF(BH$1="","",'Total Value'!BH16/'Total Value'!$D16-1)</f>
        <v>-0.20569856624947613</v>
      </c>
      <c r="BI4" s="14">
        <f ca="1">IF(BI$1="","",'Total Value'!BI16/'Total Value'!$D16-1)</f>
        <v>-0.18673370862254279</v>
      </c>
      <c r="BJ4" s="14">
        <f ca="1">IF(BJ$1="","",'Total Value'!BJ16/'Total Value'!$D16-1)</f>
        <v>-0.18859193674737207</v>
      </c>
      <c r="BK4" s="14">
        <f ca="1">IF(BK$1="","",'Total Value'!BK16/'Total Value'!$D16-1)</f>
        <v>-0.20424113242608066</v>
      </c>
      <c r="BL4" s="14">
        <f ca="1">IF(BL$1="","",'Total Value'!BL16/'Total Value'!$D16-1)</f>
        <v>-0.23167732415150022</v>
      </c>
      <c r="BM4" s="14">
        <f ca="1">IF(BM$1="","",'Total Value'!BM16/'Total Value'!$D16-1)</f>
        <v>-0.23087573554863272</v>
      </c>
      <c r="BN4" s="14">
        <f ca="1">IF(BN$1="","",'Total Value'!BN16/'Total Value'!$D16-1)</f>
        <v>-0.23382703904100854</v>
      </c>
      <c r="BO4" s="14">
        <f ca="1">IF(BO$1="","",'Total Value'!BO16/'Total Value'!$D16-1)</f>
        <v>-0.25362992111639426</v>
      </c>
      <c r="BP4" s="14">
        <f ca="1">IF(BP$1="","",'Total Value'!BP16/'Total Value'!$D16-1)</f>
        <v>-0.2599333224025796</v>
      </c>
      <c r="BQ4" s="14">
        <f ca="1">IF(BQ$1="","",'Total Value'!BQ16/'Total Value'!$D16-1)</f>
        <v>-0.24047658086025026</v>
      </c>
      <c r="BR4" s="14">
        <f ca="1">IF(BR$1="","",'Total Value'!BR16/'Total Value'!$D16-1)</f>
        <v>-0.25339308812009242</v>
      </c>
      <c r="BS4" s="14">
        <f ca="1">IF(BS$1="","",'Total Value'!BS16/'Total Value'!$D16-1)</f>
        <v>-0.26057094970031514</v>
      </c>
      <c r="BT4" s="14">
        <f ca="1">IF(BT$1="","",'Total Value'!BT16/'Total Value'!$D16-1)</f>
        <v>-0.22657630576961607</v>
      </c>
      <c r="BU4" s="14">
        <f ca="1">IF(BU$1="","",'Total Value'!BU16/'Total Value'!$D16-1)</f>
        <v>-0.23634111238636568</v>
      </c>
      <c r="BV4" s="14">
        <f ca="1">IF(BV$1="","",'Total Value'!BV16/'Total Value'!$D16-1)</f>
        <v>-0.30110582791350127</v>
      </c>
      <c r="BW4" s="14">
        <f ca="1">IF(BW$1="","",'Total Value'!BW16/'Total Value'!$D16-1)</f>
        <v>-0.34311635787287531</v>
      </c>
      <c r="BX4" s="14">
        <f ca="1">IF(BX$1="","",'Total Value'!BX16/'Total Value'!$D16-1)</f>
        <v>-0.32801369987793982</v>
      </c>
      <c r="BY4" s="14">
        <f ca="1">IF(BY$1="","",'Total Value'!BY16/'Total Value'!$D16-1)</f>
        <v>-0.34178644950902692</v>
      </c>
      <c r="BZ4" s="14">
        <f ca="1">IF(BZ$1="","",'Total Value'!BZ16/'Total Value'!$D16-1)</f>
        <v>-0.34337140879196948</v>
      </c>
      <c r="CA4" s="14">
        <f ca="1">IF(CA$1="","",'Total Value'!CA16/'Total Value'!$D16-1)</f>
        <v>-0.4449727642054252</v>
      </c>
      <c r="CB4" s="14">
        <f ca="1">IF(CB$1="","",'Total Value'!CB16/'Total Value'!$D16-1)</f>
        <v>-0.47184420032427898</v>
      </c>
      <c r="CC4" s="14">
        <f ca="1">IF(CC$1="","",'Total Value'!CC16/'Total Value'!$D16-1)</f>
        <v>-0.43728480078701415</v>
      </c>
      <c r="CD4" s="14">
        <f ca="1">IF(CD$1="","",'Total Value'!CD16/'Total Value'!$D16-1)</f>
        <v>-0.45160408810187458</v>
      </c>
      <c r="CE4" s="14">
        <f ca="1">IF(CE$1="","",'Total Value'!CE16/'Total Value'!$D16-1)</f>
        <v>-0.43362299830573314</v>
      </c>
      <c r="CF4" s="14" t="str">
        <f ca="1">IF(CF$1="","",'Total Value'!CF16/'Total Value'!$D16-1)</f>
        <v/>
      </c>
      <c r="CG4" s="14" t="str">
        <f ca="1">IF(CG$1="","",'Total Value'!CG16/'Total Value'!$D16-1)</f>
        <v/>
      </c>
      <c r="CH4" s="14" t="str">
        <f ca="1">IF(CH$1="","",'Total Value'!CH16/'Total Value'!$D16-1)</f>
        <v/>
      </c>
      <c r="CI4" s="14" t="str">
        <f ca="1">IF(CI$1="","",'Total Value'!CI16/'Total Value'!$D16-1)</f>
        <v/>
      </c>
      <c r="CJ4" s="14" t="str">
        <f ca="1">IF(CJ$1="","",'Total Value'!CJ16/'Total Value'!$D16-1)</f>
        <v/>
      </c>
      <c r="CK4" s="14" t="str">
        <f ca="1">IF(CK$1="","",'Total Value'!CK16/'Total Value'!$D16-1)</f>
        <v/>
      </c>
      <c r="CL4" s="14" t="str">
        <f ca="1">IF(CL$1="","",'Total Value'!CL16/'Total Value'!$D16-1)</f>
        <v/>
      </c>
      <c r="CM4" s="14" t="str">
        <f ca="1">IF(CM$1="","",'Total Value'!CM16/'Total Value'!$D16-1)</f>
        <v/>
      </c>
      <c r="CN4" s="14" t="str">
        <f ca="1">IF(CN$1="","",'Total Value'!CN16/'Total Value'!$D16-1)</f>
        <v/>
      </c>
      <c r="CO4" s="14" t="str">
        <f ca="1">IF(CO$1="","",'Total Value'!CO16/'Total Value'!$D16-1)</f>
        <v/>
      </c>
      <c r="CP4" s="14" t="str">
        <f ca="1">IF(CP$1="","",'Total Value'!CP16/'Total Value'!$D16-1)</f>
        <v/>
      </c>
      <c r="CQ4" s="14" t="str">
        <f ca="1">IF(CQ$1="","",'Total Value'!CQ16/'Total Value'!$D16-1)</f>
        <v/>
      </c>
      <c r="CR4" s="14" t="str">
        <f ca="1">IF(CR$1="","",'Total Value'!CR16/'Total Value'!$D16-1)</f>
        <v/>
      </c>
      <c r="CS4" s="14" t="str">
        <f ca="1">IF(CS$1="","",'Total Value'!CS16/'Total Value'!$D16-1)</f>
        <v/>
      </c>
      <c r="CT4" s="14" t="str">
        <f ca="1">IF(CT$1="","",'Total Value'!CT16/'Total Value'!$D16-1)</f>
        <v/>
      </c>
      <c r="CU4" s="14" t="str">
        <f ca="1">IF(CU$1="","",'Total Value'!CU16/'Total Value'!$D16-1)</f>
        <v/>
      </c>
      <c r="CV4" s="14" t="str">
        <f ca="1">IF(CV$1="","",'Total Value'!CV16/'Total Value'!$D16-1)</f>
        <v/>
      </c>
      <c r="CW4" s="14" t="str">
        <f ca="1">IF(CW$1="","",'Total Value'!CW16/'Total Value'!$D16-1)</f>
        <v/>
      </c>
      <c r="CX4" s="14" t="str">
        <f ca="1">IF(CX$1="","",'Total Value'!CX16/'Total Value'!$D16-1)</f>
        <v/>
      </c>
      <c r="CY4" s="14" t="str">
        <f ca="1">IF(CY$1="","",'Total Value'!CY16/'Total Value'!$D16-1)</f>
        <v/>
      </c>
      <c r="CZ4" s="14" t="str">
        <f ca="1">IF(CZ$1="","",'Total Value'!CZ16/'Total Value'!$D16-1)</f>
        <v/>
      </c>
      <c r="DA4" s="14" t="str">
        <f ca="1">IF(DA$1="","",'Total Value'!DA16/'Total Value'!$D16-1)</f>
        <v/>
      </c>
      <c r="DB4" s="14" t="str">
        <f ca="1">IF(DB$1="","",'Total Value'!DB16/'Total Value'!$D16-1)</f>
        <v/>
      </c>
      <c r="DC4" s="14" t="str">
        <f ca="1">IF(DC$1="","",'Total Value'!DC16/'Total Value'!$D16-1)</f>
        <v/>
      </c>
      <c r="DD4" s="14" t="str">
        <f ca="1">IF(DD$1="","",'Total Value'!DD16/'Total Value'!$D16-1)</f>
        <v/>
      </c>
      <c r="DE4" s="14" t="str">
        <f ca="1">IF(DE$1="","",'Total Value'!DE16/'Total Value'!$D16-1)</f>
        <v/>
      </c>
      <c r="DF4" s="14" t="str">
        <f ca="1">IF(DF$1="","",'Total Value'!DF16/'Total Value'!$D16-1)</f>
        <v/>
      </c>
      <c r="DG4" s="14" t="str">
        <f ca="1">IF(DG$1="","",'Total Value'!DG16/'Total Value'!$D16-1)</f>
        <v/>
      </c>
      <c r="DH4" s="14" t="str">
        <f ca="1">IF(DH$1="","",'Total Value'!DH16/'Total Value'!$D16-1)</f>
        <v/>
      </c>
      <c r="DI4" s="14" t="str">
        <f ca="1">IF(DI$1="","",'Total Value'!DI16/'Total Value'!$D16-1)</f>
        <v/>
      </c>
      <c r="DJ4" s="14" t="str">
        <f ca="1">IF(DJ$1="","",'Total Value'!DJ16/'Total Value'!$D16-1)</f>
        <v/>
      </c>
      <c r="DK4" s="14" t="str">
        <f ca="1">IF(DK$1="","",'Total Value'!DK16/'Total Value'!$D16-1)</f>
        <v/>
      </c>
      <c r="DL4" s="14" t="str">
        <f ca="1">IF(DL$1="","",'Total Value'!DL16/'Total Value'!$D16-1)</f>
        <v/>
      </c>
      <c r="DM4" s="14" t="str">
        <f ca="1">IF(DM$1="","",'Total Value'!DM16/'Total Value'!$D16-1)</f>
        <v/>
      </c>
      <c r="DN4" s="14" t="str">
        <f ca="1">IF(DN$1="","",'Total Value'!DN16/'Total Value'!$D16-1)</f>
        <v/>
      </c>
      <c r="DO4" s="14" t="str">
        <f ca="1">IF(DO$1="","",'Total Value'!DO16/'Total Value'!$D16-1)</f>
        <v/>
      </c>
      <c r="DP4" s="14" t="str">
        <f ca="1">IF(DP$1="","",'Total Value'!DP16/'Total Value'!$D16-1)</f>
        <v/>
      </c>
      <c r="DQ4" s="14" t="str">
        <f ca="1">IF(DQ$1="","",'Total Value'!DQ16/'Total Value'!$D16-1)</f>
        <v/>
      </c>
      <c r="DR4" s="14" t="str">
        <f ca="1">IF(DR$1="","",'Total Value'!DR16/'Total Value'!$D16-1)</f>
        <v/>
      </c>
      <c r="DS4" s="14" t="str">
        <f ca="1">IF(DS$1="","",'Total Value'!DS16/'Total Value'!$D16-1)</f>
        <v/>
      </c>
      <c r="DT4" s="14" t="str">
        <f ca="1">IF(DT$1="","",'Total Value'!DT16/'Total Value'!$D16-1)</f>
        <v/>
      </c>
      <c r="DU4" s="14" t="str">
        <f ca="1">IF(DU$1="","",'Total Value'!DU16/'Total Value'!$D16-1)</f>
        <v/>
      </c>
      <c r="DV4" s="14" t="str">
        <f ca="1">IF(DV$1="","",'Total Value'!DV16/'Total Value'!$D16-1)</f>
        <v/>
      </c>
      <c r="DW4" s="14" t="str">
        <f ca="1">IF(DW$1="","",'Total Value'!DW16/'Total Value'!$D16-1)</f>
        <v/>
      </c>
      <c r="DX4" s="14" t="str">
        <f ca="1">IF(DX$1="","",'Total Value'!DX16/'Total Value'!$D16-1)</f>
        <v/>
      </c>
      <c r="DY4" s="14" t="str">
        <f ca="1">IF(DY$1="","",'Total Value'!DY16/'Total Value'!$D16-1)</f>
        <v/>
      </c>
      <c r="DZ4" s="14" t="str">
        <f ca="1">IF(DZ$1="","",'Total Value'!DZ16/'Total Value'!$D16-1)</f>
        <v/>
      </c>
      <c r="EA4" s="14" t="str">
        <f ca="1">IF(EA$1="","",'Total Value'!EA16/'Total Value'!$D16-1)</f>
        <v/>
      </c>
      <c r="EB4" s="14" t="str">
        <f ca="1">IF(EB$1="","",'Total Value'!EB16/'Total Value'!$D16-1)</f>
        <v/>
      </c>
      <c r="EC4" s="14" t="str">
        <f ca="1">IF(EC$1="","",'Total Value'!EC16/'Total Value'!$D16-1)</f>
        <v/>
      </c>
      <c r="ED4" s="14" t="str">
        <f ca="1">IF(ED$1="","",'Total Value'!ED16/'Total Value'!$D16-1)</f>
        <v/>
      </c>
      <c r="EE4" s="14" t="str">
        <f ca="1">IF(EE$1="","",'Total Value'!EE16/'Total Value'!$D16-1)</f>
        <v/>
      </c>
      <c r="EF4" s="14" t="str">
        <f ca="1">IF(EF$1="","",'Total Value'!EF16/'Total Value'!$D16-1)</f>
        <v/>
      </c>
      <c r="EG4" s="14" t="str">
        <f ca="1">IF(EG$1="","",'Total Value'!EG16/'Total Value'!$D16-1)</f>
        <v/>
      </c>
      <c r="EH4" s="14" t="str">
        <f ca="1">IF(EH$1="","",'Total Value'!EH16/'Total Value'!$D16-1)</f>
        <v/>
      </c>
      <c r="EI4" s="14" t="str">
        <f ca="1">IF(EI$1="","",'Total Value'!EI16/'Total Value'!$D16-1)</f>
        <v/>
      </c>
      <c r="EJ4" s="14" t="str">
        <f ca="1">IF(EJ$1="","",'Total Value'!EJ16/'Total Value'!$D16-1)</f>
        <v/>
      </c>
      <c r="EK4" s="14" t="str">
        <f ca="1">IF(EK$1="","",'Total Value'!EK16/'Total Value'!$D16-1)</f>
        <v/>
      </c>
      <c r="EL4" s="14" t="str">
        <f ca="1">IF(EL$1="","",'Total Value'!EL16/'Total Value'!$D16-1)</f>
        <v/>
      </c>
      <c r="EM4" s="14" t="str">
        <f ca="1">IF(EM$1="","",'Total Value'!EM16/'Total Value'!$D16-1)</f>
        <v/>
      </c>
      <c r="EN4" s="14" t="str">
        <f ca="1">IF(EN$1="","",'Total Value'!EN16/'Total Value'!$D16-1)</f>
        <v/>
      </c>
      <c r="EO4" s="14" t="str">
        <f ca="1">IF(EO$1="","",'Total Value'!EO16/'Total Value'!$D16-1)</f>
        <v/>
      </c>
      <c r="EP4" s="14" t="str">
        <f ca="1">IF(EP$1="","",'Total Value'!EP16/'Total Value'!$D16-1)</f>
        <v/>
      </c>
      <c r="EQ4" s="14" t="str">
        <f ca="1">IF(EQ$1="","",'Total Value'!EQ16/'Total Value'!$D16-1)</f>
        <v/>
      </c>
      <c r="ER4" s="14" t="str">
        <f ca="1">IF(ER$1="","",'Total Value'!ER16/'Total Value'!$D16-1)</f>
        <v/>
      </c>
      <c r="ES4" s="14" t="str">
        <f ca="1">IF(ES$1="","",'Total Value'!ES16/'Total Value'!$D16-1)</f>
        <v/>
      </c>
      <c r="ET4" s="14" t="str">
        <f ca="1">IF(ET$1="","",'Total Value'!ET16/'Total Value'!$D16-1)</f>
        <v/>
      </c>
      <c r="EU4" s="14" t="str">
        <f ca="1">IF(EU$1="","",'Total Value'!EU16/'Total Value'!$D16-1)</f>
        <v/>
      </c>
      <c r="EV4" s="14" t="str">
        <f ca="1">IF(EV$1="","",'Total Value'!EV16/'Total Value'!$D16-1)</f>
        <v/>
      </c>
      <c r="EW4" s="14" t="str">
        <f ca="1">IF(EW$1="","",'Total Value'!EW16/'Total Value'!$D16-1)</f>
        <v/>
      </c>
      <c r="EX4" s="14" t="str">
        <f ca="1">IF(EX$1="","",'Total Value'!EX16/'Total Value'!$D16-1)</f>
        <v/>
      </c>
      <c r="EY4" s="14" t="str">
        <f ca="1">IF(EY$1="","",'Total Value'!EY16/'Total Value'!$D16-1)</f>
        <v/>
      </c>
      <c r="EZ4" s="14" t="str">
        <f ca="1">IF(EZ$1="","",'Total Value'!EZ16/'Total Value'!$D16-1)</f>
        <v/>
      </c>
      <c r="FA4" s="14" t="str">
        <f ca="1">IF(FA$1="","",'Total Value'!FA16/'Total Value'!$D16-1)</f>
        <v/>
      </c>
      <c r="FB4" s="14" t="str">
        <f ca="1">IF(FB$1="","",'Total Value'!FB16/'Total Value'!$D16-1)</f>
        <v/>
      </c>
      <c r="FC4" s="14" t="str">
        <f ca="1">IF(FC$1="","",'Total Value'!FC16/'Total Value'!$D16-1)</f>
        <v/>
      </c>
      <c r="FD4" s="14" t="str">
        <f ca="1">IF(FD$1="","",'Total Value'!FD16/'Total Value'!$D16-1)</f>
        <v/>
      </c>
      <c r="FE4" s="14" t="str">
        <f ca="1">IF(FE$1="","",'Total Value'!FE16/'Total Value'!$D16-1)</f>
        <v/>
      </c>
      <c r="FF4" s="14" t="str">
        <f ca="1">IF(FF$1="","",'Total Value'!FF16/'Total Value'!$D16-1)</f>
        <v/>
      </c>
      <c r="FG4" s="14" t="str">
        <f ca="1">IF(FG$1="","",'Total Value'!FG16/'Total Value'!$D16-1)</f>
        <v/>
      </c>
      <c r="FH4" s="14" t="str">
        <f ca="1">IF(FH$1="","",'Total Value'!FH16/'Total Value'!$D16-1)</f>
        <v/>
      </c>
      <c r="FI4" s="14" t="str">
        <f ca="1">IF(FI$1="","",'Total Value'!FI16/'Total Value'!$D16-1)</f>
        <v/>
      </c>
      <c r="FJ4" s="14" t="str">
        <f ca="1">IF(FJ$1="","",'Total Value'!FJ16/'Total Value'!$D16-1)</f>
        <v/>
      </c>
      <c r="FK4" s="14" t="str">
        <f ca="1">IF(FK$1="","",'Total Value'!FK16/'Total Value'!$D16-1)</f>
        <v/>
      </c>
      <c r="FL4" s="14" t="str">
        <f ca="1">IF(FL$1="","",'Total Value'!FL16/'Total Value'!$D16-1)</f>
        <v/>
      </c>
      <c r="FM4" s="14" t="str">
        <f ca="1">IF(FM$1="","",'Total Value'!FM16/'Total Value'!$D16-1)</f>
        <v/>
      </c>
      <c r="FN4" s="14" t="str">
        <f ca="1">IF(FN$1="","",'Total Value'!FN16/'Total Value'!$D16-1)</f>
        <v/>
      </c>
      <c r="FO4" s="14" t="str">
        <f ca="1">IF(FO$1="","",'Total Value'!FO16/'Total Value'!$D16-1)</f>
        <v/>
      </c>
      <c r="FP4" s="14" t="str">
        <f ca="1">IF(FP$1="","",'Total Value'!FP16/'Total Value'!$D16-1)</f>
        <v/>
      </c>
      <c r="FQ4" s="14" t="str">
        <f ca="1">IF(FQ$1="","",'Total Value'!FQ16/'Total Value'!$D16-1)</f>
        <v/>
      </c>
      <c r="FR4" s="14" t="str">
        <f ca="1">IF(FR$1="","",'Total Value'!FR16/'Total Value'!$D16-1)</f>
        <v/>
      </c>
      <c r="FS4" s="14" t="str">
        <f ca="1">IF(FS$1="","",'Total Value'!FS16/'Total Value'!$D16-1)</f>
        <v/>
      </c>
      <c r="FT4" s="14" t="str">
        <f ca="1">IF(FT$1="","",'Total Value'!FT16/'Total Value'!$D16-1)</f>
        <v/>
      </c>
      <c r="FU4" s="14" t="str">
        <f ca="1">IF(FU$1="","",'Total Value'!FU16/'Total Value'!$D16-1)</f>
        <v/>
      </c>
      <c r="FV4" s="14" t="str">
        <f ca="1">IF(FV$1="","",'Total Value'!FV16/'Total Value'!$D16-1)</f>
        <v/>
      </c>
      <c r="FW4" s="14" t="str">
        <f ca="1">IF(FW$1="","",'Total Value'!FW16/'Total Value'!$D16-1)</f>
        <v/>
      </c>
      <c r="FX4" s="14" t="str">
        <f ca="1">IF(FX$1="","",'Total Value'!FX16/'Total Value'!$D16-1)</f>
        <v/>
      </c>
      <c r="FY4" s="14" t="str">
        <f ca="1">IF(FY$1="","",'Total Value'!FY16/'Total Value'!$D16-1)</f>
        <v/>
      </c>
      <c r="FZ4" s="14" t="str">
        <f ca="1">IF(FZ$1="","",'Total Value'!FZ16/'Total Value'!$D16-1)</f>
        <v/>
      </c>
      <c r="GA4" s="14" t="str">
        <f ca="1">IF(GA$1="","",'Total Value'!GA16/'Total Value'!$D16-1)</f>
        <v/>
      </c>
      <c r="GB4" s="14" t="str">
        <f ca="1">IF(GB$1="","",'Total Value'!GB16/'Total Value'!$D16-1)</f>
        <v/>
      </c>
      <c r="GC4" s="14" t="str">
        <f ca="1">IF(GC$1="","",'Total Value'!GC16/'Total Value'!$D16-1)</f>
        <v/>
      </c>
      <c r="GD4" s="14" t="str">
        <f ca="1">IF(GD$1="","",'Total Value'!GD16/'Total Value'!$D16-1)</f>
        <v/>
      </c>
      <c r="GE4" s="14" t="str">
        <f ca="1">IF(GE$1="","",'Total Value'!GE16/'Total Value'!$D16-1)</f>
        <v/>
      </c>
      <c r="GF4" s="14" t="str">
        <f ca="1">IF(GF$1="","",'Total Value'!GF16/'Total Value'!$D16-1)</f>
        <v/>
      </c>
      <c r="GG4" s="14" t="str">
        <f ca="1">IF(GG$1="","",'Total Value'!GG16/'Total Value'!$D16-1)</f>
        <v/>
      </c>
      <c r="GH4" s="14" t="str">
        <f ca="1">IF(GH$1="","",'Total Value'!GH16/'Total Value'!$D16-1)</f>
        <v/>
      </c>
      <c r="GI4" s="14" t="str">
        <f ca="1">IF(GI$1="","",'Total Value'!GI16/'Total Value'!$D16-1)</f>
        <v/>
      </c>
      <c r="GJ4" s="14" t="str">
        <f ca="1">IF(GJ$1="","",'Total Value'!GJ16/'Total Value'!$D16-1)</f>
        <v/>
      </c>
      <c r="GK4" s="14" t="str">
        <f ca="1">IF(GK$1="","",'Total Value'!GK16/'Total Value'!$D16-1)</f>
        <v/>
      </c>
      <c r="GL4" s="14" t="str">
        <f ca="1">IF(GL$1="","",'Total Value'!GL16/'Total Value'!$D16-1)</f>
        <v/>
      </c>
      <c r="GM4" s="14" t="str">
        <f ca="1">IF(GM$1="","",'Total Value'!GM16/'Total Value'!$D16-1)</f>
        <v/>
      </c>
      <c r="GN4" s="14" t="str">
        <f ca="1">IF(GN$1="","",'Total Value'!GN16/'Total Value'!$D16-1)</f>
        <v/>
      </c>
      <c r="GO4" s="14" t="str">
        <f ca="1">IF(GO$1="","",'Total Value'!GO16/'Total Value'!$D16-1)</f>
        <v/>
      </c>
      <c r="GP4" s="14" t="str">
        <f ca="1">IF(GP$1="","",'Total Value'!GP16/'Total Value'!$D16-1)</f>
        <v/>
      </c>
      <c r="GQ4" s="14" t="str">
        <f ca="1">IF(GQ$1="","",'Total Value'!GQ16/'Total Value'!$D16-1)</f>
        <v/>
      </c>
      <c r="GR4" s="14" t="str">
        <f ca="1">IF(GR$1="","",'Total Value'!GR16/'Total Value'!$D16-1)</f>
        <v/>
      </c>
      <c r="GS4" s="14" t="str">
        <f ca="1">IF(GS$1="","",'Total Value'!GS16/'Total Value'!$D16-1)</f>
        <v/>
      </c>
      <c r="GT4" s="14" t="str">
        <f ca="1">IF(GT$1="","",'Total Value'!GT16/'Total Value'!$D16-1)</f>
        <v/>
      </c>
      <c r="GU4" s="14" t="str">
        <f ca="1">IF(GU$1="","",'Total Value'!GU16/'Total Value'!$D16-1)</f>
        <v/>
      </c>
      <c r="GV4" s="14" t="str">
        <f ca="1">IF(GV$1="","",'Total Value'!GV16/'Total Value'!$D16-1)</f>
        <v/>
      </c>
      <c r="GW4" s="14" t="str">
        <f ca="1">IF(GW$1="","",'Total Value'!GW16/'Total Value'!$D16-1)</f>
        <v/>
      </c>
      <c r="GX4" s="14" t="str">
        <f ca="1">IF(GX$1="","",'Total Value'!GX16/'Total Value'!$D16-1)</f>
        <v/>
      </c>
      <c r="GY4" s="14" t="str">
        <f ca="1">IF(GY$1="","",'Total Value'!GY16/'Total Value'!$D16-1)</f>
        <v/>
      </c>
      <c r="GZ4" s="14" t="str">
        <f ca="1">IF(GZ$1="","",'Total Value'!GZ16/'Total Value'!$D16-1)</f>
        <v/>
      </c>
      <c r="HA4" s="14" t="str">
        <f ca="1">IF(HA$1="","",'Total Value'!HA16/'Total Value'!$D16-1)</f>
        <v/>
      </c>
      <c r="HB4" s="14" t="str">
        <f ca="1">IF(HB$1="","",'Total Value'!HB16/'Total Value'!$D16-1)</f>
        <v/>
      </c>
      <c r="HC4" s="14" t="str">
        <f ca="1">IF(HC$1="","",'Total Value'!HC16/'Total Value'!$D16-1)</f>
        <v/>
      </c>
      <c r="HD4" s="14" t="str">
        <f ca="1">IF(HD$1="","",'Total Value'!HD16/'Total Value'!$D16-1)</f>
        <v/>
      </c>
      <c r="HE4" s="14" t="str">
        <f ca="1">IF(HE$1="","",'Total Value'!HE16/'Total Value'!$D16-1)</f>
        <v/>
      </c>
      <c r="HF4" s="14" t="str">
        <f ca="1">IF(HF$1="","",'Total Value'!HF16/'Total Value'!$D16-1)</f>
        <v/>
      </c>
      <c r="HG4" s="14" t="str">
        <f ca="1">IF(HG$1="","",'Total Value'!HG16/'Total Value'!$D16-1)</f>
        <v/>
      </c>
      <c r="HH4" s="14" t="str">
        <f ca="1">IF(HH$1="","",'Total Value'!HH16/'Total Value'!$D16-1)</f>
        <v/>
      </c>
      <c r="HI4" s="14" t="str">
        <f ca="1">IF(HI$1="","",'Total Value'!HI16/'Total Value'!$D16-1)</f>
        <v/>
      </c>
      <c r="HJ4" s="14" t="str">
        <f ca="1">IF(HJ$1="","",'Total Value'!HJ16/'Total Value'!$D16-1)</f>
        <v/>
      </c>
      <c r="HK4" s="14" t="str">
        <f ca="1">IF(HK$1="","",'Total Value'!HK16/'Total Value'!$D16-1)</f>
        <v/>
      </c>
      <c r="HL4" s="14" t="str">
        <f ca="1">IF(HL$1="","",'Total Value'!HL16/'Total Value'!$D16-1)</f>
        <v/>
      </c>
      <c r="HM4" s="14" t="str">
        <f ca="1">IF(HM$1="","",'Total Value'!HM16/'Total Value'!$D16-1)</f>
        <v/>
      </c>
      <c r="HN4" s="14" t="str">
        <f ca="1">IF(HN$1="","",'Total Value'!HN16/'Total Value'!$D16-1)</f>
        <v/>
      </c>
      <c r="HO4" s="14" t="str">
        <f ca="1">IF(HO$1="","",'Total Value'!HO16/'Total Value'!$D16-1)</f>
        <v/>
      </c>
      <c r="HP4" s="14" t="str">
        <f ca="1">IF(HP$1="","",'Total Value'!HP16/'Total Value'!$D16-1)</f>
        <v/>
      </c>
      <c r="HQ4" s="14" t="str">
        <f ca="1">IF(HQ$1="","",'Total Value'!HQ16/'Total Value'!$D16-1)</f>
        <v/>
      </c>
      <c r="HR4" s="14" t="str">
        <f ca="1">IF(HR$1="","",'Total Value'!HR16/'Total Value'!$D16-1)</f>
        <v/>
      </c>
      <c r="HS4" s="14" t="str">
        <f ca="1">IF(HS$1="","",'Total Value'!HS16/'Total Value'!$D16-1)</f>
        <v/>
      </c>
      <c r="HT4" s="14" t="str">
        <f ca="1">IF(HT$1="","",'Total Value'!HT16/'Total Value'!$D16-1)</f>
        <v/>
      </c>
      <c r="HU4" s="14" t="str">
        <f ca="1">IF(HU$1="","",'Total Value'!HU16/'Total Value'!$D16-1)</f>
        <v/>
      </c>
      <c r="HV4" s="14" t="str">
        <f ca="1">IF(HV$1="","",'Total Value'!HV16/'Total Value'!$D16-1)</f>
        <v/>
      </c>
      <c r="HW4" s="14" t="str">
        <f ca="1">IF(HW$1="","",'Total Value'!HW16/'Total Value'!$D16-1)</f>
        <v/>
      </c>
      <c r="HX4" s="14" t="str">
        <f ca="1">IF(HX$1="","",'Total Value'!HX16/'Total Value'!$D16-1)</f>
        <v/>
      </c>
      <c r="HY4" s="14" t="str">
        <f ca="1">IF(HY$1="","",'Total Value'!HY16/'Total Value'!$D16-1)</f>
        <v/>
      </c>
      <c r="HZ4" s="14" t="str">
        <f ca="1">IF(HZ$1="","",'Total Value'!HZ16/'Total Value'!$D16-1)</f>
        <v/>
      </c>
      <c r="IA4" s="14" t="str">
        <f ca="1">IF(IA$1="","",'Total Value'!IA16/'Total Value'!$D16-1)</f>
        <v/>
      </c>
      <c r="IB4" s="14" t="str">
        <f ca="1">IF(IB$1="","",'Total Value'!IB16/'Total Value'!$D16-1)</f>
        <v/>
      </c>
      <c r="IC4" s="14" t="str">
        <f ca="1">IF(IC$1="","",'Total Value'!IC16/'Total Value'!$D16-1)</f>
        <v/>
      </c>
      <c r="ID4" s="14" t="str">
        <f ca="1">IF(ID$1="","",'Total Value'!ID16/'Total Value'!$D16-1)</f>
        <v/>
      </c>
      <c r="IE4" s="14" t="str">
        <f ca="1">IF(IE$1="","",'Total Value'!IE16/'Total Value'!$D16-1)</f>
        <v/>
      </c>
      <c r="IF4" s="14" t="str">
        <f ca="1">IF(IF$1="","",'Total Value'!IF16/'Total Value'!$D16-1)</f>
        <v/>
      </c>
      <c r="IG4" s="14" t="str">
        <f ca="1">IF(IG$1="","",'Total Value'!IG16/'Total Value'!$D16-1)</f>
        <v/>
      </c>
      <c r="IH4" s="14" t="str">
        <f ca="1">IF(IH$1="","",'Total Value'!IH16/'Total Value'!$D16-1)</f>
        <v/>
      </c>
      <c r="II4" s="14" t="str">
        <f ca="1">IF(II$1="","",'Total Value'!II16/'Total Value'!$D16-1)</f>
        <v/>
      </c>
      <c r="IJ4" s="14" t="str">
        <f ca="1">IF(IJ$1="","",'Total Value'!IJ16/'Total Value'!$D16-1)</f>
        <v/>
      </c>
      <c r="IK4" s="14" t="str">
        <f ca="1">IF(IK$1="","",'Total Value'!IK16/'Total Value'!$D16-1)</f>
        <v/>
      </c>
      <c r="IL4" s="14" t="str">
        <f ca="1">IF(IL$1="","",'Total Value'!IL16/'Total Value'!$D16-1)</f>
        <v/>
      </c>
      <c r="IM4" s="14" t="str">
        <f ca="1">IF(IM$1="","",'Total Value'!IM16/'Total Value'!$D16-1)</f>
        <v/>
      </c>
      <c r="IN4" s="14" t="str">
        <f ca="1">IF(IN$1="","",'Total Value'!IN16/'Total Value'!$D16-1)</f>
        <v/>
      </c>
      <c r="IO4" s="14" t="str">
        <f ca="1">IF(IO$1="","",'Total Value'!IO16/'Total Value'!$D16-1)</f>
        <v/>
      </c>
      <c r="IP4" s="14" t="str">
        <f ca="1">IF(IP$1="","",'Total Value'!IP16/'Total Value'!$D16-1)</f>
        <v/>
      </c>
      <c r="IQ4" s="14" t="str">
        <f ca="1">IF(IQ$1="","",'Total Value'!IQ16/'Total Value'!$D16-1)</f>
        <v/>
      </c>
      <c r="IR4" s="14" t="str">
        <f ca="1">IF(IR$1="","",'Total Value'!IR16/'Total Value'!$D16-1)</f>
        <v/>
      </c>
      <c r="IS4" s="14" t="str">
        <f ca="1">IF(IS$1="","",'Total Value'!IS16/'Total Value'!$D16-1)</f>
        <v/>
      </c>
      <c r="IT4" s="14" t="str">
        <f ca="1">IF(IT$1="","",'Total Value'!IT16/'Total Value'!$D16-1)</f>
        <v/>
      </c>
      <c r="IU4" s="14" t="str">
        <f ca="1">IF(IU$1="","",'Total Value'!IU16/'Total Value'!$D16-1)</f>
        <v/>
      </c>
      <c r="IV4" s="14" t="str">
        <f ca="1">IF(IV$1="","",'Total Value'!IV16/'Total Value'!$D16-1)</f>
        <v/>
      </c>
      <c r="IW4" s="14" t="str">
        <f ca="1">IF(IW$1="","",'Total Value'!IW16/'Total Value'!$D16-1)</f>
        <v/>
      </c>
      <c r="IX4" s="14" t="str">
        <f ca="1">IF(IX$1="","",'Total Value'!IX16/'Total Value'!$D16-1)</f>
        <v/>
      </c>
      <c r="IY4" s="14" t="str">
        <f ca="1">IF(IY$1="","",'Total Value'!IY16/'Total Value'!$D16-1)</f>
        <v/>
      </c>
      <c r="IZ4" s="14" t="str">
        <f ca="1">IF(IZ$1="","",'Total Value'!IZ16/'Total Value'!$D16-1)</f>
        <v/>
      </c>
      <c r="JA4" s="14" t="str">
        <f ca="1">IF(JA$1="","",'Total Value'!JA16/'Total Value'!$D16-1)</f>
        <v/>
      </c>
      <c r="JB4" s="14" t="str">
        <f ca="1">IF(JB$1="","",'Total Value'!JB16/'Total Value'!$D16-1)</f>
        <v/>
      </c>
      <c r="JC4" s="14" t="str">
        <f ca="1">IF(JC$1="","",'Total Value'!JC16/'Total Value'!$D16-1)</f>
        <v/>
      </c>
      <c r="JD4" s="14" t="str">
        <f ca="1">IF(JD$1="","",'Total Value'!JD16/'Total Value'!$D16-1)</f>
        <v/>
      </c>
      <c r="JE4" s="14" t="str">
        <f ca="1">IF(JE$1="","",'Total Value'!JE16/'Total Value'!$D16-1)</f>
        <v/>
      </c>
      <c r="JF4" s="14" t="str">
        <f ca="1">IF(JF$1="","",'Total Value'!JF16/'Total Value'!$D16-1)</f>
        <v/>
      </c>
      <c r="JG4" s="14" t="str">
        <f ca="1">IF(JG$1="","",'Total Value'!JG16/'Total Value'!$D16-1)</f>
        <v/>
      </c>
      <c r="JH4" s="14" t="str">
        <f ca="1">IF(JH$1="","",'Total Value'!JH16/'Total Value'!$D16-1)</f>
        <v/>
      </c>
      <c r="JI4" s="14" t="str">
        <f ca="1">IF(JI$1="","",'Total Value'!JI16/'Total Value'!$D16-1)</f>
        <v/>
      </c>
      <c r="JJ4" s="14" t="str">
        <f ca="1">IF(JJ$1="","",'Total Value'!JJ16/'Total Value'!$D16-1)</f>
        <v/>
      </c>
      <c r="JK4" s="14" t="str">
        <f ca="1">IF(JK$1="","",'Total Value'!JK16/'Total Value'!$D16-1)</f>
        <v/>
      </c>
      <c r="JL4" s="14" t="str">
        <f ca="1">IF(JL$1="","",'Total Value'!JL16/'Total Value'!$D16-1)</f>
        <v/>
      </c>
      <c r="JM4" s="14" t="str">
        <f ca="1">IF(JM$1="","",'Total Value'!JM16/'Total Value'!$D16-1)</f>
        <v/>
      </c>
      <c r="JN4" s="14" t="str">
        <f ca="1">IF(JN$1="","",'Total Value'!JN16/'Total Value'!$D16-1)</f>
        <v/>
      </c>
      <c r="JO4" s="14" t="str">
        <f ca="1">IF(JO$1="","",'Total Value'!JO16/'Total Value'!$D16-1)</f>
        <v/>
      </c>
      <c r="JP4" s="14" t="str">
        <f ca="1">IF(JP$1="","",'Total Value'!JP16/'Total Value'!$D16-1)</f>
        <v/>
      </c>
      <c r="JQ4" s="14" t="str">
        <f ca="1">IF(JQ$1="","",'Total Value'!JQ16/'Total Value'!$D16-1)</f>
        <v/>
      </c>
      <c r="JR4" s="14" t="str">
        <f ca="1">IF(JR$1="","",'Total Value'!JR16/'Total Value'!$D16-1)</f>
        <v/>
      </c>
      <c r="JS4" s="14" t="str">
        <f ca="1">IF(JS$1="","",'Total Value'!JS16/'Total Value'!$D16-1)</f>
        <v/>
      </c>
      <c r="JT4" s="14" t="str">
        <f ca="1">IF(JT$1="","",'Total Value'!JT16/'Total Value'!$D16-1)</f>
        <v/>
      </c>
      <c r="JU4" s="14" t="str">
        <f ca="1">IF(JU$1="","",'Total Value'!JU16/'Total Value'!$D16-1)</f>
        <v/>
      </c>
      <c r="JV4" s="14" t="str">
        <f ca="1">IF(JV$1="","",'Total Value'!JV16/'Total Value'!$D16-1)</f>
        <v/>
      </c>
      <c r="JW4" s="14" t="str">
        <f ca="1">IF(JW$1="","",'Total Value'!JW16/'Total Value'!$D16-1)</f>
        <v/>
      </c>
      <c r="JX4" s="14" t="str">
        <f ca="1">IF(JX$1="","",'Total Value'!JX16/'Total Value'!$D16-1)</f>
        <v/>
      </c>
      <c r="JY4" s="14" t="str">
        <f ca="1">IF(JY$1="","",'Total Value'!JY16/'Total Value'!$D16-1)</f>
        <v/>
      </c>
      <c r="JZ4" s="14" t="str">
        <f ca="1">IF(JZ$1="","",'Total Value'!JZ16/'Total Value'!$D16-1)</f>
        <v/>
      </c>
      <c r="KA4" s="14" t="str">
        <f ca="1">IF(KA$1="","",'Total Value'!KA16/'Total Value'!$D16-1)</f>
        <v/>
      </c>
      <c r="KB4" s="14" t="str">
        <f ca="1">IF(KB$1="","",'Total Value'!KB16/'Total Value'!$D16-1)</f>
        <v/>
      </c>
    </row>
    <row r="5" spans="1:288" ht="15.75" customHeight="1">
      <c r="A5" s="9" t="s">
        <v>30</v>
      </c>
      <c r="B5" s="6" t="s">
        <v>50</v>
      </c>
      <c r="C5" s="26">
        <v>411</v>
      </c>
      <c r="D5" s="13">
        <v>0</v>
      </c>
      <c r="E5" s="14">
        <f ca="1">IF(E$1="","",'Total Value'!E17/'Total Value'!$D17-1)</f>
        <v>1.3356164383561797E-2</v>
      </c>
      <c r="F5" s="14">
        <f ca="1">IF(F$1="","",'Total Value'!F17/'Total Value'!$D17-1)</f>
        <v>1.4726027397260477E-2</v>
      </c>
      <c r="G5" s="14">
        <f ca="1">IF(G$1="","",'Total Value'!G17/'Total Value'!$D17-1)</f>
        <v>2.6369863013698813E-2</v>
      </c>
      <c r="H5" s="14">
        <f ca="1">IF(H$1="","",'Total Value'!H17/'Total Value'!$D17-1)</f>
        <v>4.0068493150684947E-2</v>
      </c>
      <c r="I5" s="14">
        <f ca="1">IF(I$1="","",'Total Value'!I17/'Total Value'!$D17-1)</f>
        <v>3.0821917808219412E-2</v>
      </c>
      <c r="J5" s="14">
        <f ca="1">IF(J$1="","",'Total Value'!J17/'Total Value'!$D17-1)</f>
        <v>2.4657534246575574E-2</v>
      </c>
      <c r="K5" s="14">
        <f ca="1">IF(K$1="","",'Total Value'!K17/'Total Value'!$D17-1)</f>
        <v>-1.0102739726027266E-2</v>
      </c>
      <c r="L5" s="14">
        <f ca="1">IF(L$1="","",'Total Value'!L17/'Total Value'!$D17-1)</f>
        <v>-2.876712328767117E-2</v>
      </c>
      <c r="M5" s="14">
        <f ca="1">IF(M$1="","",'Total Value'!M17/'Total Value'!$D17-1)</f>
        <v>-3.0479452054794409E-2</v>
      </c>
      <c r="N5" s="14">
        <f ca="1">IF(N$1="","",'Total Value'!N17/'Total Value'!$D17-1)</f>
        <v>-2.0890410958904093E-2</v>
      </c>
      <c r="O5" s="14">
        <f ca="1">IF(O$1="","",'Total Value'!O17/'Total Value'!$D17-1)</f>
        <v>-2.0205479452054753E-2</v>
      </c>
      <c r="P5" s="14">
        <f ca="1">IF(P$1="","",'Total Value'!P17/'Total Value'!$D17-1)</f>
        <v>3.0479452054794631E-2</v>
      </c>
      <c r="Q5" s="14">
        <f ca="1">IF(Q$1="","",'Total Value'!Q17/'Total Value'!$D17-1)</f>
        <v>2.8082191780822052E-2</v>
      </c>
      <c r="R5" s="14">
        <f ca="1">IF(R$1="","",'Total Value'!R17/'Total Value'!$D17-1)</f>
        <v>2.2773972602739834E-2</v>
      </c>
      <c r="S5" s="14">
        <f ca="1">IF(S$1="","",'Total Value'!S17/'Total Value'!$D17-1)</f>
        <v>5.8390410958904182E-2</v>
      </c>
      <c r="T5" s="14">
        <f ca="1">IF(T$1="","",'Total Value'!T17/'Total Value'!$D17-1)</f>
        <v>5.5821917808219101E-2</v>
      </c>
      <c r="U5" s="14">
        <f ca="1">IF(U$1="","",'Total Value'!U17/'Total Value'!$D17-1)</f>
        <v>4.8116438356164526E-2</v>
      </c>
      <c r="V5" s="14">
        <f ca="1">IF(V$1="","",'Total Value'!V17/'Total Value'!$D17-1)</f>
        <v>3.767123287671259E-2</v>
      </c>
      <c r="W5" s="14">
        <f ca="1">IF(W$1="","",'Total Value'!W17/'Total Value'!$D17-1)</f>
        <v>2.5856164383561753E-2</v>
      </c>
      <c r="X5" s="14">
        <f ca="1">IF(X$1="","",'Total Value'!X17/'Total Value'!$D17-1)</f>
        <v>4.6061643835616506E-2</v>
      </c>
      <c r="Y5" s="14">
        <f ca="1">IF(Y$1="","",'Total Value'!Y17/'Total Value'!$D17-1)</f>
        <v>6.1472602739726101E-2</v>
      </c>
      <c r="Z5" s="14">
        <f ca="1">IF(Z$1="","",'Total Value'!Z17/'Total Value'!$D17-1)</f>
        <v>4.3664383561643927E-2</v>
      </c>
      <c r="AA5" s="14">
        <f ca="1">IF(AA$1="","",'Total Value'!AA17/'Total Value'!$D17-1)</f>
        <v>4.6061643835616506E-2</v>
      </c>
      <c r="AB5" s="14">
        <f ca="1">IF(AB$1="","",'Total Value'!AB17/'Total Value'!$D17-1)</f>
        <v>4.1609589041096129E-2</v>
      </c>
      <c r="AC5" s="14">
        <f ca="1">IF(AC$1="","",'Total Value'!AC17/'Total Value'!$D17-1)</f>
        <v>5.9246575342465801E-2</v>
      </c>
      <c r="AD5" s="14">
        <f ca="1">IF(AD$1="","",'Total Value'!AD17/'Total Value'!$D17-1)</f>
        <v>6.3013698630137061E-2</v>
      </c>
      <c r="AE5" s="14">
        <f ca="1">IF(AE$1="","",'Total Value'!AE17/'Total Value'!$D17-1)</f>
        <v>4.7431506849315186E-2</v>
      </c>
      <c r="AF5" s="14">
        <f ca="1">IF(AF$1="","",'Total Value'!AF17/'Total Value'!$D17-1)</f>
        <v>3.7500000000000089E-2</v>
      </c>
      <c r="AG5" s="14">
        <f ca="1">IF(AG$1="","",'Total Value'!AG17/'Total Value'!$D17-1)</f>
        <v>3.2534246575342429E-2</v>
      </c>
      <c r="AH5" s="14">
        <f ca="1">IF(AH$1="","",'Total Value'!AH17/'Total Value'!$D17-1)</f>
        <v>2.6883561643835652E-2</v>
      </c>
      <c r="AI5" s="14">
        <f ca="1">IF(AI$1="","",'Total Value'!AI17/'Total Value'!$D17-1)</f>
        <v>5.479452054794498E-3</v>
      </c>
      <c r="AJ5" s="14">
        <f ca="1">IF(AJ$1="","",'Total Value'!AJ17/'Total Value'!$D17-1)</f>
        <v>2.1404109589041154E-2</v>
      </c>
      <c r="AK5" s="14">
        <f ca="1">IF(AK$1="","",'Total Value'!AK17/'Total Value'!$D17-1)</f>
        <v>9.5890410958905381E-3</v>
      </c>
      <c r="AL5" s="14">
        <f ca="1">IF(AL$1="","",'Total Value'!AL17/'Total Value'!$D17-1)</f>
        <v>-2.1746575342465602E-2</v>
      </c>
      <c r="AM5" s="14">
        <f ca="1">IF(AM$1="","",'Total Value'!AM17/'Total Value'!$D17-1)</f>
        <v>1.3698630136986356E-2</v>
      </c>
      <c r="AN5" s="14">
        <f ca="1">IF(AN$1="","",'Total Value'!AN17/'Total Value'!$D17-1)</f>
        <v>2.1746575342465713E-2</v>
      </c>
      <c r="AO5" s="14">
        <f ca="1">IF(AO$1="","",'Total Value'!AO17/'Total Value'!$D17-1)</f>
        <v>7.3630136986302386E-3</v>
      </c>
      <c r="AP5" s="14">
        <f ca="1">IF(AP$1="","",'Total Value'!AP17/'Total Value'!$D17-1)</f>
        <v>-7.191780821917737E-3</v>
      </c>
      <c r="AQ5" s="14">
        <f ca="1">IF(AQ$1="","",'Total Value'!AQ17/'Total Value'!$D17-1)</f>
        <v>-9.589041095890205E-3</v>
      </c>
      <c r="AR5" s="14">
        <f ca="1">IF(AR$1="","",'Total Value'!AR17/'Total Value'!$D17-1)</f>
        <v>2.3972602739726012E-2</v>
      </c>
      <c r="AS5" s="14">
        <f ca="1">IF(AS$1="","",'Total Value'!AS17/'Total Value'!$D17-1)</f>
        <v>3.8184931506849429E-2</v>
      </c>
      <c r="AT5" s="14">
        <f ca="1">IF(AT$1="","",'Total Value'!AT17/'Total Value'!$D17-1)</f>
        <v>4.2979452054794587E-2</v>
      </c>
      <c r="AU5" s="14">
        <f ca="1">IF(AU$1="","",'Total Value'!AU17/'Total Value'!$D17-1)</f>
        <v>3.219178082191787E-2</v>
      </c>
      <c r="AV5" s="14">
        <f ca="1">IF(AV$1="","",'Total Value'!AV17/'Total Value'!$D17-1)</f>
        <v>8.0479452054795786E-3</v>
      </c>
      <c r="AW5" s="14">
        <f ca="1">IF(AW$1="","",'Total Value'!AW17/'Total Value'!$D17-1)</f>
        <v>2.1232876712328874E-2</v>
      </c>
      <c r="AX5" s="14">
        <f ca="1">IF(AX$1="","",'Total Value'!AX17/'Total Value'!$D17-1)</f>
        <v>7.6027397260274077E-2</v>
      </c>
      <c r="AY5" s="14">
        <f ca="1">IF(AY$1="","",'Total Value'!AY17/'Total Value'!$D17-1)</f>
        <v>6.8321917808219279E-2</v>
      </c>
      <c r="AZ5" s="14">
        <f ca="1">IF(AZ$1="","",'Total Value'!AZ17/'Total Value'!$D17-1)</f>
        <v>8.4589041095890494E-2</v>
      </c>
      <c r="BA5" s="14">
        <f ca="1">IF(BA$1="","",'Total Value'!BA17/'Total Value'!$D17-1)</f>
        <v>8.8184931506849473E-2</v>
      </c>
      <c r="BB5" s="14">
        <f ca="1">IF(BB$1="","",'Total Value'!BB17/'Total Value'!$D17-1)</f>
        <v>8.3904109589041154E-2</v>
      </c>
      <c r="BC5" s="14">
        <f ca="1">IF(BC$1="","",'Total Value'!BC17/'Total Value'!$D17-1)</f>
        <v>9.743150684931523E-2</v>
      </c>
      <c r="BD5" s="14">
        <f ca="1">IF(BD$1="","",'Total Value'!BD17/'Total Value'!$D17-1)</f>
        <v>0.10787671232876717</v>
      </c>
      <c r="BE5" s="14">
        <f ca="1">IF(BE$1="","",'Total Value'!BE17/'Total Value'!$D17-1)</f>
        <v>9.7773972602739789E-2</v>
      </c>
      <c r="BF5" s="14">
        <f ca="1">IF(BF$1="","",'Total Value'!BF17/'Total Value'!$D17-1)</f>
        <v>9.9143835616438469E-2</v>
      </c>
      <c r="BG5" s="14">
        <f ca="1">IF(BG$1="","",'Total Value'!BG17/'Total Value'!$D17-1)</f>
        <v>0.10034246575342487</v>
      </c>
      <c r="BH5" s="14">
        <f ca="1">IF(BH$1="","",'Total Value'!BH17/'Total Value'!$D17-1)</f>
        <v>9.1095890410958891E-2</v>
      </c>
      <c r="BI5" s="14">
        <f ca="1">IF(BI$1="","",'Total Value'!BI17/'Total Value'!$D17-1)</f>
        <v>9.897260273972619E-2</v>
      </c>
      <c r="BJ5" s="14">
        <f ca="1">IF(BJ$1="","",'Total Value'!BJ17/'Total Value'!$D17-1)</f>
        <v>9.606164383561655E-2</v>
      </c>
      <c r="BK5" s="14">
        <f ca="1">IF(BK$1="","",'Total Value'!BK17/'Total Value'!$D17-1)</f>
        <v>8.7157534246575352E-2</v>
      </c>
      <c r="BL5" s="14">
        <f ca="1">IF(BL$1="","",'Total Value'!BL17/'Total Value'!$D17-1)</f>
        <v>5.5993150684931603E-2</v>
      </c>
      <c r="BM5" s="14">
        <f ca="1">IF(BM$1="","",'Total Value'!BM17/'Total Value'!$D17-1)</f>
        <v>4.8801369863013866E-2</v>
      </c>
      <c r="BN5" s="14">
        <f ca="1">IF(BN$1="","",'Total Value'!BN17/'Total Value'!$D17-1)</f>
        <v>5.6164383561643882E-2</v>
      </c>
      <c r="BO5" s="14">
        <f ca="1">IF(BO$1="","",'Total Value'!BO17/'Total Value'!$D17-1)</f>
        <v>6.0787671232876761E-2</v>
      </c>
      <c r="BP5" s="14">
        <f ca="1">IF(BP$1="","",'Total Value'!BP17/'Total Value'!$D17-1)</f>
        <v>8.3219178082191814E-2</v>
      </c>
      <c r="BQ5" s="14">
        <f ca="1">IF(BQ$1="","",'Total Value'!BQ17/'Total Value'!$D17-1)</f>
        <v>9.8630136986301409E-2</v>
      </c>
      <c r="BR5" s="14">
        <f ca="1">IF(BR$1="","",'Total Value'!BR17/'Total Value'!$D17-1)</f>
        <v>0.12140410958904124</v>
      </c>
      <c r="BS5" s="14">
        <f ca="1">IF(BS$1="","",'Total Value'!BS17/'Total Value'!$D17-1)</f>
        <v>0.12808219178082192</v>
      </c>
      <c r="BT5" s="14">
        <f ca="1">IF(BT$1="","",'Total Value'!BT17/'Total Value'!$D17-1)</f>
        <v>0.14811643835616439</v>
      </c>
      <c r="BU5" s="14">
        <f ca="1">IF(BU$1="","",'Total Value'!BU17/'Total Value'!$D17-1)</f>
        <v>0.15650684931506875</v>
      </c>
      <c r="BV5" s="14">
        <f ca="1">IF(BV$1="","",'Total Value'!BV17/'Total Value'!$D17-1)</f>
        <v>0.19023972602739736</v>
      </c>
      <c r="BW5" s="14">
        <f ca="1">IF(BW$1="","",'Total Value'!BW17/'Total Value'!$D17-1)</f>
        <v>0.17294520547945225</v>
      </c>
      <c r="BX5" s="14">
        <f ca="1">IF(BX$1="","",'Total Value'!BX17/'Total Value'!$D17-1)</f>
        <v>0.16558219178082179</v>
      </c>
      <c r="BY5" s="14">
        <f ca="1">IF(BY$1="","",'Total Value'!BY17/'Total Value'!$D17-1)</f>
        <v>0.15359589041095911</v>
      </c>
      <c r="BZ5" s="14">
        <f ca="1">IF(BZ$1="","",'Total Value'!BZ17/'Total Value'!$D17-1)</f>
        <v>0.15496575342465757</v>
      </c>
      <c r="CA5" s="14">
        <f ca="1">IF(CA$1="","",'Total Value'!CA17/'Total Value'!$D17-1)</f>
        <v>0.16113013698630141</v>
      </c>
      <c r="CB5" s="14">
        <f ca="1">IF(CB$1="","",'Total Value'!CB17/'Total Value'!$D17-1)</f>
        <v>0.13869863013698636</v>
      </c>
      <c r="CC5" s="14">
        <f ca="1">IF(CC$1="","",'Total Value'!CC17/'Total Value'!$D17-1)</f>
        <v>0.14828767123287689</v>
      </c>
      <c r="CD5" s="14">
        <f ca="1">IF(CD$1="","",'Total Value'!CD17/'Total Value'!$D17-1)</f>
        <v>0.16695205479452069</v>
      </c>
      <c r="CE5" s="14">
        <f ca="1">IF(CE$1="","",'Total Value'!CE17/'Total Value'!$D17-1)</f>
        <v>0.20907534246575343</v>
      </c>
      <c r="CF5" s="14" t="str">
        <f ca="1">IF(CF$1="","",'Total Value'!CF17/'Total Value'!$D17-1)</f>
        <v/>
      </c>
      <c r="CG5" s="14" t="str">
        <f ca="1">IF(CG$1="","",'Total Value'!CG17/'Total Value'!$D17-1)</f>
        <v/>
      </c>
      <c r="CH5" s="14" t="str">
        <f ca="1">IF(CH$1="","",'Total Value'!CH17/'Total Value'!$D17-1)</f>
        <v/>
      </c>
      <c r="CI5" s="14" t="str">
        <f ca="1">IF(CI$1="","",'Total Value'!CI17/'Total Value'!$D17-1)</f>
        <v/>
      </c>
      <c r="CJ5" s="14" t="str">
        <f ca="1">IF(CJ$1="","",'Total Value'!CJ17/'Total Value'!$D17-1)</f>
        <v/>
      </c>
      <c r="CK5" s="14" t="str">
        <f ca="1">IF(CK$1="","",'Total Value'!CK17/'Total Value'!$D17-1)</f>
        <v/>
      </c>
      <c r="CL5" s="14" t="str">
        <f ca="1">IF(CL$1="","",'Total Value'!CL17/'Total Value'!$D17-1)</f>
        <v/>
      </c>
      <c r="CM5" s="14" t="str">
        <f ca="1">IF(CM$1="","",'Total Value'!CM17/'Total Value'!$D17-1)</f>
        <v/>
      </c>
      <c r="CN5" s="14" t="str">
        <f ca="1">IF(CN$1="","",'Total Value'!CN17/'Total Value'!$D17-1)</f>
        <v/>
      </c>
      <c r="CO5" s="14" t="str">
        <f ca="1">IF(CO$1="","",'Total Value'!CO17/'Total Value'!$D17-1)</f>
        <v/>
      </c>
      <c r="CP5" s="14" t="str">
        <f ca="1">IF(CP$1="","",'Total Value'!CP17/'Total Value'!$D17-1)</f>
        <v/>
      </c>
      <c r="CQ5" s="14" t="str">
        <f ca="1">IF(CQ$1="","",'Total Value'!CQ17/'Total Value'!$D17-1)</f>
        <v/>
      </c>
      <c r="CR5" s="14" t="str">
        <f ca="1">IF(CR$1="","",'Total Value'!CR17/'Total Value'!$D17-1)</f>
        <v/>
      </c>
      <c r="CS5" s="14" t="str">
        <f ca="1">IF(CS$1="","",'Total Value'!CS17/'Total Value'!$D17-1)</f>
        <v/>
      </c>
      <c r="CT5" s="14" t="str">
        <f ca="1">IF(CT$1="","",'Total Value'!CT17/'Total Value'!$D17-1)</f>
        <v/>
      </c>
      <c r="CU5" s="14" t="str">
        <f ca="1">IF(CU$1="","",'Total Value'!CU17/'Total Value'!$D17-1)</f>
        <v/>
      </c>
      <c r="CV5" s="14" t="str">
        <f ca="1">IF(CV$1="","",'Total Value'!CV17/'Total Value'!$D17-1)</f>
        <v/>
      </c>
      <c r="CW5" s="14" t="str">
        <f ca="1">IF(CW$1="","",'Total Value'!CW17/'Total Value'!$D17-1)</f>
        <v/>
      </c>
      <c r="CX5" s="14" t="str">
        <f ca="1">IF(CX$1="","",'Total Value'!CX17/'Total Value'!$D17-1)</f>
        <v/>
      </c>
      <c r="CY5" s="14" t="str">
        <f ca="1">IF(CY$1="","",'Total Value'!CY17/'Total Value'!$D17-1)</f>
        <v/>
      </c>
      <c r="CZ5" s="14" t="str">
        <f ca="1">IF(CZ$1="","",'Total Value'!CZ17/'Total Value'!$D17-1)</f>
        <v/>
      </c>
      <c r="DA5" s="14" t="str">
        <f ca="1">IF(DA$1="","",'Total Value'!DA17/'Total Value'!$D17-1)</f>
        <v/>
      </c>
      <c r="DB5" s="14" t="str">
        <f ca="1">IF(DB$1="","",'Total Value'!DB17/'Total Value'!$D17-1)</f>
        <v/>
      </c>
      <c r="DC5" s="14" t="str">
        <f ca="1">IF(DC$1="","",'Total Value'!DC17/'Total Value'!$D17-1)</f>
        <v/>
      </c>
      <c r="DD5" s="14" t="str">
        <f ca="1">IF(DD$1="","",'Total Value'!DD17/'Total Value'!$D17-1)</f>
        <v/>
      </c>
      <c r="DE5" s="14" t="str">
        <f ca="1">IF(DE$1="","",'Total Value'!DE17/'Total Value'!$D17-1)</f>
        <v/>
      </c>
      <c r="DF5" s="14" t="str">
        <f ca="1">IF(DF$1="","",'Total Value'!DF17/'Total Value'!$D17-1)</f>
        <v/>
      </c>
      <c r="DG5" s="14" t="str">
        <f ca="1">IF(DG$1="","",'Total Value'!DG17/'Total Value'!$D17-1)</f>
        <v/>
      </c>
      <c r="DH5" s="14" t="str">
        <f ca="1">IF(DH$1="","",'Total Value'!DH17/'Total Value'!$D17-1)</f>
        <v/>
      </c>
      <c r="DI5" s="14" t="str">
        <f ca="1">IF(DI$1="","",'Total Value'!DI17/'Total Value'!$D17-1)</f>
        <v/>
      </c>
      <c r="DJ5" s="14" t="str">
        <f ca="1">IF(DJ$1="","",'Total Value'!DJ17/'Total Value'!$D17-1)</f>
        <v/>
      </c>
      <c r="DK5" s="14" t="str">
        <f ca="1">IF(DK$1="","",'Total Value'!DK17/'Total Value'!$D17-1)</f>
        <v/>
      </c>
      <c r="DL5" s="14" t="str">
        <f ca="1">IF(DL$1="","",'Total Value'!DL17/'Total Value'!$D17-1)</f>
        <v/>
      </c>
      <c r="DM5" s="14" t="str">
        <f ca="1">IF(DM$1="","",'Total Value'!DM17/'Total Value'!$D17-1)</f>
        <v/>
      </c>
      <c r="DN5" s="14" t="str">
        <f ca="1">IF(DN$1="","",'Total Value'!DN17/'Total Value'!$D17-1)</f>
        <v/>
      </c>
      <c r="DO5" s="14" t="str">
        <f ca="1">IF(DO$1="","",'Total Value'!DO17/'Total Value'!$D17-1)</f>
        <v/>
      </c>
      <c r="DP5" s="14" t="str">
        <f ca="1">IF(DP$1="","",'Total Value'!DP17/'Total Value'!$D17-1)</f>
        <v/>
      </c>
      <c r="DQ5" s="14" t="str">
        <f ca="1">IF(DQ$1="","",'Total Value'!DQ17/'Total Value'!$D17-1)</f>
        <v/>
      </c>
      <c r="DR5" s="14" t="str">
        <f ca="1">IF(DR$1="","",'Total Value'!DR17/'Total Value'!$D17-1)</f>
        <v/>
      </c>
      <c r="DS5" s="14" t="str">
        <f ca="1">IF(DS$1="","",'Total Value'!DS17/'Total Value'!$D17-1)</f>
        <v/>
      </c>
      <c r="DT5" s="14" t="str">
        <f ca="1">IF(DT$1="","",'Total Value'!DT17/'Total Value'!$D17-1)</f>
        <v/>
      </c>
      <c r="DU5" s="14" t="str">
        <f ca="1">IF(DU$1="","",'Total Value'!DU17/'Total Value'!$D17-1)</f>
        <v/>
      </c>
      <c r="DV5" s="14" t="str">
        <f ca="1">IF(DV$1="","",'Total Value'!DV17/'Total Value'!$D17-1)</f>
        <v/>
      </c>
      <c r="DW5" s="14" t="str">
        <f ca="1">IF(DW$1="","",'Total Value'!DW17/'Total Value'!$D17-1)</f>
        <v/>
      </c>
      <c r="DX5" s="14" t="str">
        <f ca="1">IF(DX$1="","",'Total Value'!DX17/'Total Value'!$D17-1)</f>
        <v/>
      </c>
      <c r="DY5" s="14" t="str">
        <f ca="1">IF(DY$1="","",'Total Value'!DY17/'Total Value'!$D17-1)</f>
        <v/>
      </c>
      <c r="DZ5" s="14" t="str">
        <f ca="1">IF(DZ$1="","",'Total Value'!DZ17/'Total Value'!$D17-1)</f>
        <v/>
      </c>
      <c r="EA5" s="14" t="str">
        <f ca="1">IF(EA$1="","",'Total Value'!EA17/'Total Value'!$D17-1)</f>
        <v/>
      </c>
      <c r="EB5" s="14" t="str">
        <f ca="1">IF(EB$1="","",'Total Value'!EB17/'Total Value'!$D17-1)</f>
        <v/>
      </c>
      <c r="EC5" s="14" t="str">
        <f ca="1">IF(EC$1="","",'Total Value'!EC17/'Total Value'!$D17-1)</f>
        <v/>
      </c>
      <c r="ED5" s="14" t="str">
        <f ca="1">IF(ED$1="","",'Total Value'!ED17/'Total Value'!$D17-1)</f>
        <v/>
      </c>
      <c r="EE5" s="14" t="str">
        <f ca="1">IF(EE$1="","",'Total Value'!EE17/'Total Value'!$D17-1)</f>
        <v/>
      </c>
      <c r="EF5" s="14" t="str">
        <f ca="1">IF(EF$1="","",'Total Value'!EF17/'Total Value'!$D17-1)</f>
        <v/>
      </c>
      <c r="EG5" s="14" t="str">
        <f ca="1">IF(EG$1="","",'Total Value'!EG17/'Total Value'!$D17-1)</f>
        <v/>
      </c>
      <c r="EH5" s="14" t="str">
        <f ca="1">IF(EH$1="","",'Total Value'!EH17/'Total Value'!$D17-1)</f>
        <v/>
      </c>
      <c r="EI5" s="14" t="str">
        <f ca="1">IF(EI$1="","",'Total Value'!EI17/'Total Value'!$D17-1)</f>
        <v/>
      </c>
      <c r="EJ5" s="14" t="str">
        <f ca="1">IF(EJ$1="","",'Total Value'!EJ17/'Total Value'!$D17-1)</f>
        <v/>
      </c>
      <c r="EK5" s="14" t="str">
        <f ca="1">IF(EK$1="","",'Total Value'!EK17/'Total Value'!$D17-1)</f>
        <v/>
      </c>
      <c r="EL5" s="14" t="str">
        <f ca="1">IF(EL$1="","",'Total Value'!EL17/'Total Value'!$D17-1)</f>
        <v/>
      </c>
      <c r="EM5" s="14" t="str">
        <f ca="1">IF(EM$1="","",'Total Value'!EM17/'Total Value'!$D17-1)</f>
        <v/>
      </c>
      <c r="EN5" s="14" t="str">
        <f ca="1">IF(EN$1="","",'Total Value'!EN17/'Total Value'!$D17-1)</f>
        <v/>
      </c>
      <c r="EO5" s="14" t="str">
        <f ca="1">IF(EO$1="","",'Total Value'!EO17/'Total Value'!$D17-1)</f>
        <v/>
      </c>
      <c r="EP5" s="14" t="str">
        <f ca="1">IF(EP$1="","",'Total Value'!EP17/'Total Value'!$D17-1)</f>
        <v/>
      </c>
      <c r="EQ5" s="14" t="str">
        <f ca="1">IF(EQ$1="","",'Total Value'!EQ17/'Total Value'!$D17-1)</f>
        <v/>
      </c>
      <c r="ER5" s="14" t="str">
        <f ca="1">IF(ER$1="","",'Total Value'!ER17/'Total Value'!$D17-1)</f>
        <v/>
      </c>
      <c r="ES5" s="14" t="str">
        <f ca="1">IF(ES$1="","",'Total Value'!ES17/'Total Value'!$D17-1)</f>
        <v/>
      </c>
      <c r="ET5" s="14" t="str">
        <f ca="1">IF(ET$1="","",'Total Value'!ET17/'Total Value'!$D17-1)</f>
        <v/>
      </c>
      <c r="EU5" s="14" t="str">
        <f ca="1">IF(EU$1="","",'Total Value'!EU17/'Total Value'!$D17-1)</f>
        <v/>
      </c>
      <c r="EV5" s="14" t="str">
        <f ca="1">IF(EV$1="","",'Total Value'!EV17/'Total Value'!$D17-1)</f>
        <v/>
      </c>
      <c r="EW5" s="14" t="str">
        <f ca="1">IF(EW$1="","",'Total Value'!EW17/'Total Value'!$D17-1)</f>
        <v/>
      </c>
      <c r="EX5" s="14" t="str">
        <f ca="1">IF(EX$1="","",'Total Value'!EX17/'Total Value'!$D17-1)</f>
        <v/>
      </c>
      <c r="EY5" s="14" t="str">
        <f ca="1">IF(EY$1="","",'Total Value'!EY17/'Total Value'!$D17-1)</f>
        <v/>
      </c>
      <c r="EZ5" s="14" t="str">
        <f ca="1">IF(EZ$1="","",'Total Value'!EZ17/'Total Value'!$D17-1)</f>
        <v/>
      </c>
      <c r="FA5" s="14" t="str">
        <f ca="1">IF(FA$1="","",'Total Value'!FA17/'Total Value'!$D17-1)</f>
        <v/>
      </c>
      <c r="FB5" s="14" t="str">
        <f ca="1">IF(FB$1="","",'Total Value'!FB17/'Total Value'!$D17-1)</f>
        <v/>
      </c>
      <c r="FC5" s="14" t="str">
        <f ca="1">IF(FC$1="","",'Total Value'!FC17/'Total Value'!$D17-1)</f>
        <v/>
      </c>
      <c r="FD5" s="14" t="str">
        <f ca="1">IF(FD$1="","",'Total Value'!FD17/'Total Value'!$D17-1)</f>
        <v/>
      </c>
      <c r="FE5" s="14" t="str">
        <f ca="1">IF(FE$1="","",'Total Value'!FE17/'Total Value'!$D17-1)</f>
        <v/>
      </c>
      <c r="FF5" s="14" t="str">
        <f ca="1">IF(FF$1="","",'Total Value'!FF17/'Total Value'!$D17-1)</f>
        <v/>
      </c>
      <c r="FG5" s="14" t="str">
        <f ca="1">IF(FG$1="","",'Total Value'!FG17/'Total Value'!$D17-1)</f>
        <v/>
      </c>
      <c r="FH5" s="14" t="str">
        <f ca="1">IF(FH$1="","",'Total Value'!FH17/'Total Value'!$D17-1)</f>
        <v/>
      </c>
      <c r="FI5" s="14" t="str">
        <f ca="1">IF(FI$1="","",'Total Value'!FI17/'Total Value'!$D17-1)</f>
        <v/>
      </c>
      <c r="FJ5" s="14" t="str">
        <f ca="1">IF(FJ$1="","",'Total Value'!FJ17/'Total Value'!$D17-1)</f>
        <v/>
      </c>
      <c r="FK5" s="14" t="str">
        <f ca="1">IF(FK$1="","",'Total Value'!FK17/'Total Value'!$D17-1)</f>
        <v/>
      </c>
      <c r="FL5" s="14" t="str">
        <f ca="1">IF(FL$1="","",'Total Value'!FL17/'Total Value'!$D17-1)</f>
        <v/>
      </c>
      <c r="FM5" s="14" t="str">
        <f ca="1">IF(FM$1="","",'Total Value'!FM17/'Total Value'!$D17-1)</f>
        <v/>
      </c>
      <c r="FN5" s="14" t="str">
        <f ca="1">IF(FN$1="","",'Total Value'!FN17/'Total Value'!$D17-1)</f>
        <v/>
      </c>
      <c r="FO5" s="14" t="str">
        <f ca="1">IF(FO$1="","",'Total Value'!FO17/'Total Value'!$D17-1)</f>
        <v/>
      </c>
      <c r="FP5" s="14" t="str">
        <f ca="1">IF(FP$1="","",'Total Value'!FP17/'Total Value'!$D17-1)</f>
        <v/>
      </c>
      <c r="FQ5" s="14" t="str">
        <f ca="1">IF(FQ$1="","",'Total Value'!FQ17/'Total Value'!$D17-1)</f>
        <v/>
      </c>
      <c r="FR5" s="14" t="str">
        <f ca="1">IF(FR$1="","",'Total Value'!FR17/'Total Value'!$D17-1)</f>
        <v/>
      </c>
      <c r="FS5" s="14" t="str">
        <f ca="1">IF(FS$1="","",'Total Value'!FS17/'Total Value'!$D17-1)</f>
        <v/>
      </c>
      <c r="FT5" s="14" t="str">
        <f ca="1">IF(FT$1="","",'Total Value'!FT17/'Total Value'!$D17-1)</f>
        <v/>
      </c>
      <c r="FU5" s="14" t="str">
        <f ca="1">IF(FU$1="","",'Total Value'!FU17/'Total Value'!$D17-1)</f>
        <v/>
      </c>
      <c r="FV5" s="14" t="str">
        <f ca="1">IF(FV$1="","",'Total Value'!FV17/'Total Value'!$D17-1)</f>
        <v/>
      </c>
      <c r="FW5" s="14" t="str">
        <f ca="1">IF(FW$1="","",'Total Value'!FW17/'Total Value'!$D17-1)</f>
        <v/>
      </c>
      <c r="FX5" s="14" t="str">
        <f ca="1">IF(FX$1="","",'Total Value'!FX17/'Total Value'!$D17-1)</f>
        <v/>
      </c>
      <c r="FY5" s="14" t="str">
        <f ca="1">IF(FY$1="","",'Total Value'!FY17/'Total Value'!$D17-1)</f>
        <v/>
      </c>
      <c r="FZ5" s="14" t="str">
        <f ca="1">IF(FZ$1="","",'Total Value'!FZ17/'Total Value'!$D17-1)</f>
        <v/>
      </c>
      <c r="GA5" s="14" t="str">
        <f ca="1">IF(GA$1="","",'Total Value'!GA17/'Total Value'!$D17-1)</f>
        <v/>
      </c>
      <c r="GB5" s="14" t="str">
        <f ca="1">IF(GB$1="","",'Total Value'!GB17/'Total Value'!$D17-1)</f>
        <v/>
      </c>
      <c r="GC5" s="14" t="str">
        <f ca="1">IF(GC$1="","",'Total Value'!GC17/'Total Value'!$D17-1)</f>
        <v/>
      </c>
      <c r="GD5" s="14" t="str">
        <f ca="1">IF(GD$1="","",'Total Value'!GD17/'Total Value'!$D17-1)</f>
        <v/>
      </c>
      <c r="GE5" s="14" t="str">
        <f ca="1">IF(GE$1="","",'Total Value'!GE17/'Total Value'!$D17-1)</f>
        <v/>
      </c>
      <c r="GF5" s="14" t="str">
        <f ca="1">IF(GF$1="","",'Total Value'!GF17/'Total Value'!$D17-1)</f>
        <v/>
      </c>
      <c r="GG5" s="14" t="str">
        <f ca="1">IF(GG$1="","",'Total Value'!GG17/'Total Value'!$D17-1)</f>
        <v/>
      </c>
      <c r="GH5" s="14" t="str">
        <f ca="1">IF(GH$1="","",'Total Value'!GH17/'Total Value'!$D17-1)</f>
        <v/>
      </c>
      <c r="GI5" s="14" t="str">
        <f ca="1">IF(GI$1="","",'Total Value'!GI17/'Total Value'!$D17-1)</f>
        <v/>
      </c>
      <c r="GJ5" s="14" t="str">
        <f ca="1">IF(GJ$1="","",'Total Value'!GJ17/'Total Value'!$D17-1)</f>
        <v/>
      </c>
      <c r="GK5" s="14" t="str">
        <f ca="1">IF(GK$1="","",'Total Value'!GK17/'Total Value'!$D17-1)</f>
        <v/>
      </c>
      <c r="GL5" s="14" t="str">
        <f ca="1">IF(GL$1="","",'Total Value'!GL17/'Total Value'!$D17-1)</f>
        <v/>
      </c>
      <c r="GM5" s="14" t="str">
        <f ca="1">IF(GM$1="","",'Total Value'!GM17/'Total Value'!$D17-1)</f>
        <v/>
      </c>
      <c r="GN5" s="14" t="str">
        <f ca="1">IF(GN$1="","",'Total Value'!GN17/'Total Value'!$D17-1)</f>
        <v/>
      </c>
      <c r="GO5" s="14" t="str">
        <f ca="1">IF(GO$1="","",'Total Value'!GO17/'Total Value'!$D17-1)</f>
        <v/>
      </c>
      <c r="GP5" s="14" t="str">
        <f ca="1">IF(GP$1="","",'Total Value'!GP17/'Total Value'!$D17-1)</f>
        <v/>
      </c>
      <c r="GQ5" s="14" t="str">
        <f ca="1">IF(GQ$1="","",'Total Value'!GQ17/'Total Value'!$D17-1)</f>
        <v/>
      </c>
      <c r="GR5" s="14" t="str">
        <f ca="1">IF(GR$1="","",'Total Value'!GR17/'Total Value'!$D17-1)</f>
        <v/>
      </c>
      <c r="GS5" s="14" t="str">
        <f ca="1">IF(GS$1="","",'Total Value'!GS17/'Total Value'!$D17-1)</f>
        <v/>
      </c>
      <c r="GT5" s="14" t="str">
        <f ca="1">IF(GT$1="","",'Total Value'!GT17/'Total Value'!$D17-1)</f>
        <v/>
      </c>
      <c r="GU5" s="14" t="str">
        <f ca="1">IF(GU$1="","",'Total Value'!GU17/'Total Value'!$D17-1)</f>
        <v/>
      </c>
      <c r="GV5" s="14" t="str">
        <f ca="1">IF(GV$1="","",'Total Value'!GV17/'Total Value'!$D17-1)</f>
        <v/>
      </c>
      <c r="GW5" s="14" t="str">
        <f ca="1">IF(GW$1="","",'Total Value'!GW17/'Total Value'!$D17-1)</f>
        <v/>
      </c>
      <c r="GX5" s="14" t="str">
        <f ca="1">IF(GX$1="","",'Total Value'!GX17/'Total Value'!$D17-1)</f>
        <v/>
      </c>
      <c r="GY5" s="14" t="str">
        <f ca="1">IF(GY$1="","",'Total Value'!GY17/'Total Value'!$D17-1)</f>
        <v/>
      </c>
      <c r="GZ5" s="14" t="str">
        <f ca="1">IF(GZ$1="","",'Total Value'!GZ17/'Total Value'!$D17-1)</f>
        <v/>
      </c>
      <c r="HA5" s="14" t="str">
        <f ca="1">IF(HA$1="","",'Total Value'!HA17/'Total Value'!$D17-1)</f>
        <v/>
      </c>
      <c r="HB5" s="14" t="str">
        <f ca="1">IF(HB$1="","",'Total Value'!HB17/'Total Value'!$D17-1)</f>
        <v/>
      </c>
      <c r="HC5" s="14" t="str">
        <f ca="1">IF(HC$1="","",'Total Value'!HC17/'Total Value'!$D17-1)</f>
        <v/>
      </c>
      <c r="HD5" s="14" t="str">
        <f ca="1">IF(HD$1="","",'Total Value'!HD17/'Total Value'!$D17-1)</f>
        <v/>
      </c>
      <c r="HE5" s="14" t="str">
        <f ca="1">IF(HE$1="","",'Total Value'!HE17/'Total Value'!$D17-1)</f>
        <v/>
      </c>
      <c r="HF5" s="14" t="str">
        <f ca="1">IF(HF$1="","",'Total Value'!HF17/'Total Value'!$D17-1)</f>
        <v/>
      </c>
      <c r="HG5" s="14" t="str">
        <f ca="1">IF(HG$1="","",'Total Value'!HG17/'Total Value'!$D17-1)</f>
        <v/>
      </c>
      <c r="HH5" s="14" t="str">
        <f ca="1">IF(HH$1="","",'Total Value'!HH17/'Total Value'!$D17-1)</f>
        <v/>
      </c>
      <c r="HI5" s="14" t="str">
        <f ca="1">IF(HI$1="","",'Total Value'!HI17/'Total Value'!$D17-1)</f>
        <v/>
      </c>
      <c r="HJ5" s="14" t="str">
        <f ca="1">IF(HJ$1="","",'Total Value'!HJ17/'Total Value'!$D17-1)</f>
        <v/>
      </c>
      <c r="HK5" s="14" t="str">
        <f ca="1">IF(HK$1="","",'Total Value'!HK17/'Total Value'!$D17-1)</f>
        <v/>
      </c>
      <c r="HL5" s="14" t="str">
        <f ca="1">IF(HL$1="","",'Total Value'!HL17/'Total Value'!$D17-1)</f>
        <v/>
      </c>
      <c r="HM5" s="14" t="str">
        <f ca="1">IF(HM$1="","",'Total Value'!HM17/'Total Value'!$D17-1)</f>
        <v/>
      </c>
      <c r="HN5" s="14" t="str">
        <f ca="1">IF(HN$1="","",'Total Value'!HN17/'Total Value'!$D17-1)</f>
        <v/>
      </c>
      <c r="HO5" s="14" t="str">
        <f ca="1">IF(HO$1="","",'Total Value'!HO17/'Total Value'!$D17-1)</f>
        <v/>
      </c>
      <c r="HP5" s="14" t="str">
        <f ca="1">IF(HP$1="","",'Total Value'!HP17/'Total Value'!$D17-1)</f>
        <v/>
      </c>
      <c r="HQ5" s="14" t="str">
        <f ca="1">IF(HQ$1="","",'Total Value'!HQ17/'Total Value'!$D17-1)</f>
        <v/>
      </c>
      <c r="HR5" s="14" t="str">
        <f ca="1">IF(HR$1="","",'Total Value'!HR17/'Total Value'!$D17-1)</f>
        <v/>
      </c>
      <c r="HS5" s="14" t="str">
        <f ca="1">IF(HS$1="","",'Total Value'!HS17/'Total Value'!$D17-1)</f>
        <v/>
      </c>
      <c r="HT5" s="14" t="str">
        <f ca="1">IF(HT$1="","",'Total Value'!HT17/'Total Value'!$D17-1)</f>
        <v/>
      </c>
      <c r="HU5" s="14" t="str">
        <f ca="1">IF(HU$1="","",'Total Value'!HU17/'Total Value'!$D17-1)</f>
        <v/>
      </c>
      <c r="HV5" s="14" t="str">
        <f ca="1">IF(HV$1="","",'Total Value'!HV17/'Total Value'!$D17-1)</f>
        <v/>
      </c>
      <c r="HW5" s="14" t="str">
        <f ca="1">IF(HW$1="","",'Total Value'!HW17/'Total Value'!$D17-1)</f>
        <v/>
      </c>
      <c r="HX5" s="14" t="str">
        <f ca="1">IF(HX$1="","",'Total Value'!HX17/'Total Value'!$D17-1)</f>
        <v/>
      </c>
      <c r="HY5" s="14" t="str">
        <f ca="1">IF(HY$1="","",'Total Value'!HY17/'Total Value'!$D17-1)</f>
        <v/>
      </c>
      <c r="HZ5" s="14" t="str">
        <f ca="1">IF(HZ$1="","",'Total Value'!HZ17/'Total Value'!$D17-1)</f>
        <v/>
      </c>
      <c r="IA5" s="14" t="str">
        <f ca="1">IF(IA$1="","",'Total Value'!IA17/'Total Value'!$D17-1)</f>
        <v/>
      </c>
      <c r="IB5" s="14" t="str">
        <f ca="1">IF(IB$1="","",'Total Value'!IB17/'Total Value'!$D17-1)</f>
        <v/>
      </c>
      <c r="IC5" s="14" t="str">
        <f ca="1">IF(IC$1="","",'Total Value'!IC17/'Total Value'!$D17-1)</f>
        <v/>
      </c>
      <c r="ID5" s="14" t="str">
        <f ca="1">IF(ID$1="","",'Total Value'!ID17/'Total Value'!$D17-1)</f>
        <v/>
      </c>
      <c r="IE5" s="14" t="str">
        <f ca="1">IF(IE$1="","",'Total Value'!IE17/'Total Value'!$D17-1)</f>
        <v/>
      </c>
      <c r="IF5" s="14" t="str">
        <f ca="1">IF(IF$1="","",'Total Value'!IF17/'Total Value'!$D17-1)</f>
        <v/>
      </c>
      <c r="IG5" s="14" t="str">
        <f ca="1">IF(IG$1="","",'Total Value'!IG17/'Total Value'!$D17-1)</f>
        <v/>
      </c>
      <c r="IH5" s="14" t="str">
        <f ca="1">IF(IH$1="","",'Total Value'!IH17/'Total Value'!$D17-1)</f>
        <v/>
      </c>
      <c r="II5" s="14" t="str">
        <f ca="1">IF(II$1="","",'Total Value'!II17/'Total Value'!$D17-1)</f>
        <v/>
      </c>
      <c r="IJ5" s="14" t="str">
        <f ca="1">IF(IJ$1="","",'Total Value'!IJ17/'Total Value'!$D17-1)</f>
        <v/>
      </c>
      <c r="IK5" s="14" t="str">
        <f ca="1">IF(IK$1="","",'Total Value'!IK17/'Total Value'!$D17-1)</f>
        <v/>
      </c>
      <c r="IL5" s="14" t="str">
        <f ca="1">IF(IL$1="","",'Total Value'!IL17/'Total Value'!$D17-1)</f>
        <v/>
      </c>
      <c r="IM5" s="14" t="str">
        <f ca="1">IF(IM$1="","",'Total Value'!IM17/'Total Value'!$D17-1)</f>
        <v/>
      </c>
      <c r="IN5" s="14" t="str">
        <f ca="1">IF(IN$1="","",'Total Value'!IN17/'Total Value'!$D17-1)</f>
        <v/>
      </c>
      <c r="IO5" s="14" t="str">
        <f ca="1">IF(IO$1="","",'Total Value'!IO17/'Total Value'!$D17-1)</f>
        <v/>
      </c>
      <c r="IP5" s="14" t="str">
        <f ca="1">IF(IP$1="","",'Total Value'!IP17/'Total Value'!$D17-1)</f>
        <v/>
      </c>
      <c r="IQ5" s="14" t="str">
        <f ca="1">IF(IQ$1="","",'Total Value'!IQ17/'Total Value'!$D17-1)</f>
        <v/>
      </c>
      <c r="IR5" s="14" t="str">
        <f ca="1">IF(IR$1="","",'Total Value'!IR17/'Total Value'!$D17-1)</f>
        <v/>
      </c>
      <c r="IS5" s="14" t="str">
        <f ca="1">IF(IS$1="","",'Total Value'!IS17/'Total Value'!$D17-1)</f>
        <v/>
      </c>
      <c r="IT5" s="14" t="str">
        <f ca="1">IF(IT$1="","",'Total Value'!IT17/'Total Value'!$D17-1)</f>
        <v/>
      </c>
      <c r="IU5" s="14" t="str">
        <f ca="1">IF(IU$1="","",'Total Value'!IU17/'Total Value'!$D17-1)</f>
        <v/>
      </c>
      <c r="IV5" s="14" t="str">
        <f ca="1">IF(IV$1="","",'Total Value'!IV17/'Total Value'!$D17-1)</f>
        <v/>
      </c>
      <c r="IW5" s="14" t="str">
        <f ca="1">IF(IW$1="","",'Total Value'!IW17/'Total Value'!$D17-1)</f>
        <v/>
      </c>
      <c r="IX5" s="14" t="str">
        <f ca="1">IF(IX$1="","",'Total Value'!IX17/'Total Value'!$D17-1)</f>
        <v/>
      </c>
      <c r="IY5" s="14" t="str">
        <f ca="1">IF(IY$1="","",'Total Value'!IY17/'Total Value'!$D17-1)</f>
        <v/>
      </c>
      <c r="IZ5" s="14" t="str">
        <f ca="1">IF(IZ$1="","",'Total Value'!IZ17/'Total Value'!$D17-1)</f>
        <v/>
      </c>
      <c r="JA5" s="14" t="str">
        <f ca="1">IF(JA$1="","",'Total Value'!JA17/'Total Value'!$D17-1)</f>
        <v/>
      </c>
      <c r="JB5" s="14" t="str">
        <f ca="1">IF(JB$1="","",'Total Value'!JB17/'Total Value'!$D17-1)</f>
        <v/>
      </c>
      <c r="JC5" s="14" t="str">
        <f ca="1">IF(JC$1="","",'Total Value'!JC17/'Total Value'!$D17-1)</f>
        <v/>
      </c>
      <c r="JD5" s="14" t="str">
        <f ca="1">IF(JD$1="","",'Total Value'!JD17/'Total Value'!$D17-1)</f>
        <v/>
      </c>
      <c r="JE5" s="14" t="str">
        <f ca="1">IF(JE$1="","",'Total Value'!JE17/'Total Value'!$D17-1)</f>
        <v/>
      </c>
      <c r="JF5" s="14" t="str">
        <f ca="1">IF(JF$1="","",'Total Value'!JF17/'Total Value'!$D17-1)</f>
        <v/>
      </c>
      <c r="JG5" s="14" t="str">
        <f ca="1">IF(JG$1="","",'Total Value'!JG17/'Total Value'!$D17-1)</f>
        <v/>
      </c>
      <c r="JH5" s="14" t="str">
        <f ca="1">IF(JH$1="","",'Total Value'!JH17/'Total Value'!$D17-1)</f>
        <v/>
      </c>
      <c r="JI5" s="14" t="str">
        <f ca="1">IF(JI$1="","",'Total Value'!JI17/'Total Value'!$D17-1)</f>
        <v/>
      </c>
      <c r="JJ5" s="14" t="str">
        <f ca="1">IF(JJ$1="","",'Total Value'!JJ17/'Total Value'!$D17-1)</f>
        <v/>
      </c>
      <c r="JK5" s="14" t="str">
        <f ca="1">IF(JK$1="","",'Total Value'!JK17/'Total Value'!$D17-1)</f>
        <v/>
      </c>
      <c r="JL5" s="14" t="str">
        <f ca="1">IF(JL$1="","",'Total Value'!JL17/'Total Value'!$D17-1)</f>
        <v/>
      </c>
      <c r="JM5" s="14" t="str">
        <f ca="1">IF(JM$1="","",'Total Value'!JM17/'Total Value'!$D17-1)</f>
        <v/>
      </c>
      <c r="JN5" s="14" t="str">
        <f ca="1">IF(JN$1="","",'Total Value'!JN17/'Total Value'!$D17-1)</f>
        <v/>
      </c>
      <c r="JO5" s="14" t="str">
        <f ca="1">IF(JO$1="","",'Total Value'!JO17/'Total Value'!$D17-1)</f>
        <v/>
      </c>
      <c r="JP5" s="14" t="str">
        <f ca="1">IF(JP$1="","",'Total Value'!JP17/'Total Value'!$D17-1)</f>
        <v/>
      </c>
      <c r="JQ5" s="14" t="str">
        <f ca="1">IF(JQ$1="","",'Total Value'!JQ17/'Total Value'!$D17-1)</f>
        <v/>
      </c>
      <c r="JR5" s="14" t="str">
        <f ca="1">IF(JR$1="","",'Total Value'!JR17/'Total Value'!$D17-1)</f>
        <v/>
      </c>
      <c r="JS5" s="14" t="str">
        <f ca="1">IF(JS$1="","",'Total Value'!JS17/'Total Value'!$D17-1)</f>
        <v/>
      </c>
      <c r="JT5" s="14" t="str">
        <f ca="1">IF(JT$1="","",'Total Value'!JT17/'Total Value'!$D17-1)</f>
        <v/>
      </c>
      <c r="JU5" s="14" t="str">
        <f ca="1">IF(JU$1="","",'Total Value'!JU17/'Total Value'!$D17-1)</f>
        <v/>
      </c>
      <c r="JV5" s="14" t="str">
        <f ca="1">IF(JV$1="","",'Total Value'!JV17/'Total Value'!$D17-1)</f>
        <v/>
      </c>
      <c r="JW5" s="14" t="str">
        <f ca="1">IF(JW$1="","",'Total Value'!JW17/'Total Value'!$D17-1)</f>
        <v/>
      </c>
      <c r="JX5" s="14" t="str">
        <f ca="1">IF(JX$1="","",'Total Value'!JX17/'Total Value'!$D17-1)</f>
        <v/>
      </c>
      <c r="JY5" s="14" t="str">
        <f ca="1">IF(JY$1="","",'Total Value'!JY17/'Total Value'!$D17-1)</f>
        <v/>
      </c>
      <c r="JZ5" s="14" t="str">
        <f ca="1">IF(JZ$1="","",'Total Value'!JZ17/'Total Value'!$D17-1)</f>
        <v/>
      </c>
      <c r="KA5" s="14" t="str">
        <f ca="1">IF(KA$1="","",'Total Value'!KA17/'Total Value'!$D17-1)</f>
        <v/>
      </c>
      <c r="KB5" s="14" t="str">
        <f ca="1">IF(KB$1="","",'Total Value'!KB17/'Total Value'!$D17-1)</f>
        <v/>
      </c>
    </row>
    <row r="6" spans="1:288" ht="15.75" customHeight="1">
      <c r="A6" s="9" t="s">
        <v>30</v>
      </c>
      <c r="B6" s="6" t="s">
        <v>51</v>
      </c>
      <c r="C6" s="26">
        <v>116</v>
      </c>
      <c r="D6" s="13">
        <v>0</v>
      </c>
      <c r="E6" s="14">
        <f ca="1">IF(E$1="","",'Total Value'!E18/'Total Value'!$D18-1)</f>
        <v>2.0195321919459941E-2</v>
      </c>
      <c r="F6" s="14">
        <f ca="1">IF(F$1="","",'Total Value'!F18/'Total Value'!$D18-1)</f>
        <v>2.5922353508560647E-2</v>
      </c>
      <c r="G6" s="14">
        <f ca="1">IF(G$1="","",'Total Value'!G18/'Total Value'!$D18-1)</f>
        <v>-1.6397395707740348E-2</v>
      </c>
      <c r="H6" s="14">
        <f ca="1">IF(H$1="","",'Total Value'!H18/'Total Value'!$D18-1)</f>
        <v>-2.489751627682657E-2</v>
      </c>
      <c r="I6" s="14">
        <f ca="1">IF(I$1="","",'Total Value'!I18/'Total Value'!$D18-1)</f>
        <v>-7.4451410658307182E-2</v>
      </c>
      <c r="J6" s="14">
        <f ca="1">IF(J$1="","",'Total Value'!J18/'Total Value'!$D18-1)</f>
        <v>-7.6621654207861156E-2</v>
      </c>
      <c r="K6" s="14">
        <f ca="1">IF(K$1="","",'Total Value'!K18/'Total Value'!$D18-1)</f>
        <v>-9.3863033518205907E-2</v>
      </c>
      <c r="L6" s="14">
        <f ca="1">IF(L$1="","",'Total Value'!L18/'Total Value'!$D18-1)</f>
        <v>-0.10598022666988161</v>
      </c>
      <c r="M6" s="14">
        <f ca="1">IF(M$1="","",'Total Value'!M18/'Total Value'!$D18-1)</f>
        <v>-8.5724620207378699E-2</v>
      </c>
      <c r="N6" s="14">
        <f ca="1">IF(N$1="","",'Total Value'!N18/'Total Value'!$D18-1)</f>
        <v>-0.14160839160839167</v>
      </c>
      <c r="O6" s="14">
        <f ca="1">IF(O$1="","",'Total Value'!O18/'Total Value'!$D18-1)</f>
        <v>-0.14703400048227622</v>
      </c>
      <c r="P6" s="14">
        <f ca="1">IF(P$1="","",'Total Value'!P18/'Total Value'!$D18-1)</f>
        <v>-0.1621654207861104</v>
      </c>
      <c r="Q6" s="14">
        <f ca="1">IF(Q$1="","",'Total Value'!Q18/'Total Value'!$D18-1)</f>
        <v>-0.12334217506631306</v>
      </c>
      <c r="R6" s="14">
        <f ca="1">IF(R$1="","",'Total Value'!R18/'Total Value'!$D18-1)</f>
        <v>-8.283096214130703E-2</v>
      </c>
      <c r="S6" s="14">
        <f ca="1">IF(S$1="","",'Total Value'!S18/'Total Value'!$D18-1)</f>
        <v>-8.6026042922594415E-2</v>
      </c>
      <c r="T6" s="14">
        <f ca="1">IF(T$1="","",'Total Value'!T18/'Total Value'!$D18-1)</f>
        <v>-7.6862792380033795E-2</v>
      </c>
      <c r="U6" s="14">
        <f ca="1">IF(U$1="","",'Total Value'!U18/'Total Value'!$D18-1)</f>
        <v>-0.11731372076199664</v>
      </c>
      <c r="V6" s="14">
        <f ca="1">IF(V$1="","",'Total Value'!V18/'Total Value'!$D18-1)</f>
        <v>-0.11074270557029164</v>
      </c>
      <c r="W6" s="14">
        <f ca="1">IF(W$1="","",'Total Value'!W18/'Total Value'!$D18-1)</f>
        <v>-0.11550518447070157</v>
      </c>
      <c r="X6" s="14">
        <f ca="1">IF(X$1="","",'Total Value'!X18/'Total Value'!$D18-1)</f>
        <v>-0.10555823486857951</v>
      </c>
      <c r="Y6" s="14">
        <f ca="1">IF(Y$1="","",'Total Value'!Y18/'Total Value'!$D18-1)</f>
        <v>-6.9206655413551754E-2</v>
      </c>
      <c r="Z6" s="14">
        <f ca="1">IF(Z$1="","",'Total Value'!Z18/'Total Value'!$D18-1)</f>
        <v>-0.10254400771642136</v>
      </c>
      <c r="AA6" s="14">
        <f ca="1">IF(AA$1="","",'Total Value'!AA18/'Total Value'!$D18-1)</f>
        <v>-0.14094526163491672</v>
      </c>
      <c r="AB6" s="14">
        <f ca="1">IF(AB$1="","",'Total Value'!AB18/'Total Value'!$D18-1)</f>
        <v>-0.14347721244272948</v>
      </c>
      <c r="AC6" s="14">
        <f ca="1">IF(AC$1="","",'Total Value'!AC18/'Total Value'!$D18-1)</f>
        <v>-0.11942367976850732</v>
      </c>
      <c r="AD6" s="14">
        <f ca="1">IF(AD$1="","",'Total Value'!AD18/'Total Value'!$D18-1)</f>
        <v>-0.120749939715457</v>
      </c>
      <c r="AE6" s="14">
        <f ca="1">IF(AE$1="","",'Total Value'!AE18/'Total Value'!$D18-1)</f>
        <v>-0.16674704605739077</v>
      </c>
      <c r="AF6" s="14">
        <f ca="1">IF(AF$1="","",'Total Value'!AF18/'Total Value'!$D18-1)</f>
        <v>-0.18646009163250543</v>
      </c>
      <c r="AG6" s="14">
        <f ca="1">IF(AG$1="","",'Total Value'!AG18/'Total Value'!$D18-1)</f>
        <v>-0.18489269351338311</v>
      </c>
      <c r="AH6" s="14">
        <f ca="1">IF(AH$1="","",'Total Value'!AH18/'Total Value'!$D18-1)</f>
        <v>-0.15071135760790921</v>
      </c>
      <c r="AI6" s="14">
        <f ca="1">IF(AI$1="","",'Total Value'!AI18/'Total Value'!$D18-1)</f>
        <v>-0.10151917048468762</v>
      </c>
      <c r="AJ6" s="14">
        <f ca="1">IF(AJ$1="","",'Total Value'!AJ18/'Total Value'!$D18-1)</f>
        <v>-7.806848324089688E-2</v>
      </c>
      <c r="AK6" s="14">
        <f ca="1">IF(AK$1="","",'Total Value'!AK18/'Total Value'!$D18-1)</f>
        <v>-8.7111164697371457E-2</v>
      </c>
      <c r="AL6" s="14">
        <f ca="1">IF(AL$1="","",'Total Value'!AL18/'Total Value'!$D18-1)</f>
        <v>-9.2536773571256226E-2</v>
      </c>
      <c r="AM6" s="14">
        <f ca="1">IF(AM$1="","",'Total Value'!AM18/'Total Value'!$D18-1)</f>
        <v>-5.0759585242343697E-2</v>
      </c>
      <c r="AN6" s="14">
        <f ca="1">IF(AN$1="","",'Total Value'!AN18/'Total Value'!$D18-1)</f>
        <v>-7.1979744393537382E-2</v>
      </c>
      <c r="AO6" s="14">
        <f ca="1">IF(AO$1="","",'Total Value'!AO18/'Total Value'!$D18-1)</f>
        <v>-6.7458403665300093E-2</v>
      </c>
      <c r="AP6" s="14">
        <f ca="1">IF(AP$1="","",'Total Value'!AP18/'Total Value'!$D18-1)</f>
        <v>-9.332047263081733E-2</v>
      </c>
      <c r="AQ6" s="14">
        <f ca="1">IF(AQ$1="","",'Total Value'!AQ18/'Total Value'!$D18-1)</f>
        <v>-0.12105136243067249</v>
      </c>
      <c r="AR6" s="14">
        <f ca="1">IF(AR$1="","",'Total Value'!AR18/'Total Value'!$D18-1)</f>
        <v>-9.0366530021702474E-2</v>
      </c>
      <c r="AS6" s="14">
        <f ca="1">IF(AS$1="","",'Total Value'!AS18/'Total Value'!$D18-1)</f>
        <v>-9.8987219676874738E-2</v>
      </c>
      <c r="AT6" s="14">
        <f ca="1">IF(AT$1="","",'Total Value'!AT18/'Total Value'!$D18-1)</f>
        <v>-0.12641668676151419</v>
      </c>
      <c r="AU6" s="14">
        <f ca="1">IF(AU$1="","",'Total Value'!AU18/'Total Value'!$D18-1)</f>
        <v>-0.16108029901133347</v>
      </c>
      <c r="AV6" s="14">
        <f ca="1">IF(AV$1="","",'Total Value'!AV18/'Total Value'!$D18-1)</f>
        <v>-0.14094526163491672</v>
      </c>
      <c r="AW6" s="14">
        <f ca="1">IF(AW$1="","",'Total Value'!AW18/'Total Value'!$D18-1)</f>
        <v>-9.2657342657342601E-2</v>
      </c>
      <c r="AX6" s="14">
        <f ca="1">IF(AX$1="","",'Total Value'!AX18/'Total Value'!$D18-1)</f>
        <v>-7.5717386062213565E-2</v>
      </c>
      <c r="AY6" s="14">
        <f ca="1">IF(AY$1="","",'Total Value'!AY18/'Total Value'!$D18-1)</f>
        <v>-4.2259464673257585E-2</v>
      </c>
      <c r="AZ6" s="14">
        <f ca="1">IF(AZ$1="","",'Total Value'!AZ18/'Total Value'!$D18-1)</f>
        <v>-5.2326983361466128E-2</v>
      </c>
      <c r="BA6" s="14">
        <f ca="1">IF(BA$1="","",'Total Value'!BA18/'Total Value'!$D18-1)</f>
        <v>-3.4241620448517085E-2</v>
      </c>
      <c r="BB6" s="14">
        <f ca="1">IF(BB$1="","",'Total Value'!BB18/'Total Value'!$D18-1)</f>
        <v>-5.1784422474077552E-2</v>
      </c>
      <c r="BC6" s="14">
        <f ca="1">IF(BC$1="","",'Total Value'!BC18/'Total Value'!$D18-1)</f>
        <v>-2.2666988184229409E-2</v>
      </c>
      <c r="BD6" s="14">
        <f ca="1">IF(BD$1="","",'Total Value'!BD18/'Total Value'!$D18-1)</f>
        <v>-4.2440318302387259E-2</v>
      </c>
      <c r="BE6" s="14">
        <f ca="1">IF(BE$1="","",'Total Value'!BE18/'Total Value'!$D18-1)</f>
        <v>-2.0557029177718733E-2</v>
      </c>
      <c r="BF6" s="14">
        <f ca="1">IF(BF$1="","",'Total Value'!BF18/'Total Value'!$D18-1)</f>
        <v>5.4256088738857677E-4</v>
      </c>
      <c r="BG6" s="14">
        <f ca="1">IF(BG$1="","",'Total Value'!BG18/'Total Value'!$D18-1)</f>
        <v>-1.5493127562092979E-2</v>
      </c>
      <c r="BH6" s="14">
        <f ca="1">IF(BH$1="","",'Total Value'!BH18/'Total Value'!$D18-1)</f>
        <v>-8.560405112129077E-3</v>
      </c>
      <c r="BI6" s="14">
        <f ca="1">IF(BI$1="","",'Total Value'!BI18/'Total Value'!$D18-1)</f>
        <v>-1.5071135760791332E-3</v>
      </c>
      <c r="BJ6" s="14">
        <f ca="1">IF(BJ$1="","",'Total Value'!BJ18/'Total Value'!$D18-1)</f>
        <v>7.414998794309291E-3</v>
      </c>
      <c r="BK6" s="14">
        <f ca="1">IF(BK$1="","",'Total Value'!BK18/'Total Value'!$D18-1)</f>
        <v>-1.4649143959488797E-2</v>
      </c>
      <c r="BL6" s="14">
        <f ca="1">IF(BL$1="","",'Total Value'!BL18/'Total Value'!$D18-1)</f>
        <v>-2.4294670846394917E-2</v>
      </c>
      <c r="BM6" s="14">
        <f ca="1">IF(BM$1="","",'Total Value'!BM18/'Total Value'!$D18-1)</f>
        <v>-1.6578249336870021E-2</v>
      </c>
      <c r="BN6" s="14">
        <f ca="1">IF(BN$1="","",'Total Value'!BN18/'Total Value'!$D18-1)</f>
        <v>-4.6057390884976956E-2</v>
      </c>
      <c r="BO6" s="14">
        <f ca="1">IF(BO$1="","",'Total Value'!BO18/'Total Value'!$D18-1)</f>
        <v>-7.3185435254400688E-2</v>
      </c>
      <c r="BP6" s="14">
        <f ca="1">IF(BP$1="","",'Total Value'!BP18/'Total Value'!$D18-1)</f>
        <v>-7.5415963346997628E-2</v>
      </c>
      <c r="BQ6" s="14">
        <f ca="1">IF(BQ$1="","",'Total Value'!BQ18/'Total Value'!$D18-1)</f>
        <v>-6.0827103930552129E-2</v>
      </c>
      <c r="BR6" s="14">
        <f ca="1">IF(BR$1="","",'Total Value'!BR18/'Total Value'!$D18-1)</f>
        <v>-9.6937545213407028E-2</v>
      </c>
      <c r="BS6" s="14">
        <f ca="1">IF(BS$1="","",'Total Value'!BS18/'Total Value'!$D18-1)</f>
        <v>-9.2054497226910836E-2</v>
      </c>
      <c r="BT6" s="14">
        <f ca="1">IF(BT$1="","",'Total Value'!BT18/'Total Value'!$D18-1)</f>
        <v>-6.1851941162285762E-2</v>
      </c>
      <c r="BU6" s="14">
        <f ca="1">IF(BU$1="","",'Total Value'!BU18/'Total Value'!$D18-1)</f>
        <v>-5.2748975162768219E-2</v>
      </c>
      <c r="BV6" s="14">
        <f ca="1">IF(BV$1="","",'Total Value'!BV18/'Total Value'!$D18-1)</f>
        <v>-8.4518929346515392E-2</v>
      </c>
      <c r="BW6" s="14">
        <f ca="1">IF(BW$1="","",'Total Value'!BW18/'Total Value'!$D18-1)</f>
        <v>-0.10736677115987459</v>
      </c>
      <c r="BX6" s="14">
        <f ca="1">IF(BX$1="","",'Total Value'!BX18/'Total Value'!$D18-1)</f>
        <v>-8.910055461779598E-2</v>
      </c>
      <c r="BY6" s="14">
        <f ca="1">IF(BY$1="","",'Total Value'!BY18/'Total Value'!$D18-1)</f>
        <v>-8.6448034723896727E-2</v>
      </c>
      <c r="BZ6" s="14">
        <f ca="1">IF(BZ$1="","",'Total Value'!BZ18/'Total Value'!$D18-1)</f>
        <v>-7.5174825174824988E-2</v>
      </c>
      <c r="CA6" s="14">
        <f ca="1">IF(CA$1="","",'Total Value'!CA18/'Total Value'!$D18-1)</f>
        <v>-4.1415481070653404E-2</v>
      </c>
      <c r="CB6" s="14">
        <f ca="1">IF(CB$1="","",'Total Value'!CB18/'Total Value'!$D18-1)</f>
        <v>-9.0607668193875113E-2</v>
      </c>
      <c r="CC6" s="14">
        <f ca="1">IF(CC$1="","",'Total Value'!CC18/'Total Value'!$D18-1)</f>
        <v>-9.2777911743428865E-2</v>
      </c>
      <c r="CD6" s="14">
        <f ca="1">IF(CD$1="","",'Total Value'!CD18/'Total Value'!$D18-1)</f>
        <v>-7.855075958524238E-2</v>
      </c>
      <c r="CE6" s="14">
        <f ca="1">IF(CE$1="","",'Total Value'!CE18/'Total Value'!$D18-1)</f>
        <v>-4.5454545454545414E-2</v>
      </c>
      <c r="CF6" s="14" t="str">
        <f ca="1">IF(CF$1="","",'Total Value'!CF18/'Total Value'!$D18-1)</f>
        <v/>
      </c>
      <c r="CG6" s="14" t="str">
        <f ca="1">IF(CG$1="","",'Total Value'!CG18/'Total Value'!$D18-1)</f>
        <v/>
      </c>
      <c r="CH6" s="14" t="str">
        <f ca="1">IF(CH$1="","",'Total Value'!CH18/'Total Value'!$D18-1)</f>
        <v/>
      </c>
      <c r="CI6" s="14" t="str">
        <f ca="1">IF(CI$1="","",'Total Value'!CI18/'Total Value'!$D18-1)</f>
        <v/>
      </c>
      <c r="CJ6" s="14" t="str">
        <f ca="1">IF(CJ$1="","",'Total Value'!CJ18/'Total Value'!$D18-1)</f>
        <v/>
      </c>
      <c r="CK6" s="14" t="str">
        <f ca="1">IF(CK$1="","",'Total Value'!CK18/'Total Value'!$D18-1)</f>
        <v/>
      </c>
      <c r="CL6" s="14" t="str">
        <f ca="1">IF(CL$1="","",'Total Value'!CL18/'Total Value'!$D18-1)</f>
        <v/>
      </c>
      <c r="CM6" s="14" t="str">
        <f ca="1">IF(CM$1="","",'Total Value'!CM18/'Total Value'!$D18-1)</f>
        <v/>
      </c>
      <c r="CN6" s="14" t="str">
        <f ca="1">IF(CN$1="","",'Total Value'!CN18/'Total Value'!$D18-1)</f>
        <v/>
      </c>
      <c r="CO6" s="14" t="str">
        <f ca="1">IF(CO$1="","",'Total Value'!CO18/'Total Value'!$D18-1)</f>
        <v/>
      </c>
      <c r="CP6" s="14" t="str">
        <f ca="1">IF(CP$1="","",'Total Value'!CP18/'Total Value'!$D18-1)</f>
        <v/>
      </c>
      <c r="CQ6" s="14" t="str">
        <f ca="1">IF(CQ$1="","",'Total Value'!CQ18/'Total Value'!$D18-1)</f>
        <v/>
      </c>
      <c r="CR6" s="14" t="str">
        <f ca="1">IF(CR$1="","",'Total Value'!CR18/'Total Value'!$D18-1)</f>
        <v/>
      </c>
      <c r="CS6" s="14" t="str">
        <f ca="1">IF(CS$1="","",'Total Value'!CS18/'Total Value'!$D18-1)</f>
        <v/>
      </c>
      <c r="CT6" s="14" t="str">
        <f ca="1">IF(CT$1="","",'Total Value'!CT18/'Total Value'!$D18-1)</f>
        <v/>
      </c>
      <c r="CU6" s="14" t="str">
        <f ca="1">IF(CU$1="","",'Total Value'!CU18/'Total Value'!$D18-1)</f>
        <v/>
      </c>
      <c r="CV6" s="14" t="str">
        <f ca="1">IF(CV$1="","",'Total Value'!CV18/'Total Value'!$D18-1)</f>
        <v/>
      </c>
      <c r="CW6" s="14" t="str">
        <f ca="1">IF(CW$1="","",'Total Value'!CW18/'Total Value'!$D18-1)</f>
        <v/>
      </c>
      <c r="CX6" s="14" t="str">
        <f ca="1">IF(CX$1="","",'Total Value'!CX18/'Total Value'!$D18-1)</f>
        <v/>
      </c>
      <c r="CY6" s="14" t="str">
        <f ca="1">IF(CY$1="","",'Total Value'!CY18/'Total Value'!$D18-1)</f>
        <v/>
      </c>
      <c r="CZ6" s="14" t="str">
        <f ca="1">IF(CZ$1="","",'Total Value'!CZ18/'Total Value'!$D18-1)</f>
        <v/>
      </c>
      <c r="DA6" s="14" t="str">
        <f ca="1">IF(DA$1="","",'Total Value'!DA18/'Total Value'!$D18-1)</f>
        <v/>
      </c>
      <c r="DB6" s="14" t="str">
        <f ca="1">IF(DB$1="","",'Total Value'!DB18/'Total Value'!$D18-1)</f>
        <v/>
      </c>
      <c r="DC6" s="14" t="str">
        <f ca="1">IF(DC$1="","",'Total Value'!DC18/'Total Value'!$D18-1)</f>
        <v/>
      </c>
      <c r="DD6" s="14" t="str">
        <f ca="1">IF(DD$1="","",'Total Value'!DD18/'Total Value'!$D18-1)</f>
        <v/>
      </c>
      <c r="DE6" s="14" t="str">
        <f ca="1">IF(DE$1="","",'Total Value'!DE18/'Total Value'!$D18-1)</f>
        <v/>
      </c>
      <c r="DF6" s="14" t="str">
        <f ca="1">IF(DF$1="","",'Total Value'!DF18/'Total Value'!$D18-1)</f>
        <v/>
      </c>
      <c r="DG6" s="14" t="str">
        <f ca="1">IF(DG$1="","",'Total Value'!DG18/'Total Value'!$D18-1)</f>
        <v/>
      </c>
      <c r="DH6" s="14" t="str">
        <f ca="1">IF(DH$1="","",'Total Value'!DH18/'Total Value'!$D18-1)</f>
        <v/>
      </c>
      <c r="DI6" s="14" t="str">
        <f ca="1">IF(DI$1="","",'Total Value'!DI18/'Total Value'!$D18-1)</f>
        <v/>
      </c>
      <c r="DJ6" s="14" t="str">
        <f ca="1">IF(DJ$1="","",'Total Value'!DJ18/'Total Value'!$D18-1)</f>
        <v/>
      </c>
      <c r="DK6" s="14" t="str">
        <f ca="1">IF(DK$1="","",'Total Value'!DK18/'Total Value'!$D18-1)</f>
        <v/>
      </c>
      <c r="DL6" s="14" t="str">
        <f ca="1">IF(DL$1="","",'Total Value'!DL18/'Total Value'!$D18-1)</f>
        <v/>
      </c>
      <c r="DM6" s="14" t="str">
        <f ca="1">IF(DM$1="","",'Total Value'!DM18/'Total Value'!$D18-1)</f>
        <v/>
      </c>
      <c r="DN6" s="14" t="str">
        <f ca="1">IF(DN$1="","",'Total Value'!DN18/'Total Value'!$D18-1)</f>
        <v/>
      </c>
      <c r="DO6" s="14" t="str">
        <f ca="1">IF(DO$1="","",'Total Value'!DO18/'Total Value'!$D18-1)</f>
        <v/>
      </c>
      <c r="DP6" s="14" t="str">
        <f ca="1">IF(DP$1="","",'Total Value'!DP18/'Total Value'!$D18-1)</f>
        <v/>
      </c>
      <c r="DQ6" s="14" t="str">
        <f ca="1">IF(DQ$1="","",'Total Value'!DQ18/'Total Value'!$D18-1)</f>
        <v/>
      </c>
      <c r="DR6" s="14" t="str">
        <f ca="1">IF(DR$1="","",'Total Value'!DR18/'Total Value'!$D18-1)</f>
        <v/>
      </c>
      <c r="DS6" s="14" t="str">
        <f ca="1">IF(DS$1="","",'Total Value'!DS18/'Total Value'!$D18-1)</f>
        <v/>
      </c>
      <c r="DT6" s="14" t="str">
        <f ca="1">IF(DT$1="","",'Total Value'!DT18/'Total Value'!$D18-1)</f>
        <v/>
      </c>
      <c r="DU6" s="14" t="str">
        <f ca="1">IF(DU$1="","",'Total Value'!DU18/'Total Value'!$D18-1)</f>
        <v/>
      </c>
      <c r="DV6" s="14" t="str">
        <f ca="1">IF(DV$1="","",'Total Value'!DV18/'Total Value'!$D18-1)</f>
        <v/>
      </c>
      <c r="DW6" s="14" t="str">
        <f ca="1">IF(DW$1="","",'Total Value'!DW18/'Total Value'!$D18-1)</f>
        <v/>
      </c>
      <c r="DX6" s="14" t="str">
        <f ca="1">IF(DX$1="","",'Total Value'!DX18/'Total Value'!$D18-1)</f>
        <v/>
      </c>
      <c r="DY6" s="14" t="str">
        <f ca="1">IF(DY$1="","",'Total Value'!DY18/'Total Value'!$D18-1)</f>
        <v/>
      </c>
      <c r="DZ6" s="14" t="str">
        <f ca="1">IF(DZ$1="","",'Total Value'!DZ18/'Total Value'!$D18-1)</f>
        <v/>
      </c>
      <c r="EA6" s="14" t="str">
        <f ca="1">IF(EA$1="","",'Total Value'!EA18/'Total Value'!$D18-1)</f>
        <v/>
      </c>
      <c r="EB6" s="14" t="str">
        <f ca="1">IF(EB$1="","",'Total Value'!EB18/'Total Value'!$D18-1)</f>
        <v/>
      </c>
      <c r="EC6" s="14" t="str">
        <f ca="1">IF(EC$1="","",'Total Value'!EC18/'Total Value'!$D18-1)</f>
        <v/>
      </c>
      <c r="ED6" s="14" t="str">
        <f ca="1">IF(ED$1="","",'Total Value'!ED18/'Total Value'!$D18-1)</f>
        <v/>
      </c>
      <c r="EE6" s="14" t="str">
        <f ca="1">IF(EE$1="","",'Total Value'!EE18/'Total Value'!$D18-1)</f>
        <v/>
      </c>
      <c r="EF6" s="14" t="str">
        <f ca="1">IF(EF$1="","",'Total Value'!EF18/'Total Value'!$D18-1)</f>
        <v/>
      </c>
      <c r="EG6" s="14" t="str">
        <f ca="1">IF(EG$1="","",'Total Value'!EG18/'Total Value'!$D18-1)</f>
        <v/>
      </c>
      <c r="EH6" s="14" t="str">
        <f ca="1">IF(EH$1="","",'Total Value'!EH18/'Total Value'!$D18-1)</f>
        <v/>
      </c>
      <c r="EI6" s="14" t="str">
        <f ca="1">IF(EI$1="","",'Total Value'!EI18/'Total Value'!$D18-1)</f>
        <v/>
      </c>
      <c r="EJ6" s="14" t="str">
        <f ca="1">IF(EJ$1="","",'Total Value'!EJ18/'Total Value'!$D18-1)</f>
        <v/>
      </c>
      <c r="EK6" s="14" t="str">
        <f ca="1">IF(EK$1="","",'Total Value'!EK18/'Total Value'!$D18-1)</f>
        <v/>
      </c>
      <c r="EL6" s="14" t="str">
        <f ca="1">IF(EL$1="","",'Total Value'!EL18/'Total Value'!$D18-1)</f>
        <v/>
      </c>
      <c r="EM6" s="14" t="str">
        <f ca="1">IF(EM$1="","",'Total Value'!EM18/'Total Value'!$D18-1)</f>
        <v/>
      </c>
      <c r="EN6" s="14" t="str">
        <f ca="1">IF(EN$1="","",'Total Value'!EN18/'Total Value'!$D18-1)</f>
        <v/>
      </c>
      <c r="EO6" s="14" t="str">
        <f ca="1">IF(EO$1="","",'Total Value'!EO18/'Total Value'!$D18-1)</f>
        <v/>
      </c>
      <c r="EP6" s="14" t="str">
        <f ca="1">IF(EP$1="","",'Total Value'!EP18/'Total Value'!$D18-1)</f>
        <v/>
      </c>
      <c r="EQ6" s="14" t="str">
        <f ca="1">IF(EQ$1="","",'Total Value'!EQ18/'Total Value'!$D18-1)</f>
        <v/>
      </c>
      <c r="ER6" s="14" t="str">
        <f ca="1">IF(ER$1="","",'Total Value'!ER18/'Total Value'!$D18-1)</f>
        <v/>
      </c>
      <c r="ES6" s="14" t="str">
        <f ca="1">IF(ES$1="","",'Total Value'!ES18/'Total Value'!$D18-1)</f>
        <v/>
      </c>
      <c r="ET6" s="14" t="str">
        <f ca="1">IF(ET$1="","",'Total Value'!ET18/'Total Value'!$D18-1)</f>
        <v/>
      </c>
      <c r="EU6" s="14" t="str">
        <f ca="1">IF(EU$1="","",'Total Value'!EU18/'Total Value'!$D18-1)</f>
        <v/>
      </c>
      <c r="EV6" s="14" t="str">
        <f ca="1">IF(EV$1="","",'Total Value'!EV18/'Total Value'!$D18-1)</f>
        <v/>
      </c>
      <c r="EW6" s="14" t="str">
        <f ca="1">IF(EW$1="","",'Total Value'!EW18/'Total Value'!$D18-1)</f>
        <v/>
      </c>
      <c r="EX6" s="14" t="str">
        <f ca="1">IF(EX$1="","",'Total Value'!EX18/'Total Value'!$D18-1)</f>
        <v/>
      </c>
      <c r="EY6" s="14" t="str">
        <f ca="1">IF(EY$1="","",'Total Value'!EY18/'Total Value'!$D18-1)</f>
        <v/>
      </c>
      <c r="EZ6" s="14" t="str">
        <f ca="1">IF(EZ$1="","",'Total Value'!EZ18/'Total Value'!$D18-1)</f>
        <v/>
      </c>
      <c r="FA6" s="14" t="str">
        <f ca="1">IF(FA$1="","",'Total Value'!FA18/'Total Value'!$D18-1)</f>
        <v/>
      </c>
      <c r="FB6" s="14" t="str">
        <f ca="1">IF(FB$1="","",'Total Value'!FB18/'Total Value'!$D18-1)</f>
        <v/>
      </c>
      <c r="FC6" s="14" t="str">
        <f ca="1">IF(FC$1="","",'Total Value'!FC18/'Total Value'!$D18-1)</f>
        <v/>
      </c>
      <c r="FD6" s="14" t="str">
        <f ca="1">IF(FD$1="","",'Total Value'!FD18/'Total Value'!$D18-1)</f>
        <v/>
      </c>
      <c r="FE6" s="14" t="str">
        <f ca="1">IF(FE$1="","",'Total Value'!FE18/'Total Value'!$D18-1)</f>
        <v/>
      </c>
      <c r="FF6" s="14" t="str">
        <f ca="1">IF(FF$1="","",'Total Value'!FF18/'Total Value'!$D18-1)</f>
        <v/>
      </c>
      <c r="FG6" s="14" t="str">
        <f ca="1">IF(FG$1="","",'Total Value'!FG18/'Total Value'!$D18-1)</f>
        <v/>
      </c>
      <c r="FH6" s="14" t="str">
        <f ca="1">IF(FH$1="","",'Total Value'!FH18/'Total Value'!$D18-1)</f>
        <v/>
      </c>
      <c r="FI6" s="14" t="str">
        <f ca="1">IF(FI$1="","",'Total Value'!FI18/'Total Value'!$D18-1)</f>
        <v/>
      </c>
      <c r="FJ6" s="14" t="str">
        <f ca="1">IF(FJ$1="","",'Total Value'!FJ18/'Total Value'!$D18-1)</f>
        <v/>
      </c>
      <c r="FK6" s="14" t="str">
        <f ca="1">IF(FK$1="","",'Total Value'!FK18/'Total Value'!$D18-1)</f>
        <v/>
      </c>
      <c r="FL6" s="14" t="str">
        <f ca="1">IF(FL$1="","",'Total Value'!FL18/'Total Value'!$D18-1)</f>
        <v/>
      </c>
      <c r="FM6" s="14" t="str">
        <f ca="1">IF(FM$1="","",'Total Value'!FM18/'Total Value'!$D18-1)</f>
        <v/>
      </c>
      <c r="FN6" s="14" t="str">
        <f ca="1">IF(FN$1="","",'Total Value'!FN18/'Total Value'!$D18-1)</f>
        <v/>
      </c>
      <c r="FO6" s="14" t="str">
        <f ca="1">IF(FO$1="","",'Total Value'!FO18/'Total Value'!$D18-1)</f>
        <v/>
      </c>
      <c r="FP6" s="14" t="str">
        <f ca="1">IF(FP$1="","",'Total Value'!FP18/'Total Value'!$D18-1)</f>
        <v/>
      </c>
      <c r="FQ6" s="14" t="str">
        <f ca="1">IF(FQ$1="","",'Total Value'!FQ18/'Total Value'!$D18-1)</f>
        <v/>
      </c>
      <c r="FR6" s="14" t="str">
        <f ca="1">IF(FR$1="","",'Total Value'!FR18/'Total Value'!$D18-1)</f>
        <v/>
      </c>
      <c r="FS6" s="14" t="str">
        <f ca="1">IF(FS$1="","",'Total Value'!FS18/'Total Value'!$D18-1)</f>
        <v/>
      </c>
      <c r="FT6" s="14" t="str">
        <f ca="1">IF(FT$1="","",'Total Value'!FT18/'Total Value'!$D18-1)</f>
        <v/>
      </c>
      <c r="FU6" s="14" t="str">
        <f ca="1">IF(FU$1="","",'Total Value'!FU18/'Total Value'!$D18-1)</f>
        <v/>
      </c>
      <c r="FV6" s="14" t="str">
        <f ca="1">IF(FV$1="","",'Total Value'!FV18/'Total Value'!$D18-1)</f>
        <v/>
      </c>
      <c r="FW6" s="14" t="str">
        <f ca="1">IF(FW$1="","",'Total Value'!FW18/'Total Value'!$D18-1)</f>
        <v/>
      </c>
      <c r="FX6" s="14" t="str">
        <f ca="1">IF(FX$1="","",'Total Value'!FX18/'Total Value'!$D18-1)</f>
        <v/>
      </c>
      <c r="FY6" s="14" t="str">
        <f ca="1">IF(FY$1="","",'Total Value'!FY18/'Total Value'!$D18-1)</f>
        <v/>
      </c>
      <c r="FZ6" s="14" t="str">
        <f ca="1">IF(FZ$1="","",'Total Value'!FZ18/'Total Value'!$D18-1)</f>
        <v/>
      </c>
      <c r="GA6" s="14" t="str">
        <f ca="1">IF(GA$1="","",'Total Value'!GA18/'Total Value'!$D18-1)</f>
        <v/>
      </c>
      <c r="GB6" s="14" t="str">
        <f ca="1">IF(GB$1="","",'Total Value'!GB18/'Total Value'!$D18-1)</f>
        <v/>
      </c>
      <c r="GC6" s="14" t="str">
        <f ca="1">IF(GC$1="","",'Total Value'!GC18/'Total Value'!$D18-1)</f>
        <v/>
      </c>
      <c r="GD6" s="14" t="str">
        <f ca="1">IF(GD$1="","",'Total Value'!GD18/'Total Value'!$D18-1)</f>
        <v/>
      </c>
      <c r="GE6" s="14" t="str">
        <f ca="1">IF(GE$1="","",'Total Value'!GE18/'Total Value'!$D18-1)</f>
        <v/>
      </c>
      <c r="GF6" s="14" t="str">
        <f ca="1">IF(GF$1="","",'Total Value'!GF18/'Total Value'!$D18-1)</f>
        <v/>
      </c>
      <c r="GG6" s="14" t="str">
        <f ca="1">IF(GG$1="","",'Total Value'!GG18/'Total Value'!$D18-1)</f>
        <v/>
      </c>
      <c r="GH6" s="14" t="str">
        <f ca="1">IF(GH$1="","",'Total Value'!GH18/'Total Value'!$D18-1)</f>
        <v/>
      </c>
      <c r="GI6" s="14" t="str">
        <f ca="1">IF(GI$1="","",'Total Value'!GI18/'Total Value'!$D18-1)</f>
        <v/>
      </c>
      <c r="GJ6" s="14" t="str">
        <f ca="1">IF(GJ$1="","",'Total Value'!GJ18/'Total Value'!$D18-1)</f>
        <v/>
      </c>
      <c r="GK6" s="14" t="str">
        <f ca="1">IF(GK$1="","",'Total Value'!GK18/'Total Value'!$D18-1)</f>
        <v/>
      </c>
      <c r="GL6" s="14" t="str">
        <f ca="1">IF(GL$1="","",'Total Value'!GL18/'Total Value'!$D18-1)</f>
        <v/>
      </c>
      <c r="GM6" s="14" t="str">
        <f ca="1">IF(GM$1="","",'Total Value'!GM18/'Total Value'!$D18-1)</f>
        <v/>
      </c>
      <c r="GN6" s="14" t="str">
        <f ca="1">IF(GN$1="","",'Total Value'!GN18/'Total Value'!$D18-1)</f>
        <v/>
      </c>
      <c r="GO6" s="14" t="str">
        <f ca="1">IF(GO$1="","",'Total Value'!GO18/'Total Value'!$D18-1)</f>
        <v/>
      </c>
      <c r="GP6" s="14" t="str">
        <f ca="1">IF(GP$1="","",'Total Value'!GP18/'Total Value'!$D18-1)</f>
        <v/>
      </c>
      <c r="GQ6" s="14" t="str">
        <f ca="1">IF(GQ$1="","",'Total Value'!GQ18/'Total Value'!$D18-1)</f>
        <v/>
      </c>
      <c r="GR6" s="14" t="str">
        <f ca="1">IF(GR$1="","",'Total Value'!GR18/'Total Value'!$D18-1)</f>
        <v/>
      </c>
      <c r="GS6" s="14" t="str">
        <f ca="1">IF(GS$1="","",'Total Value'!GS18/'Total Value'!$D18-1)</f>
        <v/>
      </c>
      <c r="GT6" s="14" t="str">
        <f ca="1">IF(GT$1="","",'Total Value'!GT18/'Total Value'!$D18-1)</f>
        <v/>
      </c>
      <c r="GU6" s="14" t="str">
        <f ca="1">IF(GU$1="","",'Total Value'!GU18/'Total Value'!$D18-1)</f>
        <v/>
      </c>
      <c r="GV6" s="14" t="str">
        <f ca="1">IF(GV$1="","",'Total Value'!GV18/'Total Value'!$D18-1)</f>
        <v/>
      </c>
      <c r="GW6" s="14" t="str">
        <f ca="1">IF(GW$1="","",'Total Value'!GW18/'Total Value'!$D18-1)</f>
        <v/>
      </c>
      <c r="GX6" s="14" t="str">
        <f ca="1">IF(GX$1="","",'Total Value'!GX18/'Total Value'!$D18-1)</f>
        <v/>
      </c>
      <c r="GY6" s="14" t="str">
        <f ca="1">IF(GY$1="","",'Total Value'!GY18/'Total Value'!$D18-1)</f>
        <v/>
      </c>
      <c r="GZ6" s="14" t="str">
        <f ca="1">IF(GZ$1="","",'Total Value'!GZ18/'Total Value'!$D18-1)</f>
        <v/>
      </c>
      <c r="HA6" s="14" t="str">
        <f ca="1">IF(HA$1="","",'Total Value'!HA18/'Total Value'!$D18-1)</f>
        <v/>
      </c>
      <c r="HB6" s="14" t="str">
        <f ca="1">IF(HB$1="","",'Total Value'!HB18/'Total Value'!$D18-1)</f>
        <v/>
      </c>
      <c r="HC6" s="14" t="str">
        <f ca="1">IF(HC$1="","",'Total Value'!HC18/'Total Value'!$D18-1)</f>
        <v/>
      </c>
      <c r="HD6" s="14" t="str">
        <f ca="1">IF(HD$1="","",'Total Value'!HD18/'Total Value'!$D18-1)</f>
        <v/>
      </c>
      <c r="HE6" s="14" t="str">
        <f ca="1">IF(HE$1="","",'Total Value'!HE18/'Total Value'!$D18-1)</f>
        <v/>
      </c>
      <c r="HF6" s="14" t="str">
        <f ca="1">IF(HF$1="","",'Total Value'!HF18/'Total Value'!$D18-1)</f>
        <v/>
      </c>
      <c r="HG6" s="14" t="str">
        <f ca="1">IF(HG$1="","",'Total Value'!HG18/'Total Value'!$D18-1)</f>
        <v/>
      </c>
      <c r="HH6" s="14" t="str">
        <f ca="1">IF(HH$1="","",'Total Value'!HH18/'Total Value'!$D18-1)</f>
        <v/>
      </c>
      <c r="HI6" s="14" t="str">
        <f ca="1">IF(HI$1="","",'Total Value'!HI18/'Total Value'!$D18-1)</f>
        <v/>
      </c>
      <c r="HJ6" s="14" t="str">
        <f ca="1">IF(HJ$1="","",'Total Value'!HJ18/'Total Value'!$D18-1)</f>
        <v/>
      </c>
      <c r="HK6" s="14" t="str">
        <f ca="1">IF(HK$1="","",'Total Value'!HK18/'Total Value'!$D18-1)</f>
        <v/>
      </c>
      <c r="HL6" s="14" t="str">
        <f ca="1">IF(HL$1="","",'Total Value'!HL18/'Total Value'!$D18-1)</f>
        <v/>
      </c>
      <c r="HM6" s="14" t="str">
        <f ca="1">IF(HM$1="","",'Total Value'!HM18/'Total Value'!$D18-1)</f>
        <v/>
      </c>
      <c r="HN6" s="14" t="str">
        <f ca="1">IF(HN$1="","",'Total Value'!HN18/'Total Value'!$D18-1)</f>
        <v/>
      </c>
      <c r="HO6" s="14" t="str">
        <f ca="1">IF(HO$1="","",'Total Value'!HO18/'Total Value'!$D18-1)</f>
        <v/>
      </c>
      <c r="HP6" s="14" t="str">
        <f ca="1">IF(HP$1="","",'Total Value'!HP18/'Total Value'!$D18-1)</f>
        <v/>
      </c>
      <c r="HQ6" s="14" t="str">
        <f ca="1">IF(HQ$1="","",'Total Value'!HQ18/'Total Value'!$D18-1)</f>
        <v/>
      </c>
      <c r="HR6" s="14" t="str">
        <f ca="1">IF(HR$1="","",'Total Value'!HR18/'Total Value'!$D18-1)</f>
        <v/>
      </c>
      <c r="HS6" s="14" t="str">
        <f ca="1">IF(HS$1="","",'Total Value'!HS18/'Total Value'!$D18-1)</f>
        <v/>
      </c>
      <c r="HT6" s="14" t="str">
        <f ca="1">IF(HT$1="","",'Total Value'!HT18/'Total Value'!$D18-1)</f>
        <v/>
      </c>
      <c r="HU6" s="14" t="str">
        <f ca="1">IF(HU$1="","",'Total Value'!HU18/'Total Value'!$D18-1)</f>
        <v/>
      </c>
      <c r="HV6" s="14" t="str">
        <f ca="1">IF(HV$1="","",'Total Value'!HV18/'Total Value'!$D18-1)</f>
        <v/>
      </c>
      <c r="HW6" s="14" t="str">
        <f ca="1">IF(HW$1="","",'Total Value'!HW18/'Total Value'!$D18-1)</f>
        <v/>
      </c>
      <c r="HX6" s="14" t="str">
        <f ca="1">IF(HX$1="","",'Total Value'!HX18/'Total Value'!$D18-1)</f>
        <v/>
      </c>
      <c r="HY6" s="14" t="str">
        <f ca="1">IF(HY$1="","",'Total Value'!HY18/'Total Value'!$D18-1)</f>
        <v/>
      </c>
      <c r="HZ6" s="14" t="str">
        <f ca="1">IF(HZ$1="","",'Total Value'!HZ18/'Total Value'!$D18-1)</f>
        <v/>
      </c>
      <c r="IA6" s="14" t="str">
        <f ca="1">IF(IA$1="","",'Total Value'!IA18/'Total Value'!$D18-1)</f>
        <v/>
      </c>
      <c r="IB6" s="14" t="str">
        <f ca="1">IF(IB$1="","",'Total Value'!IB18/'Total Value'!$D18-1)</f>
        <v/>
      </c>
      <c r="IC6" s="14" t="str">
        <f ca="1">IF(IC$1="","",'Total Value'!IC18/'Total Value'!$D18-1)</f>
        <v/>
      </c>
      <c r="ID6" s="14" t="str">
        <f ca="1">IF(ID$1="","",'Total Value'!ID18/'Total Value'!$D18-1)</f>
        <v/>
      </c>
      <c r="IE6" s="14" t="str">
        <f ca="1">IF(IE$1="","",'Total Value'!IE18/'Total Value'!$D18-1)</f>
        <v/>
      </c>
      <c r="IF6" s="14" t="str">
        <f ca="1">IF(IF$1="","",'Total Value'!IF18/'Total Value'!$D18-1)</f>
        <v/>
      </c>
      <c r="IG6" s="14" t="str">
        <f ca="1">IF(IG$1="","",'Total Value'!IG18/'Total Value'!$D18-1)</f>
        <v/>
      </c>
      <c r="IH6" s="14" t="str">
        <f ca="1">IF(IH$1="","",'Total Value'!IH18/'Total Value'!$D18-1)</f>
        <v/>
      </c>
      <c r="II6" s="14" t="str">
        <f ca="1">IF(II$1="","",'Total Value'!II18/'Total Value'!$D18-1)</f>
        <v/>
      </c>
      <c r="IJ6" s="14" t="str">
        <f ca="1">IF(IJ$1="","",'Total Value'!IJ18/'Total Value'!$D18-1)</f>
        <v/>
      </c>
      <c r="IK6" s="14" t="str">
        <f ca="1">IF(IK$1="","",'Total Value'!IK18/'Total Value'!$D18-1)</f>
        <v/>
      </c>
      <c r="IL6" s="14" t="str">
        <f ca="1">IF(IL$1="","",'Total Value'!IL18/'Total Value'!$D18-1)</f>
        <v/>
      </c>
      <c r="IM6" s="14" t="str">
        <f ca="1">IF(IM$1="","",'Total Value'!IM18/'Total Value'!$D18-1)</f>
        <v/>
      </c>
      <c r="IN6" s="14" t="str">
        <f ca="1">IF(IN$1="","",'Total Value'!IN18/'Total Value'!$D18-1)</f>
        <v/>
      </c>
      <c r="IO6" s="14" t="str">
        <f ca="1">IF(IO$1="","",'Total Value'!IO18/'Total Value'!$D18-1)</f>
        <v/>
      </c>
      <c r="IP6" s="14" t="str">
        <f ca="1">IF(IP$1="","",'Total Value'!IP18/'Total Value'!$D18-1)</f>
        <v/>
      </c>
      <c r="IQ6" s="14" t="str">
        <f ca="1">IF(IQ$1="","",'Total Value'!IQ18/'Total Value'!$D18-1)</f>
        <v/>
      </c>
      <c r="IR6" s="14" t="str">
        <f ca="1">IF(IR$1="","",'Total Value'!IR18/'Total Value'!$D18-1)</f>
        <v/>
      </c>
      <c r="IS6" s="14" t="str">
        <f ca="1">IF(IS$1="","",'Total Value'!IS18/'Total Value'!$D18-1)</f>
        <v/>
      </c>
      <c r="IT6" s="14" t="str">
        <f ca="1">IF(IT$1="","",'Total Value'!IT18/'Total Value'!$D18-1)</f>
        <v/>
      </c>
      <c r="IU6" s="14" t="str">
        <f ca="1">IF(IU$1="","",'Total Value'!IU18/'Total Value'!$D18-1)</f>
        <v/>
      </c>
      <c r="IV6" s="14" t="str">
        <f ca="1">IF(IV$1="","",'Total Value'!IV18/'Total Value'!$D18-1)</f>
        <v/>
      </c>
      <c r="IW6" s="14" t="str">
        <f ca="1">IF(IW$1="","",'Total Value'!IW18/'Total Value'!$D18-1)</f>
        <v/>
      </c>
      <c r="IX6" s="14" t="str">
        <f ca="1">IF(IX$1="","",'Total Value'!IX18/'Total Value'!$D18-1)</f>
        <v/>
      </c>
      <c r="IY6" s="14" t="str">
        <f ca="1">IF(IY$1="","",'Total Value'!IY18/'Total Value'!$D18-1)</f>
        <v/>
      </c>
      <c r="IZ6" s="14" t="str">
        <f ca="1">IF(IZ$1="","",'Total Value'!IZ18/'Total Value'!$D18-1)</f>
        <v/>
      </c>
      <c r="JA6" s="14" t="str">
        <f ca="1">IF(JA$1="","",'Total Value'!JA18/'Total Value'!$D18-1)</f>
        <v/>
      </c>
      <c r="JB6" s="14" t="str">
        <f ca="1">IF(JB$1="","",'Total Value'!JB18/'Total Value'!$D18-1)</f>
        <v/>
      </c>
      <c r="JC6" s="14" t="str">
        <f ca="1">IF(JC$1="","",'Total Value'!JC18/'Total Value'!$D18-1)</f>
        <v/>
      </c>
      <c r="JD6" s="14" t="str">
        <f ca="1">IF(JD$1="","",'Total Value'!JD18/'Total Value'!$D18-1)</f>
        <v/>
      </c>
      <c r="JE6" s="14" t="str">
        <f ca="1">IF(JE$1="","",'Total Value'!JE18/'Total Value'!$D18-1)</f>
        <v/>
      </c>
      <c r="JF6" s="14" t="str">
        <f ca="1">IF(JF$1="","",'Total Value'!JF18/'Total Value'!$D18-1)</f>
        <v/>
      </c>
      <c r="JG6" s="14" t="str">
        <f ca="1">IF(JG$1="","",'Total Value'!JG18/'Total Value'!$D18-1)</f>
        <v/>
      </c>
      <c r="JH6" s="14" t="str">
        <f ca="1">IF(JH$1="","",'Total Value'!JH18/'Total Value'!$D18-1)</f>
        <v/>
      </c>
      <c r="JI6" s="14" t="str">
        <f ca="1">IF(JI$1="","",'Total Value'!JI18/'Total Value'!$D18-1)</f>
        <v/>
      </c>
      <c r="JJ6" s="14" t="str">
        <f ca="1">IF(JJ$1="","",'Total Value'!JJ18/'Total Value'!$D18-1)</f>
        <v/>
      </c>
      <c r="JK6" s="14" t="str">
        <f ca="1">IF(JK$1="","",'Total Value'!JK18/'Total Value'!$D18-1)</f>
        <v/>
      </c>
      <c r="JL6" s="14" t="str">
        <f ca="1">IF(JL$1="","",'Total Value'!JL18/'Total Value'!$D18-1)</f>
        <v/>
      </c>
      <c r="JM6" s="14" t="str">
        <f ca="1">IF(JM$1="","",'Total Value'!JM18/'Total Value'!$D18-1)</f>
        <v/>
      </c>
      <c r="JN6" s="14" t="str">
        <f ca="1">IF(JN$1="","",'Total Value'!JN18/'Total Value'!$D18-1)</f>
        <v/>
      </c>
      <c r="JO6" s="14" t="str">
        <f ca="1">IF(JO$1="","",'Total Value'!JO18/'Total Value'!$D18-1)</f>
        <v/>
      </c>
      <c r="JP6" s="14" t="str">
        <f ca="1">IF(JP$1="","",'Total Value'!JP18/'Total Value'!$D18-1)</f>
        <v/>
      </c>
      <c r="JQ6" s="14" t="str">
        <f ca="1">IF(JQ$1="","",'Total Value'!JQ18/'Total Value'!$D18-1)</f>
        <v/>
      </c>
      <c r="JR6" s="14" t="str">
        <f ca="1">IF(JR$1="","",'Total Value'!JR18/'Total Value'!$D18-1)</f>
        <v/>
      </c>
      <c r="JS6" s="14" t="str">
        <f ca="1">IF(JS$1="","",'Total Value'!JS18/'Total Value'!$D18-1)</f>
        <v/>
      </c>
      <c r="JT6" s="14" t="str">
        <f ca="1">IF(JT$1="","",'Total Value'!JT18/'Total Value'!$D18-1)</f>
        <v/>
      </c>
      <c r="JU6" s="14" t="str">
        <f ca="1">IF(JU$1="","",'Total Value'!JU18/'Total Value'!$D18-1)</f>
        <v/>
      </c>
      <c r="JV6" s="14" t="str">
        <f ca="1">IF(JV$1="","",'Total Value'!JV18/'Total Value'!$D18-1)</f>
        <v/>
      </c>
      <c r="JW6" s="14" t="str">
        <f ca="1">IF(JW$1="","",'Total Value'!JW18/'Total Value'!$D18-1)</f>
        <v/>
      </c>
      <c r="JX6" s="14" t="str">
        <f ca="1">IF(JX$1="","",'Total Value'!JX18/'Total Value'!$D18-1)</f>
        <v/>
      </c>
      <c r="JY6" s="14" t="str">
        <f ca="1">IF(JY$1="","",'Total Value'!JY18/'Total Value'!$D18-1)</f>
        <v/>
      </c>
      <c r="JZ6" s="14" t="str">
        <f ca="1">IF(JZ$1="","",'Total Value'!JZ18/'Total Value'!$D18-1)</f>
        <v/>
      </c>
      <c r="KA6" s="14" t="str">
        <f ca="1">IF(KA$1="","",'Total Value'!KA18/'Total Value'!$D18-1)</f>
        <v/>
      </c>
      <c r="KB6" s="14" t="str">
        <f ca="1">IF(KB$1="","",'Total Value'!KB18/'Total Value'!$D18-1)</f>
        <v/>
      </c>
    </row>
    <row r="7" spans="1:288" ht="15.75" customHeight="1">
      <c r="A7" s="9" t="s">
        <v>30</v>
      </c>
      <c r="B7" s="6" t="s">
        <v>52</v>
      </c>
      <c r="C7" s="26">
        <v>83</v>
      </c>
      <c r="D7" s="13">
        <v>0</v>
      </c>
      <c r="E7" s="14">
        <f ca="1">IF(E$1="","",'Total Value'!E19/'Total Value'!$D19-1)</f>
        <v>7.5043775535732493E-4</v>
      </c>
      <c r="F7" s="14">
        <f ca="1">IF(F$1="","",'Total Value'!F19/'Total Value'!$D19-1)</f>
        <v>-6.6705578253989373E-4</v>
      </c>
      <c r="G7" s="14">
        <f ca="1">IF(G$1="","",'Total Value'!G19/'Total Value'!$D19-1)</f>
        <v>-5.2989243725506507E-2</v>
      </c>
      <c r="H7" s="14">
        <f ca="1">IF(H$1="","",'Total Value'!H19/'Total Value'!$D19-1)</f>
        <v>-6.6747269240390317E-2</v>
      </c>
      <c r="I7" s="14">
        <f ca="1">IF(I$1="","",'Total Value'!I19/'Total Value'!$D19-1)</f>
        <v>-9.0010839656466279E-2</v>
      </c>
      <c r="J7" s="14">
        <f ca="1">IF(J$1="","",'Total Value'!J19/'Total Value'!$D19-1)</f>
        <v>-8.2256316184440958E-2</v>
      </c>
      <c r="K7" s="14">
        <f ca="1">IF(K$1="","",'Total Value'!K19/'Total Value'!$D19-1)</f>
        <v>-7.1625114650212596E-2</v>
      </c>
      <c r="L7" s="14">
        <f ca="1">IF(L$1="","",'Total Value'!L19/'Total Value'!$D19-1)</f>
        <v>-7.4126573834736975E-2</v>
      </c>
      <c r="M7" s="14">
        <f ca="1">IF(M$1="","",'Total Value'!M19/'Total Value'!$D19-1)</f>
        <v>-5.2113733010923036E-2</v>
      </c>
      <c r="N7" s="14">
        <f ca="1">IF(N$1="","",'Total Value'!N19/'Total Value'!$D19-1)</f>
        <v>-7.7295088801801248E-2</v>
      </c>
      <c r="O7" s="14">
        <f ca="1">IF(O$1="","",'Total Value'!O19/'Total Value'!$D19-1)</f>
        <v>-9.4638539147836376E-2</v>
      </c>
      <c r="P7" s="14">
        <f ca="1">IF(P$1="","",'Total Value'!P19/'Total Value'!$D19-1)</f>
        <v>-0.10539481364129077</v>
      </c>
      <c r="Q7" s="14">
        <f ca="1">IF(Q$1="","",'Total Value'!Q19/'Total Value'!$D19-1)</f>
        <v>-6.3036771450012408E-2</v>
      </c>
      <c r="R7" s="14">
        <f ca="1">IF(R$1="","",'Total Value'!R19/'Total Value'!$D19-1)</f>
        <v>-1.3841407487701241E-2</v>
      </c>
      <c r="S7" s="14">
        <f ca="1">IF(S$1="","",'Total Value'!S19/'Total Value'!$D19-1)</f>
        <v>-7.3376136079380538E-3</v>
      </c>
      <c r="T7" s="14">
        <f ca="1">IF(T$1="","",'Total Value'!T19/'Total Value'!$D19-1)</f>
        <v>-1.7218377386808981E-2</v>
      </c>
      <c r="U7" s="14">
        <f ca="1">IF(U$1="","",'Total Value'!U19/'Total Value'!$D19-1)</f>
        <v>-4.5568248144751022E-2</v>
      </c>
      <c r="V7" s="14">
        <f ca="1">IF(V$1="","",'Total Value'!V19/'Total Value'!$D19-1)</f>
        <v>-2.9392145418160709E-2</v>
      </c>
      <c r="W7" s="14">
        <f ca="1">IF(W$1="","",'Total Value'!W19/'Total Value'!$D19-1)</f>
        <v>-3.2227132493954813E-2</v>
      </c>
      <c r="X7" s="14">
        <f ca="1">IF(X$1="","",'Total Value'!X19/'Total Value'!$D19-1)</f>
        <v>-3.285249729008588E-2</v>
      </c>
      <c r="Y7" s="14">
        <f ca="1">IF(Y$1="","",'Total Value'!Y19/'Total Value'!$D19-1)</f>
        <v>-1.3341115650796431E-2</v>
      </c>
      <c r="Z7" s="14">
        <f ca="1">IF(Z$1="","",'Total Value'!Z19/'Total Value'!$D19-1)</f>
        <v>-2.6307012423913978E-2</v>
      </c>
      <c r="AA7" s="14">
        <f ca="1">IF(AA$1="","",'Total Value'!AA19/'Total Value'!$D19-1)</f>
        <v>-4.7819561410823108E-2</v>
      </c>
      <c r="AB7" s="14">
        <f ca="1">IF(AB$1="","",'Total Value'!AB19/'Total Value'!$D19-1)</f>
        <v>-4.9737346785624914E-2</v>
      </c>
      <c r="AC7" s="14">
        <f ca="1">IF(AC$1="","",'Total Value'!AC19/'Total Value'!$D19-1)</f>
        <v>-4.1482531476694895E-2</v>
      </c>
      <c r="AD7" s="14">
        <f ca="1">IF(AD$1="","",'Total Value'!AD19/'Total Value'!$D19-1)</f>
        <v>-4.3775535729175363E-2</v>
      </c>
      <c r="AE7" s="14">
        <f ca="1">IF(AE$1="","",'Total Value'!AE19/'Total Value'!$D19-1)</f>
        <v>-8.5758359042775067E-2</v>
      </c>
      <c r="AF7" s="14">
        <f ca="1">IF(AF$1="","",'Total Value'!AF19/'Total Value'!$D19-1)</f>
        <v>-9.1553406153589645E-2</v>
      </c>
      <c r="AG7" s="14">
        <f ca="1">IF(AG$1="","",'Total Value'!AG19/'Total Value'!$D19-1)</f>
        <v>-9.4179938297340171E-2</v>
      </c>
      <c r="AH7" s="14">
        <f ca="1">IF(AH$1="","",'Total Value'!AH19/'Total Value'!$D19-1)</f>
        <v>-0.12749103643792203</v>
      </c>
      <c r="AI7" s="14">
        <f ca="1">IF(AI$1="","",'Total Value'!AI19/'Total Value'!$D19-1)</f>
        <v>-6.5496539648128071E-2</v>
      </c>
      <c r="AJ7" s="14">
        <f ca="1">IF(AJ$1="","",'Total Value'!AJ19/'Total Value'!$D19-1)</f>
        <v>-5.7992162094555266E-2</v>
      </c>
      <c r="AK7" s="14">
        <f ca="1">IF(AK$1="","",'Total Value'!AK19/'Total Value'!$D19-1)</f>
        <v>-4.5067956307846213E-2</v>
      </c>
      <c r="AL7" s="14">
        <f ca="1">IF(AL$1="","",'Total Value'!AL19/'Total Value'!$D19-1)</f>
        <v>-3.2560660385224649E-2</v>
      </c>
      <c r="AM7" s="14">
        <f ca="1">IF(AM$1="","",'Total Value'!AM19/'Total Value'!$D19-1)</f>
        <v>-3.8522471441674422E-2</v>
      </c>
      <c r="AN7" s="14">
        <f ca="1">IF(AN$1="","",'Total Value'!AN19/'Total Value'!$D19-1)</f>
        <v>-0.19469690652880856</v>
      </c>
      <c r="AO7" s="14">
        <f ca="1">IF(AO$1="","",'Total Value'!AO19/'Total Value'!$D19-1)</f>
        <v>-0.21750187609438842</v>
      </c>
      <c r="AP7" s="14">
        <f ca="1">IF(AP$1="","",'Total Value'!AP19/'Total Value'!$D19-1)</f>
        <v>-0.24330859668139748</v>
      </c>
      <c r="AQ7" s="14">
        <f ca="1">IF(AQ$1="","",'Total Value'!AQ19/'Total Value'!$D19-1)</f>
        <v>-0.24193279412990909</v>
      </c>
      <c r="AR7" s="14">
        <f ca="1">IF(AR$1="","",'Total Value'!AR19/'Total Value'!$D19-1)</f>
        <v>-0.21349954139914951</v>
      </c>
      <c r="AS7" s="14">
        <f ca="1">IF(AS$1="","",'Total Value'!AS19/'Total Value'!$D19-1)</f>
        <v>-0.2314266655549071</v>
      </c>
      <c r="AT7" s="14">
        <f ca="1">IF(AT$1="","",'Total Value'!AT19/'Total Value'!$D19-1)</f>
        <v>-0.2727424330859668</v>
      </c>
      <c r="AU7" s="14">
        <f ca="1">IF(AU$1="","",'Total Value'!AU19/'Total Value'!$D19-1)</f>
        <v>-0.28795964312515643</v>
      </c>
      <c r="AV7" s="14">
        <f ca="1">IF(AV$1="","",'Total Value'!AV19/'Total Value'!$D19-1)</f>
        <v>-0.27445176352872513</v>
      </c>
      <c r="AW7" s="14">
        <f ca="1">IF(AW$1="","",'Total Value'!AW19/'Total Value'!$D19-1)</f>
        <v>-0.22946718919369635</v>
      </c>
      <c r="AX7" s="14">
        <f ca="1">IF(AX$1="","",'Total Value'!AX19/'Total Value'!$D19-1)</f>
        <v>-0.20053364462603185</v>
      </c>
      <c r="AY7" s="14">
        <f ca="1">IF(AY$1="","",'Total Value'!AY19/'Total Value'!$D19-1)</f>
        <v>-0.1779788209789045</v>
      </c>
      <c r="AZ7" s="14">
        <f ca="1">IF(AZ$1="","",'Total Value'!AZ19/'Total Value'!$D19-1)</f>
        <v>-0.1894438422413075</v>
      </c>
      <c r="BA7" s="14">
        <f ca="1">IF(BA$1="","",'Total Value'!BA19/'Total Value'!$D19-1)</f>
        <v>-0.16584674393396159</v>
      </c>
      <c r="BB7" s="14">
        <f ca="1">IF(BB$1="","",'Total Value'!BB19/'Total Value'!$D19-1)</f>
        <v>-0.17760360210122572</v>
      </c>
      <c r="BC7" s="14">
        <f ca="1">IF(BC$1="","",'Total Value'!BC19/'Total Value'!$D19-1)</f>
        <v>-0.17556074376719755</v>
      </c>
      <c r="BD7" s="14">
        <f ca="1">IF(BD$1="","",'Total Value'!BD19/'Total Value'!$D19-1)</f>
        <v>-0.18335695822563169</v>
      </c>
      <c r="BE7" s="14">
        <f ca="1">IF(BE$1="","",'Total Value'!BE19/'Total Value'!$D19-1)</f>
        <v>-0.16668056366213624</v>
      </c>
      <c r="BF7" s="14">
        <f ca="1">IF(BF$1="","",'Total Value'!BF19/'Total Value'!$D19-1)</f>
        <v>-0.10293504544317522</v>
      </c>
      <c r="BG7" s="14">
        <f ca="1">IF(BG$1="","",'Total Value'!BG19/'Total Value'!$D19-1)</f>
        <v>-0.10777119986658901</v>
      </c>
      <c r="BH7" s="14">
        <f ca="1">IF(BH$1="","",'Total Value'!BH19/'Total Value'!$D19-1)</f>
        <v>-0.11423330275994337</v>
      </c>
      <c r="BI7" s="14">
        <f ca="1">IF(BI$1="","",'Total Value'!BI19/'Total Value'!$D19-1)</f>
        <v>-9.6306178604185888E-2</v>
      </c>
      <c r="BJ7" s="14">
        <f ca="1">IF(BJ$1="","",'Total Value'!BJ19/'Total Value'!$D19-1)</f>
        <v>-9.9391311598432508E-2</v>
      </c>
      <c r="BK7" s="14">
        <f ca="1">IF(BK$1="","",'Total Value'!BK19/'Total Value'!$D19-1)</f>
        <v>-0.1145251396648046</v>
      </c>
      <c r="BL7" s="14">
        <f ca="1">IF(BL$1="","",'Total Value'!BL19/'Total Value'!$D19-1)</f>
        <v>-0.13499541399149506</v>
      </c>
      <c r="BM7" s="14">
        <f ca="1">IF(BM$1="","",'Total Value'!BM19/'Total Value'!$D19-1)</f>
        <v>-0.14892020345201373</v>
      </c>
      <c r="BN7" s="14">
        <f ca="1">IF(BN$1="","",'Total Value'!BN19/'Total Value'!$D19-1)</f>
        <v>-0.18135579087801212</v>
      </c>
      <c r="BO7" s="14">
        <f ca="1">IF(BO$1="","",'Total Value'!BO19/'Total Value'!$D19-1)</f>
        <v>-0.18423246894021528</v>
      </c>
      <c r="BP7" s="14">
        <f ca="1">IF(BP$1="","",'Total Value'!BP19/'Total Value'!$D19-1)</f>
        <v>-0.20070040857166682</v>
      </c>
      <c r="BQ7" s="14">
        <f ca="1">IF(BQ$1="","",'Total Value'!BQ19/'Total Value'!$D19-1)</f>
        <v>-0.17785374801967824</v>
      </c>
      <c r="BR7" s="14">
        <f ca="1">IF(BR$1="","",'Total Value'!BR19/'Total Value'!$D19-1)</f>
        <v>-0.20178437421829398</v>
      </c>
      <c r="BS7" s="14">
        <f ca="1">IF(BS$1="","",'Total Value'!BS19/'Total Value'!$D19-1)</f>
        <v>-0.21562578170599522</v>
      </c>
      <c r="BT7" s="14">
        <f ca="1">IF(BT$1="","",'Total Value'!BT19/'Total Value'!$D19-1)</f>
        <v>-0.16926540481947816</v>
      </c>
      <c r="BU7" s="14">
        <f ca="1">IF(BU$1="","",'Total Value'!BU19/'Total Value'!$D19-1)</f>
        <v>-0.19465521554239984</v>
      </c>
      <c r="BV7" s="14">
        <f ca="1">IF(BV$1="","",'Total Value'!BV19/'Total Value'!$D19-1)</f>
        <v>-0.22463103477028279</v>
      </c>
      <c r="BW7" s="14">
        <f ca="1">IF(BW$1="","",'Total Value'!BW19/'Total Value'!$D19-1)</f>
        <v>-0.23301092303843907</v>
      </c>
      <c r="BX7" s="14">
        <f ca="1">IF(BX$1="","",'Total Value'!BX19/'Total Value'!$D19-1)</f>
        <v>-0.23246894021512554</v>
      </c>
      <c r="BY7" s="14">
        <f ca="1">IF(BY$1="","",'Total Value'!BY19/'Total Value'!$D19-1)</f>
        <v>-0.24864504294171608</v>
      </c>
      <c r="BZ7" s="14">
        <f ca="1">IF(BZ$1="","",'Total Value'!BZ19/'Total Value'!$D19-1)</f>
        <v>-0.24914533477862089</v>
      </c>
      <c r="CA7" s="14">
        <f ca="1">IF(CA$1="","",'Total Value'!CA19/'Total Value'!$D19-1)</f>
        <v>-0.22871675143833903</v>
      </c>
      <c r="CB7" s="14">
        <f ca="1">IF(CB$1="","",'Total Value'!CB19/'Total Value'!$D19-1)</f>
        <v>-0.24143250229300439</v>
      </c>
      <c r="CC7" s="14">
        <f ca="1">IF(CC$1="","",'Total Value'!CC19/'Total Value'!$D19-1)</f>
        <v>-0.2179187859584758</v>
      </c>
      <c r="CD7" s="14">
        <f ca="1">IF(CD$1="","",'Total Value'!CD19/'Total Value'!$D19-1)</f>
        <v>-0.23413657967147516</v>
      </c>
      <c r="CE7" s="14">
        <f ca="1">IF(CE$1="","",'Total Value'!CE19/'Total Value'!$D19-1)</f>
        <v>-0.21541732677395153</v>
      </c>
      <c r="CF7" s="14" t="str">
        <f ca="1">IF(CF$1="","",'Total Value'!CF19/'Total Value'!$D19-1)</f>
        <v/>
      </c>
      <c r="CG7" s="14" t="str">
        <f ca="1">IF(CG$1="","",'Total Value'!CG19/'Total Value'!$D19-1)</f>
        <v/>
      </c>
      <c r="CH7" s="14" t="str">
        <f ca="1">IF(CH$1="","",'Total Value'!CH19/'Total Value'!$D19-1)</f>
        <v/>
      </c>
      <c r="CI7" s="14" t="str">
        <f ca="1">IF(CI$1="","",'Total Value'!CI19/'Total Value'!$D19-1)</f>
        <v/>
      </c>
      <c r="CJ7" s="14" t="str">
        <f ca="1">IF(CJ$1="","",'Total Value'!CJ19/'Total Value'!$D19-1)</f>
        <v/>
      </c>
      <c r="CK7" s="14" t="str">
        <f ca="1">IF(CK$1="","",'Total Value'!CK19/'Total Value'!$D19-1)</f>
        <v/>
      </c>
      <c r="CL7" s="14" t="str">
        <f ca="1">IF(CL$1="","",'Total Value'!CL19/'Total Value'!$D19-1)</f>
        <v/>
      </c>
      <c r="CM7" s="14" t="str">
        <f ca="1">IF(CM$1="","",'Total Value'!CM19/'Total Value'!$D19-1)</f>
        <v/>
      </c>
      <c r="CN7" s="14" t="str">
        <f ca="1">IF(CN$1="","",'Total Value'!CN19/'Total Value'!$D19-1)</f>
        <v/>
      </c>
      <c r="CO7" s="14" t="str">
        <f ca="1">IF(CO$1="","",'Total Value'!CO19/'Total Value'!$D19-1)</f>
        <v/>
      </c>
      <c r="CP7" s="14" t="str">
        <f ca="1">IF(CP$1="","",'Total Value'!CP19/'Total Value'!$D19-1)</f>
        <v/>
      </c>
      <c r="CQ7" s="14" t="str">
        <f ca="1">IF(CQ$1="","",'Total Value'!CQ19/'Total Value'!$D19-1)</f>
        <v/>
      </c>
      <c r="CR7" s="14" t="str">
        <f ca="1">IF(CR$1="","",'Total Value'!CR19/'Total Value'!$D19-1)</f>
        <v/>
      </c>
      <c r="CS7" s="14" t="str">
        <f ca="1">IF(CS$1="","",'Total Value'!CS19/'Total Value'!$D19-1)</f>
        <v/>
      </c>
      <c r="CT7" s="14" t="str">
        <f ca="1">IF(CT$1="","",'Total Value'!CT19/'Total Value'!$D19-1)</f>
        <v/>
      </c>
      <c r="CU7" s="14" t="str">
        <f ca="1">IF(CU$1="","",'Total Value'!CU19/'Total Value'!$D19-1)</f>
        <v/>
      </c>
      <c r="CV7" s="14" t="str">
        <f ca="1">IF(CV$1="","",'Total Value'!CV19/'Total Value'!$D19-1)</f>
        <v/>
      </c>
      <c r="CW7" s="14" t="str">
        <f ca="1">IF(CW$1="","",'Total Value'!CW19/'Total Value'!$D19-1)</f>
        <v/>
      </c>
      <c r="CX7" s="14" t="str">
        <f ca="1">IF(CX$1="","",'Total Value'!CX19/'Total Value'!$D19-1)</f>
        <v/>
      </c>
      <c r="CY7" s="14" t="str">
        <f ca="1">IF(CY$1="","",'Total Value'!CY19/'Total Value'!$D19-1)</f>
        <v/>
      </c>
      <c r="CZ7" s="14" t="str">
        <f ca="1">IF(CZ$1="","",'Total Value'!CZ19/'Total Value'!$D19-1)</f>
        <v/>
      </c>
      <c r="DA7" s="14" t="str">
        <f ca="1">IF(DA$1="","",'Total Value'!DA19/'Total Value'!$D19-1)</f>
        <v/>
      </c>
      <c r="DB7" s="14" t="str">
        <f ca="1">IF(DB$1="","",'Total Value'!DB19/'Total Value'!$D19-1)</f>
        <v/>
      </c>
      <c r="DC7" s="14" t="str">
        <f ca="1">IF(DC$1="","",'Total Value'!DC19/'Total Value'!$D19-1)</f>
        <v/>
      </c>
      <c r="DD7" s="14" t="str">
        <f ca="1">IF(DD$1="","",'Total Value'!DD19/'Total Value'!$D19-1)</f>
        <v/>
      </c>
      <c r="DE7" s="14" t="str">
        <f ca="1">IF(DE$1="","",'Total Value'!DE19/'Total Value'!$D19-1)</f>
        <v/>
      </c>
      <c r="DF7" s="14" t="str">
        <f ca="1">IF(DF$1="","",'Total Value'!DF19/'Total Value'!$D19-1)</f>
        <v/>
      </c>
      <c r="DG7" s="14" t="str">
        <f ca="1">IF(DG$1="","",'Total Value'!DG19/'Total Value'!$D19-1)</f>
        <v/>
      </c>
      <c r="DH7" s="14" t="str">
        <f ca="1">IF(DH$1="","",'Total Value'!DH19/'Total Value'!$D19-1)</f>
        <v/>
      </c>
      <c r="DI7" s="14" t="str">
        <f ca="1">IF(DI$1="","",'Total Value'!DI19/'Total Value'!$D19-1)</f>
        <v/>
      </c>
      <c r="DJ7" s="14" t="str">
        <f ca="1">IF(DJ$1="","",'Total Value'!DJ19/'Total Value'!$D19-1)</f>
        <v/>
      </c>
      <c r="DK7" s="14" t="str">
        <f ca="1">IF(DK$1="","",'Total Value'!DK19/'Total Value'!$D19-1)</f>
        <v/>
      </c>
      <c r="DL7" s="14" t="str">
        <f ca="1">IF(DL$1="","",'Total Value'!DL19/'Total Value'!$D19-1)</f>
        <v/>
      </c>
      <c r="DM7" s="14" t="str">
        <f ca="1">IF(DM$1="","",'Total Value'!DM19/'Total Value'!$D19-1)</f>
        <v/>
      </c>
      <c r="DN7" s="14" t="str">
        <f ca="1">IF(DN$1="","",'Total Value'!DN19/'Total Value'!$D19-1)</f>
        <v/>
      </c>
      <c r="DO7" s="14" t="str">
        <f ca="1">IF(DO$1="","",'Total Value'!DO19/'Total Value'!$D19-1)</f>
        <v/>
      </c>
      <c r="DP7" s="14" t="str">
        <f ca="1">IF(DP$1="","",'Total Value'!DP19/'Total Value'!$D19-1)</f>
        <v/>
      </c>
      <c r="DQ7" s="14" t="str">
        <f ca="1">IF(DQ$1="","",'Total Value'!DQ19/'Total Value'!$D19-1)</f>
        <v/>
      </c>
      <c r="DR7" s="14" t="str">
        <f ca="1">IF(DR$1="","",'Total Value'!DR19/'Total Value'!$D19-1)</f>
        <v/>
      </c>
      <c r="DS7" s="14" t="str">
        <f ca="1">IF(DS$1="","",'Total Value'!DS19/'Total Value'!$D19-1)</f>
        <v/>
      </c>
      <c r="DT7" s="14" t="str">
        <f ca="1">IF(DT$1="","",'Total Value'!DT19/'Total Value'!$D19-1)</f>
        <v/>
      </c>
      <c r="DU7" s="14" t="str">
        <f ca="1">IF(DU$1="","",'Total Value'!DU19/'Total Value'!$D19-1)</f>
        <v/>
      </c>
      <c r="DV7" s="14" t="str">
        <f ca="1">IF(DV$1="","",'Total Value'!DV19/'Total Value'!$D19-1)</f>
        <v/>
      </c>
      <c r="DW7" s="14" t="str">
        <f ca="1">IF(DW$1="","",'Total Value'!DW19/'Total Value'!$D19-1)</f>
        <v/>
      </c>
      <c r="DX7" s="14" t="str">
        <f ca="1">IF(DX$1="","",'Total Value'!DX19/'Total Value'!$D19-1)</f>
        <v/>
      </c>
      <c r="DY7" s="14" t="str">
        <f ca="1">IF(DY$1="","",'Total Value'!DY19/'Total Value'!$D19-1)</f>
        <v/>
      </c>
      <c r="DZ7" s="14" t="str">
        <f ca="1">IF(DZ$1="","",'Total Value'!DZ19/'Total Value'!$D19-1)</f>
        <v/>
      </c>
      <c r="EA7" s="14" t="str">
        <f ca="1">IF(EA$1="","",'Total Value'!EA19/'Total Value'!$D19-1)</f>
        <v/>
      </c>
      <c r="EB7" s="14" t="str">
        <f ca="1">IF(EB$1="","",'Total Value'!EB19/'Total Value'!$D19-1)</f>
        <v/>
      </c>
      <c r="EC7" s="14" t="str">
        <f ca="1">IF(EC$1="","",'Total Value'!EC19/'Total Value'!$D19-1)</f>
        <v/>
      </c>
      <c r="ED7" s="14" t="str">
        <f ca="1">IF(ED$1="","",'Total Value'!ED19/'Total Value'!$D19-1)</f>
        <v/>
      </c>
      <c r="EE7" s="14" t="str">
        <f ca="1">IF(EE$1="","",'Total Value'!EE19/'Total Value'!$D19-1)</f>
        <v/>
      </c>
      <c r="EF7" s="14" t="str">
        <f ca="1">IF(EF$1="","",'Total Value'!EF19/'Total Value'!$D19-1)</f>
        <v/>
      </c>
      <c r="EG7" s="14" t="str">
        <f ca="1">IF(EG$1="","",'Total Value'!EG19/'Total Value'!$D19-1)</f>
        <v/>
      </c>
      <c r="EH7" s="14" t="str">
        <f ca="1">IF(EH$1="","",'Total Value'!EH19/'Total Value'!$D19-1)</f>
        <v/>
      </c>
      <c r="EI7" s="14" t="str">
        <f ca="1">IF(EI$1="","",'Total Value'!EI19/'Total Value'!$D19-1)</f>
        <v/>
      </c>
      <c r="EJ7" s="14" t="str">
        <f ca="1">IF(EJ$1="","",'Total Value'!EJ19/'Total Value'!$D19-1)</f>
        <v/>
      </c>
      <c r="EK7" s="14" t="str">
        <f ca="1">IF(EK$1="","",'Total Value'!EK19/'Total Value'!$D19-1)</f>
        <v/>
      </c>
      <c r="EL7" s="14" t="str">
        <f ca="1">IF(EL$1="","",'Total Value'!EL19/'Total Value'!$D19-1)</f>
        <v/>
      </c>
      <c r="EM7" s="14" t="str">
        <f ca="1">IF(EM$1="","",'Total Value'!EM19/'Total Value'!$D19-1)</f>
        <v/>
      </c>
      <c r="EN7" s="14" t="str">
        <f ca="1">IF(EN$1="","",'Total Value'!EN19/'Total Value'!$D19-1)</f>
        <v/>
      </c>
      <c r="EO7" s="14" t="str">
        <f ca="1">IF(EO$1="","",'Total Value'!EO19/'Total Value'!$D19-1)</f>
        <v/>
      </c>
      <c r="EP7" s="14" t="str">
        <f ca="1">IF(EP$1="","",'Total Value'!EP19/'Total Value'!$D19-1)</f>
        <v/>
      </c>
      <c r="EQ7" s="14" t="str">
        <f ca="1">IF(EQ$1="","",'Total Value'!EQ19/'Total Value'!$D19-1)</f>
        <v/>
      </c>
      <c r="ER7" s="14" t="str">
        <f ca="1">IF(ER$1="","",'Total Value'!ER19/'Total Value'!$D19-1)</f>
        <v/>
      </c>
      <c r="ES7" s="14" t="str">
        <f ca="1">IF(ES$1="","",'Total Value'!ES19/'Total Value'!$D19-1)</f>
        <v/>
      </c>
      <c r="ET7" s="14" t="str">
        <f ca="1">IF(ET$1="","",'Total Value'!ET19/'Total Value'!$D19-1)</f>
        <v/>
      </c>
      <c r="EU7" s="14" t="str">
        <f ca="1">IF(EU$1="","",'Total Value'!EU19/'Total Value'!$D19-1)</f>
        <v/>
      </c>
      <c r="EV7" s="14" t="str">
        <f ca="1">IF(EV$1="","",'Total Value'!EV19/'Total Value'!$D19-1)</f>
        <v/>
      </c>
      <c r="EW7" s="14" t="str">
        <f ca="1">IF(EW$1="","",'Total Value'!EW19/'Total Value'!$D19-1)</f>
        <v/>
      </c>
      <c r="EX7" s="14" t="str">
        <f ca="1">IF(EX$1="","",'Total Value'!EX19/'Total Value'!$D19-1)</f>
        <v/>
      </c>
      <c r="EY7" s="14" t="str">
        <f ca="1">IF(EY$1="","",'Total Value'!EY19/'Total Value'!$D19-1)</f>
        <v/>
      </c>
      <c r="EZ7" s="14" t="str">
        <f ca="1">IF(EZ$1="","",'Total Value'!EZ19/'Total Value'!$D19-1)</f>
        <v/>
      </c>
      <c r="FA7" s="14" t="str">
        <f ca="1">IF(FA$1="","",'Total Value'!FA19/'Total Value'!$D19-1)</f>
        <v/>
      </c>
      <c r="FB7" s="14" t="str">
        <f ca="1">IF(FB$1="","",'Total Value'!FB19/'Total Value'!$D19-1)</f>
        <v/>
      </c>
      <c r="FC7" s="14" t="str">
        <f ca="1">IF(FC$1="","",'Total Value'!FC19/'Total Value'!$D19-1)</f>
        <v/>
      </c>
      <c r="FD7" s="14" t="str">
        <f ca="1">IF(FD$1="","",'Total Value'!FD19/'Total Value'!$D19-1)</f>
        <v/>
      </c>
      <c r="FE7" s="14" t="str">
        <f ca="1">IF(FE$1="","",'Total Value'!FE19/'Total Value'!$D19-1)</f>
        <v/>
      </c>
      <c r="FF7" s="14" t="str">
        <f ca="1">IF(FF$1="","",'Total Value'!FF19/'Total Value'!$D19-1)</f>
        <v/>
      </c>
      <c r="FG7" s="14" t="str">
        <f ca="1">IF(FG$1="","",'Total Value'!FG19/'Total Value'!$D19-1)</f>
        <v/>
      </c>
      <c r="FH7" s="14" t="str">
        <f ca="1">IF(FH$1="","",'Total Value'!FH19/'Total Value'!$D19-1)</f>
        <v/>
      </c>
      <c r="FI7" s="14" t="str">
        <f ca="1">IF(FI$1="","",'Total Value'!FI19/'Total Value'!$D19-1)</f>
        <v/>
      </c>
      <c r="FJ7" s="14" t="str">
        <f ca="1">IF(FJ$1="","",'Total Value'!FJ19/'Total Value'!$D19-1)</f>
        <v/>
      </c>
      <c r="FK7" s="14" t="str">
        <f ca="1">IF(FK$1="","",'Total Value'!FK19/'Total Value'!$D19-1)</f>
        <v/>
      </c>
      <c r="FL7" s="14" t="str">
        <f ca="1">IF(FL$1="","",'Total Value'!FL19/'Total Value'!$D19-1)</f>
        <v/>
      </c>
      <c r="FM7" s="14" t="str">
        <f ca="1">IF(FM$1="","",'Total Value'!FM19/'Total Value'!$D19-1)</f>
        <v/>
      </c>
      <c r="FN7" s="14" t="str">
        <f ca="1">IF(FN$1="","",'Total Value'!FN19/'Total Value'!$D19-1)</f>
        <v/>
      </c>
      <c r="FO7" s="14" t="str">
        <f ca="1">IF(FO$1="","",'Total Value'!FO19/'Total Value'!$D19-1)</f>
        <v/>
      </c>
      <c r="FP7" s="14" t="str">
        <f ca="1">IF(FP$1="","",'Total Value'!FP19/'Total Value'!$D19-1)</f>
        <v/>
      </c>
      <c r="FQ7" s="14" t="str">
        <f ca="1">IF(FQ$1="","",'Total Value'!FQ19/'Total Value'!$D19-1)</f>
        <v/>
      </c>
      <c r="FR7" s="14" t="str">
        <f ca="1">IF(FR$1="","",'Total Value'!FR19/'Total Value'!$D19-1)</f>
        <v/>
      </c>
      <c r="FS7" s="14" t="str">
        <f ca="1">IF(FS$1="","",'Total Value'!FS19/'Total Value'!$D19-1)</f>
        <v/>
      </c>
      <c r="FT7" s="14" t="str">
        <f ca="1">IF(FT$1="","",'Total Value'!FT19/'Total Value'!$D19-1)</f>
        <v/>
      </c>
      <c r="FU7" s="14" t="str">
        <f ca="1">IF(FU$1="","",'Total Value'!FU19/'Total Value'!$D19-1)</f>
        <v/>
      </c>
      <c r="FV7" s="14" t="str">
        <f ca="1">IF(FV$1="","",'Total Value'!FV19/'Total Value'!$D19-1)</f>
        <v/>
      </c>
      <c r="FW7" s="14" t="str">
        <f ca="1">IF(FW$1="","",'Total Value'!FW19/'Total Value'!$D19-1)</f>
        <v/>
      </c>
      <c r="FX7" s="14" t="str">
        <f ca="1">IF(FX$1="","",'Total Value'!FX19/'Total Value'!$D19-1)</f>
        <v/>
      </c>
      <c r="FY7" s="14" t="str">
        <f ca="1">IF(FY$1="","",'Total Value'!FY19/'Total Value'!$D19-1)</f>
        <v/>
      </c>
      <c r="FZ7" s="14" t="str">
        <f ca="1">IF(FZ$1="","",'Total Value'!FZ19/'Total Value'!$D19-1)</f>
        <v/>
      </c>
      <c r="GA7" s="14" t="str">
        <f ca="1">IF(GA$1="","",'Total Value'!GA19/'Total Value'!$D19-1)</f>
        <v/>
      </c>
      <c r="GB7" s="14" t="str">
        <f ca="1">IF(GB$1="","",'Total Value'!GB19/'Total Value'!$D19-1)</f>
        <v/>
      </c>
      <c r="GC7" s="14" t="str">
        <f ca="1">IF(GC$1="","",'Total Value'!GC19/'Total Value'!$D19-1)</f>
        <v/>
      </c>
      <c r="GD7" s="14" t="str">
        <f ca="1">IF(GD$1="","",'Total Value'!GD19/'Total Value'!$D19-1)</f>
        <v/>
      </c>
      <c r="GE7" s="14" t="str">
        <f ca="1">IF(GE$1="","",'Total Value'!GE19/'Total Value'!$D19-1)</f>
        <v/>
      </c>
      <c r="GF7" s="14" t="str">
        <f ca="1">IF(GF$1="","",'Total Value'!GF19/'Total Value'!$D19-1)</f>
        <v/>
      </c>
      <c r="GG7" s="14" t="str">
        <f ca="1">IF(GG$1="","",'Total Value'!GG19/'Total Value'!$D19-1)</f>
        <v/>
      </c>
      <c r="GH7" s="14" t="str">
        <f ca="1">IF(GH$1="","",'Total Value'!GH19/'Total Value'!$D19-1)</f>
        <v/>
      </c>
      <c r="GI7" s="14" t="str">
        <f ca="1">IF(GI$1="","",'Total Value'!GI19/'Total Value'!$D19-1)</f>
        <v/>
      </c>
      <c r="GJ7" s="14" t="str">
        <f ca="1">IF(GJ$1="","",'Total Value'!GJ19/'Total Value'!$D19-1)</f>
        <v/>
      </c>
      <c r="GK7" s="14" t="str">
        <f ca="1">IF(GK$1="","",'Total Value'!GK19/'Total Value'!$D19-1)</f>
        <v/>
      </c>
      <c r="GL7" s="14" t="str">
        <f ca="1">IF(GL$1="","",'Total Value'!GL19/'Total Value'!$D19-1)</f>
        <v/>
      </c>
      <c r="GM7" s="14" t="str">
        <f ca="1">IF(GM$1="","",'Total Value'!GM19/'Total Value'!$D19-1)</f>
        <v/>
      </c>
      <c r="GN7" s="14" t="str">
        <f ca="1">IF(GN$1="","",'Total Value'!GN19/'Total Value'!$D19-1)</f>
        <v/>
      </c>
      <c r="GO7" s="14" t="str">
        <f ca="1">IF(GO$1="","",'Total Value'!GO19/'Total Value'!$D19-1)</f>
        <v/>
      </c>
      <c r="GP7" s="14" t="str">
        <f ca="1">IF(GP$1="","",'Total Value'!GP19/'Total Value'!$D19-1)</f>
        <v/>
      </c>
      <c r="GQ7" s="14" t="str">
        <f ca="1">IF(GQ$1="","",'Total Value'!GQ19/'Total Value'!$D19-1)</f>
        <v/>
      </c>
      <c r="GR7" s="14" t="str">
        <f ca="1">IF(GR$1="","",'Total Value'!GR19/'Total Value'!$D19-1)</f>
        <v/>
      </c>
      <c r="GS7" s="14" t="str">
        <f ca="1">IF(GS$1="","",'Total Value'!GS19/'Total Value'!$D19-1)</f>
        <v/>
      </c>
      <c r="GT7" s="14" t="str">
        <f ca="1">IF(GT$1="","",'Total Value'!GT19/'Total Value'!$D19-1)</f>
        <v/>
      </c>
      <c r="GU7" s="14" t="str">
        <f ca="1">IF(GU$1="","",'Total Value'!GU19/'Total Value'!$D19-1)</f>
        <v/>
      </c>
      <c r="GV7" s="14" t="str">
        <f ca="1">IF(GV$1="","",'Total Value'!GV19/'Total Value'!$D19-1)</f>
        <v/>
      </c>
      <c r="GW7" s="14" t="str">
        <f ca="1">IF(GW$1="","",'Total Value'!GW19/'Total Value'!$D19-1)</f>
        <v/>
      </c>
      <c r="GX7" s="14" t="str">
        <f ca="1">IF(GX$1="","",'Total Value'!GX19/'Total Value'!$D19-1)</f>
        <v/>
      </c>
      <c r="GY7" s="14" t="str">
        <f ca="1">IF(GY$1="","",'Total Value'!GY19/'Total Value'!$D19-1)</f>
        <v/>
      </c>
      <c r="GZ7" s="14" t="str">
        <f ca="1">IF(GZ$1="","",'Total Value'!GZ19/'Total Value'!$D19-1)</f>
        <v/>
      </c>
      <c r="HA7" s="14" t="str">
        <f ca="1">IF(HA$1="","",'Total Value'!HA19/'Total Value'!$D19-1)</f>
        <v/>
      </c>
      <c r="HB7" s="14" t="str">
        <f ca="1">IF(HB$1="","",'Total Value'!HB19/'Total Value'!$D19-1)</f>
        <v/>
      </c>
      <c r="HC7" s="14" t="str">
        <f ca="1">IF(HC$1="","",'Total Value'!HC19/'Total Value'!$D19-1)</f>
        <v/>
      </c>
      <c r="HD7" s="14" t="str">
        <f ca="1">IF(HD$1="","",'Total Value'!HD19/'Total Value'!$D19-1)</f>
        <v/>
      </c>
      <c r="HE7" s="14" t="str">
        <f ca="1">IF(HE$1="","",'Total Value'!HE19/'Total Value'!$D19-1)</f>
        <v/>
      </c>
      <c r="HF7" s="14" t="str">
        <f ca="1">IF(HF$1="","",'Total Value'!HF19/'Total Value'!$D19-1)</f>
        <v/>
      </c>
      <c r="HG7" s="14" t="str">
        <f ca="1">IF(HG$1="","",'Total Value'!HG19/'Total Value'!$D19-1)</f>
        <v/>
      </c>
      <c r="HH7" s="14" t="str">
        <f ca="1">IF(HH$1="","",'Total Value'!HH19/'Total Value'!$D19-1)</f>
        <v/>
      </c>
      <c r="HI7" s="14" t="str">
        <f ca="1">IF(HI$1="","",'Total Value'!HI19/'Total Value'!$D19-1)</f>
        <v/>
      </c>
      <c r="HJ7" s="14" t="str">
        <f ca="1">IF(HJ$1="","",'Total Value'!HJ19/'Total Value'!$D19-1)</f>
        <v/>
      </c>
      <c r="HK7" s="14" t="str">
        <f ca="1">IF(HK$1="","",'Total Value'!HK19/'Total Value'!$D19-1)</f>
        <v/>
      </c>
      <c r="HL7" s="14" t="str">
        <f ca="1">IF(HL$1="","",'Total Value'!HL19/'Total Value'!$D19-1)</f>
        <v/>
      </c>
      <c r="HM7" s="14" t="str">
        <f ca="1">IF(HM$1="","",'Total Value'!HM19/'Total Value'!$D19-1)</f>
        <v/>
      </c>
      <c r="HN7" s="14" t="str">
        <f ca="1">IF(HN$1="","",'Total Value'!HN19/'Total Value'!$D19-1)</f>
        <v/>
      </c>
      <c r="HO7" s="14" t="str">
        <f ca="1">IF(HO$1="","",'Total Value'!HO19/'Total Value'!$D19-1)</f>
        <v/>
      </c>
      <c r="HP7" s="14" t="str">
        <f ca="1">IF(HP$1="","",'Total Value'!HP19/'Total Value'!$D19-1)</f>
        <v/>
      </c>
      <c r="HQ7" s="14" t="str">
        <f ca="1">IF(HQ$1="","",'Total Value'!HQ19/'Total Value'!$D19-1)</f>
        <v/>
      </c>
      <c r="HR7" s="14" t="str">
        <f ca="1">IF(HR$1="","",'Total Value'!HR19/'Total Value'!$D19-1)</f>
        <v/>
      </c>
      <c r="HS7" s="14" t="str">
        <f ca="1">IF(HS$1="","",'Total Value'!HS19/'Total Value'!$D19-1)</f>
        <v/>
      </c>
      <c r="HT7" s="14" t="str">
        <f ca="1">IF(HT$1="","",'Total Value'!HT19/'Total Value'!$D19-1)</f>
        <v/>
      </c>
      <c r="HU7" s="14" t="str">
        <f ca="1">IF(HU$1="","",'Total Value'!HU19/'Total Value'!$D19-1)</f>
        <v/>
      </c>
      <c r="HV7" s="14" t="str">
        <f ca="1">IF(HV$1="","",'Total Value'!HV19/'Total Value'!$D19-1)</f>
        <v/>
      </c>
      <c r="HW7" s="14" t="str">
        <f ca="1">IF(HW$1="","",'Total Value'!HW19/'Total Value'!$D19-1)</f>
        <v/>
      </c>
      <c r="HX7" s="14" t="str">
        <f ca="1">IF(HX$1="","",'Total Value'!HX19/'Total Value'!$D19-1)</f>
        <v/>
      </c>
      <c r="HY7" s="14" t="str">
        <f ca="1">IF(HY$1="","",'Total Value'!HY19/'Total Value'!$D19-1)</f>
        <v/>
      </c>
      <c r="HZ7" s="14" t="str">
        <f ca="1">IF(HZ$1="","",'Total Value'!HZ19/'Total Value'!$D19-1)</f>
        <v/>
      </c>
      <c r="IA7" s="14" t="str">
        <f ca="1">IF(IA$1="","",'Total Value'!IA19/'Total Value'!$D19-1)</f>
        <v/>
      </c>
      <c r="IB7" s="14" t="str">
        <f ca="1">IF(IB$1="","",'Total Value'!IB19/'Total Value'!$D19-1)</f>
        <v/>
      </c>
      <c r="IC7" s="14" t="str">
        <f ca="1">IF(IC$1="","",'Total Value'!IC19/'Total Value'!$D19-1)</f>
        <v/>
      </c>
      <c r="ID7" s="14" t="str">
        <f ca="1">IF(ID$1="","",'Total Value'!ID19/'Total Value'!$D19-1)</f>
        <v/>
      </c>
      <c r="IE7" s="14" t="str">
        <f ca="1">IF(IE$1="","",'Total Value'!IE19/'Total Value'!$D19-1)</f>
        <v/>
      </c>
      <c r="IF7" s="14" t="str">
        <f ca="1">IF(IF$1="","",'Total Value'!IF19/'Total Value'!$D19-1)</f>
        <v/>
      </c>
      <c r="IG7" s="14" t="str">
        <f ca="1">IF(IG$1="","",'Total Value'!IG19/'Total Value'!$D19-1)</f>
        <v/>
      </c>
      <c r="IH7" s="14" t="str">
        <f ca="1">IF(IH$1="","",'Total Value'!IH19/'Total Value'!$D19-1)</f>
        <v/>
      </c>
      <c r="II7" s="14" t="str">
        <f ca="1">IF(II$1="","",'Total Value'!II19/'Total Value'!$D19-1)</f>
        <v/>
      </c>
      <c r="IJ7" s="14" t="str">
        <f ca="1">IF(IJ$1="","",'Total Value'!IJ19/'Total Value'!$D19-1)</f>
        <v/>
      </c>
      <c r="IK7" s="14" t="str">
        <f ca="1">IF(IK$1="","",'Total Value'!IK19/'Total Value'!$D19-1)</f>
        <v/>
      </c>
      <c r="IL7" s="14" t="str">
        <f ca="1">IF(IL$1="","",'Total Value'!IL19/'Total Value'!$D19-1)</f>
        <v/>
      </c>
      <c r="IM7" s="14" t="str">
        <f ca="1">IF(IM$1="","",'Total Value'!IM19/'Total Value'!$D19-1)</f>
        <v/>
      </c>
      <c r="IN7" s="14" t="str">
        <f ca="1">IF(IN$1="","",'Total Value'!IN19/'Total Value'!$D19-1)</f>
        <v/>
      </c>
      <c r="IO7" s="14" t="str">
        <f ca="1">IF(IO$1="","",'Total Value'!IO19/'Total Value'!$D19-1)</f>
        <v/>
      </c>
      <c r="IP7" s="14" t="str">
        <f ca="1">IF(IP$1="","",'Total Value'!IP19/'Total Value'!$D19-1)</f>
        <v/>
      </c>
      <c r="IQ7" s="14" t="str">
        <f ca="1">IF(IQ$1="","",'Total Value'!IQ19/'Total Value'!$D19-1)</f>
        <v/>
      </c>
      <c r="IR7" s="14" t="str">
        <f ca="1">IF(IR$1="","",'Total Value'!IR19/'Total Value'!$D19-1)</f>
        <v/>
      </c>
      <c r="IS7" s="14" t="str">
        <f ca="1">IF(IS$1="","",'Total Value'!IS19/'Total Value'!$D19-1)</f>
        <v/>
      </c>
      <c r="IT7" s="14" t="str">
        <f ca="1">IF(IT$1="","",'Total Value'!IT19/'Total Value'!$D19-1)</f>
        <v/>
      </c>
      <c r="IU7" s="14" t="str">
        <f ca="1">IF(IU$1="","",'Total Value'!IU19/'Total Value'!$D19-1)</f>
        <v/>
      </c>
      <c r="IV7" s="14" t="str">
        <f ca="1">IF(IV$1="","",'Total Value'!IV19/'Total Value'!$D19-1)</f>
        <v/>
      </c>
      <c r="IW7" s="14" t="str">
        <f ca="1">IF(IW$1="","",'Total Value'!IW19/'Total Value'!$D19-1)</f>
        <v/>
      </c>
      <c r="IX7" s="14" t="str">
        <f ca="1">IF(IX$1="","",'Total Value'!IX19/'Total Value'!$D19-1)</f>
        <v/>
      </c>
      <c r="IY7" s="14" t="str">
        <f ca="1">IF(IY$1="","",'Total Value'!IY19/'Total Value'!$D19-1)</f>
        <v/>
      </c>
      <c r="IZ7" s="14" t="str">
        <f ca="1">IF(IZ$1="","",'Total Value'!IZ19/'Total Value'!$D19-1)</f>
        <v/>
      </c>
      <c r="JA7" s="14" t="str">
        <f ca="1">IF(JA$1="","",'Total Value'!JA19/'Total Value'!$D19-1)</f>
        <v/>
      </c>
      <c r="JB7" s="14" t="str">
        <f ca="1">IF(JB$1="","",'Total Value'!JB19/'Total Value'!$D19-1)</f>
        <v/>
      </c>
      <c r="JC7" s="14" t="str">
        <f ca="1">IF(JC$1="","",'Total Value'!JC19/'Total Value'!$D19-1)</f>
        <v/>
      </c>
      <c r="JD7" s="14" t="str">
        <f ca="1">IF(JD$1="","",'Total Value'!JD19/'Total Value'!$D19-1)</f>
        <v/>
      </c>
      <c r="JE7" s="14" t="str">
        <f ca="1">IF(JE$1="","",'Total Value'!JE19/'Total Value'!$D19-1)</f>
        <v/>
      </c>
      <c r="JF7" s="14" t="str">
        <f ca="1">IF(JF$1="","",'Total Value'!JF19/'Total Value'!$D19-1)</f>
        <v/>
      </c>
      <c r="JG7" s="14" t="str">
        <f ca="1">IF(JG$1="","",'Total Value'!JG19/'Total Value'!$D19-1)</f>
        <v/>
      </c>
      <c r="JH7" s="14" t="str">
        <f ca="1">IF(JH$1="","",'Total Value'!JH19/'Total Value'!$D19-1)</f>
        <v/>
      </c>
      <c r="JI7" s="14" t="str">
        <f ca="1">IF(JI$1="","",'Total Value'!JI19/'Total Value'!$D19-1)</f>
        <v/>
      </c>
      <c r="JJ7" s="14" t="str">
        <f ca="1">IF(JJ$1="","",'Total Value'!JJ19/'Total Value'!$D19-1)</f>
        <v/>
      </c>
      <c r="JK7" s="14" t="str">
        <f ca="1">IF(JK$1="","",'Total Value'!JK19/'Total Value'!$D19-1)</f>
        <v/>
      </c>
      <c r="JL7" s="14" t="str">
        <f ca="1">IF(JL$1="","",'Total Value'!JL19/'Total Value'!$D19-1)</f>
        <v/>
      </c>
      <c r="JM7" s="14" t="str">
        <f ca="1">IF(JM$1="","",'Total Value'!JM19/'Total Value'!$D19-1)</f>
        <v/>
      </c>
      <c r="JN7" s="14" t="str">
        <f ca="1">IF(JN$1="","",'Total Value'!JN19/'Total Value'!$D19-1)</f>
        <v/>
      </c>
      <c r="JO7" s="14" t="str">
        <f ca="1">IF(JO$1="","",'Total Value'!JO19/'Total Value'!$D19-1)</f>
        <v/>
      </c>
      <c r="JP7" s="14" t="str">
        <f ca="1">IF(JP$1="","",'Total Value'!JP19/'Total Value'!$D19-1)</f>
        <v/>
      </c>
      <c r="JQ7" s="14" t="str">
        <f ca="1">IF(JQ$1="","",'Total Value'!JQ19/'Total Value'!$D19-1)</f>
        <v/>
      </c>
      <c r="JR7" s="14" t="str">
        <f ca="1">IF(JR$1="","",'Total Value'!JR19/'Total Value'!$D19-1)</f>
        <v/>
      </c>
      <c r="JS7" s="14" t="str">
        <f ca="1">IF(JS$1="","",'Total Value'!JS19/'Total Value'!$D19-1)</f>
        <v/>
      </c>
      <c r="JT7" s="14" t="str">
        <f ca="1">IF(JT$1="","",'Total Value'!JT19/'Total Value'!$D19-1)</f>
        <v/>
      </c>
      <c r="JU7" s="14" t="str">
        <f ca="1">IF(JU$1="","",'Total Value'!JU19/'Total Value'!$D19-1)</f>
        <v/>
      </c>
      <c r="JV7" s="14" t="str">
        <f ca="1">IF(JV$1="","",'Total Value'!JV19/'Total Value'!$D19-1)</f>
        <v/>
      </c>
      <c r="JW7" s="14" t="str">
        <f ca="1">IF(JW$1="","",'Total Value'!JW19/'Total Value'!$D19-1)</f>
        <v/>
      </c>
      <c r="JX7" s="14" t="str">
        <f ca="1">IF(JX$1="","",'Total Value'!JX19/'Total Value'!$D19-1)</f>
        <v/>
      </c>
      <c r="JY7" s="14" t="str">
        <f ca="1">IF(JY$1="","",'Total Value'!JY19/'Total Value'!$D19-1)</f>
        <v/>
      </c>
      <c r="JZ7" s="14" t="str">
        <f ca="1">IF(JZ$1="","",'Total Value'!JZ19/'Total Value'!$D19-1)</f>
        <v/>
      </c>
      <c r="KA7" s="14" t="str">
        <f ca="1">IF(KA$1="","",'Total Value'!KA19/'Total Value'!$D19-1)</f>
        <v/>
      </c>
      <c r="KB7" s="14" t="str">
        <f ca="1">IF(KB$1="","",'Total Value'!KB19/'Total Value'!$D19-1)</f>
        <v/>
      </c>
    </row>
    <row r="8" spans="1:288" ht="15.75" customHeight="1">
      <c r="A8" s="9" t="s">
        <v>30</v>
      </c>
      <c r="B8" s="6" t="s">
        <v>53</v>
      </c>
      <c r="C8" s="26">
        <v>334</v>
      </c>
      <c r="D8" s="13">
        <v>0</v>
      </c>
      <c r="E8" s="14">
        <f ca="1">IF(E$1="","",'Total Value'!E20/'Total Value'!$D20-1)</f>
        <v>3.8009675190047165E-3</v>
      </c>
      <c r="F8" s="14">
        <f ca="1">IF(F$1="","",'Total Value'!F20/'Total Value'!$D20-1)</f>
        <v>8.9841050449204207E-3</v>
      </c>
      <c r="G8" s="14">
        <f ca="1">IF(G$1="","",'Total Value'!G20/'Total Value'!$D20-1)</f>
        <v>3.8009675190047165E-3</v>
      </c>
      <c r="H8" s="14">
        <f ca="1">IF(H$1="","",'Total Value'!H20/'Total Value'!$D20-1)</f>
        <v>1.6758811333793977E-2</v>
      </c>
      <c r="I8" s="14">
        <f ca="1">IF(I$1="","",'Total Value'!I20/'Total Value'!$D20-1)</f>
        <v>3.3863165169315756E-2</v>
      </c>
      <c r="J8" s="14">
        <f ca="1">IF(J$1="","",'Total Value'!J20/'Total Value'!$D20-1)</f>
        <v>2.7643400138216867E-2</v>
      </c>
      <c r="K8" s="14">
        <f ca="1">IF(K$1="","",'Total Value'!K20/'Total Value'!$D20-1)</f>
        <v>3.9564616447822942E-2</v>
      </c>
      <c r="L8" s="14">
        <f ca="1">IF(L$1="","",'Total Value'!L20/'Total Value'!$D20-1)</f>
        <v>2.1078092605390397E-2</v>
      </c>
      <c r="M8" s="14">
        <f ca="1">IF(M$1="","",'Total Value'!M20/'Total Value'!$D20-1)</f>
        <v>-1.5722183828611014E-2</v>
      </c>
      <c r="N8" s="14">
        <f ca="1">IF(N$1="","",'Total Value'!N20/'Total Value'!$D20-1)</f>
        <v>-5.1831375259159262E-4</v>
      </c>
      <c r="O8" s="14">
        <f ca="1">IF(O$1="","",'Total Value'!O20/'Total Value'!$D20-1)</f>
        <v>-1.3130615065653273E-2</v>
      </c>
      <c r="P8" s="14">
        <f ca="1">IF(P$1="","",'Total Value'!P20/'Total Value'!$D20-1)</f>
        <v>2.833448514167225E-2</v>
      </c>
      <c r="Q8" s="14">
        <f ca="1">IF(Q$1="","",'Total Value'!Q20/'Total Value'!$D20-1)</f>
        <v>2.4533517622667533E-2</v>
      </c>
      <c r="R8" s="14">
        <f ca="1">IF(R$1="","",'Total Value'!R20/'Total Value'!$D20-1)</f>
        <v>5.7014512785071858E-3</v>
      </c>
      <c r="S8" s="14">
        <f ca="1">IF(S$1="","",'Total Value'!S20/'Total Value'!$D20-1)</f>
        <v>-3.4554250172772472E-3</v>
      </c>
      <c r="T8" s="14">
        <f ca="1">IF(T$1="","",'Total Value'!T20/'Total Value'!$D20-1)</f>
        <v>1.952315134761573E-2</v>
      </c>
      <c r="U8" s="14">
        <f ca="1">IF(U$1="","",'Total Value'!U20/'Total Value'!$D20-1)</f>
        <v>-9.5024187975121244E-3</v>
      </c>
      <c r="V8" s="14">
        <f ca="1">IF(V$1="","",'Total Value'!V20/'Total Value'!$D20-1)</f>
        <v>-3.7318590186593115E-2</v>
      </c>
      <c r="W8" s="14">
        <f ca="1">IF(W$1="","",'Total Value'!W20/'Total Value'!$D20-1)</f>
        <v>-2.0732550103662928E-2</v>
      </c>
      <c r="X8" s="14">
        <f ca="1">IF(X$1="","",'Total Value'!X20/'Total Value'!$D20-1)</f>
        <v>-2.125086385625452E-2</v>
      </c>
      <c r="Y8" s="14">
        <f ca="1">IF(Y$1="","",'Total Value'!Y20/'Total Value'!$D20-1)</f>
        <v>-1.1748445058742396E-2</v>
      </c>
      <c r="Z8" s="14">
        <f ca="1">IF(Z$1="","",'Total Value'!Z20/'Total Value'!$D20-1)</f>
        <v>1.2439530062197557E-2</v>
      </c>
      <c r="AA8" s="14">
        <f ca="1">IF(AA$1="","",'Total Value'!AA20/'Total Value'!$D20-1)</f>
        <v>2.7643400138215313E-3</v>
      </c>
      <c r="AB8" s="14">
        <f ca="1">IF(AB$1="","",'Total Value'!AB20/'Total Value'!$D20-1)</f>
        <v>-5.874222529371198E-3</v>
      </c>
      <c r="AC8" s="14">
        <f ca="1">IF(AC$1="","",'Total Value'!AC20/'Total Value'!$D20-1)</f>
        <v>4.1810642709053214E-2</v>
      </c>
      <c r="AD8" s="14">
        <f ca="1">IF(AD$1="","",'Total Value'!AD20/'Total Value'!$D20-1)</f>
        <v>5.1140290255701437E-2</v>
      </c>
      <c r="AE8" s="14">
        <f ca="1">IF(AE$1="","",'Total Value'!AE20/'Total Value'!$D20-1)</f>
        <v>5.3731859018659289E-2</v>
      </c>
      <c r="AF8" s="14">
        <f ca="1">IF(AF$1="","",'Total Value'!AF20/'Total Value'!$D20-1)</f>
        <v>3.4208707671043559E-2</v>
      </c>
      <c r="AG8" s="14">
        <f ca="1">IF(AG$1="","",'Total Value'!AG20/'Total Value'!$D20-1)</f>
        <v>5.0621976503109734E-2</v>
      </c>
      <c r="AH8" s="14">
        <f ca="1">IF(AH$1="","",'Total Value'!AH20/'Total Value'!$D20-1)</f>
        <v>4.5957152729785733E-2</v>
      </c>
      <c r="AI8" s="14">
        <f ca="1">IF(AI$1="","",'Total Value'!AI20/'Total Value'!$D20-1)</f>
        <v>4.3192812715964202E-3</v>
      </c>
      <c r="AJ8" s="14">
        <f ca="1">IF(AJ$1="","",'Total Value'!AJ20/'Total Value'!$D20-1)</f>
        <v>4.6648237733241116E-2</v>
      </c>
      <c r="AK8" s="14">
        <f ca="1">IF(AK$1="","",'Total Value'!AK20/'Total Value'!$D20-1)</f>
        <v>5.183137525915682E-2</v>
      </c>
      <c r="AL8" s="14">
        <f ca="1">IF(AL$1="","",'Total Value'!AL20/'Total Value'!$D20-1)</f>
        <v>5.9778852798894277E-2</v>
      </c>
      <c r="AM8" s="14">
        <f ca="1">IF(AM$1="","",'Total Value'!AM20/'Total Value'!$D20-1)</f>
        <v>7.1181755355908649E-2</v>
      </c>
      <c r="AN8" s="14">
        <f ca="1">IF(AN$1="","",'Total Value'!AN20/'Total Value'!$D20-1)</f>
        <v>3.7836903939184374E-2</v>
      </c>
      <c r="AO8" s="14">
        <f ca="1">IF(AO$1="","",'Total Value'!AO20/'Total Value'!$D20-1)</f>
        <v>-7.0836212854181735E-3</v>
      </c>
      <c r="AP8" s="14">
        <f ca="1">IF(AP$1="","",'Total Value'!AP20/'Total Value'!$D20-1)</f>
        <v>-2.3842432619212262E-2</v>
      </c>
      <c r="AQ8" s="14">
        <f ca="1">IF(AQ$1="","",'Total Value'!AQ20/'Total Value'!$D20-1)</f>
        <v>-3.282653766413457E-3</v>
      </c>
      <c r="AR8" s="14">
        <f ca="1">IF(AR$1="","",'Total Value'!AR20/'Total Value'!$D20-1)</f>
        <v>4.4056668970283264E-2</v>
      </c>
      <c r="AS8" s="14">
        <f ca="1">IF(AS$1="","",'Total Value'!AS20/'Total Value'!$D20-1)</f>
        <v>5.21769177608844E-2</v>
      </c>
      <c r="AT8" s="14">
        <f ca="1">IF(AT$1="","",'Total Value'!AT20/'Total Value'!$D20-1)</f>
        <v>4.1810642709053214E-2</v>
      </c>
      <c r="AU8" s="14">
        <f ca="1">IF(AU$1="","",'Total Value'!AU20/'Total Value'!$D20-1)</f>
        <v>4.3365583966827659E-2</v>
      </c>
      <c r="AV8" s="14">
        <f ca="1">IF(AV$1="","",'Total Value'!AV20/'Total Value'!$D20-1)</f>
        <v>6.0297166551485537E-2</v>
      </c>
      <c r="AW8" s="14">
        <f ca="1">IF(AW$1="","",'Total Value'!AW20/'Total Value'!$D20-1)</f>
        <v>7.0490670352453266E-2</v>
      </c>
      <c r="AX8" s="14">
        <f ca="1">IF(AX$1="","",'Total Value'!AX20/'Total Value'!$D20-1)</f>
        <v>0.1000345542501726</v>
      </c>
      <c r="AY8" s="14">
        <f ca="1">IF(AY$1="","",'Total Value'!AY20/'Total Value'!$D20-1)</f>
        <v>9.2432619212162948E-2</v>
      </c>
      <c r="AZ8" s="14">
        <f ca="1">IF(AZ$1="","",'Total Value'!AZ20/'Total Value'!$D20-1)</f>
        <v>9.6751900483759368E-2</v>
      </c>
      <c r="BA8" s="14">
        <f ca="1">IF(BA$1="","",'Total Value'!BA20/'Total Value'!$D20-1)</f>
        <v>9.9861782999308701E-2</v>
      </c>
      <c r="BB8" s="14">
        <f ca="1">IF(BB$1="","",'Total Value'!BB20/'Total Value'!$D20-1)</f>
        <v>0.11126468555632307</v>
      </c>
      <c r="BC8" s="14">
        <f ca="1">IF(BC$1="","",'Total Value'!BC20/'Total Value'!$D20-1)</f>
        <v>0.14063579820317895</v>
      </c>
      <c r="BD8" s="14">
        <f ca="1">IF(BD$1="","",'Total Value'!BD20/'Total Value'!$D20-1)</f>
        <v>0.12525915687629552</v>
      </c>
      <c r="BE8" s="14">
        <f ca="1">IF(BE$1="","",'Total Value'!BE20/'Total Value'!$D20-1)</f>
        <v>0.12957843814789194</v>
      </c>
      <c r="BF8" s="14">
        <f ca="1">IF(BF$1="","",'Total Value'!BF20/'Total Value'!$D20-1)</f>
        <v>0.13942639944713187</v>
      </c>
      <c r="BG8" s="14">
        <f ca="1">IF(BG$1="","",'Total Value'!BG20/'Total Value'!$D20-1)</f>
        <v>0.1596406357982032</v>
      </c>
      <c r="BH8" s="14">
        <f ca="1">IF(BH$1="","",'Total Value'!BH20/'Total Value'!$D20-1)</f>
        <v>0.14616447823082224</v>
      </c>
      <c r="BI8" s="14">
        <f ca="1">IF(BI$1="","",'Total Value'!BI20/'Total Value'!$D20-1)</f>
        <v>0.1542847270214236</v>
      </c>
      <c r="BJ8" s="14">
        <f ca="1">IF(BJ$1="","",'Total Value'!BJ20/'Total Value'!$D20-1)</f>
        <v>0.15186592950932942</v>
      </c>
      <c r="BK8" s="14">
        <f ca="1">IF(BK$1="","",'Total Value'!BK20/'Total Value'!$D20-1)</f>
        <v>0.15843123704215611</v>
      </c>
      <c r="BL8" s="14">
        <f ca="1">IF(BL$1="","",'Total Value'!BL20/'Total Value'!$D20-1)</f>
        <v>0.19333102971665483</v>
      </c>
      <c r="BM8" s="14">
        <f ca="1">IF(BM$1="","",'Total Value'!BM20/'Total Value'!$D20-1)</f>
        <v>0.22684865238424323</v>
      </c>
      <c r="BN8" s="14">
        <f ca="1">IF(BN$1="","",'Total Value'!BN20/'Total Value'!$D20-1)</f>
        <v>0.22909467864547328</v>
      </c>
      <c r="BO8" s="14">
        <f ca="1">IF(BO$1="","",'Total Value'!BO20/'Total Value'!$D20-1)</f>
        <v>0.22028334485141654</v>
      </c>
      <c r="BP8" s="14">
        <f ca="1">IF(BP$1="","",'Total Value'!BP20/'Total Value'!$D20-1)</f>
        <v>0.18538355217691782</v>
      </c>
      <c r="BQ8" s="14">
        <f ca="1">IF(BQ$1="","",'Total Value'!BQ20/'Total Value'!$D20-1)</f>
        <v>0.19160331720801649</v>
      </c>
      <c r="BR8" s="14">
        <f ca="1">IF(BR$1="","",'Total Value'!BR20/'Total Value'!$D20-1)</f>
        <v>0.19298548721492725</v>
      </c>
      <c r="BS8" s="14">
        <f ca="1">IF(BS$1="","",'Total Value'!BS20/'Total Value'!$D20-1)</f>
        <v>0.18538355217691782</v>
      </c>
      <c r="BT8" s="14">
        <f ca="1">IF(BT$1="","",'Total Value'!BT20/'Total Value'!$D20-1)</f>
        <v>0.17968210089841041</v>
      </c>
      <c r="BU8" s="14">
        <f ca="1">IF(BU$1="","",'Total Value'!BU20/'Total Value'!$D20-1)</f>
        <v>0.18953006219765012</v>
      </c>
      <c r="BV8" s="14">
        <f ca="1">IF(BV$1="","",'Total Value'!BV20/'Total Value'!$D20-1)</f>
        <v>0.1643054595715272</v>
      </c>
      <c r="BW8" s="14">
        <f ca="1">IF(BW$1="","",'Total Value'!BW20/'Total Value'!$D20-1)</f>
        <v>0.1378714581893572</v>
      </c>
      <c r="BX8" s="14">
        <f ca="1">IF(BX$1="","",'Total Value'!BX20/'Total Value'!$D20-1)</f>
        <v>0.13959917069799577</v>
      </c>
      <c r="BY8" s="14">
        <f ca="1">IF(BY$1="","",'Total Value'!BY20/'Total Value'!$D20-1)</f>
        <v>0.12404975812024865</v>
      </c>
      <c r="BZ8" s="14">
        <f ca="1">IF(BZ$1="","",'Total Value'!BZ20/'Total Value'!$D20-1)</f>
        <v>0.14357290946786438</v>
      </c>
      <c r="CA8" s="14">
        <f ca="1">IF(CA$1="","",'Total Value'!CA20/'Total Value'!$D20-1)</f>
        <v>0.16136834830684155</v>
      </c>
      <c r="CB8" s="14">
        <f ca="1">IF(CB$1="","",'Total Value'!CB20/'Total Value'!$D20-1)</f>
        <v>0.14720110573600542</v>
      </c>
      <c r="CC8" s="14">
        <f ca="1">IF(CC$1="","",'Total Value'!CC20/'Total Value'!$D20-1)</f>
        <v>0.14771941948859713</v>
      </c>
      <c r="CD8" s="14">
        <f ca="1">IF(CD$1="","",'Total Value'!CD20/'Total Value'!$D20-1)</f>
        <v>0.16050449205252226</v>
      </c>
      <c r="CE8" s="14">
        <f ca="1">IF(CE$1="","",'Total Value'!CE20/'Total Value'!$D20-1)</f>
        <v>0.15324809951624041</v>
      </c>
      <c r="CF8" s="14" t="str">
        <f ca="1">IF(CF$1="","",'Total Value'!CF20/'Total Value'!$D20-1)</f>
        <v/>
      </c>
      <c r="CG8" s="14" t="str">
        <f ca="1">IF(CG$1="","",'Total Value'!CG20/'Total Value'!$D20-1)</f>
        <v/>
      </c>
      <c r="CH8" s="14" t="str">
        <f ca="1">IF(CH$1="","",'Total Value'!CH20/'Total Value'!$D20-1)</f>
        <v/>
      </c>
      <c r="CI8" s="14" t="str">
        <f ca="1">IF(CI$1="","",'Total Value'!CI20/'Total Value'!$D20-1)</f>
        <v/>
      </c>
      <c r="CJ8" s="14" t="str">
        <f ca="1">IF(CJ$1="","",'Total Value'!CJ20/'Total Value'!$D20-1)</f>
        <v/>
      </c>
      <c r="CK8" s="14" t="str">
        <f ca="1">IF(CK$1="","",'Total Value'!CK20/'Total Value'!$D20-1)</f>
        <v/>
      </c>
      <c r="CL8" s="14" t="str">
        <f ca="1">IF(CL$1="","",'Total Value'!CL20/'Total Value'!$D20-1)</f>
        <v/>
      </c>
      <c r="CM8" s="14" t="str">
        <f ca="1">IF(CM$1="","",'Total Value'!CM20/'Total Value'!$D20-1)</f>
        <v/>
      </c>
      <c r="CN8" s="14" t="str">
        <f ca="1">IF(CN$1="","",'Total Value'!CN20/'Total Value'!$D20-1)</f>
        <v/>
      </c>
      <c r="CO8" s="14" t="str">
        <f ca="1">IF(CO$1="","",'Total Value'!CO20/'Total Value'!$D20-1)</f>
        <v/>
      </c>
      <c r="CP8" s="14" t="str">
        <f ca="1">IF(CP$1="","",'Total Value'!CP20/'Total Value'!$D20-1)</f>
        <v/>
      </c>
      <c r="CQ8" s="14" t="str">
        <f ca="1">IF(CQ$1="","",'Total Value'!CQ20/'Total Value'!$D20-1)</f>
        <v/>
      </c>
      <c r="CR8" s="14" t="str">
        <f ca="1">IF(CR$1="","",'Total Value'!CR20/'Total Value'!$D20-1)</f>
        <v/>
      </c>
      <c r="CS8" s="14" t="str">
        <f ca="1">IF(CS$1="","",'Total Value'!CS20/'Total Value'!$D20-1)</f>
        <v/>
      </c>
      <c r="CT8" s="14" t="str">
        <f ca="1">IF(CT$1="","",'Total Value'!CT20/'Total Value'!$D20-1)</f>
        <v/>
      </c>
      <c r="CU8" s="14" t="str">
        <f ca="1">IF(CU$1="","",'Total Value'!CU20/'Total Value'!$D20-1)</f>
        <v/>
      </c>
      <c r="CV8" s="14" t="str">
        <f ca="1">IF(CV$1="","",'Total Value'!CV20/'Total Value'!$D20-1)</f>
        <v/>
      </c>
      <c r="CW8" s="14" t="str">
        <f ca="1">IF(CW$1="","",'Total Value'!CW20/'Total Value'!$D20-1)</f>
        <v/>
      </c>
      <c r="CX8" s="14" t="str">
        <f ca="1">IF(CX$1="","",'Total Value'!CX20/'Total Value'!$D20-1)</f>
        <v/>
      </c>
      <c r="CY8" s="14" t="str">
        <f ca="1">IF(CY$1="","",'Total Value'!CY20/'Total Value'!$D20-1)</f>
        <v/>
      </c>
      <c r="CZ8" s="14" t="str">
        <f ca="1">IF(CZ$1="","",'Total Value'!CZ20/'Total Value'!$D20-1)</f>
        <v/>
      </c>
      <c r="DA8" s="14" t="str">
        <f ca="1">IF(DA$1="","",'Total Value'!DA20/'Total Value'!$D20-1)</f>
        <v/>
      </c>
      <c r="DB8" s="14" t="str">
        <f ca="1">IF(DB$1="","",'Total Value'!DB20/'Total Value'!$D20-1)</f>
        <v/>
      </c>
      <c r="DC8" s="14" t="str">
        <f ca="1">IF(DC$1="","",'Total Value'!DC20/'Total Value'!$D20-1)</f>
        <v/>
      </c>
      <c r="DD8" s="14" t="str">
        <f ca="1">IF(DD$1="","",'Total Value'!DD20/'Total Value'!$D20-1)</f>
        <v/>
      </c>
      <c r="DE8" s="14" t="str">
        <f ca="1">IF(DE$1="","",'Total Value'!DE20/'Total Value'!$D20-1)</f>
        <v/>
      </c>
      <c r="DF8" s="14" t="str">
        <f ca="1">IF(DF$1="","",'Total Value'!DF20/'Total Value'!$D20-1)</f>
        <v/>
      </c>
      <c r="DG8" s="14" t="str">
        <f ca="1">IF(DG$1="","",'Total Value'!DG20/'Total Value'!$D20-1)</f>
        <v/>
      </c>
      <c r="DH8" s="14" t="str">
        <f ca="1">IF(DH$1="","",'Total Value'!DH20/'Total Value'!$D20-1)</f>
        <v/>
      </c>
      <c r="DI8" s="14" t="str">
        <f ca="1">IF(DI$1="","",'Total Value'!DI20/'Total Value'!$D20-1)</f>
        <v/>
      </c>
      <c r="DJ8" s="14" t="str">
        <f ca="1">IF(DJ$1="","",'Total Value'!DJ20/'Total Value'!$D20-1)</f>
        <v/>
      </c>
      <c r="DK8" s="14" t="str">
        <f ca="1">IF(DK$1="","",'Total Value'!DK20/'Total Value'!$D20-1)</f>
        <v/>
      </c>
      <c r="DL8" s="14" t="str">
        <f ca="1">IF(DL$1="","",'Total Value'!DL20/'Total Value'!$D20-1)</f>
        <v/>
      </c>
      <c r="DM8" s="14" t="str">
        <f ca="1">IF(DM$1="","",'Total Value'!DM20/'Total Value'!$D20-1)</f>
        <v/>
      </c>
      <c r="DN8" s="14" t="str">
        <f ca="1">IF(DN$1="","",'Total Value'!DN20/'Total Value'!$D20-1)</f>
        <v/>
      </c>
      <c r="DO8" s="14" t="str">
        <f ca="1">IF(DO$1="","",'Total Value'!DO20/'Total Value'!$D20-1)</f>
        <v/>
      </c>
      <c r="DP8" s="14" t="str">
        <f ca="1">IF(DP$1="","",'Total Value'!DP20/'Total Value'!$D20-1)</f>
        <v/>
      </c>
      <c r="DQ8" s="14" t="str">
        <f ca="1">IF(DQ$1="","",'Total Value'!DQ20/'Total Value'!$D20-1)</f>
        <v/>
      </c>
      <c r="DR8" s="14" t="str">
        <f ca="1">IF(DR$1="","",'Total Value'!DR20/'Total Value'!$D20-1)</f>
        <v/>
      </c>
      <c r="DS8" s="14" t="str">
        <f ca="1">IF(DS$1="","",'Total Value'!DS20/'Total Value'!$D20-1)</f>
        <v/>
      </c>
      <c r="DT8" s="14" t="str">
        <f ca="1">IF(DT$1="","",'Total Value'!DT20/'Total Value'!$D20-1)</f>
        <v/>
      </c>
      <c r="DU8" s="14" t="str">
        <f ca="1">IF(DU$1="","",'Total Value'!DU20/'Total Value'!$D20-1)</f>
        <v/>
      </c>
      <c r="DV8" s="14" t="str">
        <f ca="1">IF(DV$1="","",'Total Value'!DV20/'Total Value'!$D20-1)</f>
        <v/>
      </c>
      <c r="DW8" s="14" t="str">
        <f ca="1">IF(DW$1="","",'Total Value'!DW20/'Total Value'!$D20-1)</f>
        <v/>
      </c>
      <c r="DX8" s="14" t="str">
        <f ca="1">IF(DX$1="","",'Total Value'!DX20/'Total Value'!$D20-1)</f>
        <v/>
      </c>
      <c r="DY8" s="14" t="str">
        <f ca="1">IF(DY$1="","",'Total Value'!DY20/'Total Value'!$D20-1)</f>
        <v/>
      </c>
      <c r="DZ8" s="14" t="str">
        <f ca="1">IF(DZ$1="","",'Total Value'!DZ20/'Total Value'!$D20-1)</f>
        <v/>
      </c>
      <c r="EA8" s="14" t="str">
        <f ca="1">IF(EA$1="","",'Total Value'!EA20/'Total Value'!$D20-1)</f>
        <v/>
      </c>
      <c r="EB8" s="14" t="str">
        <f ca="1">IF(EB$1="","",'Total Value'!EB20/'Total Value'!$D20-1)</f>
        <v/>
      </c>
      <c r="EC8" s="14" t="str">
        <f ca="1">IF(EC$1="","",'Total Value'!EC20/'Total Value'!$D20-1)</f>
        <v/>
      </c>
      <c r="ED8" s="14" t="str">
        <f ca="1">IF(ED$1="","",'Total Value'!ED20/'Total Value'!$D20-1)</f>
        <v/>
      </c>
      <c r="EE8" s="14" t="str">
        <f ca="1">IF(EE$1="","",'Total Value'!EE20/'Total Value'!$D20-1)</f>
        <v/>
      </c>
      <c r="EF8" s="14" t="str">
        <f ca="1">IF(EF$1="","",'Total Value'!EF20/'Total Value'!$D20-1)</f>
        <v/>
      </c>
      <c r="EG8" s="14" t="str">
        <f ca="1">IF(EG$1="","",'Total Value'!EG20/'Total Value'!$D20-1)</f>
        <v/>
      </c>
      <c r="EH8" s="14" t="str">
        <f ca="1">IF(EH$1="","",'Total Value'!EH20/'Total Value'!$D20-1)</f>
        <v/>
      </c>
      <c r="EI8" s="14" t="str">
        <f ca="1">IF(EI$1="","",'Total Value'!EI20/'Total Value'!$D20-1)</f>
        <v/>
      </c>
      <c r="EJ8" s="14" t="str">
        <f ca="1">IF(EJ$1="","",'Total Value'!EJ20/'Total Value'!$D20-1)</f>
        <v/>
      </c>
      <c r="EK8" s="14" t="str">
        <f ca="1">IF(EK$1="","",'Total Value'!EK20/'Total Value'!$D20-1)</f>
        <v/>
      </c>
      <c r="EL8" s="14" t="str">
        <f ca="1">IF(EL$1="","",'Total Value'!EL20/'Total Value'!$D20-1)</f>
        <v/>
      </c>
      <c r="EM8" s="14" t="str">
        <f ca="1">IF(EM$1="","",'Total Value'!EM20/'Total Value'!$D20-1)</f>
        <v/>
      </c>
      <c r="EN8" s="14" t="str">
        <f ca="1">IF(EN$1="","",'Total Value'!EN20/'Total Value'!$D20-1)</f>
        <v/>
      </c>
      <c r="EO8" s="14" t="str">
        <f ca="1">IF(EO$1="","",'Total Value'!EO20/'Total Value'!$D20-1)</f>
        <v/>
      </c>
      <c r="EP8" s="14" t="str">
        <f ca="1">IF(EP$1="","",'Total Value'!EP20/'Total Value'!$D20-1)</f>
        <v/>
      </c>
      <c r="EQ8" s="14" t="str">
        <f ca="1">IF(EQ$1="","",'Total Value'!EQ20/'Total Value'!$D20-1)</f>
        <v/>
      </c>
      <c r="ER8" s="14" t="str">
        <f ca="1">IF(ER$1="","",'Total Value'!ER20/'Total Value'!$D20-1)</f>
        <v/>
      </c>
      <c r="ES8" s="14" t="str">
        <f ca="1">IF(ES$1="","",'Total Value'!ES20/'Total Value'!$D20-1)</f>
        <v/>
      </c>
      <c r="ET8" s="14" t="str">
        <f ca="1">IF(ET$1="","",'Total Value'!ET20/'Total Value'!$D20-1)</f>
        <v/>
      </c>
      <c r="EU8" s="14" t="str">
        <f ca="1">IF(EU$1="","",'Total Value'!EU20/'Total Value'!$D20-1)</f>
        <v/>
      </c>
      <c r="EV8" s="14" t="str">
        <f ca="1">IF(EV$1="","",'Total Value'!EV20/'Total Value'!$D20-1)</f>
        <v/>
      </c>
      <c r="EW8" s="14" t="str">
        <f ca="1">IF(EW$1="","",'Total Value'!EW20/'Total Value'!$D20-1)</f>
        <v/>
      </c>
      <c r="EX8" s="14" t="str">
        <f ca="1">IF(EX$1="","",'Total Value'!EX20/'Total Value'!$D20-1)</f>
        <v/>
      </c>
      <c r="EY8" s="14" t="str">
        <f ca="1">IF(EY$1="","",'Total Value'!EY20/'Total Value'!$D20-1)</f>
        <v/>
      </c>
      <c r="EZ8" s="14" t="str">
        <f ca="1">IF(EZ$1="","",'Total Value'!EZ20/'Total Value'!$D20-1)</f>
        <v/>
      </c>
      <c r="FA8" s="14" t="str">
        <f ca="1">IF(FA$1="","",'Total Value'!FA20/'Total Value'!$D20-1)</f>
        <v/>
      </c>
      <c r="FB8" s="14" t="str">
        <f ca="1">IF(FB$1="","",'Total Value'!FB20/'Total Value'!$D20-1)</f>
        <v/>
      </c>
      <c r="FC8" s="14" t="str">
        <f ca="1">IF(FC$1="","",'Total Value'!FC20/'Total Value'!$D20-1)</f>
        <v/>
      </c>
      <c r="FD8" s="14" t="str">
        <f ca="1">IF(FD$1="","",'Total Value'!FD20/'Total Value'!$D20-1)</f>
        <v/>
      </c>
      <c r="FE8" s="14" t="str">
        <f ca="1">IF(FE$1="","",'Total Value'!FE20/'Total Value'!$D20-1)</f>
        <v/>
      </c>
      <c r="FF8" s="14" t="str">
        <f ca="1">IF(FF$1="","",'Total Value'!FF20/'Total Value'!$D20-1)</f>
        <v/>
      </c>
      <c r="FG8" s="14" t="str">
        <f ca="1">IF(FG$1="","",'Total Value'!FG20/'Total Value'!$D20-1)</f>
        <v/>
      </c>
      <c r="FH8" s="14" t="str">
        <f ca="1">IF(FH$1="","",'Total Value'!FH20/'Total Value'!$D20-1)</f>
        <v/>
      </c>
      <c r="FI8" s="14" t="str">
        <f ca="1">IF(FI$1="","",'Total Value'!FI20/'Total Value'!$D20-1)</f>
        <v/>
      </c>
      <c r="FJ8" s="14" t="str">
        <f ca="1">IF(FJ$1="","",'Total Value'!FJ20/'Total Value'!$D20-1)</f>
        <v/>
      </c>
      <c r="FK8" s="14" t="str">
        <f ca="1">IF(FK$1="","",'Total Value'!FK20/'Total Value'!$D20-1)</f>
        <v/>
      </c>
      <c r="FL8" s="14" t="str">
        <f ca="1">IF(FL$1="","",'Total Value'!FL20/'Total Value'!$D20-1)</f>
        <v/>
      </c>
      <c r="FM8" s="14" t="str">
        <f ca="1">IF(FM$1="","",'Total Value'!FM20/'Total Value'!$D20-1)</f>
        <v/>
      </c>
      <c r="FN8" s="14" t="str">
        <f ca="1">IF(FN$1="","",'Total Value'!FN20/'Total Value'!$D20-1)</f>
        <v/>
      </c>
      <c r="FO8" s="14" t="str">
        <f ca="1">IF(FO$1="","",'Total Value'!FO20/'Total Value'!$D20-1)</f>
        <v/>
      </c>
      <c r="FP8" s="14" t="str">
        <f ca="1">IF(FP$1="","",'Total Value'!FP20/'Total Value'!$D20-1)</f>
        <v/>
      </c>
      <c r="FQ8" s="14" t="str">
        <f ca="1">IF(FQ$1="","",'Total Value'!FQ20/'Total Value'!$D20-1)</f>
        <v/>
      </c>
      <c r="FR8" s="14" t="str">
        <f ca="1">IF(FR$1="","",'Total Value'!FR20/'Total Value'!$D20-1)</f>
        <v/>
      </c>
      <c r="FS8" s="14" t="str">
        <f ca="1">IF(FS$1="","",'Total Value'!FS20/'Total Value'!$D20-1)</f>
        <v/>
      </c>
      <c r="FT8" s="14" t="str">
        <f ca="1">IF(FT$1="","",'Total Value'!FT20/'Total Value'!$D20-1)</f>
        <v/>
      </c>
      <c r="FU8" s="14" t="str">
        <f ca="1">IF(FU$1="","",'Total Value'!FU20/'Total Value'!$D20-1)</f>
        <v/>
      </c>
      <c r="FV8" s="14" t="str">
        <f ca="1">IF(FV$1="","",'Total Value'!FV20/'Total Value'!$D20-1)</f>
        <v/>
      </c>
      <c r="FW8" s="14" t="str">
        <f ca="1">IF(FW$1="","",'Total Value'!FW20/'Total Value'!$D20-1)</f>
        <v/>
      </c>
      <c r="FX8" s="14" t="str">
        <f ca="1">IF(FX$1="","",'Total Value'!FX20/'Total Value'!$D20-1)</f>
        <v/>
      </c>
      <c r="FY8" s="14" t="str">
        <f ca="1">IF(FY$1="","",'Total Value'!FY20/'Total Value'!$D20-1)</f>
        <v/>
      </c>
      <c r="FZ8" s="14" t="str">
        <f ca="1">IF(FZ$1="","",'Total Value'!FZ20/'Total Value'!$D20-1)</f>
        <v/>
      </c>
      <c r="GA8" s="14" t="str">
        <f ca="1">IF(GA$1="","",'Total Value'!GA20/'Total Value'!$D20-1)</f>
        <v/>
      </c>
      <c r="GB8" s="14" t="str">
        <f ca="1">IF(GB$1="","",'Total Value'!GB20/'Total Value'!$D20-1)</f>
        <v/>
      </c>
      <c r="GC8" s="14" t="str">
        <f ca="1">IF(GC$1="","",'Total Value'!GC20/'Total Value'!$D20-1)</f>
        <v/>
      </c>
      <c r="GD8" s="14" t="str">
        <f ca="1">IF(GD$1="","",'Total Value'!GD20/'Total Value'!$D20-1)</f>
        <v/>
      </c>
      <c r="GE8" s="14" t="str">
        <f ca="1">IF(GE$1="","",'Total Value'!GE20/'Total Value'!$D20-1)</f>
        <v/>
      </c>
      <c r="GF8" s="14" t="str">
        <f ca="1">IF(GF$1="","",'Total Value'!GF20/'Total Value'!$D20-1)</f>
        <v/>
      </c>
      <c r="GG8" s="14" t="str">
        <f ca="1">IF(GG$1="","",'Total Value'!GG20/'Total Value'!$D20-1)</f>
        <v/>
      </c>
      <c r="GH8" s="14" t="str">
        <f ca="1">IF(GH$1="","",'Total Value'!GH20/'Total Value'!$D20-1)</f>
        <v/>
      </c>
      <c r="GI8" s="14" t="str">
        <f ca="1">IF(GI$1="","",'Total Value'!GI20/'Total Value'!$D20-1)</f>
        <v/>
      </c>
      <c r="GJ8" s="14" t="str">
        <f ca="1">IF(GJ$1="","",'Total Value'!GJ20/'Total Value'!$D20-1)</f>
        <v/>
      </c>
      <c r="GK8" s="14" t="str">
        <f ca="1">IF(GK$1="","",'Total Value'!GK20/'Total Value'!$D20-1)</f>
        <v/>
      </c>
      <c r="GL8" s="14" t="str">
        <f ca="1">IF(GL$1="","",'Total Value'!GL20/'Total Value'!$D20-1)</f>
        <v/>
      </c>
      <c r="GM8" s="14" t="str">
        <f ca="1">IF(GM$1="","",'Total Value'!GM20/'Total Value'!$D20-1)</f>
        <v/>
      </c>
      <c r="GN8" s="14" t="str">
        <f ca="1">IF(GN$1="","",'Total Value'!GN20/'Total Value'!$D20-1)</f>
        <v/>
      </c>
      <c r="GO8" s="14" t="str">
        <f ca="1">IF(GO$1="","",'Total Value'!GO20/'Total Value'!$D20-1)</f>
        <v/>
      </c>
      <c r="GP8" s="14" t="str">
        <f ca="1">IF(GP$1="","",'Total Value'!GP20/'Total Value'!$D20-1)</f>
        <v/>
      </c>
      <c r="GQ8" s="14" t="str">
        <f ca="1">IF(GQ$1="","",'Total Value'!GQ20/'Total Value'!$D20-1)</f>
        <v/>
      </c>
      <c r="GR8" s="14" t="str">
        <f ca="1">IF(GR$1="","",'Total Value'!GR20/'Total Value'!$D20-1)</f>
        <v/>
      </c>
      <c r="GS8" s="14" t="str">
        <f ca="1">IF(GS$1="","",'Total Value'!GS20/'Total Value'!$D20-1)</f>
        <v/>
      </c>
      <c r="GT8" s="14" t="str">
        <f ca="1">IF(GT$1="","",'Total Value'!GT20/'Total Value'!$D20-1)</f>
        <v/>
      </c>
      <c r="GU8" s="14" t="str">
        <f ca="1">IF(GU$1="","",'Total Value'!GU20/'Total Value'!$D20-1)</f>
        <v/>
      </c>
      <c r="GV8" s="14" t="str">
        <f ca="1">IF(GV$1="","",'Total Value'!GV20/'Total Value'!$D20-1)</f>
        <v/>
      </c>
      <c r="GW8" s="14" t="str">
        <f ca="1">IF(GW$1="","",'Total Value'!GW20/'Total Value'!$D20-1)</f>
        <v/>
      </c>
      <c r="GX8" s="14" t="str">
        <f ca="1">IF(GX$1="","",'Total Value'!GX20/'Total Value'!$D20-1)</f>
        <v/>
      </c>
      <c r="GY8" s="14" t="str">
        <f ca="1">IF(GY$1="","",'Total Value'!GY20/'Total Value'!$D20-1)</f>
        <v/>
      </c>
      <c r="GZ8" s="14" t="str">
        <f ca="1">IF(GZ$1="","",'Total Value'!GZ20/'Total Value'!$D20-1)</f>
        <v/>
      </c>
      <c r="HA8" s="14" t="str">
        <f ca="1">IF(HA$1="","",'Total Value'!HA20/'Total Value'!$D20-1)</f>
        <v/>
      </c>
      <c r="HB8" s="14" t="str">
        <f ca="1">IF(HB$1="","",'Total Value'!HB20/'Total Value'!$D20-1)</f>
        <v/>
      </c>
      <c r="HC8" s="14" t="str">
        <f ca="1">IF(HC$1="","",'Total Value'!HC20/'Total Value'!$D20-1)</f>
        <v/>
      </c>
      <c r="HD8" s="14" t="str">
        <f ca="1">IF(HD$1="","",'Total Value'!HD20/'Total Value'!$D20-1)</f>
        <v/>
      </c>
      <c r="HE8" s="14" t="str">
        <f ca="1">IF(HE$1="","",'Total Value'!HE20/'Total Value'!$D20-1)</f>
        <v/>
      </c>
      <c r="HF8" s="14" t="str">
        <f ca="1">IF(HF$1="","",'Total Value'!HF20/'Total Value'!$D20-1)</f>
        <v/>
      </c>
      <c r="HG8" s="14" t="str">
        <f ca="1">IF(HG$1="","",'Total Value'!HG20/'Total Value'!$D20-1)</f>
        <v/>
      </c>
      <c r="HH8" s="14" t="str">
        <f ca="1">IF(HH$1="","",'Total Value'!HH20/'Total Value'!$D20-1)</f>
        <v/>
      </c>
      <c r="HI8" s="14" t="str">
        <f ca="1">IF(HI$1="","",'Total Value'!HI20/'Total Value'!$D20-1)</f>
        <v/>
      </c>
      <c r="HJ8" s="14" t="str">
        <f ca="1">IF(HJ$1="","",'Total Value'!HJ20/'Total Value'!$D20-1)</f>
        <v/>
      </c>
      <c r="HK8" s="14" t="str">
        <f ca="1">IF(HK$1="","",'Total Value'!HK20/'Total Value'!$D20-1)</f>
        <v/>
      </c>
      <c r="HL8" s="14" t="str">
        <f ca="1">IF(HL$1="","",'Total Value'!HL20/'Total Value'!$D20-1)</f>
        <v/>
      </c>
      <c r="HM8" s="14" t="str">
        <f ca="1">IF(HM$1="","",'Total Value'!HM20/'Total Value'!$D20-1)</f>
        <v/>
      </c>
      <c r="HN8" s="14" t="str">
        <f ca="1">IF(HN$1="","",'Total Value'!HN20/'Total Value'!$D20-1)</f>
        <v/>
      </c>
      <c r="HO8" s="14" t="str">
        <f ca="1">IF(HO$1="","",'Total Value'!HO20/'Total Value'!$D20-1)</f>
        <v/>
      </c>
      <c r="HP8" s="14" t="str">
        <f ca="1">IF(HP$1="","",'Total Value'!HP20/'Total Value'!$D20-1)</f>
        <v/>
      </c>
      <c r="HQ8" s="14" t="str">
        <f ca="1">IF(HQ$1="","",'Total Value'!HQ20/'Total Value'!$D20-1)</f>
        <v/>
      </c>
      <c r="HR8" s="14" t="str">
        <f ca="1">IF(HR$1="","",'Total Value'!HR20/'Total Value'!$D20-1)</f>
        <v/>
      </c>
      <c r="HS8" s="14" t="str">
        <f ca="1">IF(HS$1="","",'Total Value'!HS20/'Total Value'!$D20-1)</f>
        <v/>
      </c>
      <c r="HT8" s="14" t="str">
        <f ca="1">IF(HT$1="","",'Total Value'!HT20/'Total Value'!$D20-1)</f>
        <v/>
      </c>
      <c r="HU8" s="14" t="str">
        <f ca="1">IF(HU$1="","",'Total Value'!HU20/'Total Value'!$D20-1)</f>
        <v/>
      </c>
      <c r="HV8" s="14" t="str">
        <f ca="1">IF(HV$1="","",'Total Value'!HV20/'Total Value'!$D20-1)</f>
        <v/>
      </c>
      <c r="HW8" s="14" t="str">
        <f ca="1">IF(HW$1="","",'Total Value'!HW20/'Total Value'!$D20-1)</f>
        <v/>
      </c>
      <c r="HX8" s="14" t="str">
        <f ca="1">IF(HX$1="","",'Total Value'!HX20/'Total Value'!$D20-1)</f>
        <v/>
      </c>
      <c r="HY8" s="14" t="str">
        <f ca="1">IF(HY$1="","",'Total Value'!HY20/'Total Value'!$D20-1)</f>
        <v/>
      </c>
      <c r="HZ8" s="14" t="str">
        <f ca="1">IF(HZ$1="","",'Total Value'!HZ20/'Total Value'!$D20-1)</f>
        <v/>
      </c>
      <c r="IA8" s="14" t="str">
        <f ca="1">IF(IA$1="","",'Total Value'!IA20/'Total Value'!$D20-1)</f>
        <v/>
      </c>
      <c r="IB8" s="14" t="str">
        <f ca="1">IF(IB$1="","",'Total Value'!IB20/'Total Value'!$D20-1)</f>
        <v/>
      </c>
      <c r="IC8" s="14" t="str">
        <f ca="1">IF(IC$1="","",'Total Value'!IC20/'Total Value'!$D20-1)</f>
        <v/>
      </c>
      <c r="ID8" s="14" t="str">
        <f ca="1">IF(ID$1="","",'Total Value'!ID20/'Total Value'!$D20-1)</f>
        <v/>
      </c>
      <c r="IE8" s="14" t="str">
        <f ca="1">IF(IE$1="","",'Total Value'!IE20/'Total Value'!$D20-1)</f>
        <v/>
      </c>
      <c r="IF8" s="14" t="str">
        <f ca="1">IF(IF$1="","",'Total Value'!IF20/'Total Value'!$D20-1)</f>
        <v/>
      </c>
      <c r="IG8" s="14" t="str">
        <f ca="1">IF(IG$1="","",'Total Value'!IG20/'Total Value'!$D20-1)</f>
        <v/>
      </c>
      <c r="IH8" s="14" t="str">
        <f ca="1">IF(IH$1="","",'Total Value'!IH20/'Total Value'!$D20-1)</f>
        <v/>
      </c>
      <c r="II8" s="14" t="str">
        <f ca="1">IF(II$1="","",'Total Value'!II20/'Total Value'!$D20-1)</f>
        <v/>
      </c>
      <c r="IJ8" s="14" t="str">
        <f ca="1">IF(IJ$1="","",'Total Value'!IJ20/'Total Value'!$D20-1)</f>
        <v/>
      </c>
      <c r="IK8" s="14" t="str">
        <f ca="1">IF(IK$1="","",'Total Value'!IK20/'Total Value'!$D20-1)</f>
        <v/>
      </c>
      <c r="IL8" s="14" t="str">
        <f ca="1">IF(IL$1="","",'Total Value'!IL20/'Total Value'!$D20-1)</f>
        <v/>
      </c>
      <c r="IM8" s="14" t="str">
        <f ca="1">IF(IM$1="","",'Total Value'!IM20/'Total Value'!$D20-1)</f>
        <v/>
      </c>
      <c r="IN8" s="14" t="str">
        <f ca="1">IF(IN$1="","",'Total Value'!IN20/'Total Value'!$D20-1)</f>
        <v/>
      </c>
      <c r="IO8" s="14" t="str">
        <f ca="1">IF(IO$1="","",'Total Value'!IO20/'Total Value'!$D20-1)</f>
        <v/>
      </c>
      <c r="IP8" s="14" t="str">
        <f ca="1">IF(IP$1="","",'Total Value'!IP20/'Total Value'!$D20-1)</f>
        <v/>
      </c>
      <c r="IQ8" s="14" t="str">
        <f ca="1">IF(IQ$1="","",'Total Value'!IQ20/'Total Value'!$D20-1)</f>
        <v/>
      </c>
      <c r="IR8" s="14" t="str">
        <f ca="1">IF(IR$1="","",'Total Value'!IR20/'Total Value'!$D20-1)</f>
        <v/>
      </c>
      <c r="IS8" s="14" t="str">
        <f ca="1">IF(IS$1="","",'Total Value'!IS20/'Total Value'!$D20-1)</f>
        <v/>
      </c>
      <c r="IT8" s="14" t="str">
        <f ca="1">IF(IT$1="","",'Total Value'!IT20/'Total Value'!$D20-1)</f>
        <v/>
      </c>
      <c r="IU8" s="14" t="str">
        <f ca="1">IF(IU$1="","",'Total Value'!IU20/'Total Value'!$D20-1)</f>
        <v/>
      </c>
      <c r="IV8" s="14" t="str">
        <f ca="1">IF(IV$1="","",'Total Value'!IV20/'Total Value'!$D20-1)</f>
        <v/>
      </c>
      <c r="IW8" s="14" t="str">
        <f ca="1">IF(IW$1="","",'Total Value'!IW20/'Total Value'!$D20-1)</f>
        <v/>
      </c>
      <c r="IX8" s="14" t="str">
        <f ca="1">IF(IX$1="","",'Total Value'!IX20/'Total Value'!$D20-1)</f>
        <v/>
      </c>
      <c r="IY8" s="14" t="str">
        <f ca="1">IF(IY$1="","",'Total Value'!IY20/'Total Value'!$D20-1)</f>
        <v/>
      </c>
      <c r="IZ8" s="14" t="str">
        <f ca="1">IF(IZ$1="","",'Total Value'!IZ20/'Total Value'!$D20-1)</f>
        <v/>
      </c>
      <c r="JA8" s="14" t="str">
        <f ca="1">IF(JA$1="","",'Total Value'!JA20/'Total Value'!$D20-1)</f>
        <v/>
      </c>
      <c r="JB8" s="14" t="str">
        <f ca="1">IF(JB$1="","",'Total Value'!JB20/'Total Value'!$D20-1)</f>
        <v/>
      </c>
      <c r="JC8" s="14" t="str">
        <f ca="1">IF(JC$1="","",'Total Value'!JC20/'Total Value'!$D20-1)</f>
        <v/>
      </c>
      <c r="JD8" s="14" t="str">
        <f ca="1">IF(JD$1="","",'Total Value'!JD20/'Total Value'!$D20-1)</f>
        <v/>
      </c>
      <c r="JE8" s="14" t="str">
        <f ca="1">IF(JE$1="","",'Total Value'!JE20/'Total Value'!$D20-1)</f>
        <v/>
      </c>
      <c r="JF8" s="14" t="str">
        <f ca="1">IF(JF$1="","",'Total Value'!JF20/'Total Value'!$D20-1)</f>
        <v/>
      </c>
      <c r="JG8" s="14" t="str">
        <f ca="1">IF(JG$1="","",'Total Value'!JG20/'Total Value'!$D20-1)</f>
        <v/>
      </c>
      <c r="JH8" s="14" t="str">
        <f ca="1">IF(JH$1="","",'Total Value'!JH20/'Total Value'!$D20-1)</f>
        <v/>
      </c>
      <c r="JI8" s="14" t="str">
        <f ca="1">IF(JI$1="","",'Total Value'!JI20/'Total Value'!$D20-1)</f>
        <v/>
      </c>
      <c r="JJ8" s="14" t="str">
        <f ca="1">IF(JJ$1="","",'Total Value'!JJ20/'Total Value'!$D20-1)</f>
        <v/>
      </c>
      <c r="JK8" s="14" t="str">
        <f ca="1">IF(JK$1="","",'Total Value'!JK20/'Total Value'!$D20-1)</f>
        <v/>
      </c>
      <c r="JL8" s="14" t="str">
        <f ca="1">IF(JL$1="","",'Total Value'!JL20/'Total Value'!$D20-1)</f>
        <v/>
      </c>
      <c r="JM8" s="14" t="str">
        <f ca="1">IF(JM$1="","",'Total Value'!JM20/'Total Value'!$D20-1)</f>
        <v/>
      </c>
      <c r="JN8" s="14" t="str">
        <f ca="1">IF(JN$1="","",'Total Value'!JN20/'Total Value'!$D20-1)</f>
        <v/>
      </c>
      <c r="JO8" s="14" t="str">
        <f ca="1">IF(JO$1="","",'Total Value'!JO20/'Total Value'!$D20-1)</f>
        <v/>
      </c>
      <c r="JP8" s="14" t="str">
        <f ca="1">IF(JP$1="","",'Total Value'!JP20/'Total Value'!$D20-1)</f>
        <v/>
      </c>
      <c r="JQ8" s="14" t="str">
        <f ca="1">IF(JQ$1="","",'Total Value'!JQ20/'Total Value'!$D20-1)</f>
        <v/>
      </c>
      <c r="JR8" s="14" t="str">
        <f ca="1">IF(JR$1="","",'Total Value'!JR20/'Total Value'!$D20-1)</f>
        <v/>
      </c>
      <c r="JS8" s="14" t="str">
        <f ca="1">IF(JS$1="","",'Total Value'!JS20/'Total Value'!$D20-1)</f>
        <v/>
      </c>
      <c r="JT8" s="14" t="str">
        <f ca="1">IF(JT$1="","",'Total Value'!JT20/'Total Value'!$D20-1)</f>
        <v/>
      </c>
      <c r="JU8" s="14" t="str">
        <f ca="1">IF(JU$1="","",'Total Value'!JU20/'Total Value'!$D20-1)</f>
        <v/>
      </c>
      <c r="JV8" s="14" t="str">
        <f ca="1">IF(JV$1="","",'Total Value'!JV20/'Total Value'!$D20-1)</f>
        <v/>
      </c>
      <c r="JW8" s="14" t="str">
        <f ca="1">IF(JW$1="","",'Total Value'!JW20/'Total Value'!$D20-1)</f>
        <v/>
      </c>
      <c r="JX8" s="14" t="str">
        <f ca="1">IF(JX$1="","",'Total Value'!JX20/'Total Value'!$D20-1)</f>
        <v/>
      </c>
      <c r="JY8" s="14" t="str">
        <f ca="1">IF(JY$1="","",'Total Value'!JY20/'Total Value'!$D20-1)</f>
        <v/>
      </c>
      <c r="JZ8" s="14" t="str">
        <f ca="1">IF(JZ$1="","",'Total Value'!JZ20/'Total Value'!$D20-1)</f>
        <v/>
      </c>
      <c r="KA8" s="14" t="str">
        <f ca="1">IF(KA$1="","",'Total Value'!KA20/'Total Value'!$D20-1)</f>
        <v/>
      </c>
      <c r="KB8" s="14" t="str">
        <f ca="1">IF(KB$1="","",'Total Value'!KB20/'Total Value'!$D20-1)</f>
        <v/>
      </c>
    </row>
    <row r="9" spans="1:288" ht="15.75" customHeight="1">
      <c r="A9" s="9" t="s">
        <v>30</v>
      </c>
      <c r="B9" s="6" t="s">
        <v>54</v>
      </c>
      <c r="C9" s="26">
        <v>91</v>
      </c>
      <c r="D9" s="13">
        <v>0</v>
      </c>
      <c r="E9" s="14">
        <f ca="1">IF(E$1="","",'Total Value'!E21/'Total Value'!$D21-1)</f>
        <v>4.6004600460045619E-3</v>
      </c>
      <c r="F9" s="14">
        <f ca="1">IF(F$1="","",'Total Value'!F21/'Total Value'!$D21-1)</f>
        <v>1.9601960196019563E-2</v>
      </c>
      <c r="G9" s="14">
        <f ca="1">IF(G$1="","",'Total Value'!G21/'Total Value'!$D21-1)</f>
        <v>-8.4008400840084319E-3</v>
      </c>
      <c r="H9" s="14">
        <f ca="1">IF(H$1="","",'Total Value'!H21/'Total Value'!$D21-1)</f>
        <v>4.2004200420040494E-3</v>
      </c>
      <c r="I9" s="14">
        <f ca="1">IF(I$1="","",'Total Value'!I21/'Total Value'!$D21-1)</f>
        <v>-3.1103110311031079E-2</v>
      </c>
      <c r="J9" s="14">
        <f ca="1">IF(J$1="","",'Total Value'!J21/'Total Value'!$D21-1)</f>
        <v>-2.4202420242024347E-2</v>
      </c>
      <c r="K9" s="14">
        <f ca="1">IF(K$1="","",'Total Value'!K21/'Total Value'!$D21-1)</f>
        <v>-2.3002300230023143E-2</v>
      </c>
      <c r="L9" s="14">
        <f ca="1">IF(L$1="","",'Total Value'!L21/'Total Value'!$D21-1)</f>
        <v>-5.2505250525052505E-2</v>
      </c>
      <c r="M9" s="14">
        <f ca="1">IF(M$1="","",'Total Value'!M21/'Total Value'!$D21-1)</f>
        <v>-4.2204220422042305E-2</v>
      </c>
      <c r="N9" s="14">
        <f ca="1">IF(N$1="","",'Total Value'!N21/'Total Value'!$D21-1)</f>
        <v>-6.2706270627062688E-2</v>
      </c>
      <c r="O9" s="14">
        <f ca="1">IF(O$1="","",'Total Value'!O21/'Total Value'!$D21-1)</f>
        <v>-7.960796079607968E-2</v>
      </c>
      <c r="P9" s="14">
        <f ca="1">IF(P$1="","",'Total Value'!P21/'Total Value'!$D21-1)</f>
        <v>-9.4709470947094809E-2</v>
      </c>
      <c r="Q9" s="14">
        <f ca="1">IF(Q$1="","",'Total Value'!Q21/'Total Value'!$D21-1)</f>
        <v>-5.4805480548054786E-2</v>
      </c>
      <c r="R9" s="14">
        <f ca="1">IF(R$1="","",'Total Value'!R21/'Total Value'!$D21-1)</f>
        <v>-1.4801480148014856E-2</v>
      </c>
      <c r="S9" s="14">
        <f ca="1">IF(S$1="","",'Total Value'!S21/'Total Value'!$D21-1)</f>
        <v>2.4002400240024091E-3</v>
      </c>
      <c r="T9" s="14">
        <f ca="1">IF(T$1="","",'Total Value'!T21/'Total Value'!$D21-1)</f>
        <v>-5.7005700570057494E-3</v>
      </c>
      <c r="U9" s="14">
        <f ca="1">IF(U$1="","",'Total Value'!U21/'Total Value'!$D21-1)</f>
        <v>-5.420542054205435E-2</v>
      </c>
      <c r="V9" s="14">
        <f ca="1">IF(V$1="","",'Total Value'!V21/'Total Value'!$D21-1)</f>
        <v>-2.3102310231023049E-2</v>
      </c>
      <c r="W9" s="14">
        <f ca="1">IF(W$1="","",'Total Value'!W21/'Total Value'!$D21-1)</f>
        <v>-1.5601560156015548E-2</v>
      </c>
      <c r="X9" s="14">
        <f ca="1">IF(X$1="","",'Total Value'!X21/'Total Value'!$D21-1)</f>
        <v>-8.0008000800081414E-3</v>
      </c>
      <c r="Y9" s="14">
        <f ca="1">IF(Y$1="","",'Total Value'!Y21/'Total Value'!$D21-1)</f>
        <v>3.1203120312031318E-2</v>
      </c>
      <c r="Z9" s="14">
        <f ca="1">IF(Z$1="","",'Total Value'!Z21/'Total Value'!$D21-1)</f>
        <v>0.14191419141914197</v>
      </c>
      <c r="AA9" s="14">
        <f ca="1">IF(AA$1="","",'Total Value'!AA21/'Total Value'!$D21-1)</f>
        <v>0.16281628162816286</v>
      </c>
      <c r="AB9" s="14">
        <f ca="1">IF(AB$1="","",'Total Value'!AB21/'Total Value'!$D21-1)</f>
        <v>0.16401640164016396</v>
      </c>
      <c r="AC9" s="14">
        <f ca="1">IF(AC$1="","",'Total Value'!AC21/'Total Value'!$D21-1)</f>
        <v>0.18791879187918781</v>
      </c>
      <c r="AD9" s="14">
        <f ca="1">IF(AD$1="","",'Total Value'!AD21/'Total Value'!$D21-1)</f>
        <v>0.18011801180118003</v>
      </c>
      <c r="AE9" s="14">
        <f ca="1">IF(AE$1="","",'Total Value'!AE21/'Total Value'!$D21-1)</f>
        <v>0.16661666166616662</v>
      </c>
      <c r="AF9" s="14">
        <f ca="1">IF(AF$1="","",'Total Value'!AF21/'Total Value'!$D21-1)</f>
        <v>0.1507150715071508</v>
      </c>
      <c r="AG9" s="14">
        <f ca="1">IF(AG$1="","",'Total Value'!AG21/'Total Value'!$D21-1)</f>
        <v>0.11401140114011388</v>
      </c>
      <c r="AH9" s="14">
        <f ca="1">IF(AH$1="","",'Total Value'!AH21/'Total Value'!$D21-1)</f>
        <v>0.1207120712071208</v>
      </c>
      <c r="AI9" s="14">
        <f ca="1">IF(AI$1="","",'Total Value'!AI21/'Total Value'!$D21-1)</f>
        <v>0.1507150715071508</v>
      </c>
      <c r="AJ9" s="14">
        <f ca="1">IF(AJ$1="","",'Total Value'!AJ21/'Total Value'!$D21-1)</f>
        <v>0.15491549154915485</v>
      </c>
      <c r="AK9" s="14">
        <f ca="1">IF(AK$1="","",'Total Value'!AK21/'Total Value'!$D21-1)</f>
        <v>0.16681668166816666</v>
      </c>
      <c r="AL9" s="14">
        <f ca="1">IF(AL$1="","",'Total Value'!AL21/'Total Value'!$D21-1)</f>
        <v>0.16811681168116799</v>
      </c>
      <c r="AM9" s="14">
        <f ca="1">IF(AM$1="","",'Total Value'!AM21/'Total Value'!$D21-1)</f>
        <v>0.24202420242024192</v>
      </c>
      <c r="AN9" s="14">
        <f ca="1">IF(AN$1="","",'Total Value'!AN21/'Total Value'!$D21-1)</f>
        <v>0.22012201220122019</v>
      </c>
      <c r="AO9" s="14">
        <f ca="1">IF(AO$1="","",'Total Value'!AO21/'Total Value'!$D21-1)</f>
        <v>0.19821982198219823</v>
      </c>
      <c r="AP9" s="14">
        <f ca="1">IF(AP$1="","",'Total Value'!AP21/'Total Value'!$D21-1)</f>
        <v>0.13341334133413341</v>
      </c>
      <c r="AQ9" s="14">
        <f ca="1">IF(AQ$1="","",'Total Value'!AQ21/'Total Value'!$D21-1)</f>
        <v>0.1357135713571358</v>
      </c>
      <c r="AR9" s="14">
        <f ca="1">IF(AR$1="","",'Total Value'!AR21/'Total Value'!$D21-1)</f>
        <v>0.16371637163716368</v>
      </c>
      <c r="AS9" s="14">
        <f ca="1">IF(AS$1="","",'Total Value'!AS21/'Total Value'!$D21-1)</f>
        <v>0.18941894189418962</v>
      </c>
      <c r="AT9" s="14">
        <f ca="1">IF(AT$1="","",'Total Value'!AT21/'Total Value'!$D21-1)</f>
        <v>0.13981398139813983</v>
      </c>
      <c r="AU9" s="14">
        <f ca="1">IF(AU$1="","",'Total Value'!AU21/'Total Value'!$D21-1)</f>
        <v>0.10801080108010819</v>
      </c>
      <c r="AV9" s="14">
        <f ca="1">IF(AV$1="","",'Total Value'!AV21/'Total Value'!$D21-1)</f>
        <v>0.11211121112111222</v>
      </c>
      <c r="AW9" s="14">
        <f ca="1">IF(AW$1="","",'Total Value'!AW21/'Total Value'!$D21-1)</f>
        <v>0.12831283128312809</v>
      </c>
      <c r="AX9" s="14">
        <f ca="1">IF(AX$1="","",'Total Value'!AX21/'Total Value'!$D21-1)</f>
        <v>0.15491549154915485</v>
      </c>
      <c r="AY9" s="14">
        <f ca="1">IF(AY$1="","",'Total Value'!AY21/'Total Value'!$D21-1)</f>
        <v>0.16601660166016607</v>
      </c>
      <c r="AZ9" s="14">
        <f ca="1">IF(AZ$1="","",'Total Value'!AZ21/'Total Value'!$D21-1)</f>
        <v>0.19901990199019903</v>
      </c>
      <c r="BA9" s="14">
        <f ca="1">IF(BA$1="","",'Total Value'!BA21/'Total Value'!$D21-1)</f>
        <v>0.20622062206220626</v>
      </c>
      <c r="BB9" s="14">
        <f ca="1">IF(BB$1="","",'Total Value'!BB21/'Total Value'!$D21-1)</f>
        <v>0.18981898189818991</v>
      </c>
      <c r="BC9" s="14">
        <f ca="1">IF(BC$1="","",'Total Value'!BC21/'Total Value'!$D21-1)</f>
        <v>0.194919491949195</v>
      </c>
      <c r="BD9" s="14">
        <f ca="1">IF(BD$1="","",'Total Value'!BD21/'Total Value'!$D21-1)</f>
        <v>0.20482048204820491</v>
      </c>
      <c r="BE9" s="14">
        <f ca="1">IF(BE$1="","",'Total Value'!BE21/'Total Value'!$D21-1)</f>
        <v>0.18881888188818885</v>
      </c>
      <c r="BF9" s="14">
        <f ca="1">IF(BF$1="","",'Total Value'!BF21/'Total Value'!$D21-1)</f>
        <v>0.21152115211521139</v>
      </c>
      <c r="BG9" s="14">
        <f ca="1">IF(BG$1="","",'Total Value'!BG21/'Total Value'!$D21-1)</f>
        <v>0.19701970197019691</v>
      </c>
      <c r="BH9" s="14">
        <f ca="1">IF(BH$1="","",'Total Value'!BH21/'Total Value'!$D21-1)</f>
        <v>0.20302030203020305</v>
      </c>
      <c r="BI9" s="14">
        <f ca="1">IF(BI$1="","",'Total Value'!BI21/'Total Value'!$D21-1)</f>
        <v>0.23822382238223838</v>
      </c>
      <c r="BJ9" s="14">
        <f ca="1">IF(BJ$1="","",'Total Value'!BJ21/'Total Value'!$D21-1)</f>
        <v>0.25182518251825181</v>
      </c>
      <c r="BK9" s="14">
        <f ca="1">IF(BK$1="","",'Total Value'!BK21/'Total Value'!$D21-1)</f>
        <v>0.24772477247724778</v>
      </c>
      <c r="BL9" s="14">
        <f ca="1">IF(BL$1="","",'Total Value'!BL21/'Total Value'!$D21-1)</f>
        <v>0.22592259225922606</v>
      </c>
      <c r="BM9" s="14">
        <f ca="1">IF(BM$1="","",'Total Value'!BM21/'Total Value'!$D21-1)</f>
        <v>0.23262326232623254</v>
      </c>
      <c r="BN9" s="14">
        <f ca="1">IF(BN$1="","",'Total Value'!BN21/'Total Value'!$D21-1)</f>
        <v>0.22512251225122504</v>
      </c>
      <c r="BO9" s="14">
        <f ca="1">IF(BO$1="","",'Total Value'!BO21/'Total Value'!$D21-1)</f>
        <v>0.22002200220021995</v>
      </c>
      <c r="BP9" s="14">
        <f ca="1">IF(BP$1="","",'Total Value'!BP21/'Total Value'!$D21-1)</f>
        <v>0.23392339233923387</v>
      </c>
      <c r="BQ9" s="14">
        <f ca="1">IF(BQ$1="","",'Total Value'!BQ21/'Total Value'!$D21-1)</f>
        <v>0.26542654265426546</v>
      </c>
      <c r="BR9" s="14">
        <f ca="1">IF(BR$1="","",'Total Value'!BR21/'Total Value'!$D21-1)</f>
        <v>0.25182518251825181</v>
      </c>
      <c r="BS9" s="14">
        <f ca="1">IF(BS$1="","",'Total Value'!BS21/'Total Value'!$D21-1)</f>
        <v>0.21702170217021699</v>
      </c>
      <c r="BT9" s="14">
        <f ca="1">IF(BT$1="","",'Total Value'!BT21/'Total Value'!$D21-1)</f>
        <v>0.29132913291329121</v>
      </c>
      <c r="BU9" s="14">
        <f ca="1">IF(BU$1="","",'Total Value'!BU21/'Total Value'!$D21-1)</f>
        <v>0.26162616261626148</v>
      </c>
      <c r="BV9" s="14">
        <f ca="1">IF(BV$1="","",'Total Value'!BV21/'Total Value'!$D21-1)</f>
        <v>0.22902290229022904</v>
      </c>
      <c r="BW9" s="14">
        <f ca="1">IF(BW$1="","",'Total Value'!BW21/'Total Value'!$D21-1)</f>
        <v>0.20862086208620867</v>
      </c>
      <c r="BX9" s="14">
        <f ca="1">IF(BX$1="","",'Total Value'!BX21/'Total Value'!$D21-1)</f>
        <v>0.21982198219821991</v>
      </c>
      <c r="BY9" s="14">
        <f ca="1">IF(BY$1="","",'Total Value'!BY21/'Total Value'!$D21-1)</f>
        <v>0.23092309230923092</v>
      </c>
      <c r="BZ9" s="14">
        <f ca="1">IF(BZ$1="","",'Total Value'!BZ21/'Total Value'!$D21-1)</f>
        <v>0.23102310231023115</v>
      </c>
      <c r="CA9" s="14">
        <f ca="1">IF(CA$1="","",'Total Value'!CA21/'Total Value'!$D21-1)</f>
        <v>0.20782078207820787</v>
      </c>
      <c r="CB9" s="14">
        <f ca="1">IF(CB$1="","",'Total Value'!CB21/'Total Value'!$D21-1)</f>
        <v>0.2205220522052207</v>
      </c>
      <c r="CC9" s="14">
        <f ca="1">IF(CC$1="","",'Total Value'!CC21/'Total Value'!$D21-1)</f>
        <v>0.22152215221522153</v>
      </c>
      <c r="CD9" s="14">
        <f ca="1">IF(CD$1="","",'Total Value'!CD21/'Total Value'!$D21-1)</f>
        <v>0.21232123212321241</v>
      </c>
      <c r="CE9" s="14">
        <f ca="1">IF(CE$1="","",'Total Value'!CE21/'Total Value'!$D21-1)</f>
        <v>0.23662366236623655</v>
      </c>
      <c r="CF9" s="14" t="str">
        <f ca="1">IF(CF$1="","",'Total Value'!CF21/'Total Value'!$D21-1)</f>
        <v/>
      </c>
      <c r="CG9" s="14" t="str">
        <f ca="1">IF(CG$1="","",'Total Value'!CG21/'Total Value'!$D21-1)</f>
        <v/>
      </c>
      <c r="CH9" s="14" t="str">
        <f ca="1">IF(CH$1="","",'Total Value'!CH21/'Total Value'!$D21-1)</f>
        <v/>
      </c>
      <c r="CI9" s="14" t="str">
        <f ca="1">IF(CI$1="","",'Total Value'!CI21/'Total Value'!$D21-1)</f>
        <v/>
      </c>
      <c r="CJ9" s="14" t="str">
        <f ca="1">IF(CJ$1="","",'Total Value'!CJ21/'Total Value'!$D21-1)</f>
        <v/>
      </c>
      <c r="CK9" s="14" t="str">
        <f ca="1">IF(CK$1="","",'Total Value'!CK21/'Total Value'!$D21-1)</f>
        <v/>
      </c>
      <c r="CL9" s="14" t="str">
        <f ca="1">IF(CL$1="","",'Total Value'!CL21/'Total Value'!$D21-1)</f>
        <v/>
      </c>
      <c r="CM9" s="14" t="str">
        <f ca="1">IF(CM$1="","",'Total Value'!CM21/'Total Value'!$D21-1)</f>
        <v/>
      </c>
      <c r="CN9" s="14" t="str">
        <f ca="1">IF(CN$1="","",'Total Value'!CN21/'Total Value'!$D21-1)</f>
        <v/>
      </c>
      <c r="CO9" s="14" t="str">
        <f ca="1">IF(CO$1="","",'Total Value'!CO21/'Total Value'!$D21-1)</f>
        <v/>
      </c>
      <c r="CP9" s="14" t="str">
        <f ca="1">IF(CP$1="","",'Total Value'!CP21/'Total Value'!$D21-1)</f>
        <v/>
      </c>
      <c r="CQ9" s="14" t="str">
        <f ca="1">IF(CQ$1="","",'Total Value'!CQ21/'Total Value'!$D21-1)</f>
        <v/>
      </c>
      <c r="CR9" s="14" t="str">
        <f ca="1">IF(CR$1="","",'Total Value'!CR21/'Total Value'!$D21-1)</f>
        <v/>
      </c>
      <c r="CS9" s="14" t="str">
        <f ca="1">IF(CS$1="","",'Total Value'!CS21/'Total Value'!$D21-1)</f>
        <v/>
      </c>
      <c r="CT9" s="14" t="str">
        <f ca="1">IF(CT$1="","",'Total Value'!CT21/'Total Value'!$D21-1)</f>
        <v/>
      </c>
      <c r="CU9" s="14" t="str">
        <f ca="1">IF(CU$1="","",'Total Value'!CU21/'Total Value'!$D21-1)</f>
        <v/>
      </c>
      <c r="CV9" s="14" t="str">
        <f ca="1">IF(CV$1="","",'Total Value'!CV21/'Total Value'!$D21-1)</f>
        <v/>
      </c>
      <c r="CW9" s="14" t="str">
        <f ca="1">IF(CW$1="","",'Total Value'!CW21/'Total Value'!$D21-1)</f>
        <v/>
      </c>
      <c r="CX9" s="14" t="str">
        <f ca="1">IF(CX$1="","",'Total Value'!CX21/'Total Value'!$D21-1)</f>
        <v/>
      </c>
      <c r="CY9" s="14" t="str">
        <f ca="1">IF(CY$1="","",'Total Value'!CY21/'Total Value'!$D21-1)</f>
        <v/>
      </c>
      <c r="CZ9" s="14" t="str">
        <f ca="1">IF(CZ$1="","",'Total Value'!CZ21/'Total Value'!$D21-1)</f>
        <v/>
      </c>
      <c r="DA9" s="14" t="str">
        <f ca="1">IF(DA$1="","",'Total Value'!DA21/'Total Value'!$D21-1)</f>
        <v/>
      </c>
      <c r="DB9" s="14" t="str">
        <f ca="1">IF(DB$1="","",'Total Value'!DB21/'Total Value'!$D21-1)</f>
        <v/>
      </c>
      <c r="DC9" s="14" t="str">
        <f ca="1">IF(DC$1="","",'Total Value'!DC21/'Total Value'!$D21-1)</f>
        <v/>
      </c>
      <c r="DD9" s="14" t="str">
        <f ca="1">IF(DD$1="","",'Total Value'!DD21/'Total Value'!$D21-1)</f>
        <v/>
      </c>
      <c r="DE9" s="14" t="str">
        <f ca="1">IF(DE$1="","",'Total Value'!DE21/'Total Value'!$D21-1)</f>
        <v/>
      </c>
      <c r="DF9" s="14" t="str">
        <f ca="1">IF(DF$1="","",'Total Value'!DF21/'Total Value'!$D21-1)</f>
        <v/>
      </c>
      <c r="DG9" s="14" t="str">
        <f ca="1">IF(DG$1="","",'Total Value'!DG21/'Total Value'!$D21-1)</f>
        <v/>
      </c>
      <c r="DH9" s="14" t="str">
        <f ca="1">IF(DH$1="","",'Total Value'!DH21/'Total Value'!$D21-1)</f>
        <v/>
      </c>
      <c r="DI9" s="14" t="str">
        <f ca="1">IF(DI$1="","",'Total Value'!DI21/'Total Value'!$D21-1)</f>
        <v/>
      </c>
      <c r="DJ9" s="14" t="str">
        <f ca="1">IF(DJ$1="","",'Total Value'!DJ21/'Total Value'!$D21-1)</f>
        <v/>
      </c>
      <c r="DK9" s="14" t="str">
        <f ca="1">IF(DK$1="","",'Total Value'!DK21/'Total Value'!$D21-1)</f>
        <v/>
      </c>
      <c r="DL9" s="14" t="str">
        <f ca="1">IF(DL$1="","",'Total Value'!DL21/'Total Value'!$D21-1)</f>
        <v/>
      </c>
      <c r="DM9" s="14" t="str">
        <f ca="1">IF(DM$1="","",'Total Value'!DM21/'Total Value'!$D21-1)</f>
        <v/>
      </c>
      <c r="DN9" s="14" t="str">
        <f ca="1">IF(DN$1="","",'Total Value'!DN21/'Total Value'!$D21-1)</f>
        <v/>
      </c>
      <c r="DO9" s="14" t="str">
        <f ca="1">IF(DO$1="","",'Total Value'!DO21/'Total Value'!$D21-1)</f>
        <v/>
      </c>
      <c r="DP9" s="14" t="str">
        <f ca="1">IF(DP$1="","",'Total Value'!DP21/'Total Value'!$D21-1)</f>
        <v/>
      </c>
      <c r="DQ9" s="14" t="str">
        <f ca="1">IF(DQ$1="","",'Total Value'!DQ21/'Total Value'!$D21-1)</f>
        <v/>
      </c>
      <c r="DR9" s="14" t="str">
        <f ca="1">IF(DR$1="","",'Total Value'!DR21/'Total Value'!$D21-1)</f>
        <v/>
      </c>
      <c r="DS9" s="14" t="str">
        <f ca="1">IF(DS$1="","",'Total Value'!DS21/'Total Value'!$D21-1)</f>
        <v/>
      </c>
      <c r="DT9" s="14" t="str">
        <f ca="1">IF(DT$1="","",'Total Value'!DT21/'Total Value'!$D21-1)</f>
        <v/>
      </c>
      <c r="DU9" s="14" t="str">
        <f ca="1">IF(DU$1="","",'Total Value'!DU21/'Total Value'!$D21-1)</f>
        <v/>
      </c>
      <c r="DV9" s="14" t="str">
        <f ca="1">IF(DV$1="","",'Total Value'!DV21/'Total Value'!$D21-1)</f>
        <v/>
      </c>
      <c r="DW9" s="14" t="str">
        <f ca="1">IF(DW$1="","",'Total Value'!DW21/'Total Value'!$D21-1)</f>
        <v/>
      </c>
      <c r="DX9" s="14" t="str">
        <f ca="1">IF(DX$1="","",'Total Value'!DX21/'Total Value'!$D21-1)</f>
        <v/>
      </c>
      <c r="DY9" s="14" t="str">
        <f ca="1">IF(DY$1="","",'Total Value'!DY21/'Total Value'!$D21-1)</f>
        <v/>
      </c>
      <c r="DZ9" s="14" t="str">
        <f ca="1">IF(DZ$1="","",'Total Value'!DZ21/'Total Value'!$D21-1)</f>
        <v/>
      </c>
      <c r="EA9" s="14" t="str">
        <f ca="1">IF(EA$1="","",'Total Value'!EA21/'Total Value'!$D21-1)</f>
        <v/>
      </c>
      <c r="EB9" s="14" t="str">
        <f ca="1">IF(EB$1="","",'Total Value'!EB21/'Total Value'!$D21-1)</f>
        <v/>
      </c>
      <c r="EC9" s="14" t="str">
        <f ca="1">IF(EC$1="","",'Total Value'!EC21/'Total Value'!$D21-1)</f>
        <v/>
      </c>
      <c r="ED9" s="14" t="str">
        <f ca="1">IF(ED$1="","",'Total Value'!ED21/'Total Value'!$D21-1)</f>
        <v/>
      </c>
      <c r="EE9" s="14" t="str">
        <f ca="1">IF(EE$1="","",'Total Value'!EE21/'Total Value'!$D21-1)</f>
        <v/>
      </c>
      <c r="EF9" s="14" t="str">
        <f ca="1">IF(EF$1="","",'Total Value'!EF21/'Total Value'!$D21-1)</f>
        <v/>
      </c>
      <c r="EG9" s="14" t="str">
        <f ca="1">IF(EG$1="","",'Total Value'!EG21/'Total Value'!$D21-1)</f>
        <v/>
      </c>
      <c r="EH9" s="14" t="str">
        <f ca="1">IF(EH$1="","",'Total Value'!EH21/'Total Value'!$D21-1)</f>
        <v/>
      </c>
      <c r="EI9" s="14" t="str">
        <f ca="1">IF(EI$1="","",'Total Value'!EI21/'Total Value'!$D21-1)</f>
        <v/>
      </c>
      <c r="EJ9" s="14" t="str">
        <f ca="1">IF(EJ$1="","",'Total Value'!EJ21/'Total Value'!$D21-1)</f>
        <v/>
      </c>
      <c r="EK9" s="14" t="str">
        <f ca="1">IF(EK$1="","",'Total Value'!EK21/'Total Value'!$D21-1)</f>
        <v/>
      </c>
      <c r="EL9" s="14" t="str">
        <f ca="1">IF(EL$1="","",'Total Value'!EL21/'Total Value'!$D21-1)</f>
        <v/>
      </c>
      <c r="EM9" s="14" t="str">
        <f ca="1">IF(EM$1="","",'Total Value'!EM21/'Total Value'!$D21-1)</f>
        <v/>
      </c>
      <c r="EN9" s="14" t="str">
        <f ca="1">IF(EN$1="","",'Total Value'!EN21/'Total Value'!$D21-1)</f>
        <v/>
      </c>
      <c r="EO9" s="14" t="str">
        <f ca="1">IF(EO$1="","",'Total Value'!EO21/'Total Value'!$D21-1)</f>
        <v/>
      </c>
      <c r="EP9" s="14" t="str">
        <f ca="1">IF(EP$1="","",'Total Value'!EP21/'Total Value'!$D21-1)</f>
        <v/>
      </c>
      <c r="EQ9" s="14" t="str">
        <f ca="1">IF(EQ$1="","",'Total Value'!EQ21/'Total Value'!$D21-1)</f>
        <v/>
      </c>
      <c r="ER9" s="14" t="str">
        <f ca="1">IF(ER$1="","",'Total Value'!ER21/'Total Value'!$D21-1)</f>
        <v/>
      </c>
      <c r="ES9" s="14" t="str">
        <f ca="1">IF(ES$1="","",'Total Value'!ES21/'Total Value'!$D21-1)</f>
        <v/>
      </c>
      <c r="ET9" s="14" t="str">
        <f ca="1">IF(ET$1="","",'Total Value'!ET21/'Total Value'!$D21-1)</f>
        <v/>
      </c>
      <c r="EU9" s="14" t="str">
        <f ca="1">IF(EU$1="","",'Total Value'!EU21/'Total Value'!$D21-1)</f>
        <v/>
      </c>
      <c r="EV9" s="14" t="str">
        <f ca="1">IF(EV$1="","",'Total Value'!EV21/'Total Value'!$D21-1)</f>
        <v/>
      </c>
      <c r="EW9" s="14" t="str">
        <f ca="1">IF(EW$1="","",'Total Value'!EW21/'Total Value'!$D21-1)</f>
        <v/>
      </c>
      <c r="EX9" s="14" t="str">
        <f ca="1">IF(EX$1="","",'Total Value'!EX21/'Total Value'!$D21-1)</f>
        <v/>
      </c>
      <c r="EY9" s="14" t="str">
        <f ca="1">IF(EY$1="","",'Total Value'!EY21/'Total Value'!$D21-1)</f>
        <v/>
      </c>
      <c r="EZ9" s="14" t="str">
        <f ca="1">IF(EZ$1="","",'Total Value'!EZ21/'Total Value'!$D21-1)</f>
        <v/>
      </c>
      <c r="FA9" s="14" t="str">
        <f ca="1">IF(FA$1="","",'Total Value'!FA21/'Total Value'!$D21-1)</f>
        <v/>
      </c>
      <c r="FB9" s="14" t="str">
        <f ca="1">IF(FB$1="","",'Total Value'!FB21/'Total Value'!$D21-1)</f>
        <v/>
      </c>
      <c r="FC9" s="14" t="str">
        <f ca="1">IF(FC$1="","",'Total Value'!FC21/'Total Value'!$D21-1)</f>
        <v/>
      </c>
      <c r="FD9" s="14" t="str">
        <f ca="1">IF(FD$1="","",'Total Value'!FD21/'Total Value'!$D21-1)</f>
        <v/>
      </c>
      <c r="FE9" s="14" t="str">
        <f ca="1">IF(FE$1="","",'Total Value'!FE21/'Total Value'!$D21-1)</f>
        <v/>
      </c>
      <c r="FF9" s="14" t="str">
        <f ca="1">IF(FF$1="","",'Total Value'!FF21/'Total Value'!$D21-1)</f>
        <v/>
      </c>
      <c r="FG9" s="14" t="str">
        <f ca="1">IF(FG$1="","",'Total Value'!FG21/'Total Value'!$D21-1)</f>
        <v/>
      </c>
      <c r="FH9" s="14" t="str">
        <f ca="1">IF(FH$1="","",'Total Value'!FH21/'Total Value'!$D21-1)</f>
        <v/>
      </c>
      <c r="FI9" s="14" t="str">
        <f ca="1">IF(FI$1="","",'Total Value'!FI21/'Total Value'!$D21-1)</f>
        <v/>
      </c>
      <c r="FJ9" s="14" t="str">
        <f ca="1">IF(FJ$1="","",'Total Value'!FJ21/'Total Value'!$D21-1)</f>
        <v/>
      </c>
      <c r="FK9" s="14" t="str">
        <f ca="1">IF(FK$1="","",'Total Value'!FK21/'Total Value'!$D21-1)</f>
        <v/>
      </c>
      <c r="FL9" s="14" t="str">
        <f ca="1">IF(FL$1="","",'Total Value'!FL21/'Total Value'!$D21-1)</f>
        <v/>
      </c>
      <c r="FM9" s="14" t="str">
        <f ca="1">IF(FM$1="","",'Total Value'!FM21/'Total Value'!$D21-1)</f>
        <v/>
      </c>
      <c r="FN9" s="14" t="str">
        <f ca="1">IF(FN$1="","",'Total Value'!FN21/'Total Value'!$D21-1)</f>
        <v/>
      </c>
      <c r="FO9" s="14" t="str">
        <f ca="1">IF(FO$1="","",'Total Value'!FO21/'Total Value'!$D21-1)</f>
        <v/>
      </c>
      <c r="FP9" s="14" t="str">
        <f ca="1">IF(FP$1="","",'Total Value'!FP21/'Total Value'!$D21-1)</f>
        <v/>
      </c>
      <c r="FQ9" s="14" t="str">
        <f ca="1">IF(FQ$1="","",'Total Value'!FQ21/'Total Value'!$D21-1)</f>
        <v/>
      </c>
      <c r="FR9" s="14" t="str">
        <f ca="1">IF(FR$1="","",'Total Value'!FR21/'Total Value'!$D21-1)</f>
        <v/>
      </c>
      <c r="FS9" s="14" t="str">
        <f ca="1">IF(FS$1="","",'Total Value'!FS21/'Total Value'!$D21-1)</f>
        <v/>
      </c>
      <c r="FT9" s="14" t="str">
        <f ca="1">IF(FT$1="","",'Total Value'!FT21/'Total Value'!$D21-1)</f>
        <v/>
      </c>
      <c r="FU9" s="14" t="str">
        <f ca="1">IF(FU$1="","",'Total Value'!FU21/'Total Value'!$D21-1)</f>
        <v/>
      </c>
      <c r="FV9" s="14" t="str">
        <f ca="1">IF(FV$1="","",'Total Value'!FV21/'Total Value'!$D21-1)</f>
        <v/>
      </c>
      <c r="FW9" s="14" t="str">
        <f ca="1">IF(FW$1="","",'Total Value'!FW21/'Total Value'!$D21-1)</f>
        <v/>
      </c>
      <c r="FX9" s="14" t="str">
        <f ca="1">IF(FX$1="","",'Total Value'!FX21/'Total Value'!$D21-1)</f>
        <v/>
      </c>
      <c r="FY9" s="14" t="str">
        <f ca="1">IF(FY$1="","",'Total Value'!FY21/'Total Value'!$D21-1)</f>
        <v/>
      </c>
      <c r="FZ9" s="14" t="str">
        <f ca="1">IF(FZ$1="","",'Total Value'!FZ21/'Total Value'!$D21-1)</f>
        <v/>
      </c>
      <c r="GA9" s="14" t="str">
        <f ca="1">IF(GA$1="","",'Total Value'!GA21/'Total Value'!$D21-1)</f>
        <v/>
      </c>
      <c r="GB9" s="14" t="str">
        <f ca="1">IF(GB$1="","",'Total Value'!GB21/'Total Value'!$D21-1)</f>
        <v/>
      </c>
      <c r="GC9" s="14" t="str">
        <f ca="1">IF(GC$1="","",'Total Value'!GC21/'Total Value'!$D21-1)</f>
        <v/>
      </c>
      <c r="GD9" s="14" t="str">
        <f ca="1">IF(GD$1="","",'Total Value'!GD21/'Total Value'!$D21-1)</f>
        <v/>
      </c>
      <c r="GE9" s="14" t="str">
        <f ca="1">IF(GE$1="","",'Total Value'!GE21/'Total Value'!$D21-1)</f>
        <v/>
      </c>
      <c r="GF9" s="14" t="str">
        <f ca="1">IF(GF$1="","",'Total Value'!GF21/'Total Value'!$D21-1)</f>
        <v/>
      </c>
      <c r="GG9" s="14" t="str">
        <f ca="1">IF(GG$1="","",'Total Value'!GG21/'Total Value'!$D21-1)</f>
        <v/>
      </c>
      <c r="GH9" s="14" t="str">
        <f ca="1">IF(GH$1="","",'Total Value'!GH21/'Total Value'!$D21-1)</f>
        <v/>
      </c>
      <c r="GI9" s="14" t="str">
        <f ca="1">IF(GI$1="","",'Total Value'!GI21/'Total Value'!$D21-1)</f>
        <v/>
      </c>
      <c r="GJ9" s="14" t="str">
        <f ca="1">IF(GJ$1="","",'Total Value'!GJ21/'Total Value'!$D21-1)</f>
        <v/>
      </c>
      <c r="GK9" s="14" t="str">
        <f ca="1">IF(GK$1="","",'Total Value'!GK21/'Total Value'!$D21-1)</f>
        <v/>
      </c>
      <c r="GL9" s="14" t="str">
        <f ca="1">IF(GL$1="","",'Total Value'!GL21/'Total Value'!$D21-1)</f>
        <v/>
      </c>
      <c r="GM9" s="14" t="str">
        <f ca="1">IF(GM$1="","",'Total Value'!GM21/'Total Value'!$D21-1)</f>
        <v/>
      </c>
      <c r="GN9" s="14" t="str">
        <f ca="1">IF(GN$1="","",'Total Value'!GN21/'Total Value'!$D21-1)</f>
        <v/>
      </c>
      <c r="GO9" s="14" t="str">
        <f ca="1">IF(GO$1="","",'Total Value'!GO21/'Total Value'!$D21-1)</f>
        <v/>
      </c>
      <c r="GP9" s="14" t="str">
        <f ca="1">IF(GP$1="","",'Total Value'!GP21/'Total Value'!$D21-1)</f>
        <v/>
      </c>
      <c r="GQ9" s="14" t="str">
        <f ca="1">IF(GQ$1="","",'Total Value'!GQ21/'Total Value'!$D21-1)</f>
        <v/>
      </c>
      <c r="GR9" s="14" t="str">
        <f ca="1">IF(GR$1="","",'Total Value'!GR21/'Total Value'!$D21-1)</f>
        <v/>
      </c>
      <c r="GS9" s="14" t="str">
        <f ca="1">IF(GS$1="","",'Total Value'!GS21/'Total Value'!$D21-1)</f>
        <v/>
      </c>
      <c r="GT9" s="14" t="str">
        <f ca="1">IF(GT$1="","",'Total Value'!GT21/'Total Value'!$D21-1)</f>
        <v/>
      </c>
      <c r="GU9" s="14" t="str">
        <f ca="1">IF(GU$1="","",'Total Value'!GU21/'Total Value'!$D21-1)</f>
        <v/>
      </c>
      <c r="GV9" s="14" t="str">
        <f ca="1">IF(GV$1="","",'Total Value'!GV21/'Total Value'!$D21-1)</f>
        <v/>
      </c>
      <c r="GW9" s="14" t="str">
        <f ca="1">IF(GW$1="","",'Total Value'!GW21/'Total Value'!$D21-1)</f>
        <v/>
      </c>
      <c r="GX9" s="14" t="str">
        <f ca="1">IF(GX$1="","",'Total Value'!GX21/'Total Value'!$D21-1)</f>
        <v/>
      </c>
      <c r="GY9" s="14" t="str">
        <f ca="1">IF(GY$1="","",'Total Value'!GY21/'Total Value'!$D21-1)</f>
        <v/>
      </c>
      <c r="GZ9" s="14" t="str">
        <f ca="1">IF(GZ$1="","",'Total Value'!GZ21/'Total Value'!$D21-1)</f>
        <v/>
      </c>
      <c r="HA9" s="14" t="str">
        <f ca="1">IF(HA$1="","",'Total Value'!HA21/'Total Value'!$D21-1)</f>
        <v/>
      </c>
      <c r="HB9" s="14" t="str">
        <f ca="1">IF(HB$1="","",'Total Value'!HB21/'Total Value'!$D21-1)</f>
        <v/>
      </c>
      <c r="HC9" s="14" t="str">
        <f ca="1">IF(HC$1="","",'Total Value'!HC21/'Total Value'!$D21-1)</f>
        <v/>
      </c>
      <c r="HD9" s="14" t="str">
        <f ca="1">IF(HD$1="","",'Total Value'!HD21/'Total Value'!$D21-1)</f>
        <v/>
      </c>
      <c r="HE9" s="14" t="str">
        <f ca="1">IF(HE$1="","",'Total Value'!HE21/'Total Value'!$D21-1)</f>
        <v/>
      </c>
      <c r="HF9" s="14" t="str">
        <f ca="1">IF(HF$1="","",'Total Value'!HF21/'Total Value'!$D21-1)</f>
        <v/>
      </c>
      <c r="HG9" s="14" t="str">
        <f ca="1">IF(HG$1="","",'Total Value'!HG21/'Total Value'!$D21-1)</f>
        <v/>
      </c>
      <c r="HH9" s="14" t="str">
        <f ca="1">IF(HH$1="","",'Total Value'!HH21/'Total Value'!$D21-1)</f>
        <v/>
      </c>
      <c r="HI9" s="14" t="str">
        <f ca="1">IF(HI$1="","",'Total Value'!HI21/'Total Value'!$D21-1)</f>
        <v/>
      </c>
      <c r="HJ9" s="14" t="str">
        <f ca="1">IF(HJ$1="","",'Total Value'!HJ21/'Total Value'!$D21-1)</f>
        <v/>
      </c>
      <c r="HK9" s="14" t="str">
        <f ca="1">IF(HK$1="","",'Total Value'!HK21/'Total Value'!$D21-1)</f>
        <v/>
      </c>
      <c r="HL9" s="14" t="str">
        <f ca="1">IF(HL$1="","",'Total Value'!HL21/'Total Value'!$D21-1)</f>
        <v/>
      </c>
      <c r="HM9" s="14" t="str">
        <f ca="1">IF(HM$1="","",'Total Value'!HM21/'Total Value'!$D21-1)</f>
        <v/>
      </c>
      <c r="HN9" s="14" t="str">
        <f ca="1">IF(HN$1="","",'Total Value'!HN21/'Total Value'!$D21-1)</f>
        <v/>
      </c>
      <c r="HO9" s="14" t="str">
        <f ca="1">IF(HO$1="","",'Total Value'!HO21/'Total Value'!$D21-1)</f>
        <v/>
      </c>
      <c r="HP9" s="14" t="str">
        <f ca="1">IF(HP$1="","",'Total Value'!HP21/'Total Value'!$D21-1)</f>
        <v/>
      </c>
      <c r="HQ9" s="14" t="str">
        <f ca="1">IF(HQ$1="","",'Total Value'!HQ21/'Total Value'!$D21-1)</f>
        <v/>
      </c>
      <c r="HR9" s="14" t="str">
        <f ca="1">IF(HR$1="","",'Total Value'!HR21/'Total Value'!$D21-1)</f>
        <v/>
      </c>
      <c r="HS9" s="14" t="str">
        <f ca="1">IF(HS$1="","",'Total Value'!HS21/'Total Value'!$D21-1)</f>
        <v/>
      </c>
      <c r="HT9" s="14" t="str">
        <f ca="1">IF(HT$1="","",'Total Value'!HT21/'Total Value'!$D21-1)</f>
        <v/>
      </c>
      <c r="HU9" s="14" t="str">
        <f ca="1">IF(HU$1="","",'Total Value'!HU21/'Total Value'!$D21-1)</f>
        <v/>
      </c>
      <c r="HV9" s="14" t="str">
        <f ca="1">IF(HV$1="","",'Total Value'!HV21/'Total Value'!$D21-1)</f>
        <v/>
      </c>
      <c r="HW9" s="14" t="str">
        <f ca="1">IF(HW$1="","",'Total Value'!HW21/'Total Value'!$D21-1)</f>
        <v/>
      </c>
      <c r="HX9" s="14" t="str">
        <f ca="1">IF(HX$1="","",'Total Value'!HX21/'Total Value'!$D21-1)</f>
        <v/>
      </c>
      <c r="HY9" s="14" t="str">
        <f ca="1">IF(HY$1="","",'Total Value'!HY21/'Total Value'!$D21-1)</f>
        <v/>
      </c>
      <c r="HZ9" s="14" t="str">
        <f ca="1">IF(HZ$1="","",'Total Value'!HZ21/'Total Value'!$D21-1)</f>
        <v/>
      </c>
      <c r="IA9" s="14" t="str">
        <f ca="1">IF(IA$1="","",'Total Value'!IA21/'Total Value'!$D21-1)</f>
        <v/>
      </c>
      <c r="IB9" s="14" t="str">
        <f ca="1">IF(IB$1="","",'Total Value'!IB21/'Total Value'!$D21-1)</f>
        <v/>
      </c>
      <c r="IC9" s="14" t="str">
        <f ca="1">IF(IC$1="","",'Total Value'!IC21/'Total Value'!$D21-1)</f>
        <v/>
      </c>
      <c r="ID9" s="14" t="str">
        <f ca="1">IF(ID$1="","",'Total Value'!ID21/'Total Value'!$D21-1)</f>
        <v/>
      </c>
      <c r="IE9" s="14" t="str">
        <f ca="1">IF(IE$1="","",'Total Value'!IE21/'Total Value'!$D21-1)</f>
        <v/>
      </c>
      <c r="IF9" s="14" t="str">
        <f ca="1">IF(IF$1="","",'Total Value'!IF21/'Total Value'!$D21-1)</f>
        <v/>
      </c>
      <c r="IG9" s="14" t="str">
        <f ca="1">IF(IG$1="","",'Total Value'!IG21/'Total Value'!$D21-1)</f>
        <v/>
      </c>
      <c r="IH9" s="14" t="str">
        <f ca="1">IF(IH$1="","",'Total Value'!IH21/'Total Value'!$D21-1)</f>
        <v/>
      </c>
      <c r="II9" s="14" t="str">
        <f ca="1">IF(II$1="","",'Total Value'!II21/'Total Value'!$D21-1)</f>
        <v/>
      </c>
      <c r="IJ9" s="14" t="str">
        <f ca="1">IF(IJ$1="","",'Total Value'!IJ21/'Total Value'!$D21-1)</f>
        <v/>
      </c>
      <c r="IK9" s="14" t="str">
        <f ca="1">IF(IK$1="","",'Total Value'!IK21/'Total Value'!$D21-1)</f>
        <v/>
      </c>
      <c r="IL9" s="14" t="str">
        <f ca="1">IF(IL$1="","",'Total Value'!IL21/'Total Value'!$D21-1)</f>
        <v/>
      </c>
      <c r="IM9" s="14" t="str">
        <f ca="1">IF(IM$1="","",'Total Value'!IM21/'Total Value'!$D21-1)</f>
        <v/>
      </c>
      <c r="IN9" s="14" t="str">
        <f ca="1">IF(IN$1="","",'Total Value'!IN21/'Total Value'!$D21-1)</f>
        <v/>
      </c>
      <c r="IO9" s="14" t="str">
        <f ca="1">IF(IO$1="","",'Total Value'!IO21/'Total Value'!$D21-1)</f>
        <v/>
      </c>
      <c r="IP9" s="14" t="str">
        <f ca="1">IF(IP$1="","",'Total Value'!IP21/'Total Value'!$D21-1)</f>
        <v/>
      </c>
      <c r="IQ9" s="14" t="str">
        <f ca="1">IF(IQ$1="","",'Total Value'!IQ21/'Total Value'!$D21-1)</f>
        <v/>
      </c>
      <c r="IR9" s="14" t="str">
        <f ca="1">IF(IR$1="","",'Total Value'!IR21/'Total Value'!$D21-1)</f>
        <v/>
      </c>
      <c r="IS9" s="14" t="str">
        <f ca="1">IF(IS$1="","",'Total Value'!IS21/'Total Value'!$D21-1)</f>
        <v/>
      </c>
      <c r="IT9" s="14" t="str">
        <f ca="1">IF(IT$1="","",'Total Value'!IT21/'Total Value'!$D21-1)</f>
        <v/>
      </c>
      <c r="IU9" s="14" t="str">
        <f ca="1">IF(IU$1="","",'Total Value'!IU21/'Total Value'!$D21-1)</f>
        <v/>
      </c>
      <c r="IV9" s="14" t="str">
        <f ca="1">IF(IV$1="","",'Total Value'!IV21/'Total Value'!$D21-1)</f>
        <v/>
      </c>
      <c r="IW9" s="14" t="str">
        <f ca="1">IF(IW$1="","",'Total Value'!IW21/'Total Value'!$D21-1)</f>
        <v/>
      </c>
      <c r="IX9" s="14" t="str">
        <f ca="1">IF(IX$1="","",'Total Value'!IX21/'Total Value'!$D21-1)</f>
        <v/>
      </c>
      <c r="IY9" s="14" t="str">
        <f ca="1">IF(IY$1="","",'Total Value'!IY21/'Total Value'!$D21-1)</f>
        <v/>
      </c>
      <c r="IZ9" s="14" t="str">
        <f ca="1">IF(IZ$1="","",'Total Value'!IZ21/'Total Value'!$D21-1)</f>
        <v/>
      </c>
      <c r="JA9" s="14" t="str">
        <f ca="1">IF(JA$1="","",'Total Value'!JA21/'Total Value'!$D21-1)</f>
        <v/>
      </c>
      <c r="JB9" s="14" t="str">
        <f ca="1">IF(JB$1="","",'Total Value'!JB21/'Total Value'!$D21-1)</f>
        <v/>
      </c>
      <c r="JC9" s="14" t="str">
        <f ca="1">IF(JC$1="","",'Total Value'!JC21/'Total Value'!$D21-1)</f>
        <v/>
      </c>
      <c r="JD9" s="14" t="str">
        <f ca="1">IF(JD$1="","",'Total Value'!JD21/'Total Value'!$D21-1)</f>
        <v/>
      </c>
      <c r="JE9" s="14" t="str">
        <f ca="1">IF(JE$1="","",'Total Value'!JE21/'Total Value'!$D21-1)</f>
        <v/>
      </c>
      <c r="JF9" s="14" t="str">
        <f ca="1">IF(JF$1="","",'Total Value'!JF21/'Total Value'!$D21-1)</f>
        <v/>
      </c>
      <c r="JG9" s="14" t="str">
        <f ca="1">IF(JG$1="","",'Total Value'!JG21/'Total Value'!$D21-1)</f>
        <v/>
      </c>
      <c r="JH9" s="14" t="str">
        <f ca="1">IF(JH$1="","",'Total Value'!JH21/'Total Value'!$D21-1)</f>
        <v/>
      </c>
      <c r="JI9" s="14" t="str">
        <f ca="1">IF(JI$1="","",'Total Value'!JI21/'Total Value'!$D21-1)</f>
        <v/>
      </c>
      <c r="JJ9" s="14" t="str">
        <f ca="1">IF(JJ$1="","",'Total Value'!JJ21/'Total Value'!$D21-1)</f>
        <v/>
      </c>
      <c r="JK9" s="14" t="str">
        <f ca="1">IF(JK$1="","",'Total Value'!JK21/'Total Value'!$D21-1)</f>
        <v/>
      </c>
      <c r="JL9" s="14" t="str">
        <f ca="1">IF(JL$1="","",'Total Value'!JL21/'Total Value'!$D21-1)</f>
        <v/>
      </c>
      <c r="JM9" s="14" t="str">
        <f ca="1">IF(JM$1="","",'Total Value'!JM21/'Total Value'!$D21-1)</f>
        <v/>
      </c>
      <c r="JN9" s="14" t="str">
        <f ca="1">IF(JN$1="","",'Total Value'!JN21/'Total Value'!$D21-1)</f>
        <v/>
      </c>
      <c r="JO9" s="14" t="str">
        <f ca="1">IF(JO$1="","",'Total Value'!JO21/'Total Value'!$D21-1)</f>
        <v/>
      </c>
      <c r="JP9" s="14" t="str">
        <f ca="1">IF(JP$1="","",'Total Value'!JP21/'Total Value'!$D21-1)</f>
        <v/>
      </c>
      <c r="JQ9" s="14" t="str">
        <f ca="1">IF(JQ$1="","",'Total Value'!JQ21/'Total Value'!$D21-1)</f>
        <v/>
      </c>
      <c r="JR9" s="14" t="str">
        <f ca="1">IF(JR$1="","",'Total Value'!JR21/'Total Value'!$D21-1)</f>
        <v/>
      </c>
      <c r="JS9" s="14" t="str">
        <f ca="1">IF(JS$1="","",'Total Value'!JS21/'Total Value'!$D21-1)</f>
        <v/>
      </c>
      <c r="JT9" s="14" t="str">
        <f ca="1">IF(JT$1="","",'Total Value'!JT21/'Total Value'!$D21-1)</f>
        <v/>
      </c>
      <c r="JU9" s="14" t="str">
        <f ca="1">IF(JU$1="","",'Total Value'!JU21/'Total Value'!$D21-1)</f>
        <v/>
      </c>
      <c r="JV9" s="14" t="str">
        <f ca="1">IF(JV$1="","",'Total Value'!JV21/'Total Value'!$D21-1)</f>
        <v/>
      </c>
      <c r="JW9" s="14" t="str">
        <f ca="1">IF(JW$1="","",'Total Value'!JW21/'Total Value'!$D21-1)</f>
        <v/>
      </c>
      <c r="JX9" s="14" t="str">
        <f ca="1">IF(JX$1="","",'Total Value'!JX21/'Total Value'!$D21-1)</f>
        <v/>
      </c>
      <c r="JY9" s="14" t="str">
        <f ca="1">IF(JY$1="","",'Total Value'!JY21/'Total Value'!$D21-1)</f>
        <v/>
      </c>
      <c r="JZ9" s="14" t="str">
        <f ca="1">IF(JZ$1="","",'Total Value'!JZ21/'Total Value'!$D21-1)</f>
        <v/>
      </c>
      <c r="KA9" s="14" t="str">
        <f ca="1">IF(KA$1="","",'Total Value'!KA21/'Total Value'!$D21-1)</f>
        <v/>
      </c>
      <c r="KB9" s="14" t="str">
        <f ca="1">IF(KB$1="","",'Total Value'!KB21/'Total Value'!$D21-1)</f>
        <v/>
      </c>
    </row>
    <row r="10" spans="1:288" ht="15.75" customHeight="1">
      <c r="A10" s="9" t="s">
        <v>30</v>
      </c>
      <c r="B10" s="6" t="s">
        <v>55</v>
      </c>
      <c r="C10" s="26">
        <v>78</v>
      </c>
      <c r="D10" s="13">
        <v>0</v>
      </c>
      <c r="E10" s="14">
        <f ca="1">IF(E$1="","",'Total Value'!E22/'Total Value'!$D22-1)</f>
        <v>1.4036233066753612E-2</v>
      </c>
      <c r="F10" s="14">
        <f ca="1">IF(F$1="","",'Total Value'!F22/'Total Value'!$D22-1)</f>
        <v>2.9378162232740479E-3</v>
      </c>
      <c r="G10" s="14">
        <f ca="1">IF(G$1="","",'Total Value'!G22/'Total Value'!$D22-1)</f>
        <v>7.0181165333769169E-3</v>
      </c>
      <c r="H10" s="14">
        <f ca="1">IF(H$1="","",'Total Value'!H22/'Total Value'!$D22-1)</f>
        <v>2.1543985637342944E-2</v>
      </c>
      <c r="I10" s="14">
        <f ca="1">IF(I$1="","",'Total Value'!I22/'Total Value'!$D22-1)</f>
        <v>1.7708503345846172E-2</v>
      </c>
      <c r="J10" s="14">
        <f ca="1">IF(J$1="","",'Total Value'!J22/'Total Value'!$D22-1)</f>
        <v>1.3628203035743303E-2</v>
      </c>
      <c r="K10" s="14">
        <f ca="1">IF(K$1="","",'Total Value'!K22/'Total Value'!$D22-1)</f>
        <v>1.9748653500897495E-2</v>
      </c>
      <c r="L10" s="14">
        <f ca="1">IF(L$1="","",'Total Value'!L22/'Total Value'!$D22-1)</f>
        <v>9.7927207442465303E-3</v>
      </c>
      <c r="M10" s="14">
        <f ca="1">IF(M$1="","",'Total Value'!M22/'Total Value'!$D22-1)</f>
        <v>2.1625591643544828E-2</v>
      </c>
      <c r="N10" s="14">
        <f ca="1">IF(N$1="","",'Total Value'!N22/'Total Value'!$D22-1)</f>
        <v>8.9766606822272443E-4</v>
      </c>
      <c r="O10" s="14">
        <f ca="1">IF(O$1="","",'Total Value'!O22/'Total Value'!$D22-1)</f>
        <v>-1.468908111637135E-3</v>
      </c>
      <c r="P10" s="14">
        <f ca="1">IF(P$1="","",'Total Value'!P22/'Total Value'!$D22-1)</f>
        <v>1.8116533376856481E-2</v>
      </c>
      <c r="Q10" s="14">
        <f ca="1">IF(Q$1="","",'Total Value'!Q22/'Total Value'!$D22-1)</f>
        <v>5.3859964093357027E-2</v>
      </c>
      <c r="R10" s="14">
        <f ca="1">IF(R$1="","",'Total Value'!R22/'Total Value'!$D22-1)</f>
        <v>4.8473967684021346E-2</v>
      </c>
      <c r="S10" s="14">
        <f ca="1">IF(S$1="","",'Total Value'!S22/'Total Value'!$D22-1)</f>
        <v>4.8392361677819462E-2</v>
      </c>
      <c r="T10" s="14">
        <f ca="1">IF(T$1="","",'Total Value'!T22/'Total Value'!$D22-1)</f>
        <v>6.7406561122898667E-2</v>
      </c>
      <c r="U10" s="14">
        <f ca="1">IF(U$1="","",'Total Value'!U22/'Total Value'!$D22-1)</f>
        <v>6.0633262608127847E-2</v>
      </c>
      <c r="V10" s="14">
        <f ca="1">IF(V$1="","",'Total Value'!V22/'Total Value'!$D22-1)</f>
        <v>6.9609923290353981E-2</v>
      </c>
      <c r="W10" s="14">
        <f ca="1">IF(W$1="","",'Total Value'!W22/'Total Value'!$D22-1)</f>
        <v>7.4914313693487777E-2</v>
      </c>
      <c r="X10" s="14">
        <f ca="1">IF(X$1="","",'Total Value'!X22/'Total Value'!$D22-1)</f>
        <v>8.1279582177248066E-2</v>
      </c>
      <c r="Y10" s="14">
        <f ca="1">IF(Y$1="","",'Total Value'!Y22/'Total Value'!$D22-1)</f>
        <v>0.10878080626734121</v>
      </c>
      <c r="Z10" s="14">
        <f ca="1">IF(Z$1="","",'Total Value'!Z22/'Total Value'!$D22-1)</f>
        <v>9.1643544964909562E-2</v>
      </c>
      <c r="AA10" s="14">
        <f ca="1">IF(AA$1="","",'Total Value'!AA22/'Total Value'!$D22-1)</f>
        <v>2.0809531581524432E-2</v>
      </c>
      <c r="AB10" s="14">
        <f ca="1">IF(AB$1="","",'Total Value'!AB22/'Total Value'!$D22-1)</f>
        <v>8.4870246450137188E-3</v>
      </c>
      <c r="AC10" s="14">
        <f ca="1">IF(AC$1="","",'Total Value'!AC22/'Total Value'!$D22-1)</f>
        <v>3.4682552635874053E-2</v>
      </c>
      <c r="AD10" s="14">
        <f ca="1">IF(AD$1="","",'Total Value'!AD22/'Total Value'!$D22-1)</f>
        <v>2.741961808389104E-2</v>
      </c>
      <c r="AE10" s="14">
        <f ca="1">IF(AE$1="","",'Total Value'!AE22/'Total Value'!$D22-1)</f>
        <v>1.5178717153582433E-2</v>
      </c>
      <c r="AF10" s="14">
        <f ca="1">IF(AF$1="","",'Total Value'!AF22/'Total Value'!$D22-1)</f>
        <v>1.0608780806267148E-3</v>
      </c>
      <c r="AG10" s="14">
        <f ca="1">IF(AG$1="","",'Total Value'!AG22/'Total Value'!$D22-1)</f>
        <v>-1.7626897339644287E-2</v>
      </c>
      <c r="AH10" s="14">
        <f ca="1">IF(AH$1="","",'Total Value'!AH22/'Total Value'!$D22-1)</f>
        <v>-3.6396278766117285E-2</v>
      </c>
      <c r="AI10" s="14">
        <f ca="1">IF(AI$1="","",'Total Value'!AI22/'Total Value'!$D22-1)</f>
        <v>-3.6069854741308971E-2</v>
      </c>
      <c r="AJ10" s="14">
        <f ca="1">IF(AJ$1="","",'Total Value'!AJ22/'Total Value'!$D22-1)</f>
        <v>-3.590664272890487E-2</v>
      </c>
      <c r="AK10" s="14">
        <f ca="1">IF(AK$1="","",'Total Value'!AK22/'Total Value'!$D22-1)</f>
        <v>-4.2598335237473695E-2</v>
      </c>
      <c r="AL10" s="14">
        <f ca="1">IF(AL$1="","",'Total Value'!AL22/'Total Value'!$D22-1)</f>
        <v>-5.4104782111963567E-2</v>
      </c>
      <c r="AM10" s="14">
        <f ca="1">IF(AM$1="","",'Total Value'!AM22/'Total Value'!$D22-1)</f>
        <v>-2.3992165823404799E-2</v>
      </c>
      <c r="AN10" s="14">
        <f ca="1">IF(AN$1="","",'Total Value'!AN22/'Total Value'!$D22-1)</f>
        <v>-1.991186551330193E-2</v>
      </c>
      <c r="AO10" s="14">
        <f ca="1">IF(AO$1="","",'Total Value'!AO22/'Total Value'!$D22-1)</f>
        <v>-2.6766770034274523E-2</v>
      </c>
      <c r="AP10" s="14">
        <f ca="1">IF(AP$1="","",'Total Value'!AP22/'Total Value'!$D22-1)</f>
        <v>-8.2911702301289525E-2</v>
      </c>
      <c r="AQ10" s="14">
        <f ca="1">IF(AQ$1="","",'Total Value'!AQ22/'Total Value'!$D22-1)</f>
        <v>-0.10323159784560154</v>
      </c>
      <c r="AR10" s="14">
        <f ca="1">IF(AR$1="","",'Total Value'!AR22/'Total Value'!$D22-1)</f>
        <v>-6.29182307817856E-2</v>
      </c>
      <c r="AS10" s="14">
        <f ca="1">IF(AS$1="","",'Total Value'!AS22/'Total Value'!$D22-1)</f>
        <v>-6.9609923290354203E-2</v>
      </c>
      <c r="AT10" s="14">
        <f ca="1">IF(AT$1="","",'Total Value'!AT22/'Total Value'!$D22-1)</f>
        <v>-9.7437571405255552E-2</v>
      </c>
      <c r="AU10" s="14">
        <f ca="1">IF(AU$1="","",'Total Value'!AU22/'Total Value'!$D22-1)</f>
        <v>-0.11302431858984829</v>
      </c>
      <c r="AV10" s="14">
        <f ca="1">IF(AV$1="","",'Total Value'!AV22/'Total Value'!$D22-1)</f>
        <v>-9.2867635057940379E-2</v>
      </c>
      <c r="AW10" s="14">
        <f ca="1">IF(AW$1="","",'Total Value'!AW22/'Total Value'!$D22-1)</f>
        <v>-7.7852129916761936E-2</v>
      </c>
      <c r="AX10" s="14">
        <f ca="1">IF(AX$1="","",'Total Value'!AX22/'Total Value'!$D22-1)</f>
        <v>-7.1486861433001536E-2</v>
      </c>
      <c r="AY10" s="14">
        <f ca="1">IF(AY$1="","",'Total Value'!AY22/'Total Value'!$D22-1)</f>
        <v>-5.9001142484086833E-2</v>
      </c>
      <c r="AZ10" s="14">
        <f ca="1">IF(AZ$1="","",'Total Value'!AZ22/'Total Value'!$D22-1)</f>
        <v>-5.9817202546107562E-2</v>
      </c>
      <c r="BA10" s="14">
        <f ca="1">IF(BA$1="","",'Total Value'!BA22/'Total Value'!$D22-1)</f>
        <v>-4.6841847559980554E-2</v>
      </c>
      <c r="BB10" s="14">
        <f ca="1">IF(BB$1="","",'Total Value'!BB22/'Total Value'!$D22-1)</f>
        <v>-5.0758935857679321E-2</v>
      </c>
      <c r="BC10" s="14">
        <f ca="1">IF(BC$1="","",'Total Value'!BC22/'Total Value'!$D22-1)</f>
        <v>-4.2190305206463163E-2</v>
      </c>
      <c r="BD10" s="14">
        <f ca="1">IF(BD$1="","",'Total Value'!BD22/'Total Value'!$D22-1)</f>
        <v>-3.4029704586257536E-2</v>
      </c>
      <c r="BE10" s="14">
        <f ca="1">IF(BE$1="","",'Total Value'!BE22/'Total Value'!$D22-1)</f>
        <v>-3.0847070344377392E-2</v>
      </c>
      <c r="BF10" s="14">
        <f ca="1">IF(BF$1="","",'Total Value'!BF22/'Total Value'!$D22-1)</f>
        <v>-2.7011588052880731E-2</v>
      </c>
      <c r="BG10" s="14">
        <f ca="1">IF(BG$1="","",'Total Value'!BG22/'Total Value'!$D22-1)</f>
        <v>-5.1819813938305925E-2</v>
      </c>
      <c r="BH10" s="14">
        <f ca="1">IF(BH$1="","",'Total Value'!BH22/'Total Value'!$D22-1)</f>
        <v>-7.0752407377183024E-2</v>
      </c>
      <c r="BI10" s="14">
        <f ca="1">IF(BI$1="","",'Total Value'!BI22/'Total Value'!$D22-1)</f>
        <v>-6.7977803166313189E-2</v>
      </c>
      <c r="BJ10" s="14">
        <f ca="1">IF(BJ$1="","",'Total Value'!BJ22/'Total Value'!$D22-1)</f>
        <v>-5.4676024155377867E-2</v>
      </c>
      <c r="BK10" s="14">
        <f ca="1">IF(BK$1="","",'Total Value'!BK22/'Total Value'!$D22-1)</f>
        <v>-5.7205810347641606E-2</v>
      </c>
      <c r="BL10" s="14">
        <f ca="1">IF(BL$1="","",'Total Value'!BL22/'Total Value'!$D22-1)</f>
        <v>-9.4091725150971084E-2</v>
      </c>
      <c r="BM10" s="14">
        <f ca="1">IF(BM$1="","",'Total Value'!BM22/'Total Value'!$D22-1)</f>
        <v>-9.2133181002121867E-2</v>
      </c>
      <c r="BN10" s="14">
        <f ca="1">IF(BN$1="","",'Total Value'!BN22/'Total Value'!$D22-1)</f>
        <v>-9.3765301126162992E-2</v>
      </c>
      <c r="BO10" s="14">
        <f ca="1">IF(BO$1="","",'Total Value'!BO22/'Total Value'!$D22-1)</f>
        <v>-9.3275665088950577E-2</v>
      </c>
      <c r="BP10" s="14">
        <f ca="1">IF(BP$1="","",'Total Value'!BP22/'Total Value'!$D22-1)</f>
        <v>-8.7726456667210684E-2</v>
      </c>
      <c r="BQ10" s="14">
        <f ca="1">IF(BQ$1="","",'Total Value'!BQ22/'Total Value'!$D22-1)</f>
        <v>-6.7651379141504875E-2</v>
      </c>
      <c r="BR10" s="14">
        <f ca="1">IF(BR$1="","",'Total Value'!BR22/'Total Value'!$D22-1)</f>
        <v>-7.1894891464011734E-2</v>
      </c>
      <c r="BS10" s="14">
        <f ca="1">IF(BS$1="","",'Total Value'!BS22/'Total Value'!$D22-1)</f>
        <v>-0.10665905010608789</v>
      </c>
      <c r="BT10" s="14">
        <f ca="1">IF(BT$1="","",'Total Value'!BT22/'Total Value'!$D22-1)</f>
        <v>-8.8705728741635403E-2</v>
      </c>
      <c r="BU10" s="14">
        <f ca="1">IF(BU$1="","",'Total Value'!BU22/'Total Value'!$D22-1)</f>
        <v>-9.2541211033132065E-2</v>
      </c>
      <c r="BV10" s="14">
        <f ca="1">IF(BV$1="","",'Total Value'!BV22/'Total Value'!$D22-1)</f>
        <v>-9.9722539578913194E-2</v>
      </c>
      <c r="BW10" s="14">
        <f ca="1">IF(BW$1="","",'Total Value'!BW22/'Total Value'!$D22-1)</f>
        <v>-0.11718622490615305</v>
      </c>
      <c r="BX10" s="14">
        <f ca="1">IF(BX$1="","",'Total Value'!BX22/'Total Value'!$D22-1)</f>
        <v>-0.1009466296719439</v>
      </c>
      <c r="BY10" s="14">
        <f ca="1">IF(BY$1="","",'Total Value'!BY22/'Total Value'!$D22-1)</f>
        <v>-0.1265709156193896</v>
      </c>
      <c r="BZ10" s="14">
        <f ca="1">IF(BZ$1="","",'Total Value'!BZ22/'Total Value'!$D22-1)</f>
        <v>-0.1191447690550026</v>
      </c>
      <c r="CA10" s="14">
        <f ca="1">IF(CA$1="","",'Total Value'!CA22/'Total Value'!$D22-1)</f>
        <v>-9.5152603231598021E-2</v>
      </c>
      <c r="CB10" s="14">
        <f ca="1">IF(CB$1="","",'Total Value'!CB22/'Total Value'!$D22-1)</f>
        <v>-0.11832870899298187</v>
      </c>
      <c r="CC10" s="14">
        <f ca="1">IF(CC$1="","",'Total Value'!CC22/'Total Value'!$D22-1)</f>
        <v>-0.10445568793863247</v>
      </c>
      <c r="CD10" s="14">
        <f ca="1">IF(CD$1="","",'Total Value'!CD22/'Total Value'!$D22-1)</f>
        <v>-0.11049453239758456</v>
      </c>
      <c r="CE10" s="14">
        <f ca="1">IF(CE$1="","",'Total Value'!CE22/'Total Value'!$D22-1)</f>
        <v>-0.10355802187040986</v>
      </c>
      <c r="CF10" s="14" t="str">
        <f ca="1">IF(CF$1="","",'Total Value'!CF22/'Total Value'!$D22-1)</f>
        <v/>
      </c>
      <c r="CG10" s="14" t="str">
        <f ca="1">IF(CG$1="","",'Total Value'!CG22/'Total Value'!$D22-1)</f>
        <v/>
      </c>
      <c r="CH10" s="14" t="str">
        <f ca="1">IF(CH$1="","",'Total Value'!CH22/'Total Value'!$D22-1)</f>
        <v/>
      </c>
      <c r="CI10" s="14" t="str">
        <f ca="1">IF(CI$1="","",'Total Value'!CI22/'Total Value'!$D22-1)</f>
        <v/>
      </c>
      <c r="CJ10" s="14" t="str">
        <f ca="1">IF(CJ$1="","",'Total Value'!CJ22/'Total Value'!$D22-1)</f>
        <v/>
      </c>
      <c r="CK10" s="14" t="str">
        <f ca="1">IF(CK$1="","",'Total Value'!CK22/'Total Value'!$D22-1)</f>
        <v/>
      </c>
      <c r="CL10" s="14" t="str">
        <f ca="1">IF(CL$1="","",'Total Value'!CL22/'Total Value'!$D22-1)</f>
        <v/>
      </c>
      <c r="CM10" s="14" t="str">
        <f ca="1">IF(CM$1="","",'Total Value'!CM22/'Total Value'!$D22-1)</f>
        <v/>
      </c>
      <c r="CN10" s="14" t="str">
        <f ca="1">IF(CN$1="","",'Total Value'!CN22/'Total Value'!$D22-1)</f>
        <v/>
      </c>
      <c r="CO10" s="14" t="str">
        <f ca="1">IF(CO$1="","",'Total Value'!CO22/'Total Value'!$D22-1)</f>
        <v/>
      </c>
      <c r="CP10" s="14" t="str">
        <f ca="1">IF(CP$1="","",'Total Value'!CP22/'Total Value'!$D22-1)</f>
        <v/>
      </c>
      <c r="CQ10" s="14" t="str">
        <f ca="1">IF(CQ$1="","",'Total Value'!CQ22/'Total Value'!$D22-1)</f>
        <v/>
      </c>
      <c r="CR10" s="14" t="str">
        <f ca="1">IF(CR$1="","",'Total Value'!CR22/'Total Value'!$D22-1)</f>
        <v/>
      </c>
      <c r="CS10" s="14" t="str">
        <f ca="1">IF(CS$1="","",'Total Value'!CS22/'Total Value'!$D22-1)</f>
        <v/>
      </c>
      <c r="CT10" s="14" t="str">
        <f ca="1">IF(CT$1="","",'Total Value'!CT22/'Total Value'!$D22-1)</f>
        <v/>
      </c>
      <c r="CU10" s="14" t="str">
        <f ca="1">IF(CU$1="","",'Total Value'!CU22/'Total Value'!$D22-1)</f>
        <v/>
      </c>
      <c r="CV10" s="14" t="str">
        <f ca="1">IF(CV$1="","",'Total Value'!CV22/'Total Value'!$D22-1)</f>
        <v/>
      </c>
      <c r="CW10" s="14" t="str">
        <f ca="1">IF(CW$1="","",'Total Value'!CW22/'Total Value'!$D22-1)</f>
        <v/>
      </c>
      <c r="CX10" s="14" t="str">
        <f ca="1">IF(CX$1="","",'Total Value'!CX22/'Total Value'!$D22-1)</f>
        <v/>
      </c>
      <c r="CY10" s="14" t="str">
        <f ca="1">IF(CY$1="","",'Total Value'!CY22/'Total Value'!$D22-1)</f>
        <v/>
      </c>
      <c r="CZ10" s="14" t="str">
        <f ca="1">IF(CZ$1="","",'Total Value'!CZ22/'Total Value'!$D22-1)</f>
        <v/>
      </c>
      <c r="DA10" s="14" t="str">
        <f ca="1">IF(DA$1="","",'Total Value'!DA22/'Total Value'!$D22-1)</f>
        <v/>
      </c>
      <c r="DB10" s="14" t="str">
        <f ca="1">IF(DB$1="","",'Total Value'!DB22/'Total Value'!$D22-1)</f>
        <v/>
      </c>
      <c r="DC10" s="14" t="str">
        <f ca="1">IF(DC$1="","",'Total Value'!DC22/'Total Value'!$D22-1)</f>
        <v/>
      </c>
      <c r="DD10" s="14" t="str">
        <f ca="1">IF(DD$1="","",'Total Value'!DD22/'Total Value'!$D22-1)</f>
        <v/>
      </c>
      <c r="DE10" s="14" t="str">
        <f ca="1">IF(DE$1="","",'Total Value'!DE22/'Total Value'!$D22-1)</f>
        <v/>
      </c>
      <c r="DF10" s="14" t="str">
        <f ca="1">IF(DF$1="","",'Total Value'!DF22/'Total Value'!$D22-1)</f>
        <v/>
      </c>
      <c r="DG10" s="14" t="str">
        <f ca="1">IF(DG$1="","",'Total Value'!DG22/'Total Value'!$D22-1)</f>
        <v/>
      </c>
      <c r="DH10" s="14" t="str">
        <f ca="1">IF(DH$1="","",'Total Value'!DH22/'Total Value'!$D22-1)</f>
        <v/>
      </c>
      <c r="DI10" s="14" t="str">
        <f ca="1">IF(DI$1="","",'Total Value'!DI22/'Total Value'!$D22-1)</f>
        <v/>
      </c>
      <c r="DJ10" s="14" t="str">
        <f ca="1">IF(DJ$1="","",'Total Value'!DJ22/'Total Value'!$D22-1)</f>
        <v/>
      </c>
      <c r="DK10" s="14" t="str">
        <f ca="1">IF(DK$1="","",'Total Value'!DK22/'Total Value'!$D22-1)</f>
        <v/>
      </c>
      <c r="DL10" s="14" t="str">
        <f ca="1">IF(DL$1="","",'Total Value'!DL22/'Total Value'!$D22-1)</f>
        <v/>
      </c>
      <c r="DM10" s="14" t="str">
        <f ca="1">IF(DM$1="","",'Total Value'!DM22/'Total Value'!$D22-1)</f>
        <v/>
      </c>
      <c r="DN10" s="14" t="str">
        <f ca="1">IF(DN$1="","",'Total Value'!DN22/'Total Value'!$D22-1)</f>
        <v/>
      </c>
      <c r="DO10" s="14" t="str">
        <f ca="1">IF(DO$1="","",'Total Value'!DO22/'Total Value'!$D22-1)</f>
        <v/>
      </c>
      <c r="DP10" s="14" t="str">
        <f ca="1">IF(DP$1="","",'Total Value'!DP22/'Total Value'!$D22-1)</f>
        <v/>
      </c>
      <c r="DQ10" s="14" t="str">
        <f ca="1">IF(DQ$1="","",'Total Value'!DQ22/'Total Value'!$D22-1)</f>
        <v/>
      </c>
      <c r="DR10" s="14" t="str">
        <f ca="1">IF(DR$1="","",'Total Value'!DR22/'Total Value'!$D22-1)</f>
        <v/>
      </c>
      <c r="DS10" s="14" t="str">
        <f ca="1">IF(DS$1="","",'Total Value'!DS22/'Total Value'!$D22-1)</f>
        <v/>
      </c>
      <c r="DT10" s="14" t="str">
        <f ca="1">IF(DT$1="","",'Total Value'!DT22/'Total Value'!$D22-1)</f>
        <v/>
      </c>
      <c r="DU10" s="14" t="str">
        <f ca="1">IF(DU$1="","",'Total Value'!DU22/'Total Value'!$D22-1)</f>
        <v/>
      </c>
      <c r="DV10" s="14" t="str">
        <f ca="1">IF(DV$1="","",'Total Value'!DV22/'Total Value'!$D22-1)</f>
        <v/>
      </c>
      <c r="DW10" s="14" t="str">
        <f ca="1">IF(DW$1="","",'Total Value'!DW22/'Total Value'!$D22-1)</f>
        <v/>
      </c>
      <c r="DX10" s="14" t="str">
        <f ca="1">IF(DX$1="","",'Total Value'!DX22/'Total Value'!$D22-1)</f>
        <v/>
      </c>
      <c r="DY10" s="14" t="str">
        <f ca="1">IF(DY$1="","",'Total Value'!DY22/'Total Value'!$D22-1)</f>
        <v/>
      </c>
      <c r="DZ10" s="14" t="str">
        <f ca="1">IF(DZ$1="","",'Total Value'!DZ22/'Total Value'!$D22-1)</f>
        <v/>
      </c>
      <c r="EA10" s="14" t="str">
        <f ca="1">IF(EA$1="","",'Total Value'!EA22/'Total Value'!$D22-1)</f>
        <v/>
      </c>
      <c r="EB10" s="14" t="str">
        <f ca="1">IF(EB$1="","",'Total Value'!EB22/'Total Value'!$D22-1)</f>
        <v/>
      </c>
      <c r="EC10" s="14" t="str">
        <f ca="1">IF(EC$1="","",'Total Value'!EC22/'Total Value'!$D22-1)</f>
        <v/>
      </c>
      <c r="ED10" s="14" t="str">
        <f ca="1">IF(ED$1="","",'Total Value'!ED22/'Total Value'!$D22-1)</f>
        <v/>
      </c>
      <c r="EE10" s="14" t="str">
        <f ca="1">IF(EE$1="","",'Total Value'!EE22/'Total Value'!$D22-1)</f>
        <v/>
      </c>
      <c r="EF10" s="14" t="str">
        <f ca="1">IF(EF$1="","",'Total Value'!EF22/'Total Value'!$D22-1)</f>
        <v/>
      </c>
      <c r="EG10" s="14" t="str">
        <f ca="1">IF(EG$1="","",'Total Value'!EG22/'Total Value'!$D22-1)</f>
        <v/>
      </c>
      <c r="EH10" s="14" t="str">
        <f ca="1">IF(EH$1="","",'Total Value'!EH22/'Total Value'!$D22-1)</f>
        <v/>
      </c>
      <c r="EI10" s="14" t="str">
        <f ca="1">IF(EI$1="","",'Total Value'!EI22/'Total Value'!$D22-1)</f>
        <v/>
      </c>
      <c r="EJ10" s="14" t="str">
        <f ca="1">IF(EJ$1="","",'Total Value'!EJ22/'Total Value'!$D22-1)</f>
        <v/>
      </c>
      <c r="EK10" s="14" t="str">
        <f ca="1">IF(EK$1="","",'Total Value'!EK22/'Total Value'!$D22-1)</f>
        <v/>
      </c>
      <c r="EL10" s="14" t="str">
        <f ca="1">IF(EL$1="","",'Total Value'!EL22/'Total Value'!$D22-1)</f>
        <v/>
      </c>
      <c r="EM10" s="14" t="str">
        <f ca="1">IF(EM$1="","",'Total Value'!EM22/'Total Value'!$D22-1)</f>
        <v/>
      </c>
      <c r="EN10" s="14" t="str">
        <f ca="1">IF(EN$1="","",'Total Value'!EN22/'Total Value'!$D22-1)</f>
        <v/>
      </c>
      <c r="EO10" s="14" t="str">
        <f ca="1">IF(EO$1="","",'Total Value'!EO22/'Total Value'!$D22-1)</f>
        <v/>
      </c>
      <c r="EP10" s="14" t="str">
        <f ca="1">IF(EP$1="","",'Total Value'!EP22/'Total Value'!$D22-1)</f>
        <v/>
      </c>
      <c r="EQ10" s="14" t="str">
        <f ca="1">IF(EQ$1="","",'Total Value'!EQ22/'Total Value'!$D22-1)</f>
        <v/>
      </c>
      <c r="ER10" s="14" t="str">
        <f ca="1">IF(ER$1="","",'Total Value'!ER22/'Total Value'!$D22-1)</f>
        <v/>
      </c>
      <c r="ES10" s="14" t="str">
        <f ca="1">IF(ES$1="","",'Total Value'!ES22/'Total Value'!$D22-1)</f>
        <v/>
      </c>
      <c r="ET10" s="14" t="str">
        <f ca="1">IF(ET$1="","",'Total Value'!ET22/'Total Value'!$D22-1)</f>
        <v/>
      </c>
      <c r="EU10" s="14" t="str">
        <f ca="1">IF(EU$1="","",'Total Value'!EU22/'Total Value'!$D22-1)</f>
        <v/>
      </c>
      <c r="EV10" s="14" t="str">
        <f ca="1">IF(EV$1="","",'Total Value'!EV22/'Total Value'!$D22-1)</f>
        <v/>
      </c>
      <c r="EW10" s="14" t="str">
        <f ca="1">IF(EW$1="","",'Total Value'!EW22/'Total Value'!$D22-1)</f>
        <v/>
      </c>
      <c r="EX10" s="14" t="str">
        <f ca="1">IF(EX$1="","",'Total Value'!EX22/'Total Value'!$D22-1)</f>
        <v/>
      </c>
      <c r="EY10" s="14" t="str">
        <f ca="1">IF(EY$1="","",'Total Value'!EY22/'Total Value'!$D22-1)</f>
        <v/>
      </c>
      <c r="EZ10" s="14" t="str">
        <f ca="1">IF(EZ$1="","",'Total Value'!EZ22/'Total Value'!$D22-1)</f>
        <v/>
      </c>
      <c r="FA10" s="14" t="str">
        <f ca="1">IF(FA$1="","",'Total Value'!FA22/'Total Value'!$D22-1)</f>
        <v/>
      </c>
      <c r="FB10" s="14" t="str">
        <f ca="1">IF(FB$1="","",'Total Value'!FB22/'Total Value'!$D22-1)</f>
        <v/>
      </c>
      <c r="FC10" s="14" t="str">
        <f ca="1">IF(FC$1="","",'Total Value'!FC22/'Total Value'!$D22-1)</f>
        <v/>
      </c>
      <c r="FD10" s="14" t="str">
        <f ca="1">IF(FD$1="","",'Total Value'!FD22/'Total Value'!$D22-1)</f>
        <v/>
      </c>
      <c r="FE10" s="14" t="str">
        <f ca="1">IF(FE$1="","",'Total Value'!FE22/'Total Value'!$D22-1)</f>
        <v/>
      </c>
      <c r="FF10" s="14" t="str">
        <f ca="1">IF(FF$1="","",'Total Value'!FF22/'Total Value'!$D22-1)</f>
        <v/>
      </c>
      <c r="FG10" s="14" t="str">
        <f ca="1">IF(FG$1="","",'Total Value'!FG22/'Total Value'!$D22-1)</f>
        <v/>
      </c>
      <c r="FH10" s="14" t="str">
        <f ca="1">IF(FH$1="","",'Total Value'!FH22/'Total Value'!$D22-1)</f>
        <v/>
      </c>
      <c r="FI10" s="14" t="str">
        <f ca="1">IF(FI$1="","",'Total Value'!FI22/'Total Value'!$D22-1)</f>
        <v/>
      </c>
      <c r="FJ10" s="14" t="str">
        <f ca="1">IF(FJ$1="","",'Total Value'!FJ22/'Total Value'!$D22-1)</f>
        <v/>
      </c>
      <c r="FK10" s="14" t="str">
        <f ca="1">IF(FK$1="","",'Total Value'!FK22/'Total Value'!$D22-1)</f>
        <v/>
      </c>
      <c r="FL10" s="14" t="str">
        <f ca="1">IF(FL$1="","",'Total Value'!FL22/'Total Value'!$D22-1)</f>
        <v/>
      </c>
      <c r="FM10" s="14" t="str">
        <f ca="1">IF(FM$1="","",'Total Value'!FM22/'Total Value'!$D22-1)</f>
        <v/>
      </c>
      <c r="FN10" s="14" t="str">
        <f ca="1">IF(FN$1="","",'Total Value'!FN22/'Total Value'!$D22-1)</f>
        <v/>
      </c>
      <c r="FO10" s="14" t="str">
        <f ca="1">IF(FO$1="","",'Total Value'!FO22/'Total Value'!$D22-1)</f>
        <v/>
      </c>
      <c r="FP10" s="14" t="str">
        <f ca="1">IF(FP$1="","",'Total Value'!FP22/'Total Value'!$D22-1)</f>
        <v/>
      </c>
      <c r="FQ10" s="14" t="str">
        <f ca="1">IF(FQ$1="","",'Total Value'!FQ22/'Total Value'!$D22-1)</f>
        <v/>
      </c>
      <c r="FR10" s="14" t="str">
        <f ca="1">IF(FR$1="","",'Total Value'!FR22/'Total Value'!$D22-1)</f>
        <v/>
      </c>
      <c r="FS10" s="14" t="str">
        <f ca="1">IF(FS$1="","",'Total Value'!FS22/'Total Value'!$D22-1)</f>
        <v/>
      </c>
      <c r="FT10" s="14" t="str">
        <f ca="1">IF(FT$1="","",'Total Value'!FT22/'Total Value'!$D22-1)</f>
        <v/>
      </c>
      <c r="FU10" s="14" t="str">
        <f ca="1">IF(FU$1="","",'Total Value'!FU22/'Total Value'!$D22-1)</f>
        <v/>
      </c>
      <c r="FV10" s="14" t="str">
        <f ca="1">IF(FV$1="","",'Total Value'!FV22/'Total Value'!$D22-1)</f>
        <v/>
      </c>
      <c r="FW10" s="14" t="str">
        <f ca="1">IF(FW$1="","",'Total Value'!FW22/'Total Value'!$D22-1)</f>
        <v/>
      </c>
      <c r="FX10" s="14" t="str">
        <f ca="1">IF(FX$1="","",'Total Value'!FX22/'Total Value'!$D22-1)</f>
        <v/>
      </c>
      <c r="FY10" s="14" t="str">
        <f ca="1">IF(FY$1="","",'Total Value'!FY22/'Total Value'!$D22-1)</f>
        <v/>
      </c>
      <c r="FZ10" s="14" t="str">
        <f ca="1">IF(FZ$1="","",'Total Value'!FZ22/'Total Value'!$D22-1)</f>
        <v/>
      </c>
      <c r="GA10" s="14" t="str">
        <f ca="1">IF(GA$1="","",'Total Value'!GA22/'Total Value'!$D22-1)</f>
        <v/>
      </c>
      <c r="GB10" s="14" t="str">
        <f ca="1">IF(GB$1="","",'Total Value'!GB22/'Total Value'!$D22-1)</f>
        <v/>
      </c>
      <c r="GC10" s="14" t="str">
        <f ca="1">IF(GC$1="","",'Total Value'!GC22/'Total Value'!$D22-1)</f>
        <v/>
      </c>
      <c r="GD10" s="14" t="str">
        <f ca="1">IF(GD$1="","",'Total Value'!GD22/'Total Value'!$D22-1)</f>
        <v/>
      </c>
      <c r="GE10" s="14" t="str">
        <f ca="1">IF(GE$1="","",'Total Value'!GE22/'Total Value'!$D22-1)</f>
        <v/>
      </c>
      <c r="GF10" s="14" t="str">
        <f ca="1">IF(GF$1="","",'Total Value'!GF22/'Total Value'!$D22-1)</f>
        <v/>
      </c>
      <c r="GG10" s="14" t="str">
        <f ca="1">IF(GG$1="","",'Total Value'!GG22/'Total Value'!$D22-1)</f>
        <v/>
      </c>
      <c r="GH10" s="14" t="str">
        <f ca="1">IF(GH$1="","",'Total Value'!GH22/'Total Value'!$D22-1)</f>
        <v/>
      </c>
      <c r="GI10" s="14" t="str">
        <f ca="1">IF(GI$1="","",'Total Value'!GI22/'Total Value'!$D22-1)</f>
        <v/>
      </c>
      <c r="GJ10" s="14" t="str">
        <f ca="1">IF(GJ$1="","",'Total Value'!GJ22/'Total Value'!$D22-1)</f>
        <v/>
      </c>
      <c r="GK10" s="14" t="str">
        <f ca="1">IF(GK$1="","",'Total Value'!GK22/'Total Value'!$D22-1)</f>
        <v/>
      </c>
      <c r="GL10" s="14" t="str">
        <f ca="1">IF(GL$1="","",'Total Value'!GL22/'Total Value'!$D22-1)</f>
        <v/>
      </c>
      <c r="GM10" s="14" t="str">
        <f ca="1">IF(GM$1="","",'Total Value'!GM22/'Total Value'!$D22-1)</f>
        <v/>
      </c>
      <c r="GN10" s="14" t="str">
        <f ca="1">IF(GN$1="","",'Total Value'!GN22/'Total Value'!$D22-1)</f>
        <v/>
      </c>
      <c r="GO10" s="14" t="str">
        <f ca="1">IF(GO$1="","",'Total Value'!GO22/'Total Value'!$D22-1)</f>
        <v/>
      </c>
      <c r="GP10" s="14" t="str">
        <f ca="1">IF(GP$1="","",'Total Value'!GP22/'Total Value'!$D22-1)</f>
        <v/>
      </c>
      <c r="GQ10" s="14" t="str">
        <f ca="1">IF(GQ$1="","",'Total Value'!GQ22/'Total Value'!$D22-1)</f>
        <v/>
      </c>
      <c r="GR10" s="14" t="str">
        <f ca="1">IF(GR$1="","",'Total Value'!GR22/'Total Value'!$D22-1)</f>
        <v/>
      </c>
      <c r="GS10" s="14" t="str">
        <f ca="1">IF(GS$1="","",'Total Value'!GS22/'Total Value'!$D22-1)</f>
        <v/>
      </c>
      <c r="GT10" s="14" t="str">
        <f ca="1">IF(GT$1="","",'Total Value'!GT22/'Total Value'!$D22-1)</f>
        <v/>
      </c>
      <c r="GU10" s="14" t="str">
        <f ca="1">IF(GU$1="","",'Total Value'!GU22/'Total Value'!$D22-1)</f>
        <v/>
      </c>
      <c r="GV10" s="14" t="str">
        <f ca="1">IF(GV$1="","",'Total Value'!GV22/'Total Value'!$D22-1)</f>
        <v/>
      </c>
      <c r="GW10" s="14" t="str">
        <f ca="1">IF(GW$1="","",'Total Value'!GW22/'Total Value'!$D22-1)</f>
        <v/>
      </c>
      <c r="GX10" s="14" t="str">
        <f ca="1">IF(GX$1="","",'Total Value'!GX22/'Total Value'!$D22-1)</f>
        <v/>
      </c>
      <c r="GY10" s="14" t="str">
        <f ca="1">IF(GY$1="","",'Total Value'!GY22/'Total Value'!$D22-1)</f>
        <v/>
      </c>
      <c r="GZ10" s="14" t="str">
        <f ca="1">IF(GZ$1="","",'Total Value'!GZ22/'Total Value'!$D22-1)</f>
        <v/>
      </c>
      <c r="HA10" s="14" t="str">
        <f ca="1">IF(HA$1="","",'Total Value'!HA22/'Total Value'!$D22-1)</f>
        <v/>
      </c>
      <c r="HB10" s="14" t="str">
        <f ca="1">IF(HB$1="","",'Total Value'!HB22/'Total Value'!$D22-1)</f>
        <v/>
      </c>
      <c r="HC10" s="14" t="str">
        <f ca="1">IF(HC$1="","",'Total Value'!HC22/'Total Value'!$D22-1)</f>
        <v/>
      </c>
      <c r="HD10" s="14" t="str">
        <f ca="1">IF(HD$1="","",'Total Value'!HD22/'Total Value'!$D22-1)</f>
        <v/>
      </c>
      <c r="HE10" s="14" t="str">
        <f ca="1">IF(HE$1="","",'Total Value'!HE22/'Total Value'!$D22-1)</f>
        <v/>
      </c>
      <c r="HF10" s="14" t="str">
        <f ca="1">IF(HF$1="","",'Total Value'!HF22/'Total Value'!$D22-1)</f>
        <v/>
      </c>
      <c r="HG10" s="14" t="str">
        <f ca="1">IF(HG$1="","",'Total Value'!HG22/'Total Value'!$D22-1)</f>
        <v/>
      </c>
      <c r="HH10" s="14" t="str">
        <f ca="1">IF(HH$1="","",'Total Value'!HH22/'Total Value'!$D22-1)</f>
        <v/>
      </c>
      <c r="HI10" s="14" t="str">
        <f ca="1">IF(HI$1="","",'Total Value'!HI22/'Total Value'!$D22-1)</f>
        <v/>
      </c>
      <c r="HJ10" s="14" t="str">
        <f ca="1">IF(HJ$1="","",'Total Value'!HJ22/'Total Value'!$D22-1)</f>
        <v/>
      </c>
      <c r="HK10" s="14" t="str">
        <f ca="1">IF(HK$1="","",'Total Value'!HK22/'Total Value'!$D22-1)</f>
        <v/>
      </c>
      <c r="HL10" s="14" t="str">
        <f ca="1">IF(HL$1="","",'Total Value'!HL22/'Total Value'!$D22-1)</f>
        <v/>
      </c>
      <c r="HM10" s="14" t="str">
        <f ca="1">IF(HM$1="","",'Total Value'!HM22/'Total Value'!$D22-1)</f>
        <v/>
      </c>
      <c r="HN10" s="14" t="str">
        <f ca="1">IF(HN$1="","",'Total Value'!HN22/'Total Value'!$D22-1)</f>
        <v/>
      </c>
      <c r="HO10" s="14" t="str">
        <f ca="1">IF(HO$1="","",'Total Value'!HO22/'Total Value'!$D22-1)</f>
        <v/>
      </c>
      <c r="HP10" s="14" t="str">
        <f ca="1">IF(HP$1="","",'Total Value'!HP22/'Total Value'!$D22-1)</f>
        <v/>
      </c>
      <c r="HQ10" s="14" t="str">
        <f ca="1">IF(HQ$1="","",'Total Value'!HQ22/'Total Value'!$D22-1)</f>
        <v/>
      </c>
      <c r="HR10" s="14" t="str">
        <f ca="1">IF(HR$1="","",'Total Value'!HR22/'Total Value'!$D22-1)</f>
        <v/>
      </c>
      <c r="HS10" s="14" t="str">
        <f ca="1">IF(HS$1="","",'Total Value'!HS22/'Total Value'!$D22-1)</f>
        <v/>
      </c>
      <c r="HT10" s="14" t="str">
        <f ca="1">IF(HT$1="","",'Total Value'!HT22/'Total Value'!$D22-1)</f>
        <v/>
      </c>
      <c r="HU10" s="14" t="str">
        <f ca="1">IF(HU$1="","",'Total Value'!HU22/'Total Value'!$D22-1)</f>
        <v/>
      </c>
      <c r="HV10" s="14" t="str">
        <f ca="1">IF(HV$1="","",'Total Value'!HV22/'Total Value'!$D22-1)</f>
        <v/>
      </c>
      <c r="HW10" s="14" t="str">
        <f ca="1">IF(HW$1="","",'Total Value'!HW22/'Total Value'!$D22-1)</f>
        <v/>
      </c>
      <c r="HX10" s="14" t="str">
        <f ca="1">IF(HX$1="","",'Total Value'!HX22/'Total Value'!$D22-1)</f>
        <v/>
      </c>
      <c r="HY10" s="14" t="str">
        <f ca="1">IF(HY$1="","",'Total Value'!HY22/'Total Value'!$D22-1)</f>
        <v/>
      </c>
      <c r="HZ10" s="14" t="str">
        <f ca="1">IF(HZ$1="","",'Total Value'!HZ22/'Total Value'!$D22-1)</f>
        <v/>
      </c>
      <c r="IA10" s="14" t="str">
        <f ca="1">IF(IA$1="","",'Total Value'!IA22/'Total Value'!$D22-1)</f>
        <v/>
      </c>
      <c r="IB10" s="14" t="str">
        <f ca="1">IF(IB$1="","",'Total Value'!IB22/'Total Value'!$D22-1)</f>
        <v/>
      </c>
      <c r="IC10" s="14" t="str">
        <f ca="1">IF(IC$1="","",'Total Value'!IC22/'Total Value'!$D22-1)</f>
        <v/>
      </c>
      <c r="ID10" s="14" t="str">
        <f ca="1">IF(ID$1="","",'Total Value'!ID22/'Total Value'!$D22-1)</f>
        <v/>
      </c>
      <c r="IE10" s="14" t="str">
        <f ca="1">IF(IE$1="","",'Total Value'!IE22/'Total Value'!$D22-1)</f>
        <v/>
      </c>
      <c r="IF10" s="14" t="str">
        <f ca="1">IF(IF$1="","",'Total Value'!IF22/'Total Value'!$D22-1)</f>
        <v/>
      </c>
      <c r="IG10" s="14" t="str">
        <f ca="1">IF(IG$1="","",'Total Value'!IG22/'Total Value'!$D22-1)</f>
        <v/>
      </c>
      <c r="IH10" s="14" t="str">
        <f ca="1">IF(IH$1="","",'Total Value'!IH22/'Total Value'!$D22-1)</f>
        <v/>
      </c>
      <c r="II10" s="14" t="str">
        <f ca="1">IF(II$1="","",'Total Value'!II22/'Total Value'!$D22-1)</f>
        <v/>
      </c>
      <c r="IJ10" s="14" t="str">
        <f ca="1">IF(IJ$1="","",'Total Value'!IJ22/'Total Value'!$D22-1)</f>
        <v/>
      </c>
      <c r="IK10" s="14" t="str">
        <f ca="1">IF(IK$1="","",'Total Value'!IK22/'Total Value'!$D22-1)</f>
        <v/>
      </c>
      <c r="IL10" s="14" t="str">
        <f ca="1">IF(IL$1="","",'Total Value'!IL22/'Total Value'!$D22-1)</f>
        <v/>
      </c>
      <c r="IM10" s="14" t="str">
        <f ca="1">IF(IM$1="","",'Total Value'!IM22/'Total Value'!$D22-1)</f>
        <v/>
      </c>
      <c r="IN10" s="14" t="str">
        <f ca="1">IF(IN$1="","",'Total Value'!IN22/'Total Value'!$D22-1)</f>
        <v/>
      </c>
      <c r="IO10" s="14" t="str">
        <f ca="1">IF(IO$1="","",'Total Value'!IO22/'Total Value'!$D22-1)</f>
        <v/>
      </c>
      <c r="IP10" s="14" t="str">
        <f ca="1">IF(IP$1="","",'Total Value'!IP22/'Total Value'!$D22-1)</f>
        <v/>
      </c>
      <c r="IQ10" s="14" t="str">
        <f ca="1">IF(IQ$1="","",'Total Value'!IQ22/'Total Value'!$D22-1)</f>
        <v/>
      </c>
      <c r="IR10" s="14" t="str">
        <f ca="1">IF(IR$1="","",'Total Value'!IR22/'Total Value'!$D22-1)</f>
        <v/>
      </c>
      <c r="IS10" s="14" t="str">
        <f ca="1">IF(IS$1="","",'Total Value'!IS22/'Total Value'!$D22-1)</f>
        <v/>
      </c>
      <c r="IT10" s="14" t="str">
        <f ca="1">IF(IT$1="","",'Total Value'!IT22/'Total Value'!$D22-1)</f>
        <v/>
      </c>
      <c r="IU10" s="14" t="str">
        <f ca="1">IF(IU$1="","",'Total Value'!IU22/'Total Value'!$D22-1)</f>
        <v/>
      </c>
      <c r="IV10" s="14" t="str">
        <f ca="1">IF(IV$1="","",'Total Value'!IV22/'Total Value'!$D22-1)</f>
        <v/>
      </c>
      <c r="IW10" s="14" t="str">
        <f ca="1">IF(IW$1="","",'Total Value'!IW22/'Total Value'!$D22-1)</f>
        <v/>
      </c>
      <c r="IX10" s="14" t="str">
        <f ca="1">IF(IX$1="","",'Total Value'!IX22/'Total Value'!$D22-1)</f>
        <v/>
      </c>
      <c r="IY10" s="14" t="str">
        <f ca="1">IF(IY$1="","",'Total Value'!IY22/'Total Value'!$D22-1)</f>
        <v/>
      </c>
      <c r="IZ10" s="14" t="str">
        <f ca="1">IF(IZ$1="","",'Total Value'!IZ22/'Total Value'!$D22-1)</f>
        <v/>
      </c>
      <c r="JA10" s="14" t="str">
        <f ca="1">IF(JA$1="","",'Total Value'!JA22/'Total Value'!$D22-1)</f>
        <v/>
      </c>
      <c r="JB10" s="14" t="str">
        <f ca="1">IF(JB$1="","",'Total Value'!JB22/'Total Value'!$D22-1)</f>
        <v/>
      </c>
      <c r="JC10" s="14" t="str">
        <f ca="1">IF(JC$1="","",'Total Value'!JC22/'Total Value'!$D22-1)</f>
        <v/>
      </c>
      <c r="JD10" s="14" t="str">
        <f ca="1">IF(JD$1="","",'Total Value'!JD22/'Total Value'!$D22-1)</f>
        <v/>
      </c>
      <c r="JE10" s="14" t="str">
        <f ca="1">IF(JE$1="","",'Total Value'!JE22/'Total Value'!$D22-1)</f>
        <v/>
      </c>
      <c r="JF10" s="14" t="str">
        <f ca="1">IF(JF$1="","",'Total Value'!JF22/'Total Value'!$D22-1)</f>
        <v/>
      </c>
      <c r="JG10" s="14" t="str">
        <f ca="1">IF(JG$1="","",'Total Value'!JG22/'Total Value'!$D22-1)</f>
        <v/>
      </c>
      <c r="JH10" s="14" t="str">
        <f ca="1">IF(JH$1="","",'Total Value'!JH22/'Total Value'!$D22-1)</f>
        <v/>
      </c>
      <c r="JI10" s="14" t="str">
        <f ca="1">IF(JI$1="","",'Total Value'!JI22/'Total Value'!$D22-1)</f>
        <v/>
      </c>
      <c r="JJ10" s="14" t="str">
        <f ca="1">IF(JJ$1="","",'Total Value'!JJ22/'Total Value'!$D22-1)</f>
        <v/>
      </c>
      <c r="JK10" s="14" t="str">
        <f ca="1">IF(JK$1="","",'Total Value'!JK22/'Total Value'!$D22-1)</f>
        <v/>
      </c>
      <c r="JL10" s="14" t="str">
        <f ca="1">IF(JL$1="","",'Total Value'!JL22/'Total Value'!$D22-1)</f>
        <v/>
      </c>
      <c r="JM10" s="14" t="str">
        <f ca="1">IF(JM$1="","",'Total Value'!JM22/'Total Value'!$D22-1)</f>
        <v/>
      </c>
      <c r="JN10" s="14" t="str">
        <f ca="1">IF(JN$1="","",'Total Value'!JN22/'Total Value'!$D22-1)</f>
        <v/>
      </c>
      <c r="JO10" s="14" t="str">
        <f ca="1">IF(JO$1="","",'Total Value'!JO22/'Total Value'!$D22-1)</f>
        <v/>
      </c>
      <c r="JP10" s="14" t="str">
        <f ca="1">IF(JP$1="","",'Total Value'!JP22/'Total Value'!$D22-1)</f>
        <v/>
      </c>
      <c r="JQ10" s="14" t="str">
        <f ca="1">IF(JQ$1="","",'Total Value'!JQ22/'Total Value'!$D22-1)</f>
        <v/>
      </c>
      <c r="JR10" s="14" t="str">
        <f ca="1">IF(JR$1="","",'Total Value'!JR22/'Total Value'!$D22-1)</f>
        <v/>
      </c>
      <c r="JS10" s="14" t="str">
        <f ca="1">IF(JS$1="","",'Total Value'!JS22/'Total Value'!$D22-1)</f>
        <v/>
      </c>
      <c r="JT10" s="14" t="str">
        <f ca="1">IF(JT$1="","",'Total Value'!JT22/'Total Value'!$D22-1)</f>
        <v/>
      </c>
      <c r="JU10" s="14" t="str">
        <f ca="1">IF(JU$1="","",'Total Value'!JU22/'Total Value'!$D22-1)</f>
        <v/>
      </c>
      <c r="JV10" s="14" t="str">
        <f ca="1">IF(JV$1="","",'Total Value'!JV22/'Total Value'!$D22-1)</f>
        <v/>
      </c>
      <c r="JW10" s="14" t="str">
        <f ca="1">IF(JW$1="","",'Total Value'!JW22/'Total Value'!$D22-1)</f>
        <v/>
      </c>
      <c r="JX10" s="14" t="str">
        <f ca="1">IF(JX$1="","",'Total Value'!JX22/'Total Value'!$D22-1)</f>
        <v/>
      </c>
      <c r="JY10" s="14" t="str">
        <f ca="1">IF(JY$1="","",'Total Value'!JY22/'Total Value'!$D22-1)</f>
        <v/>
      </c>
      <c r="JZ10" s="14" t="str">
        <f ca="1">IF(JZ$1="","",'Total Value'!JZ22/'Total Value'!$D22-1)</f>
        <v/>
      </c>
      <c r="KA10" s="14" t="str">
        <f ca="1">IF(KA$1="","",'Total Value'!KA22/'Total Value'!$D22-1)</f>
        <v/>
      </c>
      <c r="KB10" s="14" t="str">
        <f ca="1">IF(KB$1="","",'Total Value'!KB22/'Total Value'!$D22-1)</f>
        <v/>
      </c>
    </row>
    <row r="11" spans="1:288" ht="15.75" customHeight="1">
      <c r="A11" s="9" t="s">
        <v>30</v>
      </c>
      <c r="B11" s="6" t="s">
        <v>56</v>
      </c>
      <c r="C11" s="26">
        <v>48</v>
      </c>
      <c r="D11" s="13">
        <v>0</v>
      </c>
      <c r="E11" s="14">
        <f ca="1">IF(E$1="","",'Total Value'!E23/'Total Value'!$D23-1)</f>
        <v>8.0868424887077239E-3</v>
      </c>
      <c r="F11" s="14">
        <f ca="1">IF(F$1="","",'Total Value'!F23/'Total Value'!$D23-1)</f>
        <v>-3.0161736849774079E-2</v>
      </c>
      <c r="G11" s="14">
        <f ca="1">IF(G$1="","",'Total Value'!G23/'Total Value'!$D23-1)</f>
        <v>-8.6696779833891902E-2</v>
      </c>
      <c r="H11" s="14">
        <f ca="1">IF(H$1="","",'Total Value'!H23/'Total Value'!$D23-1)</f>
        <v>-6.4840448783330729E-2</v>
      </c>
      <c r="I11" s="14">
        <f ca="1">IF(I$1="","",'Total Value'!I23/'Total Value'!$D23-1)</f>
        <v>-8.859099519160718E-2</v>
      </c>
      <c r="J11" s="14">
        <f ca="1">IF(J$1="","",'Total Value'!J23/'Total Value'!$D23-1)</f>
        <v>-6.8046044004079764E-2</v>
      </c>
      <c r="K11" s="14">
        <f ca="1">IF(K$1="","",'Total Value'!K23/'Total Value'!$D23-1)</f>
        <v>-8.9829520617805469E-2</v>
      </c>
      <c r="L11" s="14">
        <f ca="1">IF(L$1="","",'Total Value'!L23/'Total Value'!$D23-1)</f>
        <v>-0.11205012385254265</v>
      </c>
      <c r="M11" s="14">
        <f ca="1">IF(M$1="","",'Total Value'!M23/'Total Value'!$D23-1)</f>
        <v>-6.6443246393705468E-2</v>
      </c>
      <c r="N11" s="14">
        <f ca="1">IF(N$1="","",'Total Value'!N23/'Total Value'!$D23-1)</f>
        <v>-0.12968089756666179</v>
      </c>
      <c r="O11" s="14">
        <f ca="1">IF(O$1="","",'Total Value'!O23/'Total Value'!$D23-1)</f>
        <v>-0.14082762640244784</v>
      </c>
      <c r="P11" s="14">
        <f ca="1">IF(P$1="","",'Total Value'!P23/'Total Value'!$D23-1)</f>
        <v>-0.13682063237651165</v>
      </c>
      <c r="Q11" s="14">
        <f ca="1">IF(Q$1="","",'Total Value'!Q23/'Total Value'!$D23-1)</f>
        <v>-0.12137549176744866</v>
      </c>
      <c r="R11" s="14">
        <f ca="1">IF(R$1="","",'Total Value'!R23/'Total Value'!$D23-1)</f>
        <v>-8.4219728981494879E-2</v>
      </c>
      <c r="S11" s="14">
        <f ca="1">IF(S$1="","",'Total Value'!S23/'Total Value'!$D23-1)</f>
        <v>-7.4967215503424223E-2</v>
      </c>
      <c r="T11" s="14">
        <f ca="1">IF(T$1="","",'Total Value'!T23/'Total Value'!$D23-1)</f>
        <v>-9.1359463791344964E-2</v>
      </c>
      <c r="U11" s="14">
        <f ca="1">IF(U$1="","",'Total Value'!U23/'Total Value'!$D23-1)</f>
        <v>-0.10403613580067017</v>
      </c>
      <c r="V11" s="14">
        <f ca="1">IF(V$1="","",'Total Value'!V23/'Total Value'!$D23-1)</f>
        <v>-8.9465248433629574E-2</v>
      </c>
      <c r="W11" s="14">
        <f ca="1">IF(W$1="","",'Total Value'!W23/'Total Value'!$D23-1)</f>
        <v>-8.9100976249453456E-2</v>
      </c>
      <c r="X11" s="14">
        <f ca="1">IF(X$1="","",'Total Value'!X23/'Total Value'!$D23-1)</f>
        <v>-4.7646801690222951E-2</v>
      </c>
      <c r="Y11" s="14">
        <f ca="1">IF(Y$1="","",'Total Value'!Y23/'Total Value'!$D23-1)</f>
        <v>-3.2274515517994984E-2</v>
      </c>
      <c r="Z11" s="14">
        <f ca="1">IF(Z$1="","",'Total Value'!Z23/'Total Value'!$D23-1)</f>
        <v>-2.4624799650298623E-2</v>
      </c>
      <c r="AA11" s="14">
        <f ca="1">IF(AA$1="","",'Total Value'!AA23/'Total Value'!$D23-1)</f>
        <v>-4.7573947253387816E-2</v>
      </c>
      <c r="AB11" s="14">
        <f ca="1">IF(AB$1="","",'Total Value'!AB23/'Total Value'!$D23-1)</f>
        <v>-9.5439312254116393E-3</v>
      </c>
      <c r="AC11" s="14">
        <f ca="1">IF(AC$1="","",'Total Value'!AC23/'Total Value'!$D23-1)</f>
        <v>-3.9341395891009379E-3</v>
      </c>
      <c r="AD11" s="14">
        <f ca="1">IF(AD$1="","",'Total Value'!AD23/'Total Value'!$D23-1)</f>
        <v>-5.1216669095147993E-2</v>
      </c>
      <c r="AE11" s="14">
        <f ca="1">IF(AE$1="","",'Total Value'!AE23/'Total Value'!$D23-1)</f>
        <v>-0.10607606003205583</v>
      </c>
      <c r="AF11" s="14">
        <f ca="1">IF(AF$1="","",'Total Value'!AF23/'Total Value'!$D23-1)</f>
        <v>-0.16151828646364563</v>
      </c>
      <c r="AG11" s="14">
        <f ca="1">IF(AG$1="","",'Total Value'!AG23/'Total Value'!$D23-1)</f>
        <v>-0.16690951478945071</v>
      </c>
      <c r="AH11" s="14">
        <f ca="1">IF(AH$1="","",'Total Value'!AH23/'Total Value'!$D23-1)</f>
        <v>-0.24129389479819308</v>
      </c>
      <c r="AI11" s="14">
        <f ca="1">IF(AI$1="","",'Total Value'!AI23/'Total Value'!$D23-1)</f>
        <v>-0.21980183593180824</v>
      </c>
      <c r="AJ11" s="14">
        <f ca="1">IF(AJ$1="","",'Total Value'!AJ23/'Total Value'!$D23-1)</f>
        <v>-0.2209675069211714</v>
      </c>
      <c r="AK11" s="14">
        <f ca="1">IF(AK$1="","",'Total Value'!AK23/'Total Value'!$D23-1)</f>
        <v>-0.19860119481276406</v>
      </c>
      <c r="AL11" s="14">
        <f ca="1">IF(AL$1="","",'Total Value'!AL23/'Total Value'!$D23-1)</f>
        <v>-0.21652338627422407</v>
      </c>
      <c r="AM11" s="14">
        <f ca="1">IF(AM$1="","",'Total Value'!AM23/'Total Value'!$D23-1)</f>
        <v>-0.20537665743843803</v>
      </c>
      <c r="AN11" s="14">
        <f ca="1">IF(AN$1="","",'Total Value'!AN23/'Total Value'!$D23-1)</f>
        <v>-0.25112924377094559</v>
      </c>
      <c r="AO11" s="14">
        <f ca="1">IF(AO$1="","",'Total Value'!AO23/'Total Value'!$D23-1)</f>
        <v>-0.29025207635144978</v>
      </c>
      <c r="AP11" s="14">
        <f ca="1">IF(AP$1="","",'Total Value'!AP23/'Total Value'!$D23-1)</f>
        <v>-0.33411044732624207</v>
      </c>
      <c r="AQ11" s="14">
        <f ca="1">IF(AQ$1="","",'Total Value'!AQ23/'Total Value'!$D23-1)</f>
        <v>-0.33105056097916363</v>
      </c>
      <c r="AR11" s="14">
        <f ca="1">IF(AR$1="","",'Total Value'!AR23/'Total Value'!$D23-1)</f>
        <v>-0.31203555296517549</v>
      </c>
      <c r="AS11" s="14">
        <f ca="1">IF(AS$1="","",'Total Value'!AS23/'Total Value'!$D23-1)</f>
        <v>-0.33403759288940693</v>
      </c>
      <c r="AT11" s="14">
        <f ca="1">IF(AT$1="","",'Total Value'!AT23/'Total Value'!$D23-1)</f>
        <v>-0.36339793093399386</v>
      </c>
      <c r="AU11" s="14">
        <f ca="1">IF(AU$1="","",'Total Value'!AU23/'Total Value'!$D23-1)</f>
        <v>-0.39443392102579045</v>
      </c>
      <c r="AV11" s="14">
        <f ca="1">IF(AV$1="","",'Total Value'!AV23/'Total Value'!$D23-1)</f>
        <v>-0.38051872359026662</v>
      </c>
      <c r="AW11" s="14">
        <f ca="1">IF(AW$1="","",'Total Value'!AW23/'Total Value'!$D23-1)</f>
        <v>-0.32055952207489424</v>
      </c>
      <c r="AX11" s="14">
        <f ca="1">IF(AX$1="","",'Total Value'!AX23/'Total Value'!$D23-1)</f>
        <v>-0.29593472242459562</v>
      </c>
      <c r="AY11" s="14">
        <f ca="1">IF(AY$1="","",'Total Value'!AY23/'Total Value'!$D23-1)</f>
        <v>-0.24245956578755645</v>
      </c>
      <c r="AZ11" s="14">
        <f ca="1">IF(AZ$1="","",'Total Value'!AZ23/'Total Value'!$D23-1)</f>
        <v>-0.24551945213463489</v>
      </c>
      <c r="BA11" s="14">
        <f ca="1">IF(BA$1="","",'Total Value'!BA23/'Total Value'!$D23-1)</f>
        <v>-0.21346349992714553</v>
      </c>
      <c r="BB11" s="14">
        <f ca="1">IF(BB$1="","",'Total Value'!BB23/'Total Value'!$D23-1)</f>
        <v>-0.21696051289523532</v>
      </c>
      <c r="BC11" s="14">
        <f ca="1">IF(BC$1="","",'Total Value'!BC23/'Total Value'!$D23-1)</f>
        <v>-0.20049541017047945</v>
      </c>
      <c r="BD11" s="14">
        <f ca="1">IF(BD$1="","",'Total Value'!BD23/'Total Value'!$D23-1)</f>
        <v>-0.22541162756811894</v>
      </c>
      <c r="BE11" s="14">
        <f ca="1">IF(BE$1="","",'Total Value'!BE23/'Total Value'!$D23-1)</f>
        <v>-0.22074894361066588</v>
      </c>
      <c r="BF11" s="14">
        <f ca="1">IF(BF$1="","",'Total Value'!BF23/'Total Value'!$D23-1)</f>
        <v>-0.1832289086405362</v>
      </c>
      <c r="BG11" s="14">
        <f ca="1">IF(BG$1="","",'Total Value'!BG23/'Total Value'!$D23-1)</f>
        <v>-0.193938510855311</v>
      </c>
      <c r="BH11" s="14">
        <f ca="1">IF(BH$1="","",'Total Value'!BH23/'Total Value'!$D23-1)</f>
        <v>-0.19568701733935578</v>
      </c>
      <c r="BI11" s="14">
        <f ca="1">IF(BI$1="","",'Total Value'!BI23/'Total Value'!$D23-1)</f>
        <v>-0.15124581086988187</v>
      </c>
      <c r="BJ11" s="14">
        <f ca="1">IF(BJ$1="","",'Total Value'!BJ23/'Total Value'!$D23-1)</f>
        <v>-0.13791344892903967</v>
      </c>
      <c r="BK11" s="14">
        <f ca="1">IF(BK$1="","",'Total Value'!BK23/'Total Value'!$D23-1)</f>
        <v>-0.13237651172956433</v>
      </c>
      <c r="BL11" s="14">
        <f ca="1">IF(BL$1="","",'Total Value'!BL23/'Total Value'!$D23-1)</f>
        <v>-0.16078974209529362</v>
      </c>
      <c r="BM11" s="14">
        <f ca="1">IF(BM$1="","",'Total Value'!BM23/'Total Value'!$D23-1)</f>
        <v>-0.18526883287192186</v>
      </c>
      <c r="BN11" s="14">
        <f ca="1">IF(BN$1="","",'Total Value'!BN23/'Total Value'!$D23-1)</f>
        <v>-0.19860119481276406</v>
      </c>
      <c r="BO11" s="14">
        <f ca="1">IF(BO$1="","",'Total Value'!BO23/'Total Value'!$D23-1)</f>
        <v>-0.15641847588518132</v>
      </c>
      <c r="BP11" s="14">
        <f ca="1">IF(BP$1="","",'Total Value'!BP23/'Total Value'!$D23-1)</f>
        <v>-0.19153431443974944</v>
      </c>
      <c r="BQ11" s="14">
        <f ca="1">IF(BQ$1="","",'Total Value'!BQ23/'Total Value'!$D23-1)</f>
        <v>-0.14978872213317784</v>
      </c>
      <c r="BR11" s="14">
        <f ca="1">IF(BR$1="","",'Total Value'!BR23/'Total Value'!$D23-1)</f>
        <v>-0.17317499635727818</v>
      </c>
      <c r="BS11" s="14">
        <f ca="1">IF(BS$1="","",'Total Value'!BS23/'Total Value'!$D23-1)</f>
        <v>-0.20668803730147156</v>
      </c>
      <c r="BT11" s="14">
        <f ca="1">IF(BT$1="","",'Total Value'!BT23/'Total Value'!$D23-1)</f>
        <v>-0.1892029724610228</v>
      </c>
      <c r="BU11" s="14">
        <f ca="1">IF(BU$1="","",'Total Value'!BU23/'Total Value'!$D23-1)</f>
        <v>-0.20559522074894354</v>
      </c>
      <c r="BV11" s="14">
        <f ca="1">IF(BV$1="","",'Total Value'!BV23/'Total Value'!$D23-1)</f>
        <v>-0.23539268541454161</v>
      </c>
      <c r="BW11" s="14">
        <f ca="1">IF(BW$1="","",'Total Value'!BW23/'Total Value'!$D23-1)</f>
        <v>-0.25069211714993445</v>
      </c>
      <c r="BX11" s="14">
        <f ca="1">IF(BX$1="","",'Total Value'!BX23/'Total Value'!$D23-1)</f>
        <v>-0.22592160862596522</v>
      </c>
      <c r="BY11" s="14">
        <f ca="1">IF(BY$1="","",'Total Value'!BY23/'Total Value'!$D23-1)</f>
        <v>-0.26489873233279893</v>
      </c>
      <c r="BZ11" s="14">
        <f ca="1">IF(BZ$1="","",'Total Value'!BZ23/'Total Value'!$D23-1)</f>
        <v>-0.26482587789596379</v>
      </c>
      <c r="CA11" s="14">
        <f ca="1">IF(CA$1="","",'Total Value'!CA23/'Total Value'!$D23-1)</f>
        <v>-0.24930788285006555</v>
      </c>
      <c r="CB11" s="14">
        <f ca="1">IF(CB$1="","",'Total Value'!CB23/'Total Value'!$D23-1)</f>
        <v>-0.19787265044441216</v>
      </c>
      <c r="CC11" s="14">
        <f ca="1">IF(CC$1="","",'Total Value'!CC23/'Total Value'!$D23-1)</f>
        <v>-0.15437855165379566</v>
      </c>
      <c r="CD11" s="14">
        <f ca="1">IF(CD$1="","",'Total Value'!CD23/'Total Value'!$D23-1)</f>
        <v>-0.16654524260527448</v>
      </c>
      <c r="CE11" s="14">
        <f ca="1">IF(CE$1="","",'Total Value'!CE23/'Total Value'!$D23-1)</f>
        <v>-0.16108115984263427</v>
      </c>
      <c r="CF11" s="14" t="str">
        <f ca="1">IF(CF$1="","",'Total Value'!CF23/'Total Value'!$D23-1)</f>
        <v/>
      </c>
      <c r="CG11" s="14" t="str">
        <f ca="1">IF(CG$1="","",'Total Value'!CG23/'Total Value'!$D23-1)</f>
        <v/>
      </c>
      <c r="CH11" s="14" t="str">
        <f ca="1">IF(CH$1="","",'Total Value'!CH23/'Total Value'!$D23-1)</f>
        <v/>
      </c>
      <c r="CI11" s="14" t="str">
        <f ca="1">IF(CI$1="","",'Total Value'!CI23/'Total Value'!$D23-1)</f>
        <v/>
      </c>
      <c r="CJ11" s="14" t="str">
        <f ca="1">IF(CJ$1="","",'Total Value'!CJ23/'Total Value'!$D23-1)</f>
        <v/>
      </c>
      <c r="CK11" s="14" t="str">
        <f ca="1">IF(CK$1="","",'Total Value'!CK23/'Total Value'!$D23-1)</f>
        <v/>
      </c>
      <c r="CL11" s="14" t="str">
        <f ca="1">IF(CL$1="","",'Total Value'!CL23/'Total Value'!$D23-1)</f>
        <v/>
      </c>
      <c r="CM11" s="14" t="str">
        <f ca="1">IF(CM$1="","",'Total Value'!CM23/'Total Value'!$D23-1)</f>
        <v/>
      </c>
      <c r="CN11" s="14" t="str">
        <f ca="1">IF(CN$1="","",'Total Value'!CN23/'Total Value'!$D23-1)</f>
        <v/>
      </c>
      <c r="CO11" s="14" t="str">
        <f ca="1">IF(CO$1="","",'Total Value'!CO23/'Total Value'!$D23-1)</f>
        <v/>
      </c>
      <c r="CP11" s="14" t="str">
        <f ca="1">IF(CP$1="","",'Total Value'!CP23/'Total Value'!$D23-1)</f>
        <v/>
      </c>
      <c r="CQ11" s="14" t="str">
        <f ca="1">IF(CQ$1="","",'Total Value'!CQ23/'Total Value'!$D23-1)</f>
        <v/>
      </c>
      <c r="CR11" s="14" t="str">
        <f ca="1">IF(CR$1="","",'Total Value'!CR23/'Total Value'!$D23-1)</f>
        <v/>
      </c>
      <c r="CS11" s="14" t="str">
        <f ca="1">IF(CS$1="","",'Total Value'!CS23/'Total Value'!$D23-1)</f>
        <v/>
      </c>
      <c r="CT11" s="14" t="str">
        <f ca="1">IF(CT$1="","",'Total Value'!CT23/'Total Value'!$D23-1)</f>
        <v/>
      </c>
      <c r="CU11" s="14" t="str">
        <f ca="1">IF(CU$1="","",'Total Value'!CU23/'Total Value'!$D23-1)</f>
        <v/>
      </c>
      <c r="CV11" s="14" t="str">
        <f ca="1">IF(CV$1="","",'Total Value'!CV23/'Total Value'!$D23-1)</f>
        <v/>
      </c>
      <c r="CW11" s="14" t="str">
        <f ca="1">IF(CW$1="","",'Total Value'!CW23/'Total Value'!$D23-1)</f>
        <v/>
      </c>
      <c r="CX11" s="14" t="str">
        <f ca="1">IF(CX$1="","",'Total Value'!CX23/'Total Value'!$D23-1)</f>
        <v/>
      </c>
      <c r="CY11" s="14" t="str">
        <f ca="1">IF(CY$1="","",'Total Value'!CY23/'Total Value'!$D23-1)</f>
        <v/>
      </c>
      <c r="CZ11" s="14" t="str">
        <f ca="1">IF(CZ$1="","",'Total Value'!CZ23/'Total Value'!$D23-1)</f>
        <v/>
      </c>
      <c r="DA11" s="14" t="str">
        <f ca="1">IF(DA$1="","",'Total Value'!DA23/'Total Value'!$D23-1)</f>
        <v/>
      </c>
      <c r="DB11" s="14" t="str">
        <f ca="1">IF(DB$1="","",'Total Value'!DB23/'Total Value'!$D23-1)</f>
        <v/>
      </c>
      <c r="DC11" s="14" t="str">
        <f ca="1">IF(DC$1="","",'Total Value'!DC23/'Total Value'!$D23-1)</f>
        <v/>
      </c>
      <c r="DD11" s="14" t="str">
        <f ca="1">IF(DD$1="","",'Total Value'!DD23/'Total Value'!$D23-1)</f>
        <v/>
      </c>
      <c r="DE11" s="14" t="str">
        <f ca="1">IF(DE$1="","",'Total Value'!DE23/'Total Value'!$D23-1)</f>
        <v/>
      </c>
      <c r="DF11" s="14" t="str">
        <f ca="1">IF(DF$1="","",'Total Value'!DF23/'Total Value'!$D23-1)</f>
        <v/>
      </c>
      <c r="DG11" s="14" t="str">
        <f ca="1">IF(DG$1="","",'Total Value'!DG23/'Total Value'!$D23-1)</f>
        <v/>
      </c>
      <c r="DH11" s="14" t="str">
        <f ca="1">IF(DH$1="","",'Total Value'!DH23/'Total Value'!$D23-1)</f>
        <v/>
      </c>
      <c r="DI11" s="14" t="str">
        <f ca="1">IF(DI$1="","",'Total Value'!DI23/'Total Value'!$D23-1)</f>
        <v/>
      </c>
      <c r="DJ11" s="14" t="str">
        <f ca="1">IF(DJ$1="","",'Total Value'!DJ23/'Total Value'!$D23-1)</f>
        <v/>
      </c>
      <c r="DK11" s="14" t="str">
        <f ca="1">IF(DK$1="","",'Total Value'!DK23/'Total Value'!$D23-1)</f>
        <v/>
      </c>
      <c r="DL11" s="14" t="str">
        <f ca="1">IF(DL$1="","",'Total Value'!DL23/'Total Value'!$D23-1)</f>
        <v/>
      </c>
      <c r="DM11" s="14" t="str">
        <f ca="1">IF(DM$1="","",'Total Value'!DM23/'Total Value'!$D23-1)</f>
        <v/>
      </c>
      <c r="DN11" s="14" t="str">
        <f ca="1">IF(DN$1="","",'Total Value'!DN23/'Total Value'!$D23-1)</f>
        <v/>
      </c>
      <c r="DO11" s="14" t="str">
        <f ca="1">IF(DO$1="","",'Total Value'!DO23/'Total Value'!$D23-1)</f>
        <v/>
      </c>
      <c r="DP11" s="14" t="str">
        <f ca="1">IF(DP$1="","",'Total Value'!DP23/'Total Value'!$D23-1)</f>
        <v/>
      </c>
      <c r="DQ11" s="14" t="str">
        <f ca="1">IF(DQ$1="","",'Total Value'!DQ23/'Total Value'!$D23-1)</f>
        <v/>
      </c>
      <c r="DR11" s="14" t="str">
        <f ca="1">IF(DR$1="","",'Total Value'!DR23/'Total Value'!$D23-1)</f>
        <v/>
      </c>
      <c r="DS11" s="14" t="str">
        <f ca="1">IF(DS$1="","",'Total Value'!DS23/'Total Value'!$D23-1)</f>
        <v/>
      </c>
      <c r="DT11" s="14" t="str">
        <f ca="1">IF(DT$1="","",'Total Value'!DT23/'Total Value'!$D23-1)</f>
        <v/>
      </c>
      <c r="DU11" s="14" t="str">
        <f ca="1">IF(DU$1="","",'Total Value'!DU23/'Total Value'!$D23-1)</f>
        <v/>
      </c>
      <c r="DV11" s="14" t="str">
        <f ca="1">IF(DV$1="","",'Total Value'!DV23/'Total Value'!$D23-1)</f>
        <v/>
      </c>
      <c r="DW11" s="14" t="str">
        <f ca="1">IF(DW$1="","",'Total Value'!DW23/'Total Value'!$D23-1)</f>
        <v/>
      </c>
      <c r="DX11" s="14" t="str">
        <f ca="1">IF(DX$1="","",'Total Value'!DX23/'Total Value'!$D23-1)</f>
        <v/>
      </c>
      <c r="DY11" s="14" t="str">
        <f ca="1">IF(DY$1="","",'Total Value'!DY23/'Total Value'!$D23-1)</f>
        <v/>
      </c>
      <c r="DZ11" s="14" t="str">
        <f ca="1">IF(DZ$1="","",'Total Value'!DZ23/'Total Value'!$D23-1)</f>
        <v/>
      </c>
      <c r="EA11" s="14" t="str">
        <f ca="1">IF(EA$1="","",'Total Value'!EA23/'Total Value'!$D23-1)</f>
        <v/>
      </c>
      <c r="EB11" s="14" t="str">
        <f ca="1">IF(EB$1="","",'Total Value'!EB23/'Total Value'!$D23-1)</f>
        <v/>
      </c>
      <c r="EC11" s="14" t="str">
        <f ca="1">IF(EC$1="","",'Total Value'!EC23/'Total Value'!$D23-1)</f>
        <v/>
      </c>
      <c r="ED11" s="14" t="str">
        <f ca="1">IF(ED$1="","",'Total Value'!ED23/'Total Value'!$D23-1)</f>
        <v/>
      </c>
      <c r="EE11" s="14" t="str">
        <f ca="1">IF(EE$1="","",'Total Value'!EE23/'Total Value'!$D23-1)</f>
        <v/>
      </c>
      <c r="EF11" s="14" t="str">
        <f ca="1">IF(EF$1="","",'Total Value'!EF23/'Total Value'!$D23-1)</f>
        <v/>
      </c>
      <c r="EG11" s="14" t="str">
        <f ca="1">IF(EG$1="","",'Total Value'!EG23/'Total Value'!$D23-1)</f>
        <v/>
      </c>
      <c r="EH11" s="14" t="str">
        <f ca="1">IF(EH$1="","",'Total Value'!EH23/'Total Value'!$D23-1)</f>
        <v/>
      </c>
      <c r="EI11" s="14" t="str">
        <f ca="1">IF(EI$1="","",'Total Value'!EI23/'Total Value'!$D23-1)</f>
        <v/>
      </c>
      <c r="EJ11" s="14" t="str">
        <f ca="1">IF(EJ$1="","",'Total Value'!EJ23/'Total Value'!$D23-1)</f>
        <v/>
      </c>
      <c r="EK11" s="14" t="str">
        <f ca="1">IF(EK$1="","",'Total Value'!EK23/'Total Value'!$D23-1)</f>
        <v/>
      </c>
      <c r="EL11" s="14" t="str">
        <f ca="1">IF(EL$1="","",'Total Value'!EL23/'Total Value'!$D23-1)</f>
        <v/>
      </c>
      <c r="EM11" s="14" t="str">
        <f ca="1">IF(EM$1="","",'Total Value'!EM23/'Total Value'!$D23-1)</f>
        <v/>
      </c>
      <c r="EN11" s="14" t="str">
        <f ca="1">IF(EN$1="","",'Total Value'!EN23/'Total Value'!$D23-1)</f>
        <v/>
      </c>
      <c r="EO11" s="14" t="str">
        <f ca="1">IF(EO$1="","",'Total Value'!EO23/'Total Value'!$D23-1)</f>
        <v/>
      </c>
      <c r="EP11" s="14" t="str">
        <f ca="1">IF(EP$1="","",'Total Value'!EP23/'Total Value'!$D23-1)</f>
        <v/>
      </c>
      <c r="EQ11" s="14" t="str">
        <f ca="1">IF(EQ$1="","",'Total Value'!EQ23/'Total Value'!$D23-1)</f>
        <v/>
      </c>
      <c r="ER11" s="14" t="str">
        <f ca="1">IF(ER$1="","",'Total Value'!ER23/'Total Value'!$D23-1)</f>
        <v/>
      </c>
      <c r="ES11" s="14" t="str">
        <f ca="1">IF(ES$1="","",'Total Value'!ES23/'Total Value'!$D23-1)</f>
        <v/>
      </c>
      <c r="ET11" s="14" t="str">
        <f ca="1">IF(ET$1="","",'Total Value'!ET23/'Total Value'!$D23-1)</f>
        <v/>
      </c>
      <c r="EU11" s="14" t="str">
        <f ca="1">IF(EU$1="","",'Total Value'!EU23/'Total Value'!$D23-1)</f>
        <v/>
      </c>
      <c r="EV11" s="14" t="str">
        <f ca="1">IF(EV$1="","",'Total Value'!EV23/'Total Value'!$D23-1)</f>
        <v/>
      </c>
      <c r="EW11" s="14" t="str">
        <f ca="1">IF(EW$1="","",'Total Value'!EW23/'Total Value'!$D23-1)</f>
        <v/>
      </c>
      <c r="EX11" s="14" t="str">
        <f ca="1">IF(EX$1="","",'Total Value'!EX23/'Total Value'!$D23-1)</f>
        <v/>
      </c>
      <c r="EY11" s="14" t="str">
        <f ca="1">IF(EY$1="","",'Total Value'!EY23/'Total Value'!$D23-1)</f>
        <v/>
      </c>
      <c r="EZ11" s="14" t="str">
        <f ca="1">IF(EZ$1="","",'Total Value'!EZ23/'Total Value'!$D23-1)</f>
        <v/>
      </c>
      <c r="FA11" s="14" t="str">
        <f ca="1">IF(FA$1="","",'Total Value'!FA23/'Total Value'!$D23-1)</f>
        <v/>
      </c>
      <c r="FB11" s="14" t="str">
        <f ca="1">IF(FB$1="","",'Total Value'!FB23/'Total Value'!$D23-1)</f>
        <v/>
      </c>
      <c r="FC11" s="14" t="str">
        <f ca="1">IF(FC$1="","",'Total Value'!FC23/'Total Value'!$D23-1)</f>
        <v/>
      </c>
      <c r="FD11" s="14" t="str">
        <f ca="1">IF(FD$1="","",'Total Value'!FD23/'Total Value'!$D23-1)</f>
        <v/>
      </c>
      <c r="FE11" s="14" t="str">
        <f ca="1">IF(FE$1="","",'Total Value'!FE23/'Total Value'!$D23-1)</f>
        <v/>
      </c>
      <c r="FF11" s="14" t="str">
        <f ca="1">IF(FF$1="","",'Total Value'!FF23/'Total Value'!$D23-1)</f>
        <v/>
      </c>
      <c r="FG11" s="14" t="str">
        <f ca="1">IF(FG$1="","",'Total Value'!FG23/'Total Value'!$D23-1)</f>
        <v/>
      </c>
      <c r="FH11" s="14" t="str">
        <f ca="1">IF(FH$1="","",'Total Value'!FH23/'Total Value'!$D23-1)</f>
        <v/>
      </c>
      <c r="FI11" s="14" t="str">
        <f ca="1">IF(FI$1="","",'Total Value'!FI23/'Total Value'!$D23-1)</f>
        <v/>
      </c>
      <c r="FJ11" s="14" t="str">
        <f ca="1">IF(FJ$1="","",'Total Value'!FJ23/'Total Value'!$D23-1)</f>
        <v/>
      </c>
      <c r="FK11" s="14" t="str">
        <f ca="1">IF(FK$1="","",'Total Value'!FK23/'Total Value'!$D23-1)</f>
        <v/>
      </c>
      <c r="FL11" s="14" t="str">
        <f ca="1">IF(FL$1="","",'Total Value'!FL23/'Total Value'!$D23-1)</f>
        <v/>
      </c>
      <c r="FM11" s="14" t="str">
        <f ca="1">IF(FM$1="","",'Total Value'!FM23/'Total Value'!$D23-1)</f>
        <v/>
      </c>
      <c r="FN11" s="14" t="str">
        <f ca="1">IF(FN$1="","",'Total Value'!FN23/'Total Value'!$D23-1)</f>
        <v/>
      </c>
      <c r="FO11" s="14" t="str">
        <f ca="1">IF(FO$1="","",'Total Value'!FO23/'Total Value'!$D23-1)</f>
        <v/>
      </c>
      <c r="FP11" s="14" t="str">
        <f ca="1">IF(FP$1="","",'Total Value'!FP23/'Total Value'!$D23-1)</f>
        <v/>
      </c>
      <c r="FQ11" s="14" t="str">
        <f ca="1">IF(FQ$1="","",'Total Value'!FQ23/'Total Value'!$D23-1)</f>
        <v/>
      </c>
      <c r="FR11" s="14" t="str">
        <f ca="1">IF(FR$1="","",'Total Value'!FR23/'Total Value'!$D23-1)</f>
        <v/>
      </c>
      <c r="FS11" s="14" t="str">
        <f ca="1">IF(FS$1="","",'Total Value'!FS23/'Total Value'!$D23-1)</f>
        <v/>
      </c>
      <c r="FT11" s="14" t="str">
        <f ca="1">IF(FT$1="","",'Total Value'!FT23/'Total Value'!$D23-1)</f>
        <v/>
      </c>
      <c r="FU11" s="14" t="str">
        <f ca="1">IF(FU$1="","",'Total Value'!FU23/'Total Value'!$D23-1)</f>
        <v/>
      </c>
      <c r="FV11" s="14" t="str">
        <f ca="1">IF(FV$1="","",'Total Value'!FV23/'Total Value'!$D23-1)</f>
        <v/>
      </c>
      <c r="FW11" s="14" t="str">
        <f ca="1">IF(FW$1="","",'Total Value'!FW23/'Total Value'!$D23-1)</f>
        <v/>
      </c>
      <c r="FX11" s="14" t="str">
        <f ca="1">IF(FX$1="","",'Total Value'!FX23/'Total Value'!$D23-1)</f>
        <v/>
      </c>
      <c r="FY11" s="14" t="str">
        <f ca="1">IF(FY$1="","",'Total Value'!FY23/'Total Value'!$D23-1)</f>
        <v/>
      </c>
      <c r="FZ11" s="14" t="str">
        <f ca="1">IF(FZ$1="","",'Total Value'!FZ23/'Total Value'!$D23-1)</f>
        <v/>
      </c>
      <c r="GA11" s="14" t="str">
        <f ca="1">IF(GA$1="","",'Total Value'!GA23/'Total Value'!$D23-1)</f>
        <v/>
      </c>
      <c r="GB11" s="14" t="str">
        <f ca="1">IF(GB$1="","",'Total Value'!GB23/'Total Value'!$D23-1)</f>
        <v/>
      </c>
      <c r="GC11" s="14" t="str">
        <f ca="1">IF(GC$1="","",'Total Value'!GC23/'Total Value'!$D23-1)</f>
        <v/>
      </c>
      <c r="GD11" s="14" t="str">
        <f ca="1">IF(GD$1="","",'Total Value'!GD23/'Total Value'!$D23-1)</f>
        <v/>
      </c>
      <c r="GE11" s="14" t="str">
        <f ca="1">IF(GE$1="","",'Total Value'!GE23/'Total Value'!$D23-1)</f>
        <v/>
      </c>
      <c r="GF11" s="14" t="str">
        <f ca="1">IF(GF$1="","",'Total Value'!GF23/'Total Value'!$D23-1)</f>
        <v/>
      </c>
      <c r="GG11" s="14" t="str">
        <f ca="1">IF(GG$1="","",'Total Value'!GG23/'Total Value'!$D23-1)</f>
        <v/>
      </c>
      <c r="GH11" s="14" t="str">
        <f ca="1">IF(GH$1="","",'Total Value'!GH23/'Total Value'!$D23-1)</f>
        <v/>
      </c>
      <c r="GI11" s="14" t="str">
        <f ca="1">IF(GI$1="","",'Total Value'!GI23/'Total Value'!$D23-1)</f>
        <v/>
      </c>
      <c r="GJ11" s="14" t="str">
        <f ca="1">IF(GJ$1="","",'Total Value'!GJ23/'Total Value'!$D23-1)</f>
        <v/>
      </c>
      <c r="GK11" s="14" t="str">
        <f ca="1">IF(GK$1="","",'Total Value'!GK23/'Total Value'!$D23-1)</f>
        <v/>
      </c>
      <c r="GL11" s="14" t="str">
        <f ca="1">IF(GL$1="","",'Total Value'!GL23/'Total Value'!$D23-1)</f>
        <v/>
      </c>
      <c r="GM11" s="14" t="str">
        <f ca="1">IF(GM$1="","",'Total Value'!GM23/'Total Value'!$D23-1)</f>
        <v/>
      </c>
      <c r="GN11" s="14" t="str">
        <f ca="1">IF(GN$1="","",'Total Value'!GN23/'Total Value'!$D23-1)</f>
        <v/>
      </c>
      <c r="GO11" s="14" t="str">
        <f ca="1">IF(GO$1="","",'Total Value'!GO23/'Total Value'!$D23-1)</f>
        <v/>
      </c>
      <c r="GP11" s="14" t="str">
        <f ca="1">IF(GP$1="","",'Total Value'!GP23/'Total Value'!$D23-1)</f>
        <v/>
      </c>
      <c r="GQ11" s="14" t="str">
        <f ca="1">IF(GQ$1="","",'Total Value'!GQ23/'Total Value'!$D23-1)</f>
        <v/>
      </c>
      <c r="GR11" s="14" t="str">
        <f ca="1">IF(GR$1="","",'Total Value'!GR23/'Total Value'!$D23-1)</f>
        <v/>
      </c>
      <c r="GS11" s="14" t="str">
        <f ca="1">IF(GS$1="","",'Total Value'!GS23/'Total Value'!$D23-1)</f>
        <v/>
      </c>
      <c r="GT11" s="14" t="str">
        <f ca="1">IF(GT$1="","",'Total Value'!GT23/'Total Value'!$D23-1)</f>
        <v/>
      </c>
      <c r="GU11" s="14" t="str">
        <f ca="1">IF(GU$1="","",'Total Value'!GU23/'Total Value'!$D23-1)</f>
        <v/>
      </c>
      <c r="GV11" s="14" t="str">
        <f ca="1">IF(GV$1="","",'Total Value'!GV23/'Total Value'!$D23-1)</f>
        <v/>
      </c>
      <c r="GW11" s="14" t="str">
        <f ca="1">IF(GW$1="","",'Total Value'!GW23/'Total Value'!$D23-1)</f>
        <v/>
      </c>
      <c r="GX11" s="14" t="str">
        <f ca="1">IF(GX$1="","",'Total Value'!GX23/'Total Value'!$D23-1)</f>
        <v/>
      </c>
      <c r="GY11" s="14" t="str">
        <f ca="1">IF(GY$1="","",'Total Value'!GY23/'Total Value'!$D23-1)</f>
        <v/>
      </c>
      <c r="GZ11" s="14" t="str">
        <f ca="1">IF(GZ$1="","",'Total Value'!GZ23/'Total Value'!$D23-1)</f>
        <v/>
      </c>
      <c r="HA11" s="14" t="str">
        <f ca="1">IF(HA$1="","",'Total Value'!HA23/'Total Value'!$D23-1)</f>
        <v/>
      </c>
      <c r="HB11" s="14" t="str">
        <f ca="1">IF(HB$1="","",'Total Value'!HB23/'Total Value'!$D23-1)</f>
        <v/>
      </c>
      <c r="HC11" s="14" t="str">
        <f ca="1">IF(HC$1="","",'Total Value'!HC23/'Total Value'!$D23-1)</f>
        <v/>
      </c>
      <c r="HD11" s="14" t="str">
        <f ca="1">IF(HD$1="","",'Total Value'!HD23/'Total Value'!$D23-1)</f>
        <v/>
      </c>
      <c r="HE11" s="14" t="str">
        <f ca="1">IF(HE$1="","",'Total Value'!HE23/'Total Value'!$D23-1)</f>
        <v/>
      </c>
      <c r="HF11" s="14" t="str">
        <f ca="1">IF(HF$1="","",'Total Value'!HF23/'Total Value'!$D23-1)</f>
        <v/>
      </c>
      <c r="HG11" s="14" t="str">
        <f ca="1">IF(HG$1="","",'Total Value'!HG23/'Total Value'!$D23-1)</f>
        <v/>
      </c>
      <c r="HH11" s="14" t="str">
        <f ca="1">IF(HH$1="","",'Total Value'!HH23/'Total Value'!$D23-1)</f>
        <v/>
      </c>
      <c r="HI11" s="14" t="str">
        <f ca="1">IF(HI$1="","",'Total Value'!HI23/'Total Value'!$D23-1)</f>
        <v/>
      </c>
      <c r="HJ11" s="14" t="str">
        <f ca="1">IF(HJ$1="","",'Total Value'!HJ23/'Total Value'!$D23-1)</f>
        <v/>
      </c>
      <c r="HK11" s="14" t="str">
        <f ca="1">IF(HK$1="","",'Total Value'!HK23/'Total Value'!$D23-1)</f>
        <v/>
      </c>
      <c r="HL11" s="14" t="str">
        <f ca="1">IF(HL$1="","",'Total Value'!HL23/'Total Value'!$D23-1)</f>
        <v/>
      </c>
      <c r="HM11" s="14" t="str">
        <f ca="1">IF(HM$1="","",'Total Value'!HM23/'Total Value'!$D23-1)</f>
        <v/>
      </c>
      <c r="HN11" s="14" t="str">
        <f ca="1">IF(HN$1="","",'Total Value'!HN23/'Total Value'!$D23-1)</f>
        <v/>
      </c>
      <c r="HO11" s="14" t="str">
        <f ca="1">IF(HO$1="","",'Total Value'!HO23/'Total Value'!$D23-1)</f>
        <v/>
      </c>
      <c r="HP11" s="14" t="str">
        <f ca="1">IF(HP$1="","",'Total Value'!HP23/'Total Value'!$D23-1)</f>
        <v/>
      </c>
      <c r="HQ11" s="14" t="str">
        <f ca="1">IF(HQ$1="","",'Total Value'!HQ23/'Total Value'!$D23-1)</f>
        <v/>
      </c>
      <c r="HR11" s="14" t="str">
        <f ca="1">IF(HR$1="","",'Total Value'!HR23/'Total Value'!$D23-1)</f>
        <v/>
      </c>
      <c r="HS11" s="14" t="str">
        <f ca="1">IF(HS$1="","",'Total Value'!HS23/'Total Value'!$D23-1)</f>
        <v/>
      </c>
      <c r="HT11" s="14" t="str">
        <f ca="1">IF(HT$1="","",'Total Value'!HT23/'Total Value'!$D23-1)</f>
        <v/>
      </c>
      <c r="HU11" s="14" t="str">
        <f ca="1">IF(HU$1="","",'Total Value'!HU23/'Total Value'!$D23-1)</f>
        <v/>
      </c>
      <c r="HV11" s="14" t="str">
        <f ca="1">IF(HV$1="","",'Total Value'!HV23/'Total Value'!$D23-1)</f>
        <v/>
      </c>
      <c r="HW11" s="14" t="str">
        <f ca="1">IF(HW$1="","",'Total Value'!HW23/'Total Value'!$D23-1)</f>
        <v/>
      </c>
      <c r="HX11" s="14" t="str">
        <f ca="1">IF(HX$1="","",'Total Value'!HX23/'Total Value'!$D23-1)</f>
        <v/>
      </c>
      <c r="HY11" s="14" t="str">
        <f ca="1">IF(HY$1="","",'Total Value'!HY23/'Total Value'!$D23-1)</f>
        <v/>
      </c>
      <c r="HZ11" s="14" t="str">
        <f ca="1">IF(HZ$1="","",'Total Value'!HZ23/'Total Value'!$D23-1)</f>
        <v/>
      </c>
      <c r="IA11" s="14" t="str">
        <f ca="1">IF(IA$1="","",'Total Value'!IA23/'Total Value'!$D23-1)</f>
        <v/>
      </c>
      <c r="IB11" s="14" t="str">
        <f ca="1">IF(IB$1="","",'Total Value'!IB23/'Total Value'!$D23-1)</f>
        <v/>
      </c>
      <c r="IC11" s="14" t="str">
        <f ca="1">IF(IC$1="","",'Total Value'!IC23/'Total Value'!$D23-1)</f>
        <v/>
      </c>
      <c r="ID11" s="14" t="str">
        <f ca="1">IF(ID$1="","",'Total Value'!ID23/'Total Value'!$D23-1)</f>
        <v/>
      </c>
      <c r="IE11" s="14" t="str">
        <f ca="1">IF(IE$1="","",'Total Value'!IE23/'Total Value'!$D23-1)</f>
        <v/>
      </c>
      <c r="IF11" s="14" t="str">
        <f ca="1">IF(IF$1="","",'Total Value'!IF23/'Total Value'!$D23-1)</f>
        <v/>
      </c>
      <c r="IG11" s="14" t="str">
        <f ca="1">IF(IG$1="","",'Total Value'!IG23/'Total Value'!$D23-1)</f>
        <v/>
      </c>
      <c r="IH11" s="14" t="str">
        <f ca="1">IF(IH$1="","",'Total Value'!IH23/'Total Value'!$D23-1)</f>
        <v/>
      </c>
      <c r="II11" s="14" t="str">
        <f ca="1">IF(II$1="","",'Total Value'!II23/'Total Value'!$D23-1)</f>
        <v/>
      </c>
      <c r="IJ11" s="14" t="str">
        <f ca="1">IF(IJ$1="","",'Total Value'!IJ23/'Total Value'!$D23-1)</f>
        <v/>
      </c>
      <c r="IK11" s="14" t="str">
        <f ca="1">IF(IK$1="","",'Total Value'!IK23/'Total Value'!$D23-1)</f>
        <v/>
      </c>
      <c r="IL11" s="14" t="str">
        <f ca="1">IF(IL$1="","",'Total Value'!IL23/'Total Value'!$D23-1)</f>
        <v/>
      </c>
      <c r="IM11" s="14" t="str">
        <f ca="1">IF(IM$1="","",'Total Value'!IM23/'Total Value'!$D23-1)</f>
        <v/>
      </c>
      <c r="IN11" s="14" t="str">
        <f ca="1">IF(IN$1="","",'Total Value'!IN23/'Total Value'!$D23-1)</f>
        <v/>
      </c>
      <c r="IO11" s="14" t="str">
        <f ca="1">IF(IO$1="","",'Total Value'!IO23/'Total Value'!$D23-1)</f>
        <v/>
      </c>
      <c r="IP11" s="14" t="str">
        <f ca="1">IF(IP$1="","",'Total Value'!IP23/'Total Value'!$D23-1)</f>
        <v/>
      </c>
      <c r="IQ11" s="14" t="str">
        <f ca="1">IF(IQ$1="","",'Total Value'!IQ23/'Total Value'!$D23-1)</f>
        <v/>
      </c>
      <c r="IR11" s="14" t="str">
        <f ca="1">IF(IR$1="","",'Total Value'!IR23/'Total Value'!$D23-1)</f>
        <v/>
      </c>
      <c r="IS11" s="14" t="str">
        <f ca="1">IF(IS$1="","",'Total Value'!IS23/'Total Value'!$D23-1)</f>
        <v/>
      </c>
      <c r="IT11" s="14" t="str">
        <f ca="1">IF(IT$1="","",'Total Value'!IT23/'Total Value'!$D23-1)</f>
        <v/>
      </c>
      <c r="IU11" s="14" t="str">
        <f ca="1">IF(IU$1="","",'Total Value'!IU23/'Total Value'!$D23-1)</f>
        <v/>
      </c>
      <c r="IV11" s="14" t="str">
        <f ca="1">IF(IV$1="","",'Total Value'!IV23/'Total Value'!$D23-1)</f>
        <v/>
      </c>
      <c r="IW11" s="14" t="str">
        <f ca="1">IF(IW$1="","",'Total Value'!IW23/'Total Value'!$D23-1)</f>
        <v/>
      </c>
      <c r="IX11" s="14" t="str">
        <f ca="1">IF(IX$1="","",'Total Value'!IX23/'Total Value'!$D23-1)</f>
        <v/>
      </c>
      <c r="IY11" s="14" t="str">
        <f ca="1">IF(IY$1="","",'Total Value'!IY23/'Total Value'!$D23-1)</f>
        <v/>
      </c>
      <c r="IZ11" s="14" t="str">
        <f ca="1">IF(IZ$1="","",'Total Value'!IZ23/'Total Value'!$D23-1)</f>
        <v/>
      </c>
      <c r="JA11" s="14" t="str">
        <f ca="1">IF(JA$1="","",'Total Value'!JA23/'Total Value'!$D23-1)</f>
        <v/>
      </c>
      <c r="JB11" s="14" t="str">
        <f ca="1">IF(JB$1="","",'Total Value'!JB23/'Total Value'!$D23-1)</f>
        <v/>
      </c>
      <c r="JC11" s="14" t="str">
        <f ca="1">IF(JC$1="","",'Total Value'!JC23/'Total Value'!$D23-1)</f>
        <v/>
      </c>
      <c r="JD11" s="14" t="str">
        <f ca="1">IF(JD$1="","",'Total Value'!JD23/'Total Value'!$D23-1)</f>
        <v/>
      </c>
      <c r="JE11" s="14" t="str">
        <f ca="1">IF(JE$1="","",'Total Value'!JE23/'Total Value'!$D23-1)</f>
        <v/>
      </c>
      <c r="JF11" s="14" t="str">
        <f ca="1">IF(JF$1="","",'Total Value'!JF23/'Total Value'!$D23-1)</f>
        <v/>
      </c>
      <c r="JG11" s="14" t="str">
        <f ca="1">IF(JG$1="","",'Total Value'!JG23/'Total Value'!$D23-1)</f>
        <v/>
      </c>
      <c r="JH11" s="14" t="str">
        <f ca="1">IF(JH$1="","",'Total Value'!JH23/'Total Value'!$D23-1)</f>
        <v/>
      </c>
      <c r="JI11" s="14" t="str">
        <f ca="1">IF(JI$1="","",'Total Value'!JI23/'Total Value'!$D23-1)</f>
        <v/>
      </c>
      <c r="JJ11" s="14" t="str">
        <f ca="1">IF(JJ$1="","",'Total Value'!JJ23/'Total Value'!$D23-1)</f>
        <v/>
      </c>
      <c r="JK11" s="14" t="str">
        <f ca="1">IF(JK$1="","",'Total Value'!JK23/'Total Value'!$D23-1)</f>
        <v/>
      </c>
      <c r="JL11" s="14" t="str">
        <f ca="1">IF(JL$1="","",'Total Value'!JL23/'Total Value'!$D23-1)</f>
        <v/>
      </c>
      <c r="JM11" s="14" t="str">
        <f ca="1">IF(JM$1="","",'Total Value'!JM23/'Total Value'!$D23-1)</f>
        <v/>
      </c>
      <c r="JN11" s="14" t="str">
        <f ca="1">IF(JN$1="","",'Total Value'!JN23/'Total Value'!$D23-1)</f>
        <v/>
      </c>
      <c r="JO11" s="14" t="str">
        <f ca="1">IF(JO$1="","",'Total Value'!JO23/'Total Value'!$D23-1)</f>
        <v/>
      </c>
      <c r="JP11" s="14" t="str">
        <f ca="1">IF(JP$1="","",'Total Value'!JP23/'Total Value'!$D23-1)</f>
        <v/>
      </c>
      <c r="JQ11" s="14" t="str">
        <f ca="1">IF(JQ$1="","",'Total Value'!JQ23/'Total Value'!$D23-1)</f>
        <v/>
      </c>
      <c r="JR11" s="14" t="str">
        <f ca="1">IF(JR$1="","",'Total Value'!JR23/'Total Value'!$D23-1)</f>
        <v/>
      </c>
      <c r="JS11" s="14" t="str">
        <f ca="1">IF(JS$1="","",'Total Value'!JS23/'Total Value'!$D23-1)</f>
        <v/>
      </c>
      <c r="JT11" s="14" t="str">
        <f ca="1">IF(JT$1="","",'Total Value'!JT23/'Total Value'!$D23-1)</f>
        <v/>
      </c>
      <c r="JU11" s="14" t="str">
        <f ca="1">IF(JU$1="","",'Total Value'!JU23/'Total Value'!$D23-1)</f>
        <v/>
      </c>
      <c r="JV11" s="14" t="str">
        <f ca="1">IF(JV$1="","",'Total Value'!JV23/'Total Value'!$D23-1)</f>
        <v/>
      </c>
      <c r="JW11" s="14" t="str">
        <f ca="1">IF(JW$1="","",'Total Value'!JW23/'Total Value'!$D23-1)</f>
        <v/>
      </c>
      <c r="JX11" s="14" t="str">
        <f ca="1">IF(JX$1="","",'Total Value'!JX23/'Total Value'!$D23-1)</f>
        <v/>
      </c>
      <c r="JY11" s="14" t="str">
        <f ca="1">IF(JY$1="","",'Total Value'!JY23/'Total Value'!$D23-1)</f>
        <v/>
      </c>
      <c r="JZ11" s="14" t="str">
        <f ca="1">IF(JZ$1="","",'Total Value'!JZ23/'Total Value'!$D23-1)</f>
        <v/>
      </c>
      <c r="KA11" s="14" t="str">
        <f ca="1">IF(KA$1="","",'Total Value'!KA23/'Total Value'!$D23-1)</f>
        <v/>
      </c>
      <c r="KB11" s="14" t="str">
        <f ca="1">IF(KB$1="","",'Total Value'!KB23/'Total Value'!$D23-1)</f>
        <v/>
      </c>
    </row>
    <row r="12" spans="1:288" ht="15.75" customHeight="1">
      <c r="A12" s="9" t="s">
        <v>30</v>
      </c>
      <c r="B12" s="6" t="s">
        <v>57</v>
      </c>
      <c r="C12" s="26">
        <v>197</v>
      </c>
      <c r="D12" s="13">
        <v>0</v>
      </c>
      <c r="E12" s="14">
        <f ca="1">IF(E$1="","",'Total Value'!E24/'Total Value'!$D24-1)</f>
        <v>1.7059994313335158E-2</v>
      </c>
      <c r="F12" s="14">
        <f ca="1">IF(F$1="","",'Total Value'!F24/'Total Value'!$D24-1)</f>
        <v>1.2226329257890356E-2</v>
      </c>
      <c r="G12" s="14">
        <f ca="1">IF(G$1="","",'Total Value'!G24/'Total Value'!$D24-1)</f>
        <v>1.5069661643446031E-2</v>
      </c>
      <c r="H12" s="14">
        <f ca="1">IF(H$1="","",'Total Value'!H24/'Total Value'!$D24-1)</f>
        <v>2.3030992323002319E-2</v>
      </c>
      <c r="I12" s="14">
        <f ca="1">IF(I$1="","",'Total Value'!I24/'Total Value'!$D24-1)</f>
        <v>-3.1276656241114864E-3</v>
      </c>
      <c r="J12" s="14">
        <f ca="1">IF(J$1="","",'Total Value'!J24/'Total Value'!$D24-1)</f>
        <v>-2.2177992607335884E-2</v>
      </c>
      <c r="K12" s="14">
        <f ca="1">IF(K$1="","",'Total Value'!K24/'Total Value'!$D24-1)</f>
        <v>-2.4736991754336302E-2</v>
      </c>
      <c r="L12" s="14">
        <f ca="1">IF(L$1="","",'Total Value'!L24/'Total Value'!$D24-1)</f>
        <v>-5.2601649132783757E-2</v>
      </c>
      <c r="M12" s="14">
        <f ca="1">IF(M$1="","",'Total Value'!M24/'Total Value'!$D24-1)</f>
        <v>-6.3690645436451643E-2</v>
      </c>
      <c r="N12" s="14">
        <f ca="1">IF(N$1="","",'Total Value'!N24/'Total Value'!$D24-1)</f>
        <v>-6.3406312197896164E-2</v>
      </c>
      <c r="O12" s="14">
        <f ca="1">IF(O$1="","",'Total Value'!O24/'Total Value'!$D24-1)</f>
        <v>-5.9141313619562097E-2</v>
      </c>
      <c r="P12" s="14">
        <f ca="1">IF(P$1="","",'Total Value'!P24/'Total Value'!$D24-1)</f>
        <v>-8.217230594256475E-2</v>
      </c>
      <c r="Q12" s="14">
        <f ca="1">IF(Q$1="","",'Total Value'!Q24/'Total Value'!$D24-1)</f>
        <v>-9.041796986067685E-2</v>
      </c>
      <c r="R12" s="14">
        <f ca="1">IF(R$1="","",'Total Value'!R24/'Total Value'!$D24-1)</f>
        <v>-4.3502985499004887E-2</v>
      </c>
      <c r="S12" s="14">
        <f ca="1">IF(S$1="","",'Total Value'!S24/'Total Value'!$D24-1)</f>
        <v>-1.5069661643446253E-2</v>
      </c>
      <c r="T12" s="14">
        <f ca="1">IF(T$1="","",'Total Value'!T24/'Total Value'!$D24-1)</f>
        <v>-1.0520329826556929E-2</v>
      </c>
      <c r="U12" s="14">
        <f ca="1">IF(U$1="","",'Total Value'!U24/'Total Value'!$D24-1)</f>
        <v>-5.032698322433915E-2</v>
      </c>
      <c r="V12" s="14">
        <f ca="1">IF(V$1="","",'Total Value'!V24/'Total Value'!$D24-1)</f>
        <v>-1.649132783622409E-2</v>
      </c>
      <c r="W12" s="14">
        <f ca="1">IF(W$1="","",'Total Value'!W24/'Total Value'!$D24-1)</f>
        <v>-3.1276656241114864E-3</v>
      </c>
      <c r="X12" s="14">
        <f ca="1">IF(X$1="","",'Total Value'!X24/'Total Value'!$D24-1)</f>
        <v>1.8197327267557517E-2</v>
      </c>
      <c r="Y12" s="14">
        <f ca="1">IF(Y$1="","",'Total Value'!Y24/'Total Value'!$D24-1)</f>
        <v>2.9854990048336472E-2</v>
      </c>
      <c r="Z12" s="14">
        <f ca="1">IF(Z$1="","",'Total Value'!Z24/'Total Value'!$D24-1)</f>
        <v>3.2129655956781189E-2</v>
      </c>
      <c r="AA12" s="14">
        <f ca="1">IF(AA$1="","",'Total Value'!AA24/'Total Value'!$D24-1)</f>
        <v>-1.62069945976685E-2</v>
      </c>
      <c r="AB12" s="14">
        <f ca="1">IF(AB$1="","",'Total Value'!AB24/'Total Value'!$D24-1)</f>
        <v>-3.4972988342337419E-2</v>
      </c>
      <c r="AC12" s="14">
        <f ca="1">IF(AC$1="","",'Total Value'!AC24/'Total Value'!$D24-1)</f>
        <v>-1.62069945976685E-2</v>
      </c>
      <c r="AD12" s="14">
        <f ca="1">IF(AD$1="","",'Total Value'!AD24/'Total Value'!$D24-1)</f>
        <v>-1.649132783622409E-2</v>
      </c>
      <c r="AE12" s="14">
        <f ca="1">IF(AE$1="","",'Total Value'!AE24/'Total Value'!$D24-1)</f>
        <v>-5.5444981518339542E-2</v>
      </c>
      <c r="AF12" s="14">
        <f ca="1">IF(AF$1="","",'Total Value'!AF24/'Total Value'!$D24-1)</f>
        <v>-5.686664771111738E-2</v>
      </c>
      <c r="AG12" s="14">
        <f ca="1">IF(AG$1="","",'Total Value'!AG24/'Total Value'!$D24-1)</f>
        <v>-7.6485641171453067E-2</v>
      </c>
      <c r="AH12" s="14">
        <f ca="1">IF(AH$1="","",'Total Value'!AH24/'Total Value'!$D24-1)</f>
        <v>-9.041796986067685E-2</v>
      </c>
      <c r="AI12" s="14">
        <f ca="1">IF(AI$1="","",'Total Value'!AI24/'Total Value'!$D24-1)</f>
        <v>-9.2692635769121456E-2</v>
      </c>
      <c r="AJ12" s="14">
        <f ca="1">IF(AJ$1="","",'Total Value'!AJ24/'Total Value'!$D24-1)</f>
        <v>-5.9141313619562097E-2</v>
      </c>
      <c r="AK12" s="14">
        <f ca="1">IF(AK$1="","",'Total Value'!AK24/'Total Value'!$D24-1)</f>
        <v>-7.1367642877452564E-2</v>
      </c>
      <c r="AL12" s="14">
        <f ca="1">IF(AL$1="","",'Total Value'!AL24/'Total Value'!$D24-1)</f>
        <v>-0.12425362524879158</v>
      </c>
      <c r="AM12" s="14">
        <f ca="1">IF(AM$1="","",'Total Value'!AM24/'Total Value'!$D24-1)</f>
        <v>-9.6957634347455302E-2</v>
      </c>
      <c r="AN12" s="14">
        <f ca="1">IF(AN$1="","",'Total Value'!AN24/'Total Value'!$D24-1)</f>
        <v>-0.10605629798123406</v>
      </c>
      <c r="AO12" s="14">
        <f ca="1">IF(AO$1="","",'Total Value'!AO24/'Total Value'!$D24-1)</f>
        <v>-0.12851862382712553</v>
      </c>
      <c r="AP12" s="14">
        <f ca="1">IF(AP$1="","",'Total Value'!AP24/'Total Value'!$D24-1)</f>
        <v>-0.18908160363946558</v>
      </c>
      <c r="AQ12" s="14">
        <f ca="1">IF(AQ$1="","",'Total Value'!AQ24/'Total Value'!$D24-1)</f>
        <v>-0.1856696047767985</v>
      </c>
      <c r="AR12" s="14">
        <f ca="1">IF(AR$1="","",'Total Value'!AR24/'Total Value'!$D24-1)</f>
        <v>-0.1401762866079046</v>
      </c>
      <c r="AS12" s="14">
        <f ca="1">IF(AS$1="","",'Total Value'!AS24/'Total Value'!$D24-1)</f>
        <v>-0.15268694910435032</v>
      </c>
      <c r="AT12" s="14">
        <f ca="1">IF(AT$1="","",'Total Value'!AT24/'Total Value'!$D24-1)</f>
        <v>-0.14927495024168325</v>
      </c>
      <c r="AU12" s="14">
        <f ca="1">IF(AU$1="","",'Total Value'!AU24/'Total Value'!$D24-1)</f>
        <v>-0.13989195336934901</v>
      </c>
      <c r="AV12" s="14">
        <f ca="1">IF(AV$1="","",'Total Value'!AV24/'Total Value'!$D24-1)</f>
        <v>-0.13306795564401486</v>
      </c>
      <c r="AW12" s="14">
        <f ca="1">IF(AW$1="","",'Total Value'!AW24/'Total Value'!$D24-1)</f>
        <v>-0.10321296559567816</v>
      </c>
      <c r="AX12" s="14">
        <f ca="1">IF(AX$1="","",'Total Value'!AX24/'Total Value'!$D24-1)</f>
        <v>-0.10406596531134493</v>
      </c>
      <c r="AY12" s="14">
        <f ca="1">IF(AY$1="","",'Total Value'!AY24/'Total Value'!$D24-1)</f>
        <v>-9.6673301108899823E-2</v>
      </c>
      <c r="AZ12" s="14">
        <f ca="1">IF(AZ$1="","",'Total Value'!AZ24/'Total Value'!$D24-1)</f>
        <v>-0.11430196189934627</v>
      </c>
      <c r="BA12" s="14">
        <f ca="1">IF(BA$1="","",'Total Value'!BA24/'Total Value'!$D24-1)</f>
        <v>-8.6437304520898484E-2</v>
      </c>
      <c r="BB12" s="14">
        <f ca="1">IF(BB$1="","",'Total Value'!BB24/'Total Value'!$D24-1)</f>
        <v>-0.11088996303667908</v>
      </c>
      <c r="BC12" s="14">
        <f ca="1">IF(BC$1="","",'Total Value'!BC24/'Total Value'!$D24-1)</f>
        <v>-9.6673301108899823E-2</v>
      </c>
      <c r="BD12" s="14">
        <f ca="1">IF(BD$1="","",'Total Value'!BD24/'Total Value'!$D24-1)</f>
        <v>-8.7858970713676654E-2</v>
      </c>
      <c r="BE12" s="14">
        <f ca="1">IF(BE$1="","",'Total Value'!BE24/'Total Value'!$D24-1)</f>
        <v>-0.10093829968723345</v>
      </c>
      <c r="BF12" s="14">
        <f ca="1">IF(BF$1="","",'Total Value'!BF24/'Total Value'!$D24-1)</f>
        <v>-9.0986636337787918E-2</v>
      </c>
      <c r="BG12" s="14">
        <f ca="1">IF(BG$1="","",'Total Value'!BG24/'Total Value'!$D24-1)</f>
        <v>-9.866363377878884E-2</v>
      </c>
      <c r="BH12" s="14">
        <f ca="1">IF(BH$1="","",'Total Value'!BH24/'Total Value'!$D24-1)</f>
        <v>-0.1211259596246802</v>
      </c>
      <c r="BI12" s="14">
        <f ca="1">IF(BI$1="","",'Total Value'!BI24/'Total Value'!$D24-1)</f>
        <v>-0.12283195905601363</v>
      </c>
      <c r="BJ12" s="14">
        <f ca="1">IF(BJ$1="","",'Total Value'!BJ24/'Total Value'!$D24-1)</f>
        <v>-0.12226329257890256</v>
      </c>
      <c r="BK12" s="14">
        <f ca="1">IF(BK$1="","",'Total Value'!BK24/'Total Value'!$D24-1)</f>
        <v>-0.10207563264145603</v>
      </c>
      <c r="BL12" s="14">
        <f ca="1">IF(BL$1="","",'Total Value'!BL24/'Total Value'!$D24-1)</f>
        <v>-0.10321296559567816</v>
      </c>
      <c r="BM12" s="14">
        <f ca="1">IF(BM$1="","",'Total Value'!BM24/'Total Value'!$D24-1)</f>
        <v>-0.12254762581745815</v>
      </c>
      <c r="BN12" s="14">
        <f ca="1">IF(BN$1="","",'Total Value'!BN24/'Total Value'!$D24-1)</f>
        <v>-0.10548763150412299</v>
      </c>
      <c r="BO12" s="14">
        <f ca="1">IF(BO$1="","",'Total Value'!BO24/'Total Value'!$D24-1)</f>
        <v>-0.1214102928632359</v>
      </c>
      <c r="BP12" s="14">
        <f ca="1">IF(BP$1="","",'Total Value'!BP24/'Total Value'!$D24-1)</f>
        <v>-0.13562695479101528</v>
      </c>
      <c r="BQ12" s="14">
        <f ca="1">IF(BQ$1="","",'Total Value'!BQ24/'Total Value'!$D24-1)</f>
        <v>-0.1182826272391243</v>
      </c>
      <c r="BR12" s="14">
        <f ca="1">IF(BR$1="","",'Total Value'!BR24/'Total Value'!$D24-1)</f>
        <v>-0.12766562411145876</v>
      </c>
      <c r="BS12" s="14">
        <f ca="1">IF(BS$1="","",'Total Value'!BS24/'Total Value'!$D24-1)</f>
        <v>-0.11941996019334666</v>
      </c>
      <c r="BT12" s="14">
        <f ca="1">IF(BT$1="","",'Total Value'!BT24/'Total Value'!$D24-1)</f>
        <v>-9.4682968439010695E-2</v>
      </c>
      <c r="BU12" s="14">
        <f ca="1">IF(BU$1="","",'Total Value'!BU24/'Total Value'!$D24-1)</f>
        <v>-8.1603639465453681E-2</v>
      </c>
      <c r="BV12" s="14">
        <f ca="1">IF(BV$1="","",'Total Value'!BV24/'Total Value'!$D24-1)</f>
        <v>-9.4114301961899405E-2</v>
      </c>
      <c r="BW12" s="14">
        <f ca="1">IF(BW$1="","",'Total Value'!BW24/'Total Value'!$D24-1)</f>
        <v>-0.12965595678134778</v>
      </c>
      <c r="BX12" s="14">
        <f ca="1">IF(BX$1="","",'Total Value'!BX24/'Total Value'!$D24-1)</f>
        <v>-0.14159795280068244</v>
      </c>
      <c r="BY12" s="14">
        <f ca="1">IF(BY$1="","",'Total Value'!BY24/'Total Value'!$D24-1)</f>
        <v>-0.17259027580324138</v>
      </c>
      <c r="BZ12" s="14">
        <f ca="1">IF(BZ$1="","",'Total Value'!BZ24/'Total Value'!$D24-1)</f>
        <v>-0.1669036110321297</v>
      </c>
      <c r="CA12" s="14">
        <f ca="1">IF(CA$1="","",'Total Value'!CA24/'Total Value'!$D24-1)</f>
        <v>-0.15467728177423945</v>
      </c>
      <c r="CB12" s="14">
        <f ca="1">IF(CB$1="","",'Total Value'!CB24/'Total Value'!$D24-1)</f>
        <v>-0.18026727324424241</v>
      </c>
      <c r="CC12" s="14">
        <f ca="1">IF(CC$1="","",'Total Value'!CC24/'Total Value'!$D24-1)</f>
        <v>-0.17543360818879739</v>
      </c>
      <c r="CD12" s="14">
        <f ca="1">IF(CD$1="","",'Total Value'!CD24/'Total Value'!$D24-1)</f>
        <v>-0.14927495024168325</v>
      </c>
      <c r="CE12" s="14">
        <f ca="1">IF(CE$1="","",'Total Value'!CE24/'Total Value'!$D24-1)</f>
        <v>-0.11856696047767989</v>
      </c>
      <c r="CF12" s="14" t="str">
        <f ca="1">IF(CF$1="","",'Total Value'!CF24/'Total Value'!$D24-1)</f>
        <v/>
      </c>
      <c r="CG12" s="14" t="str">
        <f ca="1">IF(CG$1="","",'Total Value'!CG24/'Total Value'!$D24-1)</f>
        <v/>
      </c>
      <c r="CH12" s="14" t="str">
        <f ca="1">IF(CH$1="","",'Total Value'!CH24/'Total Value'!$D24-1)</f>
        <v/>
      </c>
      <c r="CI12" s="14" t="str">
        <f ca="1">IF(CI$1="","",'Total Value'!CI24/'Total Value'!$D24-1)</f>
        <v/>
      </c>
      <c r="CJ12" s="14" t="str">
        <f ca="1">IF(CJ$1="","",'Total Value'!CJ24/'Total Value'!$D24-1)</f>
        <v/>
      </c>
      <c r="CK12" s="14" t="str">
        <f ca="1">IF(CK$1="","",'Total Value'!CK24/'Total Value'!$D24-1)</f>
        <v/>
      </c>
      <c r="CL12" s="14" t="str">
        <f ca="1">IF(CL$1="","",'Total Value'!CL24/'Total Value'!$D24-1)</f>
        <v/>
      </c>
      <c r="CM12" s="14" t="str">
        <f ca="1">IF(CM$1="","",'Total Value'!CM24/'Total Value'!$D24-1)</f>
        <v/>
      </c>
      <c r="CN12" s="14" t="str">
        <f ca="1">IF(CN$1="","",'Total Value'!CN24/'Total Value'!$D24-1)</f>
        <v/>
      </c>
      <c r="CO12" s="14" t="str">
        <f ca="1">IF(CO$1="","",'Total Value'!CO24/'Total Value'!$D24-1)</f>
        <v/>
      </c>
      <c r="CP12" s="14" t="str">
        <f ca="1">IF(CP$1="","",'Total Value'!CP24/'Total Value'!$D24-1)</f>
        <v/>
      </c>
      <c r="CQ12" s="14" t="str">
        <f ca="1">IF(CQ$1="","",'Total Value'!CQ24/'Total Value'!$D24-1)</f>
        <v/>
      </c>
      <c r="CR12" s="14" t="str">
        <f ca="1">IF(CR$1="","",'Total Value'!CR24/'Total Value'!$D24-1)</f>
        <v/>
      </c>
      <c r="CS12" s="14" t="str">
        <f ca="1">IF(CS$1="","",'Total Value'!CS24/'Total Value'!$D24-1)</f>
        <v/>
      </c>
      <c r="CT12" s="14" t="str">
        <f ca="1">IF(CT$1="","",'Total Value'!CT24/'Total Value'!$D24-1)</f>
        <v/>
      </c>
      <c r="CU12" s="14" t="str">
        <f ca="1">IF(CU$1="","",'Total Value'!CU24/'Total Value'!$D24-1)</f>
        <v/>
      </c>
      <c r="CV12" s="14" t="str">
        <f ca="1">IF(CV$1="","",'Total Value'!CV24/'Total Value'!$D24-1)</f>
        <v/>
      </c>
      <c r="CW12" s="14" t="str">
        <f ca="1">IF(CW$1="","",'Total Value'!CW24/'Total Value'!$D24-1)</f>
        <v/>
      </c>
      <c r="CX12" s="14" t="str">
        <f ca="1">IF(CX$1="","",'Total Value'!CX24/'Total Value'!$D24-1)</f>
        <v/>
      </c>
      <c r="CY12" s="14" t="str">
        <f ca="1">IF(CY$1="","",'Total Value'!CY24/'Total Value'!$D24-1)</f>
        <v/>
      </c>
      <c r="CZ12" s="14" t="str">
        <f ca="1">IF(CZ$1="","",'Total Value'!CZ24/'Total Value'!$D24-1)</f>
        <v/>
      </c>
      <c r="DA12" s="14" t="str">
        <f ca="1">IF(DA$1="","",'Total Value'!DA24/'Total Value'!$D24-1)</f>
        <v/>
      </c>
      <c r="DB12" s="14" t="str">
        <f ca="1">IF(DB$1="","",'Total Value'!DB24/'Total Value'!$D24-1)</f>
        <v/>
      </c>
      <c r="DC12" s="14" t="str">
        <f ca="1">IF(DC$1="","",'Total Value'!DC24/'Total Value'!$D24-1)</f>
        <v/>
      </c>
      <c r="DD12" s="14" t="str">
        <f ca="1">IF(DD$1="","",'Total Value'!DD24/'Total Value'!$D24-1)</f>
        <v/>
      </c>
      <c r="DE12" s="14" t="str">
        <f ca="1">IF(DE$1="","",'Total Value'!DE24/'Total Value'!$D24-1)</f>
        <v/>
      </c>
      <c r="DF12" s="14" t="str">
        <f ca="1">IF(DF$1="","",'Total Value'!DF24/'Total Value'!$D24-1)</f>
        <v/>
      </c>
      <c r="DG12" s="14" t="str">
        <f ca="1">IF(DG$1="","",'Total Value'!DG24/'Total Value'!$D24-1)</f>
        <v/>
      </c>
      <c r="DH12" s="14" t="str">
        <f ca="1">IF(DH$1="","",'Total Value'!DH24/'Total Value'!$D24-1)</f>
        <v/>
      </c>
      <c r="DI12" s="14" t="str">
        <f ca="1">IF(DI$1="","",'Total Value'!DI24/'Total Value'!$D24-1)</f>
        <v/>
      </c>
      <c r="DJ12" s="14" t="str">
        <f ca="1">IF(DJ$1="","",'Total Value'!DJ24/'Total Value'!$D24-1)</f>
        <v/>
      </c>
      <c r="DK12" s="14" t="str">
        <f ca="1">IF(DK$1="","",'Total Value'!DK24/'Total Value'!$D24-1)</f>
        <v/>
      </c>
      <c r="DL12" s="14" t="str">
        <f ca="1">IF(DL$1="","",'Total Value'!DL24/'Total Value'!$D24-1)</f>
        <v/>
      </c>
      <c r="DM12" s="14" t="str">
        <f ca="1">IF(DM$1="","",'Total Value'!DM24/'Total Value'!$D24-1)</f>
        <v/>
      </c>
      <c r="DN12" s="14" t="str">
        <f ca="1">IF(DN$1="","",'Total Value'!DN24/'Total Value'!$D24-1)</f>
        <v/>
      </c>
      <c r="DO12" s="14" t="str">
        <f ca="1">IF(DO$1="","",'Total Value'!DO24/'Total Value'!$D24-1)</f>
        <v/>
      </c>
      <c r="DP12" s="14" t="str">
        <f ca="1">IF(DP$1="","",'Total Value'!DP24/'Total Value'!$D24-1)</f>
        <v/>
      </c>
      <c r="DQ12" s="14" t="str">
        <f ca="1">IF(DQ$1="","",'Total Value'!DQ24/'Total Value'!$D24-1)</f>
        <v/>
      </c>
      <c r="DR12" s="14" t="str">
        <f ca="1">IF(DR$1="","",'Total Value'!DR24/'Total Value'!$D24-1)</f>
        <v/>
      </c>
      <c r="DS12" s="14" t="str">
        <f ca="1">IF(DS$1="","",'Total Value'!DS24/'Total Value'!$D24-1)</f>
        <v/>
      </c>
      <c r="DT12" s="14" t="str">
        <f ca="1">IF(DT$1="","",'Total Value'!DT24/'Total Value'!$D24-1)</f>
        <v/>
      </c>
      <c r="DU12" s="14" t="str">
        <f ca="1">IF(DU$1="","",'Total Value'!DU24/'Total Value'!$D24-1)</f>
        <v/>
      </c>
      <c r="DV12" s="14" t="str">
        <f ca="1">IF(DV$1="","",'Total Value'!DV24/'Total Value'!$D24-1)</f>
        <v/>
      </c>
      <c r="DW12" s="14" t="str">
        <f ca="1">IF(DW$1="","",'Total Value'!DW24/'Total Value'!$D24-1)</f>
        <v/>
      </c>
      <c r="DX12" s="14" t="str">
        <f ca="1">IF(DX$1="","",'Total Value'!DX24/'Total Value'!$D24-1)</f>
        <v/>
      </c>
      <c r="DY12" s="14" t="str">
        <f ca="1">IF(DY$1="","",'Total Value'!DY24/'Total Value'!$D24-1)</f>
        <v/>
      </c>
      <c r="DZ12" s="14" t="str">
        <f ca="1">IF(DZ$1="","",'Total Value'!DZ24/'Total Value'!$D24-1)</f>
        <v/>
      </c>
      <c r="EA12" s="14" t="str">
        <f ca="1">IF(EA$1="","",'Total Value'!EA24/'Total Value'!$D24-1)</f>
        <v/>
      </c>
      <c r="EB12" s="14" t="str">
        <f ca="1">IF(EB$1="","",'Total Value'!EB24/'Total Value'!$D24-1)</f>
        <v/>
      </c>
      <c r="EC12" s="14" t="str">
        <f ca="1">IF(EC$1="","",'Total Value'!EC24/'Total Value'!$D24-1)</f>
        <v/>
      </c>
      <c r="ED12" s="14" t="str">
        <f ca="1">IF(ED$1="","",'Total Value'!ED24/'Total Value'!$D24-1)</f>
        <v/>
      </c>
      <c r="EE12" s="14" t="str">
        <f ca="1">IF(EE$1="","",'Total Value'!EE24/'Total Value'!$D24-1)</f>
        <v/>
      </c>
      <c r="EF12" s="14" t="str">
        <f ca="1">IF(EF$1="","",'Total Value'!EF24/'Total Value'!$D24-1)</f>
        <v/>
      </c>
      <c r="EG12" s="14" t="str">
        <f ca="1">IF(EG$1="","",'Total Value'!EG24/'Total Value'!$D24-1)</f>
        <v/>
      </c>
      <c r="EH12" s="14" t="str">
        <f ca="1">IF(EH$1="","",'Total Value'!EH24/'Total Value'!$D24-1)</f>
        <v/>
      </c>
      <c r="EI12" s="14" t="str">
        <f ca="1">IF(EI$1="","",'Total Value'!EI24/'Total Value'!$D24-1)</f>
        <v/>
      </c>
      <c r="EJ12" s="14" t="str">
        <f ca="1">IF(EJ$1="","",'Total Value'!EJ24/'Total Value'!$D24-1)</f>
        <v/>
      </c>
      <c r="EK12" s="14" t="str">
        <f ca="1">IF(EK$1="","",'Total Value'!EK24/'Total Value'!$D24-1)</f>
        <v/>
      </c>
      <c r="EL12" s="14" t="str">
        <f ca="1">IF(EL$1="","",'Total Value'!EL24/'Total Value'!$D24-1)</f>
        <v/>
      </c>
      <c r="EM12" s="14" t="str">
        <f ca="1">IF(EM$1="","",'Total Value'!EM24/'Total Value'!$D24-1)</f>
        <v/>
      </c>
      <c r="EN12" s="14" t="str">
        <f ca="1">IF(EN$1="","",'Total Value'!EN24/'Total Value'!$D24-1)</f>
        <v/>
      </c>
      <c r="EO12" s="14" t="str">
        <f ca="1">IF(EO$1="","",'Total Value'!EO24/'Total Value'!$D24-1)</f>
        <v/>
      </c>
      <c r="EP12" s="14" t="str">
        <f ca="1">IF(EP$1="","",'Total Value'!EP24/'Total Value'!$D24-1)</f>
        <v/>
      </c>
      <c r="EQ12" s="14" t="str">
        <f ca="1">IF(EQ$1="","",'Total Value'!EQ24/'Total Value'!$D24-1)</f>
        <v/>
      </c>
      <c r="ER12" s="14" t="str">
        <f ca="1">IF(ER$1="","",'Total Value'!ER24/'Total Value'!$D24-1)</f>
        <v/>
      </c>
      <c r="ES12" s="14" t="str">
        <f ca="1">IF(ES$1="","",'Total Value'!ES24/'Total Value'!$D24-1)</f>
        <v/>
      </c>
      <c r="ET12" s="14" t="str">
        <f ca="1">IF(ET$1="","",'Total Value'!ET24/'Total Value'!$D24-1)</f>
        <v/>
      </c>
      <c r="EU12" s="14" t="str">
        <f ca="1">IF(EU$1="","",'Total Value'!EU24/'Total Value'!$D24-1)</f>
        <v/>
      </c>
      <c r="EV12" s="14" t="str">
        <f ca="1">IF(EV$1="","",'Total Value'!EV24/'Total Value'!$D24-1)</f>
        <v/>
      </c>
      <c r="EW12" s="14" t="str">
        <f ca="1">IF(EW$1="","",'Total Value'!EW24/'Total Value'!$D24-1)</f>
        <v/>
      </c>
      <c r="EX12" s="14" t="str">
        <f ca="1">IF(EX$1="","",'Total Value'!EX24/'Total Value'!$D24-1)</f>
        <v/>
      </c>
      <c r="EY12" s="14" t="str">
        <f ca="1">IF(EY$1="","",'Total Value'!EY24/'Total Value'!$D24-1)</f>
        <v/>
      </c>
      <c r="EZ12" s="14" t="str">
        <f ca="1">IF(EZ$1="","",'Total Value'!EZ24/'Total Value'!$D24-1)</f>
        <v/>
      </c>
      <c r="FA12" s="14" t="str">
        <f ca="1">IF(FA$1="","",'Total Value'!FA24/'Total Value'!$D24-1)</f>
        <v/>
      </c>
      <c r="FB12" s="14" t="str">
        <f ca="1">IF(FB$1="","",'Total Value'!FB24/'Total Value'!$D24-1)</f>
        <v/>
      </c>
      <c r="FC12" s="14" t="str">
        <f ca="1">IF(FC$1="","",'Total Value'!FC24/'Total Value'!$D24-1)</f>
        <v/>
      </c>
      <c r="FD12" s="14" t="str">
        <f ca="1">IF(FD$1="","",'Total Value'!FD24/'Total Value'!$D24-1)</f>
        <v/>
      </c>
      <c r="FE12" s="14" t="str">
        <f ca="1">IF(FE$1="","",'Total Value'!FE24/'Total Value'!$D24-1)</f>
        <v/>
      </c>
      <c r="FF12" s="14" t="str">
        <f ca="1">IF(FF$1="","",'Total Value'!FF24/'Total Value'!$D24-1)</f>
        <v/>
      </c>
      <c r="FG12" s="14" t="str">
        <f ca="1">IF(FG$1="","",'Total Value'!FG24/'Total Value'!$D24-1)</f>
        <v/>
      </c>
      <c r="FH12" s="14" t="str">
        <f ca="1">IF(FH$1="","",'Total Value'!FH24/'Total Value'!$D24-1)</f>
        <v/>
      </c>
      <c r="FI12" s="14" t="str">
        <f ca="1">IF(FI$1="","",'Total Value'!FI24/'Total Value'!$D24-1)</f>
        <v/>
      </c>
      <c r="FJ12" s="14" t="str">
        <f ca="1">IF(FJ$1="","",'Total Value'!FJ24/'Total Value'!$D24-1)</f>
        <v/>
      </c>
      <c r="FK12" s="14" t="str">
        <f ca="1">IF(FK$1="","",'Total Value'!FK24/'Total Value'!$D24-1)</f>
        <v/>
      </c>
      <c r="FL12" s="14" t="str">
        <f ca="1">IF(FL$1="","",'Total Value'!FL24/'Total Value'!$D24-1)</f>
        <v/>
      </c>
      <c r="FM12" s="14" t="str">
        <f ca="1">IF(FM$1="","",'Total Value'!FM24/'Total Value'!$D24-1)</f>
        <v/>
      </c>
      <c r="FN12" s="14" t="str">
        <f ca="1">IF(FN$1="","",'Total Value'!FN24/'Total Value'!$D24-1)</f>
        <v/>
      </c>
      <c r="FO12" s="14" t="str">
        <f ca="1">IF(FO$1="","",'Total Value'!FO24/'Total Value'!$D24-1)</f>
        <v/>
      </c>
      <c r="FP12" s="14" t="str">
        <f ca="1">IF(FP$1="","",'Total Value'!FP24/'Total Value'!$D24-1)</f>
        <v/>
      </c>
      <c r="FQ12" s="14" t="str">
        <f ca="1">IF(FQ$1="","",'Total Value'!FQ24/'Total Value'!$D24-1)</f>
        <v/>
      </c>
      <c r="FR12" s="14" t="str">
        <f ca="1">IF(FR$1="","",'Total Value'!FR24/'Total Value'!$D24-1)</f>
        <v/>
      </c>
      <c r="FS12" s="14" t="str">
        <f ca="1">IF(FS$1="","",'Total Value'!FS24/'Total Value'!$D24-1)</f>
        <v/>
      </c>
      <c r="FT12" s="14" t="str">
        <f ca="1">IF(FT$1="","",'Total Value'!FT24/'Total Value'!$D24-1)</f>
        <v/>
      </c>
      <c r="FU12" s="14" t="str">
        <f ca="1">IF(FU$1="","",'Total Value'!FU24/'Total Value'!$D24-1)</f>
        <v/>
      </c>
      <c r="FV12" s="14" t="str">
        <f ca="1">IF(FV$1="","",'Total Value'!FV24/'Total Value'!$D24-1)</f>
        <v/>
      </c>
      <c r="FW12" s="14" t="str">
        <f ca="1">IF(FW$1="","",'Total Value'!FW24/'Total Value'!$D24-1)</f>
        <v/>
      </c>
      <c r="FX12" s="14" t="str">
        <f ca="1">IF(FX$1="","",'Total Value'!FX24/'Total Value'!$D24-1)</f>
        <v/>
      </c>
      <c r="FY12" s="14" t="str">
        <f ca="1">IF(FY$1="","",'Total Value'!FY24/'Total Value'!$D24-1)</f>
        <v/>
      </c>
      <c r="FZ12" s="14" t="str">
        <f ca="1">IF(FZ$1="","",'Total Value'!FZ24/'Total Value'!$D24-1)</f>
        <v/>
      </c>
      <c r="GA12" s="14" t="str">
        <f ca="1">IF(GA$1="","",'Total Value'!GA24/'Total Value'!$D24-1)</f>
        <v/>
      </c>
      <c r="GB12" s="14" t="str">
        <f ca="1">IF(GB$1="","",'Total Value'!GB24/'Total Value'!$D24-1)</f>
        <v/>
      </c>
      <c r="GC12" s="14" t="str">
        <f ca="1">IF(GC$1="","",'Total Value'!GC24/'Total Value'!$D24-1)</f>
        <v/>
      </c>
      <c r="GD12" s="14" t="str">
        <f ca="1">IF(GD$1="","",'Total Value'!GD24/'Total Value'!$D24-1)</f>
        <v/>
      </c>
      <c r="GE12" s="14" t="str">
        <f ca="1">IF(GE$1="","",'Total Value'!GE24/'Total Value'!$D24-1)</f>
        <v/>
      </c>
      <c r="GF12" s="14" t="str">
        <f ca="1">IF(GF$1="","",'Total Value'!GF24/'Total Value'!$D24-1)</f>
        <v/>
      </c>
      <c r="GG12" s="14" t="str">
        <f ca="1">IF(GG$1="","",'Total Value'!GG24/'Total Value'!$D24-1)</f>
        <v/>
      </c>
      <c r="GH12" s="14" t="str">
        <f ca="1">IF(GH$1="","",'Total Value'!GH24/'Total Value'!$D24-1)</f>
        <v/>
      </c>
      <c r="GI12" s="14" t="str">
        <f ca="1">IF(GI$1="","",'Total Value'!GI24/'Total Value'!$D24-1)</f>
        <v/>
      </c>
      <c r="GJ12" s="14" t="str">
        <f ca="1">IF(GJ$1="","",'Total Value'!GJ24/'Total Value'!$D24-1)</f>
        <v/>
      </c>
      <c r="GK12" s="14" t="str">
        <f ca="1">IF(GK$1="","",'Total Value'!GK24/'Total Value'!$D24-1)</f>
        <v/>
      </c>
      <c r="GL12" s="14" t="str">
        <f ca="1">IF(GL$1="","",'Total Value'!GL24/'Total Value'!$D24-1)</f>
        <v/>
      </c>
      <c r="GM12" s="14" t="str">
        <f ca="1">IF(GM$1="","",'Total Value'!GM24/'Total Value'!$D24-1)</f>
        <v/>
      </c>
      <c r="GN12" s="14" t="str">
        <f ca="1">IF(GN$1="","",'Total Value'!GN24/'Total Value'!$D24-1)</f>
        <v/>
      </c>
      <c r="GO12" s="14" t="str">
        <f ca="1">IF(GO$1="","",'Total Value'!GO24/'Total Value'!$D24-1)</f>
        <v/>
      </c>
      <c r="GP12" s="14" t="str">
        <f ca="1">IF(GP$1="","",'Total Value'!GP24/'Total Value'!$D24-1)</f>
        <v/>
      </c>
      <c r="GQ12" s="14" t="str">
        <f ca="1">IF(GQ$1="","",'Total Value'!GQ24/'Total Value'!$D24-1)</f>
        <v/>
      </c>
      <c r="GR12" s="14" t="str">
        <f ca="1">IF(GR$1="","",'Total Value'!GR24/'Total Value'!$D24-1)</f>
        <v/>
      </c>
      <c r="GS12" s="14" t="str">
        <f ca="1">IF(GS$1="","",'Total Value'!GS24/'Total Value'!$D24-1)</f>
        <v/>
      </c>
      <c r="GT12" s="14" t="str">
        <f ca="1">IF(GT$1="","",'Total Value'!GT24/'Total Value'!$D24-1)</f>
        <v/>
      </c>
      <c r="GU12" s="14" t="str">
        <f ca="1">IF(GU$1="","",'Total Value'!GU24/'Total Value'!$D24-1)</f>
        <v/>
      </c>
      <c r="GV12" s="14" t="str">
        <f ca="1">IF(GV$1="","",'Total Value'!GV24/'Total Value'!$D24-1)</f>
        <v/>
      </c>
      <c r="GW12" s="14" t="str">
        <f ca="1">IF(GW$1="","",'Total Value'!GW24/'Total Value'!$D24-1)</f>
        <v/>
      </c>
      <c r="GX12" s="14" t="str">
        <f ca="1">IF(GX$1="","",'Total Value'!GX24/'Total Value'!$D24-1)</f>
        <v/>
      </c>
      <c r="GY12" s="14" t="str">
        <f ca="1">IF(GY$1="","",'Total Value'!GY24/'Total Value'!$D24-1)</f>
        <v/>
      </c>
      <c r="GZ12" s="14" t="str">
        <f ca="1">IF(GZ$1="","",'Total Value'!GZ24/'Total Value'!$D24-1)</f>
        <v/>
      </c>
      <c r="HA12" s="14" t="str">
        <f ca="1">IF(HA$1="","",'Total Value'!HA24/'Total Value'!$D24-1)</f>
        <v/>
      </c>
      <c r="HB12" s="14" t="str">
        <f ca="1">IF(HB$1="","",'Total Value'!HB24/'Total Value'!$D24-1)</f>
        <v/>
      </c>
      <c r="HC12" s="14" t="str">
        <f ca="1">IF(HC$1="","",'Total Value'!HC24/'Total Value'!$D24-1)</f>
        <v/>
      </c>
      <c r="HD12" s="14" t="str">
        <f ca="1">IF(HD$1="","",'Total Value'!HD24/'Total Value'!$D24-1)</f>
        <v/>
      </c>
      <c r="HE12" s="14" t="str">
        <f ca="1">IF(HE$1="","",'Total Value'!HE24/'Total Value'!$D24-1)</f>
        <v/>
      </c>
      <c r="HF12" s="14" t="str">
        <f ca="1">IF(HF$1="","",'Total Value'!HF24/'Total Value'!$D24-1)</f>
        <v/>
      </c>
      <c r="HG12" s="14" t="str">
        <f ca="1">IF(HG$1="","",'Total Value'!HG24/'Total Value'!$D24-1)</f>
        <v/>
      </c>
      <c r="HH12" s="14" t="str">
        <f ca="1">IF(HH$1="","",'Total Value'!HH24/'Total Value'!$D24-1)</f>
        <v/>
      </c>
      <c r="HI12" s="14" t="str">
        <f ca="1">IF(HI$1="","",'Total Value'!HI24/'Total Value'!$D24-1)</f>
        <v/>
      </c>
      <c r="HJ12" s="14" t="str">
        <f ca="1">IF(HJ$1="","",'Total Value'!HJ24/'Total Value'!$D24-1)</f>
        <v/>
      </c>
      <c r="HK12" s="14" t="str">
        <f ca="1">IF(HK$1="","",'Total Value'!HK24/'Total Value'!$D24-1)</f>
        <v/>
      </c>
      <c r="HL12" s="14" t="str">
        <f ca="1">IF(HL$1="","",'Total Value'!HL24/'Total Value'!$D24-1)</f>
        <v/>
      </c>
      <c r="HM12" s="14" t="str">
        <f ca="1">IF(HM$1="","",'Total Value'!HM24/'Total Value'!$D24-1)</f>
        <v/>
      </c>
      <c r="HN12" s="14" t="str">
        <f ca="1">IF(HN$1="","",'Total Value'!HN24/'Total Value'!$D24-1)</f>
        <v/>
      </c>
      <c r="HO12" s="14" t="str">
        <f ca="1">IF(HO$1="","",'Total Value'!HO24/'Total Value'!$D24-1)</f>
        <v/>
      </c>
      <c r="HP12" s="14" t="str">
        <f ca="1">IF(HP$1="","",'Total Value'!HP24/'Total Value'!$D24-1)</f>
        <v/>
      </c>
      <c r="HQ12" s="14" t="str">
        <f ca="1">IF(HQ$1="","",'Total Value'!HQ24/'Total Value'!$D24-1)</f>
        <v/>
      </c>
      <c r="HR12" s="14" t="str">
        <f ca="1">IF(HR$1="","",'Total Value'!HR24/'Total Value'!$D24-1)</f>
        <v/>
      </c>
      <c r="HS12" s="14" t="str">
        <f ca="1">IF(HS$1="","",'Total Value'!HS24/'Total Value'!$D24-1)</f>
        <v/>
      </c>
      <c r="HT12" s="14" t="str">
        <f ca="1">IF(HT$1="","",'Total Value'!HT24/'Total Value'!$D24-1)</f>
        <v/>
      </c>
      <c r="HU12" s="14" t="str">
        <f ca="1">IF(HU$1="","",'Total Value'!HU24/'Total Value'!$D24-1)</f>
        <v/>
      </c>
      <c r="HV12" s="14" t="str">
        <f ca="1">IF(HV$1="","",'Total Value'!HV24/'Total Value'!$D24-1)</f>
        <v/>
      </c>
      <c r="HW12" s="14" t="str">
        <f ca="1">IF(HW$1="","",'Total Value'!HW24/'Total Value'!$D24-1)</f>
        <v/>
      </c>
      <c r="HX12" s="14" t="str">
        <f ca="1">IF(HX$1="","",'Total Value'!HX24/'Total Value'!$D24-1)</f>
        <v/>
      </c>
      <c r="HY12" s="14" t="str">
        <f ca="1">IF(HY$1="","",'Total Value'!HY24/'Total Value'!$D24-1)</f>
        <v/>
      </c>
      <c r="HZ12" s="14" t="str">
        <f ca="1">IF(HZ$1="","",'Total Value'!HZ24/'Total Value'!$D24-1)</f>
        <v/>
      </c>
      <c r="IA12" s="14" t="str">
        <f ca="1">IF(IA$1="","",'Total Value'!IA24/'Total Value'!$D24-1)</f>
        <v/>
      </c>
      <c r="IB12" s="14" t="str">
        <f ca="1">IF(IB$1="","",'Total Value'!IB24/'Total Value'!$D24-1)</f>
        <v/>
      </c>
      <c r="IC12" s="14" t="str">
        <f ca="1">IF(IC$1="","",'Total Value'!IC24/'Total Value'!$D24-1)</f>
        <v/>
      </c>
      <c r="ID12" s="14" t="str">
        <f ca="1">IF(ID$1="","",'Total Value'!ID24/'Total Value'!$D24-1)</f>
        <v/>
      </c>
      <c r="IE12" s="14" t="str">
        <f ca="1">IF(IE$1="","",'Total Value'!IE24/'Total Value'!$D24-1)</f>
        <v/>
      </c>
      <c r="IF12" s="14" t="str">
        <f ca="1">IF(IF$1="","",'Total Value'!IF24/'Total Value'!$D24-1)</f>
        <v/>
      </c>
      <c r="IG12" s="14" t="str">
        <f ca="1">IF(IG$1="","",'Total Value'!IG24/'Total Value'!$D24-1)</f>
        <v/>
      </c>
      <c r="IH12" s="14" t="str">
        <f ca="1">IF(IH$1="","",'Total Value'!IH24/'Total Value'!$D24-1)</f>
        <v/>
      </c>
      <c r="II12" s="14" t="str">
        <f ca="1">IF(II$1="","",'Total Value'!II24/'Total Value'!$D24-1)</f>
        <v/>
      </c>
      <c r="IJ12" s="14" t="str">
        <f ca="1">IF(IJ$1="","",'Total Value'!IJ24/'Total Value'!$D24-1)</f>
        <v/>
      </c>
      <c r="IK12" s="14" t="str">
        <f ca="1">IF(IK$1="","",'Total Value'!IK24/'Total Value'!$D24-1)</f>
        <v/>
      </c>
      <c r="IL12" s="14" t="str">
        <f ca="1">IF(IL$1="","",'Total Value'!IL24/'Total Value'!$D24-1)</f>
        <v/>
      </c>
      <c r="IM12" s="14" t="str">
        <f ca="1">IF(IM$1="","",'Total Value'!IM24/'Total Value'!$D24-1)</f>
        <v/>
      </c>
      <c r="IN12" s="14" t="str">
        <f ca="1">IF(IN$1="","",'Total Value'!IN24/'Total Value'!$D24-1)</f>
        <v/>
      </c>
      <c r="IO12" s="14" t="str">
        <f ca="1">IF(IO$1="","",'Total Value'!IO24/'Total Value'!$D24-1)</f>
        <v/>
      </c>
      <c r="IP12" s="14" t="str">
        <f ca="1">IF(IP$1="","",'Total Value'!IP24/'Total Value'!$D24-1)</f>
        <v/>
      </c>
      <c r="IQ12" s="14" t="str">
        <f ca="1">IF(IQ$1="","",'Total Value'!IQ24/'Total Value'!$D24-1)</f>
        <v/>
      </c>
      <c r="IR12" s="14" t="str">
        <f ca="1">IF(IR$1="","",'Total Value'!IR24/'Total Value'!$D24-1)</f>
        <v/>
      </c>
      <c r="IS12" s="14" t="str">
        <f ca="1">IF(IS$1="","",'Total Value'!IS24/'Total Value'!$D24-1)</f>
        <v/>
      </c>
      <c r="IT12" s="14" t="str">
        <f ca="1">IF(IT$1="","",'Total Value'!IT24/'Total Value'!$D24-1)</f>
        <v/>
      </c>
      <c r="IU12" s="14" t="str">
        <f ca="1">IF(IU$1="","",'Total Value'!IU24/'Total Value'!$D24-1)</f>
        <v/>
      </c>
      <c r="IV12" s="14" t="str">
        <f ca="1">IF(IV$1="","",'Total Value'!IV24/'Total Value'!$D24-1)</f>
        <v/>
      </c>
      <c r="IW12" s="14" t="str">
        <f ca="1">IF(IW$1="","",'Total Value'!IW24/'Total Value'!$D24-1)</f>
        <v/>
      </c>
      <c r="IX12" s="14" t="str">
        <f ca="1">IF(IX$1="","",'Total Value'!IX24/'Total Value'!$D24-1)</f>
        <v/>
      </c>
      <c r="IY12" s="14" t="str">
        <f ca="1">IF(IY$1="","",'Total Value'!IY24/'Total Value'!$D24-1)</f>
        <v/>
      </c>
      <c r="IZ12" s="14" t="str">
        <f ca="1">IF(IZ$1="","",'Total Value'!IZ24/'Total Value'!$D24-1)</f>
        <v/>
      </c>
      <c r="JA12" s="14" t="str">
        <f ca="1">IF(JA$1="","",'Total Value'!JA24/'Total Value'!$D24-1)</f>
        <v/>
      </c>
      <c r="JB12" s="14" t="str">
        <f ca="1">IF(JB$1="","",'Total Value'!JB24/'Total Value'!$D24-1)</f>
        <v/>
      </c>
      <c r="JC12" s="14" t="str">
        <f ca="1">IF(JC$1="","",'Total Value'!JC24/'Total Value'!$D24-1)</f>
        <v/>
      </c>
      <c r="JD12" s="14" t="str">
        <f ca="1">IF(JD$1="","",'Total Value'!JD24/'Total Value'!$D24-1)</f>
        <v/>
      </c>
      <c r="JE12" s="14" t="str">
        <f ca="1">IF(JE$1="","",'Total Value'!JE24/'Total Value'!$D24-1)</f>
        <v/>
      </c>
      <c r="JF12" s="14" t="str">
        <f ca="1">IF(JF$1="","",'Total Value'!JF24/'Total Value'!$D24-1)</f>
        <v/>
      </c>
      <c r="JG12" s="14" t="str">
        <f ca="1">IF(JG$1="","",'Total Value'!JG24/'Total Value'!$D24-1)</f>
        <v/>
      </c>
      <c r="JH12" s="14" t="str">
        <f ca="1">IF(JH$1="","",'Total Value'!JH24/'Total Value'!$D24-1)</f>
        <v/>
      </c>
      <c r="JI12" s="14" t="str">
        <f ca="1">IF(JI$1="","",'Total Value'!JI24/'Total Value'!$D24-1)</f>
        <v/>
      </c>
      <c r="JJ12" s="14" t="str">
        <f ca="1">IF(JJ$1="","",'Total Value'!JJ24/'Total Value'!$D24-1)</f>
        <v/>
      </c>
      <c r="JK12" s="14" t="str">
        <f ca="1">IF(JK$1="","",'Total Value'!JK24/'Total Value'!$D24-1)</f>
        <v/>
      </c>
      <c r="JL12" s="14" t="str">
        <f ca="1">IF(JL$1="","",'Total Value'!JL24/'Total Value'!$D24-1)</f>
        <v/>
      </c>
      <c r="JM12" s="14" t="str">
        <f ca="1">IF(JM$1="","",'Total Value'!JM24/'Total Value'!$D24-1)</f>
        <v/>
      </c>
      <c r="JN12" s="14" t="str">
        <f ca="1">IF(JN$1="","",'Total Value'!JN24/'Total Value'!$D24-1)</f>
        <v/>
      </c>
      <c r="JO12" s="14" t="str">
        <f ca="1">IF(JO$1="","",'Total Value'!JO24/'Total Value'!$D24-1)</f>
        <v/>
      </c>
      <c r="JP12" s="14" t="str">
        <f ca="1">IF(JP$1="","",'Total Value'!JP24/'Total Value'!$D24-1)</f>
        <v/>
      </c>
      <c r="JQ12" s="14" t="str">
        <f ca="1">IF(JQ$1="","",'Total Value'!JQ24/'Total Value'!$D24-1)</f>
        <v/>
      </c>
      <c r="JR12" s="14" t="str">
        <f ca="1">IF(JR$1="","",'Total Value'!JR24/'Total Value'!$D24-1)</f>
        <v/>
      </c>
      <c r="JS12" s="14" t="str">
        <f ca="1">IF(JS$1="","",'Total Value'!JS24/'Total Value'!$D24-1)</f>
        <v/>
      </c>
      <c r="JT12" s="14" t="str">
        <f ca="1">IF(JT$1="","",'Total Value'!JT24/'Total Value'!$D24-1)</f>
        <v/>
      </c>
      <c r="JU12" s="14" t="str">
        <f ca="1">IF(JU$1="","",'Total Value'!JU24/'Total Value'!$D24-1)</f>
        <v/>
      </c>
      <c r="JV12" s="14" t="str">
        <f ca="1">IF(JV$1="","",'Total Value'!JV24/'Total Value'!$D24-1)</f>
        <v/>
      </c>
      <c r="JW12" s="14" t="str">
        <f ca="1">IF(JW$1="","",'Total Value'!JW24/'Total Value'!$D24-1)</f>
        <v/>
      </c>
      <c r="JX12" s="14" t="str">
        <f ca="1">IF(JX$1="","",'Total Value'!JX24/'Total Value'!$D24-1)</f>
        <v/>
      </c>
      <c r="JY12" s="14" t="str">
        <f ca="1">IF(JY$1="","",'Total Value'!JY24/'Total Value'!$D24-1)</f>
        <v/>
      </c>
      <c r="JZ12" s="14" t="str">
        <f ca="1">IF(JZ$1="","",'Total Value'!JZ24/'Total Value'!$D24-1)</f>
        <v/>
      </c>
      <c r="KA12" s="14" t="str">
        <f ca="1">IF(KA$1="","",'Total Value'!KA24/'Total Value'!$D24-1)</f>
        <v/>
      </c>
      <c r="KB12" s="14" t="str">
        <f ca="1">IF(KB$1="","",'Total Value'!KB24/'Total Value'!$D24-1)</f>
        <v/>
      </c>
    </row>
    <row r="13" spans="1:288" ht="15.75" customHeight="1">
      <c r="A13" s="9" t="s">
        <v>30</v>
      </c>
      <c r="B13" s="6" t="s">
        <v>58</v>
      </c>
      <c r="C13" s="26">
        <v>84</v>
      </c>
      <c r="D13" s="13">
        <v>0</v>
      </c>
      <c r="E13" s="14">
        <f ca="1">IF(E$1="","",'Total Value'!E25/'Total Value'!$D25-1)</f>
        <v>7.0181444710717411E-3</v>
      </c>
      <c r="F13" s="14">
        <f ca="1">IF(F$1="","",'Total Value'!F25/'Total Value'!$D25-1)</f>
        <v>4.2793563847998151E-3</v>
      </c>
      <c r="G13" s="14">
        <f ca="1">IF(G$1="","",'Total Value'!G25/'Total Value'!$D25-1)</f>
        <v>-1.8144471071550816E-2</v>
      </c>
      <c r="H13" s="14">
        <f ca="1">IF(H$1="","",'Total Value'!H25/'Total Value'!$D25-1)</f>
        <v>-4.433413214652504E-2</v>
      </c>
      <c r="I13" s="14">
        <f ca="1">IF(I$1="","",'Total Value'!I25/'Total Value'!$D25-1)</f>
        <v>-4.9469359808284707E-2</v>
      </c>
      <c r="J13" s="14">
        <f ca="1">IF(J$1="","",'Total Value'!J25/'Total Value'!$D25-1)</f>
        <v>-4.8784662786716781E-2</v>
      </c>
      <c r="K13" s="14">
        <f ca="1">IF(K$1="","",'Total Value'!K25/'Total Value'!$D25-1)</f>
        <v>-9.0893529613146229E-2</v>
      </c>
      <c r="L13" s="14">
        <f ca="1">IF(L$1="","",'Total Value'!L25/'Total Value'!$D25-1)</f>
        <v>-9.1920575145498118E-2</v>
      </c>
      <c r="M13" s="14">
        <f ca="1">IF(M$1="","",'Total Value'!M25/'Total Value'!$D25-1)</f>
        <v>-3.8343033207805521E-2</v>
      </c>
      <c r="N13" s="14">
        <f ca="1">IF(N$1="","",'Total Value'!N25/'Total Value'!$D25-1)</f>
        <v>-6.1965080451899968E-2</v>
      </c>
      <c r="O13" s="14">
        <f ca="1">IF(O$1="","",'Total Value'!O25/'Total Value'!$D25-1)</f>
        <v>-9.380349195480997E-2</v>
      </c>
      <c r="P13" s="14">
        <f ca="1">IF(P$1="","",'Total Value'!P25/'Total Value'!$D25-1)</f>
        <v>-9.4488188976378007E-2</v>
      </c>
      <c r="Q13" s="14">
        <f ca="1">IF(Q$1="","",'Total Value'!Q25/'Total Value'!$D25-1)</f>
        <v>-6.4532694282779968E-2</v>
      </c>
      <c r="R13" s="14">
        <f ca="1">IF(R$1="","",'Total Value'!R25/'Total Value'!$D25-1)</f>
        <v>-4.0225950017117373E-2</v>
      </c>
      <c r="S13" s="14">
        <f ca="1">IF(S$1="","",'Total Value'!S25/'Total Value'!$D25-1)</f>
        <v>-3.6460116398493669E-2</v>
      </c>
      <c r="T13" s="14">
        <f ca="1">IF(T$1="","",'Total Value'!T25/'Total Value'!$D25-1)</f>
        <v>5.135227661759556E-3</v>
      </c>
      <c r="U13" s="14">
        <f ca="1">IF(U$1="","",'Total Value'!U25/'Total Value'!$D25-1)</f>
        <v>-4.7244094488189003E-2</v>
      </c>
      <c r="V13" s="14">
        <f ca="1">IF(V$1="","",'Total Value'!V25/'Total Value'!$D25-1)</f>
        <v>-3.9198904484765373E-2</v>
      </c>
      <c r="W13" s="14">
        <f ca="1">IF(W$1="","",'Total Value'!W25/'Total Value'!$D25-1)</f>
        <v>-4.2622389592605225E-2</v>
      </c>
      <c r="X13" s="14">
        <f ca="1">IF(X$1="","",'Total Value'!X25/'Total Value'!$D25-1)</f>
        <v>-1.198219787743815E-3</v>
      </c>
      <c r="Y13" s="14">
        <f ca="1">IF(Y$1="","",'Total Value'!Y25/'Total Value'!$D25-1)</f>
        <v>4.4162957891133336E-2</v>
      </c>
      <c r="Z13" s="14">
        <f ca="1">IF(Z$1="","",'Total Value'!Z25/'Total Value'!$D25-1)</f>
        <v>3.9883601506333521E-2</v>
      </c>
      <c r="AA13" s="14">
        <f ca="1">IF(AA$1="","",'Total Value'!AA25/'Total Value'!$D25-1)</f>
        <v>-1.8315645326942631E-2</v>
      </c>
      <c r="AB13" s="14">
        <f ca="1">IF(AB$1="","",'Total Value'!AB25/'Total Value'!$D25-1)</f>
        <v>-5.8028072577884116E-2</v>
      </c>
      <c r="AC13" s="14">
        <f ca="1">IF(AC$1="","",'Total Value'!AC25/'Total Value'!$D25-1)</f>
        <v>-5.2208147894556634E-2</v>
      </c>
      <c r="AD13" s="14">
        <f ca="1">IF(AD$1="","",'Total Value'!AD25/'Total Value'!$D25-1)</f>
        <v>-5.083875385142067E-2</v>
      </c>
      <c r="AE13" s="14">
        <f ca="1">IF(AE$1="","",'Total Value'!AE25/'Total Value'!$D25-1)</f>
        <v>-0.10715508387538519</v>
      </c>
      <c r="AF13" s="14">
        <f ca="1">IF(AF$1="","",'Total Value'!AF25/'Total Value'!$D25-1)</f>
        <v>-0.10510099281068119</v>
      </c>
      <c r="AG13" s="14">
        <f ca="1">IF(AG$1="","",'Total Value'!AG25/'Total Value'!$D25-1)</f>
        <v>-0.11965080451900034</v>
      </c>
      <c r="AH13" s="14">
        <f ca="1">IF(AH$1="","",'Total Value'!AH25/'Total Value'!$D25-1)</f>
        <v>-0.13865114686751101</v>
      </c>
      <c r="AI13" s="14">
        <f ca="1">IF(AI$1="","",'Total Value'!AI25/'Total Value'!$D25-1)</f>
        <v>-9.0380006846970118E-2</v>
      </c>
      <c r="AJ13" s="14">
        <f ca="1">IF(AJ$1="","",'Total Value'!AJ25/'Total Value'!$D25-1)</f>
        <v>-6.7956179390619598E-2</v>
      </c>
      <c r="AK13" s="14">
        <f ca="1">IF(AK$1="","",'Total Value'!AK25/'Total Value'!$D25-1)</f>
        <v>-8.6442998972954488E-2</v>
      </c>
      <c r="AL13" s="14">
        <f ca="1">IF(AL$1="","",'Total Value'!AL25/'Total Value'!$D25-1)</f>
        <v>-0.12803834303320771</v>
      </c>
      <c r="AM13" s="14">
        <f ca="1">IF(AM$1="","",'Total Value'!AM25/'Total Value'!$D25-1)</f>
        <v>-8.678534748373834E-2</v>
      </c>
      <c r="AN13" s="14">
        <f ca="1">IF(AN$1="","",'Total Value'!AN25/'Total Value'!$D25-1)</f>
        <v>-0.10749743238616905</v>
      </c>
      <c r="AO13" s="14">
        <f ca="1">IF(AO$1="","",'Total Value'!AO25/'Total Value'!$D25-1)</f>
        <v>-0.14720985963711053</v>
      </c>
      <c r="AP13" s="14">
        <f ca="1">IF(AP$1="","",'Total Value'!AP25/'Total Value'!$D25-1)</f>
        <v>-0.22115713796644976</v>
      </c>
      <c r="AQ13" s="14">
        <f ca="1">IF(AQ$1="","",'Total Value'!AQ25/'Total Value'!$D25-1)</f>
        <v>-0.21961656966792187</v>
      </c>
      <c r="AR13" s="14">
        <f ca="1">IF(AR$1="","",'Total Value'!AR25/'Total Value'!$D25-1)</f>
        <v>-0.1836699760356042</v>
      </c>
      <c r="AS13" s="14">
        <f ca="1">IF(AS$1="","",'Total Value'!AS25/'Total Value'!$D25-1)</f>
        <v>-0.17699418007531664</v>
      </c>
      <c r="AT13" s="14">
        <f ca="1">IF(AT$1="","",'Total Value'!AT25/'Total Value'!$D25-1)</f>
        <v>-0.19873331051009924</v>
      </c>
      <c r="AU13" s="14">
        <f ca="1">IF(AU$1="","",'Total Value'!AU25/'Total Value'!$D25-1)</f>
        <v>-0.20540910647038679</v>
      </c>
      <c r="AV13" s="14">
        <f ca="1">IF(AV$1="","",'Total Value'!AV25/'Total Value'!$D25-1)</f>
        <v>-0.19342690859294764</v>
      </c>
      <c r="AW13" s="14">
        <f ca="1">IF(AW$1="","",'Total Value'!AW25/'Total Value'!$D25-1)</f>
        <v>-0.16552550496405338</v>
      </c>
      <c r="AX13" s="14">
        <f ca="1">IF(AX$1="","",'Total Value'!AX25/'Total Value'!$D25-1)</f>
        <v>-0.16586785347483735</v>
      </c>
      <c r="AY13" s="14">
        <f ca="1">IF(AY$1="","",'Total Value'!AY25/'Total Value'!$D25-1)</f>
        <v>-0.13745292707976708</v>
      </c>
      <c r="AZ13" s="14">
        <f ca="1">IF(AZ$1="","",'Total Value'!AZ25/'Total Value'!$D25-1)</f>
        <v>-0.15593974666210197</v>
      </c>
      <c r="BA13" s="14">
        <f ca="1">IF(BA$1="","",'Total Value'!BA25/'Total Value'!$D25-1)</f>
        <v>-0.14515576857240664</v>
      </c>
      <c r="BB13" s="14">
        <f ca="1">IF(BB$1="","",'Total Value'!BB25/'Total Value'!$D25-1)</f>
        <v>-0.16415611092091742</v>
      </c>
      <c r="BC13" s="14">
        <f ca="1">IF(BC$1="","",'Total Value'!BC25/'Total Value'!$D25-1)</f>
        <v>-0.14789455665867846</v>
      </c>
      <c r="BD13" s="14">
        <f ca="1">IF(BD$1="","",'Total Value'!BD25/'Total Value'!$D25-1)</f>
        <v>-0.12838069154399179</v>
      </c>
      <c r="BE13" s="14">
        <f ca="1">IF(BE$1="","",'Total Value'!BE25/'Total Value'!$D25-1)</f>
        <v>-0.14635398836015057</v>
      </c>
      <c r="BF13" s="14">
        <f ca="1">IF(BF$1="","",'Total Value'!BF25/'Total Value'!$D25-1)</f>
        <v>-0.11383087983567264</v>
      </c>
      <c r="BG13" s="14">
        <f ca="1">IF(BG$1="","",'Total Value'!BG25/'Total Value'!$D25-1)</f>
        <v>-0.14584046559397479</v>
      </c>
      <c r="BH13" s="14">
        <f ca="1">IF(BH$1="","",'Total Value'!BH25/'Total Value'!$D25-1)</f>
        <v>-0.18178705922629235</v>
      </c>
      <c r="BI13" s="14">
        <f ca="1">IF(BI$1="","",'Total Value'!BI25/'Total Value'!$D25-1)</f>
        <v>-0.18760698390961994</v>
      </c>
      <c r="BJ13" s="14">
        <f ca="1">IF(BJ$1="","",'Total Value'!BJ25/'Total Value'!$D25-1)</f>
        <v>-0.18144471071550827</v>
      </c>
      <c r="BK13" s="14">
        <f ca="1">IF(BK$1="","",'Total Value'!BK25/'Total Value'!$D25-1)</f>
        <v>-0.19702156795617942</v>
      </c>
      <c r="BL13" s="14">
        <f ca="1">IF(BL$1="","",'Total Value'!BL25/'Total Value'!$D25-1)</f>
        <v>-0.22081478945566579</v>
      </c>
      <c r="BM13" s="14">
        <f ca="1">IF(BM$1="","",'Total Value'!BM25/'Total Value'!$D25-1)</f>
        <v>-0.22252653200958572</v>
      </c>
      <c r="BN13" s="14">
        <f ca="1">IF(BN$1="","",'Total Value'!BN25/'Total Value'!$D25-1)</f>
        <v>-0.21037315987675453</v>
      </c>
      <c r="BO13" s="14">
        <f ca="1">IF(BO$1="","",'Total Value'!BO25/'Total Value'!$D25-1)</f>
        <v>-0.1836699760356042</v>
      </c>
      <c r="BP13" s="14">
        <f ca="1">IF(BP$1="","",'Total Value'!BP25/'Total Value'!$D25-1)</f>
        <v>-0.16312906538856542</v>
      </c>
      <c r="BQ13" s="14">
        <f ca="1">IF(BQ$1="","",'Total Value'!BQ25/'Total Value'!$D25-1)</f>
        <v>-0.1247860321807599</v>
      </c>
      <c r="BR13" s="14">
        <f ca="1">IF(BR$1="","",'Total Value'!BR25/'Total Value'!$D25-1)</f>
        <v>-0.10664156110920908</v>
      </c>
      <c r="BS13" s="14">
        <f ca="1">IF(BS$1="","",'Total Value'!BS25/'Total Value'!$D25-1)</f>
        <v>-9.431701472098597E-2</v>
      </c>
      <c r="BT13" s="14">
        <f ca="1">IF(BT$1="","",'Total Value'!BT25/'Total Value'!$D25-1)</f>
        <v>-4.8784662786716781E-2</v>
      </c>
      <c r="BU13" s="14">
        <f ca="1">IF(BU$1="","",'Total Value'!BU25/'Total Value'!$D25-1)</f>
        <v>-2.7216706607326113E-2</v>
      </c>
      <c r="BV13" s="14">
        <f ca="1">IF(BV$1="","",'Total Value'!BV25/'Total Value'!$D25-1)</f>
        <v>-5.1181102362204745E-2</v>
      </c>
      <c r="BW13" s="14">
        <f ca="1">IF(BW$1="","",'Total Value'!BW25/'Total Value'!$D25-1)</f>
        <v>-8.5758301951386562E-2</v>
      </c>
      <c r="BX13" s="14">
        <f ca="1">IF(BX$1="","",'Total Value'!BX25/'Total Value'!$D25-1)</f>
        <v>-7.3947278329339117E-2</v>
      </c>
      <c r="BY13" s="14">
        <f ca="1">IF(BY$1="","",'Total Value'!BY25/'Total Value'!$D25-1)</f>
        <v>-9.431701472098597E-2</v>
      </c>
      <c r="BZ13" s="14">
        <f ca="1">IF(BZ$1="","",'Total Value'!BZ25/'Total Value'!$D25-1)</f>
        <v>-9.6371105785689859E-2</v>
      </c>
      <c r="CA13" s="14">
        <f ca="1">IF(CA$1="","",'Total Value'!CA25/'Total Value'!$D25-1)</f>
        <v>-6.9496747689147598E-2</v>
      </c>
      <c r="CB13" s="14">
        <f ca="1">IF(CB$1="","",'Total Value'!CB25/'Total Value'!$D25-1)</f>
        <v>-9.4659363231769822E-2</v>
      </c>
      <c r="CC13" s="14">
        <f ca="1">IF(CC$1="","",'Total Value'!CC25/'Total Value'!$D25-1)</f>
        <v>-7.0523793221499487E-2</v>
      </c>
      <c r="CD13" s="14">
        <f ca="1">IF(CD$1="","",'Total Value'!CD25/'Total Value'!$D25-1)</f>
        <v>-8.8497090037658266E-2</v>
      </c>
      <c r="CE13" s="14">
        <f ca="1">IF(CE$1="","",'Total Value'!CE25/'Total Value'!$D25-1)</f>
        <v>-6.8983224922971487E-2</v>
      </c>
      <c r="CF13" s="14" t="str">
        <f ca="1">IF(CF$1="","",'Total Value'!CF25/'Total Value'!$D25-1)</f>
        <v/>
      </c>
      <c r="CG13" s="14" t="str">
        <f ca="1">IF(CG$1="","",'Total Value'!CG25/'Total Value'!$D25-1)</f>
        <v/>
      </c>
      <c r="CH13" s="14" t="str">
        <f ca="1">IF(CH$1="","",'Total Value'!CH25/'Total Value'!$D25-1)</f>
        <v/>
      </c>
      <c r="CI13" s="14" t="str">
        <f ca="1">IF(CI$1="","",'Total Value'!CI25/'Total Value'!$D25-1)</f>
        <v/>
      </c>
      <c r="CJ13" s="14" t="str">
        <f ca="1">IF(CJ$1="","",'Total Value'!CJ25/'Total Value'!$D25-1)</f>
        <v/>
      </c>
      <c r="CK13" s="14" t="str">
        <f ca="1">IF(CK$1="","",'Total Value'!CK25/'Total Value'!$D25-1)</f>
        <v/>
      </c>
      <c r="CL13" s="14" t="str">
        <f ca="1">IF(CL$1="","",'Total Value'!CL25/'Total Value'!$D25-1)</f>
        <v/>
      </c>
      <c r="CM13" s="14" t="str">
        <f ca="1">IF(CM$1="","",'Total Value'!CM25/'Total Value'!$D25-1)</f>
        <v/>
      </c>
      <c r="CN13" s="14" t="str">
        <f ca="1">IF(CN$1="","",'Total Value'!CN25/'Total Value'!$D25-1)</f>
        <v/>
      </c>
      <c r="CO13" s="14" t="str">
        <f ca="1">IF(CO$1="","",'Total Value'!CO25/'Total Value'!$D25-1)</f>
        <v/>
      </c>
      <c r="CP13" s="14" t="str">
        <f ca="1">IF(CP$1="","",'Total Value'!CP25/'Total Value'!$D25-1)</f>
        <v/>
      </c>
      <c r="CQ13" s="14" t="str">
        <f ca="1">IF(CQ$1="","",'Total Value'!CQ25/'Total Value'!$D25-1)</f>
        <v/>
      </c>
      <c r="CR13" s="14" t="str">
        <f ca="1">IF(CR$1="","",'Total Value'!CR25/'Total Value'!$D25-1)</f>
        <v/>
      </c>
      <c r="CS13" s="14" t="str">
        <f ca="1">IF(CS$1="","",'Total Value'!CS25/'Total Value'!$D25-1)</f>
        <v/>
      </c>
      <c r="CT13" s="14" t="str">
        <f ca="1">IF(CT$1="","",'Total Value'!CT25/'Total Value'!$D25-1)</f>
        <v/>
      </c>
      <c r="CU13" s="14" t="str">
        <f ca="1">IF(CU$1="","",'Total Value'!CU25/'Total Value'!$D25-1)</f>
        <v/>
      </c>
      <c r="CV13" s="14" t="str">
        <f ca="1">IF(CV$1="","",'Total Value'!CV25/'Total Value'!$D25-1)</f>
        <v/>
      </c>
      <c r="CW13" s="14" t="str">
        <f ca="1">IF(CW$1="","",'Total Value'!CW25/'Total Value'!$D25-1)</f>
        <v/>
      </c>
      <c r="CX13" s="14" t="str">
        <f ca="1">IF(CX$1="","",'Total Value'!CX25/'Total Value'!$D25-1)</f>
        <v/>
      </c>
      <c r="CY13" s="14" t="str">
        <f ca="1">IF(CY$1="","",'Total Value'!CY25/'Total Value'!$D25-1)</f>
        <v/>
      </c>
      <c r="CZ13" s="14" t="str">
        <f ca="1">IF(CZ$1="","",'Total Value'!CZ25/'Total Value'!$D25-1)</f>
        <v/>
      </c>
      <c r="DA13" s="14" t="str">
        <f ca="1">IF(DA$1="","",'Total Value'!DA25/'Total Value'!$D25-1)</f>
        <v/>
      </c>
      <c r="DB13" s="14" t="str">
        <f ca="1">IF(DB$1="","",'Total Value'!DB25/'Total Value'!$D25-1)</f>
        <v/>
      </c>
      <c r="DC13" s="14" t="str">
        <f ca="1">IF(DC$1="","",'Total Value'!DC25/'Total Value'!$D25-1)</f>
        <v/>
      </c>
      <c r="DD13" s="14" t="str">
        <f ca="1">IF(DD$1="","",'Total Value'!DD25/'Total Value'!$D25-1)</f>
        <v/>
      </c>
      <c r="DE13" s="14" t="str">
        <f ca="1">IF(DE$1="","",'Total Value'!DE25/'Total Value'!$D25-1)</f>
        <v/>
      </c>
      <c r="DF13" s="14" t="str">
        <f ca="1">IF(DF$1="","",'Total Value'!DF25/'Total Value'!$D25-1)</f>
        <v/>
      </c>
      <c r="DG13" s="14" t="str">
        <f ca="1">IF(DG$1="","",'Total Value'!DG25/'Total Value'!$D25-1)</f>
        <v/>
      </c>
      <c r="DH13" s="14" t="str">
        <f ca="1">IF(DH$1="","",'Total Value'!DH25/'Total Value'!$D25-1)</f>
        <v/>
      </c>
      <c r="DI13" s="14" t="str">
        <f ca="1">IF(DI$1="","",'Total Value'!DI25/'Total Value'!$D25-1)</f>
        <v/>
      </c>
      <c r="DJ13" s="14" t="str">
        <f ca="1">IF(DJ$1="","",'Total Value'!DJ25/'Total Value'!$D25-1)</f>
        <v/>
      </c>
      <c r="DK13" s="14" t="str">
        <f ca="1">IF(DK$1="","",'Total Value'!DK25/'Total Value'!$D25-1)</f>
        <v/>
      </c>
      <c r="DL13" s="14" t="str">
        <f ca="1">IF(DL$1="","",'Total Value'!DL25/'Total Value'!$D25-1)</f>
        <v/>
      </c>
      <c r="DM13" s="14" t="str">
        <f ca="1">IF(DM$1="","",'Total Value'!DM25/'Total Value'!$D25-1)</f>
        <v/>
      </c>
      <c r="DN13" s="14" t="str">
        <f ca="1">IF(DN$1="","",'Total Value'!DN25/'Total Value'!$D25-1)</f>
        <v/>
      </c>
      <c r="DO13" s="14" t="str">
        <f ca="1">IF(DO$1="","",'Total Value'!DO25/'Total Value'!$D25-1)</f>
        <v/>
      </c>
      <c r="DP13" s="14" t="str">
        <f ca="1">IF(DP$1="","",'Total Value'!DP25/'Total Value'!$D25-1)</f>
        <v/>
      </c>
      <c r="DQ13" s="14" t="str">
        <f ca="1">IF(DQ$1="","",'Total Value'!DQ25/'Total Value'!$D25-1)</f>
        <v/>
      </c>
      <c r="DR13" s="14" t="str">
        <f ca="1">IF(DR$1="","",'Total Value'!DR25/'Total Value'!$D25-1)</f>
        <v/>
      </c>
      <c r="DS13" s="14" t="str">
        <f ca="1">IF(DS$1="","",'Total Value'!DS25/'Total Value'!$D25-1)</f>
        <v/>
      </c>
      <c r="DT13" s="14" t="str">
        <f ca="1">IF(DT$1="","",'Total Value'!DT25/'Total Value'!$D25-1)</f>
        <v/>
      </c>
      <c r="DU13" s="14" t="str">
        <f ca="1">IF(DU$1="","",'Total Value'!DU25/'Total Value'!$D25-1)</f>
        <v/>
      </c>
      <c r="DV13" s="14" t="str">
        <f ca="1">IF(DV$1="","",'Total Value'!DV25/'Total Value'!$D25-1)</f>
        <v/>
      </c>
      <c r="DW13" s="14" t="str">
        <f ca="1">IF(DW$1="","",'Total Value'!DW25/'Total Value'!$D25-1)</f>
        <v/>
      </c>
      <c r="DX13" s="14" t="str">
        <f ca="1">IF(DX$1="","",'Total Value'!DX25/'Total Value'!$D25-1)</f>
        <v/>
      </c>
      <c r="DY13" s="14" t="str">
        <f ca="1">IF(DY$1="","",'Total Value'!DY25/'Total Value'!$D25-1)</f>
        <v/>
      </c>
      <c r="DZ13" s="14" t="str">
        <f ca="1">IF(DZ$1="","",'Total Value'!DZ25/'Total Value'!$D25-1)</f>
        <v/>
      </c>
      <c r="EA13" s="14" t="str">
        <f ca="1">IF(EA$1="","",'Total Value'!EA25/'Total Value'!$D25-1)</f>
        <v/>
      </c>
      <c r="EB13" s="14" t="str">
        <f ca="1">IF(EB$1="","",'Total Value'!EB25/'Total Value'!$D25-1)</f>
        <v/>
      </c>
      <c r="EC13" s="14" t="str">
        <f ca="1">IF(EC$1="","",'Total Value'!EC25/'Total Value'!$D25-1)</f>
        <v/>
      </c>
      <c r="ED13" s="14" t="str">
        <f ca="1">IF(ED$1="","",'Total Value'!ED25/'Total Value'!$D25-1)</f>
        <v/>
      </c>
      <c r="EE13" s="14" t="str">
        <f ca="1">IF(EE$1="","",'Total Value'!EE25/'Total Value'!$D25-1)</f>
        <v/>
      </c>
      <c r="EF13" s="14" t="str">
        <f ca="1">IF(EF$1="","",'Total Value'!EF25/'Total Value'!$D25-1)</f>
        <v/>
      </c>
      <c r="EG13" s="14" t="str">
        <f ca="1">IF(EG$1="","",'Total Value'!EG25/'Total Value'!$D25-1)</f>
        <v/>
      </c>
      <c r="EH13" s="14" t="str">
        <f ca="1">IF(EH$1="","",'Total Value'!EH25/'Total Value'!$D25-1)</f>
        <v/>
      </c>
      <c r="EI13" s="14" t="str">
        <f ca="1">IF(EI$1="","",'Total Value'!EI25/'Total Value'!$D25-1)</f>
        <v/>
      </c>
      <c r="EJ13" s="14" t="str">
        <f ca="1">IF(EJ$1="","",'Total Value'!EJ25/'Total Value'!$D25-1)</f>
        <v/>
      </c>
      <c r="EK13" s="14" t="str">
        <f ca="1">IF(EK$1="","",'Total Value'!EK25/'Total Value'!$D25-1)</f>
        <v/>
      </c>
      <c r="EL13" s="14" t="str">
        <f ca="1">IF(EL$1="","",'Total Value'!EL25/'Total Value'!$D25-1)</f>
        <v/>
      </c>
      <c r="EM13" s="14" t="str">
        <f ca="1">IF(EM$1="","",'Total Value'!EM25/'Total Value'!$D25-1)</f>
        <v/>
      </c>
      <c r="EN13" s="14" t="str">
        <f ca="1">IF(EN$1="","",'Total Value'!EN25/'Total Value'!$D25-1)</f>
        <v/>
      </c>
      <c r="EO13" s="14" t="str">
        <f ca="1">IF(EO$1="","",'Total Value'!EO25/'Total Value'!$D25-1)</f>
        <v/>
      </c>
      <c r="EP13" s="14" t="str">
        <f ca="1">IF(EP$1="","",'Total Value'!EP25/'Total Value'!$D25-1)</f>
        <v/>
      </c>
      <c r="EQ13" s="14" t="str">
        <f ca="1">IF(EQ$1="","",'Total Value'!EQ25/'Total Value'!$D25-1)</f>
        <v/>
      </c>
      <c r="ER13" s="14" t="str">
        <f ca="1">IF(ER$1="","",'Total Value'!ER25/'Total Value'!$D25-1)</f>
        <v/>
      </c>
      <c r="ES13" s="14" t="str">
        <f ca="1">IF(ES$1="","",'Total Value'!ES25/'Total Value'!$D25-1)</f>
        <v/>
      </c>
      <c r="ET13" s="14" t="str">
        <f ca="1">IF(ET$1="","",'Total Value'!ET25/'Total Value'!$D25-1)</f>
        <v/>
      </c>
      <c r="EU13" s="14" t="str">
        <f ca="1">IF(EU$1="","",'Total Value'!EU25/'Total Value'!$D25-1)</f>
        <v/>
      </c>
      <c r="EV13" s="14" t="str">
        <f ca="1">IF(EV$1="","",'Total Value'!EV25/'Total Value'!$D25-1)</f>
        <v/>
      </c>
      <c r="EW13" s="14" t="str">
        <f ca="1">IF(EW$1="","",'Total Value'!EW25/'Total Value'!$D25-1)</f>
        <v/>
      </c>
      <c r="EX13" s="14" t="str">
        <f ca="1">IF(EX$1="","",'Total Value'!EX25/'Total Value'!$D25-1)</f>
        <v/>
      </c>
      <c r="EY13" s="14" t="str">
        <f ca="1">IF(EY$1="","",'Total Value'!EY25/'Total Value'!$D25-1)</f>
        <v/>
      </c>
      <c r="EZ13" s="14" t="str">
        <f ca="1">IF(EZ$1="","",'Total Value'!EZ25/'Total Value'!$D25-1)</f>
        <v/>
      </c>
      <c r="FA13" s="14" t="str">
        <f ca="1">IF(FA$1="","",'Total Value'!FA25/'Total Value'!$D25-1)</f>
        <v/>
      </c>
      <c r="FB13" s="14" t="str">
        <f ca="1">IF(FB$1="","",'Total Value'!FB25/'Total Value'!$D25-1)</f>
        <v/>
      </c>
      <c r="FC13" s="14" t="str">
        <f ca="1">IF(FC$1="","",'Total Value'!FC25/'Total Value'!$D25-1)</f>
        <v/>
      </c>
      <c r="FD13" s="14" t="str">
        <f ca="1">IF(FD$1="","",'Total Value'!FD25/'Total Value'!$D25-1)</f>
        <v/>
      </c>
      <c r="FE13" s="14" t="str">
        <f ca="1">IF(FE$1="","",'Total Value'!FE25/'Total Value'!$D25-1)</f>
        <v/>
      </c>
      <c r="FF13" s="14" t="str">
        <f ca="1">IF(FF$1="","",'Total Value'!FF25/'Total Value'!$D25-1)</f>
        <v/>
      </c>
      <c r="FG13" s="14" t="str">
        <f ca="1">IF(FG$1="","",'Total Value'!FG25/'Total Value'!$D25-1)</f>
        <v/>
      </c>
      <c r="FH13" s="14" t="str">
        <f ca="1">IF(FH$1="","",'Total Value'!FH25/'Total Value'!$D25-1)</f>
        <v/>
      </c>
      <c r="FI13" s="14" t="str">
        <f ca="1">IF(FI$1="","",'Total Value'!FI25/'Total Value'!$D25-1)</f>
        <v/>
      </c>
      <c r="FJ13" s="14" t="str">
        <f ca="1">IF(FJ$1="","",'Total Value'!FJ25/'Total Value'!$D25-1)</f>
        <v/>
      </c>
      <c r="FK13" s="14" t="str">
        <f ca="1">IF(FK$1="","",'Total Value'!FK25/'Total Value'!$D25-1)</f>
        <v/>
      </c>
      <c r="FL13" s="14" t="str">
        <f ca="1">IF(FL$1="","",'Total Value'!FL25/'Total Value'!$D25-1)</f>
        <v/>
      </c>
      <c r="FM13" s="14" t="str">
        <f ca="1">IF(FM$1="","",'Total Value'!FM25/'Total Value'!$D25-1)</f>
        <v/>
      </c>
      <c r="FN13" s="14" t="str">
        <f ca="1">IF(FN$1="","",'Total Value'!FN25/'Total Value'!$D25-1)</f>
        <v/>
      </c>
      <c r="FO13" s="14" t="str">
        <f ca="1">IF(FO$1="","",'Total Value'!FO25/'Total Value'!$D25-1)</f>
        <v/>
      </c>
      <c r="FP13" s="14" t="str">
        <f ca="1">IF(FP$1="","",'Total Value'!FP25/'Total Value'!$D25-1)</f>
        <v/>
      </c>
      <c r="FQ13" s="14" t="str">
        <f ca="1">IF(FQ$1="","",'Total Value'!FQ25/'Total Value'!$D25-1)</f>
        <v/>
      </c>
      <c r="FR13" s="14" t="str">
        <f ca="1">IF(FR$1="","",'Total Value'!FR25/'Total Value'!$D25-1)</f>
        <v/>
      </c>
      <c r="FS13" s="14" t="str">
        <f ca="1">IF(FS$1="","",'Total Value'!FS25/'Total Value'!$D25-1)</f>
        <v/>
      </c>
      <c r="FT13" s="14" t="str">
        <f ca="1">IF(FT$1="","",'Total Value'!FT25/'Total Value'!$D25-1)</f>
        <v/>
      </c>
      <c r="FU13" s="14" t="str">
        <f ca="1">IF(FU$1="","",'Total Value'!FU25/'Total Value'!$D25-1)</f>
        <v/>
      </c>
      <c r="FV13" s="14" t="str">
        <f ca="1">IF(FV$1="","",'Total Value'!FV25/'Total Value'!$D25-1)</f>
        <v/>
      </c>
      <c r="FW13" s="14" t="str">
        <f ca="1">IF(FW$1="","",'Total Value'!FW25/'Total Value'!$D25-1)</f>
        <v/>
      </c>
      <c r="FX13" s="14" t="str">
        <f ca="1">IF(FX$1="","",'Total Value'!FX25/'Total Value'!$D25-1)</f>
        <v/>
      </c>
      <c r="FY13" s="14" t="str">
        <f ca="1">IF(FY$1="","",'Total Value'!FY25/'Total Value'!$D25-1)</f>
        <v/>
      </c>
      <c r="FZ13" s="14" t="str">
        <f ca="1">IF(FZ$1="","",'Total Value'!FZ25/'Total Value'!$D25-1)</f>
        <v/>
      </c>
      <c r="GA13" s="14" t="str">
        <f ca="1">IF(GA$1="","",'Total Value'!GA25/'Total Value'!$D25-1)</f>
        <v/>
      </c>
      <c r="GB13" s="14" t="str">
        <f ca="1">IF(GB$1="","",'Total Value'!GB25/'Total Value'!$D25-1)</f>
        <v/>
      </c>
      <c r="GC13" s="14" t="str">
        <f ca="1">IF(GC$1="","",'Total Value'!GC25/'Total Value'!$D25-1)</f>
        <v/>
      </c>
      <c r="GD13" s="14" t="str">
        <f ca="1">IF(GD$1="","",'Total Value'!GD25/'Total Value'!$D25-1)</f>
        <v/>
      </c>
      <c r="GE13" s="14" t="str">
        <f ca="1">IF(GE$1="","",'Total Value'!GE25/'Total Value'!$D25-1)</f>
        <v/>
      </c>
      <c r="GF13" s="14" t="str">
        <f ca="1">IF(GF$1="","",'Total Value'!GF25/'Total Value'!$D25-1)</f>
        <v/>
      </c>
      <c r="GG13" s="14" t="str">
        <f ca="1">IF(GG$1="","",'Total Value'!GG25/'Total Value'!$D25-1)</f>
        <v/>
      </c>
      <c r="GH13" s="14" t="str">
        <f ca="1">IF(GH$1="","",'Total Value'!GH25/'Total Value'!$D25-1)</f>
        <v/>
      </c>
      <c r="GI13" s="14" t="str">
        <f ca="1">IF(GI$1="","",'Total Value'!GI25/'Total Value'!$D25-1)</f>
        <v/>
      </c>
      <c r="GJ13" s="14" t="str">
        <f ca="1">IF(GJ$1="","",'Total Value'!GJ25/'Total Value'!$D25-1)</f>
        <v/>
      </c>
      <c r="GK13" s="14" t="str">
        <f ca="1">IF(GK$1="","",'Total Value'!GK25/'Total Value'!$D25-1)</f>
        <v/>
      </c>
      <c r="GL13" s="14" t="str">
        <f ca="1">IF(GL$1="","",'Total Value'!GL25/'Total Value'!$D25-1)</f>
        <v/>
      </c>
      <c r="GM13" s="14" t="str">
        <f ca="1">IF(GM$1="","",'Total Value'!GM25/'Total Value'!$D25-1)</f>
        <v/>
      </c>
      <c r="GN13" s="14" t="str">
        <f ca="1">IF(GN$1="","",'Total Value'!GN25/'Total Value'!$D25-1)</f>
        <v/>
      </c>
      <c r="GO13" s="14" t="str">
        <f ca="1">IF(GO$1="","",'Total Value'!GO25/'Total Value'!$D25-1)</f>
        <v/>
      </c>
      <c r="GP13" s="14" t="str">
        <f ca="1">IF(GP$1="","",'Total Value'!GP25/'Total Value'!$D25-1)</f>
        <v/>
      </c>
      <c r="GQ13" s="14" t="str">
        <f ca="1">IF(GQ$1="","",'Total Value'!GQ25/'Total Value'!$D25-1)</f>
        <v/>
      </c>
      <c r="GR13" s="14" t="str">
        <f ca="1">IF(GR$1="","",'Total Value'!GR25/'Total Value'!$D25-1)</f>
        <v/>
      </c>
      <c r="GS13" s="14" t="str">
        <f ca="1">IF(GS$1="","",'Total Value'!GS25/'Total Value'!$D25-1)</f>
        <v/>
      </c>
      <c r="GT13" s="14" t="str">
        <f ca="1">IF(GT$1="","",'Total Value'!GT25/'Total Value'!$D25-1)</f>
        <v/>
      </c>
      <c r="GU13" s="14" t="str">
        <f ca="1">IF(GU$1="","",'Total Value'!GU25/'Total Value'!$D25-1)</f>
        <v/>
      </c>
      <c r="GV13" s="14" t="str">
        <f ca="1">IF(GV$1="","",'Total Value'!GV25/'Total Value'!$D25-1)</f>
        <v/>
      </c>
      <c r="GW13" s="14" t="str">
        <f ca="1">IF(GW$1="","",'Total Value'!GW25/'Total Value'!$D25-1)</f>
        <v/>
      </c>
      <c r="GX13" s="14" t="str">
        <f ca="1">IF(GX$1="","",'Total Value'!GX25/'Total Value'!$D25-1)</f>
        <v/>
      </c>
      <c r="GY13" s="14" t="str">
        <f ca="1">IF(GY$1="","",'Total Value'!GY25/'Total Value'!$D25-1)</f>
        <v/>
      </c>
      <c r="GZ13" s="14" t="str">
        <f ca="1">IF(GZ$1="","",'Total Value'!GZ25/'Total Value'!$D25-1)</f>
        <v/>
      </c>
      <c r="HA13" s="14" t="str">
        <f ca="1">IF(HA$1="","",'Total Value'!HA25/'Total Value'!$D25-1)</f>
        <v/>
      </c>
      <c r="HB13" s="14" t="str">
        <f ca="1">IF(HB$1="","",'Total Value'!HB25/'Total Value'!$D25-1)</f>
        <v/>
      </c>
      <c r="HC13" s="14" t="str">
        <f ca="1">IF(HC$1="","",'Total Value'!HC25/'Total Value'!$D25-1)</f>
        <v/>
      </c>
      <c r="HD13" s="14" t="str">
        <f ca="1">IF(HD$1="","",'Total Value'!HD25/'Total Value'!$D25-1)</f>
        <v/>
      </c>
      <c r="HE13" s="14" t="str">
        <f ca="1">IF(HE$1="","",'Total Value'!HE25/'Total Value'!$D25-1)</f>
        <v/>
      </c>
      <c r="HF13" s="14" t="str">
        <f ca="1">IF(HF$1="","",'Total Value'!HF25/'Total Value'!$D25-1)</f>
        <v/>
      </c>
      <c r="HG13" s="14" t="str">
        <f ca="1">IF(HG$1="","",'Total Value'!HG25/'Total Value'!$D25-1)</f>
        <v/>
      </c>
      <c r="HH13" s="14" t="str">
        <f ca="1">IF(HH$1="","",'Total Value'!HH25/'Total Value'!$D25-1)</f>
        <v/>
      </c>
      <c r="HI13" s="14" t="str">
        <f ca="1">IF(HI$1="","",'Total Value'!HI25/'Total Value'!$D25-1)</f>
        <v/>
      </c>
      <c r="HJ13" s="14" t="str">
        <f ca="1">IF(HJ$1="","",'Total Value'!HJ25/'Total Value'!$D25-1)</f>
        <v/>
      </c>
      <c r="HK13" s="14" t="str">
        <f ca="1">IF(HK$1="","",'Total Value'!HK25/'Total Value'!$D25-1)</f>
        <v/>
      </c>
      <c r="HL13" s="14" t="str">
        <f ca="1">IF(HL$1="","",'Total Value'!HL25/'Total Value'!$D25-1)</f>
        <v/>
      </c>
      <c r="HM13" s="14" t="str">
        <f ca="1">IF(HM$1="","",'Total Value'!HM25/'Total Value'!$D25-1)</f>
        <v/>
      </c>
      <c r="HN13" s="14" t="str">
        <f ca="1">IF(HN$1="","",'Total Value'!HN25/'Total Value'!$D25-1)</f>
        <v/>
      </c>
      <c r="HO13" s="14" t="str">
        <f ca="1">IF(HO$1="","",'Total Value'!HO25/'Total Value'!$D25-1)</f>
        <v/>
      </c>
      <c r="HP13" s="14" t="str">
        <f ca="1">IF(HP$1="","",'Total Value'!HP25/'Total Value'!$D25-1)</f>
        <v/>
      </c>
      <c r="HQ13" s="14" t="str">
        <f ca="1">IF(HQ$1="","",'Total Value'!HQ25/'Total Value'!$D25-1)</f>
        <v/>
      </c>
      <c r="HR13" s="14" t="str">
        <f ca="1">IF(HR$1="","",'Total Value'!HR25/'Total Value'!$D25-1)</f>
        <v/>
      </c>
      <c r="HS13" s="14" t="str">
        <f ca="1">IF(HS$1="","",'Total Value'!HS25/'Total Value'!$D25-1)</f>
        <v/>
      </c>
      <c r="HT13" s="14" t="str">
        <f ca="1">IF(HT$1="","",'Total Value'!HT25/'Total Value'!$D25-1)</f>
        <v/>
      </c>
      <c r="HU13" s="14" t="str">
        <f ca="1">IF(HU$1="","",'Total Value'!HU25/'Total Value'!$D25-1)</f>
        <v/>
      </c>
      <c r="HV13" s="14" t="str">
        <f ca="1">IF(HV$1="","",'Total Value'!HV25/'Total Value'!$D25-1)</f>
        <v/>
      </c>
      <c r="HW13" s="14" t="str">
        <f ca="1">IF(HW$1="","",'Total Value'!HW25/'Total Value'!$D25-1)</f>
        <v/>
      </c>
      <c r="HX13" s="14" t="str">
        <f ca="1">IF(HX$1="","",'Total Value'!HX25/'Total Value'!$D25-1)</f>
        <v/>
      </c>
      <c r="HY13" s="14" t="str">
        <f ca="1">IF(HY$1="","",'Total Value'!HY25/'Total Value'!$D25-1)</f>
        <v/>
      </c>
      <c r="HZ13" s="14" t="str">
        <f ca="1">IF(HZ$1="","",'Total Value'!HZ25/'Total Value'!$D25-1)</f>
        <v/>
      </c>
      <c r="IA13" s="14" t="str">
        <f ca="1">IF(IA$1="","",'Total Value'!IA25/'Total Value'!$D25-1)</f>
        <v/>
      </c>
      <c r="IB13" s="14" t="str">
        <f ca="1">IF(IB$1="","",'Total Value'!IB25/'Total Value'!$D25-1)</f>
        <v/>
      </c>
      <c r="IC13" s="14" t="str">
        <f ca="1">IF(IC$1="","",'Total Value'!IC25/'Total Value'!$D25-1)</f>
        <v/>
      </c>
      <c r="ID13" s="14" t="str">
        <f ca="1">IF(ID$1="","",'Total Value'!ID25/'Total Value'!$D25-1)</f>
        <v/>
      </c>
      <c r="IE13" s="14" t="str">
        <f ca="1">IF(IE$1="","",'Total Value'!IE25/'Total Value'!$D25-1)</f>
        <v/>
      </c>
      <c r="IF13" s="14" t="str">
        <f ca="1">IF(IF$1="","",'Total Value'!IF25/'Total Value'!$D25-1)</f>
        <v/>
      </c>
      <c r="IG13" s="14" t="str">
        <f ca="1">IF(IG$1="","",'Total Value'!IG25/'Total Value'!$D25-1)</f>
        <v/>
      </c>
      <c r="IH13" s="14" t="str">
        <f ca="1">IF(IH$1="","",'Total Value'!IH25/'Total Value'!$D25-1)</f>
        <v/>
      </c>
      <c r="II13" s="14" t="str">
        <f ca="1">IF(II$1="","",'Total Value'!II25/'Total Value'!$D25-1)</f>
        <v/>
      </c>
      <c r="IJ13" s="14" t="str">
        <f ca="1">IF(IJ$1="","",'Total Value'!IJ25/'Total Value'!$D25-1)</f>
        <v/>
      </c>
      <c r="IK13" s="14" t="str">
        <f ca="1">IF(IK$1="","",'Total Value'!IK25/'Total Value'!$D25-1)</f>
        <v/>
      </c>
      <c r="IL13" s="14" t="str">
        <f ca="1">IF(IL$1="","",'Total Value'!IL25/'Total Value'!$D25-1)</f>
        <v/>
      </c>
      <c r="IM13" s="14" t="str">
        <f ca="1">IF(IM$1="","",'Total Value'!IM25/'Total Value'!$D25-1)</f>
        <v/>
      </c>
      <c r="IN13" s="14" t="str">
        <f ca="1">IF(IN$1="","",'Total Value'!IN25/'Total Value'!$D25-1)</f>
        <v/>
      </c>
      <c r="IO13" s="14" t="str">
        <f ca="1">IF(IO$1="","",'Total Value'!IO25/'Total Value'!$D25-1)</f>
        <v/>
      </c>
      <c r="IP13" s="14" t="str">
        <f ca="1">IF(IP$1="","",'Total Value'!IP25/'Total Value'!$D25-1)</f>
        <v/>
      </c>
      <c r="IQ13" s="14" t="str">
        <f ca="1">IF(IQ$1="","",'Total Value'!IQ25/'Total Value'!$D25-1)</f>
        <v/>
      </c>
      <c r="IR13" s="14" t="str">
        <f ca="1">IF(IR$1="","",'Total Value'!IR25/'Total Value'!$D25-1)</f>
        <v/>
      </c>
      <c r="IS13" s="14" t="str">
        <f ca="1">IF(IS$1="","",'Total Value'!IS25/'Total Value'!$D25-1)</f>
        <v/>
      </c>
      <c r="IT13" s="14" t="str">
        <f ca="1">IF(IT$1="","",'Total Value'!IT25/'Total Value'!$D25-1)</f>
        <v/>
      </c>
      <c r="IU13" s="14" t="str">
        <f ca="1">IF(IU$1="","",'Total Value'!IU25/'Total Value'!$D25-1)</f>
        <v/>
      </c>
      <c r="IV13" s="14" t="str">
        <f ca="1">IF(IV$1="","",'Total Value'!IV25/'Total Value'!$D25-1)</f>
        <v/>
      </c>
      <c r="IW13" s="14" t="str">
        <f ca="1">IF(IW$1="","",'Total Value'!IW25/'Total Value'!$D25-1)</f>
        <v/>
      </c>
      <c r="IX13" s="14" t="str">
        <f ca="1">IF(IX$1="","",'Total Value'!IX25/'Total Value'!$D25-1)</f>
        <v/>
      </c>
      <c r="IY13" s="14" t="str">
        <f ca="1">IF(IY$1="","",'Total Value'!IY25/'Total Value'!$D25-1)</f>
        <v/>
      </c>
      <c r="IZ13" s="14" t="str">
        <f ca="1">IF(IZ$1="","",'Total Value'!IZ25/'Total Value'!$D25-1)</f>
        <v/>
      </c>
      <c r="JA13" s="14" t="str">
        <f ca="1">IF(JA$1="","",'Total Value'!JA25/'Total Value'!$D25-1)</f>
        <v/>
      </c>
      <c r="JB13" s="14" t="str">
        <f ca="1">IF(JB$1="","",'Total Value'!JB25/'Total Value'!$D25-1)</f>
        <v/>
      </c>
      <c r="JC13" s="14" t="str">
        <f ca="1">IF(JC$1="","",'Total Value'!JC25/'Total Value'!$D25-1)</f>
        <v/>
      </c>
      <c r="JD13" s="14" t="str">
        <f ca="1">IF(JD$1="","",'Total Value'!JD25/'Total Value'!$D25-1)</f>
        <v/>
      </c>
      <c r="JE13" s="14" t="str">
        <f ca="1">IF(JE$1="","",'Total Value'!JE25/'Total Value'!$D25-1)</f>
        <v/>
      </c>
      <c r="JF13" s="14" t="str">
        <f ca="1">IF(JF$1="","",'Total Value'!JF25/'Total Value'!$D25-1)</f>
        <v/>
      </c>
      <c r="JG13" s="14" t="str">
        <f ca="1">IF(JG$1="","",'Total Value'!JG25/'Total Value'!$D25-1)</f>
        <v/>
      </c>
      <c r="JH13" s="14" t="str">
        <f ca="1">IF(JH$1="","",'Total Value'!JH25/'Total Value'!$D25-1)</f>
        <v/>
      </c>
      <c r="JI13" s="14" t="str">
        <f ca="1">IF(JI$1="","",'Total Value'!JI25/'Total Value'!$D25-1)</f>
        <v/>
      </c>
      <c r="JJ13" s="14" t="str">
        <f ca="1">IF(JJ$1="","",'Total Value'!JJ25/'Total Value'!$D25-1)</f>
        <v/>
      </c>
      <c r="JK13" s="14" t="str">
        <f ca="1">IF(JK$1="","",'Total Value'!JK25/'Total Value'!$D25-1)</f>
        <v/>
      </c>
      <c r="JL13" s="14" t="str">
        <f ca="1">IF(JL$1="","",'Total Value'!JL25/'Total Value'!$D25-1)</f>
        <v/>
      </c>
      <c r="JM13" s="14" t="str">
        <f ca="1">IF(JM$1="","",'Total Value'!JM25/'Total Value'!$D25-1)</f>
        <v/>
      </c>
      <c r="JN13" s="14" t="str">
        <f ca="1">IF(JN$1="","",'Total Value'!JN25/'Total Value'!$D25-1)</f>
        <v/>
      </c>
      <c r="JO13" s="14" t="str">
        <f ca="1">IF(JO$1="","",'Total Value'!JO25/'Total Value'!$D25-1)</f>
        <v/>
      </c>
      <c r="JP13" s="14" t="str">
        <f ca="1">IF(JP$1="","",'Total Value'!JP25/'Total Value'!$D25-1)</f>
        <v/>
      </c>
      <c r="JQ13" s="14" t="str">
        <f ca="1">IF(JQ$1="","",'Total Value'!JQ25/'Total Value'!$D25-1)</f>
        <v/>
      </c>
      <c r="JR13" s="14" t="str">
        <f ca="1">IF(JR$1="","",'Total Value'!JR25/'Total Value'!$D25-1)</f>
        <v/>
      </c>
      <c r="JS13" s="14" t="str">
        <f ca="1">IF(JS$1="","",'Total Value'!JS25/'Total Value'!$D25-1)</f>
        <v/>
      </c>
      <c r="JT13" s="14" t="str">
        <f ca="1">IF(JT$1="","",'Total Value'!JT25/'Total Value'!$D25-1)</f>
        <v/>
      </c>
      <c r="JU13" s="14" t="str">
        <f ca="1">IF(JU$1="","",'Total Value'!JU25/'Total Value'!$D25-1)</f>
        <v/>
      </c>
      <c r="JV13" s="14" t="str">
        <f ca="1">IF(JV$1="","",'Total Value'!JV25/'Total Value'!$D25-1)</f>
        <v/>
      </c>
      <c r="JW13" s="14" t="str">
        <f ca="1">IF(JW$1="","",'Total Value'!JW25/'Total Value'!$D25-1)</f>
        <v/>
      </c>
      <c r="JX13" s="14" t="str">
        <f ca="1">IF(JX$1="","",'Total Value'!JX25/'Total Value'!$D25-1)</f>
        <v/>
      </c>
      <c r="JY13" s="14" t="str">
        <f ca="1">IF(JY$1="","",'Total Value'!JY25/'Total Value'!$D25-1)</f>
        <v/>
      </c>
      <c r="JZ13" s="14" t="str">
        <f ca="1">IF(JZ$1="","",'Total Value'!JZ25/'Total Value'!$D25-1)</f>
        <v/>
      </c>
      <c r="KA13" s="14" t="str">
        <f ca="1">IF(KA$1="","",'Total Value'!KA25/'Total Value'!$D25-1)</f>
        <v/>
      </c>
      <c r="KB13" s="14" t="str">
        <f ca="1">IF(KB$1="","",'Total Value'!KB25/'Total Value'!$D25-1)</f>
        <v/>
      </c>
    </row>
    <row r="14" spans="1:288" ht="15.75" customHeight="1">
      <c r="A14" s="9" t="s">
        <v>30</v>
      </c>
      <c r="B14" s="6" t="s">
        <v>59</v>
      </c>
      <c r="C14" s="26">
        <v>119</v>
      </c>
      <c r="D14" s="13">
        <v>0</v>
      </c>
      <c r="E14" s="14">
        <f ca="1">IF(E$1="","",'Total Value'!E26/'Total Value'!$D26-1)</f>
        <v>1.1030176899063493E-2</v>
      </c>
      <c r="F14" s="14">
        <f ca="1">IF(F$1="","",'Total Value'!F26/'Total Value'!$D26-1)</f>
        <v>-4.3704474505722457E-3</v>
      </c>
      <c r="G14" s="14">
        <f ca="1">IF(G$1="","",'Total Value'!G26/'Total Value'!$D26-1)</f>
        <v>3.8085327783558887E-2</v>
      </c>
      <c r="H14" s="14">
        <f ca="1">IF(H$1="","",'Total Value'!H26/'Total Value'!$D26-1)</f>
        <v>3.5587929240374683E-2</v>
      </c>
      <c r="I14" s="14">
        <f ca="1">IF(I$1="","",'Total Value'!I26/'Total Value'!$D26-1)</f>
        <v>1.8938605619146731E-2</v>
      </c>
      <c r="J14" s="14">
        <f ca="1">IF(J$1="","",'Total Value'!J26/'Total Value'!$D26-1)</f>
        <v>-3.2674297606659741E-2</v>
      </c>
      <c r="K14" s="14">
        <f ca="1">IF(K$1="","",'Total Value'!K26/'Total Value'!$D26-1)</f>
        <v>-7.4297606659729398E-2</v>
      </c>
      <c r="L14" s="14">
        <f ca="1">IF(L$1="","",'Total Value'!L26/'Total Value'!$D26-1)</f>
        <v>-8.5952133194588831E-2</v>
      </c>
      <c r="M14" s="14">
        <f ca="1">IF(M$1="","",'Total Value'!M26/'Total Value'!$D26-1)</f>
        <v>-8.074921956295511E-2</v>
      </c>
      <c r="N14" s="14">
        <f ca="1">IF(N$1="","",'Total Value'!N26/'Total Value'!$D26-1)</f>
        <v>-8.0957336108220534E-2</v>
      </c>
      <c r="O14" s="14">
        <f ca="1">IF(O$1="","",'Total Value'!O26/'Total Value'!$D26-1)</f>
        <v>-7.9708636836628433E-2</v>
      </c>
      <c r="P14" s="14">
        <f ca="1">IF(P$1="","",'Total Value'!P26/'Total Value'!$D26-1)</f>
        <v>-9.4901144640998858E-2</v>
      </c>
      <c r="Q14" s="14">
        <f ca="1">IF(Q$1="","",'Total Value'!Q26/'Total Value'!$D26-1)</f>
        <v>-0.11217481789802286</v>
      </c>
      <c r="R14" s="14">
        <f ca="1">IF(R$1="","",'Total Value'!R26/'Total Value'!$D26-1)</f>
        <v>-8.7408949011446246E-2</v>
      </c>
      <c r="S14" s="14">
        <f ca="1">IF(S$1="","",'Total Value'!S26/'Total Value'!$D26-1)</f>
        <v>-6.9510926118626415E-2</v>
      </c>
      <c r="T14" s="14">
        <f ca="1">IF(T$1="","",'Total Value'!T26/'Total Value'!$D26-1)</f>
        <v>-6.1186264308012439E-2</v>
      </c>
      <c r="U14" s="14">
        <f ca="1">IF(U$1="","",'Total Value'!U26/'Total Value'!$D26-1)</f>
        <v>-7.9708636836628433E-2</v>
      </c>
      <c r="V14" s="14">
        <f ca="1">IF(V$1="","",'Total Value'!V26/'Total Value'!$D26-1)</f>
        <v>-9.8647242455775164E-2</v>
      </c>
      <c r="W14" s="14">
        <f ca="1">IF(W$1="","",'Total Value'!W26/'Total Value'!$D26-1)</f>
        <v>-9.7190426638917748E-2</v>
      </c>
      <c r="X14" s="14">
        <f ca="1">IF(X$1="","",'Total Value'!X26/'Total Value'!$D26-1)</f>
        <v>-7.3881373569198772E-2</v>
      </c>
      <c r="Y14" s="14">
        <f ca="1">IF(Y$1="","",'Total Value'!Y26/'Total Value'!$D26-1)</f>
        <v>-6.9302809573360991E-2</v>
      </c>
      <c r="Z14" s="14">
        <f ca="1">IF(Z$1="","",'Total Value'!Z26/'Total Value'!$D26-1)</f>
        <v>-8.3038501560874001E-2</v>
      </c>
      <c r="AA14" s="14">
        <f ca="1">IF(AA$1="","",'Total Value'!AA26/'Total Value'!$D26-1)</f>
        <v>-9.6982310093652435E-2</v>
      </c>
      <c r="AB14" s="14">
        <f ca="1">IF(AB$1="","",'Total Value'!AB26/'Total Value'!$D26-1)</f>
        <v>-0.11009365244536939</v>
      </c>
      <c r="AC14" s="14">
        <f ca="1">IF(AC$1="","",'Total Value'!AC26/'Total Value'!$D26-1)</f>
        <v>-5.7648283038501558E-2</v>
      </c>
      <c r="AD14" s="14">
        <f ca="1">IF(AD$1="","",'Total Value'!AD26/'Total Value'!$D26-1)</f>
        <v>-5.8896982310093549E-2</v>
      </c>
      <c r="AE14" s="14">
        <f ca="1">IF(AE$1="","",'Total Value'!AE26/'Total Value'!$D26-1)</f>
        <v>-7.1383975026014568E-2</v>
      </c>
      <c r="AF14" s="14">
        <f ca="1">IF(AF$1="","",'Total Value'!AF26/'Total Value'!$D26-1)</f>
        <v>-9.3444328824141443E-2</v>
      </c>
      <c r="AG14" s="14">
        <f ca="1">IF(AG$1="","",'Total Value'!AG26/'Total Value'!$D26-1)</f>
        <v>-0.11800208116545263</v>
      </c>
      <c r="AH14" s="14">
        <f ca="1">IF(AH$1="","",'Total Value'!AH26/'Total Value'!$D26-1)</f>
        <v>-0.11945889698231005</v>
      </c>
      <c r="AI14" s="14">
        <f ca="1">IF(AI$1="","",'Total Value'!AI26/'Total Value'!$D26-1)</f>
        <v>-0.14464099895941718</v>
      </c>
      <c r="AJ14" s="14">
        <f ca="1">IF(AJ$1="","",'Total Value'!AJ26/'Total Value'!$D26-1)</f>
        <v>-0.12278876170655573</v>
      </c>
      <c r="AK14" s="14">
        <f ca="1">IF(AK$1="","",'Total Value'!AK26/'Total Value'!$D26-1)</f>
        <v>-0.14651404786680544</v>
      </c>
      <c r="AL14" s="14">
        <f ca="1">IF(AL$1="","",'Total Value'!AL26/'Total Value'!$D26-1)</f>
        <v>-0.19188345473465152</v>
      </c>
      <c r="AM14" s="14">
        <f ca="1">IF(AM$1="","",'Total Value'!AM26/'Total Value'!$D26-1)</f>
        <v>-0.15463059313215399</v>
      </c>
      <c r="AN14" s="14">
        <f ca="1">IF(AN$1="","",'Total Value'!AN26/'Total Value'!$D26-1)</f>
        <v>-0.16940686784599379</v>
      </c>
      <c r="AO14" s="14">
        <f ca="1">IF(AO$1="","",'Total Value'!AO26/'Total Value'!$D26-1)</f>
        <v>-0.23142559833506759</v>
      </c>
      <c r="AP14" s="14">
        <f ca="1">IF(AP$1="","",'Total Value'!AP26/'Total Value'!$D26-1)</f>
        <v>-0.27117585848074921</v>
      </c>
      <c r="AQ14" s="14">
        <f ca="1">IF(AQ$1="","",'Total Value'!AQ26/'Total Value'!$D26-1)</f>
        <v>-0.24828303850156086</v>
      </c>
      <c r="AR14" s="14">
        <f ca="1">IF(AR$1="","",'Total Value'!AR26/'Total Value'!$D26-1)</f>
        <v>-0.22039542143600421</v>
      </c>
      <c r="AS14" s="14">
        <f ca="1">IF(AS$1="","",'Total Value'!AS26/'Total Value'!$D26-1)</f>
        <v>-0.23579604578563984</v>
      </c>
      <c r="AT14" s="14">
        <f ca="1">IF(AT$1="","",'Total Value'!AT26/'Total Value'!$D26-1)</f>
        <v>-0.24412070759625393</v>
      </c>
      <c r="AU14" s="14">
        <f ca="1">IF(AU$1="","",'Total Value'!AU26/'Total Value'!$D26-1)</f>
        <v>-0.24432882414151913</v>
      </c>
      <c r="AV14" s="14">
        <f ca="1">IF(AV$1="","",'Total Value'!AV26/'Total Value'!$D26-1)</f>
        <v>-0.23995837669094688</v>
      </c>
      <c r="AW14" s="14">
        <f ca="1">IF(AW$1="","",'Total Value'!AW26/'Total Value'!$D26-1)</f>
        <v>-0.20582726326742973</v>
      </c>
      <c r="AX14" s="14">
        <f ca="1">IF(AX$1="","",'Total Value'!AX26/'Total Value'!$D26-1)</f>
        <v>-0.201873048907388</v>
      </c>
      <c r="AY14" s="14">
        <f ca="1">IF(AY$1="","",'Total Value'!AY26/'Total Value'!$D26-1)</f>
        <v>-0.19625390218522376</v>
      </c>
      <c r="AZ14" s="14">
        <f ca="1">IF(AZ$1="","",'Total Value'!AZ26/'Total Value'!$D26-1)</f>
        <v>-0.20124869927159206</v>
      </c>
      <c r="BA14" s="14">
        <f ca="1">IF(BA$1="","",'Total Value'!BA26/'Total Value'!$D26-1)</f>
        <v>-0.19979188345473464</v>
      </c>
      <c r="BB14" s="14">
        <f ca="1">IF(BB$1="","",'Total Value'!BB26/'Total Value'!$D26-1)</f>
        <v>-0.22143600416233089</v>
      </c>
      <c r="BC14" s="14">
        <f ca="1">IF(BC$1="","",'Total Value'!BC26/'Total Value'!$D26-1)</f>
        <v>-0.19833506763787712</v>
      </c>
      <c r="BD14" s="14">
        <f ca="1">IF(BD$1="","",'Total Value'!BD26/'Total Value'!$D26-1)</f>
        <v>-0.1968782518210197</v>
      </c>
      <c r="BE14" s="14">
        <f ca="1">IF(BE$1="","",'Total Value'!BE26/'Total Value'!$D26-1)</f>
        <v>-0.19729448491155044</v>
      </c>
      <c r="BF14" s="14">
        <f ca="1">IF(BF$1="","",'Total Value'!BF26/'Total Value'!$D26-1)</f>
        <v>-0.16586888657648291</v>
      </c>
      <c r="BG14" s="14">
        <f ca="1">IF(BG$1="","",'Total Value'!BG26/'Total Value'!$D26-1)</f>
        <v>-0.17544224765868888</v>
      </c>
      <c r="BH14" s="14">
        <f ca="1">IF(BH$1="","",'Total Value'!BH26/'Total Value'!$D26-1)</f>
        <v>-0.19042663891779399</v>
      </c>
      <c r="BI14" s="14">
        <f ca="1">IF(BI$1="","",'Total Value'!BI26/'Total Value'!$D26-1)</f>
        <v>-0.18085327783558791</v>
      </c>
      <c r="BJ14" s="14">
        <f ca="1">IF(BJ$1="","",'Total Value'!BJ26/'Total Value'!$D26-1)</f>
        <v>-0.19271592091571277</v>
      </c>
      <c r="BK14" s="14">
        <f ca="1">IF(BK$1="","",'Total Value'!BK26/'Total Value'!$D26-1)</f>
        <v>-0.22830385015608745</v>
      </c>
      <c r="BL14" s="14">
        <f ca="1">IF(BL$1="","",'Total Value'!BL26/'Total Value'!$D26-1)</f>
        <v>-0.2253902185223724</v>
      </c>
      <c r="BM14" s="14">
        <f ca="1">IF(BM$1="","",'Total Value'!BM26/'Total Value'!$D26-1)</f>
        <v>-0.24370447450572319</v>
      </c>
      <c r="BN14" s="14">
        <f ca="1">IF(BN$1="","",'Total Value'!BN26/'Total Value'!$D26-1)</f>
        <v>-0.24224765868886577</v>
      </c>
      <c r="BO14" s="14">
        <f ca="1">IF(BO$1="","",'Total Value'!BO26/'Total Value'!$D26-1)</f>
        <v>-0.23309053069719032</v>
      </c>
      <c r="BP14" s="14">
        <f ca="1">IF(BP$1="","",'Total Value'!BP26/'Total Value'!$D26-1)</f>
        <v>-0.22872008324661808</v>
      </c>
      <c r="BQ14" s="14">
        <f ca="1">IF(BQ$1="","",'Total Value'!BQ26/'Total Value'!$D26-1)</f>
        <v>-0.23309053069719032</v>
      </c>
      <c r="BR14" s="14">
        <f ca="1">IF(BR$1="","",'Total Value'!BR26/'Total Value'!$D26-1)</f>
        <v>-0.22976066597294487</v>
      </c>
      <c r="BS14" s="14">
        <f ca="1">IF(BS$1="","",'Total Value'!BS26/'Total Value'!$D26-1)</f>
        <v>-0.22393340270551498</v>
      </c>
      <c r="BT14" s="14">
        <f ca="1">IF(BT$1="","",'Total Value'!BT26/'Total Value'!$D26-1)</f>
        <v>-0.20020811654526527</v>
      </c>
      <c r="BU14" s="14">
        <f ca="1">IF(BU$1="","",'Total Value'!BU26/'Total Value'!$D26-1)</f>
        <v>-0.19334027055150893</v>
      </c>
      <c r="BV14" s="14">
        <f ca="1">IF(BV$1="","",'Total Value'!BV26/'Total Value'!$D26-1)</f>
        <v>-0.19375650364203945</v>
      </c>
      <c r="BW14" s="14">
        <f ca="1">IF(BW$1="","",'Total Value'!BW26/'Total Value'!$D26-1)</f>
        <v>-0.21207075962539013</v>
      </c>
      <c r="BX14" s="14">
        <f ca="1">IF(BX$1="","",'Total Value'!BX26/'Total Value'!$D26-1)</f>
        <v>-0.21498439125910507</v>
      </c>
      <c r="BY14" s="14">
        <f ca="1">IF(BY$1="","",'Total Value'!BY26/'Total Value'!$D26-1)</f>
        <v>-0.25223725286160248</v>
      </c>
      <c r="BZ14" s="14">
        <f ca="1">IF(BZ$1="","",'Total Value'!BZ26/'Total Value'!$D26-1)</f>
        <v>-0.23579604578563984</v>
      </c>
      <c r="CA14" s="14">
        <f ca="1">IF(CA$1="","",'Total Value'!CA26/'Total Value'!$D26-1)</f>
        <v>-0.21768990634755458</v>
      </c>
      <c r="CB14" s="14">
        <f ca="1">IF(CB$1="","",'Total Value'!CB26/'Total Value'!$D26-1)</f>
        <v>-0.23350676378772117</v>
      </c>
      <c r="CC14" s="14">
        <f ca="1">IF(CC$1="","",'Total Value'!CC26/'Total Value'!$D26-1)</f>
        <v>-0.22310093652445373</v>
      </c>
      <c r="CD14" s="14">
        <f ca="1">IF(CD$1="","",'Total Value'!CD26/'Total Value'!$D26-1)</f>
        <v>-0.20624349635796047</v>
      </c>
      <c r="CE14" s="14">
        <f ca="1">IF(CE$1="","",'Total Value'!CE26/'Total Value'!$D26-1)</f>
        <v>-0.18876170655567115</v>
      </c>
      <c r="CF14" s="14" t="str">
        <f ca="1">IF(CF$1="","",'Total Value'!CF26/'Total Value'!$D26-1)</f>
        <v/>
      </c>
      <c r="CG14" s="14" t="str">
        <f ca="1">IF(CG$1="","",'Total Value'!CG26/'Total Value'!$D26-1)</f>
        <v/>
      </c>
      <c r="CH14" s="14" t="str">
        <f ca="1">IF(CH$1="","",'Total Value'!CH26/'Total Value'!$D26-1)</f>
        <v/>
      </c>
      <c r="CI14" s="14" t="str">
        <f ca="1">IF(CI$1="","",'Total Value'!CI26/'Total Value'!$D26-1)</f>
        <v/>
      </c>
      <c r="CJ14" s="14" t="str">
        <f ca="1">IF(CJ$1="","",'Total Value'!CJ26/'Total Value'!$D26-1)</f>
        <v/>
      </c>
      <c r="CK14" s="14" t="str">
        <f ca="1">IF(CK$1="","",'Total Value'!CK26/'Total Value'!$D26-1)</f>
        <v/>
      </c>
      <c r="CL14" s="14" t="str">
        <f ca="1">IF(CL$1="","",'Total Value'!CL26/'Total Value'!$D26-1)</f>
        <v/>
      </c>
      <c r="CM14" s="14" t="str">
        <f ca="1">IF(CM$1="","",'Total Value'!CM26/'Total Value'!$D26-1)</f>
        <v/>
      </c>
      <c r="CN14" s="14" t="str">
        <f ca="1">IF(CN$1="","",'Total Value'!CN26/'Total Value'!$D26-1)</f>
        <v/>
      </c>
      <c r="CO14" s="14" t="str">
        <f ca="1">IF(CO$1="","",'Total Value'!CO26/'Total Value'!$D26-1)</f>
        <v/>
      </c>
      <c r="CP14" s="14" t="str">
        <f ca="1">IF(CP$1="","",'Total Value'!CP26/'Total Value'!$D26-1)</f>
        <v/>
      </c>
      <c r="CQ14" s="14" t="str">
        <f ca="1">IF(CQ$1="","",'Total Value'!CQ26/'Total Value'!$D26-1)</f>
        <v/>
      </c>
      <c r="CR14" s="14" t="str">
        <f ca="1">IF(CR$1="","",'Total Value'!CR26/'Total Value'!$D26-1)</f>
        <v/>
      </c>
      <c r="CS14" s="14" t="str">
        <f ca="1">IF(CS$1="","",'Total Value'!CS26/'Total Value'!$D26-1)</f>
        <v/>
      </c>
      <c r="CT14" s="14" t="str">
        <f ca="1">IF(CT$1="","",'Total Value'!CT26/'Total Value'!$D26-1)</f>
        <v/>
      </c>
      <c r="CU14" s="14" t="str">
        <f ca="1">IF(CU$1="","",'Total Value'!CU26/'Total Value'!$D26-1)</f>
        <v/>
      </c>
      <c r="CV14" s="14" t="str">
        <f ca="1">IF(CV$1="","",'Total Value'!CV26/'Total Value'!$D26-1)</f>
        <v/>
      </c>
      <c r="CW14" s="14" t="str">
        <f ca="1">IF(CW$1="","",'Total Value'!CW26/'Total Value'!$D26-1)</f>
        <v/>
      </c>
      <c r="CX14" s="14" t="str">
        <f ca="1">IF(CX$1="","",'Total Value'!CX26/'Total Value'!$D26-1)</f>
        <v/>
      </c>
      <c r="CY14" s="14" t="str">
        <f ca="1">IF(CY$1="","",'Total Value'!CY26/'Total Value'!$D26-1)</f>
        <v/>
      </c>
      <c r="CZ14" s="14" t="str">
        <f ca="1">IF(CZ$1="","",'Total Value'!CZ26/'Total Value'!$D26-1)</f>
        <v/>
      </c>
      <c r="DA14" s="14" t="str">
        <f ca="1">IF(DA$1="","",'Total Value'!DA26/'Total Value'!$D26-1)</f>
        <v/>
      </c>
      <c r="DB14" s="14" t="str">
        <f ca="1">IF(DB$1="","",'Total Value'!DB26/'Total Value'!$D26-1)</f>
        <v/>
      </c>
      <c r="DC14" s="14" t="str">
        <f ca="1">IF(DC$1="","",'Total Value'!DC26/'Total Value'!$D26-1)</f>
        <v/>
      </c>
      <c r="DD14" s="14" t="str">
        <f ca="1">IF(DD$1="","",'Total Value'!DD26/'Total Value'!$D26-1)</f>
        <v/>
      </c>
      <c r="DE14" s="14" t="str">
        <f ca="1">IF(DE$1="","",'Total Value'!DE26/'Total Value'!$D26-1)</f>
        <v/>
      </c>
      <c r="DF14" s="14" t="str">
        <f ca="1">IF(DF$1="","",'Total Value'!DF26/'Total Value'!$D26-1)</f>
        <v/>
      </c>
      <c r="DG14" s="14" t="str">
        <f ca="1">IF(DG$1="","",'Total Value'!DG26/'Total Value'!$D26-1)</f>
        <v/>
      </c>
      <c r="DH14" s="14" t="str">
        <f ca="1">IF(DH$1="","",'Total Value'!DH26/'Total Value'!$D26-1)</f>
        <v/>
      </c>
      <c r="DI14" s="14" t="str">
        <f ca="1">IF(DI$1="","",'Total Value'!DI26/'Total Value'!$D26-1)</f>
        <v/>
      </c>
      <c r="DJ14" s="14" t="str">
        <f ca="1">IF(DJ$1="","",'Total Value'!DJ26/'Total Value'!$D26-1)</f>
        <v/>
      </c>
      <c r="DK14" s="14" t="str">
        <f ca="1">IF(DK$1="","",'Total Value'!DK26/'Total Value'!$D26-1)</f>
        <v/>
      </c>
      <c r="DL14" s="14" t="str">
        <f ca="1">IF(DL$1="","",'Total Value'!DL26/'Total Value'!$D26-1)</f>
        <v/>
      </c>
      <c r="DM14" s="14" t="str">
        <f ca="1">IF(DM$1="","",'Total Value'!DM26/'Total Value'!$D26-1)</f>
        <v/>
      </c>
      <c r="DN14" s="14" t="str">
        <f ca="1">IF(DN$1="","",'Total Value'!DN26/'Total Value'!$D26-1)</f>
        <v/>
      </c>
      <c r="DO14" s="14" t="str">
        <f ca="1">IF(DO$1="","",'Total Value'!DO26/'Total Value'!$D26-1)</f>
        <v/>
      </c>
      <c r="DP14" s="14" t="str">
        <f ca="1">IF(DP$1="","",'Total Value'!DP26/'Total Value'!$D26-1)</f>
        <v/>
      </c>
      <c r="DQ14" s="14" t="str">
        <f ca="1">IF(DQ$1="","",'Total Value'!DQ26/'Total Value'!$D26-1)</f>
        <v/>
      </c>
      <c r="DR14" s="14" t="str">
        <f ca="1">IF(DR$1="","",'Total Value'!DR26/'Total Value'!$D26-1)</f>
        <v/>
      </c>
      <c r="DS14" s="14" t="str">
        <f ca="1">IF(DS$1="","",'Total Value'!DS26/'Total Value'!$D26-1)</f>
        <v/>
      </c>
      <c r="DT14" s="14" t="str">
        <f ca="1">IF(DT$1="","",'Total Value'!DT26/'Total Value'!$D26-1)</f>
        <v/>
      </c>
      <c r="DU14" s="14" t="str">
        <f ca="1">IF(DU$1="","",'Total Value'!DU26/'Total Value'!$D26-1)</f>
        <v/>
      </c>
      <c r="DV14" s="14" t="str">
        <f ca="1">IF(DV$1="","",'Total Value'!DV26/'Total Value'!$D26-1)</f>
        <v/>
      </c>
      <c r="DW14" s="14" t="str">
        <f ca="1">IF(DW$1="","",'Total Value'!DW26/'Total Value'!$D26-1)</f>
        <v/>
      </c>
      <c r="DX14" s="14" t="str">
        <f ca="1">IF(DX$1="","",'Total Value'!DX26/'Total Value'!$D26-1)</f>
        <v/>
      </c>
      <c r="DY14" s="14" t="str">
        <f ca="1">IF(DY$1="","",'Total Value'!DY26/'Total Value'!$D26-1)</f>
        <v/>
      </c>
      <c r="DZ14" s="14" t="str">
        <f ca="1">IF(DZ$1="","",'Total Value'!DZ26/'Total Value'!$D26-1)</f>
        <v/>
      </c>
      <c r="EA14" s="14" t="str">
        <f ca="1">IF(EA$1="","",'Total Value'!EA26/'Total Value'!$D26-1)</f>
        <v/>
      </c>
      <c r="EB14" s="14" t="str">
        <f ca="1">IF(EB$1="","",'Total Value'!EB26/'Total Value'!$D26-1)</f>
        <v/>
      </c>
      <c r="EC14" s="14" t="str">
        <f ca="1">IF(EC$1="","",'Total Value'!EC26/'Total Value'!$D26-1)</f>
        <v/>
      </c>
      <c r="ED14" s="14" t="str">
        <f ca="1">IF(ED$1="","",'Total Value'!ED26/'Total Value'!$D26-1)</f>
        <v/>
      </c>
      <c r="EE14" s="14" t="str">
        <f ca="1">IF(EE$1="","",'Total Value'!EE26/'Total Value'!$D26-1)</f>
        <v/>
      </c>
      <c r="EF14" s="14" t="str">
        <f ca="1">IF(EF$1="","",'Total Value'!EF26/'Total Value'!$D26-1)</f>
        <v/>
      </c>
      <c r="EG14" s="14" t="str">
        <f ca="1">IF(EG$1="","",'Total Value'!EG26/'Total Value'!$D26-1)</f>
        <v/>
      </c>
      <c r="EH14" s="14" t="str">
        <f ca="1">IF(EH$1="","",'Total Value'!EH26/'Total Value'!$D26-1)</f>
        <v/>
      </c>
      <c r="EI14" s="14" t="str">
        <f ca="1">IF(EI$1="","",'Total Value'!EI26/'Total Value'!$D26-1)</f>
        <v/>
      </c>
      <c r="EJ14" s="14" t="str">
        <f ca="1">IF(EJ$1="","",'Total Value'!EJ26/'Total Value'!$D26-1)</f>
        <v/>
      </c>
      <c r="EK14" s="14" t="str">
        <f ca="1">IF(EK$1="","",'Total Value'!EK26/'Total Value'!$D26-1)</f>
        <v/>
      </c>
      <c r="EL14" s="14" t="str">
        <f ca="1">IF(EL$1="","",'Total Value'!EL26/'Total Value'!$D26-1)</f>
        <v/>
      </c>
      <c r="EM14" s="14" t="str">
        <f ca="1">IF(EM$1="","",'Total Value'!EM26/'Total Value'!$D26-1)</f>
        <v/>
      </c>
      <c r="EN14" s="14" t="str">
        <f ca="1">IF(EN$1="","",'Total Value'!EN26/'Total Value'!$D26-1)</f>
        <v/>
      </c>
      <c r="EO14" s="14" t="str">
        <f ca="1">IF(EO$1="","",'Total Value'!EO26/'Total Value'!$D26-1)</f>
        <v/>
      </c>
      <c r="EP14" s="14" t="str">
        <f ca="1">IF(EP$1="","",'Total Value'!EP26/'Total Value'!$D26-1)</f>
        <v/>
      </c>
      <c r="EQ14" s="14" t="str">
        <f ca="1">IF(EQ$1="","",'Total Value'!EQ26/'Total Value'!$D26-1)</f>
        <v/>
      </c>
      <c r="ER14" s="14" t="str">
        <f ca="1">IF(ER$1="","",'Total Value'!ER26/'Total Value'!$D26-1)</f>
        <v/>
      </c>
      <c r="ES14" s="14" t="str">
        <f ca="1">IF(ES$1="","",'Total Value'!ES26/'Total Value'!$D26-1)</f>
        <v/>
      </c>
      <c r="ET14" s="14" t="str">
        <f ca="1">IF(ET$1="","",'Total Value'!ET26/'Total Value'!$D26-1)</f>
        <v/>
      </c>
      <c r="EU14" s="14" t="str">
        <f ca="1">IF(EU$1="","",'Total Value'!EU26/'Total Value'!$D26-1)</f>
        <v/>
      </c>
      <c r="EV14" s="14" t="str">
        <f ca="1">IF(EV$1="","",'Total Value'!EV26/'Total Value'!$D26-1)</f>
        <v/>
      </c>
      <c r="EW14" s="14" t="str">
        <f ca="1">IF(EW$1="","",'Total Value'!EW26/'Total Value'!$D26-1)</f>
        <v/>
      </c>
      <c r="EX14" s="14" t="str">
        <f ca="1">IF(EX$1="","",'Total Value'!EX26/'Total Value'!$D26-1)</f>
        <v/>
      </c>
      <c r="EY14" s="14" t="str">
        <f ca="1">IF(EY$1="","",'Total Value'!EY26/'Total Value'!$D26-1)</f>
        <v/>
      </c>
      <c r="EZ14" s="14" t="str">
        <f ca="1">IF(EZ$1="","",'Total Value'!EZ26/'Total Value'!$D26-1)</f>
        <v/>
      </c>
      <c r="FA14" s="14" t="str">
        <f ca="1">IF(FA$1="","",'Total Value'!FA26/'Total Value'!$D26-1)</f>
        <v/>
      </c>
      <c r="FB14" s="14" t="str">
        <f ca="1">IF(FB$1="","",'Total Value'!FB26/'Total Value'!$D26-1)</f>
        <v/>
      </c>
      <c r="FC14" s="14" t="str">
        <f ca="1">IF(FC$1="","",'Total Value'!FC26/'Total Value'!$D26-1)</f>
        <v/>
      </c>
      <c r="FD14" s="14" t="str">
        <f ca="1">IF(FD$1="","",'Total Value'!FD26/'Total Value'!$D26-1)</f>
        <v/>
      </c>
      <c r="FE14" s="14" t="str">
        <f ca="1">IF(FE$1="","",'Total Value'!FE26/'Total Value'!$D26-1)</f>
        <v/>
      </c>
      <c r="FF14" s="14" t="str">
        <f ca="1">IF(FF$1="","",'Total Value'!FF26/'Total Value'!$D26-1)</f>
        <v/>
      </c>
      <c r="FG14" s="14" t="str">
        <f ca="1">IF(FG$1="","",'Total Value'!FG26/'Total Value'!$D26-1)</f>
        <v/>
      </c>
      <c r="FH14" s="14" t="str">
        <f ca="1">IF(FH$1="","",'Total Value'!FH26/'Total Value'!$D26-1)</f>
        <v/>
      </c>
      <c r="FI14" s="14" t="str">
        <f ca="1">IF(FI$1="","",'Total Value'!FI26/'Total Value'!$D26-1)</f>
        <v/>
      </c>
      <c r="FJ14" s="14" t="str">
        <f ca="1">IF(FJ$1="","",'Total Value'!FJ26/'Total Value'!$D26-1)</f>
        <v/>
      </c>
      <c r="FK14" s="14" t="str">
        <f ca="1">IF(FK$1="","",'Total Value'!FK26/'Total Value'!$D26-1)</f>
        <v/>
      </c>
      <c r="FL14" s="14" t="str">
        <f ca="1">IF(FL$1="","",'Total Value'!FL26/'Total Value'!$D26-1)</f>
        <v/>
      </c>
      <c r="FM14" s="14" t="str">
        <f ca="1">IF(FM$1="","",'Total Value'!FM26/'Total Value'!$D26-1)</f>
        <v/>
      </c>
      <c r="FN14" s="14" t="str">
        <f ca="1">IF(FN$1="","",'Total Value'!FN26/'Total Value'!$D26-1)</f>
        <v/>
      </c>
      <c r="FO14" s="14" t="str">
        <f ca="1">IF(FO$1="","",'Total Value'!FO26/'Total Value'!$D26-1)</f>
        <v/>
      </c>
      <c r="FP14" s="14" t="str">
        <f ca="1">IF(FP$1="","",'Total Value'!FP26/'Total Value'!$D26-1)</f>
        <v/>
      </c>
      <c r="FQ14" s="14" t="str">
        <f ca="1">IF(FQ$1="","",'Total Value'!FQ26/'Total Value'!$D26-1)</f>
        <v/>
      </c>
      <c r="FR14" s="14" t="str">
        <f ca="1">IF(FR$1="","",'Total Value'!FR26/'Total Value'!$D26-1)</f>
        <v/>
      </c>
      <c r="FS14" s="14" t="str">
        <f ca="1">IF(FS$1="","",'Total Value'!FS26/'Total Value'!$D26-1)</f>
        <v/>
      </c>
      <c r="FT14" s="14" t="str">
        <f ca="1">IF(FT$1="","",'Total Value'!FT26/'Total Value'!$D26-1)</f>
        <v/>
      </c>
      <c r="FU14" s="14" t="str">
        <f ca="1">IF(FU$1="","",'Total Value'!FU26/'Total Value'!$D26-1)</f>
        <v/>
      </c>
      <c r="FV14" s="14" t="str">
        <f ca="1">IF(FV$1="","",'Total Value'!FV26/'Total Value'!$D26-1)</f>
        <v/>
      </c>
      <c r="FW14" s="14" t="str">
        <f ca="1">IF(FW$1="","",'Total Value'!FW26/'Total Value'!$D26-1)</f>
        <v/>
      </c>
      <c r="FX14" s="14" t="str">
        <f ca="1">IF(FX$1="","",'Total Value'!FX26/'Total Value'!$D26-1)</f>
        <v/>
      </c>
      <c r="FY14" s="14" t="str">
        <f ca="1">IF(FY$1="","",'Total Value'!FY26/'Total Value'!$D26-1)</f>
        <v/>
      </c>
      <c r="FZ14" s="14" t="str">
        <f ca="1">IF(FZ$1="","",'Total Value'!FZ26/'Total Value'!$D26-1)</f>
        <v/>
      </c>
      <c r="GA14" s="14" t="str">
        <f ca="1">IF(GA$1="","",'Total Value'!GA26/'Total Value'!$D26-1)</f>
        <v/>
      </c>
      <c r="GB14" s="14" t="str">
        <f ca="1">IF(GB$1="","",'Total Value'!GB26/'Total Value'!$D26-1)</f>
        <v/>
      </c>
      <c r="GC14" s="14" t="str">
        <f ca="1">IF(GC$1="","",'Total Value'!GC26/'Total Value'!$D26-1)</f>
        <v/>
      </c>
      <c r="GD14" s="14" t="str">
        <f ca="1">IF(GD$1="","",'Total Value'!GD26/'Total Value'!$D26-1)</f>
        <v/>
      </c>
      <c r="GE14" s="14" t="str">
        <f ca="1">IF(GE$1="","",'Total Value'!GE26/'Total Value'!$D26-1)</f>
        <v/>
      </c>
      <c r="GF14" s="14" t="str">
        <f ca="1">IF(GF$1="","",'Total Value'!GF26/'Total Value'!$D26-1)</f>
        <v/>
      </c>
      <c r="GG14" s="14" t="str">
        <f ca="1">IF(GG$1="","",'Total Value'!GG26/'Total Value'!$D26-1)</f>
        <v/>
      </c>
      <c r="GH14" s="14" t="str">
        <f ca="1">IF(GH$1="","",'Total Value'!GH26/'Total Value'!$D26-1)</f>
        <v/>
      </c>
      <c r="GI14" s="14" t="str">
        <f ca="1">IF(GI$1="","",'Total Value'!GI26/'Total Value'!$D26-1)</f>
        <v/>
      </c>
      <c r="GJ14" s="14" t="str">
        <f ca="1">IF(GJ$1="","",'Total Value'!GJ26/'Total Value'!$D26-1)</f>
        <v/>
      </c>
      <c r="GK14" s="14" t="str">
        <f ca="1">IF(GK$1="","",'Total Value'!GK26/'Total Value'!$D26-1)</f>
        <v/>
      </c>
      <c r="GL14" s="14" t="str">
        <f ca="1">IF(GL$1="","",'Total Value'!GL26/'Total Value'!$D26-1)</f>
        <v/>
      </c>
      <c r="GM14" s="14" t="str">
        <f ca="1">IF(GM$1="","",'Total Value'!GM26/'Total Value'!$D26-1)</f>
        <v/>
      </c>
      <c r="GN14" s="14" t="str">
        <f ca="1">IF(GN$1="","",'Total Value'!GN26/'Total Value'!$D26-1)</f>
        <v/>
      </c>
      <c r="GO14" s="14" t="str">
        <f ca="1">IF(GO$1="","",'Total Value'!GO26/'Total Value'!$D26-1)</f>
        <v/>
      </c>
      <c r="GP14" s="14" t="str">
        <f ca="1">IF(GP$1="","",'Total Value'!GP26/'Total Value'!$D26-1)</f>
        <v/>
      </c>
      <c r="GQ14" s="14" t="str">
        <f ca="1">IF(GQ$1="","",'Total Value'!GQ26/'Total Value'!$D26-1)</f>
        <v/>
      </c>
      <c r="GR14" s="14" t="str">
        <f ca="1">IF(GR$1="","",'Total Value'!GR26/'Total Value'!$D26-1)</f>
        <v/>
      </c>
      <c r="GS14" s="14" t="str">
        <f ca="1">IF(GS$1="","",'Total Value'!GS26/'Total Value'!$D26-1)</f>
        <v/>
      </c>
      <c r="GT14" s="14" t="str">
        <f ca="1">IF(GT$1="","",'Total Value'!GT26/'Total Value'!$D26-1)</f>
        <v/>
      </c>
      <c r="GU14" s="14" t="str">
        <f ca="1">IF(GU$1="","",'Total Value'!GU26/'Total Value'!$D26-1)</f>
        <v/>
      </c>
      <c r="GV14" s="14" t="str">
        <f ca="1">IF(GV$1="","",'Total Value'!GV26/'Total Value'!$D26-1)</f>
        <v/>
      </c>
      <c r="GW14" s="14" t="str">
        <f ca="1">IF(GW$1="","",'Total Value'!GW26/'Total Value'!$D26-1)</f>
        <v/>
      </c>
      <c r="GX14" s="14" t="str">
        <f ca="1">IF(GX$1="","",'Total Value'!GX26/'Total Value'!$D26-1)</f>
        <v/>
      </c>
      <c r="GY14" s="14" t="str">
        <f ca="1">IF(GY$1="","",'Total Value'!GY26/'Total Value'!$D26-1)</f>
        <v/>
      </c>
      <c r="GZ14" s="14" t="str">
        <f ca="1">IF(GZ$1="","",'Total Value'!GZ26/'Total Value'!$D26-1)</f>
        <v/>
      </c>
      <c r="HA14" s="14" t="str">
        <f ca="1">IF(HA$1="","",'Total Value'!HA26/'Total Value'!$D26-1)</f>
        <v/>
      </c>
      <c r="HB14" s="14" t="str">
        <f ca="1">IF(HB$1="","",'Total Value'!HB26/'Total Value'!$D26-1)</f>
        <v/>
      </c>
      <c r="HC14" s="14" t="str">
        <f ca="1">IF(HC$1="","",'Total Value'!HC26/'Total Value'!$D26-1)</f>
        <v/>
      </c>
      <c r="HD14" s="14" t="str">
        <f ca="1">IF(HD$1="","",'Total Value'!HD26/'Total Value'!$D26-1)</f>
        <v/>
      </c>
      <c r="HE14" s="14" t="str">
        <f ca="1">IF(HE$1="","",'Total Value'!HE26/'Total Value'!$D26-1)</f>
        <v/>
      </c>
      <c r="HF14" s="14" t="str">
        <f ca="1">IF(HF$1="","",'Total Value'!HF26/'Total Value'!$D26-1)</f>
        <v/>
      </c>
      <c r="HG14" s="14" t="str">
        <f ca="1">IF(HG$1="","",'Total Value'!HG26/'Total Value'!$D26-1)</f>
        <v/>
      </c>
      <c r="HH14" s="14" t="str">
        <f ca="1">IF(HH$1="","",'Total Value'!HH26/'Total Value'!$D26-1)</f>
        <v/>
      </c>
      <c r="HI14" s="14" t="str">
        <f ca="1">IF(HI$1="","",'Total Value'!HI26/'Total Value'!$D26-1)</f>
        <v/>
      </c>
      <c r="HJ14" s="14" t="str">
        <f ca="1">IF(HJ$1="","",'Total Value'!HJ26/'Total Value'!$D26-1)</f>
        <v/>
      </c>
      <c r="HK14" s="14" t="str">
        <f ca="1">IF(HK$1="","",'Total Value'!HK26/'Total Value'!$D26-1)</f>
        <v/>
      </c>
      <c r="HL14" s="14" t="str">
        <f ca="1">IF(HL$1="","",'Total Value'!HL26/'Total Value'!$D26-1)</f>
        <v/>
      </c>
      <c r="HM14" s="14" t="str">
        <f ca="1">IF(HM$1="","",'Total Value'!HM26/'Total Value'!$D26-1)</f>
        <v/>
      </c>
      <c r="HN14" s="14" t="str">
        <f ca="1">IF(HN$1="","",'Total Value'!HN26/'Total Value'!$D26-1)</f>
        <v/>
      </c>
      <c r="HO14" s="14" t="str">
        <f ca="1">IF(HO$1="","",'Total Value'!HO26/'Total Value'!$D26-1)</f>
        <v/>
      </c>
      <c r="HP14" s="14" t="str">
        <f ca="1">IF(HP$1="","",'Total Value'!HP26/'Total Value'!$D26-1)</f>
        <v/>
      </c>
      <c r="HQ14" s="14" t="str">
        <f ca="1">IF(HQ$1="","",'Total Value'!HQ26/'Total Value'!$D26-1)</f>
        <v/>
      </c>
      <c r="HR14" s="14" t="str">
        <f ca="1">IF(HR$1="","",'Total Value'!HR26/'Total Value'!$D26-1)</f>
        <v/>
      </c>
      <c r="HS14" s="14" t="str">
        <f ca="1">IF(HS$1="","",'Total Value'!HS26/'Total Value'!$D26-1)</f>
        <v/>
      </c>
      <c r="HT14" s="14" t="str">
        <f ca="1">IF(HT$1="","",'Total Value'!HT26/'Total Value'!$D26-1)</f>
        <v/>
      </c>
      <c r="HU14" s="14" t="str">
        <f ca="1">IF(HU$1="","",'Total Value'!HU26/'Total Value'!$D26-1)</f>
        <v/>
      </c>
      <c r="HV14" s="14" t="str">
        <f ca="1">IF(HV$1="","",'Total Value'!HV26/'Total Value'!$D26-1)</f>
        <v/>
      </c>
      <c r="HW14" s="14" t="str">
        <f ca="1">IF(HW$1="","",'Total Value'!HW26/'Total Value'!$D26-1)</f>
        <v/>
      </c>
      <c r="HX14" s="14" t="str">
        <f ca="1">IF(HX$1="","",'Total Value'!HX26/'Total Value'!$D26-1)</f>
        <v/>
      </c>
      <c r="HY14" s="14" t="str">
        <f ca="1">IF(HY$1="","",'Total Value'!HY26/'Total Value'!$D26-1)</f>
        <v/>
      </c>
      <c r="HZ14" s="14" t="str">
        <f ca="1">IF(HZ$1="","",'Total Value'!HZ26/'Total Value'!$D26-1)</f>
        <v/>
      </c>
      <c r="IA14" s="14" t="str">
        <f ca="1">IF(IA$1="","",'Total Value'!IA26/'Total Value'!$D26-1)</f>
        <v/>
      </c>
      <c r="IB14" s="14" t="str">
        <f ca="1">IF(IB$1="","",'Total Value'!IB26/'Total Value'!$D26-1)</f>
        <v/>
      </c>
      <c r="IC14" s="14" t="str">
        <f ca="1">IF(IC$1="","",'Total Value'!IC26/'Total Value'!$D26-1)</f>
        <v/>
      </c>
      <c r="ID14" s="14" t="str">
        <f ca="1">IF(ID$1="","",'Total Value'!ID26/'Total Value'!$D26-1)</f>
        <v/>
      </c>
      <c r="IE14" s="14" t="str">
        <f ca="1">IF(IE$1="","",'Total Value'!IE26/'Total Value'!$D26-1)</f>
        <v/>
      </c>
      <c r="IF14" s="14" t="str">
        <f ca="1">IF(IF$1="","",'Total Value'!IF26/'Total Value'!$D26-1)</f>
        <v/>
      </c>
      <c r="IG14" s="14" t="str">
        <f ca="1">IF(IG$1="","",'Total Value'!IG26/'Total Value'!$D26-1)</f>
        <v/>
      </c>
      <c r="IH14" s="14" t="str">
        <f ca="1">IF(IH$1="","",'Total Value'!IH26/'Total Value'!$D26-1)</f>
        <v/>
      </c>
      <c r="II14" s="14" t="str">
        <f ca="1">IF(II$1="","",'Total Value'!II26/'Total Value'!$D26-1)</f>
        <v/>
      </c>
      <c r="IJ14" s="14" t="str">
        <f ca="1">IF(IJ$1="","",'Total Value'!IJ26/'Total Value'!$D26-1)</f>
        <v/>
      </c>
      <c r="IK14" s="14" t="str">
        <f ca="1">IF(IK$1="","",'Total Value'!IK26/'Total Value'!$D26-1)</f>
        <v/>
      </c>
      <c r="IL14" s="14" t="str">
        <f ca="1">IF(IL$1="","",'Total Value'!IL26/'Total Value'!$D26-1)</f>
        <v/>
      </c>
      <c r="IM14" s="14" t="str">
        <f ca="1">IF(IM$1="","",'Total Value'!IM26/'Total Value'!$D26-1)</f>
        <v/>
      </c>
      <c r="IN14" s="14" t="str">
        <f ca="1">IF(IN$1="","",'Total Value'!IN26/'Total Value'!$D26-1)</f>
        <v/>
      </c>
      <c r="IO14" s="14" t="str">
        <f ca="1">IF(IO$1="","",'Total Value'!IO26/'Total Value'!$D26-1)</f>
        <v/>
      </c>
      <c r="IP14" s="14" t="str">
        <f ca="1">IF(IP$1="","",'Total Value'!IP26/'Total Value'!$D26-1)</f>
        <v/>
      </c>
      <c r="IQ14" s="14" t="str">
        <f ca="1">IF(IQ$1="","",'Total Value'!IQ26/'Total Value'!$D26-1)</f>
        <v/>
      </c>
      <c r="IR14" s="14" t="str">
        <f ca="1">IF(IR$1="","",'Total Value'!IR26/'Total Value'!$D26-1)</f>
        <v/>
      </c>
      <c r="IS14" s="14" t="str">
        <f ca="1">IF(IS$1="","",'Total Value'!IS26/'Total Value'!$D26-1)</f>
        <v/>
      </c>
      <c r="IT14" s="14" t="str">
        <f ca="1">IF(IT$1="","",'Total Value'!IT26/'Total Value'!$D26-1)</f>
        <v/>
      </c>
      <c r="IU14" s="14" t="str">
        <f ca="1">IF(IU$1="","",'Total Value'!IU26/'Total Value'!$D26-1)</f>
        <v/>
      </c>
      <c r="IV14" s="14" t="str">
        <f ca="1">IF(IV$1="","",'Total Value'!IV26/'Total Value'!$D26-1)</f>
        <v/>
      </c>
      <c r="IW14" s="14" t="str">
        <f ca="1">IF(IW$1="","",'Total Value'!IW26/'Total Value'!$D26-1)</f>
        <v/>
      </c>
      <c r="IX14" s="14" t="str">
        <f ca="1">IF(IX$1="","",'Total Value'!IX26/'Total Value'!$D26-1)</f>
        <v/>
      </c>
      <c r="IY14" s="14" t="str">
        <f ca="1">IF(IY$1="","",'Total Value'!IY26/'Total Value'!$D26-1)</f>
        <v/>
      </c>
      <c r="IZ14" s="14" t="str">
        <f ca="1">IF(IZ$1="","",'Total Value'!IZ26/'Total Value'!$D26-1)</f>
        <v/>
      </c>
      <c r="JA14" s="14" t="str">
        <f ca="1">IF(JA$1="","",'Total Value'!JA26/'Total Value'!$D26-1)</f>
        <v/>
      </c>
      <c r="JB14" s="14" t="str">
        <f ca="1">IF(JB$1="","",'Total Value'!JB26/'Total Value'!$D26-1)</f>
        <v/>
      </c>
      <c r="JC14" s="14" t="str">
        <f ca="1">IF(JC$1="","",'Total Value'!JC26/'Total Value'!$D26-1)</f>
        <v/>
      </c>
      <c r="JD14" s="14" t="str">
        <f ca="1">IF(JD$1="","",'Total Value'!JD26/'Total Value'!$D26-1)</f>
        <v/>
      </c>
      <c r="JE14" s="14" t="str">
        <f ca="1">IF(JE$1="","",'Total Value'!JE26/'Total Value'!$D26-1)</f>
        <v/>
      </c>
      <c r="JF14" s="14" t="str">
        <f ca="1">IF(JF$1="","",'Total Value'!JF26/'Total Value'!$D26-1)</f>
        <v/>
      </c>
      <c r="JG14" s="14" t="str">
        <f ca="1">IF(JG$1="","",'Total Value'!JG26/'Total Value'!$D26-1)</f>
        <v/>
      </c>
      <c r="JH14" s="14" t="str">
        <f ca="1">IF(JH$1="","",'Total Value'!JH26/'Total Value'!$D26-1)</f>
        <v/>
      </c>
      <c r="JI14" s="14" t="str">
        <f ca="1">IF(JI$1="","",'Total Value'!JI26/'Total Value'!$D26-1)</f>
        <v/>
      </c>
      <c r="JJ14" s="14" t="str">
        <f ca="1">IF(JJ$1="","",'Total Value'!JJ26/'Total Value'!$D26-1)</f>
        <v/>
      </c>
      <c r="JK14" s="14" t="str">
        <f ca="1">IF(JK$1="","",'Total Value'!JK26/'Total Value'!$D26-1)</f>
        <v/>
      </c>
      <c r="JL14" s="14" t="str">
        <f ca="1">IF(JL$1="","",'Total Value'!JL26/'Total Value'!$D26-1)</f>
        <v/>
      </c>
      <c r="JM14" s="14" t="str">
        <f ca="1">IF(JM$1="","",'Total Value'!JM26/'Total Value'!$D26-1)</f>
        <v/>
      </c>
      <c r="JN14" s="14" t="str">
        <f ca="1">IF(JN$1="","",'Total Value'!JN26/'Total Value'!$D26-1)</f>
        <v/>
      </c>
      <c r="JO14" s="14" t="str">
        <f ca="1">IF(JO$1="","",'Total Value'!JO26/'Total Value'!$D26-1)</f>
        <v/>
      </c>
      <c r="JP14" s="14" t="str">
        <f ca="1">IF(JP$1="","",'Total Value'!JP26/'Total Value'!$D26-1)</f>
        <v/>
      </c>
      <c r="JQ14" s="14" t="str">
        <f ca="1">IF(JQ$1="","",'Total Value'!JQ26/'Total Value'!$D26-1)</f>
        <v/>
      </c>
      <c r="JR14" s="14" t="str">
        <f ca="1">IF(JR$1="","",'Total Value'!JR26/'Total Value'!$D26-1)</f>
        <v/>
      </c>
      <c r="JS14" s="14" t="str">
        <f ca="1">IF(JS$1="","",'Total Value'!JS26/'Total Value'!$D26-1)</f>
        <v/>
      </c>
      <c r="JT14" s="14" t="str">
        <f ca="1">IF(JT$1="","",'Total Value'!JT26/'Total Value'!$D26-1)</f>
        <v/>
      </c>
      <c r="JU14" s="14" t="str">
        <f ca="1">IF(JU$1="","",'Total Value'!JU26/'Total Value'!$D26-1)</f>
        <v/>
      </c>
      <c r="JV14" s="14" t="str">
        <f ca="1">IF(JV$1="","",'Total Value'!JV26/'Total Value'!$D26-1)</f>
        <v/>
      </c>
      <c r="JW14" s="14" t="str">
        <f ca="1">IF(JW$1="","",'Total Value'!JW26/'Total Value'!$D26-1)</f>
        <v/>
      </c>
      <c r="JX14" s="14" t="str">
        <f ca="1">IF(JX$1="","",'Total Value'!JX26/'Total Value'!$D26-1)</f>
        <v/>
      </c>
      <c r="JY14" s="14" t="str">
        <f ca="1">IF(JY$1="","",'Total Value'!JY26/'Total Value'!$D26-1)</f>
        <v/>
      </c>
      <c r="JZ14" s="14" t="str">
        <f ca="1">IF(JZ$1="","",'Total Value'!JZ26/'Total Value'!$D26-1)</f>
        <v/>
      </c>
      <c r="KA14" s="14" t="str">
        <f ca="1">IF(KA$1="","",'Total Value'!KA26/'Total Value'!$D26-1)</f>
        <v/>
      </c>
      <c r="KB14" s="14" t="str">
        <f ca="1">IF(KB$1="","",'Total Value'!KB26/'Total Value'!$D26-1)</f>
        <v/>
      </c>
    </row>
    <row r="15" spans="1:288" ht="15.75" customHeight="1">
      <c r="A15" s="9" t="s">
        <v>30</v>
      </c>
      <c r="B15" s="6" t="s">
        <v>60</v>
      </c>
      <c r="C15" s="26">
        <v>262</v>
      </c>
      <c r="D15" s="13">
        <v>0</v>
      </c>
      <c r="E15" s="14">
        <f ca="1">IF(E$1="","",'Total Value'!E27/'Total Value'!$D27-1)</f>
        <v>9.1631032376295884E-3</v>
      </c>
      <c r="F15" s="14">
        <f ca="1">IF(F$1="","",'Total Value'!F27/'Total Value'!$D27-1)</f>
        <v>1.5271838729383092E-2</v>
      </c>
      <c r="G15" s="14">
        <f ca="1">IF(G$1="","",'Total Value'!G27/'Total Value'!$D27-1)</f>
        <v>1.8326206475256512E-3</v>
      </c>
      <c r="H15" s="14">
        <f ca="1">IF(H$1="","",'Total Value'!H27/'Total Value'!$D27-1)</f>
        <v>-6.1087354917555015E-4</v>
      </c>
      <c r="I15" s="14">
        <f ca="1">IF(I$1="","",'Total Value'!I27/'Total Value'!$D27-1)</f>
        <v>-1.4660965180207985E-2</v>
      </c>
      <c r="J15" s="14">
        <f ca="1">IF(J$1="","",'Total Value'!J27/'Total Value'!$D27-1)</f>
        <v>-1.9547953573610277E-2</v>
      </c>
      <c r="K15" s="14">
        <f ca="1">IF(K$1="","",'Total Value'!K27/'Total Value'!$D27-1)</f>
        <v>-3.1154551007941511E-2</v>
      </c>
      <c r="L15" s="14">
        <f ca="1">IF(L$1="","",'Total Value'!L27/'Total Value'!$D27-1)</f>
        <v>-5.7422113622480286E-2</v>
      </c>
      <c r="M15" s="14">
        <f ca="1">IF(M$1="","",'Total Value'!M27/'Total Value'!$D27-1)</f>
        <v>-8.6744043982895702E-2</v>
      </c>
      <c r="N15" s="14">
        <f ca="1">IF(N$1="","",'Total Value'!N27/'Total Value'!$D27-1)</f>
        <v>-9.7739767868051497E-2</v>
      </c>
      <c r="O15" s="14">
        <f ca="1">IF(O$1="","",'Total Value'!O27/'Total Value'!$D27-1)</f>
        <v>-8.9798411728772232E-2</v>
      </c>
      <c r="P15" s="14">
        <f ca="1">IF(P$1="","",'Total Value'!P27/'Total Value'!$D27-1)</f>
        <v>-9.2852779474648872E-2</v>
      </c>
      <c r="Q15" s="14">
        <f ca="1">IF(Q$1="","",'Total Value'!Q27/'Total Value'!$D27-1)</f>
        <v>-7.1472205253512722E-2</v>
      </c>
      <c r="R15" s="14">
        <f ca="1">IF(R$1="","",'Total Value'!R27/'Total Value'!$D27-1)</f>
        <v>-5.0702504581551788E-2</v>
      </c>
      <c r="S15" s="14">
        <f ca="1">IF(S$1="","",'Total Value'!S27/'Total Value'!$D27-1)</f>
        <v>-4.2150274893097306E-2</v>
      </c>
      <c r="T15" s="14">
        <f ca="1">IF(T$1="","",'Total Value'!T27/'Total Value'!$D27-1)</f>
        <v>-2.7489309712889543E-2</v>
      </c>
      <c r="U15" s="14">
        <f ca="1">IF(U$1="","",'Total Value'!U27/'Total Value'!$D27-1)</f>
        <v>-4.9480757483201021E-2</v>
      </c>
      <c r="V15" s="14">
        <f ca="1">IF(V$1="","",'Total Value'!V27/'Total Value'!$D27-1)</f>
        <v>-5.0091631032376349E-2</v>
      </c>
      <c r="W15" s="14">
        <f ca="1">IF(W$1="","",'Total Value'!W27/'Total Value'!$D27-1)</f>
        <v>-4.8259010384850476E-2</v>
      </c>
      <c r="X15" s="14">
        <f ca="1">IF(X$1="","",'Total Value'!X27/'Total Value'!$D27-1)</f>
        <v>-4.1539401343921978E-2</v>
      </c>
      <c r="Y15" s="14">
        <f ca="1">IF(Y$1="","",'Total Value'!Y27/'Total Value'!$D27-1)</f>
        <v>-1.4050091631032435E-2</v>
      </c>
      <c r="Z15" s="14">
        <f ca="1">IF(Z$1="","",'Total Value'!Z27/'Total Value'!$D27-1)</f>
        <v>-2.8711056811240199E-2</v>
      </c>
      <c r="AA15" s="14">
        <f ca="1">IF(AA$1="","",'Total Value'!AA27/'Total Value'!$D27-1)</f>
        <v>-5.3756872327428318E-2</v>
      </c>
      <c r="AB15" s="14">
        <f ca="1">IF(AB$1="","",'Total Value'!AB27/'Total Value'!$D27-1)</f>
        <v>-6.3530849114233456E-2</v>
      </c>
      <c r="AC15" s="14">
        <f ca="1">IF(AC$1="","",'Total Value'!AC27/'Total Value'!$D27-1)</f>
        <v>-4.703726328649982E-2</v>
      </c>
      <c r="AD15" s="14">
        <f ca="1">IF(AD$1="","",'Total Value'!AD27/'Total Value'!$D27-1)</f>
        <v>-2.8100183262064871E-2</v>
      </c>
      <c r="AE15" s="14">
        <f ca="1">IF(AE$1="","",'Total Value'!AE27/'Total Value'!$D27-1)</f>
        <v>-6.3530849114233456E-2</v>
      </c>
      <c r="AF15" s="14">
        <f ca="1">IF(AF$1="","",'Total Value'!AF27/'Total Value'!$D27-1)</f>
        <v>-7.0861331704337172E-2</v>
      </c>
      <c r="AG15" s="14">
        <f ca="1">IF(AG$1="","",'Total Value'!AG27/'Total Value'!$D27-1)</f>
        <v>-8.6133170433720263E-2</v>
      </c>
      <c r="AH15" s="14">
        <f ca="1">IF(AH$1="","",'Total Value'!AH27/'Total Value'!$D27-1)</f>
        <v>-9.6518020769700841E-2</v>
      </c>
      <c r="AI15" s="14">
        <f ca="1">IF(AI$1="","",'Total Value'!AI27/'Total Value'!$D27-1)</f>
        <v>-7.6970067196090564E-2</v>
      </c>
      <c r="AJ15" s="14">
        <f ca="1">IF(AJ$1="","",'Total Value'!AJ27/'Total Value'!$D27-1)</f>
        <v>-6.1698228466707583E-2</v>
      </c>
      <c r="AK15" s="14">
        <f ca="1">IF(AK$1="","",'Total Value'!AK27/'Total Value'!$D27-1)</f>
        <v>-5.8032987171655614E-2</v>
      </c>
      <c r="AL15" s="14">
        <f ca="1">IF(AL$1="","",'Total Value'!AL27/'Total Value'!$D27-1)</f>
        <v>-5.8032987171655614E-2</v>
      </c>
      <c r="AM15" s="14">
        <f ca="1">IF(AM$1="","",'Total Value'!AM27/'Total Value'!$D27-1)</f>
        <v>-4.1539401343921978E-2</v>
      </c>
      <c r="AN15" s="14">
        <f ca="1">IF(AN$1="","",'Total Value'!AN27/'Total Value'!$D27-1)</f>
        <v>-5.1313378130727116E-2</v>
      </c>
      <c r="AO15" s="14">
        <f ca="1">IF(AO$1="","",'Total Value'!AO27/'Total Value'!$D27-1)</f>
        <v>-5.6811240073304958E-2</v>
      </c>
      <c r="AP15" s="14">
        <f ca="1">IF(AP$1="","",'Total Value'!AP27/'Total Value'!$D27-1)</f>
        <v>-8.3689676237019062E-2</v>
      </c>
      <c r="AQ15" s="14">
        <f ca="1">IF(AQ$1="","",'Total Value'!AQ27/'Total Value'!$D27-1)</f>
        <v>-8.5522296884544935E-2</v>
      </c>
      <c r="AR15" s="14">
        <f ca="1">IF(AR$1="","",'Total Value'!AR27/'Total Value'!$D27-1)</f>
        <v>-6.597434331093488E-2</v>
      </c>
      <c r="AS15" s="14">
        <f ca="1">IF(AS$1="","",'Total Value'!AS27/'Total Value'!$D27-1)</f>
        <v>-6.7806963958460753E-2</v>
      </c>
      <c r="AT15" s="14">
        <f ca="1">IF(AT$1="","",'Total Value'!AT27/'Total Value'!$D27-1)</f>
        <v>-7.5137446548564468E-2</v>
      </c>
      <c r="AU15" s="14">
        <f ca="1">IF(AU$1="","",'Total Value'!AU27/'Total Value'!$D27-1)</f>
        <v>-8.735491753207103E-2</v>
      </c>
      <c r="AV15" s="14">
        <f ca="1">IF(AV$1="","",'Total Value'!AV27/'Total Value'!$D27-1)</f>
        <v>-7.3915699450213923E-2</v>
      </c>
      <c r="AW15" s="14">
        <f ca="1">IF(AW$1="","",'Total Value'!AW27/'Total Value'!$D27-1)</f>
        <v>-5.925473427000616E-2</v>
      </c>
      <c r="AX15" s="14">
        <f ca="1">IF(AX$1="","",'Total Value'!AX27/'Total Value'!$D27-1)</f>
        <v>-3.4819792302993258E-2</v>
      </c>
      <c r="AY15" s="14">
        <f ca="1">IF(AY$1="","",'Total Value'!AY27/'Total Value'!$D27-1)</f>
        <v>-2.8711056811240199E-2</v>
      </c>
      <c r="AZ15" s="14">
        <f ca="1">IF(AZ$1="","",'Total Value'!AZ27/'Total Value'!$D27-1)</f>
        <v>-3.0543677458766294E-2</v>
      </c>
      <c r="BA15" s="14">
        <f ca="1">IF(BA$1="","",'Total Value'!BA27/'Total Value'!$D27-1)</f>
        <v>-2.3824068417837574E-2</v>
      </c>
      <c r="BB15" s="14">
        <f ca="1">IF(BB$1="","",'Total Value'!BB27/'Total Value'!$D27-1)</f>
        <v>-3.7874160048870009E-2</v>
      </c>
      <c r="BC15" s="14">
        <f ca="1">IF(BC$1="","",'Total Value'!BC27/'Total Value'!$D27-1)</f>
        <v>-3.6041539401344136E-2</v>
      </c>
      <c r="BD15" s="14">
        <f ca="1">IF(BD$1="","",'Total Value'!BD27/'Total Value'!$D27-1)</f>
        <v>-3.9706780696395882E-2</v>
      </c>
      <c r="BE15" s="14">
        <f ca="1">IF(BE$1="","",'Total Value'!BE27/'Total Value'!$D27-1)</f>
        <v>-3.6041539401344136E-2</v>
      </c>
      <c r="BF15" s="14">
        <f ca="1">IF(BF$1="","",'Total Value'!BF27/'Total Value'!$D27-1)</f>
        <v>-3.1154551007941511E-2</v>
      </c>
      <c r="BG15" s="14">
        <f ca="1">IF(BG$1="","",'Total Value'!BG27/'Total Value'!$D27-1)</f>
        <v>-3.6041539401344136E-2</v>
      </c>
      <c r="BH15" s="14">
        <f ca="1">IF(BH$1="","",'Total Value'!BH27/'Total Value'!$D27-1)</f>
        <v>-4.5815516188149275E-2</v>
      </c>
      <c r="BI15" s="14">
        <f ca="1">IF(BI$1="","",'Total Value'!BI27/'Total Value'!$D27-1)</f>
        <v>-3.7874160048870009E-2</v>
      </c>
      <c r="BJ15" s="14">
        <f ca="1">IF(BJ$1="","",'Total Value'!BJ27/'Total Value'!$D27-1)</f>
        <v>-3.6652412950519353E-2</v>
      </c>
      <c r="BK15" s="14">
        <f ca="1">IF(BK$1="","",'Total Value'!BK27/'Total Value'!$D27-1)</f>
        <v>-5.2535125229077773E-2</v>
      </c>
      <c r="BL15" s="14">
        <f ca="1">IF(BL$1="","",'Total Value'!BL27/'Total Value'!$D27-1)</f>
        <v>-6.597434331093488E-2</v>
      </c>
      <c r="BM15" s="14">
        <f ca="1">IF(BM$1="","",'Total Value'!BM27/'Total Value'!$D27-1)</f>
        <v>-5.9865607819181488E-2</v>
      </c>
      <c r="BN15" s="14">
        <f ca="1">IF(BN$1="","",'Total Value'!BN27/'Total Value'!$D27-1)</f>
        <v>-6.2309102015882911E-2</v>
      </c>
      <c r="BO15" s="14">
        <f ca="1">IF(BO$1="","",'Total Value'!BO27/'Total Value'!$D27-1)</f>
        <v>-7.7580940745265892E-2</v>
      </c>
      <c r="BP15" s="14">
        <f ca="1">IF(BP$1="","",'Total Value'!BP27/'Total Value'!$D27-1)</f>
        <v>-7.7580940745265892E-2</v>
      </c>
      <c r="BQ15" s="14">
        <f ca="1">IF(BQ$1="","",'Total Value'!BQ27/'Total Value'!$D27-1)</f>
        <v>-6.9639584605986626E-2</v>
      </c>
      <c r="BR15" s="14">
        <f ca="1">IF(BR$1="","",'Total Value'!BR27/'Total Value'!$D27-1)</f>
        <v>-7.819181429444122E-2</v>
      </c>
      <c r="BS15" s="14">
        <f ca="1">IF(BS$1="","",'Total Value'!BS27/'Total Value'!$D27-1)</f>
        <v>-7.6970067196090564E-2</v>
      </c>
      <c r="BT15" s="14">
        <f ca="1">IF(BT$1="","",'Total Value'!BT27/'Total Value'!$D27-1)</f>
        <v>-6.3530849114233456E-2</v>
      </c>
      <c r="BU15" s="14">
        <f ca="1">IF(BU$1="","",'Total Value'!BU27/'Total Value'!$D27-1)</f>
        <v>-6.7806963958460753E-2</v>
      </c>
      <c r="BV15" s="14">
        <f ca="1">IF(BV$1="","",'Total Value'!BV27/'Total Value'!$D27-1)</f>
        <v>-8.2467929138668405E-2</v>
      </c>
      <c r="BW15" s="14">
        <f ca="1">IF(BW$1="","",'Total Value'!BW27/'Total Value'!$D27-1)</f>
        <v>-9.4685400122174745E-2</v>
      </c>
      <c r="BX15" s="14">
        <f ca="1">IF(BX$1="","",'Total Value'!BX27/'Total Value'!$D27-1)</f>
        <v>-9.2852779474648872E-2</v>
      </c>
      <c r="BY15" s="14">
        <f ca="1">IF(BY$1="","",'Total Value'!BY27/'Total Value'!$D27-1)</f>
        <v>-0.1178985949908371</v>
      </c>
      <c r="BZ15" s="14">
        <f ca="1">IF(BZ$1="","",'Total Value'!BZ27/'Total Value'!$D27-1)</f>
        <v>-0.11362248014660981</v>
      </c>
      <c r="CA15" s="14">
        <f ca="1">IF(CA$1="","",'Total Value'!CA27/'Total Value'!$D27-1)</f>
        <v>-9.2852779474648872E-2</v>
      </c>
      <c r="CB15" s="14">
        <f ca="1">IF(CB$1="","",'Total Value'!CB27/'Total Value'!$D27-1)</f>
        <v>-0.11178985949908393</v>
      </c>
      <c r="CC15" s="14">
        <f ca="1">IF(CC$1="","",'Total Value'!CC27/'Total Value'!$D27-1)</f>
        <v>-0.11301160659743448</v>
      </c>
      <c r="CD15" s="14">
        <f ca="1">IF(CD$1="","",'Total Value'!CD27/'Total Value'!$D27-1)</f>
        <v>-0.10384850335980467</v>
      </c>
      <c r="CE15" s="14">
        <f ca="1">IF(CE$1="","",'Total Value'!CE27/'Total Value'!$D27-1)</f>
        <v>-7.819181429444122E-2</v>
      </c>
      <c r="CF15" s="14" t="str">
        <f ca="1">IF(CF$1="","",'Total Value'!CF27/'Total Value'!$D27-1)</f>
        <v/>
      </c>
      <c r="CG15" s="14" t="str">
        <f ca="1">IF(CG$1="","",'Total Value'!CG27/'Total Value'!$D27-1)</f>
        <v/>
      </c>
      <c r="CH15" s="14" t="str">
        <f ca="1">IF(CH$1="","",'Total Value'!CH27/'Total Value'!$D27-1)</f>
        <v/>
      </c>
      <c r="CI15" s="14" t="str">
        <f ca="1">IF(CI$1="","",'Total Value'!CI27/'Total Value'!$D27-1)</f>
        <v/>
      </c>
      <c r="CJ15" s="14" t="str">
        <f ca="1">IF(CJ$1="","",'Total Value'!CJ27/'Total Value'!$D27-1)</f>
        <v/>
      </c>
      <c r="CK15" s="14" t="str">
        <f ca="1">IF(CK$1="","",'Total Value'!CK27/'Total Value'!$D27-1)</f>
        <v/>
      </c>
      <c r="CL15" s="14" t="str">
        <f ca="1">IF(CL$1="","",'Total Value'!CL27/'Total Value'!$D27-1)</f>
        <v/>
      </c>
      <c r="CM15" s="14" t="str">
        <f ca="1">IF(CM$1="","",'Total Value'!CM27/'Total Value'!$D27-1)</f>
        <v/>
      </c>
      <c r="CN15" s="14" t="str">
        <f ca="1">IF(CN$1="","",'Total Value'!CN27/'Total Value'!$D27-1)</f>
        <v/>
      </c>
      <c r="CO15" s="14" t="str">
        <f ca="1">IF(CO$1="","",'Total Value'!CO27/'Total Value'!$D27-1)</f>
        <v/>
      </c>
      <c r="CP15" s="14" t="str">
        <f ca="1">IF(CP$1="","",'Total Value'!CP27/'Total Value'!$D27-1)</f>
        <v/>
      </c>
      <c r="CQ15" s="14" t="str">
        <f ca="1">IF(CQ$1="","",'Total Value'!CQ27/'Total Value'!$D27-1)</f>
        <v/>
      </c>
      <c r="CR15" s="14" t="str">
        <f ca="1">IF(CR$1="","",'Total Value'!CR27/'Total Value'!$D27-1)</f>
        <v/>
      </c>
      <c r="CS15" s="14" t="str">
        <f ca="1">IF(CS$1="","",'Total Value'!CS27/'Total Value'!$D27-1)</f>
        <v/>
      </c>
      <c r="CT15" s="14" t="str">
        <f ca="1">IF(CT$1="","",'Total Value'!CT27/'Total Value'!$D27-1)</f>
        <v/>
      </c>
      <c r="CU15" s="14" t="str">
        <f ca="1">IF(CU$1="","",'Total Value'!CU27/'Total Value'!$D27-1)</f>
        <v/>
      </c>
      <c r="CV15" s="14" t="str">
        <f ca="1">IF(CV$1="","",'Total Value'!CV27/'Total Value'!$D27-1)</f>
        <v/>
      </c>
      <c r="CW15" s="14" t="str">
        <f ca="1">IF(CW$1="","",'Total Value'!CW27/'Total Value'!$D27-1)</f>
        <v/>
      </c>
      <c r="CX15" s="14" t="str">
        <f ca="1">IF(CX$1="","",'Total Value'!CX27/'Total Value'!$D27-1)</f>
        <v/>
      </c>
      <c r="CY15" s="14" t="str">
        <f ca="1">IF(CY$1="","",'Total Value'!CY27/'Total Value'!$D27-1)</f>
        <v/>
      </c>
      <c r="CZ15" s="14" t="str">
        <f ca="1">IF(CZ$1="","",'Total Value'!CZ27/'Total Value'!$D27-1)</f>
        <v/>
      </c>
      <c r="DA15" s="14" t="str">
        <f ca="1">IF(DA$1="","",'Total Value'!DA27/'Total Value'!$D27-1)</f>
        <v/>
      </c>
      <c r="DB15" s="14" t="str">
        <f ca="1">IF(DB$1="","",'Total Value'!DB27/'Total Value'!$D27-1)</f>
        <v/>
      </c>
      <c r="DC15" s="14" t="str">
        <f ca="1">IF(DC$1="","",'Total Value'!DC27/'Total Value'!$D27-1)</f>
        <v/>
      </c>
      <c r="DD15" s="14" t="str">
        <f ca="1">IF(DD$1="","",'Total Value'!DD27/'Total Value'!$D27-1)</f>
        <v/>
      </c>
      <c r="DE15" s="14" t="str">
        <f ca="1">IF(DE$1="","",'Total Value'!DE27/'Total Value'!$D27-1)</f>
        <v/>
      </c>
      <c r="DF15" s="14" t="str">
        <f ca="1">IF(DF$1="","",'Total Value'!DF27/'Total Value'!$D27-1)</f>
        <v/>
      </c>
      <c r="DG15" s="14" t="str">
        <f ca="1">IF(DG$1="","",'Total Value'!DG27/'Total Value'!$D27-1)</f>
        <v/>
      </c>
      <c r="DH15" s="14" t="str">
        <f ca="1">IF(DH$1="","",'Total Value'!DH27/'Total Value'!$D27-1)</f>
        <v/>
      </c>
      <c r="DI15" s="14" t="str">
        <f ca="1">IF(DI$1="","",'Total Value'!DI27/'Total Value'!$D27-1)</f>
        <v/>
      </c>
      <c r="DJ15" s="14" t="str">
        <f ca="1">IF(DJ$1="","",'Total Value'!DJ27/'Total Value'!$D27-1)</f>
        <v/>
      </c>
      <c r="DK15" s="14" t="str">
        <f ca="1">IF(DK$1="","",'Total Value'!DK27/'Total Value'!$D27-1)</f>
        <v/>
      </c>
      <c r="DL15" s="14" t="str">
        <f ca="1">IF(DL$1="","",'Total Value'!DL27/'Total Value'!$D27-1)</f>
        <v/>
      </c>
      <c r="DM15" s="14" t="str">
        <f ca="1">IF(DM$1="","",'Total Value'!DM27/'Total Value'!$D27-1)</f>
        <v/>
      </c>
      <c r="DN15" s="14" t="str">
        <f ca="1">IF(DN$1="","",'Total Value'!DN27/'Total Value'!$D27-1)</f>
        <v/>
      </c>
      <c r="DO15" s="14" t="str">
        <f ca="1">IF(DO$1="","",'Total Value'!DO27/'Total Value'!$D27-1)</f>
        <v/>
      </c>
      <c r="DP15" s="14" t="str">
        <f ca="1">IF(DP$1="","",'Total Value'!DP27/'Total Value'!$D27-1)</f>
        <v/>
      </c>
      <c r="DQ15" s="14" t="str">
        <f ca="1">IF(DQ$1="","",'Total Value'!DQ27/'Total Value'!$D27-1)</f>
        <v/>
      </c>
      <c r="DR15" s="14" t="str">
        <f ca="1">IF(DR$1="","",'Total Value'!DR27/'Total Value'!$D27-1)</f>
        <v/>
      </c>
      <c r="DS15" s="14" t="str">
        <f ca="1">IF(DS$1="","",'Total Value'!DS27/'Total Value'!$D27-1)</f>
        <v/>
      </c>
      <c r="DT15" s="14" t="str">
        <f ca="1">IF(DT$1="","",'Total Value'!DT27/'Total Value'!$D27-1)</f>
        <v/>
      </c>
      <c r="DU15" s="14" t="str">
        <f ca="1">IF(DU$1="","",'Total Value'!DU27/'Total Value'!$D27-1)</f>
        <v/>
      </c>
      <c r="DV15" s="14" t="str">
        <f ca="1">IF(DV$1="","",'Total Value'!DV27/'Total Value'!$D27-1)</f>
        <v/>
      </c>
      <c r="DW15" s="14" t="str">
        <f ca="1">IF(DW$1="","",'Total Value'!DW27/'Total Value'!$D27-1)</f>
        <v/>
      </c>
      <c r="DX15" s="14" t="str">
        <f ca="1">IF(DX$1="","",'Total Value'!DX27/'Total Value'!$D27-1)</f>
        <v/>
      </c>
      <c r="DY15" s="14" t="str">
        <f ca="1">IF(DY$1="","",'Total Value'!DY27/'Total Value'!$D27-1)</f>
        <v/>
      </c>
      <c r="DZ15" s="14" t="str">
        <f ca="1">IF(DZ$1="","",'Total Value'!DZ27/'Total Value'!$D27-1)</f>
        <v/>
      </c>
      <c r="EA15" s="14" t="str">
        <f ca="1">IF(EA$1="","",'Total Value'!EA27/'Total Value'!$D27-1)</f>
        <v/>
      </c>
      <c r="EB15" s="14" t="str">
        <f ca="1">IF(EB$1="","",'Total Value'!EB27/'Total Value'!$D27-1)</f>
        <v/>
      </c>
      <c r="EC15" s="14" t="str">
        <f ca="1">IF(EC$1="","",'Total Value'!EC27/'Total Value'!$D27-1)</f>
        <v/>
      </c>
      <c r="ED15" s="14" t="str">
        <f ca="1">IF(ED$1="","",'Total Value'!ED27/'Total Value'!$D27-1)</f>
        <v/>
      </c>
      <c r="EE15" s="14" t="str">
        <f ca="1">IF(EE$1="","",'Total Value'!EE27/'Total Value'!$D27-1)</f>
        <v/>
      </c>
      <c r="EF15" s="14" t="str">
        <f ca="1">IF(EF$1="","",'Total Value'!EF27/'Total Value'!$D27-1)</f>
        <v/>
      </c>
      <c r="EG15" s="14" t="str">
        <f ca="1">IF(EG$1="","",'Total Value'!EG27/'Total Value'!$D27-1)</f>
        <v/>
      </c>
      <c r="EH15" s="14" t="str">
        <f ca="1">IF(EH$1="","",'Total Value'!EH27/'Total Value'!$D27-1)</f>
        <v/>
      </c>
      <c r="EI15" s="14" t="str">
        <f ca="1">IF(EI$1="","",'Total Value'!EI27/'Total Value'!$D27-1)</f>
        <v/>
      </c>
      <c r="EJ15" s="14" t="str">
        <f ca="1">IF(EJ$1="","",'Total Value'!EJ27/'Total Value'!$D27-1)</f>
        <v/>
      </c>
      <c r="EK15" s="14" t="str">
        <f ca="1">IF(EK$1="","",'Total Value'!EK27/'Total Value'!$D27-1)</f>
        <v/>
      </c>
      <c r="EL15" s="14" t="str">
        <f ca="1">IF(EL$1="","",'Total Value'!EL27/'Total Value'!$D27-1)</f>
        <v/>
      </c>
      <c r="EM15" s="14" t="str">
        <f ca="1">IF(EM$1="","",'Total Value'!EM27/'Total Value'!$D27-1)</f>
        <v/>
      </c>
      <c r="EN15" s="14" t="str">
        <f ca="1">IF(EN$1="","",'Total Value'!EN27/'Total Value'!$D27-1)</f>
        <v/>
      </c>
      <c r="EO15" s="14" t="str">
        <f ca="1">IF(EO$1="","",'Total Value'!EO27/'Total Value'!$D27-1)</f>
        <v/>
      </c>
      <c r="EP15" s="14" t="str">
        <f ca="1">IF(EP$1="","",'Total Value'!EP27/'Total Value'!$D27-1)</f>
        <v/>
      </c>
      <c r="EQ15" s="14" t="str">
        <f ca="1">IF(EQ$1="","",'Total Value'!EQ27/'Total Value'!$D27-1)</f>
        <v/>
      </c>
      <c r="ER15" s="14" t="str">
        <f ca="1">IF(ER$1="","",'Total Value'!ER27/'Total Value'!$D27-1)</f>
        <v/>
      </c>
      <c r="ES15" s="14" t="str">
        <f ca="1">IF(ES$1="","",'Total Value'!ES27/'Total Value'!$D27-1)</f>
        <v/>
      </c>
      <c r="ET15" s="14" t="str">
        <f ca="1">IF(ET$1="","",'Total Value'!ET27/'Total Value'!$D27-1)</f>
        <v/>
      </c>
      <c r="EU15" s="14" t="str">
        <f ca="1">IF(EU$1="","",'Total Value'!EU27/'Total Value'!$D27-1)</f>
        <v/>
      </c>
      <c r="EV15" s="14" t="str">
        <f ca="1">IF(EV$1="","",'Total Value'!EV27/'Total Value'!$D27-1)</f>
        <v/>
      </c>
      <c r="EW15" s="14" t="str">
        <f ca="1">IF(EW$1="","",'Total Value'!EW27/'Total Value'!$D27-1)</f>
        <v/>
      </c>
      <c r="EX15" s="14" t="str">
        <f ca="1">IF(EX$1="","",'Total Value'!EX27/'Total Value'!$D27-1)</f>
        <v/>
      </c>
      <c r="EY15" s="14" t="str">
        <f ca="1">IF(EY$1="","",'Total Value'!EY27/'Total Value'!$D27-1)</f>
        <v/>
      </c>
      <c r="EZ15" s="14" t="str">
        <f ca="1">IF(EZ$1="","",'Total Value'!EZ27/'Total Value'!$D27-1)</f>
        <v/>
      </c>
      <c r="FA15" s="14" t="str">
        <f ca="1">IF(FA$1="","",'Total Value'!FA27/'Total Value'!$D27-1)</f>
        <v/>
      </c>
      <c r="FB15" s="14" t="str">
        <f ca="1">IF(FB$1="","",'Total Value'!FB27/'Total Value'!$D27-1)</f>
        <v/>
      </c>
      <c r="FC15" s="14" t="str">
        <f ca="1">IF(FC$1="","",'Total Value'!FC27/'Total Value'!$D27-1)</f>
        <v/>
      </c>
      <c r="FD15" s="14" t="str">
        <f ca="1">IF(FD$1="","",'Total Value'!FD27/'Total Value'!$D27-1)</f>
        <v/>
      </c>
      <c r="FE15" s="14" t="str">
        <f ca="1">IF(FE$1="","",'Total Value'!FE27/'Total Value'!$D27-1)</f>
        <v/>
      </c>
      <c r="FF15" s="14" t="str">
        <f ca="1">IF(FF$1="","",'Total Value'!FF27/'Total Value'!$D27-1)</f>
        <v/>
      </c>
      <c r="FG15" s="14" t="str">
        <f ca="1">IF(FG$1="","",'Total Value'!FG27/'Total Value'!$D27-1)</f>
        <v/>
      </c>
      <c r="FH15" s="14" t="str">
        <f ca="1">IF(FH$1="","",'Total Value'!FH27/'Total Value'!$D27-1)</f>
        <v/>
      </c>
      <c r="FI15" s="14" t="str">
        <f ca="1">IF(FI$1="","",'Total Value'!FI27/'Total Value'!$D27-1)</f>
        <v/>
      </c>
      <c r="FJ15" s="14" t="str">
        <f ca="1">IF(FJ$1="","",'Total Value'!FJ27/'Total Value'!$D27-1)</f>
        <v/>
      </c>
      <c r="FK15" s="14" t="str">
        <f ca="1">IF(FK$1="","",'Total Value'!FK27/'Total Value'!$D27-1)</f>
        <v/>
      </c>
      <c r="FL15" s="14" t="str">
        <f ca="1">IF(FL$1="","",'Total Value'!FL27/'Total Value'!$D27-1)</f>
        <v/>
      </c>
      <c r="FM15" s="14" t="str">
        <f ca="1">IF(FM$1="","",'Total Value'!FM27/'Total Value'!$D27-1)</f>
        <v/>
      </c>
      <c r="FN15" s="14" t="str">
        <f ca="1">IF(FN$1="","",'Total Value'!FN27/'Total Value'!$D27-1)</f>
        <v/>
      </c>
      <c r="FO15" s="14" t="str">
        <f ca="1">IF(FO$1="","",'Total Value'!FO27/'Total Value'!$D27-1)</f>
        <v/>
      </c>
      <c r="FP15" s="14" t="str">
        <f ca="1">IF(FP$1="","",'Total Value'!FP27/'Total Value'!$D27-1)</f>
        <v/>
      </c>
      <c r="FQ15" s="14" t="str">
        <f ca="1">IF(FQ$1="","",'Total Value'!FQ27/'Total Value'!$D27-1)</f>
        <v/>
      </c>
      <c r="FR15" s="14" t="str">
        <f ca="1">IF(FR$1="","",'Total Value'!FR27/'Total Value'!$D27-1)</f>
        <v/>
      </c>
      <c r="FS15" s="14" t="str">
        <f ca="1">IF(FS$1="","",'Total Value'!FS27/'Total Value'!$D27-1)</f>
        <v/>
      </c>
      <c r="FT15" s="14" t="str">
        <f ca="1">IF(FT$1="","",'Total Value'!FT27/'Total Value'!$D27-1)</f>
        <v/>
      </c>
      <c r="FU15" s="14" t="str">
        <f ca="1">IF(FU$1="","",'Total Value'!FU27/'Total Value'!$D27-1)</f>
        <v/>
      </c>
      <c r="FV15" s="14" t="str">
        <f ca="1">IF(FV$1="","",'Total Value'!FV27/'Total Value'!$D27-1)</f>
        <v/>
      </c>
      <c r="FW15" s="14" t="str">
        <f ca="1">IF(FW$1="","",'Total Value'!FW27/'Total Value'!$D27-1)</f>
        <v/>
      </c>
      <c r="FX15" s="14" t="str">
        <f ca="1">IF(FX$1="","",'Total Value'!FX27/'Total Value'!$D27-1)</f>
        <v/>
      </c>
      <c r="FY15" s="14" t="str">
        <f ca="1">IF(FY$1="","",'Total Value'!FY27/'Total Value'!$D27-1)</f>
        <v/>
      </c>
      <c r="FZ15" s="14" t="str">
        <f ca="1">IF(FZ$1="","",'Total Value'!FZ27/'Total Value'!$D27-1)</f>
        <v/>
      </c>
      <c r="GA15" s="14" t="str">
        <f ca="1">IF(GA$1="","",'Total Value'!GA27/'Total Value'!$D27-1)</f>
        <v/>
      </c>
      <c r="GB15" s="14" t="str">
        <f ca="1">IF(GB$1="","",'Total Value'!GB27/'Total Value'!$D27-1)</f>
        <v/>
      </c>
      <c r="GC15" s="14" t="str">
        <f ca="1">IF(GC$1="","",'Total Value'!GC27/'Total Value'!$D27-1)</f>
        <v/>
      </c>
      <c r="GD15" s="14" t="str">
        <f ca="1">IF(GD$1="","",'Total Value'!GD27/'Total Value'!$D27-1)</f>
        <v/>
      </c>
      <c r="GE15" s="14" t="str">
        <f ca="1">IF(GE$1="","",'Total Value'!GE27/'Total Value'!$D27-1)</f>
        <v/>
      </c>
      <c r="GF15" s="14" t="str">
        <f ca="1">IF(GF$1="","",'Total Value'!GF27/'Total Value'!$D27-1)</f>
        <v/>
      </c>
      <c r="GG15" s="14" t="str">
        <f ca="1">IF(GG$1="","",'Total Value'!GG27/'Total Value'!$D27-1)</f>
        <v/>
      </c>
      <c r="GH15" s="14" t="str">
        <f ca="1">IF(GH$1="","",'Total Value'!GH27/'Total Value'!$D27-1)</f>
        <v/>
      </c>
      <c r="GI15" s="14" t="str">
        <f ca="1">IF(GI$1="","",'Total Value'!GI27/'Total Value'!$D27-1)</f>
        <v/>
      </c>
      <c r="GJ15" s="14" t="str">
        <f ca="1">IF(GJ$1="","",'Total Value'!GJ27/'Total Value'!$D27-1)</f>
        <v/>
      </c>
      <c r="GK15" s="14" t="str">
        <f ca="1">IF(GK$1="","",'Total Value'!GK27/'Total Value'!$D27-1)</f>
        <v/>
      </c>
      <c r="GL15" s="14" t="str">
        <f ca="1">IF(GL$1="","",'Total Value'!GL27/'Total Value'!$D27-1)</f>
        <v/>
      </c>
      <c r="GM15" s="14" t="str">
        <f ca="1">IF(GM$1="","",'Total Value'!GM27/'Total Value'!$D27-1)</f>
        <v/>
      </c>
      <c r="GN15" s="14" t="str">
        <f ca="1">IF(GN$1="","",'Total Value'!GN27/'Total Value'!$D27-1)</f>
        <v/>
      </c>
      <c r="GO15" s="14" t="str">
        <f ca="1">IF(GO$1="","",'Total Value'!GO27/'Total Value'!$D27-1)</f>
        <v/>
      </c>
      <c r="GP15" s="14" t="str">
        <f ca="1">IF(GP$1="","",'Total Value'!GP27/'Total Value'!$D27-1)</f>
        <v/>
      </c>
      <c r="GQ15" s="14" t="str">
        <f ca="1">IF(GQ$1="","",'Total Value'!GQ27/'Total Value'!$D27-1)</f>
        <v/>
      </c>
      <c r="GR15" s="14" t="str">
        <f ca="1">IF(GR$1="","",'Total Value'!GR27/'Total Value'!$D27-1)</f>
        <v/>
      </c>
      <c r="GS15" s="14" t="str">
        <f ca="1">IF(GS$1="","",'Total Value'!GS27/'Total Value'!$D27-1)</f>
        <v/>
      </c>
      <c r="GT15" s="14" t="str">
        <f ca="1">IF(GT$1="","",'Total Value'!GT27/'Total Value'!$D27-1)</f>
        <v/>
      </c>
      <c r="GU15" s="14" t="str">
        <f ca="1">IF(GU$1="","",'Total Value'!GU27/'Total Value'!$D27-1)</f>
        <v/>
      </c>
      <c r="GV15" s="14" t="str">
        <f ca="1">IF(GV$1="","",'Total Value'!GV27/'Total Value'!$D27-1)</f>
        <v/>
      </c>
      <c r="GW15" s="14" t="str">
        <f ca="1">IF(GW$1="","",'Total Value'!GW27/'Total Value'!$D27-1)</f>
        <v/>
      </c>
      <c r="GX15" s="14" t="str">
        <f ca="1">IF(GX$1="","",'Total Value'!GX27/'Total Value'!$D27-1)</f>
        <v/>
      </c>
      <c r="GY15" s="14" t="str">
        <f ca="1">IF(GY$1="","",'Total Value'!GY27/'Total Value'!$D27-1)</f>
        <v/>
      </c>
      <c r="GZ15" s="14" t="str">
        <f ca="1">IF(GZ$1="","",'Total Value'!GZ27/'Total Value'!$D27-1)</f>
        <v/>
      </c>
      <c r="HA15" s="14" t="str">
        <f ca="1">IF(HA$1="","",'Total Value'!HA27/'Total Value'!$D27-1)</f>
        <v/>
      </c>
      <c r="HB15" s="14" t="str">
        <f ca="1">IF(HB$1="","",'Total Value'!HB27/'Total Value'!$D27-1)</f>
        <v/>
      </c>
      <c r="HC15" s="14" t="str">
        <f ca="1">IF(HC$1="","",'Total Value'!HC27/'Total Value'!$D27-1)</f>
        <v/>
      </c>
      <c r="HD15" s="14" t="str">
        <f ca="1">IF(HD$1="","",'Total Value'!HD27/'Total Value'!$D27-1)</f>
        <v/>
      </c>
      <c r="HE15" s="14" t="str">
        <f ca="1">IF(HE$1="","",'Total Value'!HE27/'Total Value'!$D27-1)</f>
        <v/>
      </c>
      <c r="HF15" s="14" t="str">
        <f ca="1">IF(HF$1="","",'Total Value'!HF27/'Total Value'!$D27-1)</f>
        <v/>
      </c>
      <c r="HG15" s="14" t="str">
        <f ca="1">IF(HG$1="","",'Total Value'!HG27/'Total Value'!$D27-1)</f>
        <v/>
      </c>
      <c r="HH15" s="14" t="str">
        <f ca="1">IF(HH$1="","",'Total Value'!HH27/'Total Value'!$D27-1)</f>
        <v/>
      </c>
      <c r="HI15" s="14" t="str">
        <f ca="1">IF(HI$1="","",'Total Value'!HI27/'Total Value'!$D27-1)</f>
        <v/>
      </c>
      <c r="HJ15" s="14" t="str">
        <f ca="1">IF(HJ$1="","",'Total Value'!HJ27/'Total Value'!$D27-1)</f>
        <v/>
      </c>
      <c r="HK15" s="14" t="str">
        <f ca="1">IF(HK$1="","",'Total Value'!HK27/'Total Value'!$D27-1)</f>
        <v/>
      </c>
      <c r="HL15" s="14" t="str">
        <f ca="1">IF(HL$1="","",'Total Value'!HL27/'Total Value'!$D27-1)</f>
        <v/>
      </c>
      <c r="HM15" s="14" t="str">
        <f ca="1">IF(HM$1="","",'Total Value'!HM27/'Total Value'!$D27-1)</f>
        <v/>
      </c>
      <c r="HN15" s="14" t="str">
        <f ca="1">IF(HN$1="","",'Total Value'!HN27/'Total Value'!$D27-1)</f>
        <v/>
      </c>
      <c r="HO15" s="14" t="str">
        <f ca="1">IF(HO$1="","",'Total Value'!HO27/'Total Value'!$D27-1)</f>
        <v/>
      </c>
      <c r="HP15" s="14" t="str">
        <f ca="1">IF(HP$1="","",'Total Value'!HP27/'Total Value'!$D27-1)</f>
        <v/>
      </c>
      <c r="HQ15" s="14" t="str">
        <f ca="1">IF(HQ$1="","",'Total Value'!HQ27/'Total Value'!$D27-1)</f>
        <v/>
      </c>
      <c r="HR15" s="14" t="str">
        <f ca="1">IF(HR$1="","",'Total Value'!HR27/'Total Value'!$D27-1)</f>
        <v/>
      </c>
      <c r="HS15" s="14" t="str">
        <f ca="1">IF(HS$1="","",'Total Value'!HS27/'Total Value'!$D27-1)</f>
        <v/>
      </c>
      <c r="HT15" s="14" t="str">
        <f ca="1">IF(HT$1="","",'Total Value'!HT27/'Total Value'!$D27-1)</f>
        <v/>
      </c>
      <c r="HU15" s="14" t="str">
        <f ca="1">IF(HU$1="","",'Total Value'!HU27/'Total Value'!$D27-1)</f>
        <v/>
      </c>
      <c r="HV15" s="14" t="str">
        <f ca="1">IF(HV$1="","",'Total Value'!HV27/'Total Value'!$D27-1)</f>
        <v/>
      </c>
      <c r="HW15" s="14" t="str">
        <f ca="1">IF(HW$1="","",'Total Value'!HW27/'Total Value'!$D27-1)</f>
        <v/>
      </c>
      <c r="HX15" s="14" t="str">
        <f ca="1">IF(HX$1="","",'Total Value'!HX27/'Total Value'!$D27-1)</f>
        <v/>
      </c>
      <c r="HY15" s="14" t="str">
        <f ca="1">IF(HY$1="","",'Total Value'!HY27/'Total Value'!$D27-1)</f>
        <v/>
      </c>
      <c r="HZ15" s="14" t="str">
        <f ca="1">IF(HZ$1="","",'Total Value'!HZ27/'Total Value'!$D27-1)</f>
        <v/>
      </c>
      <c r="IA15" s="14" t="str">
        <f ca="1">IF(IA$1="","",'Total Value'!IA27/'Total Value'!$D27-1)</f>
        <v/>
      </c>
      <c r="IB15" s="14" t="str">
        <f ca="1">IF(IB$1="","",'Total Value'!IB27/'Total Value'!$D27-1)</f>
        <v/>
      </c>
      <c r="IC15" s="14" t="str">
        <f ca="1">IF(IC$1="","",'Total Value'!IC27/'Total Value'!$D27-1)</f>
        <v/>
      </c>
      <c r="ID15" s="14" t="str">
        <f ca="1">IF(ID$1="","",'Total Value'!ID27/'Total Value'!$D27-1)</f>
        <v/>
      </c>
      <c r="IE15" s="14" t="str">
        <f ca="1">IF(IE$1="","",'Total Value'!IE27/'Total Value'!$D27-1)</f>
        <v/>
      </c>
      <c r="IF15" s="14" t="str">
        <f ca="1">IF(IF$1="","",'Total Value'!IF27/'Total Value'!$D27-1)</f>
        <v/>
      </c>
      <c r="IG15" s="14" t="str">
        <f ca="1">IF(IG$1="","",'Total Value'!IG27/'Total Value'!$D27-1)</f>
        <v/>
      </c>
      <c r="IH15" s="14" t="str">
        <f ca="1">IF(IH$1="","",'Total Value'!IH27/'Total Value'!$D27-1)</f>
        <v/>
      </c>
      <c r="II15" s="14" t="str">
        <f ca="1">IF(II$1="","",'Total Value'!II27/'Total Value'!$D27-1)</f>
        <v/>
      </c>
      <c r="IJ15" s="14" t="str">
        <f ca="1">IF(IJ$1="","",'Total Value'!IJ27/'Total Value'!$D27-1)</f>
        <v/>
      </c>
      <c r="IK15" s="14" t="str">
        <f ca="1">IF(IK$1="","",'Total Value'!IK27/'Total Value'!$D27-1)</f>
        <v/>
      </c>
      <c r="IL15" s="14" t="str">
        <f ca="1">IF(IL$1="","",'Total Value'!IL27/'Total Value'!$D27-1)</f>
        <v/>
      </c>
      <c r="IM15" s="14" t="str">
        <f ca="1">IF(IM$1="","",'Total Value'!IM27/'Total Value'!$D27-1)</f>
        <v/>
      </c>
      <c r="IN15" s="14" t="str">
        <f ca="1">IF(IN$1="","",'Total Value'!IN27/'Total Value'!$D27-1)</f>
        <v/>
      </c>
      <c r="IO15" s="14" t="str">
        <f ca="1">IF(IO$1="","",'Total Value'!IO27/'Total Value'!$D27-1)</f>
        <v/>
      </c>
      <c r="IP15" s="14" t="str">
        <f ca="1">IF(IP$1="","",'Total Value'!IP27/'Total Value'!$D27-1)</f>
        <v/>
      </c>
      <c r="IQ15" s="14" t="str">
        <f ca="1">IF(IQ$1="","",'Total Value'!IQ27/'Total Value'!$D27-1)</f>
        <v/>
      </c>
      <c r="IR15" s="14" t="str">
        <f ca="1">IF(IR$1="","",'Total Value'!IR27/'Total Value'!$D27-1)</f>
        <v/>
      </c>
      <c r="IS15" s="14" t="str">
        <f ca="1">IF(IS$1="","",'Total Value'!IS27/'Total Value'!$D27-1)</f>
        <v/>
      </c>
      <c r="IT15" s="14" t="str">
        <f ca="1">IF(IT$1="","",'Total Value'!IT27/'Total Value'!$D27-1)</f>
        <v/>
      </c>
      <c r="IU15" s="14" t="str">
        <f ca="1">IF(IU$1="","",'Total Value'!IU27/'Total Value'!$D27-1)</f>
        <v/>
      </c>
      <c r="IV15" s="14" t="str">
        <f ca="1">IF(IV$1="","",'Total Value'!IV27/'Total Value'!$D27-1)</f>
        <v/>
      </c>
      <c r="IW15" s="14" t="str">
        <f ca="1">IF(IW$1="","",'Total Value'!IW27/'Total Value'!$D27-1)</f>
        <v/>
      </c>
      <c r="IX15" s="14" t="str">
        <f ca="1">IF(IX$1="","",'Total Value'!IX27/'Total Value'!$D27-1)</f>
        <v/>
      </c>
      <c r="IY15" s="14" t="str">
        <f ca="1">IF(IY$1="","",'Total Value'!IY27/'Total Value'!$D27-1)</f>
        <v/>
      </c>
      <c r="IZ15" s="14" t="str">
        <f ca="1">IF(IZ$1="","",'Total Value'!IZ27/'Total Value'!$D27-1)</f>
        <v/>
      </c>
      <c r="JA15" s="14" t="str">
        <f ca="1">IF(JA$1="","",'Total Value'!JA27/'Total Value'!$D27-1)</f>
        <v/>
      </c>
      <c r="JB15" s="14" t="str">
        <f ca="1">IF(JB$1="","",'Total Value'!JB27/'Total Value'!$D27-1)</f>
        <v/>
      </c>
      <c r="JC15" s="14" t="str">
        <f ca="1">IF(JC$1="","",'Total Value'!JC27/'Total Value'!$D27-1)</f>
        <v/>
      </c>
      <c r="JD15" s="14" t="str">
        <f ca="1">IF(JD$1="","",'Total Value'!JD27/'Total Value'!$D27-1)</f>
        <v/>
      </c>
      <c r="JE15" s="14" t="str">
        <f ca="1">IF(JE$1="","",'Total Value'!JE27/'Total Value'!$D27-1)</f>
        <v/>
      </c>
      <c r="JF15" s="14" t="str">
        <f ca="1">IF(JF$1="","",'Total Value'!JF27/'Total Value'!$D27-1)</f>
        <v/>
      </c>
      <c r="JG15" s="14" t="str">
        <f ca="1">IF(JG$1="","",'Total Value'!JG27/'Total Value'!$D27-1)</f>
        <v/>
      </c>
      <c r="JH15" s="14" t="str">
        <f ca="1">IF(JH$1="","",'Total Value'!JH27/'Total Value'!$D27-1)</f>
        <v/>
      </c>
      <c r="JI15" s="14" t="str">
        <f ca="1">IF(JI$1="","",'Total Value'!JI27/'Total Value'!$D27-1)</f>
        <v/>
      </c>
      <c r="JJ15" s="14" t="str">
        <f ca="1">IF(JJ$1="","",'Total Value'!JJ27/'Total Value'!$D27-1)</f>
        <v/>
      </c>
      <c r="JK15" s="14" t="str">
        <f ca="1">IF(JK$1="","",'Total Value'!JK27/'Total Value'!$D27-1)</f>
        <v/>
      </c>
      <c r="JL15" s="14" t="str">
        <f ca="1">IF(JL$1="","",'Total Value'!JL27/'Total Value'!$D27-1)</f>
        <v/>
      </c>
      <c r="JM15" s="14" t="str">
        <f ca="1">IF(JM$1="","",'Total Value'!JM27/'Total Value'!$D27-1)</f>
        <v/>
      </c>
      <c r="JN15" s="14" t="str">
        <f ca="1">IF(JN$1="","",'Total Value'!JN27/'Total Value'!$D27-1)</f>
        <v/>
      </c>
      <c r="JO15" s="14" t="str">
        <f ca="1">IF(JO$1="","",'Total Value'!JO27/'Total Value'!$D27-1)</f>
        <v/>
      </c>
      <c r="JP15" s="14" t="str">
        <f ca="1">IF(JP$1="","",'Total Value'!JP27/'Total Value'!$D27-1)</f>
        <v/>
      </c>
      <c r="JQ15" s="14" t="str">
        <f ca="1">IF(JQ$1="","",'Total Value'!JQ27/'Total Value'!$D27-1)</f>
        <v/>
      </c>
      <c r="JR15" s="14" t="str">
        <f ca="1">IF(JR$1="","",'Total Value'!JR27/'Total Value'!$D27-1)</f>
        <v/>
      </c>
      <c r="JS15" s="14" t="str">
        <f ca="1">IF(JS$1="","",'Total Value'!JS27/'Total Value'!$D27-1)</f>
        <v/>
      </c>
      <c r="JT15" s="14" t="str">
        <f ca="1">IF(JT$1="","",'Total Value'!JT27/'Total Value'!$D27-1)</f>
        <v/>
      </c>
      <c r="JU15" s="14" t="str">
        <f ca="1">IF(JU$1="","",'Total Value'!JU27/'Total Value'!$D27-1)</f>
        <v/>
      </c>
      <c r="JV15" s="14" t="str">
        <f ca="1">IF(JV$1="","",'Total Value'!JV27/'Total Value'!$D27-1)</f>
        <v/>
      </c>
      <c r="JW15" s="14" t="str">
        <f ca="1">IF(JW$1="","",'Total Value'!JW27/'Total Value'!$D27-1)</f>
        <v/>
      </c>
      <c r="JX15" s="14" t="str">
        <f ca="1">IF(JX$1="","",'Total Value'!JX27/'Total Value'!$D27-1)</f>
        <v/>
      </c>
      <c r="JY15" s="14" t="str">
        <f ca="1">IF(JY$1="","",'Total Value'!JY27/'Total Value'!$D27-1)</f>
        <v/>
      </c>
      <c r="JZ15" s="14" t="str">
        <f ca="1">IF(JZ$1="","",'Total Value'!JZ27/'Total Value'!$D27-1)</f>
        <v/>
      </c>
      <c r="KA15" s="14" t="str">
        <f ca="1">IF(KA$1="","",'Total Value'!KA27/'Total Value'!$D27-1)</f>
        <v/>
      </c>
      <c r="KB15" s="14" t="str">
        <f ca="1">IF(KB$1="","",'Total Value'!KB27/'Total Value'!$D27-1)</f>
        <v/>
      </c>
    </row>
    <row r="16" spans="1:288" ht="15.75" customHeight="1">
      <c r="A16" s="9" t="s">
        <v>30</v>
      </c>
      <c r="B16" s="6" t="s">
        <v>61</v>
      </c>
      <c r="C16" s="26">
        <v>52</v>
      </c>
      <c r="D16" s="13">
        <v>0</v>
      </c>
      <c r="E16" s="14">
        <f ca="1">IF(E$1="","",'Total Value'!E28/'Total Value'!$D28-1)</f>
        <v>1.1226944667201311E-2</v>
      </c>
      <c r="F16" s="14">
        <f ca="1">IF(F$1="","",'Total Value'!F28/'Total Value'!$D28-1)</f>
        <v>2.4401420552182529E-2</v>
      </c>
      <c r="G16" s="14">
        <f ca="1">IF(G$1="","",'Total Value'!G28/'Total Value'!$D28-1)</f>
        <v>2.7838240348264431E-2</v>
      </c>
      <c r="H16" s="14">
        <f ca="1">IF(H$1="","",'Total Value'!H28/'Total Value'!$D28-1)</f>
        <v>3.6659411158208144E-2</v>
      </c>
      <c r="I16" s="14">
        <f ca="1">IF(I$1="","",'Total Value'!I28/'Total Value'!$D28-1)</f>
        <v>3.4941001260167415E-2</v>
      </c>
      <c r="J16" s="14">
        <f ca="1">IF(J$1="","",'Total Value'!J28/'Total Value'!$D28-1)</f>
        <v>-4.5824263947757959E-4</v>
      </c>
      <c r="K16" s="14">
        <f ca="1">IF(K$1="","",'Total Value'!K28/'Total Value'!$D28-1)</f>
        <v>-2.3141253293618935E-2</v>
      </c>
      <c r="L16" s="14">
        <f ca="1">IF(L$1="","",'Total Value'!L28/'Total Value'!$D28-1)</f>
        <v>-5.2354221560316216E-2</v>
      </c>
      <c r="M16" s="14">
        <f ca="1">IF(M$1="","",'Total Value'!M28/'Total Value'!$D28-1)</f>
        <v>-4.3533050750372393E-2</v>
      </c>
      <c r="N16" s="14">
        <f ca="1">IF(N$1="","",'Total Value'!N28/'Total Value'!$D28-1)</f>
        <v>-4.3303929430633437E-2</v>
      </c>
      <c r="O16" s="14">
        <f ca="1">IF(O$1="","",'Total Value'!O28/'Total Value'!$D28-1)</f>
        <v>-4.1814640852331331E-2</v>
      </c>
      <c r="P16" s="14">
        <f ca="1">IF(P$1="","",'Total Value'!P28/'Total Value'!$D28-1)</f>
        <v>-5.3614388818879477E-2</v>
      </c>
      <c r="Q16" s="14">
        <f ca="1">IF(Q$1="","",'Total Value'!Q28/'Total Value'!$D28-1)</f>
        <v>-3.6773971818077733E-2</v>
      </c>
      <c r="R16" s="14">
        <f ca="1">IF(R$1="","",'Total Value'!R28/'Total Value'!$D28-1)</f>
        <v>-1.0883262687592987E-2</v>
      </c>
      <c r="S16" s="14">
        <f ca="1">IF(S$1="","",'Total Value'!S28/'Total Value'!$D28-1)</f>
        <v>-4.0096230954289602E-3</v>
      </c>
      <c r="T16" s="14">
        <f ca="1">IF(T$1="","",'Total Value'!T28/'Total Value'!$D28-1)</f>
        <v>-1.2601672585634049E-2</v>
      </c>
      <c r="U16" s="14">
        <f ca="1">IF(U$1="","",'Total Value'!U28/'Total Value'!$D28-1)</f>
        <v>-1.6038492381716174E-2</v>
      </c>
      <c r="V16" s="14">
        <f ca="1">IF(V$1="","",'Total Value'!V28/'Total Value'!$D28-1)</f>
        <v>8.3629281704662439E-3</v>
      </c>
      <c r="W16" s="14">
        <f ca="1">IF(W$1="","",'Total Value'!W28/'Total Value'!$D28-1)</f>
        <v>1.2945354565242262E-2</v>
      </c>
      <c r="X16" s="14">
        <f ca="1">IF(X$1="","",'Total Value'!X28/'Total Value'!$D28-1)</f>
        <v>4.639706724710746E-2</v>
      </c>
      <c r="Y16" s="14">
        <f ca="1">IF(Y$1="","",'Total Value'!Y28/'Total Value'!$D28-1)</f>
        <v>3.0702256844999276E-2</v>
      </c>
      <c r="Z16" s="14">
        <f ca="1">IF(Z$1="","",'Total Value'!Z28/'Total Value'!$D28-1)</f>
        <v>4.4220414709588818E-2</v>
      </c>
      <c r="AA16" s="14">
        <f ca="1">IF(AA$1="","",'Total Value'!AA28/'Total Value'!$D28-1)</f>
        <v>2.9785771566044117E-2</v>
      </c>
      <c r="AB16" s="14">
        <f ca="1">IF(AB$1="","",'Total Value'!AB28/'Total Value'!$D28-1)</f>
        <v>2.3599495933096515E-2</v>
      </c>
      <c r="AC16" s="14">
        <f ca="1">IF(AC$1="","",'Total Value'!AC28/'Total Value'!$D28-1)</f>
        <v>5.3958070798487912E-2</v>
      </c>
      <c r="AD16" s="14">
        <f ca="1">IF(AD$1="","",'Total Value'!AD28/'Total Value'!$D28-1)</f>
        <v>6.5986940084774792E-2</v>
      </c>
      <c r="AE16" s="14">
        <f ca="1">IF(AE$1="","",'Total Value'!AE28/'Total Value'!$D28-1)</f>
        <v>2.749455836865633E-2</v>
      </c>
      <c r="AF16" s="14">
        <f ca="1">IF(AF$1="","",'Total Value'!AF28/'Total Value'!$D28-1)</f>
        <v>1.8787948218581985E-2</v>
      </c>
      <c r="AG16" s="14">
        <f ca="1">IF(AG$1="","",'Total Value'!AG28/'Total Value'!$D28-1)</f>
        <v>6.6445182724252927E-3</v>
      </c>
      <c r="AH16" s="14">
        <f ca="1">IF(AH$1="","",'Total Value'!AH28/'Total Value'!$D28-1)</f>
        <v>-2.8640164967350668E-3</v>
      </c>
      <c r="AI16" s="14">
        <f ca="1">IF(AI$1="","",'Total Value'!AI28/'Total Value'!$D28-1)</f>
        <v>-4.3303929430633437E-2</v>
      </c>
      <c r="AJ16" s="14">
        <f ca="1">IF(AJ$1="","",'Total Value'!AJ28/'Total Value'!$D28-1)</f>
        <v>1.4663764463283213E-2</v>
      </c>
      <c r="AK16" s="14">
        <f ca="1">IF(AK$1="","",'Total Value'!AK28/'Total Value'!$D28-1)</f>
        <v>3.093137816473801E-3</v>
      </c>
      <c r="AL16" s="14">
        <f ca="1">IF(AL$1="","",'Total Value'!AL28/'Total Value'!$D28-1)</f>
        <v>-6.1060831710390673E-2</v>
      </c>
      <c r="AM16" s="14">
        <f ca="1">IF(AM$1="","",'Total Value'!AM28/'Total Value'!$D28-1)</f>
        <v>-2.5432466491007055E-2</v>
      </c>
      <c r="AN16" s="14">
        <f ca="1">IF(AN$1="","",'Total Value'!AN28/'Total Value'!$D28-1)</f>
        <v>-4.8459159124756512E-2</v>
      </c>
      <c r="AO16" s="14">
        <f ca="1">IF(AO$1="","",'Total Value'!AO28/'Total Value'!$D28-1)</f>
        <v>-0.11467522052927026</v>
      </c>
      <c r="AP16" s="14">
        <f ca="1">IF(AP$1="","",'Total Value'!AP28/'Total Value'!$D28-1)</f>
        <v>-0.18260969183182496</v>
      </c>
      <c r="AQ16" s="14">
        <f ca="1">IF(AQ$1="","",'Total Value'!AQ28/'Total Value'!$D28-1)</f>
        <v>-0.16920609462710501</v>
      </c>
      <c r="AR16" s="14">
        <f ca="1">IF(AR$1="","",'Total Value'!AR28/'Total Value'!$D28-1)</f>
        <v>-0.11421697788979279</v>
      </c>
      <c r="AS16" s="14">
        <f ca="1">IF(AS$1="","",'Total Value'!AS28/'Total Value'!$D28-1)</f>
        <v>-0.10963455149501655</v>
      </c>
      <c r="AT16" s="14">
        <f ca="1">IF(AT$1="","",'Total Value'!AT28/'Total Value'!$D28-1)</f>
        <v>-0.12200710276091187</v>
      </c>
      <c r="AU16" s="14">
        <f ca="1">IF(AU$1="","",'Total Value'!AU28/'Total Value'!$D28-1)</f>
        <v>-0.1331194867682437</v>
      </c>
      <c r="AV16" s="14">
        <f ca="1">IF(AV$1="","",'Total Value'!AV28/'Total Value'!$D28-1)</f>
        <v>-0.12326727001947535</v>
      </c>
      <c r="AW16" s="14">
        <f ca="1">IF(AW$1="","",'Total Value'!AW28/'Total Value'!$D28-1)</f>
        <v>-7.1714973078244815E-2</v>
      </c>
      <c r="AX16" s="14">
        <f ca="1">IF(AX$1="","",'Total Value'!AX28/'Total Value'!$D28-1)</f>
        <v>-7.6526520792759678E-2</v>
      </c>
      <c r="AY16" s="14">
        <f ca="1">IF(AY$1="","",'Total Value'!AY28/'Total Value'!$D28-1)</f>
        <v>-6.4726772826211532E-2</v>
      </c>
      <c r="AZ16" s="14">
        <f ca="1">IF(AZ$1="","",'Total Value'!AZ28/'Total Value'!$D28-1)</f>
        <v>-6.7247107343338275E-2</v>
      </c>
      <c r="BA16" s="14">
        <f ca="1">IF(BA$1="","",'Total Value'!BA28/'Total Value'!$D28-1)</f>
        <v>-4.1356398212853529E-2</v>
      </c>
      <c r="BB16" s="14">
        <f ca="1">IF(BB$1="","",'Total Value'!BB28/'Total Value'!$D28-1)</f>
        <v>-7.7099324092106736E-2</v>
      </c>
      <c r="BC16" s="14">
        <f ca="1">IF(BC$1="","",'Total Value'!BC28/'Total Value'!$D28-1)</f>
        <v>-7.0798487799289656E-2</v>
      </c>
      <c r="BD16" s="14">
        <f ca="1">IF(BD$1="","",'Total Value'!BD28/'Total Value'!$D28-1)</f>
        <v>-5.1094054301752845E-2</v>
      </c>
      <c r="BE16" s="14">
        <f ca="1">IF(BE$1="","",'Total Value'!BE28/'Total Value'!$D28-1)</f>
        <v>-5.6020162676136964E-2</v>
      </c>
      <c r="BF16" s="14">
        <f ca="1">IF(BF$1="","",'Total Value'!BF28/'Total Value'!$D28-1)</f>
        <v>-3.5857486539122463E-2</v>
      </c>
      <c r="BG16" s="14">
        <f ca="1">IF(BG$1="","",'Total Value'!BG28/'Total Value'!$D28-1)</f>
        <v>-6.5643258105166691E-2</v>
      </c>
      <c r="BH16" s="14">
        <f ca="1">IF(BH$1="","",'Total Value'!BH28/'Total Value'!$D28-1)</f>
        <v>-9.4741665711994494E-2</v>
      </c>
      <c r="BI16" s="14">
        <f ca="1">IF(BI$1="","",'Total Value'!BI28/'Total Value'!$D28-1)</f>
        <v>-0.10253179058311368</v>
      </c>
      <c r="BJ16" s="14">
        <f ca="1">IF(BJ$1="","",'Total Value'!BJ28/'Total Value'!$D28-1)</f>
        <v>-0.101729865964028</v>
      </c>
      <c r="BK16" s="14">
        <f ca="1">IF(BK$1="","",'Total Value'!BK28/'Total Value'!$D28-1)</f>
        <v>-0.10791614159697549</v>
      </c>
      <c r="BL16" s="14">
        <f ca="1">IF(BL$1="","",'Total Value'!BL28/'Total Value'!$D28-1)</f>
        <v>-0.12292358803986714</v>
      </c>
      <c r="BM16" s="14">
        <f ca="1">IF(BM$1="","",'Total Value'!BM28/'Total Value'!$D28-1)</f>
        <v>-0.13037003093137822</v>
      </c>
      <c r="BN16" s="14">
        <f ca="1">IF(BN$1="","",'Total Value'!BN28/'Total Value'!$D28-1)</f>
        <v>-0.12739145377477368</v>
      </c>
      <c r="BO16" s="14">
        <f ca="1">IF(BO$1="","",'Total Value'!BO28/'Total Value'!$D28-1)</f>
        <v>-0.12773513575438189</v>
      </c>
      <c r="BP16" s="14">
        <f ca="1">IF(BP$1="","",'Total Value'!BP28/'Total Value'!$D28-1)</f>
        <v>-0.14308626417688164</v>
      </c>
      <c r="BQ16" s="14">
        <f ca="1">IF(BQ$1="","",'Total Value'!BQ28/'Total Value'!$D28-1)</f>
        <v>-0.12647496849581852</v>
      </c>
      <c r="BR16" s="14">
        <f ca="1">IF(BR$1="","",'Total Value'!BR28/'Total Value'!$D28-1)</f>
        <v>-0.14125329361897132</v>
      </c>
      <c r="BS16" s="14">
        <f ca="1">IF(BS$1="","",'Total Value'!BS28/'Total Value'!$D28-1)</f>
        <v>-0.14033680834001594</v>
      </c>
      <c r="BT16" s="14">
        <f ca="1">IF(BT$1="","",'Total Value'!BT28/'Total Value'!$D28-1)</f>
        <v>-9.4168862412647658E-2</v>
      </c>
      <c r="BU16" s="14">
        <f ca="1">IF(BU$1="","",'Total Value'!BU28/'Total Value'!$D28-1)</f>
        <v>-7.7099324092106736E-2</v>
      </c>
      <c r="BV16" s="14">
        <f ca="1">IF(BV$1="","",'Total Value'!BV28/'Total Value'!$D28-1)</f>
        <v>-8.6493298201397728E-2</v>
      </c>
      <c r="BW16" s="14">
        <f ca="1">IF(BW$1="","",'Total Value'!BW28/'Total Value'!$D28-1)</f>
        <v>-0.11055103677397171</v>
      </c>
      <c r="BX16" s="14">
        <f ca="1">IF(BX$1="","",'Total Value'!BX28/'Total Value'!$D28-1)</f>
        <v>-0.13266124412876623</v>
      </c>
      <c r="BY16" s="14">
        <f ca="1">IF(BY$1="","",'Total Value'!BY28/'Total Value'!$D28-1)</f>
        <v>-0.18444266238973528</v>
      </c>
      <c r="BZ16" s="14">
        <f ca="1">IF(BZ$1="","",'Total Value'!BZ28/'Total Value'!$D28-1)</f>
        <v>-0.17630885553900788</v>
      </c>
      <c r="CA16" s="14">
        <f ca="1">IF(CA$1="","",'Total Value'!CA28/'Total Value'!$D28-1)</f>
        <v>-0.14835605453087397</v>
      </c>
      <c r="CB16" s="14">
        <f ca="1">IF(CB$1="","",'Total Value'!CB28/'Total Value'!$D28-1)</f>
        <v>-0.18318249513117191</v>
      </c>
      <c r="CC16" s="14">
        <f ca="1">IF(CC$1="","",'Total Value'!CC28/'Total Value'!$D28-1)</f>
        <v>-0.15992668117768361</v>
      </c>
      <c r="CD16" s="14">
        <f ca="1">IF(CD$1="","",'Total Value'!CD28/'Total Value'!$D28-1)</f>
        <v>-0.14743956925191881</v>
      </c>
      <c r="CE16" s="14">
        <f ca="1">IF(CE$1="","",'Total Value'!CE28/'Total Value'!$D28-1)</f>
        <v>-0.11788291900561343</v>
      </c>
      <c r="CF16" s="14" t="str">
        <f ca="1">IF(CF$1="","",'Total Value'!CF28/'Total Value'!$D28-1)</f>
        <v/>
      </c>
      <c r="CG16" s="14" t="str">
        <f ca="1">IF(CG$1="","",'Total Value'!CG28/'Total Value'!$D28-1)</f>
        <v/>
      </c>
      <c r="CH16" s="14" t="str">
        <f ca="1">IF(CH$1="","",'Total Value'!CH28/'Total Value'!$D28-1)</f>
        <v/>
      </c>
      <c r="CI16" s="14" t="str">
        <f ca="1">IF(CI$1="","",'Total Value'!CI28/'Total Value'!$D28-1)</f>
        <v/>
      </c>
      <c r="CJ16" s="14" t="str">
        <f ca="1">IF(CJ$1="","",'Total Value'!CJ28/'Total Value'!$D28-1)</f>
        <v/>
      </c>
      <c r="CK16" s="14" t="str">
        <f ca="1">IF(CK$1="","",'Total Value'!CK28/'Total Value'!$D28-1)</f>
        <v/>
      </c>
      <c r="CL16" s="14" t="str">
        <f ca="1">IF(CL$1="","",'Total Value'!CL28/'Total Value'!$D28-1)</f>
        <v/>
      </c>
      <c r="CM16" s="14" t="str">
        <f ca="1">IF(CM$1="","",'Total Value'!CM28/'Total Value'!$D28-1)</f>
        <v/>
      </c>
      <c r="CN16" s="14" t="str">
        <f ca="1">IF(CN$1="","",'Total Value'!CN28/'Total Value'!$D28-1)</f>
        <v/>
      </c>
      <c r="CO16" s="14" t="str">
        <f ca="1">IF(CO$1="","",'Total Value'!CO28/'Total Value'!$D28-1)</f>
        <v/>
      </c>
      <c r="CP16" s="14" t="str">
        <f ca="1">IF(CP$1="","",'Total Value'!CP28/'Total Value'!$D28-1)</f>
        <v/>
      </c>
      <c r="CQ16" s="14" t="str">
        <f ca="1">IF(CQ$1="","",'Total Value'!CQ28/'Total Value'!$D28-1)</f>
        <v/>
      </c>
      <c r="CR16" s="14" t="str">
        <f ca="1">IF(CR$1="","",'Total Value'!CR28/'Total Value'!$D28-1)</f>
        <v/>
      </c>
      <c r="CS16" s="14" t="str">
        <f ca="1">IF(CS$1="","",'Total Value'!CS28/'Total Value'!$D28-1)</f>
        <v/>
      </c>
      <c r="CT16" s="14" t="str">
        <f ca="1">IF(CT$1="","",'Total Value'!CT28/'Total Value'!$D28-1)</f>
        <v/>
      </c>
      <c r="CU16" s="14" t="str">
        <f ca="1">IF(CU$1="","",'Total Value'!CU28/'Total Value'!$D28-1)</f>
        <v/>
      </c>
      <c r="CV16" s="14" t="str">
        <f ca="1">IF(CV$1="","",'Total Value'!CV28/'Total Value'!$D28-1)</f>
        <v/>
      </c>
      <c r="CW16" s="14" t="str">
        <f ca="1">IF(CW$1="","",'Total Value'!CW28/'Total Value'!$D28-1)</f>
        <v/>
      </c>
      <c r="CX16" s="14" t="str">
        <f ca="1">IF(CX$1="","",'Total Value'!CX28/'Total Value'!$D28-1)</f>
        <v/>
      </c>
      <c r="CY16" s="14" t="str">
        <f ca="1">IF(CY$1="","",'Total Value'!CY28/'Total Value'!$D28-1)</f>
        <v/>
      </c>
      <c r="CZ16" s="14" t="str">
        <f ca="1">IF(CZ$1="","",'Total Value'!CZ28/'Total Value'!$D28-1)</f>
        <v/>
      </c>
      <c r="DA16" s="14" t="str">
        <f ca="1">IF(DA$1="","",'Total Value'!DA28/'Total Value'!$D28-1)</f>
        <v/>
      </c>
      <c r="DB16" s="14" t="str">
        <f ca="1">IF(DB$1="","",'Total Value'!DB28/'Total Value'!$D28-1)</f>
        <v/>
      </c>
      <c r="DC16" s="14" t="str">
        <f ca="1">IF(DC$1="","",'Total Value'!DC28/'Total Value'!$D28-1)</f>
        <v/>
      </c>
      <c r="DD16" s="14" t="str">
        <f ca="1">IF(DD$1="","",'Total Value'!DD28/'Total Value'!$D28-1)</f>
        <v/>
      </c>
      <c r="DE16" s="14" t="str">
        <f ca="1">IF(DE$1="","",'Total Value'!DE28/'Total Value'!$D28-1)</f>
        <v/>
      </c>
      <c r="DF16" s="14" t="str">
        <f ca="1">IF(DF$1="","",'Total Value'!DF28/'Total Value'!$D28-1)</f>
        <v/>
      </c>
      <c r="DG16" s="14" t="str">
        <f ca="1">IF(DG$1="","",'Total Value'!DG28/'Total Value'!$D28-1)</f>
        <v/>
      </c>
      <c r="DH16" s="14" t="str">
        <f ca="1">IF(DH$1="","",'Total Value'!DH28/'Total Value'!$D28-1)</f>
        <v/>
      </c>
      <c r="DI16" s="14" t="str">
        <f ca="1">IF(DI$1="","",'Total Value'!DI28/'Total Value'!$D28-1)</f>
        <v/>
      </c>
      <c r="DJ16" s="14" t="str">
        <f ca="1">IF(DJ$1="","",'Total Value'!DJ28/'Total Value'!$D28-1)</f>
        <v/>
      </c>
      <c r="DK16" s="14" t="str">
        <f ca="1">IF(DK$1="","",'Total Value'!DK28/'Total Value'!$D28-1)</f>
        <v/>
      </c>
      <c r="DL16" s="14" t="str">
        <f ca="1">IF(DL$1="","",'Total Value'!DL28/'Total Value'!$D28-1)</f>
        <v/>
      </c>
      <c r="DM16" s="14" t="str">
        <f ca="1">IF(DM$1="","",'Total Value'!DM28/'Total Value'!$D28-1)</f>
        <v/>
      </c>
      <c r="DN16" s="14" t="str">
        <f ca="1">IF(DN$1="","",'Total Value'!DN28/'Total Value'!$D28-1)</f>
        <v/>
      </c>
      <c r="DO16" s="14" t="str">
        <f ca="1">IF(DO$1="","",'Total Value'!DO28/'Total Value'!$D28-1)</f>
        <v/>
      </c>
      <c r="DP16" s="14" t="str">
        <f ca="1">IF(DP$1="","",'Total Value'!DP28/'Total Value'!$D28-1)</f>
        <v/>
      </c>
      <c r="DQ16" s="14" t="str">
        <f ca="1">IF(DQ$1="","",'Total Value'!DQ28/'Total Value'!$D28-1)</f>
        <v/>
      </c>
      <c r="DR16" s="14" t="str">
        <f ca="1">IF(DR$1="","",'Total Value'!DR28/'Total Value'!$D28-1)</f>
        <v/>
      </c>
      <c r="DS16" s="14" t="str">
        <f ca="1">IF(DS$1="","",'Total Value'!DS28/'Total Value'!$D28-1)</f>
        <v/>
      </c>
      <c r="DT16" s="14" t="str">
        <f ca="1">IF(DT$1="","",'Total Value'!DT28/'Total Value'!$D28-1)</f>
        <v/>
      </c>
      <c r="DU16" s="14" t="str">
        <f ca="1">IF(DU$1="","",'Total Value'!DU28/'Total Value'!$D28-1)</f>
        <v/>
      </c>
      <c r="DV16" s="14" t="str">
        <f ca="1">IF(DV$1="","",'Total Value'!DV28/'Total Value'!$D28-1)</f>
        <v/>
      </c>
      <c r="DW16" s="14" t="str">
        <f ca="1">IF(DW$1="","",'Total Value'!DW28/'Total Value'!$D28-1)</f>
        <v/>
      </c>
      <c r="DX16" s="14" t="str">
        <f ca="1">IF(DX$1="","",'Total Value'!DX28/'Total Value'!$D28-1)</f>
        <v/>
      </c>
      <c r="DY16" s="14" t="str">
        <f ca="1">IF(DY$1="","",'Total Value'!DY28/'Total Value'!$D28-1)</f>
        <v/>
      </c>
      <c r="DZ16" s="14" t="str">
        <f ca="1">IF(DZ$1="","",'Total Value'!DZ28/'Total Value'!$D28-1)</f>
        <v/>
      </c>
      <c r="EA16" s="14" t="str">
        <f ca="1">IF(EA$1="","",'Total Value'!EA28/'Total Value'!$D28-1)</f>
        <v/>
      </c>
      <c r="EB16" s="14" t="str">
        <f ca="1">IF(EB$1="","",'Total Value'!EB28/'Total Value'!$D28-1)</f>
        <v/>
      </c>
      <c r="EC16" s="14" t="str">
        <f ca="1">IF(EC$1="","",'Total Value'!EC28/'Total Value'!$D28-1)</f>
        <v/>
      </c>
      <c r="ED16" s="14" t="str">
        <f ca="1">IF(ED$1="","",'Total Value'!ED28/'Total Value'!$D28-1)</f>
        <v/>
      </c>
      <c r="EE16" s="14" t="str">
        <f ca="1">IF(EE$1="","",'Total Value'!EE28/'Total Value'!$D28-1)</f>
        <v/>
      </c>
      <c r="EF16" s="14" t="str">
        <f ca="1">IF(EF$1="","",'Total Value'!EF28/'Total Value'!$D28-1)</f>
        <v/>
      </c>
      <c r="EG16" s="14" t="str">
        <f ca="1">IF(EG$1="","",'Total Value'!EG28/'Total Value'!$D28-1)</f>
        <v/>
      </c>
      <c r="EH16" s="14" t="str">
        <f ca="1">IF(EH$1="","",'Total Value'!EH28/'Total Value'!$D28-1)</f>
        <v/>
      </c>
      <c r="EI16" s="14" t="str">
        <f ca="1">IF(EI$1="","",'Total Value'!EI28/'Total Value'!$D28-1)</f>
        <v/>
      </c>
      <c r="EJ16" s="14" t="str">
        <f ca="1">IF(EJ$1="","",'Total Value'!EJ28/'Total Value'!$D28-1)</f>
        <v/>
      </c>
      <c r="EK16" s="14" t="str">
        <f ca="1">IF(EK$1="","",'Total Value'!EK28/'Total Value'!$D28-1)</f>
        <v/>
      </c>
      <c r="EL16" s="14" t="str">
        <f ca="1">IF(EL$1="","",'Total Value'!EL28/'Total Value'!$D28-1)</f>
        <v/>
      </c>
      <c r="EM16" s="14" t="str">
        <f ca="1">IF(EM$1="","",'Total Value'!EM28/'Total Value'!$D28-1)</f>
        <v/>
      </c>
      <c r="EN16" s="14" t="str">
        <f ca="1">IF(EN$1="","",'Total Value'!EN28/'Total Value'!$D28-1)</f>
        <v/>
      </c>
      <c r="EO16" s="14" t="str">
        <f ca="1">IF(EO$1="","",'Total Value'!EO28/'Total Value'!$D28-1)</f>
        <v/>
      </c>
      <c r="EP16" s="14" t="str">
        <f ca="1">IF(EP$1="","",'Total Value'!EP28/'Total Value'!$D28-1)</f>
        <v/>
      </c>
      <c r="EQ16" s="14" t="str">
        <f ca="1">IF(EQ$1="","",'Total Value'!EQ28/'Total Value'!$D28-1)</f>
        <v/>
      </c>
      <c r="ER16" s="14" t="str">
        <f ca="1">IF(ER$1="","",'Total Value'!ER28/'Total Value'!$D28-1)</f>
        <v/>
      </c>
      <c r="ES16" s="14" t="str">
        <f ca="1">IF(ES$1="","",'Total Value'!ES28/'Total Value'!$D28-1)</f>
        <v/>
      </c>
      <c r="ET16" s="14" t="str">
        <f ca="1">IF(ET$1="","",'Total Value'!ET28/'Total Value'!$D28-1)</f>
        <v/>
      </c>
      <c r="EU16" s="14" t="str">
        <f ca="1">IF(EU$1="","",'Total Value'!EU28/'Total Value'!$D28-1)</f>
        <v/>
      </c>
      <c r="EV16" s="14" t="str">
        <f ca="1">IF(EV$1="","",'Total Value'!EV28/'Total Value'!$D28-1)</f>
        <v/>
      </c>
      <c r="EW16" s="14" t="str">
        <f ca="1">IF(EW$1="","",'Total Value'!EW28/'Total Value'!$D28-1)</f>
        <v/>
      </c>
      <c r="EX16" s="14" t="str">
        <f ca="1">IF(EX$1="","",'Total Value'!EX28/'Total Value'!$D28-1)</f>
        <v/>
      </c>
      <c r="EY16" s="14" t="str">
        <f ca="1">IF(EY$1="","",'Total Value'!EY28/'Total Value'!$D28-1)</f>
        <v/>
      </c>
      <c r="EZ16" s="14" t="str">
        <f ca="1">IF(EZ$1="","",'Total Value'!EZ28/'Total Value'!$D28-1)</f>
        <v/>
      </c>
      <c r="FA16" s="14" t="str">
        <f ca="1">IF(FA$1="","",'Total Value'!FA28/'Total Value'!$D28-1)</f>
        <v/>
      </c>
      <c r="FB16" s="14" t="str">
        <f ca="1">IF(FB$1="","",'Total Value'!FB28/'Total Value'!$D28-1)</f>
        <v/>
      </c>
      <c r="FC16" s="14" t="str">
        <f ca="1">IF(FC$1="","",'Total Value'!FC28/'Total Value'!$D28-1)</f>
        <v/>
      </c>
      <c r="FD16" s="14" t="str">
        <f ca="1">IF(FD$1="","",'Total Value'!FD28/'Total Value'!$D28-1)</f>
        <v/>
      </c>
      <c r="FE16" s="14" t="str">
        <f ca="1">IF(FE$1="","",'Total Value'!FE28/'Total Value'!$D28-1)</f>
        <v/>
      </c>
      <c r="FF16" s="14" t="str">
        <f ca="1">IF(FF$1="","",'Total Value'!FF28/'Total Value'!$D28-1)</f>
        <v/>
      </c>
      <c r="FG16" s="14" t="str">
        <f ca="1">IF(FG$1="","",'Total Value'!FG28/'Total Value'!$D28-1)</f>
        <v/>
      </c>
      <c r="FH16" s="14" t="str">
        <f ca="1">IF(FH$1="","",'Total Value'!FH28/'Total Value'!$D28-1)</f>
        <v/>
      </c>
      <c r="FI16" s="14" t="str">
        <f ca="1">IF(FI$1="","",'Total Value'!FI28/'Total Value'!$D28-1)</f>
        <v/>
      </c>
      <c r="FJ16" s="14" t="str">
        <f ca="1">IF(FJ$1="","",'Total Value'!FJ28/'Total Value'!$D28-1)</f>
        <v/>
      </c>
      <c r="FK16" s="14" t="str">
        <f ca="1">IF(FK$1="","",'Total Value'!FK28/'Total Value'!$D28-1)</f>
        <v/>
      </c>
      <c r="FL16" s="14" t="str">
        <f ca="1">IF(FL$1="","",'Total Value'!FL28/'Total Value'!$D28-1)</f>
        <v/>
      </c>
      <c r="FM16" s="14" t="str">
        <f ca="1">IF(FM$1="","",'Total Value'!FM28/'Total Value'!$D28-1)</f>
        <v/>
      </c>
      <c r="FN16" s="14" t="str">
        <f ca="1">IF(FN$1="","",'Total Value'!FN28/'Total Value'!$D28-1)</f>
        <v/>
      </c>
      <c r="FO16" s="14" t="str">
        <f ca="1">IF(FO$1="","",'Total Value'!FO28/'Total Value'!$D28-1)</f>
        <v/>
      </c>
      <c r="FP16" s="14" t="str">
        <f ca="1">IF(FP$1="","",'Total Value'!FP28/'Total Value'!$D28-1)</f>
        <v/>
      </c>
      <c r="FQ16" s="14" t="str">
        <f ca="1">IF(FQ$1="","",'Total Value'!FQ28/'Total Value'!$D28-1)</f>
        <v/>
      </c>
      <c r="FR16" s="14" t="str">
        <f ca="1">IF(FR$1="","",'Total Value'!FR28/'Total Value'!$D28-1)</f>
        <v/>
      </c>
      <c r="FS16" s="14" t="str">
        <f ca="1">IF(FS$1="","",'Total Value'!FS28/'Total Value'!$D28-1)</f>
        <v/>
      </c>
      <c r="FT16" s="14" t="str">
        <f ca="1">IF(FT$1="","",'Total Value'!FT28/'Total Value'!$D28-1)</f>
        <v/>
      </c>
      <c r="FU16" s="14" t="str">
        <f ca="1">IF(FU$1="","",'Total Value'!FU28/'Total Value'!$D28-1)</f>
        <v/>
      </c>
      <c r="FV16" s="14" t="str">
        <f ca="1">IF(FV$1="","",'Total Value'!FV28/'Total Value'!$D28-1)</f>
        <v/>
      </c>
      <c r="FW16" s="14" t="str">
        <f ca="1">IF(FW$1="","",'Total Value'!FW28/'Total Value'!$D28-1)</f>
        <v/>
      </c>
      <c r="FX16" s="14" t="str">
        <f ca="1">IF(FX$1="","",'Total Value'!FX28/'Total Value'!$D28-1)</f>
        <v/>
      </c>
      <c r="FY16" s="14" t="str">
        <f ca="1">IF(FY$1="","",'Total Value'!FY28/'Total Value'!$D28-1)</f>
        <v/>
      </c>
      <c r="FZ16" s="14" t="str">
        <f ca="1">IF(FZ$1="","",'Total Value'!FZ28/'Total Value'!$D28-1)</f>
        <v/>
      </c>
      <c r="GA16" s="14" t="str">
        <f ca="1">IF(GA$1="","",'Total Value'!GA28/'Total Value'!$D28-1)</f>
        <v/>
      </c>
      <c r="GB16" s="14" t="str">
        <f ca="1">IF(GB$1="","",'Total Value'!GB28/'Total Value'!$D28-1)</f>
        <v/>
      </c>
      <c r="GC16" s="14" t="str">
        <f ca="1">IF(GC$1="","",'Total Value'!GC28/'Total Value'!$D28-1)</f>
        <v/>
      </c>
      <c r="GD16" s="14" t="str">
        <f ca="1">IF(GD$1="","",'Total Value'!GD28/'Total Value'!$D28-1)</f>
        <v/>
      </c>
      <c r="GE16" s="14" t="str">
        <f ca="1">IF(GE$1="","",'Total Value'!GE28/'Total Value'!$D28-1)</f>
        <v/>
      </c>
      <c r="GF16" s="14" t="str">
        <f ca="1">IF(GF$1="","",'Total Value'!GF28/'Total Value'!$D28-1)</f>
        <v/>
      </c>
      <c r="GG16" s="14" t="str">
        <f ca="1">IF(GG$1="","",'Total Value'!GG28/'Total Value'!$D28-1)</f>
        <v/>
      </c>
      <c r="GH16" s="14" t="str">
        <f ca="1">IF(GH$1="","",'Total Value'!GH28/'Total Value'!$D28-1)</f>
        <v/>
      </c>
      <c r="GI16" s="14" t="str">
        <f ca="1">IF(GI$1="","",'Total Value'!GI28/'Total Value'!$D28-1)</f>
        <v/>
      </c>
      <c r="GJ16" s="14" t="str">
        <f ca="1">IF(GJ$1="","",'Total Value'!GJ28/'Total Value'!$D28-1)</f>
        <v/>
      </c>
      <c r="GK16" s="14" t="str">
        <f ca="1">IF(GK$1="","",'Total Value'!GK28/'Total Value'!$D28-1)</f>
        <v/>
      </c>
      <c r="GL16" s="14" t="str">
        <f ca="1">IF(GL$1="","",'Total Value'!GL28/'Total Value'!$D28-1)</f>
        <v/>
      </c>
      <c r="GM16" s="14" t="str">
        <f ca="1">IF(GM$1="","",'Total Value'!GM28/'Total Value'!$D28-1)</f>
        <v/>
      </c>
      <c r="GN16" s="14" t="str">
        <f ca="1">IF(GN$1="","",'Total Value'!GN28/'Total Value'!$D28-1)</f>
        <v/>
      </c>
      <c r="GO16" s="14" t="str">
        <f ca="1">IF(GO$1="","",'Total Value'!GO28/'Total Value'!$D28-1)</f>
        <v/>
      </c>
      <c r="GP16" s="14" t="str">
        <f ca="1">IF(GP$1="","",'Total Value'!GP28/'Total Value'!$D28-1)</f>
        <v/>
      </c>
      <c r="GQ16" s="14" t="str">
        <f ca="1">IF(GQ$1="","",'Total Value'!GQ28/'Total Value'!$D28-1)</f>
        <v/>
      </c>
      <c r="GR16" s="14" t="str">
        <f ca="1">IF(GR$1="","",'Total Value'!GR28/'Total Value'!$D28-1)</f>
        <v/>
      </c>
      <c r="GS16" s="14" t="str">
        <f ca="1">IF(GS$1="","",'Total Value'!GS28/'Total Value'!$D28-1)</f>
        <v/>
      </c>
      <c r="GT16" s="14" t="str">
        <f ca="1">IF(GT$1="","",'Total Value'!GT28/'Total Value'!$D28-1)</f>
        <v/>
      </c>
      <c r="GU16" s="14" t="str">
        <f ca="1">IF(GU$1="","",'Total Value'!GU28/'Total Value'!$D28-1)</f>
        <v/>
      </c>
      <c r="GV16" s="14" t="str">
        <f ca="1">IF(GV$1="","",'Total Value'!GV28/'Total Value'!$D28-1)</f>
        <v/>
      </c>
      <c r="GW16" s="14" t="str">
        <f ca="1">IF(GW$1="","",'Total Value'!GW28/'Total Value'!$D28-1)</f>
        <v/>
      </c>
      <c r="GX16" s="14" t="str">
        <f ca="1">IF(GX$1="","",'Total Value'!GX28/'Total Value'!$D28-1)</f>
        <v/>
      </c>
      <c r="GY16" s="14" t="str">
        <f ca="1">IF(GY$1="","",'Total Value'!GY28/'Total Value'!$D28-1)</f>
        <v/>
      </c>
      <c r="GZ16" s="14" t="str">
        <f ca="1">IF(GZ$1="","",'Total Value'!GZ28/'Total Value'!$D28-1)</f>
        <v/>
      </c>
      <c r="HA16" s="14" t="str">
        <f ca="1">IF(HA$1="","",'Total Value'!HA28/'Total Value'!$D28-1)</f>
        <v/>
      </c>
      <c r="HB16" s="14" t="str">
        <f ca="1">IF(HB$1="","",'Total Value'!HB28/'Total Value'!$D28-1)</f>
        <v/>
      </c>
      <c r="HC16" s="14" t="str">
        <f ca="1">IF(HC$1="","",'Total Value'!HC28/'Total Value'!$D28-1)</f>
        <v/>
      </c>
      <c r="HD16" s="14" t="str">
        <f ca="1">IF(HD$1="","",'Total Value'!HD28/'Total Value'!$D28-1)</f>
        <v/>
      </c>
      <c r="HE16" s="14" t="str">
        <f ca="1">IF(HE$1="","",'Total Value'!HE28/'Total Value'!$D28-1)</f>
        <v/>
      </c>
      <c r="HF16" s="14" t="str">
        <f ca="1">IF(HF$1="","",'Total Value'!HF28/'Total Value'!$D28-1)</f>
        <v/>
      </c>
      <c r="HG16" s="14" t="str">
        <f ca="1">IF(HG$1="","",'Total Value'!HG28/'Total Value'!$D28-1)</f>
        <v/>
      </c>
      <c r="HH16" s="14" t="str">
        <f ca="1">IF(HH$1="","",'Total Value'!HH28/'Total Value'!$D28-1)</f>
        <v/>
      </c>
      <c r="HI16" s="14" t="str">
        <f ca="1">IF(HI$1="","",'Total Value'!HI28/'Total Value'!$D28-1)</f>
        <v/>
      </c>
      <c r="HJ16" s="14" t="str">
        <f ca="1">IF(HJ$1="","",'Total Value'!HJ28/'Total Value'!$D28-1)</f>
        <v/>
      </c>
      <c r="HK16" s="14" t="str">
        <f ca="1">IF(HK$1="","",'Total Value'!HK28/'Total Value'!$D28-1)</f>
        <v/>
      </c>
      <c r="HL16" s="14" t="str">
        <f ca="1">IF(HL$1="","",'Total Value'!HL28/'Total Value'!$D28-1)</f>
        <v/>
      </c>
      <c r="HM16" s="14" t="str">
        <f ca="1">IF(HM$1="","",'Total Value'!HM28/'Total Value'!$D28-1)</f>
        <v/>
      </c>
      <c r="HN16" s="14" t="str">
        <f ca="1">IF(HN$1="","",'Total Value'!HN28/'Total Value'!$D28-1)</f>
        <v/>
      </c>
      <c r="HO16" s="14" t="str">
        <f ca="1">IF(HO$1="","",'Total Value'!HO28/'Total Value'!$D28-1)</f>
        <v/>
      </c>
      <c r="HP16" s="14" t="str">
        <f ca="1">IF(HP$1="","",'Total Value'!HP28/'Total Value'!$D28-1)</f>
        <v/>
      </c>
      <c r="HQ16" s="14" t="str">
        <f ca="1">IF(HQ$1="","",'Total Value'!HQ28/'Total Value'!$D28-1)</f>
        <v/>
      </c>
      <c r="HR16" s="14" t="str">
        <f ca="1">IF(HR$1="","",'Total Value'!HR28/'Total Value'!$D28-1)</f>
        <v/>
      </c>
      <c r="HS16" s="14" t="str">
        <f ca="1">IF(HS$1="","",'Total Value'!HS28/'Total Value'!$D28-1)</f>
        <v/>
      </c>
      <c r="HT16" s="14" t="str">
        <f ca="1">IF(HT$1="","",'Total Value'!HT28/'Total Value'!$D28-1)</f>
        <v/>
      </c>
      <c r="HU16" s="14" t="str">
        <f ca="1">IF(HU$1="","",'Total Value'!HU28/'Total Value'!$D28-1)</f>
        <v/>
      </c>
      <c r="HV16" s="14" t="str">
        <f ca="1">IF(HV$1="","",'Total Value'!HV28/'Total Value'!$D28-1)</f>
        <v/>
      </c>
      <c r="HW16" s="14" t="str">
        <f ca="1">IF(HW$1="","",'Total Value'!HW28/'Total Value'!$D28-1)</f>
        <v/>
      </c>
      <c r="HX16" s="14" t="str">
        <f ca="1">IF(HX$1="","",'Total Value'!HX28/'Total Value'!$D28-1)</f>
        <v/>
      </c>
      <c r="HY16" s="14" t="str">
        <f ca="1">IF(HY$1="","",'Total Value'!HY28/'Total Value'!$D28-1)</f>
        <v/>
      </c>
      <c r="HZ16" s="14" t="str">
        <f ca="1">IF(HZ$1="","",'Total Value'!HZ28/'Total Value'!$D28-1)</f>
        <v/>
      </c>
      <c r="IA16" s="14" t="str">
        <f ca="1">IF(IA$1="","",'Total Value'!IA28/'Total Value'!$D28-1)</f>
        <v/>
      </c>
      <c r="IB16" s="14" t="str">
        <f ca="1">IF(IB$1="","",'Total Value'!IB28/'Total Value'!$D28-1)</f>
        <v/>
      </c>
      <c r="IC16" s="14" t="str">
        <f ca="1">IF(IC$1="","",'Total Value'!IC28/'Total Value'!$D28-1)</f>
        <v/>
      </c>
      <c r="ID16" s="14" t="str">
        <f ca="1">IF(ID$1="","",'Total Value'!ID28/'Total Value'!$D28-1)</f>
        <v/>
      </c>
      <c r="IE16" s="14" t="str">
        <f ca="1">IF(IE$1="","",'Total Value'!IE28/'Total Value'!$D28-1)</f>
        <v/>
      </c>
      <c r="IF16" s="14" t="str">
        <f ca="1">IF(IF$1="","",'Total Value'!IF28/'Total Value'!$D28-1)</f>
        <v/>
      </c>
      <c r="IG16" s="14" t="str">
        <f ca="1">IF(IG$1="","",'Total Value'!IG28/'Total Value'!$D28-1)</f>
        <v/>
      </c>
      <c r="IH16" s="14" t="str">
        <f ca="1">IF(IH$1="","",'Total Value'!IH28/'Total Value'!$D28-1)</f>
        <v/>
      </c>
      <c r="II16" s="14" t="str">
        <f ca="1">IF(II$1="","",'Total Value'!II28/'Total Value'!$D28-1)</f>
        <v/>
      </c>
      <c r="IJ16" s="14" t="str">
        <f ca="1">IF(IJ$1="","",'Total Value'!IJ28/'Total Value'!$D28-1)</f>
        <v/>
      </c>
      <c r="IK16" s="14" t="str">
        <f ca="1">IF(IK$1="","",'Total Value'!IK28/'Total Value'!$D28-1)</f>
        <v/>
      </c>
      <c r="IL16" s="14" t="str">
        <f ca="1">IF(IL$1="","",'Total Value'!IL28/'Total Value'!$D28-1)</f>
        <v/>
      </c>
      <c r="IM16" s="14" t="str">
        <f ca="1">IF(IM$1="","",'Total Value'!IM28/'Total Value'!$D28-1)</f>
        <v/>
      </c>
      <c r="IN16" s="14" t="str">
        <f ca="1">IF(IN$1="","",'Total Value'!IN28/'Total Value'!$D28-1)</f>
        <v/>
      </c>
      <c r="IO16" s="14" t="str">
        <f ca="1">IF(IO$1="","",'Total Value'!IO28/'Total Value'!$D28-1)</f>
        <v/>
      </c>
      <c r="IP16" s="14" t="str">
        <f ca="1">IF(IP$1="","",'Total Value'!IP28/'Total Value'!$D28-1)</f>
        <v/>
      </c>
      <c r="IQ16" s="14" t="str">
        <f ca="1">IF(IQ$1="","",'Total Value'!IQ28/'Total Value'!$D28-1)</f>
        <v/>
      </c>
      <c r="IR16" s="14" t="str">
        <f ca="1">IF(IR$1="","",'Total Value'!IR28/'Total Value'!$D28-1)</f>
        <v/>
      </c>
      <c r="IS16" s="14" t="str">
        <f ca="1">IF(IS$1="","",'Total Value'!IS28/'Total Value'!$D28-1)</f>
        <v/>
      </c>
      <c r="IT16" s="14" t="str">
        <f ca="1">IF(IT$1="","",'Total Value'!IT28/'Total Value'!$D28-1)</f>
        <v/>
      </c>
      <c r="IU16" s="14" t="str">
        <f ca="1">IF(IU$1="","",'Total Value'!IU28/'Total Value'!$D28-1)</f>
        <v/>
      </c>
      <c r="IV16" s="14" t="str">
        <f ca="1">IF(IV$1="","",'Total Value'!IV28/'Total Value'!$D28-1)</f>
        <v/>
      </c>
      <c r="IW16" s="14" t="str">
        <f ca="1">IF(IW$1="","",'Total Value'!IW28/'Total Value'!$D28-1)</f>
        <v/>
      </c>
      <c r="IX16" s="14" t="str">
        <f ca="1">IF(IX$1="","",'Total Value'!IX28/'Total Value'!$D28-1)</f>
        <v/>
      </c>
      <c r="IY16" s="14" t="str">
        <f ca="1">IF(IY$1="","",'Total Value'!IY28/'Total Value'!$D28-1)</f>
        <v/>
      </c>
      <c r="IZ16" s="14" t="str">
        <f ca="1">IF(IZ$1="","",'Total Value'!IZ28/'Total Value'!$D28-1)</f>
        <v/>
      </c>
      <c r="JA16" s="14" t="str">
        <f ca="1">IF(JA$1="","",'Total Value'!JA28/'Total Value'!$D28-1)</f>
        <v/>
      </c>
      <c r="JB16" s="14" t="str">
        <f ca="1">IF(JB$1="","",'Total Value'!JB28/'Total Value'!$D28-1)</f>
        <v/>
      </c>
      <c r="JC16" s="14" t="str">
        <f ca="1">IF(JC$1="","",'Total Value'!JC28/'Total Value'!$D28-1)</f>
        <v/>
      </c>
      <c r="JD16" s="14" t="str">
        <f ca="1">IF(JD$1="","",'Total Value'!JD28/'Total Value'!$D28-1)</f>
        <v/>
      </c>
      <c r="JE16" s="14" t="str">
        <f ca="1">IF(JE$1="","",'Total Value'!JE28/'Total Value'!$D28-1)</f>
        <v/>
      </c>
      <c r="JF16" s="14" t="str">
        <f ca="1">IF(JF$1="","",'Total Value'!JF28/'Total Value'!$D28-1)</f>
        <v/>
      </c>
      <c r="JG16" s="14" t="str">
        <f ca="1">IF(JG$1="","",'Total Value'!JG28/'Total Value'!$D28-1)</f>
        <v/>
      </c>
      <c r="JH16" s="14" t="str">
        <f ca="1">IF(JH$1="","",'Total Value'!JH28/'Total Value'!$D28-1)</f>
        <v/>
      </c>
      <c r="JI16" s="14" t="str">
        <f ca="1">IF(JI$1="","",'Total Value'!JI28/'Total Value'!$D28-1)</f>
        <v/>
      </c>
      <c r="JJ16" s="14" t="str">
        <f ca="1">IF(JJ$1="","",'Total Value'!JJ28/'Total Value'!$D28-1)</f>
        <v/>
      </c>
      <c r="JK16" s="14" t="str">
        <f ca="1">IF(JK$1="","",'Total Value'!JK28/'Total Value'!$D28-1)</f>
        <v/>
      </c>
      <c r="JL16" s="14" t="str">
        <f ca="1">IF(JL$1="","",'Total Value'!JL28/'Total Value'!$D28-1)</f>
        <v/>
      </c>
      <c r="JM16" s="14" t="str">
        <f ca="1">IF(JM$1="","",'Total Value'!JM28/'Total Value'!$D28-1)</f>
        <v/>
      </c>
      <c r="JN16" s="14" t="str">
        <f ca="1">IF(JN$1="","",'Total Value'!JN28/'Total Value'!$D28-1)</f>
        <v/>
      </c>
      <c r="JO16" s="14" t="str">
        <f ca="1">IF(JO$1="","",'Total Value'!JO28/'Total Value'!$D28-1)</f>
        <v/>
      </c>
      <c r="JP16" s="14" t="str">
        <f ca="1">IF(JP$1="","",'Total Value'!JP28/'Total Value'!$D28-1)</f>
        <v/>
      </c>
      <c r="JQ16" s="14" t="str">
        <f ca="1">IF(JQ$1="","",'Total Value'!JQ28/'Total Value'!$D28-1)</f>
        <v/>
      </c>
      <c r="JR16" s="14" t="str">
        <f ca="1">IF(JR$1="","",'Total Value'!JR28/'Total Value'!$D28-1)</f>
        <v/>
      </c>
      <c r="JS16" s="14" t="str">
        <f ca="1">IF(JS$1="","",'Total Value'!JS28/'Total Value'!$D28-1)</f>
        <v/>
      </c>
      <c r="JT16" s="14" t="str">
        <f ca="1">IF(JT$1="","",'Total Value'!JT28/'Total Value'!$D28-1)</f>
        <v/>
      </c>
      <c r="JU16" s="14" t="str">
        <f ca="1">IF(JU$1="","",'Total Value'!JU28/'Total Value'!$D28-1)</f>
        <v/>
      </c>
      <c r="JV16" s="14" t="str">
        <f ca="1">IF(JV$1="","",'Total Value'!JV28/'Total Value'!$D28-1)</f>
        <v/>
      </c>
      <c r="JW16" s="14" t="str">
        <f ca="1">IF(JW$1="","",'Total Value'!JW28/'Total Value'!$D28-1)</f>
        <v/>
      </c>
      <c r="JX16" s="14" t="str">
        <f ca="1">IF(JX$1="","",'Total Value'!JX28/'Total Value'!$D28-1)</f>
        <v/>
      </c>
      <c r="JY16" s="14" t="str">
        <f ca="1">IF(JY$1="","",'Total Value'!JY28/'Total Value'!$D28-1)</f>
        <v/>
      </c>
      <c r="JZ16" s="14" t="str">
        <f ca="1">IF(JZ$1="","",'Total Value'!JZ28/'Total Value'!$D28-1)</f>
        <v/>
      </c>
      <c r="KA16" s="14" t="str">
        <f ca="1">IF(KA$1="","",'Total Value'!KA28/'Total Value'!$D28-1)</f>
        <v/>
      </c>
      <c r="KB16" s="14" t="str">
        <f ca="1">IF(KB$1="","",'Total Value'!KB28/'Total Value'!$D28-1)</f>
        <v/>
      </c>
    </row>
    <row r="17" spans="1:288" ht="15.75" customHeight="1">
      <c r="A17" s="9" t="s">
        <v>30</v>
      </c>
      <c r="B17" s="6" t="s">
        <v>62</v>
      </c>
      <c r="C17" s="26">
        <v>39</v>
      </c>
      <c r="D17" s="13">
        <v>0</v>
      </c>
      <c r="E17" s="14">
        <f ca="1">IF(E$1="","",'Total Value'!E29/'Total Value'!$D29-1)</f>
        <v>3.3087842886114771E-3</v>
      </c>
      <c r="F17" s="14">
        <f ca="1">IF(F$1="","",'Total Value'!F29/'Total Value'!$D29-1)</f>
        <v>-3.4155192656631916E-3</v>
      </c>
      <c r="G17" s="14">
        <f ca="1">IF(G$1="","",'Total Value'!G29/'Total Value'!$D29-1)</f>
        <v>-1.5263101718433036E-2</v>
      </c>
      <c r="H17" s="14">
        <f ca="1">IF(H$1="","",'Total Value'!H29/'Total Value'!$D29-1)</f>
        <v>-3.9491941509232631E-2</v>
      </c>
      <c r="I17" s="14">
        <f ca="1">IF(I$1="","",'Total Value'!I29/'Total Value'!$D29-1)</f>
        <v>-8.1118582559504659E-2</v>
      </c>
      <c r="J17" s="14">
        <f ca="1">IF(J$1="","",'Total Value'!J29/'Total Value'!$D29-1)</f>
        <v>-7.7169388408581563E-2</v>
      </c>
      <c r="K17" s="14">
        <f ca="1">IF(K$1="","",'Total Value'!K29/'Total Value'!$D29-1)</f>
        <v>-6.7563240473903274E-2</v>
      </c>
      <c r="L17" s="14">
        <f ca="1">IF(L$1="","",'Total Value'!L29/'Total Value'!$D29-1)</f>
        <v>-7.9517557903725056E-2</v>
      </c>
      <c r="M17" s="14">
        <f ca="1">IF(M$1="","",'Total Value'!M29/'Total Value'!$D29-1)</f>
        <v>-6.2119756644252178E-2</v>
      </c>
      <c r="N17" s="14">
        <f ca="1">IF(N$1="","",'Total Value'!N29/'Total Value'!$D29-1)</f>
        <v>-7.9090617995517087E-2</v>
      </c>
      <c r="O17" s="14">
        <f ca="1">IF(O$1="","",'Total Value'!O29/'Total Value'!$D29-1)</f>
        <v>-8.5921656526843804E-2</v>
      </c>
      <c r="P17" s="14">
        <f ca="1">IF(P$1="","",'Total Value'!P29/'Total Value'!$D29-1)</f>
        <v>-8.8483295976091281E-2</v>
      </c>
      <c r="Q17" s="14">
        <f ca="1">IF(Q$1="","",'Total Value'!Q29/'Total Value'!$D29-1)</f>
        <v>-5.3687693457145969E-2</v>
      </c>
      <c r="R17" s="14">
        <f ca="1">IF(R$1="","",'Total Value'!R29/'Total Value'!$D29-1)</f>
        <v>-3.3408047817269693E-2</v>
      </c>
      <c r="S17" s="14">
        <f ca="1">IF(S$1="","",'Total Value'!S29/'Total Value'!$D29-1)</f>
        <v>-3.5542747358309312E-2</v>
      </c>
      <c r="T17" s="14">
        <f ca="1">IF(T$1="","",'Total Value'!T29/'Total Value'!$D29-1)</f>
        <v>-1.9532500800512276E-2</v>
      </c>
      <c r="U17" s="14">
        <f ca="1">IF(U$1="","",'Total Value'!U29/'Total Value'!$D29-1)</f>
        <v>-3.9278471555128536E-2</v>
      </c>
      <c r="V17" s="14">
        <f ca="1">IF(V$1="","",'Total Value'!V29/'Total Value'!$D29-1)</f>
        <v>-4.1092966165012124E-2</v>
      </c>
      <c r="W17" s="14">
        <f ca="1">IF(W$1="","",'Total Value'!W29/'Total Value'!$D29-1)</f>
        <v>-4.7497064788131094E-2</v>
      </c>
      <c r="X17" s="14">
        <f ca="1">IF(X$1="","",'Total Value'!X29/'Total Value'!$D29-1)</f>
        <v>-3.7570711922296884E-2</v>
      </c>
      <c r="Y17" s="14">
        <f ca="1">IF(Y$1="","",'Total Value'!Y29/'Total Value'!$D29-1)</f>
        <v>-2.22008752268118E-2</v>
      </c>
      <c r="Z17" s="14">
        <f ca="1">IF(Z$1="","",'Total Value'!Z29/'Total Value'!$D29-1)</f>
        <v>-2.2414345180915674E-2</v>
      </c>
      <c r="AA17" s="14">
        <f ca="1">IF(AA$1="","",'Total Value'!AA29/'Total Value'!$D29-1)</f>
        <v>-3.6716832105881059E-2</v>
      </c>
      <c r="AB17" s="14">
        <f ca="1">IF(AB$1="","",'Total Value'!AB29/'Total Value'!$D29-1)</f>
        <v>-5.0378909168534491E-2</v>
      </c>
      <c r="AC17" s="14">
        <f ca="1">IF(AC$1="","",'Total Value'!AC29/'Total Value'!$D29-1)</f>
        <v>-0.12295869356388078</v>
      </c>
      <c r="AD17" s="14">
        <f ca="1">IF(AD$1="","",'Total Value'!AD29/'Total Value'!$D29-1)</f>
        <v>-0.11015049631764318</v>
      </c>
      <c r="AE17" s="14">
        <f ca="1">IF(AE$1="","",'Total Value'!AE29/'Total Value'!$D29-1)</f>
        <v>-0.15295122211548717</v>
      </c>
      <c r="AF17" s="14">
        <f ca="1">IF(AF$1="","",'Total Value'!AF29/'Total Value'!$D29-1)</f>
        <v>-0.1569004162664106</v>
      </c>
      <c r="AG17" s="14">
        <f ca="1">IF(AG$1="","",'Total Value'!AG29/'Total Value'!$D29-1)</f>
        <v>-0.16106308037143779</v>
      </c>
      <c r="AH17" s="14">
        <f ca="1">IF(AH$1="","",'Total Value'!AH29/'Total Value'!$D29-1)</f>
        <v>-0.17878108656206637</v>
      </c>
      <c r="AI17" s="14">
        <f ca="1">IF(AI$1="","",'Total Value'!AI29/'Total Value'!$D29-1)</f>
        <v>-0.16906820365033626</v>
      </c>
      <c r="AJ17" s="14">
        <f ca="1">IF(AJ$1="","",'Total Value'!AJ29/'Total Value'!$D29-1)</f>
        <v>-0.14334507418080888</v>
      </c>
      <c r="AK17" s="14">
        <f ca="1">IF(AK$1="","",'Total Value'!AK29/'Total Value'!$D29-1)</f>
        <v>-0.15465898174831882</v>
      </c>
      <c r="AL17" s="14">
        <f ca="1">IF(AL$1="","",'Total Value'!AL29/'Total Value'!$D29-1)</f>
        <v>-0.159782260646814</v>
      </c>
      <c r="AM17" s="14">
        <f ca="1">IF(AM$1="","",'Total Value'!AM29/'Total Value'!$D29-1)</f>
        <v>-0.13811506030526199</v>
      </c>
      <c r="AN17" s="14">
        <f ca="1">IF(AN$1="","",'Total Value'!AN29/'Total Value'!$D29-1)</f>
        <v>-0.14900202796456385</v>
      </c>
      <c r="AO17" s="14">
        <f ca="1">IF(AO$1="","",'Total Value'!AO29/'Total Value'!$D29-1)</f>
        <v>-0.15305795709253933</v>
      </c>
      <c r="AP17" s="14">
        <f ca="1">IF(AP$1="","",'Total Value'!AP29/'Total Value'!$D29-1)</f>
        <v>-0.20119543174298204</v>
      </c>
      <c r="AQ17" s="14">
        <f ca="1">IF(AQ$1="","",'Total Value'!AQ29/'Total Value'!$D29-1)</f>
        <v>-0.20856014515956867</v>
      </c>
      <c r="AR17" s="14">
        <f ca="1">IF(AR$1="","",'Total Value'!AR29/'Total Value'!$D29-1)</f>
        <v>-0.16607962429288081</v>
      </c>
      <c r="AS17" s="14">
        <f ca="1">IF(AS$1="","",'Total Value'!AS29/'Total Value'!$D29-1)</f>
        <v>-0.18048884619489802</v>
      </c>
      <c r="AT17" s="14">
        <f ca="1">IF(AT$1="","",'Total Value'!AT29/'Total Value'!$D29-1)</f>
        <v>-0.19692603266090303</v>
      </c>
      <c r="AU17" s="14">
        <f ca="1">IF(AU$1="","",'Total Value'!AU29/'Total Value'!$D29-1)</f>
        <v>-0.19383071832639553</v>
      </c>
      <c r="AV17" s="14">
        <f ca="1">IF(AV$1="","",'Total Value'!AV29/'Total Value'!$D29-1)</f>
        <v>-0.17846088163091045</v>
      </c>
      <c r="AW17" s="14">
        <f ca="1">IF(AW$1="","",'Total Value'!AW29/'Total Value'!$D29-1)</f>
        <v>-0.14953570284982376</v>
      </c>
      <c r="AX17" s="14">
        <f ca="1">IF(AX$1="","",'Total Value'!AX29/'Total Value'!$D29-1)</f>
        <v>-0.1519906073220193</v>
      </c>
      <c r="AY17" s="14">
        <f ca="1">IF(AY$1="","",'Total Value'!AY29/'Total Value'!$D29-1)</f>
        <v>-0.14644038851531649</v>
      </c>
      <c r="AZ17" s="14">
        <f ca="1">IF(AZ$1="","",'Total Value'!AZ29/'Total Value'!$D29-1)</f>
        <v>-0.12445298324260856</v>
      </c>
      <c r="BA17" s="14">
        <f ca="1">IF(BA$1="","",'Total Value'!BA29/'Total Value'!$D29-1)</f>
        <v>-0.11271213576689088</v>
      </c>
      <c r="BB17" s="14">
        <f ca="1">IF(BB$1="","",'Total Value'!BB29/'Total Value'!$D29-1)</f>
        <v>-0.16501227452236089</v>
      </c>
      <c r="BC17" s="14">
        <f ca="1">IF(BC$1="","",'Total Value'!BC29/'Total Value'!$D29-1)</f>
        <v>-0.15700715124346243</v>
      </c>
      <c r="BD17" s="14">
        <f ca="1">IF(BD$1="","",'Total Value'!BD29/'Total Value'!$D29-1)</f>
        <v>-0.1548724517024227</v>
      </c>
      <c r="BE17" s="14">
        <f ca="1">IF(BE$1="","",'Total Value'!BE29/'Total Value'!$D29-1)</f>
        <v>-0.14985590778097968</v>
      </c>
      <c r="BF17" s="14">
        <f ca="1">IF(BF$1="","",'Total Value'!BF29/'Total Value'!$D29-1)</f>
        <v>-0.11826235457359369</v>
      </c>
      <c r="BG17" s="14">
        <f ca="1">IF(BG$1="","",'Total Value'!BG29/'Total Value'!$D29-1)</f>
        <v>-0.12914932223289566</v>
      </c>
      <c r="BH17" s="14">
        <f ca="1">IF(BH$1="","",'Total Value'!BH29/'Total Value'!$D29-1)</f>
        <v>-0.13598036076422237</v>
      </c>
      <c r="BI17" s="14">
        <f ca="1">IF(BI$1="","",'Total Value'!BI29/'Total Value'!$D29-1)</f>
        <v>-0.11655459494076215</v>
      </c>
      <c r="BJ17" s="14">
        <f ca="1">IF(BJ$1="","",'Total Value'!BJ29/'Total Value'!$D29-1)</f>
        <v>-0.12231828370156894</v>
      </c>
      <c r="BK17" s="14">
        <f ca="1">IF(BK$1="","",'Total Value'!BK29/'Total Value'!$D29-1)</f>
        <v>-0.13000320204931148</v>
      </c>
      <c r="BL17" s="14">
        <f ca="1">IF(BL$1="","",'Total Value'!BL29/'Total Value'!$D29-1)</f>
        <v>-0.12669441776070023</v>
      </c>
      <c r="BM17" s="14">
        <f ca="1">IF(BM$1="","",'Total Value'!BM29/'Total Value'!$D29-1)</f>
        <v>-9.5421069484470045E-2</v>
      </c>
      <c r="BN17" s="14">
        <f ca="1">IF(BN$1="","",'Total Value'!BN29/'Total Value'!$D29-1)</f>
        <v>-0.10257231294695268</v>
      </c>
      <c r="BO17" s="14">
        <f ca="1">IF(BO$1="","",'Total Value'!BO29/'Total Value'!$D29-1)</f>
        <v>-0.12722809264596013</v>
      </c>
      <c r="BP17" s="14">
        <f ca="1">IF(BP$1="","",'Total Value'!BP29/'Total Value'!$D29-1)</f>
        <v>-0.13384566122318275</v>
      </c>
      <c r="BQ17" s="14">
        <f ca="1">IF(BQ$1="","",'Total Value'!BQ29/'Total Value'!$D29-1)</f>
        <v>-0.1328850464297151</v>
      </c>
      <c r="BR17" s="14">
        <f ca="1">IF(BR$1="","",'Total Value'!BR29/'Total Value'!$D29-1)</f>
        <v>-0.14153057957092519</v>
      </c>
      <c r="BS17" s="14">
        <f ca="1">IF(BS$1="","",'Total Value'!BS29/'Total Value'!$D29-1)</f>
        <v>-0.16213043014195749</v>
      </c>
      <c r="BT17" s="14">
        <f ca="1">IF(BT$1="","",'Total Value'!BT29/'Total Value'!$D29-1)</f>
        <v>-0.15626000640409865</v>
      </c>
      <c r="BU17" s="14">
        <f ca="1">IF(BU$1="","",'Total Value'!BU29/'Total Value'!$D29-1)</f>
        <v>-0.13235137154445498</v>
      </c>
      <c r="BV17" s="14">
        <f ca="1">IF(BV$1="","",'Total Value'!BV29/'Total Value'!$D29-1)</f>
        <v>-0.14836161810225201</v>
      </c>
      <c r="BW17" s="14">
        <f ca="1">IF(BW$1="","",'Total Value'!BW29/'Total Value'!$D29-1)</f>
        <v>-0.17643291706692288</v>
      </c>
      <c r="BX17" s="14">
        <f ca="1">IF(BX$1="","",'Total Value'!BX29/'Total Value'!$D29-1)</f>
        <v>-0.22542427153378175</v>
      </c>
      <c r="BY17" s="14">
        <f ca="1">IF(BY$1="","",'Total Value'!BY29/'Total Value'!$D29-1)</f>
        <v>-0.28135339950901905</v>
      </c>
      <c r="BZ17" s="14">
        <f ca="1">IF(BZ$1="","",'Total Value'!BZ29/'Total Value'!$D29-1)</f>
        <v>-0.25370904045255627</v>
      </c>
      <c r="CA17" s="14">
        <f ca="1">IF(CA$1="","",'Total Value'!CA29/'Total Value'!$D29-1)</f>
        <v>-0.24794535169174947</v>
      </c>
      <c r="CB17" s="14">
        <f ca="1">IF(CB$1="","",'Total Value'!CB29/'Total Value'!$D29-1)</f>
        <v>-0.21987405272707861</v>
      </c>
      <c r="CC17" s="14">
        <f ca="1">IF(CC$1="","",'Total Value'!CC29/'Total Value'!$D29-1)</f>
        <v>-0.22830611591418515</v>
      </c>
      <c r="CD17" s="14">
        <f ca="1">IF(CD$1="","",'Total Value'!CD29/'Total Value'!$D29-1)</f>
        <v>-0.23118796029458843</v>
      </c>
      <c r="CE17" s="14">
        <f ca="1">IF(CE$1="","",'Total Value'!CE29/'Total Value'!$D29-1)</f>
        <v>-0.19190948873946001</v>
      </c>
      <c r="CF17" s="14" t="str">
        <f ca="1">IF(CF$1="","",'Total Value'!CF29/'Total Value'!$D29-1)</f>
        <v/>
      </c>
      <c r="CG17" s="14" t="str">
        <f ca="1">IF(CG$1="","",'Total Value'!CG29/'Total Value'!$D29-1)</f>
        <v/>
      </c>
      <c r="CH17" s="14" t="str">
        <f ca="1">IF(CH$1="","",'Total Value'!CH29/'Total Value'!$D29-1)</f>
        <v/>
      </c>
      <c r="CI17" s="14" t="str">
        <f ca="1">IF(CI$1="","",'Total Value'!CI29/'Total Value'!$D29-1)</f>
        <v/>
      </c>
      <c r="CJ17" s="14" t="str">
        <f ca="1">IF(CJ$1="","",'Total Value'!CJ29/'Total Value'!$D29-1)</f>
        <v/>
      </c>
      <c r="CK17" s="14" t="str">
        <f ca="1">IF(CK$1="","",'Total Value'!CK29/'Total Value'!$D29-1)</f>
        <v/>
      </c>
      <c r="CL17" s="14" t="str">
        <f ca="1">IF(CL$1="","",'Total Value'!CL29/'Total Value'!$D29-1)</f>
        <v/>
      </c>
      <c r="CM17" s="14" t="str">
        <f ca="1">IF(CM$1="","",'Total Value'!CM29/'Total Value'!$D29-1)</f>
        <v/>
      </c>
      <c r="CN17" s="14" t="str">
        <f ca="1">IF(CN$1="","",'Total Value'!CN29/'Total Value'!$D29-1)</f>
        <v/>
      </c>
      <c r="CO17" s="14" t="str">
        <f ca="1">IF(CO$1="","",'Total Value'!CO29/'Total Value'!$D29-1)</f>
        <v/>
      </c>
      <c r="CP17" s="14" t="str">
        <f ca="1">IF(CP$1="","",'Total Value'!CP29/'Total Value'!$D29-1)</f>
        <v/>
      </c>
      <c r="CQ17" s="14" t="str">
        <f ca="1">IF(CQ$1="","",'Total Value'!CQ29/'Total Value'!$D29-1)</f>
        <v/>
      </c>
      <c r="CR17" s="14" t="str">
        <f ca="1">IF(CR$1="","",'Total Value'!CR29/'Total Value'!$D29-1)</f>
        <v/>
      </c>
      <c r="CS17" s="14" t="str">
        <f ca="1">IF(CS$1="","",'Total Value'!CS29/'Total Value'!$D29-1)</f>
        <v/>
      </c>
      <c r="CT17" s="14" t="str">
        <f ca="1">IF(CT$1="","",'Total Value'!CT29/'Total Value'!$D29-1)</f>
        <v/>
      </c>
      <c r="CU17" s="14" t="str">
        <f ca="1">IF(CU$1="","",'Total Value'!CU29/'Total Value'!$D29-1)</f>
        <v/>
      </c>
      <c r="CV17" s="14" t="str">
        <f ca="1">IF(CV$1="","",'Total Value'!CV29/'Total Value'!$D29-1)</f>
        <v/>
      </c>
      <c r="CW17" s="14" t="str">
        <f ca="1">IF(CW$1="","",'Total Value'!CW29/'Total Value'!$D29-1)</f>
        <v/>
      </c>
      <c r="CX17" s="14" t="str">
        <f ca="1">IF(CX$1="","",'Total Value'!CX29/'Total Value'!$D29-1)</f>
        <v/>
      </c>
      <c r="CY17" s="14" t="str">
        <f ca="1">IF(CY$1="","",'Total Value'!CY29/'Total Value'!$D29-1)</f>
        <v/>
      </c>
      <c r="CZ17" s="14" t="str">
        <f ca="1">IF(CZ$1="","",'Total Value'!CZ29/'Total Value'!$D29-1)</f>
        <v/>
      </c>
      <c r="DA17" s="14" t="str">
        <f ca="1">IF(DA$1="","",'Total Value'!DA29/'Total Value'!$D29-1)</f>
        <v/>
      </c>
      <c r="DB17" s="14" t="str">
        <f ca="1">IF(DB$1="","",'Total Value'!DB29/'Total Value'!$D29-1)</f>
        <v/>
      </c>
      <c r="DC17" s="14" t="str">
        <f ca="1">IF(DC$1="","",'Total Value'!DC29/'Total Value'!$D29-1)</f>
        <v/>
      </c>
      <c r="DD17" s="14" t="str">
        <f ca="1">IF(DD$1="","",'Total Value'!DD29/'Total Value'!$D29-1)</f>
        <v/>
      </c>
      <c r="DE17" s="14" t="str">
        <f ca="1">IF(DE$1="","",'Total Value'!DE29/'Total Value'!$D29-1)</f>
        <v/>
      </c>
      <c r="DF17" s="14" t="str">
        <f ca="1">IF(DF$1="","",'Total Value'!DF29/'Total Value'!$D29-1)</f>
        <v/>
      </c>
      <c r="DG17" s="14" t="str">
        <f ca="1">IF(DG$1="","",'Total Value'!DG29/'Total Value'!$D29-1)</f>
        <v/>
      </c>
      <c r="DH17" s="14" t="str">
        <f ca="1">IF(DH$1="","",'Total Value'!DH29/'Total Value'!$D29-1)</f>
        <v/>
      </c>
      <c r="DI17" s="14" t="str">
        <f ca="1">IF(DI$1="","",'Total Value'!DI29/'Total Value'!$D29-1)</f>
        <v/>
      </c>
      <c r="DJ17" s="14" t="str">
        <f ca="1">IF(DJ$1="","",'Total Value'!DJ29/'Total Value'!$D29-1)</f>
        <v/>
      </c>
      <c r="DK17" s="14" t="str">
        <f ca="1">IF(DK$1="","",'Total Value'!DK29/'Total Value'!$D29-1)</f>
        <v/>
      </c>
      <c r="DL17" s="14" t="str">
        <f ca="1">IF(DL$1="","",'Total Value'!DL29/'Total Value'!$D29-1)</f>
        <v/>
      </c>
      <c r="DM17" s="14" t="str">
        <f ca="1">IF(DM$1="","",'Total Value'!DM29/'Total Value'!$D29-1)</f>
        <v/>
      </c>
      <c r="DN17" s="14" t="str">
        <f ca="1">IF(DN$1="","",'Total Value'!DN29/'Total Value'!$D29-1)</f>
        <v/>
      </c>
      <c r="DO17" s="14" t="str">
        <f ca="1">IF(DO$1="","",'Total Value'!DO29/'Total Value'!$D29-1)</f>
        <v/>
      </c>
      <c r="DP17" s="14" t="str">
        <f ca="1">IF(DP$1="","",'Total Value'!DP29/'Total Value'!$D29-1)</f>
        <v/>
      </c>
      <c r="DQ17" s="14" t="str">
        <f ca="1">IF(DQ$1="","",'Total Value'!DQ29/'Total Value'!$D29-1)</f>
        <v/>
      </c>
      <c r="DR17" s="14" t="str">
        <f ca="1">IF(DR$1="","",'Total Value'!DR29/'Total Value'!$D29-1)</f>
        <v/>
      </c>
      <c r="DS17" s="14" t="str">
        <f ca="1">IF(DS$1="","",'Total Value'!DS29/'Total Value'!$D29-1)</f>
        <v/>
      </c>
      <c r="DT17" s="14" t="str">
        <f ca="1">IF(DT$1="","",'Total Value'!DT29/'Total Value'!$D29-1)</f>
        <v/>
      </c>
      <c r="DU17" s="14" t="str">
        <f ca="1">IF(DU$1="","",'Total Value'!DU29/'Total Value'!$D29-1)</f>
        <v/>
      </c>
      <c r="DV17" s="14" t="str">
        <f ca="1">IF(DV$1="","",'Total Value'!DV29/'Total Value'!$D29-1)</f>
        <v/>
      </c>
      <c r="DW17" s="14" t="str">
        <f ca="1">IF(DW$1="","",'Total Value'!DW29/'Total Value'!$D29-1)</f>
        <v/>
      </c>
      <c r="DX17" s="14" t="str">
        <f ca="1">IF(DX$1="","",'Total Value'!DX29/'Total Value'!$D29-1)</f>
        <v/>
      </c>
      <c r="DY17" s="14" t="str">
        <f ca="1">IF(DY$1="","",'Total Value'!DY29/'Total Value'!$D29-1)</f>
        <v/>
      </c>
      <c r="DZ17" s="14" t="str">
        <f ca="1">IF(DZ$1="","",'Total Value'!DZ29/'Total Value'!$D29-1)</f>
        <v/>
      </c>
      <c r="EA17" s="14" t="str">
        <f ca="1">IF(EA$1="","",'Total Value'!EA29/'Total Value'!$D29-1)</f>
        <v/>
      </c>
      <c r="EB17" s="14" t="str">
        <f ca="1">IF(EB$1="","",'Total Value'!EB29/'Total Value'!$D29-1)</f>
        <v/>
      </c>
      <c r="EC17" s="14" t="str">
        <f ca="1">IF(EC$1="","",'Total Value'!EC29/'Total Value'!$D29-1)</f>
        <v/>
      </c>
      <c r="ED17" s="14" t="str">
        <f ca="1">IF(ED$1="","",'Total Value'!ED29/'Total Value'!$D29-1)</f>
        <v/>
      </c>
      <c r="EE17" s="14" t="str">
        <f ca="1">IF(EE$1="","",'Total Value'!EE29/'Total Value'!$D29-1)</f>
        <v/>
      </c>
      <c r="EF17" s="14" t="str">
        <f ca="1">IF(EF$1="","",'Total Value'!EF29/'Total Value'!$D29-1)</f>
        <v/>
      </c>
      <c r="EG17" s="14" t="str">
        <f ca="1">IF(EG$1="","",'Total Value'!EG29/'Total Value'!$D29-1)</f>
        <v/>
      </c>
      <c r="EH17" s="14" t="str">
        <f ca="1">IF(EH$1="","",'Total Value'!EH29/'Total Value'!$D29-1)</f>
        <v/>
      </c>
      <c r="EI17" s="14" t="str">
        <f ca="1">IF(EI$1="","",'Total Value'!EI29/'Total Value'!$D29-1)</f>
        <v/>
      </c>
      <c r="EJ17" s="14" t="str">
        <f ca="1">IF(EJ$1="","",'Total Value'!EJ29/'Total Value'!$D29-1)</f>
        <v/>
      </c>
      <c r="EK17" s="14" t="str">
        <f ca="1">IF(EK$1="","",'Total Value'!EK29/'Total Value'!$D29-1)</f>
        <v/>
      </c>
      <c r="EL17" s="14" t="str">
        <f ca="1">IF(EL$1="","",'Total Value'!EL29/'Total Value'!$D29-1)</f>
        <v/>
      </c>
      <c r="EM17" s="14" t="str">
        <f ca="1">IF(EM$1="","",'Total Value'!EM29/'Total Value'!$D29-1)</f>
        <v/>
      </c>
      <c r="EN17" s="14" t="str">
        <f ca="1">IF(EN$1="","",'Total Value'!EN29/'Total Value'!$D29-1)</f>
        <v/>
      </c>
      <c r="EO17" s="14" t="str">
        <f ca="1">IF(EO$1="","",'Total Value'!EO29/'Total Value'!$D29-1)</f>
        <v/>
      </c>
      <c r="EP17" s="14" t="str">
        <f ca="1">IF(EP$1="","",'Total Value'!EP29/'Total Value'!$D29-1)</f>
        <v/>
      </c>
      <c r="EQ17" s="14" t="str">
        <f ca="1">IF(EQ$1="","",'Total Value'!EQ29/'Total Value'!$D29-1)</f>
        <v/>
      </c>
      <c r="ER17" s="14" t="str">
        <f ca="1">IF(ER$1="","",'Total Value'!ER29/'Total Value'!$D29-1)</f>
        <v/>
      </c>
      <c r="ES17" s="14" t="str">
        <f ca="1">IF(ES$1="","",'Total Value'!ES29/'Total Value'!$D29-1)</f>
        <v/>
      </c>
      <c r="ET17" s="14" t="str">
        <f ca="1">IF(ET$1="","",'Total Value'!ET29/'Total Value'!$D29-1)</f>
        <v/>
      </c>
      <c r="EU17" s="14" t="str">
        <f ca="1">IF(EU$1="","",'Total Value'!EU29/'Total Value'!$D29-1)</f>
        <v/>
      </c>
      <c r="EV17" s="14" t="str">
        <f ca="1">IF(EV$1="","",'Total Value'!EV29/'Total Value'!$D29-1)</f>
        <v/>
      </c>
      <c r="EW17" s="14" t="str">
        <f ca="1">IF(EW$1="","",'Total Value'!EW29/'Total Value'!$D29-1)</f>
        <v/>
      </c>
      <c r="EX17" s="14" t="str">
        <f ca="1">IF(EX$1="","",'Total Value'!EX29/'Total Value'!$D29-1)</f>
        <v/>
      </c>
      <c r="EY17" s="14" t="str">
        <f ca="1">IF(EY$1="","",'Total Value'!EY29/'Total Value'!$D29-1)</f>
        <v/>
      </c>
      <c r="EZ17" s="14" t="str">
        <f ca="1">IF(EZ$1="","",'Total Value'!EZ29/'Total Value'!$D29-1)</f>
        <v/>
      </c>
      <c r="FA17" s="14" t="str">
        <f ca="1">IF(FA$1="","",'Total Value'!FA29/'Total Value'!$D29-1)</f>
        <v/>
      </c>
      <c r="FB17" s="14" t="str">
        <f ca="1">IF(FB$1="","",'Total Value'!FB29/'Total Value'!$D29-1)</f>
        <v/>
      </c>
      <c r="FC17" s="14" t="str">
        <f ca="1">IF(FC$1="","",'Total Value'!FC29/'Total Value'!$D29-1)</f>
        <v/>
      </c>
      <c r="FD17" s="14" t="str">
        <f ca="1">IF(FD$1="","",'Total Value'!FD29/'Total Value'!$D29-1)</f>
        <v/>
      </c>
      <c r="FE17" s="14" t="str">
        <f ca="1">IF(FE$1="","",'Total Value'!FE29/'Total Value'!$D29-1)</f>
        <v/>
      </c>
      <c r="FF17" s="14" t="str">
        <f ca="1">IF(FF$1="","",'Total Value'!FF29/'Total Value'!$D29-1)</f>
        <v/>
      </c>
      <c r="FG17" s="14" t="str">
        <f ca="1">IF(FG$1="","",'Total Value'!FG29/'Total Value'!$D29-1)</f>
        <v/>
      </c>
      <c r="FH17" s="14" t="str">
        <f ca="1">IF(FH$1="","",'Total Value'!FH29/'Total Value'!$D29-1)</f>
        <v/>
      </c>
      <c r="FI17" s="14" t="str">
        <f ca="1">IF(FI$1="","",'Total Value'!FI29/'Total Value'!$D29-1)</f>
        <v/>
      </c>
      <c r="FJ17" s="14" t="str">
        <f ca="1">IF(FJ$1="","",'Total Value'!FJ29/'Total Value'!$D29-1)</f>
        <v/>
      </c>
      <c r="FK17" s="14" t="str">
        <f ca="1">IF(FK$1="","",'Total Value'!FK29/'Total Value'!$D29-1)</f>
        <v/>
      </c>
      <c r="FL17" s="14" t="str">
        <f ca="1">IF(FL$1="","",'Total Value'!FL29/'Total Value'!$D29-1)</f>
        <v/>
      </c>
      <c r="FM17" s="14" t="str">
        <f ca="1">IF(FM$1="","",'Total Value'!FM29/'Total Value'!$D29-1)</f>
        <v/>
      </c>
      <c r="FN17" s="14" t="str">
        <f ca="1">IF(FN$1="","",'Total Value'!FN29/'Total Value'!$D29-1)</f>
        <v/>
      </c>
      <c r="FO17" s="14" t="str">
        <f ca="1">IF(FO$1="","",'Total Value'!FO29/'Total Value'!$D29-1)</f>
        <v/>
      </c>
      <c r="FP17" s="14" t="str">
        <f ca="1">IF(FP$1="","",'Total Value'!FP29/'Total Value'!$D29-1)</f>
        <v/>
      </c>
      <c r="FQ17" s="14" t="str">
        <f ca="1">IF(FQ$1="","",'Total Value'!FQ29/'Total Value'!$D29-1)</f>
        <v/>
      </c>
      <c r="FR17" s="14" t="str">
        <f ca="1">IF(FR$1="","",'Total Value'!FR29/'Total Value'!$D29-1)</f>
        <v/>
      </c>
      <c r="FS17" s="14" t="str">
        <f ca="1">IF(FS$1="","",'Total Value'!FS29/'Total Value'!$D29-1)</f>
        <v/>
      </c>
      <c r="FT17" s="14" t="str">
        <f ca="1">IF(FT$1="","",'Total Value'!FT29/'Total Value'!$D29-1)</f>
        <v/>
      </c>
      <c r="FU17" s="14" t="str">
        <f ca="1">IF(FU$1="","",'Total Value'!FU29/'Total Value'!$D29-1)</f>
        <v/>
      </c>
      <c r="FV17" s="14" t="str">
        <f ca="1">IF(FV$1="","",'Total Value'!FV29/'Total Value'!$D29-1)</f>
        <v/>
      </c>
      <c r="FW17" s="14" t="str">
        <f ca="1">IF(FW$1="","",'Total Value'!FW29/'Total Value'!$D29-1)</f>
        <v/>
      </c>
      <c r="FX17" s="14" t="str">
        <f ca="1">IF(FX$1="","",'Total Value'!FX29/'Total Value'!$D29-1)</f>
        <v/>
      </c>
      <c r="FY17" s="14" t="str">
        <f ca="1">IF(FY$1="","",'Total Value'!FY29/'Total Value'!$D29-1)</f>
        <v/>
      </c>
      <c r="FZ17" s="14" t="str">
        <f ca="1">IF(FZ$1="","",'Total Value'!FZ29/'Total Value'!$D29-1)</f>
        <v/>
      </c>
      <c r="GA17" s="14" t="str">
        <f ca="1">IF(GA$1="","",'Total Value'!GA29/'Total Value'!$D29-1)</f>
        <v/>
      </c>
      <c r="GB17" s="14" t="str">
        <f ca="1">IF(GB$1="","",'Total Value'!GB29/'Total Value'!$D29-1)</f>
        <v/>
      </c>
      <c r="GC17" s="14" t="str">
        <f ca="1">IF(GC$1="","",'Total Value'!GC29/'Total Value'!$D29-1)</f>
        <v/>
      </c>
      <c r="GD17" s="14" t="str">
        <f ca="1">IF(GD$1="","",'Total Value'!GD29/'Total Value'!$D29-1)</f>
        <v/>
      </c>
      <c r="GE17" s="14" t="str">
        <f ca="1">IF(GE$1="","",'Total Value'!GE29/'Total Value'!$D29-1)</f>
        <v/>
      </c>
      <c r="GF17" s="14" t="str">
        <f ca="1">IF(GF$1="","",'Total Value'!GF29/'Total Value'!$D29-1)</f>
        <v/>
      </c>
      <c r="GG17" s="14" t="str">
        <f ca="1">IF(GG$1="","",'Total Value'!GG29/'Total Value'!$D29-1)</f>
        <v/>
      </c>
      <c r="GH17" s="14" t="str">
        <f ca="1">IF(GH$1="","",'Total Value'!GH29/'Total Value'!$D29-1)</f>
        <v/>
      </c>
      <c r="GI17" s="14" t="str">
        <f ca="1">IF(GI$1="","",'Total Value'!GI29/'Total Value'!$D29-1)</f>
        <v/>
      </c>
      <c r="GJ17" s="14" t="str">
        <f ca="1">IF(GJ$1="","",'Total Value'!GJ29/'Total Value'!$D29-1)</f>
        <v/>
      </c>
      <c r="GK17" s="14" t="str">
        <f ca="1">IF(GK$1="","",'Total Value'!GK29/'Total Value'!$D29-1)</f>
        <v/>
      </c>
      <c r="GL17" s="14" t="str">
        <f ca="1">IF(GL$1="","",'Total Value'!GL29/'Total Value'!$D29-1)</f>
        <v/>
      </c>
      <c r="GM17" s="14" t="str">
        <f ca="1">IF(GM$1="","",'Total Value'!GM29/'Total Value'!$D29-1)</f>
        <v/>
      </c>
      <c r="GN17" s="14" t="str">
        <f ca="1">IF(GN$1="","",'Total Value'!GN29/'Total Value'!$D29-1)</f>
        <v/>
      </c>
      <c r="GO17" s="14" t="str">
        <f ca="1">IF(GO$1="","",'Total Value'!GO29/'Total Value'!$D29-1)</f>
        <v/>
      </c>
      <c r="GP17" s="14" t="str">
        <f ca="1">IF(GP$1="","",'Total Value'!GP29/'Total Value'!$D29-1)</f>
        <v/>
      </c>
      <c r="GQ17" s="14" t="str">
        <f ca="1">IF(GQ$1="","",'Total Value'!GQ29/'Total Value'!$D29-1)</f>
        <v/>
      </c>
      <c r="GR17" s="14" t="str">
        <f ca="1">IF(GR$1="","",'Total Value'!GR29/'Total Value'!$D29-1)</f>
        <v/>
      </c>
      <c r="GS17" s="14" t="str">
        <f ca="1">IF(GS$1="","",'Total Value'!GS29/'Total Value'!$D29-1)</f>
        <v/>
      </c>
      <c r="GT17" s="14" t="str">
        <f ca="1">IF(GT$1="","",'Total Value'!GT29/'Total Value'!$D29-1)</f>
        <v/>
      </c>
      <c r="GU17" s="14" t="str">
        <f ca="1">IF(GU$1="","",'Total Value'!GU29/'Total Value'!$D29-1)</f>
        <v/>
      </c>
      <c r="GV17" s="14" t="str">
        <f ca="1">IF(GV$1="","",'Total Value'!GV29/'Total Value'!$D29-1)</f>
        <v/>
      </c>
      <c r="GW17" s="14" t="str">
        <f ca="1">IF(GW$1="","",'Total Value'!GW29/'Total Value'!$D29-1)</f>
        <v/>
      </c>
      <c r="GX17" s="14" t="str">
        <f ca="1">IF(GX$1="","",'Total Value'!GX29/'Total Value'!$D29-1)</f>
        <v/>
      </c>
      <c r="GY17" s="14" t="str">
        <f ca="1">IF(GY$1="","",'Total Value'!GY29/'Total Value'!$D29-1)</f>
        <v/>
      </c>
      <c r="GZ17" s="14" t="str">
        <f ca="1">IF(GZ$1="","",'Total Value'!GZ29/'Total Value'!$D29-1)</f>
        <v/>
      </c>
      <c r="HA17" s="14" t="str">
        <f ca="1">IF(HA$1="","",'Total Value'!HA29/'Total Value'!$D29-1)</f>
        <v/>
      </c>
      <c r="HB17" s="14" t="str">
        <f ca="1">IF(HB$1="","",'Total Value'!HB29/'Total Value'!$D29-1)</f>
        <v/>
      </c>
      <c r="HC17" s="14" t="str">
        <f ca="1">IF(HC$1="","",'Total Value'!HC29/'Total Value'!$D29-1)</f>
        <v/>
      </c>
      <c r="HD17" s="14" t="str">
        <f ca="1">IF(HD$1="","",'Total Value'!HD29/'Total Value'!$D29-1)</f>
        <v/>
      </c>
      <c r="HE17" s="14" t="str">
        <f ca="1">IF(HE$1="","",'Total Value'!HE29/'Total Value'!$D29-1)</f>
        <v/>
      </c>
      <c r="HF17" s="14" t="str">
        <f ca="1">IF(HF$1="","",'Total Value'!HF29/'Total Value'!$D29-1)</f>
        <v/>
      </c>
      <c r="HG17" s="14" t="str">
        <f ca="1">IF(HG$1="","",'Total Value'!HG29/'Total Value'!$D29-1)</f>
        <v/>
      </c>
      <c r="HH17" s="14" t="str">
        <f ca="1">IF(HH$1="","",'Total Value'!HH29/'Total Value'!$D29-1)</f>
        <v/>
      </c>
      <c r="HI17" s="14" t="str">
        <f ca="1">IF(HI$1="","",'Total Value'!HI29/'Total Value'!$D29-1)</f>
        <v/>
      </c>
      <c r="HJ17" s="14" t="str">
        <f ca="1">IF(HJ$1="","",'Total Value'!HJ29/'Total Value'!$D29-1)</f>
        <v/>
      </c>
      <c r="HK17" s="14" t="str">
        <f ca="1">IF(HK$1="","",'Total Value'!HK29/'Total Value'!$D29-1)</f>
        <v/>
      </c>
      <c r="HL17" s="14" t="str">
        <f ca="1">IF(HL$1="","",'Total Value'!HL29/'Total Value'!$D29-1)</f>
        <v/>
      </c>
      <c r="HM17" s="14" t="str">
        <f ca="1">IF(HM$1="","",'Total Value'!HM29/'Total Value'!$D29-1)</f>
        <v/>
      </c>
      <c r="HN17" s="14" t="str">
        <f ca="1">IF(HN$1="","",'Total Value'!HN29/'Total Value'!$D29-1)</f>
        <v/>
      </c>
      <c r="HO17" s="14" t="str">
        <f ca="1">IF(HO$1="","",'Total Value'!HO29/'Total Value'!$D29-1)</f>
        <v/>
      </c>
      <c r="HP17" s="14" t="str">
        <f ca="1">IF(HP$1="","",'Total Value'!HP29/'Total Value'!$D29-1)</f>
        <v/>
      </c>
      <c r="HQ17" s="14" t="str">
        <f ca="1">IF(HQ$1="","",'Total Value'!HQ29/'Total Value'!$D29-1)</f>
        <v/>
      </c>
      <c r="HR17" s="14" t="str">
        <f ca="1">IF(HR$1="","",'Total Value'!HR29/'Total Value'!$D29-1)</f>
        <v/>
      </c>
      <c r="HS17" s="14" t="str">
        <f ca="1">IF(HS$1="","",'Total Value'!HS29/'Total Value'!$D29-1)</f>
        <v/>
      </c>
      <c r="HT17" s="14" t="str">
        <f ca="1">IF(HT$1="","",'Total Value'!HT29/'Total Value'!$D29-1)</f>
        <v/>
      </c>
      <c r="HU17" s="14" t="str">
        <f ca="1">IF(HU$1="","",'Total Value'!HU29/'Total Value'!$D29-1)</f>
        <v/>
      </c>
      <c r="HV17" s="14" t="str">
        <f ca="1">IF(HV$1="","",'Total Value'!HV29/'Total Value'!$D29-1)</f>
        <v/>
      </c>
      <c r="HW17" s="14" t="str">
        <f ca="1">IF(HW$1="","",'Total Value'!HW29/'Total Value'!$D29-1)</f>
        <v/>
      </c>
      <c r="HX17" s="14" t="str">
        <f ca="1">IF(HX$1="","",'Total Value'!HX29/'Total Value'!$D29-1)</f>
        <v/>
      </c>
      <c r="HY17" s="14" t="str">
        <f ca="1">IF(HY$1="","",'Total Value'!HY29/'Total Value'!$D29-1)</f>
        <v/>
      </c>
      <c r="HZ17" s="14" t="str">
        <f ca="1">IF(HZ$1="","",'Total Value'!HZ29/'Total Value'!$D29-1)</f>
        <v/>
      </c>
      <c r="IA17" s="14" t="str">
        <f ca="1">IF(IA$1="","",'Total Value'!IA29/'Total Value'!$D29-1)</f>
        <v/>
      </c>
      <c r="IB17" s="14" t="str">
        <f ca="1">IF(IB$1="","",'Total Value'!IB29/'Total Value'!$D29-1)</f>
        <v/>
      </c>
      <c r="IC17" s="14" t="str">
        <f ca="1">IF(IC$1="","",'Total Value'!IC29/'Total Value'!$D29-1)</f>
        <v/>
      </c>
      <c r="ID17" s="14" t="str">
        <f ca="1">IF(ID$1="","",'Total Value'!ID29/'Total Value'!$D29-1)</f>
        <v/>
      </c>
      <c r="IE17" s="14" t="str">
        <f ca="1">IF(IE$1="","",'Total Value'!IE29/'Total Value'!$D29-1)</f>
        <v/>
      </c>
      <c r="IF17" s="14" t="str">
        <f ca="1">IF(IF$1="","",'Total Value'!IF29/'Total Value'!$D29-1)</f>
        <v/>
      </c>
      <c r="IG17" s="14" t="str">
        <f ca="1">IF(IG$1="","",'Total Value'!IG29/'Total Value'!$D29-1)</f>
        <v/>
      </c>
      <c r="IH17" s="14" t="str">
        <f ca="1">IF(IH$1="","",'Total Value'!IH29/'Total Value'!$D29-1)</f>
        <v/>
      </c>
      <c r="II17" s="14" t="str">
        <f ca="1">IF(II$1="","",'Total Value'!II29/'Total Value'!$D29-1)</f>
        <v/>
      </c>
      <c r="IJ17" s="14" t="str">
        <f ca="1">IF(IJ$1="","",'Total Value'!IJ29/'Total Value'!$D29-1)</f>
        <v/>
      </c>
      <c r="IK17" s="14" t="str">
        <f ca="1">IF(IK$1="","",'Total Value'!IK29/'Total Value'!$D29-1)</f>
        <v/>
      </c>
      <c r="IL17" s="14" t="str">
        <f ca="1">IF(IL$1="","",'Total Value'!IL29/'Total Value'!$D29-1)</f>
        <v/>
      </c>
      <c r="IM17" s="14" t="str">
        <f ca="1">IF(IM$1="","",'Total Value'!IM29/'Total Value'!$D29-1)</f>
        <v/>
      </c>
      <c r="IN17" s="14" t="str">
        <f ca="1">IF(IN$1="","",'Total Value'!IN29/'Total Value'!$D29-1)</f>
        <v/>
      </c>
      <c r="IO17" s="14" t="str">
        <f ca="1">IF(IO$1="","",'Total Value'!IO29/'Total Value'!$D29-1)</f>
        <v/>
      </c>
      <c r="IP17" s="14" t="str">
        <f ca="1">IF(IP$1="","",'Total Value'!IP29/'Total Value'!$D29-1)</f>
        <v/>
      </c>
      <c r="IQ17" s="14" t="str">
        <f ca="1">IF(IQ$1="","",'Total Value'!IQ29/'Total Value'!$D29-1)</f>
        <v/>
      </c>
      <c r="IR17" s="14" t="str">
        <f ca="1">IF(IR$1="","",'Total Value'!IR29/'Total Value'!$D29-1)</f>
        <v/>
      </c>
      <c r="IS17" s="14" t="str">
        <f ca="1">IF(IS$1="","",'Total Value'!IS29/'Total Value'!$D29-1)</f>
        <v/>
      </c>
      <c r="IT17" s="14" t="str">
        <f ca="1">IF(IT$1="","",'Total Value'!IT29/'Total Value'!$D29-1)</f>
        <v/>
      </c>
      <c r="IU17" s="14" t="str">
        <f ca="1">IF(IU$1="","",'Total Value'!IU29/'Total Value'!$D29-1)</f>
        <v/>
      </c>
      <c r="IV17" s="14" t="str">
        <f ca="1">IF(IV$1="","",'Total Value'!IV29/'Total Value'!$D29-1)</f>
        <v/>
      </c>
      <c r="IW17" s="14" t="str">
        <f ca="1">IF(IW$1="","",'Total Value'!IW29/'Total Value'!$D29-1)</f>
        <v/>
      </c>
      <c r="IX17" s="14" t="str">
        <f ca="1">IF(IX$1="","",'Total Value'!IX29/'Total Value'!$D29-1)</f>
        <v/>
      </c>
      <c r="IY17" s="14" t="str">
        <f ca="1">IF(IY$1="","",'Total Value'!IY29/'Total Value'!$D29-1)</f>
        <v/>
      </c>
      <c r="IZ17" s="14" t="str">
        <f ca="1">IF(IZ$1="","",'Total Value'!IZ29/'Total Value'!$D29-1)</f>
        <v/>
      </c>
      <c r="JA17" s="14" t="str">
        <f ca="1">IF(JA$1="","",'Total Value'!JA29/'Total Value'!$D29-1)</f>
        <v/>
      </c>
      <c r="JB17" s="14" t="str">
        <f ca="1">IF(JB$1="","",'Total Value'!JB29/'Total Value'!$D29-1)</f>
        <v/>
      </c>
      <c r="JC17" s="14" t="str">
        <f ca="1">IF(JC$1="","",'Total Value'!JC29/'Total Value'!$D29-1)</f>
        <v/>
      </c>
      <c r="JD17" s="14" t="str">
        <f ca="1">IF(JD$1="","",'Total Value'!JD29/'Total Value'!$D29-1)</f>
        <v/>
      </c>
      <c r="JE17" s="14" t="str">
        <f ca="1">IF(JE$1="","",'Total Value'!JE29/'Total Value'!$D29-1)</f>
        <v/>
      </c>
      <c r="JF17" s="14" t="str">
        <f ca="1">IF(JF$1="","",'Total Value'!JF29/'Total Value'!$D29-1)</f>
        <v/>
      </c>
      <c r="JG17" s="14" t="str">
        <f ca="1">IF(JG$1="","",'Total Value'!JG29/'Total Value'!$D29-1)</f>
        <v/>
      </c>
      <c r="JH17" s="14" t="str">
        <f ca="1">IF(JH$1="","",'Total Value'!JH29/'Total Value'!$D29-1)</f>
        <v/>
      </c>
      <c r="JI17" s="14" t="str">
        <f ca="1">IF(JI$1="","",'Total Value'!JI29/'Total Value'!$D29-1)</f>
        <v/>
      </c>
      <c r="JJ17" s="14" t="str">
        <f ca="1">IF(JJ$1="","",'Total Value'!JJ29/'Total Value'!$D29-1)</f>
        <v/>
      </c>
      <c r="JK17" s="14" t="str">
        <f ca="1">IF(JK$1="","",'Total Value'!JK29/'Total Value'!$D29-1)</f>
        <v/>
      </c>
      <c r="JL17" s="14" t="str">
        <f ca="1">IF(JL$1="","",'Total Value'!JL29/'Total Value'!$D29-1)</f>
        <v/>
      </c>
      <c r="JM17" s="14" t="str">
        <f ca="1">IF(JM$1="","",'Total Value'!JM29/'Total Value'!$D29-1)</f>
        <v/>
      </c>
      <c r="JN17" s="14" t="str">
        <f ca="1">IF(JN$1="","",'Total Value'!JN29/'Total Value'!$D29-1)</f>
        <v/>
      </c>
      <c r="JO17" s="14" t="str">
        <f ca="1">IF(JO$1="","",'Total Value'!JO29/'Total Value'!$D29-1)</f>
        <v/>
      </c>
      <c r="JP17" s="14" t="str">
        <f ca="1">IF(JP$1="","",'Total Value'!JP29/'Total Value'!$D29-1)</f>
        <v/>
      </c>
      <c r="JQ17" s="14" t="str">
        <f ca="1">IF(JQ$1="","",'Total Value'!JQ29/'Total Value'!$D29-1)</f>
        <v/>
      </c>
      <c r="JR17" s="14" t="str">
        <f ca="1">IF(JR$1="","",'Total Value'!JR29/'Total Value'!$D29-1)</f>
        <v/>
      </c>
      <c r="JS17" s="14" t="str">
        <f ca="1">IF(JS$1="","",'Total Value'!JS29/'Total Value'!$D29-1)</f>
        <v/>
      </c>
      <c r="JT17" s="14" t="str">
        <f ca="1">IF(JT$1="","",'Total Value'!JT29/'Total Value'!$D29-1)</f>
        <v/>
      </c>
      <c r="JU17" s="14" t="str">
        <f ca="1">IF(JU$1="","",'Total Value'!JU29/'Total Value'!$D29-1)</f>
        <v/>
      </c>
      <c r="JV17" s="14" t="str">
        <f ca="1">IF(JV$1="","",'Total Value'!JV29/'Total Value'!$D29-1)</f>
        <v/>
      </c>
      <c r="JW17" s="14" t="str">
        <f ca="1">IF(JW$1="","",'Total Value'!JW29/'Total Value'!$D29-1)</f>
        <v/>
      </c>
      <c r="JX17" s="14" t="str">
        <f ca="1">IF(JX$1="","",'Total Value'!JX29/'Total Value'!$D29-1)</f>
        <v/>
      </c>
      <c r="JY17" s="14" t="str">
        <f ca="1">IF(JY$1="","",'Total Value'!JY29/'Total Value'!$D29-1)</f>
        <v/>
      </c>
      <c r="JZ17" s="14" t="str">
        <f ca="1">IF(JZ$1="","",'Total Value'!JZ29/'Total Value'!$D29-1)</f>
        <v/>
      </c>
      <c r="KA17" s="14" t="str">
        <f ca="1">IF(KA$1="","",'Total Value'!KA29/'Total Value'!$D29-1)</f>
        <v/>
      </c>
      <c r="KB17" s="14" t="str">
        <f ca="1">IF(KB$1="","",'Total Value'!KB29/'Total Value'!$D29-1)</f>
        <v/>
      </c>
    </row>
    <row r="18" spans="1:288" ht="15.75" customHeight="1">
      <c r="A18" s="9" t="s">
        <v>30</v>
      </c>
      <c r="B18" s="6" t="s">
        <v>63</v>
      </c>
      <c r="C18" s="26">
        <v>37</v>
      </c>
      <c r="D18" s="13">
        <v>0</v>
      </c>
      <c r="E18" s="14">
        <f ca="1">IF(E$1="","",'Total Value'!E30/'Total Value'!$D30-1)</f>
        <v>6.0642813826561337E-3</v>
      </c>
      <c r="F18" s="14">
        <f ca="1">IF(F$1="","",'Total Value'!F30/'Total Value'!$D30-1)</f>
        <v>1.5463917525773141E-2</v>
      </c>
      <c r="G18" s="14">
        <f ca="1">IF(G$1="","",'Total Value'!G30/'Total Value'!$D30-1)</f>
        <v>1.6676773802304368E-2</v>
      </c>
      <c r="H18" s="14">
        <f ca="1">IF(H$1="","",'Total Value'!H30/'Total Value'!$D30-1)</f>
        <v>6.1653527390337359E-3</v>
      </c>
      <c r="I18" s="14">
        <f ca="1">IF(I$1="","",'Total Value'!I30/'Total Value'!$D30-1)</f>
        <v>-9.7028502122497029E-3</v>
      </c>
      <c r="J18" s="14">
        <f ca="1">IF(J$1="","",'Total Value'!J30/'Total Value'!$D30-1)</f>
        <v>-2.0012128562765241E-2</v>
      </c>
      <c r="K18" s="14">
        <f ca="1">IF(K$1="","",'Total Value'!K30/'Total Value'!$D30-1)</f>
        <v>-3.3454618960986449E-2</v>
      </c>
      <c r="L18" s="14">
        <f ca="1">IF(L$1="","",'Total Value'!L30/'Total Value'!$D30-1)</f>
        <v>-5.1748534465332563E-2</v>
      </c>
      <c r="M18" s="14">
        <f ca="1">IF(M$1="","",'Total Value'!M30/'Total Value'!$D30-1)</f>
        <v>-3.9822114412775389E-2</v>
      </c>
      <c r="N18" s="14">
        <f ca="1">IF(N$1="","",'Total Value'!N30/'Total Value'!$D30-1)</f>
        <v>-6.1552456033959979E-2</v>
      </c>
      <c r="O18" s="14">
        <f ca="1">IF(O$1="","",'Total Value'!O30/'Total Value'!$D30-1)</f>
        <v>-6.5494238932686466E-2</v>
      </c>
      <c r="P18" s="14">
        <f ca="1">IF(P$1="","",'Total Value'!P30/'Total Value'!$D30-1)</f>
        <v>-8.8942793612290294E-2</v>
      </c>
      <c r="Q18" s="14">
        <f ca="1">IF(Q$1="","",'Total Value'!Q30/'Total Value'!$D30-1)</f>
        <v>-8.4293511218920592E-2</v>
      </c>
      <c r="R18" s="14">
        <f ca="1">IF(R$1="","",'Total Value'!R30/'Total Value'!$D30-1)</f>
        <v>-7.0952092177076986E-2</v>
      </c>
      <c r="S18" s="14">
        <f ca="1">IF(S$1="","",'Total Value'!S30/'Total Value'!$D30-1)</f>
        <v>-6.2158884172225481E-2</v>
      </c>
      <c r="T18" s="14">
        <f ca="1">IF(T$1="","",'Total Value'!T30/'Total Value'!$D30-1)</f>
        <v>-5.6296745502324552E-2</v>
      </c>
      <c r="U18" s="14">
        <f ca="1">IF(U$1="","",'Total Value'!U30/'Total Value'!$D30-1)</f>
        <v>-6.4887810794420853E-2</v>
      </c>
      <c r="V18" s="14">
        <f ca="1">IF(V$1="","",'Total Value'!V30/'Total Value'!$D30-1)</f>
        <v>-7.0143521326056169E-2</v>
      </c>
      <c r="W18" s="14">
        <f ca="1">IF(W$1="","",'Total Value'!W30/'Total Value'!$D30-1)</f>
        <v>-6.2158884172225481E-2</v>
      </c>
      <c r="X18" s="14">
        <f ca="1">IF(X$1="","",'Total Value'!X30/'Total Value'!$D30-1)</f>
        <v>-4.9019607843137192E-2</v>
      </c>
      <c r="Y18" s="14">
        <f ca="1">IF(Y$1="","",'Total Value'!Y30/'Total Value'!$D30-1)</f>
        <v>-3.9316757630887378E-2</v>
      </c>
      <c r="Z18" s="14">
        <f ca="1">IF(Z$1="","",'Total Value'!Z30/'Total Value'!$D30-1)</f>
        <v>-7.8027087123509142E-2</v>
      </c>
      <c r="AA18" s="14">
        <f ca="1">IF(AA$1="","",'Total Value'!AA30/'Total Value'!$D30-1)</f>
        <v>-0.12027491408934698</v>
      </c>
      <c r="AB18" s="14">
        <f ca="1">IF(AB$1="","",'Total Value'!AB30/'Total Value'!$D30-1)</f>
        <v>-0.12067919951485739</v>
      </c>
      <c r="AC18" s="14">
        <f ca="1">IF(AC$1="","",'Total Value'!AC30/'Total Value'!$D30-1)</f>
        <v>-0.10642813826561548</v>
      </c>
      <c r="AD18" s="14">
        <f ca="1">IF(AD$1="","",'Total Value'!AD30/'Total Value'!$D30-1)</f>
        <v>-9.9353143319183213E-2</v>
      </c>
      <c r="AE18" s="14">
        <f ca="1">IF(AE$1="","",'Total Value'!AE30/'Total Value'!$D30-1)</f>
        <v>-0.10834849403678992</v>
      </c>
      <c r="AF18" s="14">
        <f ca="1">IF(AF$1="","",'Total Value'!AF30/'Total Value'!$D30-1)</f>
        <v>-0.11693955932888611</v>
      </c>
      <c r="AG18" s="14">
        <f ca="1">IF(AG$1="","",'Total Value'!AG30/'Total Value'!$D30-1)</f>
        <v>-0.12411562563169587</v>
      </c>
      <c r="AH18" s="14">
        <f ca="1">IF(AH$1="","",'Total Value'!AH30/'Total Value'!$D30-1)</f>
        <v>-0.14109561350313304</v>
      </c>
      <c r="AI18" s="14">
        <f ca="1">IF(AI$1="","",'Total Value'!AI30/'Total Value'!$D30-1)</f>
        <v>-0.13179704871639364</v>
      </c>
      <c r="AJ18" s="14">
        <f ca="1">IF(AJ$1="","",'Total Value'!AJ30/'Total Value'!$D30-1)</f>
        <v>-0.10531635334546186</v>
      </c>
      <c r="AK18" s="14">
        <f ca="1">IF(AK$1="","",'Total Value'!AK30/'Total Value'!$D30-1)</f>
        <v>-0.111885991510006</v>
      </c>
      <c r="AL18" s="14">
        <f ca="1">IF(AL$1="","",'Total Value'!AL30/'Total Value'!$D30-1)</f>
        <v>-0.15120274914089338</v>
      </c>
      <c r="AM18" s="14">
        <f ca="1">IF(AM$1="","",'Total Value'!AM30/'Total Value'!$D30-1)</f>
        <v>-0.13432383262583369</v>
      </c>
      <c r="AN18" s="14">
        <f ca="1">IF(AN$1="","",'Total Value'!AN30/'Total Value'!$D30-1)</f>
        <v>-0.13978168587022433</v>
      </c>
      <c r="AO18" s="14">
        <f ca="1">IF(AO$1="","",'Total Value'!AO30/'Total Value'!$D30-1)</f>
        <v>-0.19254093389933291</v>
      </c>
      <c r="AP18" s="14">
        <f ca="1">IF(AP$1="","",'Total Value'!AP30/'Total Value'!$D30-1)</f>
        <v>-0.23266626238124111</v>
      </c>
      <c r="AQ18" s="14">
        <f ca="1">IF(AQ$1="","",'Total Value'!AQ30/'Total Value'!$D30-1)</f>
        <v>-0.2239741257327672</v>
      </c>
      <c r="AR18" s="14">
        <f ca="1">IF(AR$1="","",'Total Value'!AR30/'Total Value'!$D30-1)</f>
        <v>-0.2014352132605618</v>
      </c>
      <c r="AS18" s="14">
        <f ca="1">IF(AS$1="","",'Total Value'!AS30/'Total Value'!$D30-1)</f>
        <v>-0.20901556498888196</v>
      </c>
      <c r="AT18" s="14">
        <f ca="1">IF(AT$1="","",'Total Value'!AT30/'Total Value'!$D30-1)</f>
        <v>-0.22882555083889222</v>
      </c>
      <c r="AU18" s="14">
        <f ca="1">IF(AU$1="","",'Total Value'!AU30/'Total Value'!$D30-1)</f>
        <v>-0.23347483323226192</v>
      </c>
      <c r="AV18" s="14">
        <f ca="1">IF(AV$1="","",'Total Value'!AV30/'Total Value'!$D30-1)</f>
        <v>-0.22478269658378802</v>
      </c>
      <c r="AW18" s="14">
        <f ca="1">IF(AW$1="","",'Total Value'!AW30/'Total Value'!$D30-1)</f>
        <v>-0.19496664645239525</v>
      </c>
      <c r="AX18" s="14">
        <f ca="1">IF(AX$1="","",'Total Value'!AX30/'Total Value'!$D30-1)</f>
        <v>-0.18960986456438234</v>
      </c>
      <c r="AY18" s="14">
        <f ca="1">IF(AY$1="","",'Total Value'!AY30/'Total Value'!$D30-1)</f>
        <v>-0.17758237315544767</v>
      </c>
      <c r="AZ18" s="14">
        <f ca="1">IF(AZ$1="","",'Total Value'!AZ30/'Total Value'!$D30-1)</f>
        <v>-0.18465736810187983</v>
      </c>
      <c r="BA18" s="14">
        <f ca="1">IF(BA$1="","",'Total Value'!BA30/'Total Value'!$D30-1)</f>
        <v>-0.18667879522943198</v>
      </c>
      <c r="BB18" s="14">
        <f ca="1">IF(BB$1="","",'Total Value'!BB30/'Total Value'!$D30-1)</f>
        <v>-0.20658985243581962</v>
      </c>
      <c r="BC18" s="14">
        <f ca="1">IF(BC$1="","",'Total Value'!BC30/'Total Value'!$D30-1)</f>
        <v>-0.20962199312714769</v>
      </c>
      <c r="BD18" s="14">
        <f ca="1">IF(BD$1="","",'Total Value'!BD30/'Total Value'!$D30-1)</f>
        <v>-0.21396806145138469</v>
      </c>
      <c r="BE18" s="14">
        <f ca="1">IF(BE$1="","",'Total Value'!BE30/'Total Value'!$D30-1)</f>
        <v>-0.22488376794016574</v>
      </c>
      <c r="BF18" s="14">
        <f ca="1">IF(BF$1="","",'Total Value'!BF30/'Total Value'!$D30-1)</f>
        <v>-0.19425914695775215</v>
      </c>
      <c r="BG18" s="14">
        <f ca="1">IF(BG$1="","",'Total Value'!BG30/'Total Value'!$D30-1)</f>
        <v>-0.21770770163735587</v>
      </c>
      <c r="BH18" s="14">
        <f ca="1">IF(BH$1="","",'Total Value'!BH30/'Total Value'!$D30-1)</f>
        <v>-0.23984232868405087</v>
      </c>
      <c r="BI18" s="14">
        <f ca="1">IF(BI$1="","",'Total Value'!BI30/'Total Value'!$D30-1)</f>
        <v>-0.23135233474833228</v>
      </c>
      <c r="BJ18" s="14">
        <f ca="1">IF(BJ$1="","",'Total Value'!BJ30/'Total Value'!$D30-1)</f>
        <v>-0.22933090762078023</v>
      </c>
      <c r="BK18" s="14">
        <f ca="1">IF(BK$1="","",'Total Value'!BK30/'Total Value'!$D30-1)</f>
        <v>-0.24853446533252477</v>
      </c>
      <c r="BL18" s="14">
        <f ca="1">IF(BL$1="","",'Total Value'!BL30/'Total Value'!$D30-1)</f>
        <v>-0.26794016575702428</v>
      </c>
      <c r="BM18" s="14">
        <f ca="1">IF(BM$1="","",'Total Value'!BM30/'Total Value'!$D30-1)</f>
        <v>-0.27713765918738631</v>
      </c>
      <c r="BN18" s="14">
        <f ca="1">IF(BN$1="","",'Total Value'!BN30/'Total Value'!$D30-1)</f>
        <v>-0.27491408934707906</v>
      </c>
      <c r="BO18" s="14">
        <f ca="1">IF(BO$1="","",'Total Value'!BO30/'Total Value'!$D30-1)</f>
        <v>-0.28249444107539923</v>
      </c>
      <c r="BP18" s="14">
        <f ca="1">IF(BP$1="","",'Total Value'!BP30/'Total Value'!$D30-1)</f>
        <v>-0.28613300990499291</v>
      </c>
      <c r="BQ18" s="14">
        <f ca="1">IF(BQ$1="","",'Total Value'!BQ30/'Total Value'!$D30-1)</f>
        <v>-0.26996159288457644</v>
      </c>
      <c r="BR18" s="14">
        <f ca="1">IF(BR$1="","",'Total Value'!BR30/'Total Value'!$D30-1)</f>
        <v>-0.26996159288457644</v>
      </c>
      <c r="BS18" s="14">
        <f ca="1">IF(BS$1="","",'Total Value'!BS30/'Total Value'!$D30-1)</f>
        <v>-0.27764301596927432</v>
      </c>
      <c r="BT18" s="14">
        <f ca="1">IF(BT$1="","",'Total Value'!BT30/'Total Value'!$D30-1)</f>
        <v>-0.25480088942793599</v>
      </c>
      <c r="BU18" s="14">
        <f ca="1">IF(BU$1="","",'Total Value'!BU30/'Total Value'!$D30-1)</f>
        <v>-0.24257125530624624</v>
      </c>
      <c r="BV18" s="14">
        <f ca="1">IF(BV$1="","",'Total Value'!BV30/'Total Value'!$D30-1)</f>
        <v>-0.24893875075803507</v>
      </c>
      <c r="BW18" s="14">
        <f ca="1">IF(BW$1="","",'Total Value'!BW30/'Total Value'!$D30-1)</f>
        <v>-0.26612088134222756</v>
      </c>
      <c r="BX18" s="14">
        <f ca="1">IF(BX$1="","",'Total Value'!BX30/'Total Value'!$D30-1)</f>
        <v>-0.26116838487972505</v>
      </c>
      <c r="BY18" s="14">
        <f ca="1">IF(BY$1="","",'Total Value'!BY30/'Total Value'!$D30-1)</f>
        <v>-0.29108550636749542</v>
      </c>
      <c r="BZ18" s="14">
        <f ca="1">IF(BZ$1="","",'Total Value'!BZ30/'Total Value'!$D30-1)</f>
        <v>-0.299575500303214</v>
      </c>
      <c r="CA18" s="14">
        <f ca="1">IF(CA$1="","",'Total Value'!CA30/'Total Value'!$D30-1)</f>
        <v>-0.27531837477258936</v>
      </c>
      <c r="CB18" s="14">
        <f ca="1">IF(CB$1="","",'Total Value'!CB30/'Total Value'!$D30-1)</f>
        <v>-0.2902769355164746</v>
      </c>
      <c r="CC18" s="14">
        <f ca="1">IF(CC$1="","",'Total Value'!CC30/'Total Value'!$D30-1)</f>
        <v>-0.27784515868202941</v>
      </c>
      <c r="CD18" s="14">
        <f ca="1">IF(CD$1="","",'Total Value'!CD30/'Total Value'!$D30-1)</f>
        <v>-0.26298766929452189</v>
      </c>
      <c r="CE18" s="14">
        <f ca="1">IF(CE$1="","",'Total Value'!CE30/'Total Value'!$D30-1)</f>
        <v>-0.22973519304629064</v>
      </c>
      <c r="CF18" s="14" t="str">
        <f ca="1">IF(CF$1="","",'Total Value'!CF30/'Total Value'!$D30-1)</f>
        <v/>
      </c>
      <c r="CG18" s="14" t="str">
        <f ca="1">IF(CG$1="","",'Total Value'!CG30/'Total Value'!$D30-1)</f>
        <v/>
      </c>
      <c r="CH18" s="14" t="str">
        <f ca="1">IF(CH$1="","",'Total Value'!CH30/'Total Value'!$D30-1)</f>
        <v/>
      </c>
      <c r="CI18" s="14" t="str">
        <f ca="1">IF(CI$1="","",'Total Value'!CI30/'Total Value'!$D30-1)</f>
        <v/>
      </c>
      <c r="CJ18" s="14" t="str">
        <f ca="1">IF(CJ$1="","",'Total Value'!CJ30/'Total Value'!$D30-1)</f>
        <v/>
      </c>
      <c r="CK18" s="14" t="str">
        <f ca="1">IF(CK$1="","",'Total Value'!CK30/'Total Value'!$D30-1)</f>
        <v/>
      </c>
      <c r="CL18" s="14" t="str">
        <f ca="1">IF(CL$1="","",'Total Value'!CL30/'Total Value'!$D30-1)</f>
        <v/>
      </c>
      <c r="CM18" s="14" t="str">
        <f ca="1">IF(CM$1="","",'Total Value'!CM30/'Total Value'!$D30-1)</f>
        <v/>
      </c>
      <c r="CN18" s="14" t="str">
        <f ca="1">IF(CN$1="","",'Total Value'!CN30/'Total Value'!$D30-1)</f>
        <v/>
      </c>
      <c r="CO18" s="14" t="str">
        <f ca="1">IF(CO$1="","",'Total Value'!CO30/'Total Value'!$D30-1)</f>
        <v/>
      </c>
      <c r="CP18" s="14" t="str">
        <f ca="1">IF(CP$1="","",'Total Value'!CP30/'Total Value'!$D30-1)</f>
        <v/>
      </c>
      <c r="CQ18" s="14" t="str">
        <f ca="1">IF(CQ$1="","",'Total Value'!CQ30/'Total Value'!$D30-1)</f>
        <v/>
      </c>
      <c r="CR18" s="14" t="str">
        <f ca="1">IF(CR$1="","",'Total Value'!CR30/'Total Value'!$D30-1)</f>
        <v/>
      </c>
      <c r="CS18" s="14" t="str">
        <f ca="1">IF(CS$1="","",'Total Value'!CS30/'Total Value'!$D30-1)</f>
        <v/>
      </c>
      <c r="CT18" s="14" t="str">
        <f ca="1">IF(CT$1="","",'Total Value'!CT30/'Total Value'!$D30-1)</f>
        <v/>
      </c>
      <c r="CU18" s="14" t="str">
        <f ca="1">IF(CU$1="","",'Total Value'!CU30/'Total Value'!$D30-1)</f>
        <v/>
      </c>
      <c r="CV18" s="14" t="str">
        <f ca="1">IF(CV$1="","",'Total Value'!CV30/'Total Value'!$D30-1)</f>
        <v/>
      </c>
      <c r="CW18" s="14" t="str">
        <f ca="1">IF(CW$1="","",'Total Value'!CW30/'Total Value'!$D30-1)</f>
        <v/>
      </c>
      <c r="CX18" s="14" t="str">
        <f ca="1">IF(CX$1="","",'Total Value'!CX30/'Total Value'!$D30-1)</f>
        <v/>
      </c>
      <c r="CY18" s="14" t="str">
        <f ca="1">IF(CY$1="","",'Total Value'!CY30/'Total Value'!$D30-1)</f>
        <v/>
      </c>
      <c r="CZ18" s="14" t="str">
        <f ca="1">IF(CZ$1="","",'Total Value'!CZ30/'Total Value'!$D30-1)</f>
        <v/>
      </c>
      <c r="DA18" s="14" t="str">
        <f ca="1">IF(DA$1="","",'Total Value'!DA30/'Total Value'!$D30-1)</f>
        <v/>
      </c>
      <c r="DB18" s="14" t="str">
        <f ca="1">IF(DB$1="","",'Total Value'!DB30/'Total Value'!$D30-1)</f>
        <v/>
      </c>
      <c r="DC18" s="14" t="str">
        <f ca="1">IF(DC$1="","",'Total Value'!DC30/'Total Value'!$D30-1)</f>
        <v/>
      </c>
      <c r="DD18" s="14" t="str">
        <f ca="1">IF(DD$1="","",'Total Value'!DD30/'Total Value'!$D30-1)</f>
        <v/>
      </c>
      <c r="DE18" s="14" t="str">
        <f ca="1">IF(DE$1="","",'Total Value'!DE30/'Total Value'!$D30-1)</f>
        <v/>
      </c>
      <c r="DF18" s="14" t="str">
        <f ca="1">IF(DF$1="","",'Total Value'!DF30/'Total Value'!$D30-1)</f>
        <v/>
      </c>
      <c r="DG18" s="14" t="str">
        <f ca="1">IF(DG$1="","",'Total Value'!DG30/'Total Value'!$D30-1)</f>
        <v/>
      </c>
      <c r="DH18" s="14" t="str">
        <f ca="1">IF(DH$1="","",'Total Value'!DH30/'Total Value'!$D30-1)</f>
        <v/>
      </c>
      <c r="DI18" s="14" t="str">
        <f ca="1">IF(DI$1="","",'Total Value'!DI30/'Total Value'!$D30-1)</f>
        <v/>
      </c>
      <c r="DJ18" s="14" t="str">
        <f ca="1">IF(DJ$1="","",'Total Value'!DJ30/'Total Value'!$D30-1)</f>
        <v/>
      </c>
      <c r="DK18" s="14" t="str">
        <f ca="1">IF(DK$1="","",'Total Value'!DK30/'Total Value'!$D30-1)</f>
        <v/>
      </c>
      <c r="DL18" s="14" t="str">
        <f ca="1">IF(DL$1="","",'Total Value'!DL30/'Total Value'!$D30-1)</f>
        <v/>
      </c>
      <c r="DM18" s="14" t="str">
        <f ca="1">IF(DM$1="","",'Total Value'!DM30/'Total Value'!$D30-1)</f>
        <v/>
      </c>
      <c r="DN18" s="14" t="str">
        <f ca="1">IF(DN$1="","",'Total Value'!DN30/'Total Value'!$D30-1)</f>
        <v/>
      </c>
      <c r="DO18" s="14" t="str">
        <f ca="1">IF(DO$1="","",'Total Value'!DO30/'Total Value'!$D30-1)</f>
        <v/>
      </c>
      <c r="DP18" s="14" t="str">
        <f ca="1">IF(DP$1="","",'Total Value'!DP30/'Total Value'!$D30-1)</f>
        <v/>
      </c>
      <c r="DQ18" s="14" t="str">
        <f ca="1">IF(DQ$1="","",'Total Value'!DQ30/'Total Value'!$D30-1)</f>
        <v/>
      </c>
      <c r="DR18" s="14" t="str">
        <f ca="1">IF(DR$1="","",'Total Value'!DR30/'Total Value'!$D30-1)</f>
        <v/>
      </c>
      <c r="DS18" s="14" t="str">
        <f ca="1">IF(DS$1="","",'Total Value'!DS30/'Total Value'!$D30-1)</f>
        <v/>
      </c>
      <c r="DT18" s="14" t="str">
        <f ca="1">IF(DT$1="","",'Total Value'!DT30/'Total Value'!$D30-1)</f>
        <v/>
      </c>
      <c r="DU18" s="14" t="str">
        <f ca="1">IF(DU$1="","",'Total Value'!DU30/'Total Value'!$D30-1)</f>
        <v/>
      </c>
      <c r="DV18" s="14" t="str">
        <f ca="1">IF(DV$1="","",'Total Value'!DV30/'Total Value'!$D30-1)</f>
        <v/>
      </c>
      <c r="DW18" s="14" t="str">
        <f ca="1">IF(DW$1="","",'Total Value'!DW30/'Total Value'!$D30-1)</f>
        <v/>
      </c>
      <c r="DX18" s="14" t="str">
        <f ca="1">IF(DX$1="","",'Total Value'!DX30/'Total Value'!$D30-1)</f>
        <v/>
      </c>
      <c r="DY18" s="14" t="str">
        <f ca="1">IF(DY$1="","",'Total Value'!DY30/'Total Value'!$D30-1)</f>
        <v/>
      </c>
      <c r="DZ18" s="14" t="str">
        <f ca="1">IF(DZ$1="","",'Total Value'!DZ30/'Total Value'!$D30-1)</f>
        <v/>
      </c>
      <c r="EA18" s="14" t="str">
        <f ca="1">IF(EA$1="","",'Total Value'!EA30/'Total Value'!$D30-1)</f>
        <v/>
      </c>
      <c r="EB18" s="14" t="str">
        <f ca="1">IF(EB$1="","",'Total Value'!EB30/'Total Value'!$D30-1)</f>
        <v/>
      </c>
      <c r="EC18" s="14" t="str">
        <f ca="1">IF(EC$1="","",'Total Value'!EC30/'Total Value'!$D30-1)</f>
        <v/>
      </c>
      <c r="ED18" s="14" t="str">
        <f ca="1">IF(ED$1="","",'Total Value'!ED30/'Total Value'!$D30-1)</f>
        <v/>
      </c>
      <c r="EE18" s="14" t="str">
        <f ca="1">IF(EE$1="","",'Total Value'!EE30/'Total Value'!$D30-1)</f>
        <v/>
      </c>
      <c r="EF18" s="14" t="str">
        <f ca="1">IF(EF$1="","",'Total Value'!EF30/'Total Value'!$D30-1)</f>
        <v/>
      </c>
      <c r="EG18" s="14" t="str">
        <f ca="1">IF(EG$1="","",'Total Value'!EG30/'Total Value'!$D30-1)</f>
        <v/>
      </c>
      <c r="EH18" s="14" t="str">
        <f ca="1">IF(EH$1="","",'Total Value'!EH30/'Total Value'!$D30-1)</f>
        <v/>
      </c>
      <c r="EI18" s="14" t="str">
        <f ca="1">IF(EI$1="","",'Total Value'!EI30/'Total Value'!$D30-1)</f>
        <v/>
      </c>
      <c r="EJ18" s="14" t="str">
        <f ca="1">IF(EJ$1="","",'Total Value'!EJ30/'Total Value'!$D30-1)</f>
        <v/>
      </c>
      <c r="EK18" s="14" t="str">
        <f ca="1">IF(EK$1="","",'Total Value'!EK30/'Total Value'!$D30-1)</f>
        <v/>
      </c>
      <c r="EL18" s="14" t="str">
        <f ca="1">IF(EL$1="","",'Total Value'!EL30/'Total Value'!$D30-1)</f>
        <v/>
      </c>
      <c r="EM18" s="14" t="str">
        <f ca="1">IF(EM$1="","",'Total Value'!EM30/'Total Value'!$D30-1)</f>
        <v/>
      </c>
      <c r="EN18" s="14" t="str">
        <f ca="1">IF(EN$1="","",'Total Value'!EN30/'Total Value'!$D30-1)</f>
        <v/>
      </c>
      <c r="EO18" s="14" t="str">
        <f ca="1">IF(EO$1="","",'Total Value'!EO30/'Total Value'!$D30-1)</f>
        <v/>
      </c>
      <c r="EP18" s="14" t="str">
        <f ca="1">IF(EP$1="","",'Total Value'!EP30/'Total Value'!$D30-1)</f>
        <v/>
      </c>
      <c r="EQ18" s="14" t="str">
        <f ca="1">IF(EQ$1="","",'Total Value'!EQ30/'Total Value'!$D30-1)</f>
        <v/>
      </c>
      <c r="ER18" s="14" t="str">
        <f ca="1">IF(ER$1="","",'Total Value'!ER30/'Total Value'!$D30-1)</f>
        <v/>
      </c>
      <c r="ES18" s="14" t="str">
        <f ca="1">IF(ES$1="","",'Total Value'!ES30/'Total Value'!$D30-1)</f>
        <v/>
      </c>
      <c r="ET18" s="14" t="str">
        <f ca="1">IF(ET$1="","",'Total Value'!ET30/'Total Value'!$D30-1)</f>
        <v/>
      </c>
      <c r="EU18" s="14" t="str">
        <f ca="1">IF(EU$1="","",'Total Value'!EU30/'Total Value'!$D30-1)</f>
        <v/>
      </c>
      <c r="EV18" s="14" t="str">
        <f ca="1">IF(EV$1="","",'Total Value'!EV30/'Total Value'!$D30-1)</f>
        <v/>
      </c>
      <c r="EW18" s="14" t="str">
        <f ca="1">IF(EW$1="","",'Total Value'!EW30/'Total Value'!$D30-1)</f>
        <v/>
      </c>
      <c r="EX18" s="14" t="str">
        <f ca="1">IF(EX$1="","",'Total Value'!EX30/'Total Value'!$D30-1)</f>
        <v/>
      </c>
      <c r="EY18" s="14" t="str">
        <f ca="1">IF(EY$1="","",'Total Value'!EY30/'Total Value'!$D30-1)</f>
        <v/>
      </c>
      <c r="EZ18" s="14" t="str">
        <f ca="1">IF(EZ$1="","",'Total Value'!EZ30/'Total Value'!$D30-1)</f>
        <v/>
      </c>
      <c r="FA18" s="14" t="str">
        <f ca="1">IF(FA$1="","",'Total Value'!FA30/'Total Value'!$D30-1)</f>
        <v/>
      </c>
      <c r="FB18" s="14" t="str">
        <f ca="1">IF(FB$1="","",'Total Value'!FB30/'Total Value'!$D30-1)</f>
        <v/>
      </c>
      <c r="FC18" s="14" t="str">
        <f ca="1">IF(FC$1="","",'Total Value'!FC30/'Total Value'!$D30-1)</f>
        <v/>
      </c>
      <c r="FD18" s="14" t="str">
        <f ca="1">IF(FD$1="","",'Total Value'!FD30/'Total Value'!$D30-1)</f>
        <v/>
      </c>
      <c r="FE18" s="14" t="str">
        <f ca="1">IF(FE$1="","",'Total Value'!FE30/'Total Value'!$D30-1)</f>
        <v/>
      </c>
      <c r="FF18" s="14" t="str">
        <f ca="1">IF(FF$1="","",'Total Value'!FF30/'Total Value'!$D30-1)</f>
        <v/>
      </c>
      <c r="FG18" s="14" t="str">
        <f ca="1">IF(FG$1="","",'Total Value'!FG30/'Total Value'!$D30-1)</f>
        <v/>
      </c>
      <c r="FH18" s="14" t="str">
        <f ca="1">IF(FH$1="","",'Total Value'!FH30/'Total Value'!$D30-1)</f>
        <v/>
      </c>
      <c r="FI18" s="14" t="str">
        <f ca="1">IF(FI$1="","",'Total Value'!FI30/'Total Value'!$D30-1)</f>
        <v/>
      </c>
      <c r="FJ18" s="14" t="str">
        <f ca="1">IF(FJ$1="","",'Total Value'!FJ30/'Total Value'!$D30-1)</f>
        <v/>
      </c>
      <c r="FK18" s="14" t="str">
        <f ca="1">IF(FK$1="","",'Total Value'!FK30/'Total Value'!$D30-1)</f>
        <v/>
      </c>
      <c r="FL18" s="14" t="str">
        <f ca="1">IF(FL$1="","",'Total Value'!FL30/'Total Value'!$D30-1)</f>
        <v/>
      </c>
      <c r="FM18" s="14" t="str">
        <f ca="1">IF(FM$1="","",'Total Value'!FM30/'Total Value'!$D30-1)</f>
        <v/>
      </c>
      <c r="FN18" s="14" t="str">
        <f ca="1">IF(FN$1="","",'Total Value'!FN30/'Total Value'!$D30-1)</f>
        <v/>
      </c>
      <c r="FO18" s="14" t="str">
        <f ca="1">IF(FO$1="","",'Total Value'!FO30/'Total Value'!$D30-1)</f>
        <v/>
      </c>
      <c r="FP18" s="14" t="str">
        <f ca="1">IF(FP$1="","",'Total Value'!FP30/'Total Value'!$D30-1)</f>
        <v/>
      </c>
      <c r="FQ18" s="14" t="str">
        <f ca="1">IF(FQ$1="","",'Total Value'!FQ30/'Total Value'!$D30-1)</f>
        <v/>
      </c>
      <c r="FR18" s="14" t="str">
        <f ca="1">IF(FR$1="","",'Total Value'!FR30/'Total Value'!$D30-1)</f>
        <v/>
      </c>
      <c r="FS18" s="14" t="str">
        <f ca="1">IF(FS$1="","",'Total Value'!FS30/'Total Value'!$D30-1)</f>
        <v/>
      </c>
      <c r="FT18" s="14" t="str">
        <f ca="1">IF(FT$1="","",'Total Value'!FT30/'Total Value'!$D30-1)</f>
        <v/>
      </c>
      <c r="FU18" s="14" t="str">
        <f ca="1">IF(FU$1="","",'Total Value'!FU30/'Total Value'!$D30-1)</f>
        <v/>
      </c>
      <c r="FV18" s="14" t="str">
        <f ca="1">IF(FV$1="","",'Total Value'!FV30/'Total Value'!$D30-1)</f>
        <v/>
      </c>
      <c r="FW18" s="14" t="str">
        <f ca="1">IF(FW$1="","",'Total Value'!FW30/'Total Value'!$D30-1)</f>
        <v/>
      </c>
      <c r="FX18" s="14" t="str">
        <f ca="1">IF(FX$1="","",'Total Value'!FX30/'Total Value'!$D30-1)</f>
        <v/>
      </c>
      <c r="FY18" s="14" t="str">
        <f ca="1">IF(FY$1="","",'Total Value'!FY30/'Total Value'!$D30-1)</f>
        <v/>
      </c>
      <c r="FZ18" s="14" t="str">
        <f ca="1">IF(FZ$1="","",'Total Value'!FZ30/'Total Value'!$D30-1)</f>
        <v/>
      </c>
      <c r="GA18" s="14" t="str">
        <f ca="1">IF(GA$1="","",'Total Value'!GA30/'Total Value'!$D30-1)</f>
        <v/>
      </c>
      <c r="GB18" s="14" t="str">
        <f ca="1">IF(GB$1="","",'Total Value'!GB30/'Total Value'!$D30-1)</f>
        <v/>
      </c>
      <c r="GC18" s="14" t="str">
        <f ca="1">IF(GC$1="","",'Total Value'!GC30/'Total Value'!$D30-1)</f>
        <v/>
      </c>
      <c r="GD18" s="14" t="str">
        <f ca="1">IF(GD$1="","",'Total Value'!GD30/'Total Value'!$D30-1)</f>
        <v/>
      </c>
      <c r="GE18" s="14" t="str">
        <f ca="1">IF(GE$1="","",'Total Value'!GE30/'Total Value'!$D30-1)</f>
        <v/>
      </c>
      <c r="GF18" s="14" t="str">
        <f ca="1">IF(GF$1="","",'Total Value'!GF30/'Total Value'!$D30-1)</f>
        <v/>
      </c>
      <c r="GG18" s="14" t="str">
        <f ca="1">IF(GG$1="","",'Total Value'!GG30/'Total Value'!$D30-1)</f>
        <v/>
      </c>
      <c r="GH18" s="14" t="str">
        <f ca="1">IF(GH$1="","",'Total Value'!GH30/'Total Value'!$D30-1)</f>
        <v/>
      </c>
      <c r="GI18" s="14" t="str">
        <f ca="1">IF(GI$1="","",'Total Value'!GI30/'Total Value'!$D30-1)</f>
        <v/>
      </c>
      <c r="GJ18" s="14" t="str">
        <f ca="1">IF(GJ$1="","",'Total Value'!GJ30/'Total Value'!$D30-1)</f>
        <v/>
      </c>
      <c r="GK18" s="14" t="str">
        <f ca="1">IF(GK$1="","",'Total Value'!GK30/'Total Value'!$D30-1)</f>
        <v/>
      </c>
      <c r="GL18" s="14" t="str">
        <f ca="1">IF(GL$1="","",'Total Value'!GL30/'Total Value'!$D30-1)</f>
        <v/>
      </c>
      <c r="GM18" s="14" t="str">
        <f ca="1">IF(GM$1="","",'Total Value'!GM30/'Total Value'!$D30-1)</f>
        <v/>
      </c>
      <c r="GN18" s="14" t="str">
        <f ca="1">IF(GN$1="","",'Total Value'!GN30/'Total Value'!$D30-1)</f>
        <v/>
      </c>
      <c r="GO18" s="14" t="str">
        <f ca="1">IF(GO$1="","",'Total Value'!GO30/'Total Value'!$D30-1)</f>
        <v/>
      </c>
      <c r="GP18" s="14" t="str">
        <f ca="1">IF(GP$1="","",'Total Value'!GP30/'Total Value'!$D30-1)</f>
        <v/>
      </c>
      <c r="GQ18" s="14" t="str">
        <f ca="1">IF(GQ$1="","",'Total Value'!GQ30/'Total Value'!$D30-1)</f>
        <v/>
      </c>
      <c r="GR18" s="14" t="str">
        <f ca="1">IF(GR$1="","",'Total Value'!GR30/'Total Value'!$D30-1)</f>
        <v/>
      </c>
      <c r="GS18" s="14" t="str">
        <f ca="1">IF(GS$1="","",'Total Value'!GS30/'Total Value'!$D30-1)</f>
        <v/>
      </c>
      <c r="GT18" s="14" t="str">
        <f ca="1">IF(GT$1="","",'Total Value'!GT30/'Total Value'!$D30-1)</f>
        <v/>
      </c>
      <c r="GU18" s="14" t="str">
        <f ca="1">IF(GU$1="","",'Total Value'!GU30/'Total Value'!$D30-1)</f>
        <v/>
      </c>
      <c r="GV18" s="14" t="str">
        <f ca="1">IF(GV$1="","",'Total Value'!GV30/'Total Value'!$D30-1)</f>
        <v/>
      </c>
      <c r="GW18" s="14" t="str">
        <f ca="1">IF(GW$1="","",'Total Value'!GW30/'Total Value'!$D30-1)</f>
        <v/>
      </c>
      <c r="GX18" s="14" t="str">
        <f ca="1">IF(GX$1="","",'Total Value'!GX30/'Total Value'!$D30-1)</f>
        <v/>
      </c>
      <c r="GY18" s="14" t="str">
        <f ca="1">IF(GY$1="","",'Total Value'!GY30/'Total Value'!$D30-1)</f>
        <v/>
      </c>
      <c r="GZ18" s="14" t="str">
        <f ca="1">IF(GZ$1="","",'Total Value'!GZ30/'Total Value'!$D30-1)</f>
        <v/>
      </c>
      <c r="HA18" s="14" t="str">
        <f ca="1">IF(HA$1="","",'Total Value'!HA30/'Total Value'!$D30-1)</f>
        <v/>
      </c>
      <c r="HB18" s="14" t="str">
        <f ca="1">IF(HB$1="","",'Total Value'!HB30/'Total Value'!$D30-1)</f>
        <v/>
      </c>
      <c r="HC18" s="14" t="str">
        <f ca="1">IF(HC$1="","",'Total Value'!HC30/'Total Value'!$D30-1)</f>
        <v/>
      </c>
      <c r="HD18" s="14" t="str">
        <f ca="1">IF(HD$1="","",'Total Value'!HD30/'Total Value'!$D30-1)</f>
        <v/>
      </c>
      <c r="HE18" s="14" t="str">
        <f ca="1">IF(HE$1="","",'Total Value'!HE30/'Total Value'!$D30-1)</f>
        <v/>
      </c>
      <c r="HF18" s="14" t="str">
        <f ca="1">IF(HF$1="","",'Total Value'!HF30/'Total Value'!$D30-1)</f>
        <v/>
      </c>
      <c r="HG18" s="14" t="str">
        <f ca="1">IF(HG$1="","",'Total Value'!HG30/'Total Value'!$D30-1)</f>
        <v/>
      </c>
      <c r="HH18" s="14" t="str">
        <f ca="1">IF(HH$1="","",'Total Value'!HH30/'Total Value'!$D30-1)</f>
        <v/>
      </c>
      <c r="HI18" s="14" t="str">
        <f ca="1">IF(HI$1="","",'Total Value'!HI30/'Total Value'!$D30-1)</f>
        <v/>
      </c>
      <c r="HJ18" s="14" t="str">
        <f ca="1">IF(HJ$1="","",'Total Value'!HJ30/'Total Value'!$D30-1)</f>
        <v/>
      </c>
      <c r="HK18" s="14" t="str">
        <f ca="1">IF(HK$1="","",'Total Value'!HK30/'Total Value'!$D30-1)</f>
        <v/>
      </c>
      <c r="HL18" s="14" t="str">
        <f ca="1">IF(HL$1="","",'Total Value'!HL30/'Total Value'!$D30-1)</f>
        <v/>
      </c>
      <c r="HM18" s="14" t="str">
        <f ca="1">IF(HM$1="","",'Total Value'!HM30/'Total Value'!$D30-1)</f>
        <v/>
      </c>
      <c r="HN18" s="14" t="str">
        <f ca="1">IF(HN$1="","",'Total Value'!HN30/'Total Value'!$D30-1)</f>
        <v/>
      </c>
      <c r="HO18" s="14" t="str">
        <f ca="1">IF(HO$1="","",'Total Value'!HO30/'Total Value'!$D30-1)</f>
        <v/>
      </c>
      <c r="HP18" s="14" t="str">
        <f ca="1">IF(HP$1="","",'Total Value'!HP30/'Total Value'!$D30-1)</f>
        <v/>
      </c>
      <c r="HQ18" s="14" t="str">
        <f ca="1">IF(HQ$1="","",'Total Value'!HQ30/'Total Value'!$D30-1)</f>
        <v/>
      </c>
      <c r="HR18" s="14" t="str">
        <f ca="1">IF(HR$1="","",'Total Value'!HR30/'Total Value'!$D30-1)</f>
        <v/>
      </c>
      <c r="HS18" s="14" t="str">
        <f ca="1">IF(HS$1="","",'Total Value'!HS30/'Total Value'!$D30-1)</f>
        <v/>
      </c>
      <c r="HT18" s="14" t="str">
        <f ca="1">IF(HT$1="","",'Total Value'!HT30/'Total Value'!$D30-1)</f>
        <v/>
      </c>
      <c r="HU18" s="14" t="str">
        <f ca="1">IF(HU$1="","",'Total Value'!HU30/'Total Value'!$D30-1)</f>
        <v/>
      </c>
      <c r="HV18" s="14" t="str">
        <f ca="1">IF(HV$1="","",'Total Value'!HV30/'Total Value'!$D30-1)</f>
        <v/>
      </c>
      <c r="HW18" s="14" t="str">
        <f ca="1">IF(HW$1="","",'Total Value'!HW30/'Total Value'!$D30-1)</f>
        <v/>
      </c>
      <c r="HX18" s="14" t="str">
        <f ca="1">IF(HX$1="","",'Total Value'!HX30/'Total Value'!$D30-1)</f>
        <v/>
      </c>
      <c r="HY18" s="14" t="str">
        <f ca="1">IF(HY$1="","",'Total Value'!HY30/'Total Value'!$D30-1)</f>
        <v/>
      </c>
      <c r="HZ18" s="14" t="str">
        <f ca="1">IF(HZ$1="","",'Total Value'!HZ30/'Total Value'!$D30-1)</f>
        <v/>
      </c>
      <c r="IA18" s="14" t="str">
        <f ca="1">IF(IA$1="","",'Total Value'!IA30/'Total Value'!$D30-1)</f>
        <v/>
      </c>
      <c r="IB18" s="14" t="str">
        <f ca="1">IF(IB$1="","",'Total Value'!IB30/'Total Value'!$D30-1)</f>
        <v/>
      </c>
      <c r="IC18" s="14" t="str">
        <f ca="1">IF(IC$1="","",'Total Value'!IC30/'Total Value'!$D30-1)</f>
        <v/>
      </c>
      <c r="ID18" s="14" t="str">
        <f ca="1">IF(ID$1="","",'Total Value'!ID30/'Total Value'!$D30-1)</f>
        <v/>
      </c>
      <c r="IE18" s="14" t="str">
        <f ca="1">IF(IE$1="","",'Total Value'!IE30/'Total Value'!$D30-1)</f>
        <v/>
      </c>
      <c r="IF18" s="14" t="str">
        <f ca="1">IF(IF$1="","",'Total Value'!IF30/'Total Value'!$D30-1)</f>
        <v/>
      </c>
      <c r="IG18" s="14" t="str">
        <f ca="1">IF(IG$1="","",'Total Value'!IG30/'Total Value'!$D30-1)</f>
        <v/>
      </c>
      <c r="IH18" s="14" t="str">
        <f ca="1">IF(IH$1="","",'Total Value'!IH30/'Total Value'!$D30-1)</f>
        <v/>
      </c>
      <c r="II18" s="14" t="str">
        <f ca="1">IF(II$1="","",'Total Value'!II30/'Total Value'!$D30-1)</f>
        <v/>
      </c>
      <c r="IJ18" s="14" t="str">
        <f ca="1">IF(IJ$1="","",'Total Value'!IJ30/'Total Value'!$D30-1)</f>
        <v/>
      </c>
      <c r="IK18" s="14" t="str">
        <f ca="1">IF(IK$1="","",'Total Value'!IK30/'Total Value'!$D30-1)</f>
        <v/>
      </c>
      <c r="IL18" s="14" t="str">
        <f ca="1">IF(IL$1="","",'Total Value'!IL30/'Total Value'!$D30-1)</f>
        <v/>
      </c>
      <c r="IM18" s="14" t="str">
        <f ca="1">IF(IM$1="","",'Total Value'!IM30/'Total Value'!$D30-1)</f>
        <v/>
      </c>
      <c r="IN18" s="14" t="str">
        <f ca="1">IF(IN$1="","",'Total Value'!IN30/'Total Value'!$D30-1)</f>
        <v/>
      </c>
      <c r="IO18" s="14" t="str">
        <f ca="1">IF(IO$1="","",'Total Value'!IO30/'Total Value'!$D30-1)</f>
        <v/>
      </c>
      <c r="IP18" s="14" t="str">
        <f ca="1">IF(IP$1="","",'Total Value'!IP30/'Total Value'!$D30-1)</f>
        <v/>
      </c>
      <c r="IQ18" s="14" t="str">
        <f ca="1">IF(IQ$1="","",'Total Value'!IQ30/'Total Value'!$D30-1)</f>
        <v/>
      </c>
      <c r="IR18" s="14" t="str">
        <f ca="1">IF(IR$1="","",'Total Value'!IR30/'Total Value'!$D30-1)</f>
        <v/>
      </c>
      <c r="IS18" s="14" t="str">
        <f ca="1">IF(IS$1="","",'Total Value'!IS30/'Total Value'!$D30-1)</f>
        <v/>
      </c>
      <c r="IT18" s="14" t="str">
        <f ca="1">IF(IT$1="","",'Total Value'!IT30/'Total Value'!$D30-1)</f>
        <v/>
      </c>
      <c r="IU18" s="14" t="str">
        <f ca="1">IF(IU$1="","",'Total Value'!IU30/'Total Value'!$D30-1)</f>
        <v/>
      </c>
      <c r="IV18" s="14" t="str">
        <f ca="1">IF(IV$1="","",'Total Value'!IV30/'Total Value'!$D30-1)</f>
        <v/>
      </c>
      <c r="IW18" s="14" t="str">
        <f ca="1">IF(IW$1="","",'Total Value'!IW30/'Total Value'!$D30-1)</f>
        <v/>
      </c>
      <c r="IX18" s="14" t="str">
        <f ca="1">IF(IX$1="","",'Total Value'!IX30/'Total Value'!$D30-1)</f>
        <v/>
      </c>
      <c r="IY18" s="14" t="str">
        <f ca="1">IF(IY$1="","",'Total Value'!IY30/'Total Value'!$D30-1)</f>
        <v/>
      </c>
      <c r="IZ18" s="14" t="str">
        <f ca="1">IF(IZ$1="","",'Total Value'!IZ30/'Total Value'!$D30-1)</f>
        <v/>
      </c>
      <c r="JA18" s="14" t="str">
        <f ca="1">IF(JA$1="","",'Total Value'!JA30/'Total Value'!$D30-1)</f>
        <v/>
      </c>
      <c r="JB18" s="14" t="str">
        <f ca="1">IF(JB$1="","",'Total Value'!JB30/'Total Value'!$D30-1)</f>
        <v/>
      </c>
      <c r="JC18" s="14" t="str">
        <f ca="1">IF(JC$1="","",'Total Value'!JC30/'Total Value'!$D30-1)</f>
        <v/>
      </c>
      <c r="JD18" s="14" t="str">
        <f ca="1">IF(JD$1="","",'Total Value'!JD30/'Total Value'!$D30-1)</f>
        <v/>
      </c>
      <c r="JE18" s="14" t="str">
        <f ca="1">IF(JE$1="","",'Total Value'!JE30/'Total Value'!$D30-1)</f>
        <v/>
      </c>
      <c r="JF18" s="14" t="str">
        <f ca="1">IF(JF$1="","",'Total Value'!JF30/'Total Value'!$D30-1)</f>
        <v/>
      </c>
      <c r="JG18" s="14" t="str">
        <f ca="1">IF(JG$1="","",'Total Value'!JG30/'Total Value'!$D30-1)</f>
        <v/>
      </c>
      <c r="JH18" s="14" t="str">
        <f ca="1">IF(JH$1="","",'Total Value'!JH30/'Total Value'!$D30-1)</f>
        <v/>
      </c>
      <c r="JI18" s="14" t="str">
        <f ca="1">IF(JI$1="","",'Total Value'!JI30/'Total Value'!$D30-1)</f>
        <v/>
      </c>
      <c r="JJ18" s="14" t="str">
        <f ca="1">IF(JJ$1="","",'Total Value'!JJ30/'Total Value'!$D30-1)</f>
        <v/>
      </c>
      <c r="JK18" s="14" t="str">
        <f ca="1">IF(JK$1="","",'Total Value'!JK30/'Total Value'!$D30-1)</f>
        <v/>
      </c>
      <c r="JL18" s="14" t="str">
        <f ca="1">IF(JL$1="","",'Total Value'!JL30/'Total Value'!$D30-1)</f>
        <v/>
      </c>
      <c r="JM18" s="14" t="str">
        <f ca="1">IF(JM$1="","",'Total Value'!JM30/'Total Value'!$D30-1)</f>
        <v/>
      </c>
      <c r="JN18" s="14" t="str">
        <f ca="1">IF(JN$1="","",'Total Value'!JN30/'Total Value'!$D30-1)</f>
        <v/>
      </c>
      <c r="JO18" s="14" t="str">
        <f ca="1">IF(JO$1="","",'Total Value'!JO30/'Total Value'!$D30-1)</f>
        <v/>
      </c>
      <c r="JP18" s="14" t="str">
        <f ca="1">IF(JP$1="","",'Total Value'!JP30/'Total Value'!$D30-1)</f>
        <v/>
      </c>
      <c r="JQ18" s="14" t="str">
        <f ca="1">IF(JQ$1="","",'Total Value'!JQ30/'Total Value'!$D30-1)</f>
        <v/>
      </c>
      <c r="JR18" s="14" t="str">
        <f ca="1">IF(JR$1="","",'Total Value'!JR30/'Total Value'!$D30-1)</f>
        <v/>
      </c>
      <c r="JS18" s="14" t="str">
        <f ca="1">IF(JS$1="","",'Total Value'!JS30/'Total Value'!$D30-1)</f>
        <v/>
      </c>
      <c r="JT18" s="14" t="str">
        <f ca="1">IF(JT$1="","",'Total Value'!JT30/'Total Value'!$D30-1)</f>
        <v/>
      </c>
      <c r="JU18" s="14" t="str">
        <f ca="1">IF(JU$1="","",'Total Value'!JU30/'Total Value'!$D30-1)</f>
        <v/>
      </c>
      <c r="JV18" s="14" t="str">
        <f ca="1">IF(JV$1="","",'Total Value'!JV30/'Total Value'!$D30-1)</f>
        <v/>
      </c>
      <c r="JW18" s="14" t="str">
        <f ca="1">IF(JW$1="","",'Total Value'!JW30/'Total Value'!$D30-1)</f>
        <v/>
      </c>
      <c r="JX18" s="14" t="str">
        <f ca="1">IF(JX$1="","",'Total Value'!JX30/'Total Value'!$D30-1)</f>
        <v/>
      </c>
      <c r="JY18" s="14" t="str">
        <f ca="1">IF(JY$1="","",'Total Value'!JY30/'Total Value'!$D30-1)</f>
        <v/>
      </c>
      <c r="JZ18" s="14" t="str">
        <f ca="1">IF(JZ$1="","",'Total Value'!JZ30/'Total Value'!$D30-1)</f>
        <v/>
      </c>
      <c r="KA18" s="14" t="str">
        <f ca="1">IF(KA$1="","",'Total Value'!KA30/'Total Value'!$D30-1)</f>
        <v/>
      </c>
      <c r="KB18" s="14" t="str">
        <f ca="1">IF(KB$1="","",'Total Value'!KB30/'Total Value'!$D30-1)</f>
        <v/>
      </c>
    </row>
    <row r="19" spans="1:288" ht="15.75" customHeight="1">
      <c r="A19" s="9" t="s">
        <v>30</v>
      </c>
      <c r="B19" s="6" t="s">
        <v>64</v>
      </c>
      <c r="C19" s="26">
        <v>30</v>
      </c>
      <c r="D19" s="13">
        <v>0</v>
      </c>
      <c r="E19" s="14">
        <f ca="1">IF(E$1="","",'Total Value'!E31/'Total Value'!$D31-1)</f>
        <v>3.0933868405651488E-3</v>
      </c>
      <c r="F19" s="14">
        <f ca="1">IF(F$1="","",'Total Value'!F31/'Total Value'!$D31-1)</f>
        <v>-5.5179332831704064E-3</v>
      </c>
      <c r="G19" s="14">
        <f ca="1">IF(G$1="","",'Total Value'!G31/'Total Value'!$D31-1)</f>
        <v>2.7338851266616393E-2</v>
      </c>
      <c r="H19" s="14">
        <f ca="1">IF(H$1="","",'Total Value'!H31/'Total Value'!$D31-1)</f>
        <v>3.778948248474201E-2</v>
      </c>
      <c r="I19" s="14">
        <f ca="1">IF(I$1="","",'Total Value'!I31/'Total Value'!$D31-1)</f>
        <v>4.0882869325307158E-2</v>
      </c>
      <c r="J19" s="14">
        <f ca="1">IF(J$1="","",'Total Value'!J31/'Total Value'!$D31-1)</f>
        <v>4.9326979349553213E-3</v>
      </c>
      <c r="K19" s="14">
        <f ca="1">IF(K$1="","",'Total Value'!K31/'Total Value'!$D31-1)</f>
        <v>-1.6386589750020941E-2</v>
      </c>
      <c r="L19" s="14">
        <f ca="1">IF(L$1="","",'Total Value'!L31/'Total Value'!$D31-1)</f>
        <v>-3.3442019898001885E-2</v>
      </c>
      <c r="M19" s="14">
        <f ca="1">IF(M$1="","",'Total Value'!M31/'Total Value'!$D31-1)</f>
        <v>-2.3827439177326326E-2</v>
      </c>
      <c r="N19" s="14">
        <f ca="1">IF(N$1="","",'Total Value'!N31/'Total Value'!$D31-1)</f>
        <v>-2.3743834127581409E-2</v>
      </c>
      <c r="O19" s="14">
        <f ca="1">IF(O$1="","",'Total Value'!O31/'Total Value'!$D31-1)</f>
        <v>-3.0097817908201652E-2</v>
      </c>
      <c r="P19" s="14">
        <f ca="1">IF(P$1="","",'Total Value'!P31/'Total Value'!$D31-1)</f>
        <v>-5.9526795418443412E-2</v>
      </c>
      <c r="Q19" s="14">
        <f ca="1">IF(Q$1="","",'Total Value'!Q31/'Total Value'!$D31-1)</f>
        <v>-6.4710308502633485E-2</v>
      </c>
      <c r="R19" s="14">
        <f ca="1">IF(R$1="","",'Total Value'!R31/'Total Value'!$D31-1)</f>
        <v>-4.849092885210271E-2</v>
      </c>
      <c r="S19" s="14">
        <f ca="1">IF(S$1="","",'Total Value'!S31/'Total Value'!$D31-1)</f>
        <v>-3.0850263355906793E-2</v>
      </c>
      <c r="T19" s="14">
        <f ca="1">IF(T$1="","",'Total Value'!T31/'Total Value'!$D31-1)</f>
        <v>-4.9410584399297797E-2</v>
      </c>
      <c r="U19" s="14">
        <f ca="1">IF(U$1="","",'Total Value'!U31/'Total Value'!$D31-1)</f>
        <v>-5.91923752194633E-2</v>
      </c>
      <c r="V19" s="14">
        <f ca="1">IF(V$1="","",'Total Value'!V31/'Total Value'!$D31-1)</f>
        <v>-4.5648357160772535E-2</v>
      </c>
      <c r="W19" s="14">
        <f ca="1">IF(W$1="","",'Total Value'!W31/'Total Value'!$D31-1)</f>
        <v>-6.1867736811303531E-2</v>
      </c>
      <c r="X19" s="14">
        <f ca="1">IF(X$1="","",'Total Value'!X31/'Total Value'!$D31-1)</f>
        <v>-4.6484407658222593E-2</v>
      </c>
      <c r="Y19" s="14">
        <f ca="1">IF(Y$1="","",'Total Value'!Y31/'Total Value'!$D31-1)</f>
        <v>-3.3943650196471942E-2</v>
      </c>
      <c r="Z19" s="14">
        <f ca="1">IF(Z$1="","",'Total Value'!Z31/'Total Value'!$D31-1)</f>
        <v>-3.1602708803611712E-2</v>
      </c>
      <c r="AA19" s="14">
        <f ca="1">IF(AA$1="","",'Total Value'!AA31/'Total Value'!$D31-1)</f>
        <v>-3.6117381489842004E-2</v>
      </c>
      <c r="AB19" s="14">
        <f ca="1">IF(AB$1="","",'Total Value'!AB31/'Total Value'!$D31-1)</f>
        <v>-4.9243374299807741E-2</v>
      </c>
      <c r="AC19" s="14">
        <f ca="1">IF(AC$1="","",'Total Value'!AC31/'Total Value'!$D31-1)</f>
        <v>-3.5030515843156973E-2</v>
      </c>
      <c r="AD19" s="14">
        <f ca="1">IF(AD$1="","",'Total Value'!AD31/'Total Value'!$D31-1)</f>
        <v>-2.7673271465596616E-2</v>
      </c>
      <c r="AE19" s="14">
        <f ca="1">IF(AE$1="","",'Total Value'!AE31/'Total Value'!$D31-1)</f>
        <v>-5.3925257085528089E-2</v>
      </c>
      <c r="AF19" s="14">
        <f ca="1">IF(AF$1="","",'Total Value'!AF31/'Total Value'!$D31-1)</f>
        <v>-7.0646267034529031E-2</v>
      </c>
      <c r="AG19" s="14">
        <f ca="1">IF(AG$1="","",'Total Value'!AG31/'Total Value'!$D31-1)</f>
        <v>-9.5058941560070331E-2</v>
      </c>
      <c r="AH19" s="14">
        <f ca="1">IF(AH$1="","",'Total Value'!AH31/'Total Value'!$D31-1)</f>
        <v>-0.11947161608561163</v>
      </c>
      <c r="AI19" s="14">
        <f ca="1">IF(AI$1="","",'Total Value'!AI31/'Total Value'!$D31-1)</f>
        <v>-0.12022406153331666</v>
      </c>
      <c r="AJ19" s="14">
        <f ca="1">IF(AJ$1="","",'Total Value'!AJ31/'Total Value'!$D31-1)</f>
        <v>-9.4390101162110218E-2</v>
      </c>
      <c r="AK19" s="14">
        <f ca="1">IF(AK$1="","",'Total Value'!AK31/'Total Value'!$D31-1)</f>
        <v>-7.1649527631468923E-2</v>
      </c>
      <c r="AL19" s="14">
        <f ca="1">IF(AL$1="","",'Total Value'!AL31/'Total Value'!$D31-1)</f>
        <v>-0.10693085862386098</v>
      </c>
      <c r="AM19" s="14">
        <f ca="1">IF(AM$1="","",'Total Value'!AM31/'Total Value'!$D31-1)</f>
        <v>-8.1013293202909509E-2</v>
      </c>
      <c r="AN19" s="14">
        <f ca="1">IF(AN$1="","",'Total Value'!AN31/'Total Value'!$D31-1)</f>
        <v>-8.2936209347044709E-2</v>
      </c>
      <c r="AO19" s="14">
        <f ca="1">IF(AO$1="","",'Total Value'!AO31/'Total Value'!$D31-1)</f>
        <v>-0.11127832121060122</v>
      </c>
      <c r="AP19" s="14">
        <f ca="1">IF(AP$1="","",'Total Value'!AP31/'Total Value'!$D31-1)</f>
        <v>-0.1427974249644679</v>
      </c>
      <c r="AQ19" s="14">
        <f ca="1">IF(AQ$1="","",'Total Value'!AQ31/'Total Value'!$D31-1)</f>
        <v>-0.12089290193127666</v>
      </c>
      <c r="AR19" s="14">
        <f ca="1">IF(AR$1="","",'Total Value'!AR31/'Total Value'!$D31-1)</f>
        <v>-0.10333584148482577</v>
      </c>
      <c r="AS19" s="14">
        <f ca="1">IF(AS$1="","",'Total Value'!AS31/'Total Value'!$D31-1)</f>
        <v>-0.10040966474375057</v>
      </c>
      <c r="AT19" s="14">
        <f ca="1">IF(AT$1="","",'Total Value'!AT31/'Total Value'!$D31-1)</f>
        <v>-0.1066800434746259</v>
      </c>
      <c r="AU19" s="14">
        <f ca="1">IF(AU$1="","",'Total Value'!AU31/'Total Value'!$D31-1)</f>
        <v>-0.11186355655881619</v>
      </c>
      <c r="AV19" s="14">
        <f ca="1">IF(AV$1="","",'Total Value'!AV31/'Total Value'!$D31-1)</f>
        <v>-9.2718000167210213E-2</v>
      </c>
      <c r="AW19" s="14">
        <f ca="1">IF(AW$1="","",'Total Value'!AW31/'Total Value'!$D31-1)</f>
        <v>-8.5778781038374774E-2</v>
      </c>
      <c r="AX19" s="14">
        <f ca="1">IF(AX$1="","",'Total Value'!AX31/'Total Value'!$D31-1)</f>
        <v>-8.745088203327489E-2</v>
      </c>
      <c r="AY19" s="14">
        <f ca="1">IF(AY$1="","",'Total Value'!AY31/'Total Value'!$D31-1)</f>
        <v>-8.4859125491179799E-2</v>
      </c>
      <c r="AZ19" s="14">
        <f ca="1">IF(AZ$1="","",'Total Value'!AZ31/'Total Value'!$D31-1)</f>
        <v>-8.7367276983529973E-2</v>
      </c>
      <c r="BA19" s="14">
        <f ca="1">IF(BA$1="","",'Total Value'!BA31/'Total Value'!$D31-1)</f>
        <v>-9.8403143549870342E-2</v>
      </c>
      <c r="BB19" s="14">
        <f ca="1">IF(BB$1="","",'Total Value'!BB31/'Total Value'!$D31-1)</f>
        <v>-0.1121979767577963</v>
      </c>
      <c r="BC19" s="14">
        <f ca="1">IF(BC$1="","",'Total Value'!BC31/'Total Value'!$D31-1)</f>
        <v>-0.10350305158431572</v>
      </c>
      <c r="BD19" s="14">
        <f ca="1">IF(BD$1="","",'Total Value'!BD31/'Total Value'!$D31-1)</f>
        <v>-0.10091129504222052</v>
      </c>
      <c r="BE19" s="14">
        <f ca="1">IF(BE$1="","",'Total Value'!BE31/'Total Value'!$D31-1)</f>
        <v>-0.11336844745422625</v>
      </c>
      <c r="BF19" s="14">
        <f ca="1">IF(BF$1="","",'Total Value'!BF31/'Total Value'!$D31-1)</f>
        <v>-9.0293453724604955E-2</v>
      </c>
      <c r="BG19" s="14">
        <f ca="1">IF(BG$1="","",'Total Value'!BG31/'Total Value'!$D31-1)</f>
        <v>-0.10943901011621104</v>
      </c>
      <c r="BH19" s="14">
        <f ca="1">IF(BH$1="","",'Total Value'!BH31/'Total Value'!$D31-1)</f>
        <v>-0.15851517431652873</v>
      </c>
      <c r="BI19" s="14">
        <f ca="1">IF(BI$1="","",'Total Value'!BI31/'Total Value'!$D31-1)</f>
        <v>-0.16871499038541926</v>
      </c>
      <c r="BJ19" s="14">
        <f ca="1">IF(BJ$1="","",'Total Value'!BJ31/'Total Value'!$D31-1)</f>
        <v>-0.15165956023743843</v>
      </c>
      <c r="BK19" s="14">
        <f ca="1">IF(BK$1="","",'Total Value'!BK31/'Total Value'!$D31-1)</f>
        <v>-0.1740657135690995</v>
      </c>
      <c r="BL19" s="14">
        <f ca="1">IF(BL$1="","",'Total Value'!BL31/'Total Value'!$D31-1)</f>
        <v>-0.19120474876682558</v>
      </c>
      <c r="BM19" s="14">
        <f ca="1">IF(BM$1="","",'Total Value'!BM31/'Total Value'!$D31-1)</f>
        <v>-0.20157177493520617</v>
      </c>
      <c r="BN19" s="14">
        <f ca="1">IF(BN$1="","",'Total Value'!BN31/'Total Value'!$D31-1)</f>
        <v>-0.21511579299389694</v>
      </c>
      <c r="BO19" s="14">
        <f ca="1">IF(BO$1="","",'Total Value'!BO31/'Total Value'!$D31-1)</f>
        <v>-0.21001588495945167</v>
      </c>
      <c r="BP19" s="14">
        <f ca="1">IF(BP$1="","",'Total Value'!BP31/'Total Value'!$D31-1)</f>
        <v>-0.21135356575537168</v>
      </c>
      <c r="BQ19" s="14">
        <f ca="1">IF(BQ$1="","",'Total Value'!BQ31/'Total Value'!$D31-1)</f>
        <v>-0.19020148816988547</v>
      </c>
      <c r="BR19" s="14">
        <f ca="1">IF(BR$1="","",'Total Value'!BR31/'Total Value'!$D31-1)</f>
        <v>-0.1851015801354402</v>
      </c>
      <c r="BS19" s="14">
        <f ca="1">IF(BS$1="","",'Total Value'!BS31/'Total Value'!$D31-1)</f>
        <v>-0.19045230331912044</v>
      </c>
      <c r="BT19" s="14">
        <f ca="1">IF(BT$1="","",'Total Value'!BT31/'Total Value'!$D31-1)</f>
        <v>-0.16812975503720429</v>
      </c>
      <c r="BU19" s="14">
        <f ca="1">IF(BU$1="","",'Total Value'!BU31/'Total Value'!$D31-1)</f>
        <v>-0.16679207424128428</v>
      </c>
      <c r="BV19" s="14">
        <f ca="1">IF(BV$1="","",'Total Value'!BV31/'Total Value'!$D31-1)</f>
        <v>-0.17055430147980954</v>
      </c>
      <c r="BW19" s="14">
        <f ca="1">IF(BW$1="","",'Total Value'!BW31/'Total Value'!$D31-1)</f>
        <v>-0.18585402558314534</v>
      </c>
      <c r="BX19" s="14">
        <f ca="1">IF(BX$1="","",'Total Value'!BX31/'Total Value'!$D31-1)</f>
        <v>-0.17732631050915482</v>
      </c>
      <c r="BY19" s="14">
        <f ca="1">IF(BY$1="","",'Total Value'!BY31/'Total Value'!$D31-1)</f>
        <v>-0.21110275060613659</v>
      </c>
      <c r="BZ19" s="14">
        <f ca="1">IF(BZ$1="","",'Total Value'!BZ31/'Total Value'!$D31-1)</f>
        <v>-0.2117715910040967</v>
      </c>
      <c r="CA19" s="14">
        <f ca="1">IF(CA$1="","",'Total Value'!CA31/'Total Value'!$D31-1)</f>
        <v>-0.21336008694925168</v>
      </c>
      <c r="CB19" s="14">
        <f ca="1">IF(CB$1="","",'Total Value'!CB31/'Total Value'!$D31-1)</f>
        <v>-0.22715492015717753</v>
      </c>
      <c r="CC19" s="14">
        <f ca="1">IF(CC$1="","",'Total Value'!CC31/'Total Value'!$D31-1)</f>
        <v>-0.21419613744670185</v>
      </c>
      <c r="CD19" s="14">
        <f ca="1">IF(CD$1="","",'Total Value'!CD31/'Total Value'!$D31-1)</f>
        <v>-0.20943064961123647</v>
      </c>
      <c r="CE19" s="14">
        <f ca="1">IF(CE$1="","",'Total Value'!CE31/'Total Value'!$D31-1)</f>
        <v>-0.18159016804615002</v>
      </c>
      <c r="CF19" s="14" t="str">
        <f ca="1">IF(CF$1="","",'Total Value'!CF31/'Total Value'!$D31-1)</f>
        <v/>
      </c>
      <c r="CG19" s="14" t="str">
        <f ca="1">IF(CG$1="","",'Total Value'!CG31/'Total Value'!$D31-1)</f>
        <v/>
      </c>
      <c r="CH19" s="14" t="str">
        <f ca="1">IF(CH$1="","",'Total Value'!CH31/'Total Value'!$D31-1)</f>
        <v/>
      </c>
      <c r="CI19" s="14" t="str">
        <f ca="1">IF(CI$1="","",'Total Value'!CI31/'Total Value'!$D31-1)</f>
        <v/>
      </c>
      <c r="CJ19" s="14" t="str">
        <f ca="1">IF(CJ$1="","",'Total Value'!CJ31/'Total Value'!$D31-1)</f>
        <v/>
      </c>
      <c r="CK19" s="14" t="str">
        <f ca="1">IF(CK$1="","",'Total Value'!CK31/'Total Value'!$D31-1)</f>
        <v/>
      </c>
      <c r="CL19" s="14" t="str">
        <f ca="1">IF(CL$1="","",'Total Value'!CL31/'Total Value'!$D31-1)</f>
        <v/>
      </c>
      <c r="CM19" s="14" t="str">
        <f ca="1">IF(CM$1="","",'Total Value'!CM31/'Total Value'!$D31-1)</f>
        <v/>
      </c>
      <c r="CN19" s="14" t="str">
        <f ca="1">IF(CN$1="","",'Total Value'!CN31/'Total Value'!$D31-1)</f>
        <v/>
      </c>
      <c r="CO19" s="14" t="str">
        <f ca="1">IF(CO$1="","",'Total Value'!CO31/'Total Value'!$D31-1)</f>
        <v/>
      </c>
      <c r="CP19" s="14" t="str">
        <f ca="1">IF(CP$1="","",'Total Value'!CP31/'Total Value'!$D31-1)</f>
        <v/>
      </c>
      <c r="CQ19" s="14" t="str">
        <f ca="1">IF(CQ$1="","",'Total Value'!CQ31/'Total Value'!$D31-1)</f>
        <v/>
      </c>
      <c r="CR19" s="14" t="str">
        <f ca="1">IF(CR$1="","",'Total Value'!CR31/'Total Value'!$D31-1)</f>
        <v/>
      </c>
      <c r="CS19" s="14" t="str">
        <f ca="1">IF(CS$1="","",'Total Value'!CS31/'Total Value'!$D31-1)</f>
        <v/>
      </c>
      <c r="CT19" s="14" t="str">
        <f ca="1">IF(CT$1="","",'Total Value'!CT31/'Total Value'!$D31-1)</f>
        <v/>
      </c>
      <c r="CU19" s="14" t="str">
        <f ca="1">IF(CU$1="","",'Total Value'!CU31/'Total Value'!$D31-1)</f>
        <v/>
      </c>
      <c r="CV19" s="14" t="str">
        <f ca="1">IF(CV$1="","",'Total Value'!CV31/'Total Value'!$D31-1)</f>
        <v/>
      </c>
      <c r="CW19" s="14" t="str">
        <f ca="1">IF(CW$1="","",'Total Value'!CW31/'Total Value'!$D31-1)</f>
        <v/>
      </c>
      <c r="CX19" s="14" t="str">
        <f ca="1">IF(CX$1="","",'Total Value'!CX31/'Total Value'!$D31-1)</f>
        <v/>
      </c>
      <c r="CY19" s="14" t="str">
        <f ca="1">IF(CY$1="","",'Total Value'!CY31/'Total Value'!$D31-1)</f>
        <v/>
      </c>
      <c r="CZ19" s="14" t="str">
        <f ca="1">IF(CZ$1="","",'Total Value'!CZ31/'Total Value'!$D31-1)</f>
        <v/>
      </c>
      <c r="DA19" s="14" t="str">
        <f ca="1">IF(DA$1="","",'Total Value'!DA31/'Total Value'!$D31-1)</f>
        <v/>
      </c>
      <c r="DB19" s="14" t="str">
        <f ca="1">IF(DB$1="","",'Total Value'!DB31/'Total Value'!$D31-1)</f>
        <v/>
      </c>
      <c r="DC19" s="14" t="str">
        <f ca="1">IF(DC$1="","",'Total Value'!DC31/'Total Value'!$D31-1)</f>
        <v/>
      </c>
      <c r="DD19" s="14" t="str">
        <f ca="1">IF(DD$1="","",'Total Value'!DD31/'Total Value'!$D31-1)</f>
        <v/>
      </c>
      <c r="DE19" s="14" t="str">
        <f ca="1">IF(DE$1="","",'Total Value'!DE31/'Total Value'!$D31-1)</f>
        <v/>
      </c>
      <c r="DF19" s="14" t="str">
        <f ca="1">IF(DF$1="","",'Total Value'!DF31/'Total Value'!$D31-1)</f>
        <v/>
      </c>
      <c r="DG19" s="14" t="str">
        <f ca="1">IF(DG$1="","",'Total Value'!DG31/'Total Value'!$D31-1)</f>
        <v/>
      </c>
      <c r="DH19" s="14" t="str">
        <f ca="1">IF(DH$1="","",'Total Value'!DH31/'Total Value'!$D31-1)</f>
        <v/>
      </c>
      <c r="DI19" s="14" t="str">
        <f ca="1">IF(DI$1="","",'Total Value'!DI31/'Total Value'!$D31-1)</f>
        <v/>
      </c>
      <c r="DJ19" s="14" t="str">
        <f ca="1">IF(DJ$1="","",'Total Value'!DJ31/'Total Value'!$D31-1)</f>
        <v/>
      </c>
      <c r="DK19" s="14" t="str">
        <f ca="1">IF(DK$1="","",'Total Value'!DK31/'Total Value'!$D31-1)</f>
        <v/>
      </c>
      <c r="DL19" s="14" t="str">
        <f ca="1">IF(DL$1="","",'Total Value'!DL31/'Total Value'!$D31-1)</f>
        <v/>
      </c>
      <c r="DM19" s="14" t="str">
        <f ca="1">IF(DM$1="","",'Total Value'!DM31/'Total Value'!$D31-1)</f>
        <v/>
      </c>
      <c r="DN19" s="14" t="str">
        <f ca="1">IF(DN$1="","",'Total Value'!DN31/'Total Value'!$D31-1)</f>
        <v/>
      </c>
      <c r="DO19" s="14" t="str">
        <f ca="1">IF(DO$1="","",'Total Value'!DO31/'Total Value'!$D31-1)</f>
        <v/>
      </c>
      <c r="DP19" s="14" t="str">
        <f ca="1">IF(DP$1="","",'Total Value'!DP31/'Total Value'!$D31-1)</f>
        <v/>
      </c>
      <c r="DQ19" s="14" t="str">
        <f ca="1">IF(DQ$1="","",'Total Value'!DQ31/'Total Value'!$D31-1)</f>
        <v/>
      </c>
      <c r="DR19" s="14" t="str">
        <f ca="1">IF(DR$1="","",'Total Value'!DR31/'Total Value'!$D31-1)</f>
        <v/>
      </c>
      <c r="DS19" s="14" t="str">
        <f ca="1">IF(DS$1="","",'Total Value'!DS31/'Total Value'!$D31-1)</f>
        <v/>
      </c>
      <c r="DT19" s="14" t="str">
        <f ca="1">IF(DT$1="","",'Total Value'!DT31/'Total Value'!$D31-1)</f>
        <v/>
      </c>
      <c r="DU19" s="14" t="str">
        <f ca="1">IF(DU$1="","",'Total Value'!DU31/'Total Value'!$D31-1)</f>
        <v/>
      </c>
      <c r="DV19" s="14" t="str">
        <f ca="1">IF(DV$1="","",'Total Value'!DV31/'Total Value'!$D31-1)</f>
        <v/>
      </c>
      <c r="DW19" s="14" t="str">
        <f ca="1">IF(DW$1="","",'Total Value'!DW31/'Total Value'!$D31-1)</f>
        <v/>
      </c>
      <c r="DX19" s="14" t="str">
        <f ca="1">IF(DX$1="","",'Total Value'!DX31/'Total Value'!$D31-1)</f>
        <v/>
      </c>
      <c r="DY19" s="14" t="str">
        <f ca="1">IF(DY$1="","",'Total Value'!DY31/'Total Value'!$D31-1)</f>
        <v/>
      </c>
      <c r="DZ19" s="14" t="str">
        <f ca="1">IF(DZ$1="","",'Total Value'!DZ31/'Total Value'!$D31-1)</f>
        <v/>
      </c>
      <c r="EA19" s="14" t="str">
        <f ca="1">IF(EA$1="","",'Total Value'!EA31/'Total Value'!$D31-1)</f>
        <v/>
      </c>
      <c r="EB19" s="14" t="str">
        <f ca="1">IF(EB$1="","",'Total Value'!EB31/'Total Value'!$D31-1)</f>
        <v/>
      </c>
      <c r="EC19" s="14" t="str">
        <f ca="1">IF(EC$1="","",'Total Value'!EC31/'Total Value'!$D31-1)</f>
        <v/>
      </c>
      <c r="ED19" s="14" t="str">
        <f ca="1">IF(ED$1="","",'Total Value'!ED31/'Total Value'!$D31-1)</f>
        <v/>
      </c>
      <c r="EE19" s="14" t="str">
        <f ca="1">IF(EE$1="","",'Total Value'!EE31/'Total Value'!$D31-1)</f>
        <v/>
      </c>
      <c r="EF19" s="14" t="str">
        <f ca="1">IF(EF$1="","",'Total Value'!EF31/'Total Value'!$D31-1)</f>
        <v/>
      </c>
      <c r="EG19" s="14" t="str">
        <f ca="1">IF(EG$1="","",'Total Value'!EG31/'Total Value'!$D31-1)</f>
        <v/>
      </c>
      <c r="EH19" s="14" t="str">
        <f ca="1">IF(EH$1="","",'Total Value'!EH31/'Total Value'!$D31-1)</f>
        <v/>
      </c>
      <c r="EI19" s="14" t="str">
        <f ca="1">IF(EI$1="","",'Total Value'!EI31/'Total Value'!$D31-1)</f>
        <v/>
      </c>
      <c r="EJ19" s="14" t="str">
        <f ca="1">IF(EJ$1="","",'Total Value'!EJ31/'Total Value'!$D31-1)</f>
        <v/>
      </c>
      <c r="EK19" s="14" t="str">
        <f ca="1">IF(EK$1="","",'Total Value'!EK31/'Total Value'!$D31-1)</f>
        <v/>
      </c>
      <c r="EL19" s="14" t="str">
        <f ca="1">IF(EL$1="","",'Total Value'!EL31/'Total Value'!$D31-1)</f>
        <v/>
      </c>
      <c r="EM19" s="14" t="str">
        <f ca="1">IF(EM$1="","",'Total Value'!EM31/'Total Value'!$D31-1)</f>
        <v/>
      </c>
      <c r="EN19" s="14" t="str">
        <f ca="1">IF(EN$1="","",'Total Value'!EN31/'Total Value'!$D31-1)</f>
        <v/>
      </c>
      <c r="EO19" s="14" t="str">
        <f ca="1">IF(EO$1="","",'Total Value'!EO31/'Total Value'!$D31-1)</f>
        <v/>
      </c>
      <c r="EP19" s="14" t="str">
        <f ca="1">IF(EP$1="","",'Total Value'!EP31/'Total Value'!$D31-1)</f>
        <v/>
      </c>
      <c r="EQ19" s="14" t="str">
        <f ca="1">IF(EQ$1="","",'Total Value'!EQ31/'Total Value'!$D31-1)</f>
        <v/>
      </c>
      <c r="ER19" s="14" t="str">
        <f ca="1">IF(ER$1="","",'Total Value'!ER31/'Total Value'!$D31-1)</f>
        <v/>
      </c>
      <c r="ES19" s="14" t="str">
        <f ca="1">IF(ES$1="","",'Total Value'!ES31/'Total Value'!$D31-1)</f>
        <v/>
      </c>
      <c r="ET19" s="14" t="str">
        <f ca="1">IF(ET$1="","",'Total Value'!ET31/'Total Value'!$D31-1)</f>
        <v/>
      </c>
      <c r="EU19" s="14" t="str">
        <f ca="1">IF(EU$1="","",'Total Value'!EU31/'Total Value'!$D31-1)</f>
        <v/>
      </c>
      <c r="EV19" s="14" t="str">
        <f ca="1">IF(EV$1="","",'Total Value'!EV31/'Total Value'!$D31-1)</f>
        <v/>
      </c>
      <c r="EW19" s="14" t="str">
        <f ca="1">IF(EW$1="","",'Total Value'!EW31/'Total Value'!$D31-1)</f>
        <v/>
      </c>
      <c r="EX19" s="14" t="str">
        <f ca="1">IF(EX$1="","",'Total Value'!EX31/'Total Value'!$D31-1)</f>
        <v/>
      </c>
      <c r="EY19" s="14" t="str">
        <f ca="1">IF(EY$1="","",'Total Value'!EY31/'Total Value'!$D31-1)</f>
        <v/>
      </c>
      <c r="EZ19" s="14" t="str">
        <f ca="1">IF(EZ$1="","",'Total Value'!EZ31/'Total Value'!$D31-1)</f>
        <v/>
      </c>
      <c r="FA19" s="14" t="str">
        <f ca="1">IF(FA$1="","",'Total Value'!FA31/'Total Value'!$D31-1)</f>
        <v/>
      </c>
      <c r="FB19" s="14" t="str">
        <f ca="1">IF(FB$1="","",'Total Value'!FB31/'Total Value'!$D31-1)</f>
        <v/>
      </c>
      <c r="FC19" s="14" t="str">
        <f ca="1">IF(FC$1="","",'Total Value'!FC31/'Total Value'!$D31-1)</f>
        <v/>
      </c>
      <c r="FD19" s="14" t="str">
        <f ca="1">IF(FD$1="","",'Total Value'!FD31/'Total Value'!$D31-1)</f>
        <v/>
      </c>
      <c r="FE19" s="14" t="str">
        <f ca="1">IF(FE$1="","",'Total Value'!FE31/'Total Value'!$D31-1)</f>
        <v/>
      </c>
      <c r="FF19" s="14" t="str">
        <f ca="1">IF(FF$1="","",'Total Value'!FF31/'Total Value'!$D31-1)</f>
        <v/>
      </c>
      <c r="FG19" s="14" t="str">
        <f ca="1">IF(FG$1="","",'Total Value'!FG31/'Total Value'!$D31-1)</f>
        <v/>
      </c>
      <c r="FH19" s="14" t="str">
        <f ca="1">IF(FH$1="","",'Total Value'!FH31/'Total Value'!$D31-1)</f>
        <v/>
      </c>
      <c r="FI19" s="14" t="str">
        <f ca="1">IF(FI$1="","",'Total Value'!FI31/'Total Value'!$D31-1)</f>
        <v/>
      </c>
      <c r="FJ19" s="14" t="str">
        <f ca="1">IF(FJ$1="","",'Total Value'!FJ31/'Total Value'!$D31-1)</f>
        <v/>
      </c>
      <c r="FK19" s="14" t="str">
        <f ca="1">IF(FK$1="","",'Total Value'!FK31/'Total Value'!$D31-1)</f>
        <v/>
      </c>
      <c r="FL19" s="14" t="str">
        <f ca="1">IF(FL$1="","",'Total Value'!FL31/'Total Value'!$D31-1)</f>
        <v/>
      </c>
      <c r="FM19" s="14" t="str">
        <f ca="1">IF(FM$1="","",'Total Value'!FM31/'Total Value'!$D31-1)</f>
        <v/>
      </c>
      <c r="FN19" s="14" t="str">
        <f ca="1">IF(FN$1="","",'Total Value'!FN31/'Total Value'!$D31-1)</f>
        <v/>
      </c>
      <c r="FO19" s="14" t="str">
        <f ca="1">IF(FO$1="","",'Total Value'!FO31/'Total Value'!$D31-1)</f>
        <v/>
      </c>
      <c r="FP19" s="14" t="str">
        <f ca="1">IF(FP$1="","",'Total Value'!FP31/'Total Value'!$D31-1)</f>
        <v/>
      </c>
      <c r="FQ19" s="14" t="str">
        <f ca="1">IF(FQ$1="","",'Total Value'!FQ31/'Total Value'!$D31-1)</f>
        <v/>
      </c>
      <c r="FR19" s="14" t="str">
        <f ca="1">IF(FR$1="","",'Total Value'!FR31/'Total Value'!$D31-1)</f>
        <v/>
      </c>
      <c r="FS19" s="14" t="str">
        <f ca="1">IF(FS$1="","",'Total Value'!FS31/'Total Value'!$D31-1)</f>
        <v/>
      </c>
      <c r="FT19" s="14" t="str">
        <f ca="1">IF(FT$1="","",'Total Value'!FT31/'Total Value'!$D31-1)</f>
        <v/>
      </c>
      <c r="FU19" s="14" t="str">
        <f ca="1">IF(FU$1="","",'Total Value'!FU31/'Total Value'!$D31-1)</f>
        <v/>
      </c>
      <c r="FV19" s="14" t="str">
        <f ca="1">IF(FV$1="","",'Total Value'!FV31/'Total Value'!$D31-1)</f>
        <v/>
      </c>
      <c r="FW19" s="14" t="str">
        <f ca="1">IF(FW$1="","",'Total Value'!FW31/'Total Value'!$D31-1)</f>
        <v/>
      </c>
      <c r="FX19" s="14" t="str">
        <f ca="1">IF(FX$1="","",'Total Value'!FX31/'Total Value'!$D31-1)</f>
        <v/>
      </c>
      <c r="FY19" s="14" t="str">
        <f ca="1">IF(FY$1="","",'Total Value'!FY31/'Total Value'!$D31-1)</f>
        <v/>
      </c>
      <c r="FZ19" s="14" t="str">
        <f ca="1">IF(FZ$1="","",'Total Value'!FZ31/'Total Value'!$D31-1)</f>
        <v/>
      </c>
      <c r="GA19" s="14" t="str">
        <f ca="1">IF(GA$1="","",'Total Value'!GA31/'Total Value'!$D31-1)</f>
        <v/>
      </c>
      <c r="GB19" s="14" t="str">
        <f ca="1">IF(GB$1="","",'Total Value'!GB31/'Total Value'!$D31-1)</f>
        <v/>
      </c>
      <c r="GC19" s="14" t="str">
        <f ca="1">IF(GC$1="","",'Total Value'!GC31/'Total Value'!$D31-1)</f>
        <v/>
      </c>
      <c r="GD19" s="14" t="str">
        <f ca="1">IF(GD$1="","",'Total Value'!GD31/'Total Value'!$D31-1)</f>
        <v/>
      </c>
      <c r="GE19" s="14" t="str">
        <f ca="1">IF(GE$1="","",'Total Value'!GE31/'Total Value'!$D31-1)</f>
        <v/>
      </c>
      <c r="GF19" s="14" t="str">
        <f ca="1">IF(GF$1="","",'Total Value'!GF31/'Total Value'!$D31-1)</f>
        <v/>
      </c>
      <c r="GG19" s="14" t="str">
        <f ca="1">IF(GG$1="","",'Total Value'!GG31/'Total Value'!$D31-1)</f>
        <v/>
      </c>
      <c r="GH19" s="14" t="str">
        <f ca="1">IF(GH$1="","",'Total Value'!GH31/'Total Value'!$D31-1)</f>
        <v/>
      </c>
      <c r="GI19" s="14" t="str">
        <f ca="1">IF(GI$1="","",'Total Value'!GI31/'Total Value'!$D31-1)</f>
        <v/>
      </c>
      <c r="GJ19" s="14" t="str">
        <f ca="1">IF(GJ$1="","",'Total Value'!GJ31/'Total Value'!$D31-1)</f>
        <v/>
      </c>
      <c r="GK19" s="14" t="str">
        <f ca="1">IF(GK$1="","",'Total Value'!GK31/'Total Value'!$D31-1)</f>
        <v/>
      </c>
      <c r="GL19" s="14" t="str">
        <f ca="1">IF(GL$1="","",'Total Value'!GL31/'Total Value'!$D31-1)</f>
        <v/>
      </c>
      <c r="GM19" s="14" t="str">
        <f ca="1">IF(GM$1="","",'Total Value'!GM31/'Total Value'!$D31-1)</f>
        <v/>
      </c>
      <c r="GN19" s="14" t="str">
        <f ca="1">IF(GN$1="","",'Total Value'!GN31/'Total Value'!$D31-1)</f>
        <v/>
      </c>
      <c r="GO19" s="14" t="str">
        <f ca="1">IF(GO$1="","",'Total Value'!GO31/'Total Value'!$D31-1)</f>
        <v/>
      </c>
      <c r="GP19" s="14" t="str">
        <f ca="1">IF(GP$1="","",'Total Value'!GP31/'Total Value'!$D31-1)</f>
        <v/>
      </c>
      <c r="GQ19" s="14" t="str">
        <f ca="1">IF(GQ$1="","",'Total Value'!GQ31/'Total Value'!$D31-1)</f>
        <v/>
      </c>
      <c r="GR19" s="14" t="str">
        <f ca="1">IF(GR$1="","",'Total Value'!GR31/'Total Value'!$D31-1)</f>
        <v/>
      </c>
      <c r="GS19" s="14" t="str">
        <f ca="1">IF(GS$1="","",'Total Value'!GS31/'Total Value'!$D31-1)</f>
        <v/>
      </c>
      <c r="GT19" s="14" t="str">
        <f ca="1">IF(GT$1="","",'Total Value'!GT31/'Total Value'!$D31-1)</f>
        <v/>
      </c>
      <c r="GU19" s="14" t="str">
        <f ca="1">IF(GU$1="","",'Total Value'!GU31/'Total Value'!$D31-1)</f>
        <v/>
      </c>
      <c r="GV19" s="14" t="str">
        <f ca="1">IF(GV$1="","",'Total Value'!GV31/'Total Value'!$D31-1)</f>
        <v/>
      </c>
      <c r="GW19" s="14" t="str">
        <f ca="1">IF(GW$1="","",'Total Value'!GW31/'Total Value'!$D31-1)</f>
        <v/>
      </c>
      <c r="GX19" s="14" t="str">
        <f ca="1">IF(GX$1="","",'Total Value'!GX31/'Total Value'!$D31-1)</f>
        <v/>
      </c>
      <c r="GY19" s="14" t="str">
        <f ca="1">IF(GY$1="","",'Total Value'!GY31/'Total Value'!$D31-1)</f>
        <v/>
      </c>
      <c r="GZ19" s="14" t="str">
        <f ca="1">IF(GZ$1="","",'Total Value'!GZ31/'Total Value'!$D31-1)</f>
        <v/>
      </c>
      <c r="HA19" s="14" t="str">
        <f ca="1">IF(HA$1="","",'Total Value'!HA31/'Total Value'!$D31-1)</f>
        <v/>
      </c>
      <c r="HB19" s="14" t="str">
        <f ca="1">IF(HB$1="","",'Total Value'!HB31/'Total Value'!$D31-1)</f>
        <v/>
      </c>
      <c r="HC19" s="14" t="str">
        <f ca="1">IF(HC$1="","",'Total Value'!HC31/'Total Value'!$D31-1)</f>
        <v/>
      </c>
      <c r="HD19" s="14" t="str">
        <f ca="1">IF(HD$1="","",'Total Value'!HD31/'Total Value'!$D31-1)</f>
        <v/>
      </c>
      <c r="HE19" s="14" t="str">
        <f ca="1">IF(HE$1="","",'Total Value'!HE31/'Total Value'!$D31-1)</f>
        <v/>
      </c>
      <c r="HF19" s="14" t="str">
        <f ca="1">IF(HF$1="","",'Total Value'!HF31/'Total Value'!$D31-1)</f>
        <v/>
      </c>
      <c r="HG19" s="14" t="str">
        <f ca="1">IF(HG$1="","",'Total Value'!HG31/'Total Value'!$D31-1)</f>
        <v/>
      </c>
      <c r="HH19" s="14" t="str">
        <f ca="1">IF(HH$1="","",'Total Value'!HH31/'Total Value'!$D31-1)</f>
        <v/>
      </c>
      <c r="HI19" s="14" t="str">
        <f ca="1">IF(HI$1="","",'Total Value'!HI31/'Total Value'!$D31-1)</f>
        <v/>
      </c>
      <c r="HJ19" s="14" t="str">
        <f ca="1">IF(HJ$1="","",'Total Value'!HJ31/'Total Value'!$D31-1)</f>
        <v/>
      </c>
      <c r="HK19" s="14" t="str">
        <f ca="1">IF(HK$1="","",'Total Value'!HK31/'Total Value'!$D31-1)</f>
        <v/>
      </c>
      <c r="HL19" s="14" t="str">
        <f ca="1">IF(HL$1="","",'Total Value'!HL31/'Total Value'!$D31-1)</f>
        <v/>
      </c>
      <c r="HM19" s="14" t="str">
        <f ca="1">IF(HM$1="","",'Total Value'!HM31/'Total Value'!$D31-1)</f>
        <v/>
      </c>
      <c r="HN19" s="14" t="str">
        <f ca="1">IF(HN$1="","",'Total Value'!HN31/'Total Value'!$D31-1)</f>
        <v/>
      </c>
      <c r="HO19" s="14" t="str">
        <f ca="1">IF(HO$1="","",'Total Value'!HO31/'Total Value'!$D31-1)</f>
        <v/>
      </c>
      <c r="HP19" s="14" t="str">
        <f ca="1">IF(HP$1="","",'Total Value'!HP31/'Total Value'!$D31-1)</f>
        <v/>
      </c>
      <c r="HQ19" s="14" t="str">
        <f ca="1">IF(HQ$1="","",'Total Value'!HQ31/'Total Value'!$D31-1)</f>
        <v/>
      </c>
      <c r="HR19" s="14" t="str">
        <f ca="1">IF(HR$1="","",'Total Value'!HR31/'Total Value'!$D31-1)</f>
        <v/>
      </c>
      <c r="HS19" s="14" t="str">
        <f ca="1">IF(HS$1="","",'Total Value'!HS31/'Total Value'!$D31-1)</f>
        <v/>
      </c>
      <c r="HT19" s="14" t="str">
        <f ca="1">IF(HT$1="","",'Total Value'!HT31/'Total Value'!$D31-1)</f>
        <v/>
      </c>
      <c r="HU19" s="14" t="str">
        <f ca="1">IF(HU$1="","",'Total Value'!HU31/'Total Value'!$D31-1)</f>
        <v/>
      </c>
      <c r="HV19" s="14" t="str">
        <f ca="1">IF(HV$1="","",'Total Value'!HV31/'Total Value'!$D31-1)</f>
        <v/>
      </c>
      <c r="HW19" s="14" t="str">
        <f ca="1">IF(HW$1="","",'Total Value'!HW31/'Total Value'!$D31-1)</f>
        <v/>
      </c>
      <c r="HX19" s="14" t="str">
        <f ca="1">IF(HX$1="","",'Total Value'!HX31/'Total Value'!$D31-1)</f>
        <v/>
      </c>
      <c r="HY19" s="14" t="str">
        <f ca="1">IF(HY$1="","",'Total Value'!HY31/'Total Value'!$D31-1)</f>
        <v/>
      </c>
      <c r="HZ19" s="14" t="str">
        <f ca="1">IF(HZ$1="","",'Total Value'!HZ31/'Total Value'!$D31-1)</f>
        <v/>
      </c>
      <c r="IA19" s="14" t="str">
        <f ca="1">IF(IA$1="","",'Total Value'!IA31/'Total Value'!$D31-1)</f>
        <v/>
      </c>
      <c r="IB19" s="14" t="str">
        <f ca="1">IF(IB$1="","",'Total Value'!IB31/'Total Value'!$D31-1)</f>
        <v/>
      </c>
      <c r="IC19" s="14" t="str">
        <f ca="1">IF(IC$1="","",'Total Value'!IC31/'Total Value'!$D31-1)</f>
        <v/>
      </c>
      <c r="ID19" s="14" t="str">
        <f ca="1">IF(ID$1="","",'Total Value'!ID31/'Total Value'!$D31-1)</f>
        <v/>
      </c>
      <c r="IE19" s="14" t="str">
        <f ca="1">IF(IE$1="","",'Total Value'!IE31/'Total Value'!$D31-1)</f>
        <v/>
      </c>
      <c r="IF19" s="14" t="str">
        <f ca="1">IF(IF$1="","",'Total Value'!IF31/'Total Value'!$D31-1)</f>
        <v/>
      </c>
      <c r="IG19" s="14" t="str">
        <f ca="1">IF(IG$1="","",'Total Value'!IG31/'Total Value'!$D31-1)</f>
        <v/>
      </c>
      <c r="IH19" s="14" t="str">
        <f ca="1">IF(IH$1="","",'Total Value'!IH31/'Total Value'!$D31-1)</f>
        <v/>
      </c>
      <c r="II19" s="14" t="str">
        <f ca="1">IF(II$1="","",'Total Value'!II31/'Total Value'!$D31-1)</f>
        <v/>
      </c>
      <c r="IJ19" s="14" t="str">
        <f ca="1">IF(IJ$1="","",'Total Value'!IJ31/'Total Value'!$D31-1)</f>
        <v/>
      </c>
      <c r="IK19" s="14" t="str">
        <f ca="1">IF(IK$1="","",'Total Value'!IK31/'Total Value'!$D31-1)</f>
        <v/>
      </c>
      <c r="IL19" s="14" t="str">
        <f ca="1">IF(IL$1="","",'Total Value'!IL31/'Total Value'!$D31-1)</f>
        <v/>
      </c>
      <c r="IM19" s="14" t="str">
        <f ca="1">IF(IM$1="","",'Total Value'!IM31/'Total Value'!$D31-1)</f>
        <v/>
      </c>
      <c r="IN19" s="14" t="str">
        <f ca="1">IF(IN$1="","",'Total Value'!IN31/'Total Value'!$D31-1)</f>
        <v/>
      </c>
      <c r="IO19" s="14" t="str">
        <f ca="1">IF(IO$1="","",'Total Value'!IO31/'Total Value'!$D31-1)</f>
        <v/>
      </c>
      <c r="IP19" s="14" t="str">
        <f ca="1">IF(IP$1="","",'Total Value'!IP31/'Total Value'!$D31-1)</f>
        <v/>
      </c>
      <c r="IQ19" s="14" t="str">
        <f ca="1">IF(IQ$1="","",'Total Value'!IQ31/'Total Value'!$D31-1)</f>
        <v/>
      </c>
      <c r="IR19" s="14" t="str">
        <f ca="1">IF(IR$1="","",'Total Value'!IR31/'Total Value'!$D31-1)</f>
        <v/>
      </c>
      <c r="IS19" s="14" t="str">
        <f ca="1">IF(IS$1="","",'Total Value'!IS31/'Total Value'!$D31-1)</f>
        <v/>
      </c>
      <c r="IT19" s="14" t="str">
        <f ca="1">IF(IT$1="","",'Total Value'!IT31/'Total Value'!$D31-1)</f>
        <v/>
      </c>
      <c r="IU19" s="14" t="str">
        <f ca="1">IF(IU$1="","",'Total Value'!IU31/'Total Value'!$D31-1)</f>
        <v/>
      </c>
      <c r="IV19" s="14" t="str">
        <f ca="1">IF(IV$1="","",'Total Value'!IV31/'Total Value'!$D31-1)</f>
        <v/>
      </c>
      <c r="IW19" s="14" t="str">
        <f ca="1">IF(IW$1="","",'Total Value'!IW31/'Total Value'!$D31-1)</f>
        <v/>
      </c>
      <c r="IX19" s="14" t="str">
        <f ca="1">IF(IX$1="","",'Total Value'!IX31/'Total Value'!$D31-1)</f>
        <v/>
      </c>
      <c r="IY19" s="14" t="str">
        <f ca="1">IF(IY$1="","",'Total Value'!IY31/'Total Value'!$D31-1)</f>
        <v/>
      </c>
      <c r="IZ19" s="14" t="str">
        <f ca="1">IF(IZ$1="","",'Total Value'!IZ31/'Total Value'!$D31-1)</f>
        <v/>
      </c>
      <c r="JA19" s="14" t="str">
        <f ca="1">IF(JA$1="","",'Total Value'!JA31/'Total Value'!$D31-1)</f>
        <v/>
      </c>
      <c r="JB19" s="14" t="str">
        <f ca="1">IF(JB$1="","",'Total Value'!JB31/'Total Value'!$D31-1)</f>
        <v/>
      </c>
      <c r="JC19" s="14" t="str">
        <f ca="1">IF(JC$1="","",'Total Value'!JC31/'Total Value'!$D31-1)</f>
        <v/>
      </c>
      <c r="JD19" s="14" t="str">
        <f ca="1">IF(JD$1="","",'Total Value'!JD31/'Total Value'!$D31-1)</f>
        <v/>
      </c>
      <c r="JE19" s="14" t="str">
        <f ca="1">IF(JE$1="","",'Total Value'!JE31/'Total Value'!$D31-1)</f>
        <v/>
      </c>
      <c r="JF19" s="14" t="str">
        <f ca="1">IF(JF$1="","",'Total Value'!JF31/'Total Value'!$D31-1)</f>
        <v/>
      </c>
      <c r="JG19" s="14" t="str">
        <f ca="1">IF(JG$1="","",'Total Value'!JG31/'Total Value'!$D31-1)</f>
        <v/>
      </c>
      <c r="JH19" s="14" t="str">
        <f ca="1">IF(JH$1="","",'Total Value'!JH31/'Total Value'!$D31-1)</f>
        <v/>
      </c>
      <c r="JI19" s="14" t="str">
        <f ca="1">IF(JI$1="","",'Total Value'!JI31/'Total Value'!$D31-1)</f>
        <v/>
      </c>
      <c r="JJ19" s="14" t="str">
        <f ca="1">IF(JJ$1="","",'Total Value'!JJ31/'Total Value'!$D31-1)</f>
        <v/>
      </c>
      <c r="JK19" s="14" t="str">
        <f ca="1">IF(JK$1="","",'Total Value'!JK31/'Total Value'!$D31-1)</f>
        <v/>
      </c>
      <c r="JL19" s="14" t="str">
        <f ca="1">IF(JL$1="","",'Total Value'!JL31/'Total Value'!$D31-1)</f>
        <v/>
      </c>
      <c r="JM19" s="14" t="str">
        <f ca="1">IF(JM$1="","",'Total Value'!JM31/'Total Value'!$D31-1)</f>
        <v/>
      </c>
      <c r="JN19" s="14" t="str">
        <f ca="1">IF(JN$1="","",'Total Value'!JN31/'Total Value'!$D31-1)</f>
        <v/>
      </c>
      <c r="JO19" s="14" t="str">
        <f ca="1">IF(JO$1="","",'Total Value'!JO31/'Total Value'!$D31-1)</f>
        <v/>
      </c>
      <c r="JP19" s="14" t="str">
        <f ca="1">IF(JP$1="","",'Total Value'!JP31/'Total Value'!$D31-1)</f>
        <v/>
      </c>
      <c r="JQ19" s="14" t="str">
        <f ca="1">IF(JQ$1="","",'Total Value'!JQ31/'Total Value'!$D31-1)</f>
        <v/>
      </c>
      <c r="JR19" s="14" t="str">
        <f ca="1">IF(JR$1="","",'Total Value'!JR31/'Total Value'!$D31-1)</f>
        <v/>
      </c>
      <c r="JS19" s="14" t="str">
        <f ca="1">IF(JS$1="","",'Total Value'!JS31/'Total Value'!$D31-1)</f>
        <v/>
      </c>
      <c r="JT19" s="14" t="str">
        <f ca="1">IF(JT$1="","",'Total Value'!JT31/'Total Value'!$D31-1)</f>
        <v/>
      </c>
      <c r="JU19" s="14" t="str">
        <f ca="1">IF(JU$1="","",'Total Value'!JU31/'Total Value'!$D31-1)</f>
        <v/>
      </c>
      <c r="JV19" s="14" t="str">
        <f ca="1">IF(JV$1="","",'Total Value'!JV31/'Total Value'!$D31-1)</f>
        <v/>
      </c>
      <c r="JW19" s="14" t="str">
        <f ca="1">IF(JW$1="","",'Total Value'!JW31/'Total Value'!$D31-1)</f>
        <v/>
      </c>
      <c r="JX19" s="14" t="str">
        <f ca="1">IF(JX$1="","",'Total Value'!JX31/'Total Value'!$D31-1)</f>
        <v/>
      </c>
      <c r="JY19" s="14" t="str">
        <f ca="1">IF(JY$1="","",'Total Value'!JY31/'Total Value'!$D31-1)</f>
        <v/>
      </c>
      <c r="JZ19" s="14" t="str">
        <f ca="1">IF(JZ$1="","",'Total Value'!JZ31/'Total Value'!$D31-1)</f>
        <v/>
      </c>
      <c r="KA19" s="14" t="str">
        <f ca="1">IF(KA$1="","",'Total Value'!KA31/'Total Value'!$D31-1)</f>
        <v/>
      </c>
      <c r="KB19" s="14" t="str">
        <f ca="1">IF(KB$1="","",'Total Value'!KB31/'Total Value'!$D31-1)</f>
        <v/>
      </c>
    </row>
    <row r="20" spans="1:288" ht="15.75" customHeight="1">
      <c r="A20" s="9" t="s">
        <v>30</v>
      </c>
      <c r="B20" s="6" t="s">
        <v>65</v>
      </c>
      <c r="C20" s="26">
        <v>51</v>
      </c>
      <c r="D20" s="13">
        <v>0</v>
      </c>
      <c r="E20" s="14">
        <f ca="1">IF(E$1="","",'Total Value'!E32/'Total Value'!$D32-1)</f>
        <v>-1.2513484358144478E-2</v>
      </c>
      <c r="F20" s="14">
        <f ca="1">IF(F$1="","",'Total Value'!F32/'Total Value'!$D32-1)</f>
        <v>-1.747572815533982E-2</v>
      </c>
      <c r="G20" s="14">
        <f ca="1">IF(G$1="","",'Total Value'!G32/'Total Value'!$D32-1)</f>
        <v>-3.4304207119741137E-2</v>
      </c>
      <c r="H20" s="14">
        <f ca="1">IF(H$1="","",'Total Value'!H32/'Total Value'!$D32-1)</f>
        <v>-3.9913700107874872E-2</v>
      </c>
      <c r="I20" s="14">
        <f ca="1">IF(I$1="","",'Total Value'!I32/'Total Value'!$D32-1)</f>
        <v>-5.5016181229773586E-2</v>
      </c>
      <c r="J20" s="14">
        <f ca="1">IF(J$1="","",'Total Value'!J32/'Total Value'!$D32-1)</f>
        <v>-7.6591154261057226E-2</v>
      </c>
      <c r="K20" s="14">
        <f ca="1">IF(K$1="","",'Total Value'!K32/'Total Value'!$D32-1)</f>
        <v>-9.4929881337648125E-2</v>
      </c>
      <c r="L20" s="14">
        <f ca="1">IF(L$1="","",'Total Value'!L32/'Total Value'!$D32-1)</f>
        <v>-0.12233009708737863</v>
      </c>
      <c r="M20" s="14">
        <f ca="1">IF(M$1="","",'Total Value'!M32/'Total Value'!$D32-1)</f>
        <v>-0.11952535059331171</v>
      </c>
      <c r="N20" s="14">
        <f ca="1">IF(N$1="","",'Total Value'!N32/'Total Value'!$D32-1)</f>
        <v>-0.14153182308522116</v>
      </c>
      <c r="O20" s="14">
        <f ca="1">IF(O$1="","",'Total Value'!O32/'Total Value'!$D32-1)</f>
        <v>-0.15339805825242714</v>
      </c>
      <c r="P20" s="14">
        <f ca="1">IF(P$1="","",'Total Value'!P32/'Total Value'!$D32-1)</f>
        <v>-0.16936353829557715</v>
      </c>
      <c r="Q20" s="14">
        <f ca="1">IF(Q$1="","",'Total Value'!Q32/'Total Value'!$D32-1)</f>
        <v>-0.15814455231930946</v>
      </c>
      <c r="R20" s="14">
        <f ca="1">IF(R$1="","",'Total Value'!R32/'Total Value'!$D32-1)</f>
        <v>-0.14110032362459535</v>
      </c>
      <c r="S20" s="14">
        <f ca="1">IF(S$1="","",'Total Value'!S32/'Total Value'!$D32-1)</f>
        <v>-0.12880258899676367</v>
      </c>
      <c r="T20" s="14">
        <f ca="1">IF(T$1="","",'Total Value'!T32/'Total Value'!$D32-1)</f>
        <v>-0.13398058252427181</v>
      </c>
      <c r="U20" s="14">
        <f ca="1">IF(U$1="","",'Total Value'!U32/'Total Value'!$D32-1)</f>
        <v>-0.15641855447680686</v>
      </c>
      <c r="V20" s="14">
        <f ca="1">IF(V$1="","",'Total Value'!V32/'Total Value'!$D32-1)</f>
        <v>-0.15404530744336564</v>
      </c>
      <c r="W20" s="14">
        <f ca="1">IF(W$1="","",'Total Value'!W32/'Total Value'!$D32-1)</f>
        <v>-0.14304207119741097</v>
      </c>
      <c r="X20" s="14">
        <f ca="1">IF(X$1="","",'Total Value'!X32/'Total Value'!$D32-1)</f>
        <v>-0.10636461704422862</v>
      </c>
      <c r="Y20" s="14">
        <f ca="1">IF(Y$1="","",'Total Value'!Y32/'Total Value'!$D32-1)</f>
        <v>-8.3063646170442262E-2</v>
      </c>
      <c r="Z20" s="14">
        <f ca="1">IF(Z$1="","",'Total Value'!Z32/'Total Value'!$D32-1)</f>
        <v>-8.8888888888888795E-2</v>
      </c>
      <c r="AA20" s="14">
        <f ca="1">IF(AA$1="","",'Total Value'!AA32/'Total Value'!$D32-1)</f>
        <v>-0.11046386192017255</v>
      </c>
      <c r="AB20" s="14">
        <f ca="1">IF(AB$1="","",'Total Value'!AB32/'Total Value'!$D32-1)</f>
        <v>-0.10679611650485432</v>
      </c>
      <c r="AC20" s="14">
        <f ca="1">IF(AC$1="","",'Total Value'!AC32/'Total Value'!$D32-1)</f>
        <v>-6.364617044228682E-2</v>
      </c>
      <c r="AD20" s="14">
        <f ca="1">IF(AD$1="","",'Total Value'!AD32/'Total Value'!$D32-1)</f>
        <v>-5.3074433656957964E-2</v>
      </c>
      <c r="AE20" s="14">
        <f ca="1">IF(AE$1="","",'Total Value'!AE32/'Total Value'!$D32-1)</f>
        <v>-7.7885652642934011E-2</v>
      </c>
      <c r="AF20" s="14">
        <f ca="1">IF(AF$1="","",'Total Value'!AF32/'Total Value'!$D32-1)</f>
        <v>-2.9126213592232997E-2</v>
      </c>
      <c r="AG20" s="14">
        <f ca="1">IF(AG$1="","",'Total Value'!AG32/'Total Value'!$D32-1)</f>
        <v>-3.3656957928802522E-2</v>
      </c>
      <c r="AH20" s="14">
        <f ca="1">IF(AH$1="","",'Total Value'!AH32/'Total Value'!$D32-1)</f>
        <v>-4.4012944983818802E-2</v>
      </c>
      <c r="AI20" s="14">
        <f ca="1">IF(AI$1="","",'Total Value'!AI32/'Total Value'!$D32-1)</f>
        <v>-5.3937432578209266E-2</v>
      </c>
      <c r="AJ20" s="14">
        <f ca="1">IF(AJ$1="","",'Total Value'!AJ32/'Total Value'!$D32-1)</f>
        <v>-2.8910463861920199E-2</v>
      </c>
      <c r="AK20" s="14">
        <f ca="1">IF(AK$1="","",'Total Value'!AK32/'Total Value'!$D32-1)</f>
        <v>-9.9029126213592278E-2</v>
      </c>
      <c r="AL20" s="14">
        <f ca="1">IF(AL$1="","",'Total Value'!AL32/'Total Value'!$D32-1)</f>
        <v>-0.15512405609492996</v>
      </c>
      <c r="AM20" s="14">
        <f ca="1">IF(AM$1="","",'Total Value'!AM32/'Total Value'!$D32-1)</f>
        <v>-0.1188781014023732</v>
      </c>
      <c r="AN20" s="14">
        <f ca="1">IF(AN$1="","",'Total Value'!AN32/'Total Value'!$D32-1)</f>
        <v>-0.15620280474649406</v>
      </c>
      <c r="AO20" s="14">
        <f ca="1">IF(AO$1="","",'Total Value'!AO32/'Total Value'!$D32-1)</f>
        <v>-0.21143473570658033</v>
      </c>
      <c r="AP20" s="14">
        <f ca="1">IF(AP$1="","",'Total Value'!AP32/'Total Value'!$D32-1)</f>
        <v>-0.27508090614886727</v>
      </c>
      <c r="AQ20" s="14">
        <f ca="1">IF(AQ$1="","",'Total Value'!AQ32/'Total Value'!$D32-1)</f>
        <v>-0.23128371089536126</v>
      </c>
      <c r="AR20" s="14">
        <f ca="1">IF(AR$1="","",'Total Value'!AR32/'Total Value'!$D32-1)</f>
        <v>-0.22502696871628902</v>
      </c>
      <c r="AS20" s="14">
        <f ca="1">IF(AS$1="","",'Total Value'!AS32/'Total Value'!$D32-1)</f>
        <v>-0.22524271844660193</v>
      </c>
      <c r="AT20" s="14">
        <f ca="1">IF(AT$1="","",'Total Value'!AT32/'Total Value'!$D32-1)</f>
        <v>-0.1924487594390506</v>
      </c>
      <c r="AU20" s="14">
        <f ca="1">IF(AU$1="","",'Total Value'!AU32/'Total Value'!$D32-1)</f>
        <v>-0.17108953613807976</v>
      </c>
      <c r="AV20" s="14">
        <f ca="1">IF(AV$1="","",'Total Value'!AV32/'Total Value'!$D32-1)</f>
        <v>-0.13937432578209275</v>
      </c>
      <c r="AW20" s="14">
        <f ca="1">IF(AW$1="","",'Total Value'!AW32/'Total Value'!$D32-1)</f>
        <v>-0.10722761596547992</v>
      </c>
      <c r="AX20" s="14">
        <f ca="1">IF(AX$1="","",'Total Value'!AX32/'Total Value'!$D32-1)</f>
        <v>-0.1039913700107874</v>
      </c>
      <c r="AY20" s="14">
        <f ca="1">IF(AY$1="","",'Total Value'!AY32/'Total Value'!$D32-1)</f>
        <v>-9.1046386192017215E-2</v>
      </c>
      <c r="AZ20" s="14">
        <f ca="1">IF(AZ$1="","",'Total Value'!AZ32/'Total Value'!$D32-1)</f>
        <v>-9.147788565264281E-2</v>
      </c>
      <c r="BA20" s="14">
        <f ca="1">IF(BA$1="","",'Total Value'!BA32/'Total Value'!$D32-1)</f>
        <v>-6.6450916936353854E-2</v>
      </c>
      <c r="BB20" s="14">
        <f ca="1">IF(BB$1="","",'Total Value'!BB32/'Total Value'!$D32-1)</f>
        <v>-7.2707659115426093E-2</v>
      </c>
      <c r="BC20" s="14">
        <f ca="1">IF(BC$1="","",'Total Value'!BC32/'Total Value'!$D32-1)</f>
        <v>-5.4584681769147658E-2</v>
      </c>
      <c r="BD20" s="14">
        <f ca="1">IF(BD$1="","",'Total Value'!BD32/'Total Value'!$D32-1)</f>
        <v>-3.5598705501617922E-2</v>
      </c>
      <c r="BE20" s="14">
        <f ca="1">IF(BE$1="","",'Total Value'!BE32/'Total Value'!$D32-1)</f>
        <v>-2.7831715210355989E-2</v>
      </c>
      <c r="BF20" s="14">
        <f ca="1">IF(BF$1="","",'Total Value'!BF32/'Total Value'!$D32-1)</f>
        <v>-2.459546925566336E-2</v>
      </c>
      <c r="BG20" s="14">
        <f ca="1">IF(BG$1="","",'Total Value'!BG32/'Total Value'!$D32-1)</f>
        <v>-3.9697950377562075E-2</v>
      </c>
      <c r="BH20" s="14">
        <f ca="1">IF(BH$1="","",'Total Value'!BH32/'Total Value'!$D32-1)</f>
        <v>-3.6677454153182243E-2</v>
      </c>
      <c r="BI20" s="14">
        <f ca="1">IF(BI$1="","",'Total Value'!BI32/'Total Value'!$D32-1)</f>
        <v>-4.2718446601941795E-2</v>
      </c>
      <c r="BJ20" s="14">
        <f ca="1">IF(BJ$1="","",'Total Value'!BJ32/'Total Value'!$D32-1)</f>
        <v>-5.0701186623516636E-2</v>
      </c>
      <c r="BK20" s="14">
        <f ca="1">IF(BK$1="","",'Total Value'!BK32/'Total Value'!$D32-1)</f>
        <v>-7.098166127292338E-2</v>
      </c>
      <c r="BL20" s="14">
        <f ca="1">IF(BL$1="","",'Total Value'!BL32/'Total Value'!$D32-1)</f>
        <v>-8.2200647249190961E-2</v>
      </c>
      <c r="BM20" s="14">
        <f ca="1">IF(BM$1="","",'Total Value'!BM32/'Total Value'!$D32-1)</f>
        <v>-8.8673139158575887E-2</v>
      </c>
      <c r="BN20" s="14">
        <f ca="1">IF(BN$1="","",'Total Value'!BN32/'Total Value'!$D32-1)</f>
        <v>-9.8813376483279369E-2</v>
      </c>
      <c r="BO20" s="14">
        <f ca="1">IF(BO$1="","",'Total Value'!BO32/'Total Value'!$D32-1)</f>
        <v>-9.4066882416396824E-2</v>
      </c>
      <c r="BP20" s="14">
        <f ca="1">IF(BP$1="","",'Total Value'!BP32/'Total Value'!$D32-1)</f>
        <v>-0.10226537216828469</v>
      </c>
      <c r="BQ20" s="14">
        <f ca="1">IF(BQ$1="","",'Total Value'!BQ32/'Total Value'!$D32-1)</f>
        <v>-7.6159654800431409E-2</v>
      </c>
      <c r="BR20" s="14">
        <f ca="1">IF(BR$1="","",'Total Value'!BR32/'Total Value'!$D32-1)</f>
        <v>-6.5372168284789534E-2</v>
      </c>
      <c r="BS20" s="14">
        <f ca="1">IF(BS$1="","",'Total Value'!BS32/'Total Value'!$D32-1)</f>
        <v>-6.1488673139158512E-2</v>
      </c>
      <c r="BT20" s="14">
        <f ca="1">IF(BT$1="","",'Total Value'!BT32/'Total Value'!$D32-1)</f>
        <v>-2.2222222222222143E-2</v>
      </c>
      <c r="BU20" s="14">
        <f ca="1">IF(BU$1="","",'Total Value'!BU32/'Total Value'!$D32-1)</f>
        <v>-1.7691477885652507E-2</v>
      </c>
      <c r="BV20" s="14">
        <f ca="1">IF(BV$1="","",'Total Value'!BV32/'Total Value'!$D32-1)</f>
        <v>-2.3085221143473444E-2</v>
      </c>
      <c r="BW20" s="14">
        <f ca="1">IF(BW$1="","",'Total Value'!BW32/'Total Value'!$D32-1)</f>
        <v>-4.3365695792880188E-2</v>
      </c>
      <c r="BX20" s="14">
        <f ca="1">IF(BX$1="","",'Total Value'!BX32/'Total Value'!$D32-1)</f>
        <v>-5.5879180151024888E-2</v>
      </c>
      <c r="BY20" s="14">
        <f ca="1">IF(BY$1="","",'Total Value'!BY32/'Total Value'!$D32-1)</f>
        <v>-0.10355987055016191</v>
      </c>
      <c r="BZ20" s="14">
        <f ca="1">IF(BZ$1="","",'Total Value'!BZ32/'Total Value'!$D32-1)</f>
        <v>-0.1182308522114347</v>
      </c>
      <c r="CA20" s="14">
        <f ca="1">IF(CA$1="","",'Total Value'!CA32/'Total Value'!$D32-1)</f>
        <v>-0.10032362459546906</v>
      </c>
      <c r="CB20" s="14">
        <f ca="1">IF(CB$1="","",'Total Value'!CB32/'Total Value'!$D32-1)</f>
        <v>-0.13096008629989198</v>
      </c>
      <c r="CC20" s="14">
        <f ca="1">IF(CC$1="","",'Total Value'!CC32/'Total Value'!$D32-1)</f>
        <v>-0.13656957928802582</v>
      </c>
      <c r="CD20" s="14">
        <f ca="1">IF(CD$1="","",'Total Value'!CD32/'Total Value'!$D32-1)</f>
        <v>-0.12427184466019403</v>
      </c>
      <c r="CE20" s="14">
        <f ca="1">IF(CE$1="","",'Total Value'!CE32/'Total Value'!$D32-1)</f>
        <v>-0.11218985976267526</v>
      </c>
      <c r="CF20" s="14" t="str">
        <f ca="1">IF(CF$1="","",'Total Value'!CF32/'Total Value'!$D32-1)</f>
        <v/>
      </c>
      <c r="CG20" s="14" t="str">
        <f ca="1">IF(CG$1="","",'Total Value'!CG32/'Total Value'!$D32-1)</f>
        <v/>
      </c>
      <c r="CH20" s="14" t="str">
        <f ca="1">IF(CH$1="","",'Total Value'!CH32/'Total Value'!$D32-1)</f>
        <v/>
      </c>
      <c r="CI20" s="14" t="str">
        <f ca="1">IF(CI$1="","",'Total Value'!CI32/'Total Value'!$D32-1)</f>
        <v/>
      </c>
      <c r="CJ20" s="14" t="str">
        <f ca="1">IF(CJ$1="","",'Total Value'!CJ32/'Total Value'!$D32-1)</f>
        <v/>
      </c>
      <c r="CK20" s="14" t="str">
        <f ca="1">IF(CK$1="","",'Total Value'!CK32/'Total Value'!$D32-1)</f>
        <v/>
      </c>
      <c r="CL20" s="14" t="str">
        <f ca="1">IF(CL$1="","",'Total Value'!CL32/'Total Value'!$D32-1)</f>
        <v/>
      </c>
      <c r="CM20" s="14" t="str">
        <f ca="1">IF(CM$1="","",'Total Value'!CM32/'Total Value'!$D32-1)</f>
        <v/>
      </c>
      <c r="CN20" s="14" t="str">
        <f ca="1">IF(CN$1="","",'Total Value'!CN32/'Total Value'!$D32-1)</f>
        <v/>
      </c>
      <c r="CO20" s="14" t="str">
        <f ca="1">IF(CO$1="","",'Total Value'!CO32/'Total Value'!$D32-1)</f>
        <v/>
      </c>
      <c r="CP20" s="14" t="str">
        <f ca="1">IF(CP$1="","",'Total Value'!CP32/'Total Value'!$D32-1)</f>
        <v/>
      </c>
      <c r="CQ20" s="14" t="str">
        <f ca="1">IF(CQ$1="","",'Total Value'!CQ32/'Total Value'!$D32-1)</f>
        <v/>
      </c>
      <c r="CR20" s="14" t="str">
        <f ca="1">IF(CR$1="","",'Total Value'!CR32/'Total Value'!$D32-1)</f>
        <v/>
      </c>
      <c r="CS20" s="14" t="str">
        <f ca="1">IF(CS$1="","",'Total Value'!CS32/'Total Value'!$D32-1)</f>
        <v/>
      </c>
      <c r="CT20" s="14" t="str">
        <f ca="1">IF(CT$1="","",'Total Value'!CT32/'Total Value'!$D32-1)</f>
        <v/>
      </c>
      <c r="CU20" s="14" t="str">
        <f ca="1">IF(CU$1="","",'Total Value'!CU32/'Total Value'!$D32-1)</f>
        <v/>
      </c>
      <c r="CV20" s="14" t="str">
        <f ca="1">IF(CV$1="","",'Total Value'!CV32/'Total Value'!$D32-1)</f>
        <v/>
      </c>
      <c r="CW20" s="14" t="str">
        <f ca="1">IF(CW$1="","",'Total Value'!CW32/'Total Value'!$D32-1)</f>
        <v/>
      </c>
      <c r="CX20" s="14" t="str">
        <f ca="1">IF(CX$1="","",'Total Value'!CX32/'Total Value'!$D32-1)</f>
        <v/>
      </c>
      <c r="CY20" s="14" t="str">
        <f ca="1">IF(CY$1="","",'Total Value'!CY32/'Total Value'!$D32-1)</f>
        <v/>
      </c>
      <c r="CZ20" s="14" t="str">
        <f ca="1">IF(CZ$1="","",'Total Value'!CZ32/'Total Value'!$D32-1)</f>
        <v/>
      </c>
      <c r="DA20" s="14" t="str">
        <f ca="1">IF(DA$1="","",'Total Value'!DA32/'Total Value'!$D32-1)</f>
        <v/>
      </c>
      <c r="DB20" s="14" t="str">
        <f ca="1">IF(DB$1="","",'Total Value'!DB32/'Total Value'!$D32-1)</f>
        <v/>
      </c>
      <c r="DC20" s="14" t="str">
        <f ca="1">IF(DC$1="","",'Total Value'!DC32/'Total Value'!$D32-1)</f>
        <v/>
      </c>
      <c r="DD20" s="14" t="str">
        <f ca="1">IF(DD$1="","",'Total Value'!DD32/'Total Value'!$D32-1)</f>
        <v/>
      </c>
      <c r="DE20" s="14" t="str">
        <f ca="1">IF(DE$1="","",'Total Value'!DE32/'Total Value'!$D32-1)</f>
        <v/>
      </c>
      <c r="DF20" s="14" t="str">
        <f ca="1">IF(DF$1="","",'Total Value'!DF32/'Total Value'!$D32-1)</f>
        <v/>
      </c>
      <c r="DG20" s="14" t="str">
        <f ca="1">IF(DG$1="","",'Total Value'!DG32/'Total Value'!$D32-1)</f>
        <v/>
      </c>
      <c r="DH20" s="14" t="str">
        <f ca="1">IF(DH$1="","",'Total Value'!DH32/'Total Value'!$D32-1)</f>
        <v/>
      </c>
      <c r="DI20" s="14" t="str">
        <f ca="1">IF(DI$1="","",'Total Value'!DI32/'Total Value'!$D32-1)</f>
        <v/>
      </c>
      <c r="DJ20" s="14" t="str">
        <f ca="1">IF(DJ$1="","",'Total Value'!DJ32/'Total Value'!$D32-1)</f>
        <v/>
      </c>
      <c r="DK20" s="14" t="str">
        <f ca="1">IF(DK$1="","",'Total Value'!DK32/'Total Value'!$D32-1)</f>
        <v/>
      </c>
      <c r="DL20" s="14" t="str">
        <f ca="1">IF(DL$1="","",'Total Value'!DL32/'Total Value'!$D32-1)</f>
        <v/>
      </c>
      <c r="DM20" s="14" t="str">
        <f ca="1">IF(DM$1="","",'Total Value'!DM32/'Total Value'!$D32-1)</f>
        <v/>
      </c>
      <c r="DN20" s="14" t="str">
        <f ca="1">IF(DN$1="","",'Total Value'!DN32/'Total Value'!$D32-1)</f>
        <v/>
      </c>
      <c r="DO20" s="14" t="str">
        <f ca="1">IF(DO$1="","",'Total Value'!DO32/'Total Value'!$D32-1)</f>
        <v/>
      </c>
      <c r="DP20" s="14" t="str">
        <f ca="1">IF(DP$1="","",'Total Value'!DP32/'Total Value'!$D32-1)</f>
        <v/>
      </c>
      <c r="DQ20" s="14" t="str">
        <f ca="1">IF(DQ$1="","",'Total Value'!DQ32/'Total Value'!$D32-1)</f>
        <v/>
      </c>
      <c r="DR20" s="14" t="str">
        <f ca="1">IF(DR$1="","",'Total Value'!DR32/'Total Value'!$D32-1)</f>
        <v/>
      </c>
      <c r="DS20" s="14" t="str">
        <f ca="1">IF(DS$1="","",'Total Value'!DS32/'Total Value'!$D32-1)</f>
        <v/>
      </c>
      <c r="DT20" s="14" t="str">
        <f ca="1">IF(DT$1="","",'Total Value'!DT32/'Total Value'!$D32-1)</f>
        <v/>
      </c>
      <c r="DU20" s="14" t="str">
        <f ca="1">IF(DU$1="","",'Total Value'!DU32/'Total Value'!$D32-1)</f>
        <v/>
      </c>
      <c r="DV20" s="14" t="str">
        <f ca="1">IF(DV$1="","",'Total Value'!DV32/'Total Value'!$D32-1)</f>
        <v/>
      </c>
      <c r="DW20" s="14" t="str">
        <f ca="1">IF(DW$1="","",'Total Value'!DW32/'Total Value'!$D32-1)</f>
        <v/>
      </c>
      <c r="DX20" s="14" t="str">
        <f ca="1">IF(DX$1="","",'Total Value'!DX32/'Total Value'!$D32-1)</f>
        <v/>
      </c>
      <c r="DY20" s="14" t="str">
        <f ca="1">IF(DY$1="","",'Total Value'!DY32/'Total Value'!$D32-1)</f>
        <v/>
      </c>
      <c r="DZ20" s="14" t="str">
        <f ca="1">IF(DZ$1="","",'Total Value'!DZ32/'Total Value'!$D32-1)</f>
        <v/>
      </c>
      <c r="EA20" s="14" t="str">
        <f ca="1">IF(EA$1="","",'Total Value'!EA32/'Total Value'!$D32-1)</f>
        <v/>
      </c>
      <c r="EB20" s="14" t="str">
        <f ca="1">IF(EB$1="","",'Total Value'!EB32/'Total Value'!$D32-1)</f>
        <v/>
      </c>
      <c r="EC20" s="14" t="str">
        <f ca="1">IF(EC$1="","",'Total Value'!EC32/'Total Value'!$D32-1)</f>
        <v/>
      </c>
      <c r="ED20" s="14" t="str">
        <f ca="1">IF(ED$1="","",'Total Value'!ED32/'Total Value'!$D32-1)</f>
        <v/>
      </c>
      <c r="EE20" s="14" t="str">
        <f ca="1">IF(EE$1="","",'Total Value'!EE32/'Total Value'!$D32-1)</f>
        <v/>
      </c>
      <c r="EF20" s="14" t="str">
        <f ca="1">IF(EF$1="","",'Total Value'!EF32/'Total Value'!$D32-1)</f>
        <v/>
      </c>
      <c r="EG20" s="14" t="str">
        <f ca="1">IF(EG$1="","",'Total Value'!EG32/'Total Value'!$D32-1)</f>
        <v/>
      </c>
      <c r="EH20" s="14" t="str">
        <f ca="1">IF(EH$1="","",'Total Value'!EH32/'Total Value'!$D32-1)</f>
        <v/>
      </c>
      <c r="EI20" s="14" t="str">
        <f ca="1">IF(EI$1="","",'Total Value'!EI32/'Total Value'!$D32-1)</f>
        <v/>
      </c>
      <c r="EJ20" s="14" t="str">
        <f ca="1">IF(EJ$1="","",'Total Value'!EJ32/'Total Value'!$D32-1)</f>
        <v/>
      </c>
      <c r="EK20" s="14" t="str">
        <f ca="1">IF(EK$1="","",'Total Value'!EK32/'Total Value'!$D32-1)</f>
        <v/>
      </c>
      <c r="EL20" s="14" t="str">
        <f ca="1">IF(EL$1="","",'Total Value'!EL32/'Total Value'!$D32-1)</f>
        <v/>
      </c>
      <c r="EM20" s="14" t="str">
        <f ca="1">IF(EM$1="","",'Total Value'!EM32/'Total Value'!$D32-1)</f>
        <v/>
      </c>
      <c r="EN20" s="14" t="str">
        <f ca="1">IF(EN$1="","",'Total Value'!EN32/'Total Value'!$D32-1)</f>
        <v/>
      </c>
      <c r="EO20" s="14" t="str">
        <f ca="1">IF(EO$1="","",'Total Value'!EO32/'Total Value'!$D32-1)</f>
        <v/>
      </c>
      <c r="EP20" s="14" t="str">
        <f ca="1">IF(EP$1="","",'Total Value'!EP32/'Total Value'!$D32-1)</f>
        <v/>
      </c>
      <c r="EQ20" s="14" t="str">
        <f ca="1">IF(EQ$1="","",'Total Value'!EQ32/'Total Value'!$D32-1)</f>
        <v/>
      </c>
      <c r="ER20" s="14" t="str">
        <f ca="1">IF(ER$1="","",'Total Value'!ER32/'Total Value'!$D32-1)</f>
        <v/>
      </c>
      <c r="ES20" s="14" t="str">
        <f ca="1">IF(ES$1="","",'Total Value'!ES32/'Total Value'!$D32-1)</f>
        <v/>
      </c>
      <c r="ET20" s="14" t="str">
        <f ca="1">IF(ET$1="","",'Total Value'!ET32/'Total Value'!$D32-1)</f>
        <v/>
      </c>
      <c r="EU20" s="14" t="str">
        <f ca="1">IF(EU$1="","",'Total Value'!EU32/'Total Value'!$D32-1)</f>
        <v/>
      </c>
      <c r="EV20" s="14" t="str">
        <f ca="1">IF(EV$1="","",'Total Value'!EV32/'Total Value'!$D32-1)</f>
        <v/>
      </c>
      <c r="EW20" s="14" t="str">
        <f ca="1">IF(EW$1="","",'Total Value'!EW32/'Total Value'!$D32-1)</f>
        <v/>
      </c>
      <c r="EX20" s="14" t="str">
        <f ca="1">IF(EX$1="","",'Total Value'!EX32/'Total Value'!$D32-1)</f>
        <v/>
      </c>
      <c r="EY20" s="14" t="str">
        <f ca="1">IF(EY$1="","",'Total Value'!EY32/'Total Value'!$D32-1)</f>
        <v/>
      </c>
      <c r="EZ20" s="14" t="str">
        <f ca="1">IF(EZ$1="","",'Total Value'!EZ32/'Total Value'!$D32-1)</f>
        <v/>
      </c>
      <c r="FA20" s="14" t="str">
        <f ca="1">IF(FA$1="","",'Total Value'!FA32/'Total Value'!$D32-1)</f>
        <v/>
      </c>
      <c r="FB20" s="14" t="str">
        <f ca="1">IF(FB$1="","",'Total Value'!FB32/'Total Value'!$D32-1)</f>
        <v/>
      </c>
      <c r="FC20" s="14" t="str">
        <f ca="1">IF(FC$1="","",'Total Value'!FC32/'Total Value'!$D32-1)</f>
        <v/>
      </c>
      <c r="FD20" s="14" t="str">
        <f ca="1">IF(FD$1="","",'Total Value'!FD32/'Total Value'!$D32-1)</f>
        <v/>
      </c>
      <c r="FE20" s="14" t="str">
        <f ca="1">IF(FE$1="","",'Total Value'!FE32/'Total Value'!$D32-1)</f>
        <v/>
      </c>
      <c r="FF20" s="14" t="str">
        <f ca="1">IF(FF$1="","",'Total Value'!FF32/'Total Value'!$D32-1)</f>
        <v/>
      </c>
      <c r="FG20" s="14" t="str">
        <f ca="1">IF(FG$1="","",'Total Value'!FG32/'Total Value'!$D32-1)</f>
        <v/>
      </c>
      <c r="FH20" s="14" t="str">
        <f ca="1">IF(FH$1="","",'Total Value'!FH32/'Total Value'!$D32-1)</f>
        <v/>
      </c>
      <c r="FI20" s="14" t="str">
        <f ca="1">IF(FI$1="","",'Total Value'!FI32/'Total Value'!$D32-1)</f>
        <v/>
      </c>
      <c r="FJ20" s="14" t="str">
        <f ca="1">IF(FJ$1="","",'Total Value'!FJ32/'Total Value'!$D32-1)</f>
        <v/>
      </c>
      <c r="FK20" s="14" t="str">
        <f ca="1">IF(FK$1="","",'Total Value'!FK32/'Total Value'!$D32-1)</f>
        <v/>
      </c>
      <c r="FL20" s="14" t="str">
        <f ca="1">IF(FL$1="","",'Total Value'!FL32/'Total Value'!$D32-1)</f>
        <v/>
      </c>
      <c r="FM20" s="14" t="str">
        <f ca="1">IF(FM$1="","",'Total Value'!FM32/'Total Value'!$D32-1)</f>
        <v/>
      </c>
      <c r="FN20" s="14" t="str">
        <f ca="1">IF(FN$1="","",'Total Value'!FN32/'Total Value'!$D32-1)</f>
        <v/>
      </c>
      <c r="FO20" s="14" t="str">
        <f ca="1">IF(FO$1="","",'Total Value'!FO32/'Total Value'!$D32-1)</f>
        <v/>
      </c>
      <c r="FP20" s="14" t="str">
        <f ca="1">IF(FP$1="","",'Total Value'!FP32/'Total Value'!$D32-1)</f>
        <v/>
      </c>
      <c r="FQ20" s="14" t="str">
        <f ca="1">IF(FQ$1="","",'Total Value'!FQ32/'Total Value'!$D32-1)</f>
        <v/>
      </c>
      <c r="FR20" s="14" t="str">
        <f ca="1">IF(FR$1="","",'Total Value'!FR32/'Total Value'!$D32-1)</f>
        <v/>
      </c>
      <c r="FS20" s="14" t="str">
        <f ca="1">IF(FS$1="","",'Total Value'!FS32/'Total Value'!$D32-1)</f>
        <v/>
      </c>
      <c r="FT20" s="14" t="str">
        <f ca="1">IF(FT$1="","",'Total Value'!FT32/'Total Value'!$D32-1)</f>
        <v/>
      </c>
      <c r="FU20" s="14" t="str">
        <f ca="1">IF(FU$1="","",'Total Value'!FU32/'Total Value'!$D32-1)</f>
        <v/>
      </c>
      <c r="FV20" s="14" t="str">
        <f ca="1">IF(FV$1="","",'Total Value'!FV32/'Total Value'!$D32-1)</f>
        <v/>
      </c>
      <c r="FW20" s="14" t="str">
        <f ca="1">IF(FW$1="","",'Total Value'!FW32/'Total Value'!$D32-1)</f>
        <v/>
      </c>
      <c r="FX20" s="14" t="str">
        <f ca="1">IF(FX$1="","",'Total Value'!FX32/'Total Value'!$D32-1)</f>
        <v/>
      </c>
      <c r="FY20" s="14" t="str">
        <f ca="1">IF(FY$1="","",'Total Value'!FY32/'Total Value'!$D32-1)</f>
        <v/>
      </c>
      <c r="FZ20" s="14" t="str">
        <f ca="1">IF(FZ$1="","",'Total Value'!FZ32/'Total Value'!$D32-1)</f>
        <v/>
      </c>
      <c r="GA20" s="14" t="str">
        <f ca="1">IF(GA$1="","",'Total Value'!GA32/'Total Value'!$D32-1)</f>
        <v/>
      </c>
      <c r="GB20" s="14" t="str">
        <f ca="1">IF(GB$1="","",'Total Value'!GB32/'Total Value'!$D32-1)</f>
        <v/>
      </c>
      <c r="GC20" s="14" t="str">
        <f ca="1">IF(GC$1="","",'Total Value'!GC32/'Total Value'!$D32-1)</f>
        <v/>
      </c>
      <c r="GD20" s="14" t="str">
        <f ca="1">IF(GD$1="","",'Total Value'!GD32/'Total Value'!$D32-1)</f>
        <v/>
      </c>
      <c r="GE20" s="14" t="str">
        <f ca="1">IF(GE$1="","",'Total Value'!GE32/'Total Value'!$D32-1)</f>
        <v/>
      </c>
      <c r="GF20" s="14" t="str">
        <f ca="1">IF(GF$1="","",'Total Value'!GF32/'Total Value'!$D32-1)</f>
        <v/>
      </c>
      <c r="GG20" s="14" t="str">
        <f ca="1">IF(GG$1="","",'Total Value'!GG32/'Total Value'!$D32-1)</f>
        <v/>
      </c>
      <c r="GH20" s="14" t="str">
        <f ca="1">IF(GH$1="","",'Total Value'!GH32/'Total Value'!$D32-1)</f>
        <v/>
      </c>
      <c r="GI20" s="14" t="str">
        <f ca="1">IF(GI$1="","",'Total Value'!GI32/'Total Value'!$D32-1)</f>
        <v/>
      </c>
      <c r="GJ20" s="14" t="str">
        <f ca="1">IF(GJ$1="","",'Total Value'!GJ32/'Total Value'!$D32-1)</f>
        <v/>
      </c>
      <c r="GK20" s="14" t="str">
        <f ca="1">IF(GK$1="","",'Total Value'!GK32/'Total Value'!$D32-1)</f>
        <v/>
      </c>
      <c r="GL20" s="14" t="str">
        <f ca="1">IF(GL$1="","",'Total Value'!GL32/'Total Value'!$D32-1)</f>
        <v/>
      </c>
      <c r="GM20" s="14" t="str">
        <f ca="1">IF(GM$1="","",'Total Value'!GM32/'Total Value'!$D32-1)</f>
        <v/>
      </c>
      <c r="GN20" s="14" t="str">
        <f ca="1">IF(GN$1="","",'Total Value'!GN32/'Total Value'!$D32-1)</f>
        <v/>
      </c>
      <c r="GO20" s="14" t="str">
        <f ca="1">IF(GO$1="","",'Total Value'!GO32/'Total Value'!$D32-1)</f>
        <v/>
      </c>
      <c r="GP20" s="14" t="str">
        <f ca="1">IF(GP$1="","",'Total Value'!GP32/'Total Value'!$D32-1)</f>
        <v/>
      </c>
      <c r="GQ20" s="14" t="str">
        <f ca="1">IF(GQ$1="","",'Total Value'!GQ32/'Total Value'!$D32-1)</f>
        <v/>
      </c>
      <c r="GR20" s="14" t="str">
        <f ca="1">IF(GR$1="","",'Total Value'!GR32/'Total Value'!$D32-1)</f>
        <v/>
      </c>
      <c r="GS20" s="14" t="str">
        <f ca="1">IF(GS$1="","",'Total Value'!GS32/'Total Value'!$D32-1)</f>
        <v/>
      </c>
      <c r="GT20" s="14" t="str">
        <f ca="1">IF(GT$1="","",'Total Value'!GT32/'Total Value'!$D32-1)</f>
        <v/>
      </c>
      <c r="GU20" s="14" t="str">
        <f ca="1">IF(GU$1="","",'Total Value'!GU32/'Total Value'!$D32-1)</f>
        <v/>
      </c>
      <c r="GV20" s="14" t="str">
        <f ca="1">IF(GV$1="","",'Total Value'!GV32/'Total Value'!$D32-1)</f>
        <v/>
      </c>
      <c r="GW20" s="14" t="str">
        <f ca="1">IF(GW$1="","",'Total Value'!GW32/'Total Value'!$D32-1)</f>
        <v/>
      </c>
      <c r="GX20" s="14" t="str">
        <f ca="1">IF(GX$1="","",'Total Value'!GX32/'Total Value'!$D32-1)</f>
        <v/>
      </c>
      <c r="GY20" s="14" t="str">
        <f ca="1">IF(GY$1="","",'Total Value'!GY32/'Total Value'!$D32-1)</f>
        <v/>
      </c>
      <c r="GZ20" s="14" t="str">
        <f ca="1">IF(GZ$1="","",'Total Value'!GZ32/'Total Value'!$D32-1)</f>
        <v/>
      </c>
      <c r="HA20" s="14" t="str">
        <f ca="1">IF(HA$1="","",'Total Value'!HA32/'Total Value'!$D32-1)</f>
        <v/>
      </c>
      <c r="HB20" s="14" t="str">
        <f ca="1">IF(HB$1="","",'Total Value'!HB32/'Total Value'!$D32-1)</f>
        <v/>
      </c>
      <c r="HC20" s="14" t="str">
        <f ca="1">IF(HC$1="","",'Total Value'!HC32/'Total Value'!$D32-1)</f>
        <v/>
      </c>
      <c r="HD20" s="14" t="str">
        <f ca="1">IF(HD$1="","",'Total Value'!HD32/'Total Value'!$D32-1)</f>
        <v/>
      </c>
      <c r="HE20" s="14" t="str">
        <f ca="1">IF(HE$1="","",'Total Value'!HE32/'Total Value'!$D32-1)</f>
        <v/>
      </c>
      <c r="HF20" s="14" t="str">
        <f ca="1">IF(HF$1="","",'Total Value'!HF32/'Total Value'!$D32-1)</f>
        <v/>
      </c>
      <c r="HG20" s="14" t="str">
        <f ca="1">IF(HG$1="","",'Total Value'!HG32/'Total Value'!$D32-1)</f>
        <v/>
      </c>
      <c r="HH20" s="14" t="str">
        <f ca="1">IF(HH$1="","",'Total Value'!HH32/'Total Value'!$D32-1)</f>
        <v/>
      </c>
      <c r="HI20" s="14" t="str">
        <f ca="1">IF(HI$1="","",'Total Value'!HI32/'Total Value'!$D32-1)</f>
        <v/>
      </c>
      <c r="HJ20" s="14" t="str">
        <f ca="1">IF(HJ$1="","",'Total Value'!HJ32/'Total Value'!$D32-1)</f>
        <v/>
      </c>
      <c r="HK20" s="14" t="str">
        <f ca="1">IF(HK$1="","",'Total Value'!HK32/'Total Value'!$D32-1)</f>
        <v/>
      </c>
      <c r="HL20" s="14" t="str">
        <f ca="1">IF(HL$1="","",'Total Value'!HL32/'Total Value'!$D32-1)</f>
        <v/>
      </c>
      <c r="HM20" s="14" t="str">
        <f ca="1">IF(HM$1="","",'Total Value'!HM32/'Total Value'!$D32-1)</f>
        <v/>
      </c>
      <c r="HN20" s="14" t="str">
        <f ca="1">IF(HN$1="","",'Total Value'!HN32/'Total Value'!$D32-1)</f>
        <v/>
      </c>
      <c r="HO20" s="14" t="str">
        <f ca="1">IF(HO$1="","",'Total Value'!HO32/'Total Value'!$D32-1)</f>
        <v/>
      </c>
      <c r="HP20" s="14" t="str">
        <f ca="1">IF(HP$1="","",'Total Value'!HP32/'Total Value'!$D32-1)</f>
        <v/>
      </c>
      <c r="HQ20" s="14" t="str">
        <f ca="1">IF(HQ$1="","",'Total Value'!HQ32/'Total Value'!$D32-1)</f>
        <v/>
      </c>
      <c r="HR20" s="14" t="str">
        <f ca="1">IF(HR$1="","",'Total Value'!HR32/'Total Value'!$D32-1)</f>
        <v/>
      </c>
      <c r="HS20" s="14" t="str">
        <f ca="1">IF(HS$1="","",'Total Value'!HS32/'Total Value'!$D32-1)</f>
        <v/>
      </c>
      <c r="HT20" s="14" t="str">
        <f ca="1">IF(HT$1="","",'Total Value'!HT32/'Total Value'!$D32-1)</f>
        <v/>
      </c>
      <c r="HU20" s="14" t="str">
        <f ca="1">IF(HU$1="","",'Total Value'!HU32/'Total Value'!$D32-1)</f>
        <v/>
      </c>
      <c r="HV20" s="14" t="str">
        <f ca="1">IF(HV$1="","",'Total Value'!HV32/'Total Value'!$D32-1)</f>
        <v/>
      </c>
      <c r="HW20" s="14" t="str">
        <f ca="1">IF(HW$1="","",'Total Value'!HW32/'Total Value'!$D32-1)</f>
        <v/>
      </c>
      <c r="HX20" s="14" t="str">
        <f ca="1">IF(HX$1="","",'Total Value'!HX32/'Total Value'!$D32-1)</f>
        <v/>
      </c>
      <c r="HY20" s="14" t="str">
        <f ca="1">IF(HY$1="","",'Total Value'!HY32/'Total Value'!$D32-1)</f>
        <v/>
      </c>
      <c r="HZ20" s="14" t="str">
        <f ca="1">IF(HZ$1="","",'Total Value'!HZ32/'Total Value'!$D32-1)</f>
        <v/>
      </c>
      <c r="IA20" s="14" t="str">
        <f ca="1">IF(IA$1="","",'Total Value'!IA32/'Total Value'!$D32-1)</f>
        <v/>
      </c>
      <c r="IB20" s="14" t="str">
        <f ca="1">IF(IB$1="","",'Total Value'!IB32/'Total Value'!$D32-1)</f>
        <v/>
      </c>
      <c r="IC20" s="14" t="str">
        <f ca="1">IF(IC$1="","",'Total Value'!IC32/'Total Value'!$D32-1)</f>
        <v/>
      </c>
      <c r="ID20" s="14" t="str">
        <f ca="1">IF(ID$1="","",'Total Value'!ID32/'Total Value'!$D32-1)</f>
        <v/>
      </c>
      <c r="IE20" s="14" t="str">
        <f ca="1">IF(IE$1="","",'Total Value'!IE32/'Total Value'!$D32-1)</f>
        <v/>
      </c>
      <c r="IF20" s="14" t="str">
        <f ca="1">IF(IF$1="","",'Total Value'!IF32/'Total Value'!$D32-1)</f>
        <v/>
      </c>
      <c r="IG20" s="14" t="str">
        <f ca="1">IF(IG$1="","",'Total Value'!IG32/'Total Value'!$D32-1)</f>
        <v/>
      </c>
      <c r="IH20" s="14" t="str">
        <f ca="1">IF(IH$1="","",'Total Value'!IH32/'Total Value'!$D32-1)</f>
        <v/>
      </c>
      <c r="II20" s="14" t="str">
        <f ca="1">IF(II$1="","",'Total Value'!II32/'Total Value'!$D32-1)</f>
        <v/>
      </c>
      <c r="IJ20" s="14" t="str">
        <f ca="1">IF(IJ$1="","",'Total Value'!IJ32/'Total Value'!$D32-1)</f>
        <v/>
      </c>
      <c r="IK20" s="14" t="str">
        <f ca="1">IF(IK$1="","",'Total Value'!IK32/'Total Value'!$D32-1)</f>
        <v/>
      </c>
      <c r="IL20" s="14" t="str">
        <f ca="1">IF(IL$1="","",'Total Value'!IL32/'Total Value'!$D32-1)</f>
        <v/>
      </c>
      <c r="IM20" s="14" t="str">
        <f ca="1">IF(IM$1="","",'Total Value'!IM32/'Total Value'!$D32-1)</f>
        <v/>
      </c>
      <c r="IN20" s="14" t="str">
        <f ca="1">IF(IN$1="","",'Total Value'!IN32/'Total Value'!$D32-1)</f>
        <v/>
      </c>
      <c r="IO20" s="14" t="str">
        <f ca="1">IF(IO$1="","",'Total Value'!IO32/'Total Value'!$D32-1)</f>
        <v/>
      </c>
      <c r="IP20" s="14" t="str">
        <f ca="1">IF(IP$1="","",'Total Value'!IP32/'Total Value'!$D32-1)</f>
        <v/>
      </c>
      <c r="IQ20" s="14" t="str">
        <f ca="1">IF(IQ$1="","",'Total Value'!IQ32/'Total Value'!$D32-1)</f>
        <v/>
      </c>
      <c r="IR20" s="14" t="str">
        <f ca="1">IF(IR$1="","",'Total Value'!IR32/'Total Value'!$D32-1)</f>
        <v/>
      </c>
      <c r="IS20" s="14" t="str">
        <f ca="1">IF(IS$1="","",'Total Value'!IS32/'Total Value'!$D32-1)</f>
        <v/>
      </c>
      <c r="IT20" s="14" t="str">
        <f ca="1">IF(IT$1="","",'Total Value'!IT32/'Total Value'!$D32-1)</f>
        <v/>
      </c>
      <c r="IU20" s="14" t="str">
        <f ca="1">IF(IU$1="","",'Total Value'!IU32/'Total Value'!$D32-1)</f>
        <v/>
      </c>
      <c r="IV20" s="14" t="str">
        <f ca="1">IF(IV$1="","",'Total Value'!IV32/'Total Value'!$D32-1)</f>
        <v/>
      </c>
      <c r="IW20" s="14" t="str">
        <f ca="1">IF(IW$1="","",'Total Value'!IW32/'Total Value'!$D32-1)</f>
        <v/>
      </c>
      <c r="IX20" s="14" t="str">
        <f ca="1">IF(IX$1="","",'Total Value'!IX32/'Total Value'!$D32-1)</f>
        <v/>
      </c>
      <c r="IY20" s="14" t="str">
        <f ca="1">IF(IY$1="","",'Total Value'!IY32/'Total Value'!$D32-1)</f>
        <v/>
      </c>
      <c r="IZ20" s="14" t="str">
        <f ca="1">IF(IZ$1="","",'Total Value'!IZ32/'Total Value'!$D32-1)</f>
        <v/>
      </c>
      <c r="JA20" s="14" t="str">
        <f ca="1">IF(JA$1="","",'Total Value'!JA32/'Total Value'!$D32-1)</f>
        <v/>
      </c>
      <c r="JB20" s="14" t="str">
        <f ca="1">IF(JB$1="","",'Total Value'!JB32/'Total Value'!$D32-1)</f>
        <v/>
      </c>
      <c r="JC20" s="14" t="str">
        <f ca="1">IF(JC$1="","",'Total Value'!JC32/'Total Value'!$D32-1)</f>
        <v/>
      </c>
      <c r="JD20" s="14" t="str">
        <f ca="1">IF(JD$1="","",'Total Value'!JD32/'Total Value'!$D32-1)</f>
        <v/>
      </c>
      <c r="JE20" s="14" t="str">
        <f ca="1">IF(JE$1="","",'Total Value'!JE32/'Total Value'!$D32-1)</f>
        <v/>
      </c>
      <c r="JF20" s="14" t="str">
        <f ca="1">IF(JF$1="","",'Total Value'!JF32/'Total Value'!$D32-1)</f>
        <v/>
      </c>
      <c r="JG20" s="14" t="str">
        <f ca="1">IF(JG$1="","",'Total Value'!JG32/'Total Value'!$D32-1)</f>
        <v/>
      </c>
      <c r="JH20" s="14" t="str">
        <f ca="1">IF(JH$1="","",'Total Value'!JH32/'Total Value'!$D32-1)</f>
        <v/>
      </c>
      <c r="JI20" s="14" t="str">
        <f ca="1">IF(JI$1="","",'Total Value'!JI32/'Total Value'!$D32-1)</f>
        <v/>
      </c>
      <c r="JJ20" s="14" t="str">
        <f ca="1">IF(JJ$1="","",'Total Value'!JJ32/'Total Value'!$D32-1)</f>
        <v/>
      </c>
      <c r="JK20" s="14" t="str">
        <f ca="1">IF(JK$1="","",'Total Value'!JK32/'Total Value'!$D32-1)</f>
        <v/>
      </c>
      <c r="JL20" s="14" t="str">
        <f ca="1">IF(JL$1="","",'Total Value'!JL32/'Total Value'!$D32-1)</f>
        <v/>
      </c>
      <c r="JM20" s="14" t="str">
        <f ca="1">IF(JM$1="","",'Total Value'!JM32/'Total Value'!$D32-1)</f>
        <v/>
      </c>
      <c r="JN20" s="14" t="str">
        <f ca="1">IF(JN$1="","",'Total Value'!JN32/'Total Value'!$D32-1)</f>
        <v/>
      </c>
      <c r="JO20" s="14" t="str">
        <f ca="1">IF(JO$1="","",'Total Value'!JO32/'Total Value'!$D32-1)</f>
        <v/>
      </c>
      <c r="JP20" s="14" t="str">
        <f ca="1">IF(JP$1="","",'Total Value'!JP32/'Total Value'!$D32-1)</f>
        <v/>
      </c>
      <c r="JQ20" s="14" t="str">
        <f ca="1">IF(JQ$1="","",'Total Value'!JQ32/'Total Value'!$D32-1)</f>
        <v/>
      </c>
      <c r="JR20" s="14" t="str">
        <f ca="1">IF(JR$1="","",'Total Value'!JR32/'Total Value'!$D32-1)</f>
        <v/>
      </c>
      <c r="JS20" s="14" t="str">
        <f ca="1">IF(JS$1="","",'Total Value'!JS32/'Total Value'!$D32-1)</f>
        <v/>
      </c>
      <c r="JT20" s="14" t="str">
        <f ca="1">IF(JT$1="","",'Total Value'!JT32/'Total Value'!$D32-1)</f>
        <v/>
      </c>
      <c r="JU20" s="14" t="str">
        <f ca="1">IF(JU$1="","",'Total Value'!JU32/'Total Value'!$D32-1)</f>
        <v/>
      </c>
      <c r="JV20" s="14" t="str">
        <f ca="1">IF(JV$1="","",'Total Value'!JV32/'Total Value'!$D32-1)</f>
        <v/>
      </c>
      <c r="JW20" s="14" t="str">
        <f ca="1">IF(JW$1="","",'Total Value'!JW32/'Total Value'!$D32-1)</f>
        <v/>
      </c>
      <c r="JX20" s="14" t="str">
        <f ca="1">IF(JX$1="","",'Total Value'!JX32/'Total Value'!$D32-1)</f>
        <v/>
      </c>
      <c r="JY20" s="14" t="str">
        <f ca="1">IF(JY$1="","",'Total Value'!JY32/'Total Value'!$D32-1)</f>
        <v/>
      </c>
      <c r="JZ20" s="14" t="str">
        <f ca="1">IF(JZ$1="","",'Total Value'!JZ32/'Total Value'!$D32-1)</f>
        <v/>
      </c>
      <c r="KA20" s="14" t="str">
        <f ca="1">IF(KA$1="","",'Total Value'!KA32/'Total Value'!$D32-1)</f>
        <v/>
      </c>
      <c r="KB20" s="14" t="str">
        <f ca="1">IF(KB$1="","",'Total Value'!KB32/'Total Value'!$D32-1)</f>
        <v/>
      </c>
    </row>
    <row r="21" spans="1:288" ht="15.75" customHeight="1">
      <c r="A21" s="9" t="s">
        <v>30</v>
      </c>
      <c r="B21" s="6" t="s">
        <v>66</v>
      </c>
      <c r="C21" s="26">
        <v>74</v>
      </c>
      <c r="D21" s="13">
        <v>0</v>
      </c>
      <c r="E21" s="14">
        <f ca="1">IF(E$1="","",'Total Value'!E33/'Total Value'!$D33-1)</f>
        <v>2.0851433536055453E-2</v>
      </c>
      <c r="F21" s="14">
        <f ca="1">IF(F$1="","",'Total Value'!F33/'Total Value'!$D33-1)</f>
        <v>9.8465102809148775E-3</v>
      </c>
      <c r="G21" s="14">
        <f ca="1">IF(G$1="","",'Total Value'!G33/'Total Value'!$D33-1)</f>
        <v>6.0816681146829144E-3</v>
      </c>
      <c r="H21" s="14">
        <f ca="1">IF(H$1="","",'Total Value'!H33/'Total Value'!$D33-1)</f>
        <v>5.7920648711240474E-4</v>
      </c>
      <c r="I21" s="14">
        <f ca="1">IF(I$1="","",'Total Value'!I33/'Total Value'!$D33-1)</f>
        <v>-3.1277150304083401E-2</v>
      </c>
      <c r="J21" s="14">
        <f ca="1">IF(J$1="","",'Total Value'!J33/'Total Value'!$D33-1)</f>
        <v>-3.1566753547639825E-2</v>
      </c>
      <c r="K21" s="14">
        <f ca="1">IF(K$1="","",'Total Value'!K33/'Total Value'!$D33-1)</f>
        <v>-3.9386041123660731E-2</v>
      </c>
      <c r="L21" s="14">
        <f ca="1">IF(L$1="","",'Total Value'!L33/'Total Value'!$D33-1)</f>
        <v>-3.6200405444540951E-2</v>
      </c>
      <c r="M21" s="14">
        <f ca="1">IF(M$1="","",'Total Value'!M33/'Total Value'!$D33-1)</f>
        <v>-1.9113814074717905E-2</v>
      </c>
      <c r="N21" s="14">
        <f ca="1">IF(N$1="","",'Total Value'!N33/'Total Value'!$D33-1)</f>
        <v>-5.5603822762815058E-2</v>
      </c>
      <c r="O21" s="14">
        <f ca="1">IF(O$1="","",'Total Value'!O33/'Total Value'!$D33-1)</f>
        <v>-6.6608746017955522E-2</v>
      </c>
      <c r="P21" s="14">
        <f ca="1">IF(P$1="","",'Total Value'!P33/'Total Value'!$D33-1)</f>
        <v>-6.4581523313061218E-2</v>
      </c>
      <c r="Q21" s="14">
        <f ca="1">IF(Q$1="","",'Total Value'!Q33/'Total Value'!$D33-1)</f>
        <v>-4.9232551404577718E-3</v>
      </c>
      <c r="R21" s="14">
        <f ca="1">IF(R$1="","",'Total Value'!R33/'Total Value'!$D33-1)</f>
        <v>-4.6336518969014584E-3</v>
      </c>
      <c r="S21" s="14">
        <f ca="1">IF(S$1="","",'Total Value'!S33/'Total Value'!$D33-1)</f>
        <v>-2.3168259484506182E-3</v>
      </c>
      <c r="T21" s="14">
        <f ca="1">IF(T$1="","",'Total Value'!T33/'Total Value'!$D33-1)</f>
        <v>-1.3900955690703931E-2</v>
      </c>
      <c r="U21" s="14">
        <f ca="1">IF(U$1="","",'Total Value'!U33/'Total Value'!$D33-1)</f>
        <v>-4.1702867072111127E-2</v>
      </c>
      <c r="V21" s="14">
        <f ca="1">IF(V$1="","",'Total Value'!V33/'Total Value'!$D33-1)</f>
        <v>-4.0834057341442409E-2</v>
      </c>
      <c r="W21" s="14">
        <f ca="1">IF(W$1="","",'Total Value'!W33/'Total Value'!$D33-1)</f>
        <v>-2.6643498407182276E-2</v>
      </c>
      <c r="X21" s="14">
        <f ca="1">IF(X$1="","",'Total Value'!X33/'Total Value'!$D33-1)</f>
        <v>-2.2878656240949868E-2</v>
      </c>
      <c r="Y21" s="14">
        <f ca="1">IF(Y$1="","",'Total Value'!Y33/'Total Value'!$D33-1)</f>
        <v>-8.6880973066905121E-4</v>
      </c>
      <c r="Z21" s="14">
        <f ca="1">IF(Z$1="","",'Total Value'!Z33/'Total Value'!$D33-1)</f>
        <v>-1.4480162177816336E-2</v>
      </c>
      <c r="AA21" s="14">
        <f ca="1">IF(AA$1="","",'Total Value'!AA33/'Total Value'!$D33-1)</f>
        <v>-2.3168259484506293E-2</v>
      </c>
      <c r="AB21" s="14">
        <f ca="1">IF(AB$1="","",'Total Value'!AB33/'Total Value'!$D33-1)</f>
        <v>-2.2299449753837464E-2</v>
      </c>
      <c r="AC21" s="14">
        <f ca="1">IF(AC$1="","",'Total Value'!AC33/'Total Value'!$D33-1)</f>
        <v>8.9777005502462703E-3</v>
      </c>
      <c r="AD21" s="14">
        <f ca="1">IF(AD$1="","",'Total Value'!AD33/'Total Value'!$D33-1)</f>
        <v>1.7086591369823045E-2</v>
      </c>
      <c r="AE21" s="14">
        <f ca="1">IF(AE$1="","",'Total Value'!AE33/'Total Value'!$D33-1)</f>
        <v>-1.969302056183031E-2</v>
      </c>
      <c r="AF21" s="14">
        <f ca="1">IF(AF$1="","",'Total Value'!AF33/'Total Value'!$D33-1)</f>
        <v>-4.2571676802780289E-2</v>
      </c>
      <c r="AG21" s="14">
        <f ca="1">IF(AG$1="","",'Total Value'!AG33/'Total Value'!$D33-1)</f>
        <v>-3.851723139299168E-2</v>
      </c>
      <c r="AH21" s="14">
        <f ca="1">IF(AH$1="","",'Total Value'!AH33/'Total Value'!$D33-1)</f>
        <v>-5.4155806545033491E-2</v>
      </c>
      <c r="AI21" s="14">
        <f ca="1">IF(AI$1="","",'Total Value'!AI33/'Total Value'!$D33-1)</f>
        <v>-2.7512308137851216E-2</v>
      </c>
      <c r="AJ21" s="14">
        <f ca="1">IF(AJ$1="","",'Total Value'!AJ33/'Total Value'!$D33-1)</f>
        <v>-6.9504778453519656E-3</v>
      </c>
      <c r="AK21" s="14">
        <f ca="1">IF(AK$1="","",'Total Value'!AK33/'Total Value'!$D33-1)</f>
        <v>-2.9249927599189207E-2</v>
      </c>
      <c r="AL21" s="14">
        <f ca="1">IF(AL$1="","",'Total Value'!AL33/'Total Value'!$D33-1)</f>
        <v>-8.2247321169997223E-2</v>
      </c>
      <c r="AM21" s="14">
        <f ca="1">IF(AM$1="","",'Total Value'!AM33/'Total Value'!$D33-1)</f>
        <v>-5.734144222415305E-2</v>
      </c>
      <c r="AN21" s="14">
        <f ca="1">IF(AN$1="","",'Total Value'!AN33/'Total Value'!$D33-1)</f>
        <v>-5.0680567622357398E-2</v>
      </c>
      <c r="AO21" s="14">
        <f ca="1">IF(AO$1="","",'Total Value'!AO33/'Total Value'!$D33-1)</f>
        <v>-7.066319142774391E-2</v>
      </c>
      <c r="AP21" s="14">
        <f ca="1">IF(AP$1="","",'Total Value'!AP33/'Total Value'!$D33-1)</f>
        <v>-8.7170576310454773E-2</v>
      </c>
      <c r="AQ21" s="14">
        <f ca="1">IF(AQ$1="","",'Total Value'!AQ33/'Total Value'!$D33-1)</f>
        <v>-8.5432956849116781E-2</v>
      </c>
      <c r="AR21" s="14">
        <f ca="1">IF(AR$1="","",'Total Value'!AR33/'Total Value'!$D33-1)</f>
        <v>-5.4155806545033491E-2</v>
      </c>
      <c r="AS21" s="14">
        <f ca="1">IF(AS$1="","",'Total Value'!AS33/'Total Value'!$D33-1)</f>
        <v>-6.9215175209962343E-2</v>
      </c>
      <c r="AT21" s="14">
        <f ca="1">IF(AT$1="","",'Total Value'!AT33/'Total Value'!$D33-1)</f>
        <v>-8.4564147118447841E-2</v>
      </c>
      <c r="AU21" s="14">
        <f ca="1">IF(AU$1="","",'Total Value'!AU33/'Total Value'!$D33-1)</f>
        <v>-8.7749782797567399E-2</v>
      </c>
      <c r="AV21" s="14">
        <f ca="1">IF(AV$1="","",'Total Value'!AV33/'Total Value'!$D33-1)</f>
        <v>-7.3559223863307488E-2</v>
      </c>
      <c r="AW21" s="14">
        <f ca="1">IF(AW$1="","",'Total Value'!AW33/'Total Value'!$D33-1)</f>
        <v>-4.9232551404575831E-2</v>
      </c>
      <c r="AX21" s="14">
        <f ca="1">IF(AX$1="","",'Total Value'!AX33/'Total Value'!$D33-1)</f>
        <v>-4.5757312481899848E-2</v>
      </c>
      <c r="AY21" s="14">
        <f ca="1">IF(AY$1="","",'Total Value'!AY33/'Total Value'!$D33-1)</f>
        <v>-3.6779611931653799E-2</v>
      </c>
      <c r="AZ21" s="14">
        <f ca="1">IF(AZ$1="","",'Total Value'!AZ33/'Total Value'!$D33-1)</f>
        <v>-2.6643498407182276E-2</v>
      </c>
      <c r="BA21" s="14">
        <f ca="1">IF(BA$1="","",'Total Value'!BA33/'Total Value'!$D33-1)</f>
        <v>-3.0697943816970996E-2</v>
      </c>
      <c r="BB21" s="14">
        <f ca="1">IF(BB$1="","",'Total Value'!BB33/'Total Value'!$D33-1)</f>
        <v>-5.6183029249927574E-2</v>
      </c>
      <c r="BC21" s="14">
        <f ca="1">IF(BC$1="","",'Total Value'!BC33/'Total Value'!$D33-1)</f>
        <v>-5.5024616275702209E-2</v>
      </c>
      <c r="BD21" s="14">
        <f ca="1">IF(BD$1="","",'Total Value'!BD33/'Total Value'!$D33-1)</f>
        <v>-5.7051838980596625E-2</v>
      </c>
      <c r="BE21" s="14">
        <f ca="1">IF(BE$1="","",'Total Value'!BE33/'Total Value'!$D33-1)</f>
        <v>-5.8499855198378414E-2</v>
      </c>
      <c r="BF21" s="14">
        <f ca="1">IF(BF$1="","",'Total Value'!BF33/'Total Value'!$D33-1)</f>
        <v>-3.6779611931653799E-2</v>
      </c>
      <c r="BG21" s="14">
        <f ca="1">IF(BG$1="","",'Total Value'!BG33/'Total Value'!$D33-1)</f>
        <v>-6.4871126556617531E-2</v>
      </c>
      <c r="BH21" s="14">
        <f ca="1">IF(BH$1="","",'Total Value'!BH33/'Total Value'!$D33-1)</f>
        <v>-8.8039386041123824E-2</v>
      </c>
      <c r="BI21" s="14">
        <f ca="1">IF(BI$1="","",'Total Value'!BI33/'Total Value'!$D33-1)</f>
        <v>-0.12974225311323484</v>
      </c>
      <c r="BJ21" s="14">
        <f ca="1">IF(BJ$1="","",'Total Value'!BJ33/'Total Value'!$D33-1)</f>
        <v>-0.14219519258615698</v>
      </c>
      <c r="BK21" s="14">
        <f ca="1">IF(BK$1="","",'Total Value'!BK33/'Total Value'!$D33-1)</f>
        <v>-0.167680278019114</v>
      </c>
      <c r="BL21" s="14">
        <f ca="1">IF(BL$1="","",'Total Value'!BL33/'Total Value'!$D33-1)</f>
        <v>-0.20735592238633072</v>
      </c>
      <c r="BM21" s="14">
        <f ca="1">IF(BM$1="","",'Total Value'!BM33/'Total Value'!$D33-1)</f>
        <v>-0.22762814943527365</v>
      </c>
      <c r="BN21" s="14">
        <f ca="1">IF(BN$1="","",'Total Value'!BN33/'Total Value'!$D33-1)</f>
        <v>-0.22560092673037946</v>
      </c>
      <c r="BO21" s="14">
        <f ca="1">IF(BO$1="","",'Total Value'!BO33/'Total Value'!$D33-1)</f>
        <v>-0.20069504778453529</v>
      </c>
      <c r="BP21" s="14">
        <f ca="1">IF(BP$1="","",'Total Value'!BP33/'Total Value'!$D33-1)</f>
        <v>-0.21401679698812626</v>
      </c>
      <c r="BQ21" s="14">
        <f ca="1">IF(BQ$1="","",'Total Value'!BQ33/'Total Value'!$D33-1)</f>
        <v>-0.20909354184766882</v>
      </c>
      <c r="BR21" s="14">
        <f ca="1">IF(BR$1="","",'Total Value'!BR33/'Total Value'!$D33-1)</f>
        <v>-0.20388068346365484</v>
      </c>
      <c r="BS21" s="14">
        <f ca="1">IF(BS$1="","",'Total Value'!BS33/'Total Value'!$D33-1)</f>
        <v>-0.19432377642629617</v>
      </c>
      <c r="BT21" s="14">
        <f ca="1">IF(BT$1="","",'Total Value'!BT33/'Total Value'!$D33-1)</f>
        <v>-0.17289313640312776</v>
      </c>
      <c r="BU21" s="14">
        <f ca="1">IF(BU$1="","",'Total Value'!BU33/'Total Value'!$D33-1)</f>
        <v>-0.15928178395598025</v>
      </c>
      <c r="BV21" s="14">
        <f ca="1">IF(BV$1="","",'Total Value'!BV33/'Total Value'!$D33-1)</f>
        <v>-0.17347234289024049</v>
      </c>
      <c r="BW21" s="14">
        <f ca="1">IF(BW$1="","",'Total Value'!BW33/'Total Value'!$D33-1)</f>
        <v>-0.17897480451781067</v>
      </c>
      <c r="BX21" s="14">
        <f ca="1">IF(BX$1="","",'Total Value'!BX33/'Total Value'!$D33-1)</f>
        <v>-0.1775267883000291</v>
      </c>
      <c r="BY21" s="14">
        <f ca="1">IF(BY$1="","",'Total Value'!BY33/'Total Value'!$D33-1)</f>
        <v>-0.21488560671879542</v>
      </c>
      <c r="BZ21" s="14">
        <f ca="1">IF(BZ$1="","",'Total Value'!BZ33/'Total Value'!$D33-1)</f>
        <v>-0.22096727483347822</v>
      </c>
      <c r="CA21" s="14">
        <f ca="1">IF(CA$1="","",'Total Value'!CA33/'Total Value'!$D33-1)</f>
        <v>-0.19229655372140175</v>
      </c>
      <c r="CB21" s="14">
        <f ca="1">IF(CB$1="","",'Total Value'!CB33/'Total Value'!$D33-1)</f>
        <v>-0.20011584129742255</v>
      </c>
      <c r="CC21" s="14">
        <f ca="1">IF(CC$1="","",'Total Value'!CC33/'Total Value'!$D33-1)</f>
        <v>-0.19982623805386635</v>
      </c>
      <c r="CD21" s="14">
        <f ca="1">IF(CD$1="","",'Total Value'!CD33/'Total Value'!$D33-1)</f>
        <v>-0.19635099913119036</v>
      </c>
      <c r="CE21" s="14">
        <f ca="1">IF(CE$1="","",'Total Value'!CE33/'Total Value'!$D33-1)</f>
        <v>-0.17520996235157837</v>
      </c>
      <c r="CF21" s="14" t="str">
        <f ca="1">IF(CF$1="","",'Total Value'!CF33/'Total Value'!$D33-1)</f>
        <v/>
      </c>
      <c r="CG21" s="14" t="str">
        <f ca="1">IF(CG$1="","",'Total Value'!CG33/'Total Value'!$D33-1)</f>
        <v/>
      </c>
      <c r="CH21" s="14" t="str">
        <f ca="1">IF(CH$1="","",'Total Value'!CH33/'Total Value'!$D33-1)</f>
        <v/>
      </c>
      <c r="CI21" s="14" t="str">
        <f ca="1">IF(CI$1="","",'Total Value'!CI33/'Total Value'!$D33-1)</f>
        <v/>
      </c>
      <c r="CJ21" s="14" t="str">
        <f ca="1">IF(CJ$1="","",'Total Value'!CJ33/'Total Value'!$D33-1)</f>
        <v/>
      </c>
      <c r="CK21" s="14" t="str">
        <f ca="1">IF(CK$1="","",'Total Value'!CK33/'Total Value'!$D33-1)</f>
        <v/>
      </c>
      <c r="CL21" s="14" t="str">
        <f ca="1">IF(CL$1="","",'Total Value'!CL33/'Total Value'!$D33-1)</f>
        <v/>
      </c>
      <c r="CM21" s="14" t="str">
        <f ca="1">IF(CM$1="","",'Total Value'!CM33/'Total Value'!$D33-1)</f>
        <v/>
      </c>
      <c r="CN21" s="14" t="str">
        <f ca="1">IF(CN$1="","",'Total Value'!CN33/'Total Value'!$D33-1)</f>
        <v/>
      </c>
      <c r="CO21" s="14" t="str">
        <f ca="1">IF(CO$1="","",'Total Value'!CO33/'Total Value'!$D33-1)</f>
        <v/>
      </c>
      <c r="CP21" s="14" t="str">
        <f ca="1">IF(CP$1="","",'Total Value'!CP33/'Total Value'!$D33-1)</f>
        <v/>
      </c>
      <c r="CQ21" s="14" t="str">
        <f ca="1">IF(CQ$1="","",'Total Value'!CQ33/'Total Value'!$D33-1)</f>
        <v/>
      </c>
      <c r="CR21" s="14" t="str">
        <f ca="1">IF(CR$1="","",'Total Value'!CR33/'Total Value'!$D33-1)</f>
        <v/>
      </c>
      <c r="CS21" s="14" t="str">
        <f ca="1">IF(CS$1="","",'Total Value'!CS33/'Total Value'!$D33-1)</f>
        <v/>
      </c>
      <c r="CT21" s="14" t="str">
        <f ca="1">IF(CT$1="","",'Total Value'!CT33/'Total Value'!$D33-1)</f>
        <v/>
      </c>
      <c r="CU21" s="14" t="str">
        <f ca="1">IF(CU$1="","",'Total Value'!CU33/'Total Value'!$D33-1)</f>
        <v/>
      </c>
      <c r="CV21" s="14" t="str">
        <f ca="1">IF(CV$1="","",'Total Value'!CV33/'Total Value'!$D33-1)</f>
        <v/>
      </c>
      <c r="CW21" s="14" t="str">
        <f ca="1">IF(CW$1="","",'Total Value'!CW33/'Total Value'!$D33-1)</f>
        <v/>
      </c>
      <c r="CX21" s="14" t="str">
        <f ca="1">IF(CX$1="","",'Total Value'!CX33/'Total Value'!$D33-1)</f>
        <v/>
      </c>
      <c r="CY21" s="14" t="str">
        <f ca="1">IF(CY$1="","",'Total Value'!CY33/'Total Value'!$D33-1)</f>
        <v/>
      </c>
      <c r="CZ21" s="14" t="str">
        <f ca="1">IF(CZ$1="","",'Total Value'!CZ33/'Total Value'!$D33-1)</f>
        <v/>
      </c>
      <c r="DA21" s="14" t="str">
        <f ca="1">IF(DA$1="","",'Total Value'!DA33/'Total Value'!$D33-1)</f>
        <v/>
      </c>
      <c r="DB21" s="14" t="str">
        <f ca="1">IF(DB$1="","",'Total Value'!DB33/'Total Value'!$D33-1)</f>
        <v/>
      </c>
      <c r="DC21" s="14" t="str">
        <f ca="1">IF(DC$1="","",'Total Value'!DC33/'Total Value'!$D33-1)</f>
        <v/>
      </c>
      <c r="DD21" s="14" t="str">
        <f ca="1">IF(DD$1="","",'Total Value'!DD33/'Total Value'!$D33-1)</f>
        <v/>
      </c>
      <c r="DE21" s="14" t="str">
        <f ca="1">IF(DE$1="","",'Total Value'!DE33/'Total Value'!$D33-1)</f>
        <v/>
      </c>
      <c r="DF21" s="14" t="str">
        <f ca="1">IF(DF$1="","",'Total Value'!DF33/'Total Value'!$D33-1)</f>
        <v/>
      </c>
      <c r="DG21" s="14" t="str">
        <f ca="1">IF(DG$1="","",'Total Value'!DG33/'Total Value'!$D33-1)</f>
        <v/>
      </c>
      <c r="DH21" s="14" t="str">
        <f ca="1">IF(DH$1="","",'Total Value'!DH33/'Total Value'!$D33-1)</f>
        <v/>
      </c>
      <c r="DI21" s="14" t="str">
        <f ca="1">IF(DI$1="","",'Total Value'!DI33/'Total Value'!$D33-1)</f>
        <v/>
      </c>
      <c r="DJ21" s="14" t="str">
        <f ca="1">IF(DJ$1="","",'Total Value'!DJ33/'Total Value'!$D33-1)</f>
        <v/>
      </c>
      <c r="DK21" s="14" t="str">
        <f ca="1">IF(DK$1="","",'Total Value'!DK33/'Total Value'!$D33-1)</f>
        <v/>
      </c>
      <c r="DL21" s="14" t="str">
        <f ca="1">IF(DL$1="","",'Total Value'!DL33/'Total Value'!$D33-1)</f>
        <v/>
      </c>
      <c r="DM21" s="14" t="str">
        <f ca="1">IF(DM$1="","",'Total Value'!DM33/'Total Value'!$D33-1)</f>
        <v/>
      </c>
      <c r="DN21" s="14" t="str">
        <f ca="1">IF(DN$1="","",'Total Value'!DN33/'Total Value'!$D33-1)</f>
        <v/>
      </c>
      <c r="DO21" s="14" t="str">
        <f ca="1">IF(DO$1="","",'Total Value'!DO33/'Total Value'!$D33-1)</f>
        <v/>
      </c>
      <c r="DP21" s="14" t="str">
        <f ca="1">IF(DP$1="","",'Total Value'!DP33/'Total Value'!$D33-1)</f>
        <v/>
      </c>
      <c r="DQ21" s="14" t="str">
        <f ca="1">IF(DQ$1="","",'Total Value'!DQ33/'Total Value'!$D33-1)</f>
        <v/>
      </c>
      <c r="DR21" s="14" t="str">
        <f ca="1">IF(DR$1="","",'Total Value'!DR33/'Total Value'!$D33-1)</f>
        <v/>
      </c>
      <c r="DS21" s="14" t="str">
        <f ca="1">IF(DS$1="","",'Total Value'!DS33/'Total Value'!$D33-1)</f>
        <v/>
      </c>
      <c r="DT21" s="14" t="str">
        <f ca="1">IF(DT$1="","",'Total Value'!DT33/'Total Value'!$D33-1)</f>
        <v/>
      </c>
      <c r="DU21" s="14" t="str">
        <f ca="1">IF(DU$1="","",'Total Value'!DU33/'Total Value'!$D33-1)</f>
        <v/>
      </c>
      <c r="DV21" s="14" t="str">
        <f ca="1">IF(DV$1="","",'Total Value'!DV33/'Total Value'!$D33-1)</f>
        <v/>
      </c>
      <c r="DW21" s="14" t="str">
        <f ca="1">IF(DW$1="","",'Total Value'!DW33/'Total Value'!$D33-1)</f>
        <v/>
      </c>
      <c r="DX21" s="14" t="str">
        <f ca="1">IF(DX$1="","",'Total Value'!DX33/'Total Value'!$D33-1)</f>
        <v/>
      </c>
      <c r="DY21" s="14" t="str">
        <f ca="1">IF(DY$1="","",'Total Value'!DY33/'Total Value'!$D33-1)</f>
        <v/>
      </c>
      <c r="DZ21" s="14" t="str">
        <f ca="1">IF(DZ$1="","",'Total Value'!DZ33/'Total Value'!$D33-1)</f>
        <v/>
      </c>
      <c r="EA21" s="14" t="str">
        <f ca="1">IF(EA$1="","",'Total Value'!EA33/'Total Value'!$D33-1)</f>
        <v/>
      </c>
      <c r="EB21" s="14" t="str">
        <f ca="1">IF(EB$1="","",'Total Value'!EB33/'Total Value'!$D33-1)</f>
        <v/>
      </c>
      <c r="EC21" s="14" t="str">
        <f ca="1">IF(EC$1="","",'Total Value'!EC33/'Total Value'!$D33-1)</f>
        <v/>
      </c>
      <c r="ED21" s="14" t="str">
        <f ca="1">IF(ED$1="","",'Total Value'!ED33/'Total Value'!$D33-1)</f>
        <v/>
      </c>
      <c r="EE21" s="14" t="str">
        <f ca="1">IF(EE$1="","",'Total Value'!EE33/'Total Value'!$D33-1)</f>
        <v/>
      </c>
      <c r="EF21" s="14" t="str">
        <f ca="1">IF(EF$1="","",'Total Value'!EF33/'Total Value'!$D33-1)</f>
        <v/>
      </c>
      <c r="EG21" s="14" t="str">
        <f ca="1">IF(EG$1="","",'Total Value'!EG33/'Total Value'!$D33-1)</f>
        <v/>
      </c>
      <c r="EH21" s="14" t="str">
        <f ca="1">IF(EH$1="","",'Total Value'!EH33/'Total Value'!$D33-1)</f>
        <v/>
      </c>
      <c r="EI21" s="14" t="str">
        <f ca="1">IF(EI$1="","",'Total Value'!EI33/'Total Value'!$D33-1)</f>
        <v/>
      </c>
      <c r="EJ21" s="14" t="str">
        <f ca="1">IF(EJ$1="","",'Total Value'!EJ33/'Total Value'!$D33-1)</f>
        <v/>
      </c>
      <c r="EK21" s="14" t="str">
        <f ca="1">IF(EK$1="","",'Total Value'!EK33/'Total Value'!$D33-1)</f>
        <v/>
      </c>
      <c r="EL21" s="14" t="str">
        <f ca="1">IF(EL$1="","",'Total Value'!EL33/'Total Value'!$D33-1)</f>
        <v/>
      </c>
      <c r="EM21" s="14" t="str">
        <f ca="1">IF(EM$1="","",'Total Value'!EM33/'Total Value'!$D33-1)</f>
        <v/>
      </c>
      <c r="EN21" s="14" t="str">
        <f ca="1">IF(EN$1="","",'Total Value'!EN33/'Total Value'!$D33-1)</f>
        <v/>
      </c>
      <c r="EO21" s="14" t="str">
        <f ca="1">IF(EO$1="","",'Total Value'!EO33/'Total Value'!$D33-1)</f>
        <v/>
      </c>
      <c r="EP21" s="14" t="str">
        <f ca="1">IF(EP$1="","",'Total Value'!EP33/'Total Value'!$D33-1)</f>
        <v/>
      </c>
      <c r="EQ21" s="14" t="str">
        <f ca="1">IF(EQ$1="","",'Total Value'!EQ33/'Total Value'!$D33-1)</f>
        <v/>
      </c>
      <c r="ER21" s="14" t="str">
        <f ca="1">IF(ER$1="","",'Total Value'!ER33/'Total Value'!$D33-1)</f>
        <v/>
      </c>
      <c r="ES21" s="14" t="str">
        <f ca="1">IF(ES$1="","",'Total Value'!ES33/'Total Value'!$D33-1)</f>
        <v/>
      </c>
      <c r="ET21" s="14" t="str">
        <f ca="1">IF(ET$1="","",'Total Value'!ET33/'Total Value'!$D33-1)</f>
        <v/>
      </c>
      <c r="EU21" s="14" t="str">
        <f ca="1">IF(EU$1="","",'Total Value'!EU33/'Total Value'!$D33-1)</f>
        <v/>
      </c>
      <c r="EV21" s="14" t="str">
        <f ca="1">IF(EV$1="","",'Total Value'!EV33/'Total Value'!$D33-1)</f>
        <v/>
      </c>
      <c r="EW21" s="14" t="str">
        <f ca="1">IF(EW$1="","",'Total Value'!EW33/'Total Value'!$D33-1)</f>
        <v/>
      </c>
      <c r="EX21" s="14" t="str">
        <f ca="1">IF(EX$1="","",'Total Value'!EX33/'Total Value'!$D33-1)</f>
        <v/>
      </c>
      <c r="EY21" s="14" t="str">
        <f ca="1">IF(EY$1="","",'Total Value'!EY33/'Total Value'!$D33-1)</f>
        <v/>
      </c>
      <c r="EZ21" s="14" t="str">
        <f ca="1">IF(EZ$1="","",'Total Value'!EZ33/'Total Value'!$D33-1)</f>
        <v/>
      </c>
      <c r="FA21" s="14" t="str">
        <f ca="1">IF(FA$1="","",'Total Value'!FA33/'Total Value'!$D33-1)</f>
        <v/>
      </c>
      <c r="FB21" s="14" t="str">
        <f ca="1">IF(FB$1="","",'Total Value'!FB33/'Total Value'!$D33-1)</f>
        <v/>
      </c>
      <c r="FC21" s="14" t="str">
        <f ca="1">IF(FC$1="","",'Total Value'!FC33/'Total Value'!$D33-1)</f>
        <v/>
      </c>
      <c r="FD21" s="14" t="str">
        <f ca="1">IF(FD$1="","",'Total Value'!FD33/'Total Value'!$D33-1)</f>
        <v/>
      </c>
      <c r="FE21" s="14" t="str">
        <f ca="1">IF(FE$1="","",'Total Value'!FE33/'Total Value'!$D33-1)</f>
        <v/>
      </c>
      <c r="FF21" s="14" t="str">
        <f ca="1">IF(FF$1="","",'Total Value'!FF33/'Total Value'!$D33-1)</f>
        <v/>
      </c>
      <c r="FG21" s="14" t="str">
        <f ca="1">IF(FG$1="","",'Total Value'!FG33/'Total Value'!$D33-1)</f>
        <v/>
      </c>
      <c r="FH21" s="14" t="str">
        <f ca="1">IF(FH$1="","",'Total Value'!FH33/'Total Value'!$D33-1)</f>
        <v/>
      </c>
      <c r="FI21" s="14" t="str">
        <f ca="1">IF(FI$1="","",'Total Value'!FI33/'Total Value'!$D33-1)</f>
        <v/>
      </c>
      <c r="FJ21" s="14" t="str">
        <f ca="1">IF(FJ$1="","",'Total Value'!FJ33/'Total Value'!$D33-1)</f>
        <v/>
      </c>
      <c r="FK21" s="14" t="str">
        <f ca="1">IF(FK$1="","",'Total Value'!FK33/'Total Value'!$D33-1)</f>
        <v/>
      </c>
      <c r="FL21" s="14" t="str">
        <f ca="1">IF(FL$1="","",'Total Value'!FL33/'Total Value'!$D33-1)</f>
        <v/>
      </c>
      <c r="FM21" s="14" t="str">
        <f ca="1">IF(FM$1="","",'Total Value'!FM33/'Total Value'!$D33-1)</f>
        <v/>
      </c>
      <c r="FN21" s="14" t="str">
        <f ca="1">IF(FN$1="","",'Total Value'!FN33/'Total Value'!$D33-1)</f>
        <v/>
      </c>
      <c r="FO21" s="14" t="str">
        <f ca="1">IF(FO$1="","",'Total Value'!FO33/'Total Value'!$D33-1)</f>
        <v/>
      </c>
      <c r="FP21" s="14" t="str">
        <f ca="1">IF(FP$1="","",'Total Value'!FP33/'Total Value'!$D33-1)</f>
        <v/>
      </c>
      <c r="FQ21" s="14" t="str">
        <f ca="1">IF(FQ$1="","",'Total Value'!FQ33/'Total Value'!$D33-1)</f>
        <v/>
      </c>
      <c r="FR21" s="14" t="str">
        <f ca="1">IF(FR$1="","",'Total Value'!FR33/'Total Value'!$D33-1)</f>
        <v/>
      </c>
      <c r="FS21" s="14" t="str">
        <f ca="1">IF(FS$1="","",'Total Value'!FS33/'Total Value'!$D33-1)</f>
        <v/>
      </c>
      <c r="FT21" s="14" t="str">
        <f ca="1">IF(FT$1="","",'Total Value'!FT33/'Total Value'!$D33-1)</f>
        <v/>
      </c>
      <c r="FU21" s="14" t="str">
        <f ca="1">IF(FU$1="","",'Total Value'!FU33/'Total Value'!$D33-1)</f>
        <v/>
      </c>
      <c r="FV21" s="14" t="str">
        <f ca="1">IF(FV$1="","",'Total Value'!FV33/'Total Value'!$D33-1)</f>
        <v/>
      </c>
      <c r="FW21" s="14" t="str">
        <f ca="1">IF(FW$1="","",'Total Value'!FW33/'Total Value'!$D33-1)</f>
        <v/>
      </c>
      <c r="FX21" s="14" t="str">
        <f ca="1">IF(FX$1="","",'Total Value'!FX33/'Total Value'!$D33-1)</f>
        <v/>
      </c>
      <c r="FY21" s="14" t="str">
        <f ca="1">IF(FY$1="","",'Total Value'!FY33/'Total Value'!$D33-1)</f>
        <v/>
      </c>
      <c r="FZ21" s="14" t="str">
        <f ca="1">IF(FZ$1="","",'Total Value'!FZ33/'Total Value'!$D33-1)</f>
        <v/>
      </c>
      <c r="GA21" s="14" t="str">
        <f ca="1">IF(GA$1="","",'Total Value'!GA33/'Total Value'!$D33-1)</f>
        <v/>
      </c>
      <c r="GB21" s="14" t="str">
        <f ca="1">IF(GB$1="","",'Total Value'!GB33/'Total Value'!$D33-1)</f>
        <v/>
      </c>
      <c r="GC21" s="14" t="str">
        <f ca="1">IF(GC$1="","",'Total Value'!GC33/'Total Value'!$D33-1)</f>
        <v/>
      </c>
      <c r="GD21" s="14" t="str">
        <f ca="1">IF(GD$1="","",'Total Value'!GD33/'Total Value'!$D33-1)</f>
        <v/>
      </c>
      <c r="GE21" s="14" t="str">
        <f ca="1">IF(GE$1="","",'Total Value'!GE33/'Total Value'!$D33-1)</f>
        <v/>
      </c>
      <c r="GF21" s="14" t="str">
        <f ca="1">IF(GF$1="","",'Total Value'!GF33/'Total Value'!$D33-1)</f>
        <v/>
      </c>
      <c r="GG21" s="14" t="str">
        <f ca="1">IF(GG$1="","",'Total Value'!GG33/'Total Value'!$D33-1)</f>
        <v/>
      </c>
      <c r="GH21" s="14" t="str">
        <f ca="1">IF(GH$1="","",'Total Value'!GH33/'Total Value'!$D33-1)</f>
        <v/>
      </c>
      <c r="GI21" s="14" t="str">
        <f ca="1">IF(GI$1="","",'Total Value'!GI33/'Total Value'!$D33-1)</f>
        <v/>
      </c>
      <c r="GJ21" s="14" t="str">
        <f ca="1">IF(GJ$1="","",'Total Value'!GJ33/'Total Value'!$D33-1)</f>
        <v/>
      </c>
      <c r="GK21" s="14" t="str">
        <f ca="1">IF(GK$1="","",'Total Value'!GK33/'Total Value'!$D33-1)</f>
        <v/>
      </c>
      <c r="GL21" s="14" t="str">
        <f ca="1">IF(GL$1="","",'Total Value'!GL33/'Total Value'!$D33-1)</f>
        <v/>
      </c>
      <c r="GM21" s="14" t="str">
        <f ca="1">IF(GM$1="","",'Total Value'!GM33/'Total Value'!$D33-1)</f>
        <v/>
      </c>
      <c r="GN21" s="14" t="str">
        <f ca="1">IF(GN$1="","",'Total Value'!GN33/'Total Value'!$D33-1)</f>
        <v/>
      </c>
      <c r="GO21" s="14" t="str">
        <f ca="1">IF(GO$1="","",'Total Value'!GO33/'Total Value'!$D33-1)</f>
        <v/>
      </c>
      <c r="GP21" s="14" t="str">
        <f ca="1">IF(GP$1="","",'Total Value'!GP33/'Total Value'!$D33-1)</f>
        <v/>
      </c>
      <c r="GQ21" s="14" t="str">
        <f ca="1">IF(GQ$1="","",'Total Value'!GQ33/'Total Value'!$D33-1)</f>
        <v/>
      </c>
      <c r="GR21" s="14" t="str">
        <f ca="1">IF(GR$1="","",'Total Value'!GR33/'Total Value'!$D33-1)</f>
        <v/>
      </c>
      <c r="GS21" s="14" t="str">
        <f ca="1">IF(GS$1="","",'Total Value'!GS33/'Total Value'!$D33-1)</f>
        <v/>
      </c>
      <c r="GT21" s="14" t="str">
        <f ca="1">IF(GT$1="","",'Total Value'!GT33/'Total Value'!$D33-1)</f>
        <v/>
      </c>
      <c r="GU21" s="14" t="str">
        <f ca="1">IF(GU$1="","",'Total Value'!GU33/'Total Value'!$D33-1)</f>
        <v/>
      </c>
      <c r="GV21" s="14" t="str">
        <f ca="1">IF(GV$1="","",'Total Value'!GV33/'Total Value'!$D33-1)</f>
        <v/>
      </c>
      <c r="GW21" s="14" t="str">
        <f ca="1">IF(GW$1="","",'Total Value'!GW33/'Total Value'!$D33-1)</f>
        <v/>
      </c>
      <c r="GX21" s="14" t="str">
        <f ca="1">IF(GX$1="","",'Total Value'!GX33/'Total Value'!$D33-1)</f>
        <v/>
      </c>
      <c r="GY21" s="14" t="str">
        <f ca="1">IF(GY$1="","",'Total Value'!GY33/'Total Value'!$D33-1)</f>
        <v/>
      </c>
      <c r="GZ21" s="14" t="str">
        <f ca="1">IF(GZ$1="","",'Total Value'!GZ33/'Total Value'!$D33-1)</f>
        <v/>
      </c>
      <c r="HA21" s="14" t="str">
        <f ca="1">IF(HA$1="","",'Total Value'!HA33/'Total Value'!$D33-1)</f>
        <v/>
      </c>
      <c r="HB21" s="14" t="str">
        <f ca="1">IF(HB$1="","",'Total Value'!HB33/'Total Value'!$D33-1)</f>
        <v/>
      </c>
      <c r="HC21" s="14" t="str">
        <f ca="1">IF(HC$1="","",'Total Value'!HC33/'Total Value'!$D33-1)</f>
        <v/>
      </c>
      <c r="HD21" s="14" t="str">
        <f ca="1">IF(HD$1="","",'Total Value'!HD33/'Total Value'!$D33-1)</f>
        <v/>
      </c>
      <c r="HE21" s="14" t="str">
        <f ca="1">IF(HE$1="","",'Total Value'!HE33/'Total Value'!$D33-1)</f>
        <v/>
      </c>
      <c r="HF21" s="14" t="str">
        <f ca="1">IF(HF$1="","",'Total Value'!HF33/'Total Value'!$D33-1)</f>
        <v/>
      </c>
      <c r="HG21" s="14" t="str">
        <f ca="1">IF(HG$1="","",'Total Value'!HG33/'Total Value'!$D33-1)</f>
        <v/>
      </c>
      <c r="HH21" s="14" t="str">
        <f ca="1">IF(HH$1="","",'Total Value'!HH33/'Total Value'!$D33-1)</f>
        <v/>
      </c>
      <c r="HI21" s="14" t="str">
        <f ca="1">IF(HI$1="","",'Total Value'!HI33/'Total Value'!$D33-1)</f>
        <v/>
      </c>
      <c r="HJ21" s="14" t="str">
        <f ca="1">IF(HJ$1="","",'Total Value'!HJ33/'Total Value'!$D33-1)</f>
        <v/>
      </c>
      <c r="HK21" s="14" t="str">
        <f ca="1">IF(HK$1="","",'Total Value'!HK33/'Total Value'!$D33-1)</f>
        <v/>
      </c>
      <c r="HL21" s="14" t="str">
        <f ca="1">IF(HL$1="","",'Total Value'!HL33/'Total Value'!$D33-1)</f>
        <v/>
      </c>
      <c r="HM21" s="14" t="str">
        <f ca="1">IF(HM$1="","",'Total Value'!HM33/'Total Value'!$D33-1)</f>
        <v/>
      </c>
      <c r="HN21" s="14" t="str">
        <f ca="1">IF(HN$1="","",'Total Value'!HN33/'Total Value'!$D33-1)</f>
        <v/>
      </c>
      <c r="HO21" s="14" t="str">
        <f ca="1">IF(HO$1="","",'Total Value'!HO33/'Total Value'!$D33-1)</f>
        <v/>
      </c>
      <c r="HP21" s="14" t="str">
        <f ca="1">IF(HP$1="","",'Total Value'!HP33/'Total Value'!$D33-1)</f>
        <v/>
      </c>
      <c r="HQ21" s="14" t="str">
        <f ca="1">IF(HQ$1="","",'Total Value'!HQ33/'Total Value'!$D33-1)</f>
        <v/>
      </c>
      <c r="HR21" s="14" t="str">
        <f ca="1">IF(HR$1="","",'Total Value'!HR33/'Total Value'!$D33-1)</f>
        <v/>
      </c>
      <c r="HS21" s="14" t="str">
        <f ca="1">IF(HS$1="","",'Total Value'!HS33/'Total Value'!$D33-1)</f>
        <v/>
      </c>
      <c r="HT21" s="14" t="str">
        <f ca="1">IF(HT$1="","",'Total Value'!HT33/'Total Value'!$D33-1)</f>
        <v/>
      </c>
      <c r="HU21" s="14" t="str">
        <f ca="1">IF(HU$1="","",'Total Value'!HU33/'Total Value'!$D33-1)</f>
        <v/>
      </c>
      <c r="HV21" s="14" t="str">
        <f ca="1">IF(HV$1="","",'Total Value'!HV33/'Total Value'!$D33-1)</f>
        <v/>
      </c>
      <c r="HW21" s="14" t="str">
        <f ca="1">IF(HW$1="","",'Total Value'!HW33/'Total Value'!$D33-1)</f>
        <v/>
      </c>
      <c r="HX21" s="14" t="str">
        <f ca="1">IF(HX$1="","",'Total Value'!HX33/'Total Value'!$D33-1)</f>
        <v/>
      </c>
      <c r="HY21" s="14" t="str">
        <f ca="1">IF(HY$1="","",'Total Value'!HY33/'Total Value'!$D33-1)</f>
        <v/>
      </c>
      <c r="HZ21" s="14" t="str">
        <f ca="1">IF(HZ$1="","",'Total Value'!HZ33/'Total Value'!$D33-1)</f>
        <v/>
      </c>
      <c r="IA21" s="14" t="str">
        <f ca="1">IF(IA$1="","",'Total Value'!IA33/'Total Value'!$D33-1)</f>
        <v/>
      </c>
      <c r="IB21" s="14" t="str">
        <f ca="1">IF(IB$1="","",'Total Value'!IB33/'Total Value'!$D33-1)</f>
        <v/>
      </c>
      <c r="IC21" s="14" t="str">
        <f ca="1">IF(IC$1="","",'Total Value'!IC33/'Total Value'!$D33-1)</f>
        <v/>
      </c>
      <c r="ID21" s="14" t="str">
        <f ca="1">IF(ID$1="","",'Total Value'!ID33/'Total Value'!$D33-1)</f>
        <v/>
      </c>
      <c r="IE21" s="14" t="str">
        <f ca="1">IF(IE$1="","",'Total Value'!IE33/'Total Value'!$D33-1)</f>
        <v/>
      </c>
      <c r="IF21" s="14" t="str">
        <f ca="1">IF(IF$1="","",'Total Value'!IF33/'Total Value'!$D33-1)</f>
        <v/>
      </c>
      <c r="IG21" s="14" t="str">
        <f ca="1">IF(IG$1="","",'Total Value'!IG33/'Total Value'!$D33-1)</f>
        <v/>
      </c>
      <c r="IH21" s="14" t="str">
        <f ca="1">IF(IH$1="","",'Total Value'!IH33/'Total Value'!$D33-1)</f>
        <v/>
      </c>
      <c r="II21" s="14" t="str">
        <f ca="1">IF(II$1="","",'Total Value'!II33/'Total Value'!$D33-1)</f>
        <v/>
      </c>
      <c r="IJ21" s="14" t="str">
        <f ca="1">IF(IJ$1="","",'Total Value'!IJ33/'Total Value'!$D33-1)</f>
        <v/>
      </c>
      <c r="IK21" s="14" t="str">
        <f ca="1">IF(IK$1="","",'Total Value'!IK33/'Total Value'!$D33-1)</f>
        <v/>
      </c>
      <c r="IL21" s="14" t="str">
        <f ca="1">IF(IL$1="","",'Total Value'!IL33/'Total Value'!$D33-1)</f>
        <v/>
      </c>
      <c r="IM21" s="14" t="str">
        <f ca="1">IF(IM$1="","",'Total Value'!IM33/'Total Value'!$D33-1)</f>
        <v/>
      </c>
      <c r="IN21" s="14" t="str">
        <f ca="1">IF(IN$1="","",'Total Value'!IN33/'Total Value'!$D33-1)</f>
        <v/>
      </c>
      <c r="IO21" s="14" t="str">
        <f ca="1">IF(IO$1="","",'Total Value'!IO33/'Total Value'!$D33-1)</f>
        <v/>
      </c>
      <c r="IP21" s="14" t="str">
        <f ca="1">IF(IP$1="","",'Total Value'!IP33/'Total Value'!$D33-1)</f>
        <v/>
      </c>
      <c r="IQ21" s="14" t="str">
        <f ca="1">IF(IQ$1="","",'Total Value'!IQ33/'Total Value'!$D33-1)</f>
        <v/>
      </c>
      <c r="IR21" s="14" t="str">
        <f ca="1">IF(IR$1="","",'Total Value'!IR33/'Total Value'!$D33-1)</f>
        <v/>
      </c>
      <c r="IS21" s="14" t="str">
        <f ca="1">IF(IS$1="","",'Total Value'!IS33/'Total Value'!$D33-1)</f>
        <v/>
      </c>
      <c r="IT21" s="14" t="str">
        <f ca="1">IF(IT$1="","",'Total Value'!IT33/'Total Value'!$D33-1)</f>
        <v/>
      </c>
      <c r="IU21" s="14" t="str">
        <f ca="1">IF(IU$1="","",'Total Value'!IU33/'Total Value'!$D33-1)</f>
        <v/>
      </c>
      <c r="IV21" s="14" t="str">
        <f ca="1">IF(IV$1="","",'Total Value'!IV33/'Total Value'!$D33-1)</f>
        <v/>
      </c>
      <c r="IW21" s="14" t="str">
        <f ca="1">IF(IW$1="","",'Total Value'!IW33/'Total Value'!$D33-1)</f>
        <v/>
      </c>
      <c r="IX21" s="14" t="str">
        <f ca="1">IF(IX$1="","",'Total Value'!IX33/'Total Value'!$D33-1)</f>
        <v/>
      </c>
      <c r="IY21" s="14" t="str">
        <f ca="1">IF(IY$1="","",'Total Value'!IY33/'Total Value'!$D33-1)</f>
        <v/>
      </c>
      <c r="IZ21" s="14" t="str">
        <f ca="1">IF(IZ$1="","",'Total Value'!IZ33/'Total Value'!$D33-1)</f>
        <v/>
      </c>
      <c r="JA21" s="14" t="str">
        <f ca="1">IF(JA$1="","",'Total Value'!JA33/'Total Value'!$D33-1)</f>
        <v/>
      </c>
      <c r="JB21" s="14" t="str">
        <f ca="1">IF(JB$1="","",'Total Value'!JB33/'Total Value'!$D33-1)</f>
        <v/>
      </c>
      <c r="JC21" s="14" t="str">
        <f ca="1">IF(JC$1="","",'Total Value'!JC33/'Total Value'!$D33-1)</f>
        <v/>
      </c>
      <c r="JD21" s="14" t="str">
        <f ca="1">IF(JD$1="","",'Total Value'!JD33/'Total Value'!$D33-1)</f>
        <v/>
      </c>
      <c r="JE21" s="14" t="str">
        <f ca="1">IF(JE$1="","",'Total Value'!JE33/'Total Value'!$D33-1)</f>
        <v/>
      </c>
      <c r="JF21" s="14" t="str">
        <f ca="1">IF(JF$1="","",'Total Value'!JF33/'Total Value'!$D33-1)</f>
        <v/>
      </c>
      <c r="JG21" s="14" t="str">
        <f ca="1">IF(JG$1="","",'Total Value'!JG33/'Total Value'!$D33-1)</f>
        <v/>
      </c>
      <c r="JH21" s="14" t="str">
        <f ca="1">IF(JH$1="","",'Total Value'!JH33/'Total Value'!$D33-1)</f>
        <v/>
      </c>
      <c r="JI21" s="14" t="str">
        <f ca="1">IF(JI$1="","",'Total Value'!JI33/'Total Value'!$D33-1)</f>
        <v/>
      </c>
      <c r="JJ21" s="14" t="str">
        <f ca="1">IF(JJ$1="","",'Total Value'!JJ33/'Total Value'!$D33-1)</f>
        <v/>
      </c>
      <c r="JK21" s="14" t="str">
        <f ca="1">IF(JK$1="","",'Total Value'!JK33/'Total Value'!$D33-1)</f>
        <v/>
      </c>
      <c r="JL21" s="14" t="str">
        <f ca="1">IF(JL$1="","",'Total Value'!JL33/'Total Value'!$D33-1)</f>
        <v/>
      </c>
      <c r="JM21" s="14" t="str">
        <f ca="1">IF(JM$1="","",'Total Value'!JM33/'Total Value'!$D33-1)</f>
        <v/>
      </c>
      <c r="JN21" s="14" t="str">
        <f ca="1">IF(JN$1="","",'Total Value'!JN33/'Total Value'!$D33-1)</f>
        <v/>
      </c>
      <c r="JO21" s="14" t="str">
        <f ca="1">IF(JO$1="","",'Total Value'!JO33/'Total Value'!$D33-1)</f>
        <v/>
      </c>
      <c r="JP21" s="14" t="str">
        <f ca="1">IF(JP$1="","",'Total Value'!JP33/'Total Value'!$D33-1)</f>
        <v/>
      </c>
      <c r="JQ21" s="14" t="str">
        <f ca="1">IF(JQ$1="","",'Total Value'!JQ33/'Total Value'!$D33-1)</f>
        <v/>
      </c>
      <c r="JR21" s="14" t="str">
        <f ca="1">IF(JR$1="","",'Total Value'!JR33/'Total Value'!$D33-1)</f>
        <v/>
      </c>
      <c r="JS21" s="14" t="str">
        <f ca="1">IF(JS$1="","",'Total Value'!JS33/'Total Value'!$D33-1)</f>
        <v/>
      </c>
      <c r="JT21" s="14" t="str">
        <f ca="1">IF(JT$1="","",'Total Value'!JT33/'Total Value'!$D33-1)</f>
        <v/>
      </c>
      <c r="JU21" s="14" t="str">
        <f ca="1">IF(JU$1="","",'Total Value'!JU33/'Total Value'!$D33-1)</f>
        <v/>
      </c>
      <c r="JV21" s="14" t="str">
        <f ca="1">IF(JV$1="","",'Total Value'!JV33/'Total Value'!$D33-1)</f>
        <v/>
      </c>
      <c r="JW21" s="14" t="str">
        <f ca="1">IF(JW$1="","",'Total Value'!JW33/'Total Value'!$D33-1)</f>
        <v/>
      </c>
      <c r="JX21" s="14" t="str">
        <f ca="1">IF(JX$1="","",'Total Value'!JX33/'Total Value'!$D33-1)</f>
        <v/>
      </c>
      <c r="JY21" s="14" t="str">
        <f ca="1">IF(JY$1="","",'Total Value'!JY33/'Total Value'!$D33-1)</f>
        <v/>
      </c>
      <c r="JZ21" s="14" t="str">
        <f ca="1">IF(JZ$1="","",'Total Value'!JZ33/'Total Value'!$D33-1)</f>
        <v/>
      </c>
      <c r="KA21" s="14" t="str">
        <f ca="1">IF(KA$1="","",'Total Value'!KA33/'Total Value'!$D33-1)</f>
        <v/>
      </c>
      <c r="KB21" s="14" t="str">
        <f ca="1">IF(KB$1="","",'Total Value'!KB33/'Total Value'!$D33-1)</f>
        <v/>
      </c>
    </row>
    <row r="22" spans="1:288" ht="15.75" customHeight="1">
      <c r="A22" s="9" t="s">
        <v>30</v>
      </c>
      <c r="B22" s="6" t="s">
        <v>31</v>
      </c>
      <c r="C22" s="26">
        <v>67</v>
      </c>
      <c r="D22" s="13">
        <v>0</v>
      </c>
      <c r="E22" s="14">
        <f ca="1">IF(E$1="","",'Total Value'!E34/'Total Value'!$D34-1)</f>
        <v>1.567681640036156E-2</v>
      </c>
      <c r="F22" s="14">
        <f ca="1">IF(F$1="","",'Total Value'!F34/'Total Value'!$D34-1)</f>
        <v>6.0295447693696769E-3</v>
      </c>
      <c r="G22" s="14">
        <f ca="1">IF(G$1="","",'Total Value'!G34/'Total Value'!$D34-1)</f>
        <v>-4.8236358154960524E-3</v>
      </c>
      <c r="H22" s="14">
        <f ca="1">IF(H$1="","",'Total Value'!H34/'Total Value'!$D34-1)</f>
        <v>7.8384082001807798E-3</v>
      </c>
      <c r="I22" s="14">
        <f ca="1">IF(I$1="","",'Total Value'!I34/'Total Value'!$D34-1)</f>
        <v>-3.9794995477841488E-2</v>
      </c>
      <c r="J22" s="14">
        <f ca="1">IF(J$1="","",'Total Value'!J34/'Total Value'!$D34-1)</f>
        <v>-5.9692493216762288E-2</v>
      </c>
      <c r="K22" s="14">
        <f ca="1">IF(K$1="","",'Total Value'!K34/'Total Value'!$D34-1)</f>
        <v>-6.843533313234873E-2</v>
      </c>
      <c r="L22" s="14">
        <f ca="1">IF(L$1="","",'Total Value'!L34/'Total Value'!$D34-1)</f>
        <v>-0.10732589689478467</v>
      </c>
      <c r="M22" s="14">
        <f ca="1">IF(M$1="","",'Total Value'!M34/'Total Value'!$D34-1)</f>
        <v>-7.9891468194151494E-2</v>
      </c>
      <c r="N22" s="14">
        <f ca="1">IF(N$1="","",'Total Value'!N34/'Total Value'!$D34-1)</f>
        <v>-0.14259873379559851</v>
      </c>
      <c r="O22" s="14">
        <f ca="1">IF(O$1="","",'Total Value'!O34/'Total Value'!$D34-1)</f>
        <v>-0.16701839011154673</v>
      </c>
      <c r="P22" s="14">
        <f ca="1">IF(P$1="","",'Total Value'!P34/'Total Value'!$D34-1)</f>
        <v>-0.21947542960506483</v>
      </c>
      <c r="Q22" s="14">
        <f ca="1">IF(Q$1="","",'Total Value'!Q34/'Total Value'!$D34-1)</f>
        <v>-0.1965631594814593</v>
      </c>
      <c r="R22" s="14">
        <f ca="1">IF(R$1="","",'Total Value'!R34/'Total Value'!$D34-1)</f>
        <v>-9.9487488694603665E-2</v>
      </c>
      <c r="S22" s="14">
        <f ca="1">IF(S$1="","",'Total Value'!S34/'Total Value'!$D34-1)</f>
        <v>-0.14290021103406703</v>
      </c>
      <c r="T22" s="14">
        <f ca="1">IF(T$1="","",'Total Value'!T34/'Total Value'!$D34-1)</f>
        <v>-0.17817304793488098</v>
      </c>
      <c r="U22" s="14">
        <f ca="1">IF(U$1="","",'Total Value'!U34/'Total Value'!$D34-1)</f>
        <v>-0.24359360868254454</v>
      </c>
      <c r="V22" s="14">
        <f ca="1">IF(V$1="","",'Total Value'!V34/'Total Value'!$D34-1)</f>
        <v>-0.1884232740428099</v>
      </c>
      <c r="W22" s="14">
        <f ca="1">IF(W$1="","",'Total Value'!W34/'Total Value'!$D34-1)</f>
        <v>-0.19173952366596336</v>
      </c>
      <c r="X22" s="14">
        <f ca="1">IF(X$1="","",'Total Value'!X34/'Total Value'!$D34-1)</f>
        <v>-0.16581248115767266</v>
      </c>
      <c r="Y22" s="14">
        <f ca="1">IF(Y$1="","",'Total Value'!Y34/'Total Value'!$D34-1)</f>
        <v>-0.13385589388001218</v>
      </c>
      <c r="Z22" s="14">
        <f ca="1">IF(Z$1="","",'Total Value'!Z34/'Total Value'!$D34-1)</f>
        <v>-0.13506180283388614</v>
      </c>
      <c r="AA22" s="14">
        <f ca="1">IF(AA$1="","",'Total Value'!AA34/'Total Value'!$D34-1)</f>
        <v>-0.15013566475731099</v>
      </c>
      <c r="AB22" s="14">
        <f ca="1">IF(AB$1="","",'Total Value'!AB34/'Total Value'!$D34-1)</f>
        <v>-0.12119384986433535</v>
      </c>
      <c r="AC22" s="14">
        <f ca="1">IF(AC$1="","",'Total Value'!AC34/'Total Value'!$D34-1)</f>
        <v>-0.11606873681037089</v>
      </c>
      <c r="AD22" s="14">
        <f ca="1">IF(AD$1="","",'Total Value'!AD34/'Total Value'!$D34-1)</f>
        <v>-0.1362677117877602</v>
      </c>
      <c r="AE22" s="14">
        <f ca="1">IF(AE$1="","",'Total Value'!AE34/'Total Value'!$D34-1)</f>
        <v>-0.18902622851974693</v>
      </c>
      <c r="AF22" s="14">
        <f ca="1">IF(AF$1="","",'Total Value'!AF34/'Total Value'!$D34-1)</f>
        <v>-0.2586674706059694</v>
      </c>
      <c r="AG22" s="14">
        <f ca="1">IF(AG$1="","",'Total Value'!AG34/'Total Value'!$D34-1)</f>
        <v>-0.26198372022912275</v>
      </c>
      <c r="AH22" s="14">
        <f ca="1">IF(AH$1="","",'Total Value'!AH34/'Total Value'!$D34-1)</f>
        <v>-0.31172746457642464</v>
      </c>
      <c r="AI22" s="14">
        <f ca="1">IF(AI$1="","",'Total Value'!AI34/'Total Value'!$D34-1)</f>
        <v>-0.26620440156768177</v>
      </c>
      <c r="AJ22" s="14">
        <f ca="1">IF(AJ$1="","",'Total Value'!AJ34/'Total Value'!$D34-1)</f>
        <v>-0.45432619837202293</v>
      </c>
      <c r="AK22" s="14">
        <f ca="1">IF(AK$1="","",'Total Value'!AK34/'Total Value'!$D34-1)</f>
        <v>-0.38860416038589096</v>
      </c>
      <c r="AL22" s="14">
        <f ca="1">IF(AL$1="","",'Total Value'!AL34/'Total Value'!$D34-1)</f>
        <v>-0.2909255351220984</v>
      </c>
      <c r="AM22" s="14">
        <f ca="1">IF(AM$1="","",'Total Value'!AM34/'Total Value'!$D34-1)</f>
        <v>-0.29213144407597236</v>
      </c>
      <c r="AN22" s="14">
        <f ca="1">IF(AN$1="","",'Total Value'!AN34/'Total Value'!$D34-1)</f>
        <v>-0.30630087428399166</v>
      </c>
      <c r="AO22" s="14">
        <f ca="1">IF(AO$1="","",'Total Value'!AO34/'Total Value'!$D34-1)</f>
        <v>-0.33675007536930968</v>
      </c>
      <c r="AP22" s="14">
        <f ca="1">IF(AP$1="","",'Total Value'!AP34/'Total Value'!$D34-1)</f>
        <v>-0.34850768766958107</v>
      </c>
      <c r="AQ22" s="14">
        <f ca="1">IF(AQ$1="","",'Total Value'!AQ34/'Total Value'!$D34-1)</f>
        <v>-0.30268314742236968</v>
      </c>
      <c r="AR22" s="14">
        <f ca="1">IF(AR$1="","",'Total Value'!AR34/'Total Value'!$D34-1)</f>
        <v>-0.24992463069038295</v>
      </c>
      <c r="AS22" s="14">
        <f ca="1">IF(AS$1="","",'Total Value'!AS34/'Total Value'!$D34-1)</f>
        <v>-0.27163099186011463</v>
      </c>
      <c r="AT22" s="14">
        <f ca="1">IF(AT$1="","",'Total Value'!AT34/'Total Value'!$D34-1)</f>
        <v>-0.31202894181489305</v>
      </c>
      <c r="AU22" s="14">
        <f ca="1">IF(AU$1="","",'Total Value'!AU34/'Total Value'!$D34-1)</f>
        <v>-0.35966234549291543</v>
      </c>
      <c r="AV22" s="14">
        <f ca="1">IF(AV$1="","",'Total Value'!AV34/'Total Value'!$D34-1)</f>
        <v>-0.37564063913174561</v>
      </c>
      <c r="AW22" s="14">
        <f ca="1">IF(AW$1="","",'Total Value'!AW34/'Total Value'!$D34-1)</f>
        <v>-0.2770575821525475</v>
      </c>
      <c r="AX22" s="14">
        <f ca="1">IF(AX$1="","",'Total Value'!AX34/'Total Value'!$D34-1)</f>
        <v>-0.25927042508290632</v>
      </c>
      <c r="AY22" s="14">
        <f ca="1">IF(AY$1="","",'Total Value'!AY34/'Total Value'!$D34-1)</f>
        <v>-0.2426891769671391</v>
      </c>
      <c r="AZ22" s="14">
        <f ca="1">IF(AZ$1="","",'Total Value'!AZ34/'Total Value'!$D34-1)</f>
        <v>-0.26228519746759127</v>
      </c>
      <c r="BA22" s="14">
        <f ca="1">IF(BA$1="","",'Total Value'!BA34/'Total Value'!$D34-1)</f>
        <v>-0.2366596321977692</v>
      </c>
      <c r="BB22" s="14">
        <f ca="1">IF(BB$1="","",'Total Value'!BB34/'Total Value'!$D34-1)</f>
        <v>-0.25052758516731999</v>
      </c>
      <c r="BC22" s="14">
        <f ca="1">IF(BC$1="","",'Total Value'!BC34/'Total Value'!$D34-1)</f>
        <v>-0.2466083810672296</v>
      </c>
      <c r="BD22" s="14">
        <f ca="1">IF(BD$1="","",'Total Value'!BD34/'Total Value'!$D34-1)</f>
        <v>-0.27946940006029553</v>
      </c>
      <c r="BE22" s="14">
        <f ca="1">IF(BE$1="","",'Total Value'!BE34/'Total Value'!$D34-1)</f>
        <v>-0.27072656014470919</v>
      </c>
      <c r="BF22" s="14">
        <f ca="1">IF(BF$1="","",'Total Value'!BF34/'Total Value'!$D34-1)</f>
        <v>-0.21947542960506483</v>
      </c>
      <c r="BG22" s="14">
        <f ca="1">IF(BG$1="","",'Total Value'!BG34/'Total Value'!$D34-1)</f>
        <v>-0.2526379258365995</v>
      </c>
      <c r="BH22" s="14">
        <f ca="1">IF(BH$1="","",'Total Value'!BH34/'Total Value'!$D34-1)</f>
        <v>-0.26379258365993374</v>
      </c>
      <c r="BI22" s="14">
        <f ca="1">IF(BI$1="","",'Total Value'!BI34/'Total Value'!$D34-1)</f>
        <v>-0.25022610792885147</v>
      </c>
      <c r="BJ22" s="14">
        <f ca="1">IF(BJ$1="","",'Total Value'!BJ34/'Total Value'!$D34-1)</f>
        <v>-0.2125414531202896</v>
      </c>
      <c r="BK22" s="14">
        <f ca="1">IF(BK$1="","",'Total Value'!BK34/'Total Value'!$D34-1)</f>
        <v>-0.22218872475128137</v>
      </c>
      <c r="BL22" s="14">
        <f ca="1">IF(BL$1="","",'Total Value'!BL34/'Total Value'!$D34-1)</f>
        <v>-0.25324088031353642</v>
      </c>
      <c r="BM22" s="14">
        <f ca="1">IF(BM$1="","",'Total Value'!BM34/'Total Value'!$D34-1)</f>
        <v>-0.24630690382876108</v>
      </c>
      <c r="BN22" s="14">
        <f ca="1">IF(BN$1="","",'Total Value'!BN34/'Total Value'!$D34-1)</f>
        <v>-0.2306300874283993</v>
      </c>
      <c r="BO22" s="14">
        <f ca="1">IF(BO$1="","",'Total Value'!BO34/'Total Value'!$D34-1)</f>
        <v>-0.23424781429002128</v>
      </c>
      <c r="BP22" s="14">
        <f ca="1">IF(BP$1="","",'Total Value'!BP34/'Total Value'!$D34-1)</f>
        <v>-0.21284293035875812</v>
      </c>
      <c r="BQ22" s="14">
        <f ca="1">IF(BQ$1="","",'Total Value'!BQ34/'Total Value'!$D34-1)</f>
        <v>-0.21073258968947861</v>
      </c>
      <c r="BR22" s="14">
        <f ca="1">IF(BR$1="","",'Total Value'!BR34/'Total Value'!$D34-1)</f>
        <v>-0.23967440458245415</v>
      </c>
      <c r="BS22" s="14">
        <f ca="1">IF(BS$1="","",'Total Value'!BS34/'Total Value'!$D34-1)</f>
        <v>-0.26620440156768177</v>
      </c>
      <c r="BT22" s="14">
        <f ca="1">IF(BT$1="","",'Total Value'!BT34/'Total Value'!$D34-1)</f>
        <v>-0.23756406391317475</v>
      </c>
      <c r="BU22" s="14">
        <f ca="1">IF(BU$1="","",'Total Value'!BU34/'Total Value'!$D34-1)</f>
        <v>-0.26590292432921325</v>
      </c>
      <c r="BV22" s="14">
        <f ca="1">IF(BV$1="","",'Total Value'!BV34/'Total Value'!$D34-1)</f>
        <v>-0.28218269520651207</v>
      </c>
      <c r="BW22" s="14">
        <f ca="1">IF(BW$1="","",'Total Value'!BW34/'Total Value'!$D34-1)</f>
        <v>-0.29122701236056681</v>
      </c>
      <c r="BX22" s="14">
        <f ca="1">IF(BX$1="","",'Total Value'!BX34/'Total Value'!$D34-1)</f>
        <v>-0.28127826349110652</v>
      </c>
      <c r="BY22" s="14">
        <f ca="1">IF(BY$1="","",'Total Value'!BY34/'Total Value'!$D34-1)</f>
        <v>-0.34277962013867957</v>
      </c>
      <c r="BZ22" s="14">
        <f ca="1">IF(BZ$1="","",'Total Value'!BZ34/'Total Value'!$D34-1)</f>
        <v>-0.3632800723545373</v>
      </c>
      <c r="CA22" s="14">
        <f ca="1">IF(CA$1="","",'Total Value'!CA34/'Total Value'!$D34-1)</f>
        <v>-0.32469098583056988</v>
      </c>
      <c r="CB22" s="14">
        <f ca="1">IF(CB$1="","",'Total Value'!CB34/'Total Value'!$D34-1)</f>
        <v>-0.31805848658426306</v>
      </c>
      <c r="CC22" s="14">
        <f ca="1">IF(CC$1="","",'Total Value'!CC34/'Total Value'!$D34-1)</f>
        <v>-0.29665360265299989</v>
      </c>
      <c r="CD22" s="14">
        <f ca="1">IF(CD$1="","",'Total Value'!CD34/'Total Value'!$D34-1)</f>
        <v>-0.34157371118480562</v>
      </c>
      <c r="CE22" s="14">
        <f ca="1">IF(CE$1="","",'Total Value'!CE34/'Total Value'!$D34-1)</f>
        <v>-0.33222791679228225</v>
      </c>
      <c r="CF22" s="14" t="str">
        <f ca="1">IF(CF$1="","",'Total Value'!CF34/'Total Value'!$D34-1)</f>
        <v/>
      </c>
      <c r="CG22" s="14" t="str">
        <f ca="1">IF(CG$1="","",'Total Value'!CG34/'Total Value'!$D34-1)</f>
        <v/>
      </c>
      <c r="CH22" s="14" t="str">
        <f ca="1">IF(CH$1="","",'Total Value'!CH34/'Total Value'!$D34-1)</f>
        <v/>
      </c>
      <c r="CI22" s="14" t="str">
        <f ca="1">IF(CI$1="","",'Total Value'!CI34/'Total Value'!$D34-1)</f>
        <v/>
      </c>
      <c r="CJ22" s="14" t="str">
        <f ca="1">IF(CJ$1="","",'Total Value'!CJ34/'Total Value'!$D34-1)</f>
        <v/>
      </c>
      <c r="CK22" s="14" t="str">
        <f ca="1">IF(CK$1="","",'Total Value'!CK34/'Total Value'!$D34-1)</f>
        <v/>
      </c>
      <c r="CL22" s="14" t="str">
        <f ca="1">IF(CL$1="","",'Total Value'!CL34/'Total Value'!$D34-1)</f>
        <v/>
      </c>
      <c r="CM22" s="14" t="str">
        <f ca="1">IF(CM$1="","",'Total Value'!CM34/'Total Value'!$D34-1)</f>
        <v/>
      </c>
      <c r="CN22" s="14" t="str">
        <f ca="1">IF(CN$1="","",'Total Value'!CN34/'Total Value'!$D34-1)</f>
        <v/>
      </c>
      <c r="CO22" s="14" t="str">
        <f ca="1">IF(CO$1="","",'Total Value'!CO34/'Total Value'!$D34-1)</f>
        <v/>
      </c>
      <c r="CP22" s="14" t="str">
        <f ca="1">IF(CP$1="","",'Total Value'!CP34/'Total Value'!$D34-1)</f>
        <v/>
      </c>
      <c r="CQ22" s="14" t="str">
        <f ca="1">IF(CQ$1="","",'Total Value'!CQ34/'Total Value'!$D34-1)</f>
        <v/>
      </c>
      <c r="CR22" s="14" t="str">
        <f ca="1">IF(CR$1="","",'Total Value'!CR34/'Total Value'!$D34-1)</f>
        <v/>
      </c>
      <c r="CS22" s="14" t="str">
        <f ca="1">IF(CS$1="","",'Total Value'!CS34/'Total Value'!$D34-1)</f>
        <v/>
      </c>
      <c r="CT22" s="14" t="str">
        <f ca="1">IF(CT$1="","",'Total Value'!CT34/'Total Value'!$D34-1)</f>
        <v/>
      </c>
      <c r="CU22" s="14" t="str">
        <f ca="1">IF(CU$1="","",'Total Value'!CU34/'Total Value'!$D34-1)</f>
        <v/>
      </c>
      <c r="CV22" s="14" t="str">
        <f ca="1">IF(CV$1="","",'Total Value'!CV34/'Total Value'!$D34-1)</f>
        <v/>
      </c>
      <c r="CW22" s="14" t="str">
        <f ca="1">IF(CW$1="","",'Total Value'!CW34/'Total Value'!$D34-1)</f>
        <v/>
      </c>
      <c r="CX22" s="14" t="str">
        <f ca="1">IF(CX$1="","",'Total Value'!CX34/'Total Value'!$D34-1)</f>
        <v/>
      </c>
      <c r="CY22" s="14" t="str">
        <f ca="1">IF(CY$1="","",'Total Value'!CY34/'Total Value'!$D34-1)</f>
        <v/>
      </c>
      <c r="CZ22" s="14" t="str">
        <f ca="1">IF(CZ$1="","",'Total Value'!CZ34/'Total Value'!$D34-1)</f>
        <v/>
      </c>
      <c r="DA22" s="14" t="str">
        <f ca="1">IF(DA$1="","",'Total Value'!DA34/'Total Value'!$D34-1)</f>
        <v/>
      </c>
      <c r="DB22" s="14" t="str">
        <f ca="1">IF(DB$1="","",'Total Value'!DB34/'Total Value'!$D34-1)</f>
        <v/>
      </c>
      <c r="DC22" s="14" t="str">
        <f ca="1">IF(DC$1="","",'Total Value'!DC34/'Total Value'!$D34-1)</f>
        <v/>
      </c>
      <c r="DD22" s="14" t="str">
        <f ca="1">IF(DD$1="","",'Total Value'!DD34/'Total Value'!$D34-1)</f>
        <v/>
      </c>
      <c r="DE22" s="14" t="str">
        <f ca="1">IF(DE$1="","",'Total Value'!DE34/'Total Value'!$D34-1)</f>
        <v/>
      </c>
      <c r="DF22" s="14" t="str">
        <f ca="1">IF(DF$1="","",'Total Value'!DF34/'Total Value'!$D34-1)</f>
        <v/>
      </c>
      <c r="DG22" s="14" t="str">
        <f ca="1">IF(DG$1="","",'Total Value'!DG34/'Total Value'!$D34-1)</f>
        <v/>
      </c>
      <c r="DH22" s="14" t="str">
        <f ca="1">IF(DH$1="","",'Total Value'!DH34/'Total Value'!$D34-1)</f>
        <v/>
      </c>
      <c r="DI22" s="14" t="str">
        <f ca="1">IF(DI$1="","",'Total Value'!DI34/'Total Value'!$D34-1)</f>
        <v/>
      </c>
      <c r="DJ22" s="14" t="str">
        <f ca="1">IF(DJ$1="","",'Total Value'!DJ34/'Total Value'!$D34-1)</f>
        <v/>
      </c>
      <c r="DK22" s="14" t="str">
        <f ca="1">IF(DK$1="","",'Total Value'!DK34/'Total Value'!$D34-1)</f>
        <v/>
      </c>
      <c r="DL22" s="14" t="str">
        <f ca="1">IF(DL$1="","",'Total Value'!DL34/'Total Value'!$D34-1)</f>
        <v/>
      </c>
      <c r="DM22" s="14" t="str">
        <f ca="1">IF(DM$1="","",'Total Value'!DM34/'Total Value'!$D34-1)</f>
        <v/>
      </c>
      <c r="DN22" s="14" t="str">
        <f ca="1">IF(DN$1="","",'Total Value'!DN34/'Total Value'!$D34-1)</f>
        <v/>
      </c>
      <c r="DO22" s="14" t="str">
        <f ca="1">IF(DO$1="","",'Total Value'!DO34/'Total Value'!$D34-1)</f>
        <v/>
      </c>
      <c r="DP22" s="14" t="str">
        <f ca="1">IF(DP$1="","",'Total Value'!DP34/'Total Value'!$D34-1)</f>
        <v/>
      </c>
      <c r="DQ22" s="14" t="str">
        <f ca="1">IF(DQ$1="","",'Total Value'!DQ34/'Total Value'!$D34-1)</f>
        <v/>
      </c>
      <c r="DR22" s="14" t="str">
        <f ca="1">IF(DR$1="","",'Total Value'!DR34/'Total Value'!$D34-1)</f>
        <v/>
      </c>
      <c r="DS22" s="14" t="str">
        <f ca="1">IF(DS$1="","",'Total Value'!DS34/'Total Value'!$D34-1)</f>
        <v/>
      </c>
      <c r="DT22" s="14" t="str">
        <f ca="1">IF(DT$1="","",'Total Value'!DT34/'Total Value'!$D34-1)</f>
        <v/>
      </c>
      <c r="DU22" s="14" t="str">
        <f ca="1">IF(DU$1="","",'Total Value'!DU34/'Total Value'!$D34-1)</f>
        <v/>
      </c>
      <c r="DV22" s="14" t="str">
        <f ca="1">IF(DV$1="","",'Total Value'!DV34/'Total Value'!$D34-1)</f>
        <v/>
      </c>
      <c r="DW22" s="14" t="str">
        <f ca="1">IF(DW$1="","",'Total Value'!DW34/'Total Value'!$D34-1)</f>
        <v/>
      </c>
      <c r="DX22" s="14" t="str">
        <f ca="1">IF(DX$1="","",'Total Value'!DX34/'Total Value'!$D34-1)</f>
        <v/>
      </c>
      <c r="DY22" s="14" t="str">
        <f ca="1">IF(DY$1="","",'Total Value'!DY34/'Total Value'!$D34-1)</f>
        <v/>
      </c>
      <c r="DZ22" s="14" t="str">
        <f ca="1">IF(DZ$1="","",'Total Value'!DZ34/'Total Value'!$D34-1)</f>
        <v/>
      </c>
      <c r="EA22" s="14" t="str">
        <f ca="1">IF(EA$1="","",'Total Value'!EA34/'Total Value'!$D34-1)</f>
        <v/>
      </c>
      <c r="EB22" s="14" t="str">
        <f ca="1">IF(EB$1="","",'Total Value'!EB34/'Total Value'!$D34-1)</f>
        <v/>
      </c>
      <c r="EC22" s="14" t="str">
        <f ca="1">IF(EC$1="","",'Total Value'!EC34/'Total Value'!$D34-1)</f>
        <v/>
      </c>
      <c r="ED22" s="14" t="str">
        <f ca="1">IF(ED$1="","",'Total Value'!ED34/'Total Value'!$D34-1)</f>
        <v/>
      </c>
      <c r="EE22" s="14" t="str">
        <f ca="1">IF(EE$1="","",'Total Value'!EE34/'Total Value'!$D34-1)</f>
        <v/>
      </c>
      <c r="EF22" s="14" t="str">
        <f ca="1">IF(EF$1="","",'Total Value'!EF34/'Total Value'!$D34-1)</f>
        <v/>
      </c>
      <c r="EG22" s="14" t="str">
        <f ca="1">IF(EG$1="","",'Total Value'!EG34/'Total Value'!$D34-1)</f>
        <v/>
      </c>
      <c r="EH22" s="14" t="str">
        <f ca="1">IF(EH$1="","",'Total Value'!EH34/'Total Value'!$D34-1)</f>
        <v/>
      </c>
      <c r="EI22" s="14" t="str">
        <f ca="1">IF(EI$1="","",'Total Value'!EI34/'Total Value'!$D34-1)</f>
        <v/>
      </c>
      <c r="EJ22" s="14" t="str">
        <f ca="1">IF(EJ$1="","",'Total Value'!EJ34/'Total Value'!$D34-1)</f>
        <v/>
      </c>
      <c r="EK22" s="14" t="str">
        <f ca="1">IF(EK$1="","",'Total Value'!EK34/'Total Value'!$D34-1)</f>
        <v/>
      </c>
      <c r="EL22" s="14" t="str">
        <f ca="1">IF(EL$1="","",'Total Value'!EL34/'Total Value'!$D34-1)</f>
        <v/>
      </c>
      <c r="EM22" s="14" t="str">
        <f ca="1">IF(EM$1="","",'Total Value'!EM34/'Total Value'!$D34-1)</f>
        <v/>
      </c>
      <c r="EN22" s="14" t="str">
        <f ca="1">IF(EN$1="","",'Total Value'!EN34/'Total Value'!$D34-1)</f>
        <v/>
      </c>
      <c r="EO22" s="14" t="str">
        <f ca="1">IF(EO$1="","",'Total Value'!EO34/'Total Value'!$D34-1)</f>
        <v/>
      </c>
      <c r="EP22" s="14" t="str">
        <f ca="1">IF(EP$1="","",'Total Value'!EP34/'Total Value'!$D34-1)</f>
        <v/>
      </c>
      <c r="EQ22" s="14" t="str">
        <f ca="1">IF(EQ$1="","",'Total Value'!EQ34/'Total Value'!$D34-1)</f>
        <v/>
      </c>
      <c r="ER22" s="14" t="str">
        <f ca="1">IF(ER$1="","",'Total Value'!ER34/'Total Value'!$D34-1)</f>
        <v/>
      </c>
      <c r="ES22" s="14" t="str">
        <f ca="1">IF(ES$1="","",'Total Value'!ES34/'Total Value'!$D34-1)</f>
        <v/>
      </c>
      <c r="ET22" s="14" t="str">
        <f ca="1">IF(ET$1="","",'Total Value'!ET34/'Total Value'!$D34-1)</f>
        <v/>
      </c>
      <c r="EU22" s="14" t="str">
        <f ca="1">IF(EU$1="","",'Total Value'!EU34/'Total Value'!$D34-1)</f>
        <v/>
      </c>
      <c r="EV22" s="14" t="str">
        <f ca="1">IF(EV$1="","",'Total Value'!EV34/'Total Value'!$D34-1)</f>
        <v/>
      </c>
      <c r="EW22" s="14" t="str">
        <f ca="1">IF(EW$1="","",'Total Value'!EW34/'Total Value'!$D34-1)</f>
        <v/>
      </c>
      <c r="EX22" s="14" t="str">
        <f ca="1">IF(EX$1="","",'Total Value'!EX34/'Total Value'!$D34-1)</f>
        <v/>
      </c>
      <c r="EY22" s="14" t="str">
        <f ca="1">IF(EY$1="","",'Total Value'!EY34/'Total Value'!$D34-1)</f>
        <v/>
      </c>
      <c r="EZ22" s="14" t="str">
        <f ca="1">IF(EZ$1="","",'Total Value'!EZ34/'Total Value'!$D34-1)</f>
        <v/>
      </c>
      <c r="FA22" s="14" t="str">
        <f ca="1">IF(FA$1="","",'Total Value'!FA34/'Total Value'!$D34-1)</f>
        <v/>
      </c>
      <c r="FB22" s="14" t="str">
        <f ca="1">IF(FB$1="","",'Total Value'!FB34/'Total Value'!$D34-1)</f>
        <v/>
      </c>
      <c r="FC22" s="14" t="str">
        <f ca="1">IF(FC$1="","",'Total Value'!FC34/'Total Value'!$D34-1)</f>
        <v/>
      </c>
      <c r="FD22" s="14" t="str">
        <f ca="1">IF(FD$1="","",'Total Value'!FD34/'Total Value'!$D34-1)</f>
        <v/>
      </c>
      <c r="FE22" s="14" t="str">
        <f ca="1">IF(FE$1="","",'Total Value'!FE34/'Total Value'!$D34-1)</f>
        <v/>
      </c>
      <c r="FF22" s="14" t="str">
        <f ca="1">IF(FF$1="","",'Total Value'!FF34/'Total Value'!$D34-1)</f>
        <v/>
      </c>
      <c r="FG22" s="14" t="str">
        <f ca="1">IF(FG$1="","",'Total Value'!FG34/'Total Value'!$D34-1)</f>
        <v/>
      </c>
      <c r="FH22" s="14" t="str">
        <f ca="1">IF(FH$1="","",'Total Value'!FH34/'Total Value'!$D34-1)</f>
        <v/>
      </c>
      <c r="FI22" s="14" t="str">
        <f ca="1">IF(FI$1="","",'Total Value'!FI34/'Total Value'!$D34-1)</f>
        <v/>
      </c>
      <c r="FJ22" s="14" t="str">
        <f ca="1">IF(FJ$1="","",'Total Value'!FJ34/'Total Value'!$D34-1)</f>
        <v/>
      </c>
      <c r="FK22" s="14" t="str">
        <f ca="1">IF(FK$1="","",'Total Value'!FK34/'Total Value'!$D34-1)</f>
        <v/>
      </c>
      <c r="FL22" s="14" t="str">
        <f ca="1">IF(FL$1="","",'Total Value'!FL34/'Total Value'!$D34-1)</f>
        <v/>
      </c>
      <c r="FM22" s="14" t="str">
        <f ca="1">IF(FM$1="","",'Total Value'!FM34/'Total Value'!$D34-1)</f>
        <v/>
      </c>
      <c r="FN22" s="14" t="str">
        <f ca="1">IF(FN$1="","",'Total Value'!FN34/'Total Value'!$D34-1)</f>
        <v/>
      </c>
      <c r="FO22" s="14" t="str">
        <f ca="1">IF(FO$1="","",'Total Value'!FO34/'Total Value'!$D34-1)</f>
        <v/>
      </c>
      <c r="FP22" s="14" t="str">
        <f ca="1">IF(FP$1="","",'Total Value'!FP34/'Total Value'!$D34-1)</f>
        <v/>
      </c>
      <c r="FQ22" s="14" t="str">
        <f ca="1">IF(FQ$1="","",'Total Value'!FQ34/'Total Value'!$D34-1)</f>
        <v/>
      </c>
      <c r="FR22" s="14" t="str">
        <f ca="1">IF(FR$1="","",'Total Value'!FR34/'Total Value'!$D34-1)</f>
        <v/>
      </c>
      <c r="FS22" s="14" t="str">
        <f ca="1">IF(FS$1="","",'Total Value'!FS34/'Total Value'!$D34-1)</f>
        <v/>
      </c>
      <c r="FT22" s="14" t="str">
        <f ca="1">IF(FT$1="","",'Total Value'!FT34/'Total Value'!$D34-1)</f>
        <v/>
      </c>
      <c r="FU22" s="14" t="str">
        <f ca="1">IF(FU$1="","",'Total Value'!FU34/'Total Value'!$D34-1)</f>
        <v/>
      </c>
      <c r="FV22" s="14" t="str">
        <f ca="1">IF(FV$1="","",'Total Value'!FV34/'Total Value'!$D34-1)</f>
        <v/>
      </c>
      <c r="FW22" s="14" t="str">
        <f ca="1">IF(FW$1="","",'Total Value'!FW34/'Total Value'!$D34-1)</f>
        <v/>
      </c>
      <c r="FX22" s="14" t="str">
        <f ca="1">IF(FX$1="","",'Total Value'!FX34/'Total Value'!$D34-1)</f>
        <v/>
      </c>
      <c r="FY22" s="14" t="str">
        <f ca="1">IF(FY$1="","",'Total Value'!FY34/'Total Value'!$D34-1)</f>
        <v/>
      </c>
      <c r="FZ22" s="14" t="str">
        <f ca="1">IF(FZ$1="","",'Total Value'!FZ34/'Total Value'!$D34-1)</f>
        <v/>
      </c>
      <c r="GA22" s="14" t="str">
        <f ca="1">IF(GA$1="","",'Total Value'!GA34/'Total Value'!$D34-1)</f>
        <v/>
      </c>
      <c r="GB22" s="14" t="str">
        <f ca="1">IF(GB$1="","",'Total Value'!GB34/'Total Value'!$D34-1)</f>
        <v/>
      </c>
      <c r="GC22" s="14" t="str">
        <f ca="1">IF(GC$1="","",'Total Value'!GC34/'Total Value'!$D34-1)</f>
        <v/>
      </c>
      <c r="GD22" s="14" t="str">
        <f ca="1">IF(GD$1="","",'Total Value'!GD34/'Total Value'!$D34-1)</f>
        <v/>
      </c>
      <c r="GE22" s="14" t="str">
        <f ca="1">IF(GE$1="","",'Total Value'!GE34/'Total Value'!$D34-1)</f>
        <v/>
      </c>
      <c r="GF22" s="14" t="str">
        <f ca="1">IF(GF$1="","",'Total Value'!GF34/'Total Value'!$D34-1)</f>
        <v/>
      </c>
      <c r="GG22" s="14" t="str">
        <f ca="1">IF(GG$1="","",'Total Value'!GG34/'Total Value'!$D34-1)</f>
        <v/>
      </c>
      <c r="GH22" s="14" t="str">
        <f ca="1">IF(GH$1="","",'Total Value'!GH34/'Total Value'!$D34-1)</f>
        <v/>
      </c>
      <c r="GI22" s="14" t="str">
        <f ca="1">IF(GI$1="","",'Total Value'!GI34/'Total Value'!$D34-1)</f>
        <v/>
      </c>
      <c r="GJ22" s="14" t="str">
        <f ca="1">IF(GJ$1="","",'Total Value'!GJ34/'Total Value'!$D34-1)</f>
        <v/>
      </c>
      <c r="GK22" s="14" t="str">
        <f ca="1">IF(GK$1="","",'Total Value'!GK34/'Total Value'!$D34-1)</f>
        <v/>
      </c>
      <c r="GL22" s="14" t="str">
        <f ca="1">IF(GL$1="","",'Total Value'!GL34/'Total Value'!$D34-1)</f>
        <v/>
      </c>
      <c r="GM22" s="14" t="str">
        <f ca="1">IF(GM$1="","",'Total Value'!GM34/'Total Value'!$D34-1)</f>
        <v/>
      </c>
      <c r="GN22" s="14" t="str">
        <f ca="1">IF(GN$1="","",'Total Value'!GN34/'Total Value'!$D34-1)</f>
        <v/>
      </c>
      <c r="GO22" s="14" t="str">
        <f ca="1">IF(GO$1="","",'Total Value'!GO34/'Total Value'!$D34-1)</f>
        <v/>
      </c>
      <c r="GP22" s="14" t="str">
        <f ca="1">IF(GP$1="","",'Total Value'!GP34/'Total Value'!$D34-1)</f>
        <v/>
      </c>
      <c r="GQ22" s="14" t="str">
        <f ca="1">IF(GQ$1="","",'Total Value'!GQ34/'Total Value'!$D34-1)</f>
        <v/>
      </c>
      <c r="GR22" s="14" t="str">
        <f ca="1">IF(GR$1="","",'Total Value'!GR34/'Total Value'!$D34-1)</f>
        <v/>
      </c>
      <c r="GS22" s="14" t="str">
        <f ca="1">IF(GS$1="","",'Total Value'!GS34/'Total Value'!$D34-1)</f>
        <v/>
      </c>
      <c r="GT22" s="14" t="str">
        <f ca="1">IF(GT$1="","",'Total Value'!GT34/'Total Value'!$D34-1)</f>
        <v/>
      </c>
      <c r="GU22" s="14" t="str">
        <f ca="1">IF(GU$1="","",'Total Value'!GU34/'Total Value'!$D34-1)</f>
        <v/>
      </c>
      <c r="GV22" s="14" t="str">
        <f ca="1">IF(GV$1="","",'Total Value'!GV34/'Total Value'!$D34-1)</f>
        <v/>
      </c>
      <c r="GW22" s="14" t="str">
        <f ca="1">IF(GW$1="","",'Total Value'!GW34/'Total Value'!$D34-1)</f>
        <v/>
      </c>
      <c r="GX22" s="14" t="str">
        <f ca="1">IF(GX$1="","",'Total Value'!GX34/'Total Value'!$D34-1)</f>
        <v/>
      </c>
      <c r="GY22" s="14" t="str">
        <f ca="1">IF(GY$1="","",'Total Value'!GY34/'Total Value'!$D34-1)</f>
        <v/>
      </c>
      <c r="GZ22" s="14" t="str">
        <f ca="1">IF(GZ$1="","",'Total Value'!GZ34/'Total Value'!$D34-1)</f>
        <v/>
      </c>
      <c r="HA22" s="14" t="str">
        <f ca="1">IF(HA$1="","",'Total Value'!HA34/'Total Value'!$D34-1)</f>
        <v/>
      </c>
      <c r="HB22" s="14" t="str">
        <f ca="1">IF(HB$1="","",'Total Value'!HB34/'Total Value'!$D34-1)</f>
        <v/>
      </c>
      <c r="HC22" s="14" t="str">
        <f ca="1">IF(HC$1="","",'Total Value'!HC34/'Total Value'!$D34-1)</f>
        <v/>
      </c>
      <c r="HD22" s="14" t="str">
        <f ca="1">IF(HD$1="","",'Total Value'!HD34/'Total Value'!$D34-1)</f>
        <v/>
      </c>
      <c r="HE22" s="14" t="str">
        <f ca="1">IF(HE$1="","",'Total Value'!HE34/'Total Value'!$D34-1)</f>
        <v/>
      </c>
      <c r="HF22" s="14" t="str">
        <f ca="1">IF(HF$1="","",'Total Value'!HF34/'Total Value'!$D34-1)</f>
        <v/>
      </c>
      <c r="HG22" s="14" t="str">
        <f ca="1">IF(HG$1="","",'Total Value'!HG34/'Total Value'!$D34-1)</f>
        <v/>
      </c>
      <c r="HH22" s="14" t="str">
        <f ca="1">IF(HH$1="","",'Total Value'!HH34/'Total Value'!$D34-1)</f>
        <v/>
      </c>
      <c r="HI22" s="14" t="str">
        <f ca="1">IF(HI$1="","",'Total Value'!HI34/'Total Value'!$D34-1)</f>
        <v/>
      </c>
      <c r="HJ22" s="14" t="str">
        <f ca="1">IF(HJ$1="","",'Total Value'!HJ34/'Total Value'!$D34-1)</f>
        <v/>
      </c>
      <c r="HK22" s="14" t="str">
        <f ca="1">IF(HK$1="","",'Total Value'!HK34/'Total Value'!$D34-1)</f>
        <v/>
      </c>
      <c r="HL22" s="14" t="str">
        <f ca="1">IF(HL$1="","",'Total Value'!HL34/'Total Value'!$D34-1)</f>
        <v/>
      </c>
      <c r="HM22" s="14" t="str">
        <f ca="1">IF(HM$1="","",'Total Value'!HM34/'Total Value'!$D34-1)</f>
        <v/>
      </c>
      <c r="HN22" s="14" t="str">
        <f ca="1">IF(HN$1="","",'Total Value'!HN34/'Total Value'!$D34-1)</f>
        <v/>
      </c>
      <c r="HO22" s="14" t="str">
        <f ca="1">IF(HO$1="","",'Total Value'!HO34/'Total Value'!$D34-1)</f>
        <v/>
      </c>
      <c r="HP22" s="14" t="str">
        <f ca="1">IF(HP$1="","",'Total Value'!HP34/'Total Value'!$D34-1)</f>
        <v/>
      </c>
      <c r="HQ22" s="14" t="str">
        <f ca="1">IF(HQ$1="","",'Total Value'!HQ34/'Total Value'!$D34-1)</f>
        <v/>
      </c>
      <c r="HR22" s="14" t="str">
        <f ca="1">IF(HR$1="","",'Total Value'!HR34/'Total Value'!$D34-1)</f>
        <v/>
      </c>
      <c r="HS22" s="14" t="str">
        <f ca="1">IF(HS$1="","",'Total Value'!HS34/'Total Value'!$D34-1)</f>
        <v/>
      </c>
      <c r="HT22" s="14" t="str">
        <f ca="1">IF(HT$1="","",'Total Value'!HT34/'Total Value'!$D34-1)</f>
        <v/>
      </c>
      <c r="HU22" s="14" t="str">
        <f ca="1">IF(HU$1="","",'Total Value'!HU34/'Total Value'!$D34-1)</f>
        <v/>
      </c>
      <c r="HV22" s="14" t="str">
        <f ca="1">IF(HV$1="","",'Total Value'!HV34/'Total Value'!$D34-1)</f>
        <v/>
      </c>
      <c r="HW22" s="14" t="str">
        <f ca="1">IF(HW$1="","",'Total Value'!HW34/'Total Value'!$D34-1)</f>
        <v/>
      </c>
      <c r="HX22" s="14" t="str">
        <f ca="1">IF(HX$1="","",'Total Value'!HX34/'Total Value'!$D34-1)</f>
        <v/>
      </c>
      <c r="HY22" s="14" t="str">
        <f ca="1">IF(HY$1="","",'Total Value'!HY34/'Total Value'!$D34-1)</f>
        <v/>
      </c>
      <c r="HZ22" s="14" t="str">
        <f ca="1">IF(HZ$1="","",'Total Value'!HZ34/'Total Value'!$D34-1)</f>
        <v/>
      </c>
      <c r="IA22" s="14" t="str">
        <f ca="1">IF(IA$1="","",'Total Value'!IA34/'Total Value'!$D34-1)</f>
        <v/>
      </c>
      <c r="IB22" s="14" t="str">
        <f ca="1">IF(IB$1="","",'Total Value'!IB34/'Total Value'!$D34-1)</f>
        <v/>
      </c>
      <c r="IC22" s="14" t="str">
        <f ca="1">IF(IC$1="","",'Total Value'!IC34/'Total Value'!$D34-1)</f>
        <v/>
      </c>
      <c r="ID22" s="14" t="str">
        <f ca="1">IF(ID$1="","",'Total Value'!ID34/'Total Value'!$D34-1)</f>
        <v/>
      </c>
      <c r="IE22" s="14" t="str">
        <f ca="1">IF(IE$1="","",'Total Value'!IE34/'Total Value'!$D34-1)</f>
        <v/>
      </c>
      <c r="IF22" s="14" t="str">
        <f ca="1">IF(IF$1="","",'Total Value'!IF34/'Total Value'!$D34-1)</f>
        <v/>
      </c>
      <c r="IG22" s="14" t="str">
        <f ca="1">IF(IG$1="","",'Total Value'!IG34/'Total Value'!$D34-1)</f>
        <v/>
      </c>
      <c r="IH22" s="14" t="str">
        <f ca="1">IF(IH$1="","",'Total Value'!IH34/'Total Value'!$D34-1)</f>
        <v/>
      </c>
      <c r="II22" s="14" t="str">
        <f ca="1">IF(II$1="","",'Total Value'!II34/'Total Value'!$D34-1)</f>
        <v/>
      </c>
      <c r="IJ22" s="14" t="str">
        <f ca="1">IF(IJ$1="","",'Total Value'!IJ34/'Total Value'!$D34-1)</f>
        <v/>
      </c>
      <c r="IK22" s="14" t="str">
        <f ca="1">IF(IK$1="","",'Total Value'!IK34/'Total Value'!$D34-1)</f>
        <v/>
      </c>
      <c r="IL22" s="14" t="str">
        <f ca="1">IF(IL$1="","",'Total Value'!IL34/'Total Value'!$D34-1)</f>
        <v/>
      </c>
      <c r="IM22" s="14" t="str">
        <f ca="1">IF(IM$1="","",'Total Value'!IM34/'Total Value'!$D34-1)</f>
        <v/>
      </c>
      <c r="IN22" s="14" t="str">
        <f ca="1">IF(IN$1="","",'Total Value'!IN34/'Total Value'!$D34-1)</f>
        <v/>
      </c>
      <c r="IO22" s="14" t="str">
        <f ca="1">IF(IO$1="","",'Total Value'!IO34/'Total Value'!$D34-1)</f>
        <v/>
      </c>
      <c r="IP22" s="14" t="str">
        <f ca="1">IF(IP$1="","",'Total Value'!IP34/'Total Value'!$D34-1)</f>
        <v/>
      </c>
      <c r="IQ22" s="14" t="str">
        <f ca="1">IF(IQ$1="","",'Total Value'!IQ34/'Total Value'!$D34-1)</f>
        <v/>
      </c>
      <c r="IR22" s="14" t="str">
        <f ca="1">IF(IR$1="","",'Total Value'!IR34/'Total Value'!$D34-1)</f>
        <v/>
      </c>
      <c r="IS22" s="14" t="str">
        <f ca="1">IF(IS$1="","",'Total Value'!IS34/'Total Value'!$D34-1)</f>
        <v/>
      </c>
      <c r="IT22" s="14" t="str">
        <f ca="1">IF(IT$1="","",'Total Value'!IT34/'Total Value'!$D34-1)</f>
        <v/>
      </c>
      <c r="IU22" s="14" t="str">
        <f ca="1">IF(IU$1="","",'Total Value'!IU34/'Total Value'!$D34-1)</f>
        <v/>
      </c>
      <c r="IV22" s="14" t="str">
        <f ca="1">IF(IV$1="","",'Total Value'!IV34/'Total Value'!$D34-1)</f>
        <v/>
      </c>
      <c r="IW22" s="14" t="str">
        <f ca="1">IF(IW$1="","",'Total Value'!IW34/'Total Value'!$D34-1)</f>
        <v/>
      </c>
      <c r="IX22" s="14" t="str">
        <f ca="1">IF(IX$1="","",'Total Value'!IX34/'Total Value'!$D34-1)</f>
        <v/>
      </c>
      <c r="IY22" s="14" t="str">
        <f ca="1">IF(IY$1="","",'Total Value'!IY34/'Total Value'!$D34-1)</f>
        <v/>
      </c>
      <c r="IZ22" s="14" t="str">
        <f ca="1">IF(IZ$1="","",'Total Value'!IZ34/'Total Value'!$D34-1)</f>
        <v/>
      </c>
      <c r="JA22" s="14" t="str">
        <f ca="1">IF(JA$1="","",'Total Value'!JA34/'Total Value'!$D34-1)</f>
        <v/>
      </c>
      <c r="JB22" s="14" t="str">
        <f ca="1">IF(JB$1="","",'Total Value'!JB34/'Total Value'!$D34-1)</f>
        <v/>
      </c>
      <c r="JC22" s="14" t="str">
        <f ca="1">IF(JC$1="","",'Total Value'!JC34/'Total Value'!$D34-1)</f>
        <v/>
      </c>
      <c r="JD22" s="14" t="str">
        <f ca="1">IF(JD$1="","",'Total Value'!JD34/'Total Value'!$D34-1)</f>
        <v/>
      </c>
      <c r="JE22" s="14" t="str">
        <f ca="1">IF(JE$1="","",'Total Value'!JE34/'Total Value'!$D34-1)</f>
        <v/>
      </c>
      <c r="JF22" s="14" t="str">
        <f ca="1">IF(JF$1="","",'Total Value'!JF34/'Total Value'!$D34-1)</f>
        <v/>
      </c>
      <c r="JG22" s="14" t="str">
        <f ca="1">IF(JG$1="","",'Total Value'!JG34/'Total Value'!$D34-1)</f>
        <v/>
      </c>
      <c r="JH22" s="14" t="str">
        <f ca="1">IF(JH$1="","",'Total Value'!JH34/'Total Value'!$D34-1)</f>
        <v/>
      </c>
      <c r="JI22" s="14" t="str">
        <f ca="1">IF(JI$1="","",'Total Value'!JI34/'Total Value'!$D34-1)</f>
        <v/>
      </c>
      <c r="JJ22" s="14" t="str">
        <f ca="1">IF(JJ$1="","",'Total Value'!JJ34/'Total Value'!$D34-1)</f>
        <v/>
      </c>
      <c r="JK22" s="14" t="str">
        <f ca="1">IF(JK$1="","",'Total Value'!JK34/'Total Value'!$D34-1)</f>
        <v/>
      </c>
      <c r="JL22" s="14" t="str">
        <f ca="1">IF(JL$1="","",'Total Value'!JL34/'Total Value'!$D34-1)</f>
        <v/>
      </c>
      <c r="JM22" s="14" t="str">
        <f ca="1">IF(JM$1="","",'Total Value'!JM34/'Total Value'!$D34-1)</f>
        <v/>
      </c>
      <c r="JN22" s="14" t="str">
        <f ca="1">IF(JN$1="","",'Total Value'!JN34/'Total Value'!$D34-1)</f>
        <v/>
      </c>
      <c r="JO22" s="14" t="str">
        <f ca="1">IF(JO$1="","",'Total Value'!JO34/'Total Value'!$D34-1)</f>
        <v/>
      </c>
      <c r="JP22" s="14" t="str">
        <f ca="1">IF(JP$1="","",'Total Value'!JP34/'Total Value'!$D34-1)</f>
        <v/>
      </c>
      <c r="JQ22" s="14" t="str">
        <f ca="1">IF(JQ$1="","",'Total Value'!JQ34/'Total Value'!$D34-1)</f>
        <v/>
      </c>
      <c r="JR22" s="14" t="str">
        <f ca="1">IF(JR$1="","",'Total Value'!JR34/'Total Value'!$D34-1)</f>
        <v/>
      </c>
      <c r="JS22" s="14" t="str">
        <f ca="1">IF(JS$1="","",'Total Value'!JS34/'Total Value'!$D34-1)</f>
        <v/>
      </c>
      <c r="JT22" s="14" t="str">
        <f ca="1">IF(JT$1="","",'Total Value'!JT34/'Total Value'!$D34-1)</f>
        <v/>
      </c>
      <c r="JU22" s="14" t="str">
        <f ca="1">IF(JU$1="","",'Total Value'!JU34/'Total Value'!$D34-1)</f>
        <v/>
      </c>
      <c r="JV22" s="14" t="str">
        <f ca="1">IF(JV$1="","",'Total Value'!JV34/'Total Value'!$D34-1)</f>
        <v/>
      </c>
      <c r="JW22" s="14" t="str">
        <f ca="1">IF(JW$1="","",'Total Value'!JW34/'Total Value'!$D34-1)</f>
        <v/>
      </c>
      <c r="JX22" s="14" t="str">
        <f ca="1">IF(JX$1="","",'Total Value'!JX34/'Total Value'!$D34-1)</f>
        <v/>
      </c>
      <c r="JY22" s="14" t="str">
        <f ca="1">IF(JY$1="","",'Total Value'!JY34/'Total Value'!$D34-1)</f>
        <v/>
      </c>
      <c r="JZ22" s="14" t="str">
        <f ca="1">IF(JZ$1="","",'Total Value'!JZ34/'Total Value'!$D34-1)</f>
        <v/>
      </c>
      <c r="KA22" s="14" t="str">
        <f ca="1">IF(KA$1="","",'Total Value'!KA34/'Total Value'!$D34-1)</f>
        <v/>
      </c>
      <c r="KB22" s="14" t="str">
        <f ca="1">IF(KB$1="","",'Total Value'!KB34/'Total Value'!$D34-1)</f>
        <v/>
      </c>
    </row>
    <row r="23" spans="1:288" ht="15.75" customHeight="1">
      <c r="A23" s="9" t="s">
        <v>30</v>
      </c>
      <c r="B23" s="6" t="s">
        <v>67</v>
      </c>
      <c r="C23" s="26">
        <v>7</v>
      </c>
      <c r="D23" s="13">
        <v>0</v>
      </c>
      <c r="E23" s="14">
        <f ca="1">IF(E$1="","",'Total Value'!E35/'Total Value'!$D35-1)</f>
        <v>3.0241250424736688E-2</v>
      </c>
      <c r="F23" s="14">
        <f ca="1">IF(F$1="","",'Total Value'!F35/'Total Value'!$D35-1)</f>
        <v>2.2086306489976115E-2</v>
      </c>
      <c r="G23" s="14">
        <f ca="1">IF(G$1="","",'Total Value'!G35/'Total Value'!$D35-1)</f>
        <v>2.2969758749575409E-2</v>
      </c>
      <c r="H23" s="14">
        <f ca="1">IF(H$1="","",'Total Value'!H35/'Total Value'!$D35-1)</f>
        <v>1.5018688413183767E-2</v>
      </c>
      <c r="I23" s="14">
        <f ca="1">IF(I$1="","",'Total Value'!I35/'Total Value'!$D35-1)</f>
        <v>-4.4172612979952453E-3</v>
      </c>
      <c r="J23" s="14">
        <f ca="1">IF(J$1="","",'Total Value'!J35/'Total Value'!$D35-1)</f>
        <v>-2.1950390757730198E-2</v>
      </c>
      <c r="K23" s="14">
        <f ca="1">IF(K$1="","",'Total Value'!K35/'Total Value'!$D35-1)</f>
        <v>-5.5045871559632809E-2</v>
      </c>
      <c r="L23" s="14">
        <f ca="1">IF(L$1="","",'Total Value'!L35/'Total Value'!$D35-1)</f>
        <v>-6.5987088005436623E-2</v>
      </c>
      <c r="M23" s="14">
        <f ca="1">IF(M$1="","",'Total Value'!M35/'Total Value'!$D35-1)</f>
        <v>-4.2473666326877213E-2</v>
      </c>
      <c r="N23" s="14">
        <f ca="1">IF(N$1="","",'Total Value'!N35/'Total Value'!$D35-1)</f>
        <v>-7.0540265035677785E-2</v>
      </c>
      <c r="O23" s="14">
        <f ca="1">IF(O$1="","",'Total Value'!O35/'Total Value'!$D35-1)</f>
        <v>-9.0723751274209841E-2</v>
      </c>
      <c r="P23" s="14">
        <f ca="1">IF(P$1="","",'Total Value'!P35/'Total Value'!$D35-1)</f>
        <v>-0.10567448182127082</v>
      </c>
      <c r="Q23" s="14">
        <f ca="1">IF(Q$1="","",'Total Value'!Q35/'Total Value'!$D35-1)</f>
        <v>-0.10227658851512067</v>
      </c>
      <c r="R23" s="14">
        <f ca="1">IF(R$1="","",'Total Value'!R35/'Total Value'!$D35-1)</f>
        <v>-8.256880733944949E-2</v>
      </c>
      <c r="S23" s="14">
        <f ca="1">IF(S$1="","",'Total Value'!S35/'Total Value'!$D35-1)</f>
        <v>-7.8491335372069315E-2</v>
      </c>
      <c r="T23" s="14">
        <f ca="1">IF(T$1="","",'Total Value'!T35/'Total Value'!$D35-1)</f>
        <v>-8.2976554536187574E-2</v>
      </c>
      <c r="U23" s="14">
        <f ca="1">IF(U$1="","",'Total Value'!U35/'Total Value'!$D35-1)</f>
        <v>-0.10431532449881054</v>
      </c>
      <c r="V23" s="14">
        <f ca="1">IF(V$1="","",'Total Value'!V35/'Total Value'!$D35-1)</f>
        <v>-0.11634386680258235</v>
      </c>
      <c r="W23" s="14">
        <f ca="1">IF(W$1="","",'Total Value'!W35/'Total Value'!$D35-1)</f>
        <v>-8.6986068637444847E-2</v>
      </c>
      <c r="X23" s="14">
        <f ca="1">IF(X$1="","",'Total Value'!X35/'Total Value'!$D35-1)</f>
        <v>-7.0472307169554771E-2</v>
      </c>
      <c r="Y23" s="14">
        <f ca="1">IF(Y$1="","",'Total Value'!Y35/'Total Value'!$D35-1)</f>
        <v>-6.4492014950730536E-2</v>
      </c>
      <c r="Z23" s="14">
        <f ca="1">IF(Z$1="","",'Total Value'!Z35/'Total Value'!$D35-1)</f>
        <v>-9.6704043493034297E-2</v>
      </c>
      <c r="AA23" s="14">
        <f ca="1">IF(AA$1="","",'Total Value'!AA35/'Total Value'!$D35-1)</f>
        <v>-0.1061501868841318</v>
      </c>
      <c r="AB23" s="14">
        <f ca="1">IF(AB$1="","",'Total Value'!AB35/'Total Value'!$D35-1)</f>
        <v>-0.1003058103975536</v>
      </c>
      <c r="AC23" s="14">
        <f ca="1">IF(AC$1="","",'Total Value'!AC35/'Total Value'!$D35-1)</f>
        <v>-8.8005436629289946E-2</v>
      </c>
      <c r="AD23" s="14">
        <f ca="1">IF(AD$1="","",'Total Value'!AD35/'Total Value'!$D35-1)</f>
        <v>-8.0054366292898305E-2</v>
      </c>
      <c r="AE23" s="14">
        <f ca="1">IF(AE$1="","",'Total Value'!AE35/'Total Value'!$D35-1)</f>
        <v>-0.10016989466530746</v>
      </c>
      <c r="AF23" s="14">
        <f ca="1">IF(AF$1="","",'Total Value'!AF35/'Total Value'!$D35-1)</f>
        <v>-0.10642201834862375</v>
      </c>
      <c r="AG23" s="14">
        <f ca="1">IF(AG$1="","",'Total Value'!AG35/'Total Value'!$D35-1)</f>
        <v>-0.12524634726469586</v>
      </c>
      <c r="AH23" s="14">
        <f ca="1">IF(AH$1="","",'Total Value'!AH35/'Total Value'!$D35-1)</f>
        <v>-0.29480122324159019</v>
      </c>
      <c r="AI23" s="14">
        <f ca="1">IF(AI$1="","",'Total Value'!AI35/'Total Value'!$D35-1)</f>
        <v>-0.28950050968399588</v>
      </c>
      <c r="AJ23" s="14">
        <f ca="1">IF(AJ$1="","",'Total Value'!AJ35/'Total Value'!$D35-1)</f>
        <v>-0.24600747536527356</v>
      </c>
      <c r="AK23" s="14">
        <f ca="1">IF(AK$1="","",'Total Value'!AK35/'Total Value'!$D35-1)</f>
        <v>-0.22956167176350661</v>
      </c>
      <c r="AL23" s="14">
        <f ca="1">IF(AL$1="","",'Total Value'!AL35/'Total Value'!$D35-1)</f>
        <v>-0.26476384641522255</v>
      </c>
      <c r="AM23" s="14">
        <f ca="1">IF(AM$1="","",'Total Value'!AM35/'Total Value'!$D35-1)</f>
        <v>-0.23282364933741073</v>
      </c>
      <c r="AN23" s="14">
        <f ca="1">IF(AN$1="","",'Total Value'!AN35/'Total Value'!$D35-1)</f>
        <v>-0.23717295276928296</v>
      </c>
      <c r="AO23" s="14">
        <f ca="1">IF(AO$1="","",'Total Value'!AO35/'Total Value'!$D35-1)</f>
        <v>-0.25749235474006105</v>
      </c>
      <c r="AP23" s="14">
        <f ca="1">IF(AP$1="","",'Total Value'!AP35/'Total Value'!$D35-1)</f>
        <v>-0.27217125382262997</v>
      </c>
      <c r="AQ23" s="14">
        <f ca="1">IF(AQ$1="","",'Total Value'!AQ35/'Total Value'!$D35-1)</f>
        <v>-0.26537546721032967</v>
      </c>
      <c r="AR23" s="14">
        <f ca="1">IF(AR$1="","",'Total Value'!AR35/'Total Value'!$D35-1)</f>
        <v>-0.26007475365273536</v>
      </c>
      <c r="AS23" s="14">
        <f ca="1">IF(AS$1="","",'Total Value'!AS35/'Total Value'!$D35-1)</f>
        <v>-0.26564729867482151</v>
      </c>
      <c r="AT23" s="14">
        <f ca="1">IF(AT$1="","",'Total Value'!AT35/'Total Value'!$D35-1)</f>
        <v>-0.26394835202174638</v>
      </c>
      <c r="AU23" s="14">
        <f ca="1">IF(AU$1="","",'Total Value'!AU35/'Total Value'!$D35-1)</f>
        <v>-0.27590893645939507</v>
      </c>
      <c r="AV23" s="14">
        <f ca="1">IF(AV$1="","",'Total Value'!AV35/'Total Value'!$D35-1)</f>
        <v>-0.25253143051308191</v>
      </c>
      <c r="AW23" s="14">
        <f ca="1">IF(AW$1="","",'Total Value'!AW35/'Total Value'!$D35-1)</f>
        <v>-0.22337750594631323</v>
      </c>
      <c r="AX23" s="14">
        <f ca="1">IF(AX$1="","",'Total Value'!AX35/'Total Value'!$D35-1)</f>
        <v>-0.23397893306150186</v>
      </c>
      <c r="AY23" s="14">
        <f ca="1">IF(AY$1="","",'Total Value'!AY35/'Total Value'!$D35-1)</f>
        <v>-0.20271831464492007</v>
      </c>
      <c r="AZ23" s="14">
        <f ca="1">IF(AZ$1="","",'Total Value'!AZ35/'Total Value'!$D35-1)</f>
        <v>-0.22405708460754326</v>
      </c>
      <c r="BA23" s="14">
        <f ca="1">IF(BA$1="","",'Total Value'!BA35/'Total Value'!$D35-1)</f>
        <v>-0.20482500849473317</v>
      </c>
      <c r="BB23" s="14">
        <f ca="1">IF(BB$1="","",'Total Value'!BB35/'Total Value'!$D35-1)</f>
        <v>-0.21603805640502882</v>
      </c>
      <c r="BC23" s="14">
        <f ca="1">IF(BC$1="","",'Total Value'!BC35/'Total Value'!$D35-1)</f>
        <v>-0.200203873598369</v>
      </c>
      <c r="BD23" s="14">
        <f ca="1">IF(BD$1="","",'Total Value'!BD35/'Total Value'!$D35-1)</f>
        <v>-0.21590214067278291</v>
      </c>
      <c r="BE23" s="14">
        <f ca="1">IF(BE$1="","",'Total Value'!BE35/'Total Value'!$D35-1)</f>
        <v>-0.21882432891607206</v>
      </c>
      <c r="BF23" s="14">
        <f ca="1">IF(BF$1="","",'Total Value'!BF35/'Total Value'!$D35-1)</f>
        <v>-0.19585457016649677</v>
      </c>
      <c r="BG23" s="14">
        <f ca="1">IF(BG$1="","",'Total Value'!BG35/'Total Value'!$D35-1)</f>
        <v>-0.19904858987427798</v>
      </c>
      <c r="BH23" s="14">
        <f ca="1">IF(BH$1="","",'Total Value'!BH35/'Total Value'!$D35-1)</f>
        <v>-0.19490316004077468</v>
      </c>
      <c r="BI23" s="14">
        <f ca="1">IF(BI$1="","",'Total Value'!BI35/'Total Value'!$D35-1)</f>
        <v>-0.17594291539245654</v>
      </c>
      <c r="BJ23" s="14">
        <f ca="1">IF(BJ$1="","",'Total Value'!BJ35/'Total Value'!$D35-1)</f>
        <v>-0.18165137614678895</v>
      </c>
      <c r="BK23" s="14">
        <f ca="1">IF(BK$1="","",'Total Value'!BK35/'Total Value'!$D35-1)</f>
        <v>-0.21583418280665978</v>
      </c>
      <c r="BL23" s="14">
        <f ca="1">IF(BL$1="","",'Total Value'!BL35/'Total Value'!$D35-1)</f>
        <v>-0.23737682636765201</v>
      </c>
      <c r="BM23" s="14">
        <f ca="1">IF(BM$1="","",'Total Value'!BM35/'Total Value'!$D35-1)</f>
        <v>-0.24498810737342847</v>
      </c>
      <c r="BN23" s="14">
        <f ca="1">IF(BN$1="","",'Total Value'!BN35/'Total Value'!$D35-1)</f>
        <v>-0.26360856269113153</v>
      </c>
      <c r="BO23" s="14">
        <f ca="1">IF(BO$1="","",'Total Value'!BO35/'Total Value'!$D35-1)</f>
        <v>-0.26204553177030243</v>
      </c>
      <c r="BP23" s="14">
        <f ca="1">IF(BP$1="","",'Total Value'!BP35/'Total Value'!$D35-1)</f>
        <v>-0.26367652055725455</v>
      </c>
      <c r="BQ23" s="14">
        <f ca="1">IF(BQ$1="","",'Total Value'!BQ35/'Total Value'!$D35-1)</f>
        <v>-0.25640502888209304</v>
      </c>
      <c r="BR23" s="14">
        <f ca="1">IF(BR$1="","",'Total Value'!BR35/'Total Value'!$D35-1)</f>
        <v>-0.25925925925925919</v>
      </c>
      <c r="BS23" s="14">
        <f ca="1">IF(BS$1="","",'Total Value'!BS35/'Total Value'!$D35-1)</f>
        <v>-0.26381243628950057</v>
      </c>
      <c r="BT23" s="14">
        <f ca="1">IF(BT$1="","",'Total Value'!BT35/'Total Value'!$D35-1)</f>
        <v>-0.23914373088685026</v>
      </c>
      <c r="BU23" s="14">
        <f ca="1">IF(BU$1="","",'Total Value'!BU35/'Total Value'!$D35-1)</f>
        <v>-0.24213387699626232</v>
      </c>
      <c r="BV23" s="14">
        <f ca="1">IF(BV$1="","",'Total Value'!BV35/'Total Value'!$D35-1)</f>
        <v>-0.24784233775059461</v>
      </c>
      <c r="BW23" s="14">
        <f ca="1">IF(BW$1="","",'Total Value'!BW35/'Total Value'!$D35-1)</f>
        <v>-0.27155963302752295</v>
      </c>
      <c r="BX23" s="14">
        <f ca="1">IF(BX$1="","",'Total Value'!BX35/'Total Value'!$D35-1)</f>
        <v>-0.26095820591233432</v>
      </c>
      <c r="BY23" s="14">
        <f ca="1">IF(BY$1="","",'Total Value'!BY35/'Total Value'!$D35-1)</f>
        <v>-0.30363574583758068</v>
      </c>
      <c r="BZ23" s="14">
        <f ca="1">IF(BZ$1="","",'Total Value'!BZ35/'Total Value'!$D35-1)</f>
        <v>-0.22697927285083241</v>
      </c>
      <c r="CA23" s="14">
        <f ca="1">IF(CA$1="","",'Total Value'!CA35/'Total Value'!$D35-1)</f>
        <v>-0.19211688752973155</v>
      </c>
      <c r="CB23" s="14">
        <f ca="1">IF(CB$1="","",'Total Value'!CB35/'Total Value'!$D35-1)</f>
        <v>-0.19884471627590883</v>
      </c>
      <c r="CC23" s="14">
        <f ca="1">IF(CC$1="","",'Total Value'!CC35/'Total Value'!$D35-1)</f>
        <v>-0.18335032279986396</v>
      </c>
      <c r="CD23" s="14">
        <f ca="1">IF(CD$1="","",'Total Value'!CD35/'Total Value'!$D35-1)</f>
        <v>-0.1756710839279646</v>
      </c>
      <c r="CE23" s="14">
        <f ca="1">IF(CE$1="","",'Total Value'!CE35/'Total Value'!$D35-1)</f>
        <v>-0.14413863404689098</v>
      </c>
      <c r="CF23" s="14" t="str">
        <f ca="1">IF(CF$1="","",'Total Value'!CF35/'Total Value'!$D35-1)</f>
        <v/>
      </c>
      <c r="CG23" s="14" t="str">
        <f ca="1">IF(CG$1="","",'Total Value'!CG35/'Total Value'!$D35-1)</f>
        <v/>
      </c>
      <c r="CH23" s="14" t="str">
        <f ca="1">IF(CH$1="","",'Total Value'!CH35/'Total Value'!$D35-1)</f>
        <v/>
      </c>
      <c r="CI23" s="14" t="str">
        <f ca="1">IF(CI$1="","",'Total Value'!CI35/'Total Value'!$D35-1)</f>
        <v/>
      </c>
      <c r="CJ23" s="14" t="str">
        <f ca="1">IF(CJ$1="","",'Total Value'!CJ35/'Total Value'!$D35-1)</f>
        <v/>
      </c>
      <c r="CK23" s="14" t="str">
        <f ca="1">IF(CK$1="","",'Total Value'!CK35/'Total Value'!$D35-1)</f>
        <v/>
      </c>
      <c r="CL23" s="14" t="str">
        <f ca="1">IF(CL$1="","",'Total Value'!CL35/'Total Value'!$D35-1)</f>
        <v/>
      </c>
      <c r="CM23" s="14" t="str">
        <f ca="1">IF(CM$1="","",'Total Value'!CM35/'Total Value'!$D35-1)</f>
        <v/>
      </c>
      <c r="CN23" s="14" t="str">
        <f ca="1">IF(CN$1="","",'Total Value'!CN35/'Total Value'!$D35-1)</f>
        <v/>
      </c>
      <c r="CO23" s="14" t="str">
        <f ca="1">IF(CO$1="","",'Total Value'!CO35/'Total Value'!$D35-1)</f>
        <v/>
      </c>
      <c r="CP23" s="14" t="str">
        <f ca="1">IF(CP$1="","",'Total Value'!CP35/'Total Value'!$D35-1)</f>
        <v/>
      </c>
      <c r="CQ23" s="14" t="str">
        <f ca="1">IF(CQ$1="","",'Total Value'!CQ35/'Total Value'!$D35-1)</f>
        <v/>
      </c>
      <c r="CR23" s="14" t="str">
        <f ca="1">IF(CR$1="","",'Total Value'!CR35/'Total Value'!$D35-1)</f>
        <v/>
      </c>
      <c r="CS23" s="14" t="str">
        <f ca="1">IF(CS$1="","",'Total Value'!CS35/'Total Value'!$D35-1)</f>
        <v/>
      </c>
      <c r="CT23" s="14" t="str">
        <f ca="1">IF(CT$1="","",'Total Value'!CT35/'Total Value'!$D35-1)</f>
        <v/>
      </c>
      <c r="CU23" s="14" t="str">
        <f ca="1">IF(CU$1="","",'Total Value'!CU35/'Total Value'!$D35-1)</f>
        <v/>
      </c>
      <c r="CV23" s="14" t="str">
        <f ca="1">IF(CV$1="","",'Total Value'!CV35/'Total Value'!$D35-1)</f>
        <v/>
      </c>
      <c r="CW23" s="14" t="str">
        <f ca="1">IF(CW$1="","",'Total Value'!CW35/'Total Value'!$D35-1)</f>
        <v/>
      </c>
      <c r="CX23" s="14" t="str">
        <f ca="1">IF(CX$1="","",'Total Value'!CX35/'Total Value'!$D35-1)</f>
        <v/>
      </c>
      <c r="CY23" s="14" t="str">
        <f ca="1">IF(CY$1="","",'Total Value'!CY35/'Total Value'!$D35-1)</f>
        <v/>
      </c>
      <c r="CZ23" s="14" t="str">
        <f ca="1">IF(CZ$1="","",'Total Value'!CZ35/'Total Value'!$D35-1)</f>
        <v/>
      </c>
      <c r="DA23" s="14" t="str">
        <f ca="1">IF(DA$1="","",'Total Value'!DA35/'Total Value'!$D35-1)</f>
        <v/>
      </c>
      <c r="DB23" s="14" t="str">
        <f ca="1">IF(DB$1="","",'Total Value'!DB35/'Total Value'!$D35-1)</f>
        <v/>
      </c>
      <c r="DC23" s="14" t="str">
        <f ca="1">IF(DC$1="","",'Total Value'!DC35/'Total Value'!$D35-1)</f>
        <v/>
      </c>
      <c r="DD23" s="14" t="str">
        <f ca="1">IF(DD$1="","",'Total Value'!DD35/'Total Value'!$D35-1)</f>
        <v/>
      </c>
      <c r="DE23" s="14" t="str">
        <f ca="1">IF(DE$1="","",'Total Value'!DE35/'Total Value'!$D35-1)</f>
        <v/>
      </c>
      <c r="DF23" s="14" t="str">
        <f ca="1">IF(DF$1="","",'Total Value'!DF35/'Total Value'!$D35-1)</f>
        <v/>
      </c>
      <c r="DG23" s="14" t="str">
        <f ca="1">IF(DG$1="","",'Total Value'!DG35/'Total Value'!$D35-1)</f>
        <v/>
      </c>
      <c r="DH23" s="14" t="str">
        <f ca="1">IF(DH$1="","",'Total Value'!DH35/'Total Value'!$D35-1)</f>
        <v/>
      </c>
      <c r="DI23" s="14" t="str">
        <f ca="1">IF(DI$1="","",'Total Value'!DI35/'Total Value'!$D35-1)</f>
        <v/>
      </c>
      <c r="DJ23" s="14" t="str">
        <f ca="1">IF(DJ$1="","",'Total Value'!DJ35/'Total Value'!$D35-1)</f>
        <v/>
      </c>
      <c r="DK23" s="14" t="str">
        <f ca="1">IF(DK$1="","",'Total Value'!DK35/'Total Value'!$D35-1)</f>
        <v/>
      </c>
      <c r="DL23" s="14" t="str">
        <f ca="1">IF(DL$1="","",'Total Value'!DL35/'Total Value'!$D35-1)</f>
        <v/>
      </c>
      <c r="DM23" s="14" t="str">
        <f ca="1">IF(DM$1="","",'Total Value'!DM35/'Total Value'!$D35-1)</f>
        <v/>
      </c>
      <c r="DN23" s="14" t="str">
        <f ca="1">IF(DN$1="","",'Total Value'!DN35/'Total Value'!$D35-1)</f>
        <v/>
      </c>
      <c r="DO23" s="14" t="str">
        <f ca="1">IF(DO$1="","",'Total Value'!DO35/'Total Value'!$D35-1)</f>
        <v/>
      </c>
      <c r="DP23" s="14" t="str">
        <f ca="1">IF(DP$1="","",'Total Value'!DP35/'Total Value'!$D35-1)</f>
        <v/>
      </c>
      <c r="DQ23" s="14" t="str">
        <f ca="1">IF(DQ$1="","",'Total Value'!DQ35/'Total Value'!$D35-1)</f>
        <v/>
      </c>
      <c r="DR23" s="14" t="str">
        <f ca="1">IF(DR$1="","",'Total Value'!DR35/'Total Value'!$D35-1)</f>
        <v/>
      </c>
      <c r="DS23" s="14" t="str">
        <f ca="1">IF(DS$1="","",'Total Value'!DS35/'Total Value'!$D35-1)</f>
        <v/>
      </c>
      <c r="DT23" s="14" t="str">
        <f ca="1">IF(DT$1="","",'Total Value'!DT35/'Total Value'!$D35-1)</f>
        <v/>
      </c>
      <c r="DU23" s="14" t="str">
        <f ca="1">IF(DU$1="","",'Total Value'!DU35/'Total Value'!$D35-1)</f>
        <v/>
      </c>
      <c r="DV23" s="14" t="str">
        <f ca="1">IF(DV$1="","",'Total Value'!DV35/'Total Value'!$D35-1)</f>
        <v/>
      </c>
      <c r="DW23" s="14" t="str">
        <f ca="1">IF(DW$1="","",'Total Value'!DW35/'Total Value'!$D35-1)</f>
        <v/>
      </c>
      <c r="DX23" s="14" t="str">
        <f ca="1">IF(DX$1="","",'Total Value'!DX35/'Total Value'!$D35-1)</f>
        <v/>
      </c>
      <c r="DY23" s="14" t="str">
        <f ca="1">IF(DY$1="","",'Total Value'!DY35/'Total Value'!$D35-1)</f>
        <v/>
      </c>
      <c r="DZ23" s="14" t="str">
        <f ca="1">IF(DZ$1="","",'Total Value'!DZ35/'Total Value'!$D35-1)</f>
        <v/>
      </c>
      <c r="EA23" s="14" t="str">
        <f ca="1">IF(EA$1="","",'Total Value'!EA35/'Total Value'!$D35-1)</f>
        <v/>
      </c>
      <c r="EB23" s="14" t="str">
        <f ca="1">IF(EB$1="","",'Total Value'!EB35/'Total Value'!$D35-1)</f>
        <v/>
      </c>
      <c r="EC23" s="14" t="str">
        <f ca="1">IF(EC$1="","",'Total Value'!EC35/'Total Value'!$D35-1)</f>
        <v/>
      </c>
      <c r="ED23" s="14" t="str">
        <f ca="1">IF(ED$1="","",'Total Value'!ED35/'Total Value'!$D35-1)</f>
        <v/>
      </c>
      <c r="EE23" s="14" t="str">
        <f ca="1">IF(EE$1="","",'Total Value'!EE35/'Total Value'!$D35-1)</f>
        <v/>
      </c>
      <c r="EF23" s="14" t="str">
        <f ca="1">IF(EF$1="","",'Total Value'!EF35/'Total Value'!$D35-1)</f>
        <v/>
      </c>
      <c r="EG23" s="14" t="str">
        <f ca="1">IF(EG$1="","",'Total Value'!EG35/'Total Value'!$D35-1)</f>
        <v/>
      </c>
      <c r="EH23" s="14" t="str">
        <f ca="1">IF(EH$1="","",'Total Value'!EH35/'Total Value'!$D35-1)</f>
        <v/>
      </c>
      <c r="EI23" s="14" t="str">
        <f ca="1">IF(EI$1="","",'Total Value'!EI35/'Total Value'!$D35-1)</f>
        <v/>
      </c>
      <c r="EJ23" s="14" t="str">
        <f ca="1">IF(EJ$1="","",'Total Value'!EJ35/'Total Value'!$D35-1)</f>
        <v/>
      </c>
      <c r="EK23" s="14" t="str">
        <f ca="1">IF(EK$1="","",'Total Value'!EK35/'Total Value'!$D35-1)</f>
        <v/>
      </c>
      <c r="EL23" s="14" t="str">
        <f ca="1">IF(EL$1="","",'Total Value'!EL35/'Total Value'!$D35-1)</f>
        <v/>
      </c>
      <c r="EM23" s="14" t="str">
        <f ca="1">IF(EM$1="","",'Total Value'!EM35/'Total Value'!$D35-1)</f>
        <v/>
      </c>
      <c r="EN23" s="14" t="str">
        <f ca="1">IF(EN$1="","",'Total Value'!EN35/'Total Value'!$D35-1)</f>
        <v/>
      </c>
      <c r="EO23" s="14" t="str">
        <f ca="1">IF(EO$1="","",'Total Value'!EO35/'Total Value'!$D35-1)</f>
        <v/>
      </c>
      <c r="EP23" s="14" t="str">
        <f ca="1">IF(EP$1="","",'Total Value'!EP35/'Total Value'!$D35-1)</f>
        <v/>
      </c>
      <c r="EQ23" s="14" t="str">
        <f ca="1">IF(EQ$1="","",'Total Value'!EQ35/'Total Value'!$D35-1)</f>
        <v/>
      </c>
      <c r="ER23" s="14" t="str">
        <f ca="1">IF(ER$1="","",'Total Value'!ER35/'Total Value'!$D35-1)</f>
        <v/>
      </c>
      <c r="ES23" s="14" t="str">
        <f ca="1">IF(ES$1="","",'Total Value'!ES35/'Total Value'!$D35-1)</f>
        <v/>
      </c>
      <c r="ET23" s="14" t="str">
        <f ca="1">IF(ET$1="","",'Total Value'!ET35/'Total Value'!$D35-1)</f>
        <v/>
      </c>
      <c r="EU23" s="14" t="str">
        <f ca="1">IF(EU$1="","",'Total Value'!EU35/'Total Value'!$D35-1)</f>
        <v/>
      </c>
      <c r="EV23" s="14" t="str">
        <f ca="1">IF(EV$1="","",'Total Value'!EV35/'Total Value'!$D35-1)</f>
        <v/>
      </c>
      <c r="EW23" s="14" t="str">
        <f ca="1">IF(EW$1="","",'Total Value'!EW35/'Total Value'!$D35-1)</f>
        <v/>
      </c>
      <c r="EX23" s="14" t="str">
        <f ca="1">IF(EX$1="","",'Total Value'!EX35/'Total Value'!$D35-1)</f>
        <v/>
      </c>
      <c r="EY23" s="14" t="str">
        <f ca="1">IF(EY$1="","",'Total Value'!EY35/'Total Value'!$D35-1)</f>
        <v/>
      </c>
      <c r="EZ23" s="14" t="str">
        <f ca="1">IF(EZ$1="","",'Total Value'!EZ35/'Total Value'!$D35-1)</f>
        <v/>
      </c>
      <c r="FA23" s="14" t="str">
        <f ca="1">IF(FA$1="","",'Total Value'!FA35/'Total Value'!$D35-1)</f>
        <v/>
      </c>
      <c r="FB23" s="14" t="str">
        <f ca="1">IF(FB$1="","",'Total Value'!FB35/'Total Value'!$D35-1)</f>
        <v/>
      </c>
      <c r="FC23" s="14" t="str">
        <f ca="1">IF(FC$1="","",'Total Value'!FC35/'Total Value'!$D35-1)</f>
        <v/>
      </c>
      <c r="FD23" s="14" t="str">
        <f ca="1">IF(FD$1="","",'Total Value'!FD35/'Total Value'!$D35-1)</f>
        <v/>
      </c>
      <c r="FE23" s="14" t="str">
        <f ca="1">IF(FE$1="","",'Total Value'!FE35/'Total Value'!$D35-1)</f>
        <v/>
      </c>
      <c r="FF23" s="14" t="str">
        <f ca="1">IF(FF$1="","",'Total Value'!FF35/'Total Value'!$D35-1)</f>
        <v/>
      </c>
      <c r="FG23" s="14" t="str">
        <f ca="1">IF(FG$1="","",'Total Value'!FG35/'Total Value'!$D35-1)</f>
        <v/>
      </c>
      <c r="FH23" s="14" t="str">
        <f ca="1">IF(FH$1="","",'Total Value'!FH35/'Total Value'!$D35-1)</f>
        <v/>
      </c>
      <c r="FI23" s="14" t="str">
        <f ca="1">IF(FI$1="","",'Total Value'!FI35/'Total Value'!$D35-1)</f>
        <v/>
      </c>
      <c r="FJ23" s="14" t="str">
        <f ca="1">IF(FJ$1="","",'Total Value'!FJ35/'Total Value'!$D35-1)</f>
        <v/>
      </c>
      <c r="FK23" s="14" t="str">
        <f ca="1">IF(FK$1="","",'Total Value'!FK35/'Total Value'!$D35-1)</f>
        <v/>
      </c>
      <c r="FL23" s="14" t="str">
        <f ca="1">IF(FL$1="","",'Total Value'!FL35/'Total Value'!$D35-1)</f>
        <v/>
      </c>
      <c r="FM23" s="14" t="str">
        <f ca="1">IF(FM$1="","",'Total Value'!FM35/'Total Value'!$D35-1)</f>
        <v/>
      </c>
      <c r="FN23" s="14" t="str">
        <f ca="1">IF(FN$1="","",'Total Value'!FN35/'Total Value'!$D35-1)</f>
        <v/>
      </c>
      <c r="FO23" s="14" t="str">
        <f ca="1">IF(FO$1="","",'Total Value'!FO35/'Total Value'!$D35-1)</f>
        <v/>
      </c>
      <c r="FP23" s="14" t="str">
        <f ca="1">IF(FP$1="","",'Total Value'!FP35/'Total Value'!$D35-1)</f>
        <v/>
      </c>
      <c r="FQ23" s="14" t="str">
        <f ca="1">IF(FQ$1="","",'Total Value'!FQ35/'Total Value'!$D35-1)</f>
        <v/>
      </c>
      <c r="FR23" s="14" t="str">
        <f ca="1">IF(FR$1="","",'Total Value'!FR35/'Total Value'!$D35-1)</f>
        <v/>
      </c>
      <c r="FS23" s="14" t="str">
        <f ca="1">IF(FS$1="","",'Total Value'!FS35/'Total Value'!$D35-1)</f>
        <v/>
      </c>
      <c r="FT23" s="14" t="str">
        <f ca="1">IF(FT$1="","",'Total Value'!FT35/'Total Value'!$D35-1)</f>
        <v/>
      </c>
      <c r="FU23" s="14" t="str">
        <f ca="1">IF(FU$1="","",'Total Value'!FU35/'Total Value'!$D35-1)</f>
        <v/>
      </c>
      <c r="FV23" s="14" t="str">
        <f ca="1">IF(FV$1="","",'Total Value'!FV35/'Total Value'!$D35-1)</f>
        <v/>
      </c>
      <c r="FW23" s="14" t="str">
        <f ca="1">IF(FW$1="","",'Total Value'!FW35/'Total Value'!$D35-1)</f>
        <v/>
      </c>
      <c r="FX23" s="14" t="str">
        <f ca="1">IF(FX$1="","",'Total Value'!FX35/'Total Value'!$D35-1)</f>
        <v/>
      </c>
      <c r="FY23" s="14" t="str">
        <f ca="1">IF(FY$1="","",'Total Value'!FY35/'Total Value'!$D35-1)</f>
        <v/>
      </c>
      <c r="FZ23" s="14" t="str">
        <f ca="1">IF(FZ$1="","",'Total Value'!FZ35/'Total Value'!$D35-1)</f>
        <v/>
      </c>
      <c r="GA23" s="14" t="str">
        <f ca="1">IF(GA$1="","",'Total Value'!GA35/'Total Value'!$D35-1)</f>
        <v/>
      </c>
      <c r="GB23" s="14" t="str">
        <f ca="1">IF(GB$1="","",'Total Value'!GB35/'Total Value'!$D35-1)</f>
        <v/>
      </c>
      <c r="GC23" s="14" t="str">
        <f ca="1">IF(GC$1="","",'Total Value'!GC35/'Total Value'!$D35-1)</f>
        <v/>
      </c>
      <c r="GD23" s="14" t="str">
        <f ca="1">IF(GD$1="","",'Total Value'!GD35/'Total Value'!$D35-1)</f>
        <v/>
      </c>
      <c r="GE23" s="14" t="str">
        <f ca="1">IF(GE$1="","",'Total Value'!GE35/'Total Value'!$D35-1)</f>
        <v/>
      </c>
      <c r="GF23" s="14" t="str">
        <f ca="1">IF(GF$1="","",'Total Value'!GF35/'Total Value'!$D35-1)</f>
        <v/>
      </c>
      <c r="GG23" s="14" t="str">
        <f ca="1">IF(GG$1="","",'Total Value'!GG35/'Total Value'!$D35-1)</f>
        <v/>
      </c>
      <c r="GH23" s="14" t="str">
        <f ca="1">IF(GH$1="","",'Total Value'!GH35/'Total Value'!$D35-1)</f>
        <v/>
      </c>
      <c r="GI23" s="14" t="str">
        <f ca="1">IF(GI$1="","",'Total Value'!GI35/'Total Value'!$D35-1)</f>
        <v/>
      </c>
      <c r="GJ23" s="14" t="str">
        <f ca="1">IF(GJ$1="","",'Total Value'!GJ35/'Total Value'!$D35-1)</f>
        <v/>
      </c>
      <c r="GK23" s="14" t="str">
        <f ca="1">IF(GK$1="","",'Total Value'!GK35/'Total Value'!$D35-1)</f>
        <v/>
      </c>
      <c r="GL23" s="14" t="str">
        <f ca="1">IF(GL$1="","",'Total Value'!GL35/'Total Value'!$D35-1)</f>
        <v/>
      </c>
      <c r="GM23" s="14" t="str">
        <f ca="1">IF(GM$1="","",'Total Value'!GM35/'Total Value'!$D35-1)</f>
        <v/>
      </c>
      <c r="GN23" s="14" t="str">
        <f ca="1">IF(GN$1="","",'Total Value'!GN35/'Total Value'!$D35-1)</f>
        <v/>
      </c>
      <c r="GO23" s="14" t="str">
        <f ca="1">IF(GO$1="","",'Total Value'!GO35/'Total Value'!$D35-1)</f>
        <v/>
      </c>
      <c r="GP23" s="14" t="str">
        <f ca="1">IF(GP$1="","",'Total Value'!GP35/'Total Value'!$D35-1)</f>
        <v/>
      </c>
      <c r="GQ23" s="14" t="str">
        <f ca="1">IF(GQ$1="","",'Total Value'!GQ35/'Total Value'!$D35-1)</f>
        <v/>
      </c>
      <c r="GR23" s="14" t="str">
        <f ca="1">IF(GR$1="","",'Total Value'!GR35/'Total Value'!$D35-1)</f>
        <v/>
      </c>
      <c r="GS23" s="14" t="str">
        <f ca="1">IF(GS$1="","",'Total Value'!GS35/'Total Value'!$D35-1)</f>
        <v/>
      </c>
      <c r="GT23" s="14" t="str">
        <f ca="1">IF(GT$1="","",'Total Value'!GT35/'Total Value'!$D35-1)</f>
        <v/>
      </c>
      <c r="GU23" s="14" t="str">
        <f ca="1">IF(GU$1="","",'Total Value'!GU35/'Total Value'!$D35-1)</f>
        <v/>
      </c>
      <c r="GV23" s="14" t="str">
        <f ca="1">IF(GV$1="","",'Total Value'!GV35/'Total Value'!$D35-1)</f>
        <v/>
      </c>
      <c r="GW23" s="14" t="str">
        <f ca="1">IF(GW$1="","",'Total Value'!GW35/'Total Value'!$D35-1)</f>
        <v/>
      </c>
      <c r="GX23" s="14" t="str">
        <f ca="1">IF(GX$1="","",'Total Value'!GX35/'Total Value'!$D35-1)</f>
        <v/>
      </c>
      <c r="GY23" s="14" t="str">
        <f ca="1">IF(GY$1="","",'Total Value'!GY35/'Total Value'!$D35-1)</f>
        <v/>
      </c>
      <c r="GZ23" s="14" t="str">
        <f ca="1">IF(GZ$1="","",'Total Value'!GZ35/'Total Value'!$D35-1)</f>
        <v/>
      </c>
      <c r="HA23" s="14" t="str">
        <f ca="1">IF(HA$1="","",'Total Value'!HA35/'Total Value'!$D35-1)</f>
        <v/>
      </c>
      <c r="HB23" s="14" t="str">
        <f ca="1">IF(HB$1="","",'Total Value'!HB35/'Total Value'!$D35-1)</f>
        <v/>
      </c>
      <c r="HC23" s="14" t="str">
        <f ca="1">IF(HC$1="","",'Total Value'!HC35/'Total Value'!$D35-1)</f>
        <v/>
      </c>
      <c r="HD23" s="14" t="str">
        <f ca="1">IF(HD$1="","",'Total Value'!HD35/'Total Value'!$D35-1)</f>
        <v/>
      </c>
      <c r="HE23" s="14" t="str">
        <f ca="1">IF(HE$1="","",'Total Value'!HE35/'Total Value'!$D35-1)</f>
        <v/>
      </c>
      <c r="HF23" s="14" t="str">
        <f ca="1">IF(HF$1="","",'Total Value'!HF35/'Total Value'!$D35-1)</f>
        <v/>
      </c>
      <c r="HG23" s="14" t="str">
        <f ca="1">IF(HG$1="","",'Total Value'!HG35/'Total Value'!$D35-1)</f>
        <v/>
      </c>
      <c r="HH23" s="14" t="str">
        <f ca="1">IF(HH$1="","",'Total Value'!HH35/'Total Value'!$D35-1)</f>
        <v/>
      </c>
      <c r="HI23" s="14" t="str">
        <f ca="1">IF(HI$1="","",'Total Value'!HI35/'Total Value'!$D35-1)</f>
        <v/>
      </c>
      <c r="HJ23" s="14" t="str">
        <f ca="1">IF(HJ$1="","",'Total Value'!HJ35/'Total Value'!$D35-1)</f>
        <v/>
      </c>
      <c r="HK23" s="14" t="str">
        <f ca="1">IF(HK$1="","",'Total Value'!HK35/'Total Value'!$D35-1)</f>
        <v/>
      </c>
      <c r="HL23" s="14" t="str">
        <f ca="1">IF(HL$1="","",'Total Value'!HL35/'Total Value'!$D35-1)</f>
        <v/>
      </c>
      <c r="HM23" s="14" t="str">
        <f ca="1">IF(HM$1="","",'Total Value'!HM35/'Total Value'!$D35-1)</f>
        <v/>
      </c>
      <c r="HN23" s="14" t="str">
        <f ca="1">IF(HN$1="","",'Total Value'!HN35/'Total Value'!$D35-1)</f>
        <v/>
      </c>
      <c r="HO23" s="14" t="str">
        <f ca="1">IF(HO$1="","",'Total Value'!HO35/'Total Value'!$D35-1)</f>
        <v/>
      </c>
      <c r="HP23" s="14" t="str">
        <f ca="1">IF(HP$1="","",'Total Value'!HP35/'Total Value'!$D35-1)</f>
        <v/>
      </c>
      <c r="HQ23" s="14" t="str">
        <f ca="1">IF(HQ$1="","",'Total Value'!HQ35/'Total Value'!$D35-1)</f>
        <v/>
      </c>
      <c r="HR23" s="14" t="str">
        <f ca="1">IF(HR$1="","",'Total Value'!HR35/'Total Value'!$D35-1)</f>
        <v/>
      </c>
      <c r="HS23" s="14" t="str">
        <f ca="1">IF(HS$1="","",'Total Value'!HS35/'Total Value'!$D35-1)</f>
        <v/>
      </c>
      <c r="HT23" s="14" t="str">
        <f ca="1">IF(HT$1="","",'Total Value'!HT35/'Total Value'!$D35-1)</f>
        <v/>
      </c>
      <c r="HU23" s="14" t="str">
        <f ca="1">IF(HU$1="","",'Total Value'!HU35/'Total Value'!$D35-1)</f>
        <v/>
      </c>
      <c r="HV23" s="14" t="str">
        <f ca="1">IF(HV$1="","",'Total Value'!HV35/'Total Value'!$D35-1)</f>
        <v/>
      </c>
      <c r="HW23" s="14" t="str">
        <f ca="1">IF(HW$1="","",'Total Value'!HW35/'Total Value'!$D35-1)</f>
        <v/>
      </c>
      <c r="HX23" s="14" t="str">
        <f ca="1">IF(HX$1="","",'Total Value'!HX35/'Total Value'!$D35-1)</f>
        <v/>
      </c>
      <c r="HY23" s="14" t="str">
        <f ca="1">IF(HY$1="","",'Total Value'!HY35/'Total Value'!$D35-1)</f>
        <v/>
      </c>
      <c r="HZ23" s="14" t="str">
        <f ca="1">IF(HZ$1="","",'Total Value'!HZ35/'Total Value'!$D35-1)</f>
        <v/>
      </c>
      <c r="IA23" s="14" t="str">
        <f ca="1">IF(IA$1="","",'Total Value'!IA35/'Total Value'!$D35-1)</f>
        <v/>
      </c>
      <c r="IB23" s="14" t="str">
        <f ca="1">IF(IB$1="","",'Total Value'!IB35/'Total Value'!$D35-1)</f>
        <v/>
      </c>
      <c r="IC23" s="14" t="str">
        <f ca="1">IF(IC$1="","",'Total Value'!IC35/'Total Value'!$D35-1)</f>
        <v/>
      </c>
      <c r="ID23" s="14" t="str">
        <f ca="1">IF(ID$1="","",'Total Value'!ID35/'Total Value'!$D35-1)</f>
        <v/>
      </c>
      <c r="IE23" s="14" t="str">
        <f ca="1">IF(IE$1="","",'Total Value'!IE35/'Total Value'!$D35-1)</f>
        <v/>
      </c>
      <c r="IF23" s="14" t="str">
        <f ca="1">IF(IF$1="","",'Total Value'!IF35/'Total Value'!$D35-1)</f>
        <v/>
      </c>
      <c r="IG23" s="14" t="str">
        <f ca="1">IF(IG$1="","",'Total Value'!IG35/'Total Value'!$D35-1)</f>
        <v/>
      </c>
      <c r="IH23" s="14" t="str">
        <f ca="1">IF(IH$1="","",'Total Value'!IH35/'Total Value'!$D35-1)</f>
        <v/>
      </c>
      <c r="II23" s="14" t="str">
        <f ca="1">IF(II$1="","",'Total Value'!II35/'Total Value'!$D35-1)</f>
        <v/>
      </c>
      <c r="IJ23" s="14" t="str">
        <f ca="1">IF(IJ$1="","",'Total Value'!IJ35/'Total Value'!$D35-1)</f>
        <v/>
      </c>
      <c r="IK23" s="14" t="str">
        <f ca="1">IF(IK$1="","",'Total Value'!IK35/'Total Value'!$D35-1)</f>
        <v/>
      </c>
      <c r="IL23" s="14" t="str">
        <f ca="1">IF(IL$1="","",'Total Value'!IL35/'Total Value'!$D35-1)</f>
        <v/>
      </c>
      <c r="IM23" s="14" t="str">
        <f ca="1">IF(IM$1="","",'Total Value'!IM35/'Total Value'!$D35-1)</f>
        <v/>
      </c>
      <c r="IN23" s="14" t="str">
        <f ca="1">IF(IN$1="","",'Total Value'!IN35/'Total Value'!$D35-1)</f>
        <v/>
      </c>
      <c r="IO23" s="14" t="str">
        <f ca="1">IF(IO$1="","",'Total Value'!IO35/'Total Value'!$D35-1)</f>
        <v/>
      </c>
      <c r="IP23" s="14" t="str">
        <f ca="1">IF(IP$1="","",'Total Value'!IP35/'Total Value'!$D35-1)</f>
        <v/>
      </c>
      <c r="IQ23" s="14" t="str">
        <f ca="1">IF(IQ$1="","",'Total Value'!IQ35/'Total Value'!$D35-1)</f>
        <v/>
      </c>
      <c r="IR23" s="14" t="str">
        <f ca="1">IF(IR$1="","",'Total Value'!IR35/'Total Value'!$D35-1)</f>
        <v/>
      </c>
      <c r="IS23" s="14" t="str">
        <f ca="1">IF(IS$1="","",'Total Value'!IS35/'Total Value'!$D35-1)</f>
        <v/>
      </c>
      <c r="IT23" s="14" t="str">
        <f ca="1">IF(IT$1="","",'Total Value'!IT35/'Total Value'!$D35-1)</f>
        <v/>
      </c>
      <c r="IU23" s="14" t="str">
        <f ca="1">IF(IU$1="","",'Total Value'!IU35/'Total Value'!$D35-1)</f>
        <v/>
      </c>
      <c r="IV23" s="14" t="str">
        <f ca="1">IF(IV$1="","",'Total Value'!IV35/'Total Value'!$D35-1)</f>
        <v/>
      </c>
      <c r="IW23" s="14" t="str">
        <f ca="1">IF(IW$1="","",'Total Value'!IW35/'Total Value'!$D35-1)</f>
        <v/>
      </c>
      <c r="IX23" s="14" t="str">
        <f ca="1">IF(IX$1="","",'Total Value'!IX35/'Total Value'!$D35-1)</f>
        <v/>
      </c>
      <c r="IY23" s="14" t="str">
        <f ca="1">IF(IY$1="","",'Total Value'!IY35/'Total Value'!$D35-1)</f>
        <v/>
      </c>
      <c r="IZ23" s="14" t="str">
        <f ca="1">IF(IZ$1="","",'Total Value'!IZ35/'Total Value'!$D35-1)</f>
        <v/>
      </c>
      <c r="JA23" s="14" t="str">
        <f ca="1">IF(JA$1="","",'Total Value'!JA35/'Total Value'!$D35-1)</f>
        <v/>
      </c>
      <c r="JB23" s="14" t="str">
        <f ca="1">IF(JB$1="","",'Total Value'!JB35/'Total Value'!$D35-1)</f>
        <v/>
      </c>
      <c r="JC23" s="14" t="str">
        <f ca="1">IF(JC$1="","",'Total Value'!JC35/'Total Value'!$D35-1)</f>
        <v/>
      </c>
      <c r="JD23" s="14" t="str">
        <f ca="1">IF(JD$1="","",'Total Value'!JD35/'Total Value'!$D35-1)</f>
        <v/>
      </c>
      <c r="JE23" s="14" t="str">
        <f ca="1">IF(JE$1="","",'Total Value'!JE35/'Total Value'!$D35-1)</f>
        <v/>
      </c>
      <c r="JF23" s="14" t="str">
        <f ca="1">IF(JF$1="","",'Total Value'!JF35/'Total Value'!$D35-1)</f>
        <v/>
      </c>
      <c r="JG23" s="14" t="str">
        <f ca="1">IF(JG$1="","",'Total Value'!JG35/'Total Value'!$D35-1)</f>
        <v/>
      </c>
      <c r="JH23" s="14" t="str">
        <f ca="1">IF(JH$1="","",'Total Value'!JH35/'Total Value'!$D35-1)</f>
        <v/>
      </c>
      <c r="JI23" s="14" t="str">
        <f ca="1">IF(JI$1="","",'Total Value'!JI35/'Total Value'!$D35-1)</f>
        <v/>
      </c>
      <c r="JJ23" s="14" t="str">
        <f ca="1">IF(JJ$1="","",'Total Value'!JJ35/'Total Value'!$D35-1)</f>
        <v/>
      </c>
      <c r="JK23" s="14" t="str">
        <f ca="1">IF(JK$1="","",'Total Value'!JK35/'Total Value'!$D35-1)</f>
        <v/>
      </c>
      <c r="JL23" s="14" t="str">
        <f ca="1">IF(JL$1="","",'Total Value'!JL35/'Total Value'!$D35-1)</f>
        <v/>
      </c>
      <c r="JM23" s="14" t="str">
        <f ca="1">IF(JM$1="","",'Total Value'!JM35/'Total Value'!$D35-1)</f>
        <v/>
      </c>
      <c r="JN23" s="14" t="str">
        <f ca="1">IF(JN$1="","",'Total Value'!JN35/'Total Value'!$D35-1)</f>
        <v/>
      </c>
      <c r="JO23" s="14" t="str">
        <f ca="1">IF(JO$1="","",'Total Value'!JO35/'Total Value'!$D35-1)</f>
        <v/>
      </c>
      <c r="JP23" s="14" t="str">
        <f ca="1">IF(JP$1="","",'Total Value'!JP35/'Total Value'!$D35-1)</f>
        <v/>
      </c>
      <c r="JQ23" s="14" t="str">
        <f ca="1">IF(JQ$1="","",'Total Value'!JQ35/'Total Value'!$D35-1)</f>
        <v/>
      </c>
      <c r="JR23" s="14" t="str">
        <f ca="1">IF(JR$1="","",'Total Value'!JR35/'Total Value'!$D35-1)</f>
        <v/>
      </c>
      <c r="JS23" s="14" t="str">
        <f ca="1">IF(JS$1="","",'Total Value'!JS35/'Total Value'!$D35-1)</f>
        <v/>
      </c>
      <c r="JT23" s="14" t="str">
        <f ca="1">IF(JT$1="","",'Total Value'!JT35/'Total Value'!$D35-1)</f>
        <v/>
      </c>
      <c r="JU23" s="14" t="str">
        <f ca="1">IF(JU$1="","",'Total Value'!JU35/'Total Value'!$D35-1)</f>
        <v/>
      </c>
      <c r="JV23" s="14" t="str">
        <f ca="1">IF(JV$1="","",'Total Value'!JV35/'Total Value'!$D35-1)</f>
        <v/>
      </c>
      <c r="JW23" s="14" t="str">
        <f ca="1">IF(JW$1="","",'Total Value'!JW35/'Total Value'!$D35-1)</f>
        <v/>
      </c>
      <c r="JX23" s="14" t="str">
        <f ca="1">IF(JX$1="","",'Total Value'!JX35/'Total Value'!$D35-1)</f>
        <v/>
      </c>
      <c r="JY23" s="14" t="str">
        <f ca="1">IF(JY$1="","",'Total Value'!JY35/'Total Value'!$D35-1)</f>
        <v/>
      </c>
      <c r="JZ23" s="14" t="str">
        <f ca="1">IF(JZ$1="","",'Total Value'!JZ35/'Total Value'!$D35-1)</f>
        <v/>
      </c>
      <c r="KA23" s="14" t="str">
        <f ca="1">IF(KA$1="","",'Total Value'!KA35/'Total Value'!$D35-1)</f>
        <v/>
      </c>
      <c r="KB23" s="14" t="str">
        <f ca="1">IF(KB$1="","",'Total Value'!KB35/'Total Value'!$D35-1)</f>
        <v/>
      </c>
    </row>
    <row r="24" spans="1:288" ht="15.75" customHeight="1">
      <c r="A24" s="9" t="s">
        <v>30</v>
      </c>
      <c r="B24" s="6" t="s">
        <v>68</v>
      </c>
      <c r="C24" s="26">
        <v>115</v>
      </c>
      <c r="D24" s="13">
        <v>0</v>
      </c>
      <c r="E24" s="14">
        <f ca="1">IF(E$1="","",'Total Value'!E36/'Total Value'!$D36-1)</f>
        <v>7.0779220779220831E-2</v>
      </c>
      <c r="F24" s="14">
        <f ca="1">IF(F$1="","",'Total Value'!F36/'Total Value'!$D36-1)</f>
        <v>1.298701298701288E-2</v>
      </c>
      <c r="G24" s="14">
        <f ca="1">IF(G$1="","",'Total Value'!G36/'Total Value'!$D36-1)</f>
        <v>-1.6883116883116833E-2</v>
      </c>
      <c r="H24" s="14">
        <f ca="1">IF(H$1="","",'Total Value'!H36/'Total Value'!$D36-1)</f>
        <v>-1.8831168831168865E-2</v>
      </c>
      <c r="I24" s="14">
        <f ca="1">IF(I$1="","",'Total Value'!I36/'Total Value'!$D36-1)</f>
        <v>-8.5064935064935066E-2</v>
      </c>
      <c r="J24" s="14">
        <f ca="1">IF(J$1="","",'Total Value'!J36/'Total Value'!$D36-1)</f>
        <v>-0.10844155844155845</v>
      </c>
      <c r="K24" s="14">
        <f ca="1">IF(K$1="","",'Total Value'!K36/'Total Value'!$D36-1)</f>
        <v>-0.1227272727272728</v>
      </c>
      <c r="L24" s="14">
        <f ca="1">IF(L$1="","",'Total Value'!L36/'Total Value'!$D36-1)</f>
        <v>-0.17467532467532465</v>
      </c>
      <c r="M24" s="14">
        <f ca="1">IF(M$1="","",'Total Value'!M36/'Total Value'!$D36-1)</f>
        <v>-0.15259740259740262</v>
      </c>
      <c r="N24" s="14">
        <f ca="1">IF(N$1="","",'Total Value'!N36/'Total Value'!$D36-1)</f>
        <v>-0.18571428571428572</v>
      </c>
      <c r="O24" s="14">
        <f ca="1">IF(O$1="","",'Total Value'!O36/'Total Value'!$D36-1)</f>
        <v>-0.19675324675324679</v>
      </c>
      <c r="P24" s="14">
        <f ca="1">IF(P$1="","",'Total Value'!P36/'Total Value'!$D36-1)</f>
        <v>-0.22792207792207786</v>
      </c>
      <c r="Q24" s="14">
        <f ca="1">IF(Q$1="","",'Total Value'!Q36/'Total Value'!$D36-1)</f>
        <v>-0.19025974025974013</v>
      </c>
      <c r="R24" s="14">
        <f ca="1">IF(R$1="","",'Total Value'!R36/'Total Value'!$D36-1)</f>
        <v>-0.11883116883116884</v>
      </c>
      <c r="S24" s="14">
        <f ca="1">IF(S$1="","",'Total Value'!S36/'Total Value'!$D36-1)</f>
        <v>-9.740259740259738E-2</v>
      </c>
      <c r="T24" s="14">
        <f ca="1">IF(T$1="","",'Total Value'!T36/'Total Value'!$D36-1)</f>
        <v>-0.14155844155844144</v>
      </c>
      <c r="U24" s="14">
        <f ca="1">IF(U$1="","",'Total Value'!U36/'Total Value'!$D36-1)</f>
        <v>-0.22402597402597402</v>
      </c>
      <c r="V24" s="14">
        <f ca="1">IF(V$1="","",'Total Value'!V36/'Total Value'!$D36-1)</f>
        <v>-9.8051948051947946E-2</v>
      </c>
      <c r="W24" s="14">
        <f ca="1">IF(W$1="","",'Total Value'!W36/'Total Value'!$D36-1)</f>
        <v>-0.10909090909090902</v>
      </c>
      <c r="X24" s="14">
        <f ca="1">IF(X$1="","",'Total Value'!X36/'Total Value'!$D36-1)</f>
        <v>-7.7922077922077948E-2</v>
      </c>
      <c r="Y24" s="14">
        <f ca="1">IF(Y$1="","",'Total Value'!Y36/'Total Value'!$D36-1)</f>
        <v>-5.6493506493506596E-2</v>
      </c>
      <c r="Z24" s="14">
        <f ca="1">IF(Z$1="","",'Total Value'!Z36/'Total Value'!$D36-1)</f>
        <v>-9.1558441558441506E-2</v>
      </c>
      <c r="AA24" s="14">
        <f ca="1">IF(AA$1="","",'Total Value'!AA36/'Total Value'!$D36-1)</f>
        <v>-0.13636363636363635</v>
      </c>
      <c r="AB24" s="14">
        <f ca="1">IF(AB$1="","",'Total Value'!AB36/'Total Value'!$D36-1)</f>
        <v>-0.13636363636363635</v>
      </c>
      <c r="AC24" s="14">
        <f ca="1">IF(AC$1="","",'Total Value'!AC36/'Total Value'!$D36-1)</f>
        <v>-9.4155844155844104E-2</v>
      </c>
      <c r="AD24" s="14">
        <f ca="1">IF(AD$1="","",'Total Value'!AD36/'Total Value'!$D36-1)</f>
        <v>-0.15194805194805194</v>
      </c>
      <c r="AE24" s="14">
        <f ca="1">IF(AE$1="","",'Total Value'!AE36/'Total Value'!$D36-1)</f>
        <v>-0.18441558441558437</v>
      </c>
      <c r="AF24" s="14">
        <f ca="1">IF(AF$1="","",'Total Value'!AF36/'Total Value'!$D36-1)</f>
        <v>-0.27142857142857135</v>
      </c>
      <c r="AG24" s="14">
        <f ca="1">IF(AG$1="","",'Total Value'!AG36/'Total Value'!$D36-1)</f>
        <v>-0.23961038961038961</v>
      </c>
      <c r="AH24" s="14">
        <f ca="1">IF(AH$1="","",'Total Value'!AH36/'Total Value'!$D36-1)</f>
        <v>-0.26363636363636367</v>
      </c>
      <c r="AI24" s="14">
        <f ca="1">IF(AI$1="","",'Total Value'!AI36/'Total Value'!$D36-1)</f>
        <v>-0.12792207792207788</v>
      </c>
      <c r="AJ24" s="14">
        <f ca="1">IF(AJ$1="","",'Total Value'!AJ36/'Total Value'!$D36-1)</f>
        <v>-8.1168831168831224E-2</v>
      </c>
      <c r="AK24" s="14">
        <f ca="1">IF(AK$1="","",'Total Value'!AK36/'Total Value'!$D36-1)</f>
        <v>-5.3246753246753209E-2</v>
      </c>
      <c r="AL24" s="14">
        <f ca="1">IF(AL$1="","",'Total Value'!AL36/'Total Value'!$D36-1)</f>
        <v>-0.10779220779220766</v>
      </c>
      <c r="AM24" s="14">
        <f ca="1">IF(AM$1="","",'Total Value'!AM36/'Total Value'!$D36-1)</f>
        <v>-0.10974025974025969</v>
      </c>
      <c r="AN24" s="14">
        <f ca="1">IF(AN$1="","",'Total Value'!AN36/'Total Value'!$D36-1)</f>
        <v>-0.1629870129870129</v>
      </c>
      <c r="AO24" s="14">
        <f ca="1">IF(AO$1="","",'Total Value'!AO36/'Total Value'!$D36-1)</f>
        <v>-0.1785714285714286</v>
      </c>
      <c r="AP24" s="14">
        <f ca="1">IF(AP$1="","",'Total Value'!AP36/'Total Value'!$D36-1)</f>
        <v>-0.23571428571428577</v>
      </c>
      <c r="AQ24" s="14">
        <f ca="1">IF(AQ$1="","",'Total Value'!AQ36/'Total Value'!$D36-1)</f>
        <v>-0.22077922077922074</v>
      </c>
      <c r="AR24" s="14">
        <f ca="1">IF(AR$1="","",'Total Value'!AR36/'Total Value'!$D36-1)</f>
        <v>-0.19220779220779227</v>
      </c>
      <c r="AS24" s="14">
        <f ca="1">IF(AS$1="","",'Total Value'!AS36/'Total Value'!$D36-1)</f>
        <v>-0.22402597402597402</v>
      </c>
      <c r="AT24" s="14">
        <f ca="1">IF(AT$1="","",'Total Value'!AT36/'Total Value'!$D36-1)</f>
        <v>-0.28311688311688321</v>
      </c>
      <c r="AU24" s="14">
        <f ca="1">IF(AU$1="","",'Total Value'!AU36/'Total Value'!$D36-1)</f>
        <v>-0.31623376623376631</v>
      </c>
      <c r="AV24" s="14">
        <f ca="1">IF(AV$1="","",'Total Value'!AV36/'Total Value'!$D36-1)</f>
        <v>-0.29090909090909089</v>
      </c>
      <c r="AW24" s="14">
        <f ca="1">IF(AW$1="","",'Total Value'!AW36/'Total Value'!$D36-1)</f>
        <v>-0.20389610389610402</v>
      </c>
      <c r="AX24" s="14">
        <f ca="1">IF(AX$1="","",'Total Value'!AX36/'Total Value'!$D36-1)</f>
        <v>-0.15909090909090906</v>
      </c>
      <c r="AY24" s="14">
        <f ca="1">IF(AY$1="","",'Total Value'!AY36/'Total Value'!$D36-1)</f>
        <v>-0.12857142857142856</v>
      </c>
      <c r="AZ24" s="14">
        <f ca="1">IF(AZ$1="","",'Total Value'!AZ36/'Total Value'!$D36-1)</f>
        <v>-0.14415584415584415</v>
      </c>
      <c r="BA24" s="14">
        <f ca="1">IF(BA$1="","",'Total Value'!BA36/'Total Value'!$D36-1)</f>
        <v>-0.12142857142857155</v>
      </c>
      <c r="BB24" s="14">
        <f ca="1">IF(BB$1="","",'Total Value'!BB36/'Total Value'!$D36-1)</f>
        <v>-0.14415584415584415</v>
      </c>
      <c r="BC24" s="14">
        <f ca="1">IF(BC$1="","",'Total Value'!BC36/'Total Value'!$D36-1)</f>
        <v>-0.11883116883116884</v>
      </c>
      <c r="BD24" s="14">
        <f ca="1">IF(BD$1="","",'Total Value'!BD36/'Total Value'!$D36-1)</f>
        <v>-0.13051948051948048</v>
      </c>
      <c r="BE24" s="14">
        <f ca="1">IF(BE$1="","",'Total Value'!BE36/'Total Value'!$D36-1)</f>
        <v>-0.10259740259740258</v>
      </c>
      <c r="BF24" s="14">
        <f ca="1">IF(BF$1="","",'Total Value'!BF36/'Total Value'!$D36-1)</f>
        <v>-4.2857142857142816E-2</v>
      </c>
      <c r="BG24" s="14">
        <f ca="1">IF(BG$1="","",'Total Value'!BG36/'Total Value'!$D36-1)</f>
        <v>-9.2207792207792183E-2</v>
      </c>
      <c r="BH24" s="14">
        <f ca="1">IF(BH$1="","",'Total Value'!BH36/'Total Value'!$D36-1)</f>
        <v>-0.14220779220779212</v>
      </c>
      <c r="BI24" s="14">
        <f ca="1">IF(BI$1="","",'Total Value'!BI36/'Total Value'!$D36-1)</f>
        <v>-0.12402597402597393</v>
      </c>
      <c r="BJ24" s="14">
        <f ca="1">IF(BJ$1="","",'Total Value'!BJ36/'Total Value'!$D36-1)</f>
        <v>-7.6623376623376482E-2</v>
      </c>
      <c r="BK24" s="14">
        <f ca="1">IF(BK$1="","",'Total Value'!BK36/'Total Value'!$D36-1)</f>
        <v>-0.10519480519480529</v>
      </c>
      <c r="BL24" s="14">
        <f ca="1">IF(BL$1="","",'Total Value'!BL36/'Total Value'!$D36-1)</f>
        <v>-0.16558441558441561</v>
      </c>
      <c r="BM24" s="14">
        <f ca="1">IF(BM$1="","",'Total Value'!BM36/'Total Value'!$D36-1)</f>
        <v>-0.17922077922077917</v>
      </c>
      <c r="BN24" s="14">
        <f ca="1">IF(BN$1="","",'Total Value'!BN36/'Total Value'!$D36-1)</f>
        <v>-0.21753246753246758</v>
      </c>
      <c r="BO24" s="14">
        <f ca="1">IF(BO$1="","",'Total Value'!BO36/'Total Value'!$D36-1)</f>
        <v>-0.22077922077922074</v>
      </c>
      <c r="BP24" s="14">
        <f ca="1">IF(BP$1="","",'Total Value'!BP36/'Total Value'!$D36-1)</f>
        <v>-0.23116883116883125</v>
      </c>
      <c r="BQ24" s="14">
        <f ca="1">IF(BQ$1="","",'Total Value'!BQ36/'Total Value'!$D36-1)</f>
        <v>-0.23961038961038961</v>
      </c>
      <c r="BR24" s="14">
        <f ca="1">IF(BR$1="","",'Total Value'!BR36/'Total Value'!$D36-1)</f>
        <v>-0.27272727272727271</v>
      </c>
      <c r="BS24" s="14">
        <f ca="1">IF(BS$1="","",'Total Value'!BS36/'Total Value'!$D36-1)</f>
        <v>-0.28311688311688321</v>
      </c>
      <c r="BT24" s="14">
        <f ca="1">IF(BT$1="","",'Total Value'!BT36/'Total Value'!$D36-1)</f>
        <v>-0.24155844155844153</v>
      </c>
      <c r="BU24" s="14">
        <f ca="1">IF(BU$1="","",'Total Value'!BU36/'Total Value'!$D36-1)</f>
        <v>-0.19740259740259747</v>
      </c>
      <c r="BV24" s="14">
        <f ca="1">IF(BV$1="","",'Total Value'!BV36/'Total Value'!$D36-1)</f>
        <v>-0.24805194805194808</v>
      </c>
      <c r="BW24" s="14">
        <f ca="1">IF(BW$1="","",'Total Value'!BW36/'Total Value'!$D36-1)</f>
        <v>-0.2883116883116883</v>
      </c>
      <c r="BX24" s="14">
        <f ca="1">IF(BX$1="","",'Total Value'!BX36/'Total Value'!$D36-1)</f>
        <v>-0.27467532467532474</v>
      </c>
      <c r="BY24" s="14">
        <f ca="1">IF(BY$1="","",'Total Value'!BY36/'Total Value'!$D36-1)</f>
        <v>-0.32922077922077919</v>
      </c>
      <c r="BZ24" s="14">
        <f ca="1">IF(BZ$1="","",'Total Value'!BZ36/'Total Value'!$D36-1)</f>
        <v>-0.3597402597402598</v>
      </c>
      <c r="CA24" s="14">
        <f ca="1">IF(CA$1="","",'Total Value'!CA36/'Total Value'!$D36-1)</f>
        <v>-0.33441558441558439</v>
      </c>
      <c r="CB24" s="14">
        <f ca="1">IF(CB$1="","",'Total Value'!CB36/'Total Value'!$D36-1)</f>
        <v>-0.37337662337662336</v>
      </c>
      <c r="CC24" s="14">
        <f ca="1">IF(CC$1="","",'Total Value'!CC36/'Total Value'!$D36-1)</f>
        <v>-0.33441558441558439</v>
      </c>
      <c r="CD24" s="14">
        <f ca="1">IF(CD$1="","",'Total Value'!CD36/'Total Value'!$D36-1)</f>
        <v>-0.34350649350649354</v>
      </c>
      <c r="CE24" s="14">
        <f ca="1">IF(CE$1="","",'Total Value'!CE36/'Total Value'!$D36-1)</f>
        <v>-0.31038961038961044</v>
      </c>
      <c r="CF24" s="14" t="str">
        <f ca="1">IF(CF$1="","",'Total Value'!CF36/'Total Value'!$D36-1)</f>
        <v/>
      </c>
      <c r="CG24" s="14" t="str">
        <f ca="1">IF(CG$1="","",'Total Value'!CG36/'Total Value'!$D36-1)</f>
        <v/>
      </c>
      <c r="CH24" s="14" t="str">
        <f ca="1">IF(CH$1="","",'Total Value'!CH36/'Total Value'!$D36-1)</f>
        <v/>
      </c>
      <c r="CI24" s="14" t="str">
        <f ca="1">IF(CI$1="","",'Total Value'!CI36/'Total Value'!$D36-1)</f>
        <v/>
      </c>
      <c r="CJ24" s="14" t="str">
        <f ca="1">IF(CJ$1="","",'Total Value'!CJ36/'Total Value'!$D36-1)</f>
        <v/>
      </c>
      <c r="CK24" s="14" t="str">
        <f ca="1">IF(CK$1="","",'Total Value'!CK36/'Total Value'!$D36-1)</f>
        <v/>
      </c>
      <c r="CL24" s="14" t="str">
        <f ca="1">IF(CL$1="","",'Total Value'!CL36/'Total Value'!$D36-1)</f>
        <v/>
      </c>
      <c r="CM24" s="14" t="str">
        <f ca="1">IF(CM$1="","",'Total Value'!CM36/'Total Value'!$D36-1)</f>
        <v/>
      </c>
      <c r="CN24" s="14" t="str">
        <f ca="1">IF(CN$1="","",'Total Value'!CN36/'Total Value'!$D36-1)</f>
        <v/>
      </c>
      <c r="CO24" s="14" t="str">
        <f ca="1">IF(CO$1="","",'Total Value'!CO36/'Total Value'!$D36-1)</f>
        <v/>
      </c>
      <c r="CP24" s="14" t="str">
        <f ca="1">IF(CP$1="","",'Total Value'!CP36/'Total Value'!$D36-1)</f>
        <v/>
      </c>
      <c r="CQ24" s="14" t="str">
        <f ca="1">IF(CQ$1="","",'Total Value'!CQ36/'Total Value'!$D36-1)</f>
        <v/>
      </c>
      <c r="CR24" s="14" t="str">
        <f ca="1">IF(CR$1="","",'Total Value'!CR36/'Total Value'!$D36-1)</f>
        <v/>
      </c>
      <c r="CS24" s="14" t="str">
        <f ca="1">IF(CS$1="","",'Total Value'!CS36/'Total Value'!$D36-1)</f>
        <v/>
      </c>
      <c r="CT24" s="14" t="str">
        <f ca="1">IF(CT$1="","",'Total Value'!CT36/'Total Value'!$D36-1)</f>
        <v/>
      </c>
      <c r="CU24" s="14" t="str">
        <f ca="1">IF(CU$1="","",'Total Value'!CU36/'Total Value'!$D36-1)</f>
        <v/>
      </c>
      <c r="CV24" s="14" t="str">
        <f ca="1">IF(CV$1="","",'Total Value'!CV36/'Total Value'!$D36-1)</f>
        <v/>
      </c>
      <c r="CW24" s="14" t="str">
        <f ca="1">IF(CW$1="","",'Total Value'!CW36/'Total Value'!$D36-1)</f>
        <v/>
      </c>
      <c r="CX24" s="14" t="str">
        <f ca="1">IF(CX$1="","",'Total Value'!CX36/'Total Value'!$D36-1)</f>
        <v/>
      </c>
      <c r="CY24" s="14" t="str">
        <f ca="1">IF(CY$1="","",'Total Value'!CY36/'Total Value'!$D36-1)</f>
        <v/>
      </c>
      <c r="CZ24" s="14" t="str">
        <f ca="1">IF(CZ$1="","",'Total Value'!CZ36/'Total Value'!$D36-1)</f>
        <v/>
      </c>
      <c r="DA24" s="14" t="str">
        <f ca="1">IF(DA$1="","",'Total Value'!DA36/'Total Value'!$D36-1)</f>
        <v/>
      </c>
      <c r="DB24" s="14" t="str">
        <f ca="1">IF(DB$1="","",'Total Value'!DB36/'Total Value'!$D36-1)</f>
        <v/>
      </c>
      <c r="DC24" s="14" t="str">
        <f ca="1">IF(DC$1="","",'Total Value'!DC36/'Total Value'!$D36-1)</f>
        <v/>
      </c>
      <c r="DD24" s="14" t="str">
        <f ca="1">IF(DD$1="","",'Total Value'!DD36/'Total Value'!$D36-1)</f>
        <v/>
      </c>
      <c r="DE24" s="14" t="str">
        <f ca="1">IF(DE$1="","",'Total Value'!DE36/'Total Value'!$D36-1)</f>
        <v/>
      </c>
      <c r="DF24" s="14" t="str">
        <f ca="1">IF(DF$1="","",'Total Value'!DF36/'Total Value'!$D36-1)</f>
        <v/>
      </c>
      <c r="DG24" s="14" t="str">
        <f ca="1">IF(DG$1="","",'Total Value'!DG36/'Total Value'!$D36-1)</f>
        <v/>
      </c>
      <c r="DH24" s="14" t="str">
        <f ca="1">IF(DH$1="","",'Total Value'!DH36/'Total Value'!$D36-1)</f>
        <v/>
      </c>
      <c r="DI24" s="14" t="str">
        <f ca="1">IF(DI$1="","",'Total Value'!DI36/'Total Value'!$D36-1)</f>
        <v/>
      </c>
      <c r="DJ24" s="14" t="str">
        <f ca="1">IF(DJ$1="","",'Total Value'!DJ36/'Total Value'!$D36-1)</f>
        <v/>
      </c>
      <c r="DK24" s="14" t="str">
        <f ca="1">IF(DK$1="","",'Total Value'!DK36/'Total Value'!$D36-1)</f>
        <v/>
      </c>
      <c r="DL24" s="14" t="str">
        <f ca="1">IF(DL$1="","",'Total Value'!DL36/'Total Value'!$D36-1)</f>
        <v/>
      </c>
      <c r="DM24" s="14" t="str">
        <f ca="1">IF(DM$1="","",'Total Value'!DM36/'Total Value'!$D36-1)</f>
        <v/>
      </c>
      <c r="DN24" s="14" t="str">
        <f ca="1">IF(DN$1="","",'Total Value'!DN36/'Total Value'!$D36-1)</f>
        <v/>
      </c>
      <c r="DO24" s="14" t="str">
        <f ca="1">IF(DO$1="","",'Total Value'!DO36/'Total Value'!$D36-1)</f>
        <v/>
      </c>
      <c r="DP24" s="14" t="str">
        <f ca="1">IF(DP$1="","",'Total Value'!DP36/'Total Value'!$D36-1)</f>
        <v/>
      </c>
      <c r="DQ24" s="14" t="str">
        <f ca="1">IF(DQ$1="","",'Total Value'!DQ36/'Total Value'!$D36-1)</f>
        <v/>
      </c>
      <c r="DR24" s="14" t="str">
        <f ca="1">IF(DR$1="","",'Total Value'!DR36/'Total Value'!$D36-1)</f>
        <v/>
      </c>
      <c r="DS24" s="14" t="str">
        <f ca="1">IF(DS$1="","",'Total Value'!DS36/'Total Value'!$D36-1)</f>
        <v/>
      </c>
      <c r="DT24" s="14" t="str">
        <f ca="1">IF(DT$1="","",'Total Value'!DT36/'Total Value'!$D36-1)</f>
        <v/>
      </c>
      <c r="DU24" s="14" t="str">
        <f ca="1">IF(DU$1="","",'Total Value'!DU36/'Total Value'!$D36-1)</f>
        <v/>
      </c>
      <c r="DV24" s="14" t="str">
        <f ca="1">IF(DV$1="","",'Total Value'!DV36/'Total Value'!$D36-1)</f>
        <v/>
      </c>
      <c r="DW24" s="14" t="str">
        <f ca="1">IF(DW$1="","",'Total Value'!DW36/'Total Value'!$D36-1)</f>
        <v/>
      </c>
      <c r="DX24" s="14" t="str">
        <f ca="1">IF(DX$1="","",'Total Value'!DX36/'Total Value'!$D36-1)</f>
        <v/>
      </c>
      <c r="DY24" s="14" t="str">
        <f ca="1">IF(DY$1="","",'Total Value'!DY36/'Total Value'!$D36-1)</f>
        <v/>
      </c>
      <c r="DZ24" s="14" t="str">
        <f ca="1">IF(DZ$1="","",'Total Value'!DZ36/'Total Value'!$D36-1)</f>
        <v/>
      </c>
      <c r="EA24" s="14" t="str">
        <f ca="1">IF(EA$1="","",'Total Value'!EA36/'Total Value'!$D36-1)</f>
        <v/>
      </c>
      <c r="EB24" s="14" t="str">
        <f ca="1">IF(EB$1="","",'Total Value'!EB36/'Total Value'!$D36-1)</f>
        <v/>
      </c>
      <c r="EC24" s="14" t="str">
        <f ca="1">IF(EC$1="","",'Total Value'!EC36/'Total Value'!$D36-1)</f>
        <v/>
      </c>
      <c r="ED24" s="14" t="str">
        <f ca="1">IF(ED$1="","",'Total Value'!ED36/'Total Value'!$D36-1)</f>
        <v/>
      </c>
      <c r="EE24" s="14" t="str">
        <f ca="1">IF(EE$1="","",'Total Value'!EE36/'Total Value'!$D36-1)</f>
        <v/>
      </c>
      <c r="EF24" s="14" t="str">
        <f ca="1">IF(EF$1="","",'Total Value'!EF36/'Total Value'!$D36-1)</f>
        <v/>
      </c>
      <c r="EG24" s="14" t="str">
        <f ca="1">IF(EG$1="","",'Total Value'!EG36/'Total Value'!$D36-1)</f>
        <v/>
      </c>
      <c r="EH24" s="14" t="str">
        <f ca="1">IF(EH$1="","",'Total Value'!EH36/'Total Value'!$D36-1)</f>
        <v/>
      </c>
      <c r="EI24" s="14" t="str">
        <f ca="1">IF(EI$1="","",'Total Value'!EI36/'Total Value'!$D36-1)</f>
        <v/>
      </c>
      <c r="EJ24" s="14" t="str">
        <f ca="1">IF(EJ$1="","",'Total Value'!EJ36/'Total Value'!$D36-1)</f>
        <v/>
      </c>
      <c r="EK24" s="14" t="str">
        <f ca="1">IF(EK$1="","",'Total Value'!EK36/'Total Value'!$D36-1)</f>
        <v/>
      </c>
      <c r="EL24" s="14" t="str">
        <f ca="1">IF(EL$1="","",'Total Value'!EL36/'Total Value'!$D36-1)</f>
        <v/>
      </c>
      <c r="EM24" s="14" t="str">
        <f ca="1">IF(EM$1="","",'Total Value'!EM36/'Total Value'!$D36-1)</f>
        <v/>
      </c>
      <c r="EN24" s="14" t="str">
        <f ca="1">IF(EN$1="","",'Total Value'!EN36/'Total Value'!$D36-1)</f>
        <v/>
      </c>
      <c r="EO24" s="14" t="str">
        <f ca="1">IF(EO$1="","",'Total Value'!EO36/'Total Value'!$D36-1)</f>
        <v/>
      </c>
      <c r="EP24" s="14" t="str">
        <f ca="1">IF(EP$1="","",'Total Value'!EP36/'Total Value'!$D36-1)</f>
        <v/>
      </c>
      <c r="EQ24" s="14" t="str">
        <f ca="1">IF(EQ$1="","",'Total Value'!EQ36/'Total Value'!$D36-1)</f>
        <v/>
      </c>
      <c r="ER24" s="14" t="str">
        <f ca="1">IF(ER$1="","",'Total Value'!ER36/'Total Value'!$D36-1)</f>
        <v/>
      </c>
      <c r="ES24" s="14" t="str">
        <f ca="1">IF(ES$1="","",'Total Value'!ES36/'Total Value'!$D36-1)</f>
        <v/>
      </c>
      <c r="ET24" s="14" t="str">
        <f ca="1">IF(ET$1="","",'Total Value'!ET36/'Total Value'!$D36-1)</f>
        <v/>
      </c>
      <c r="EU24" s="14" t="str">
        <f ca="1">IF(EU$1="","",'Total Value'!EU36/'Total Value'!$D36-1)</f>
        <v/>
      </c>
      <c r="EV24" s="14" t="str">
        <f ca="1">IF(EV$1="","",'Total Value'!EV36/'Total Value'!$D36-1)</f>
        <v/>
      </c>
      <c r="EW24" s="14" t="str">
        <f ca="1">IF(EW$1="","",'Total Value'!EW36/'Total Value'!$D36-1)</f>
        <v/>
      </c>
      <c r="EX24" s="14" t="str">
        <f ca="1">IF(EX$1="","",'Total Value'!EX36/'Total Value'!$D36-1)</f>
        <v/>
      </c>
      <c r="EY24" s="14" t="str">
        <f ca="1">IF(EY$1="","",'Total Value'!EY36/'Total Value'!$D36-1)</f>
        <v/>
      </c>
      <c r="EZ24" s="14" t="str">
        <f ca="1">IF(EZ$1="","",'Total Value'!EZ36/'Total Value'!$D36-1)</f>
        <v/>
      </c>
      <c r="FA24" s="14" t="str">
        <f ca="1">IF(FA$1="","",'Total Value'!FA36/'Total Value'!$D36-1)</f>
        <v/>
      </c>
      <c r="FB24" s="14" t="str">
        <f ca="1">IF(FB$1="","",'Total Value'!FB36/'Total Value'!$D36-1)</f>
        <v/>
      </c>
      <c r="FC24" s="14" t="str">
        <f ca="1">IF(FC$1="","",'Total Value'!FC36/'Total Value'!$D36-1)</f>
        <v/>
      </c>
      <c r="FD24" s="14" t="str">
        <f ca="1">IF(FD$1="","",'Total Value'!FD36/'Total Value'!$D36-1)</f>
        <v/>
      </c>
      <c r="FE24" s="14" t="str">
        <f ca="1">IF(FE$1="","",'Total Value'!FE36/'Total Value'!$D36-1)</f>
        <v/>
      </c>
      <c r="FF24" s="14" t="str">
        <f ca="1">IF(FF$1="","",'Total Value'!FF36/'Total Value'!$D36-1)</f>
        <v/>
      </c>
      <c r="FG24" s="14" t="str">
        <f ca="1">IF(FG$1="","",'Total Value'!FG36/'Total Value'!$D36-1)</f>
        <v/>
      </c>
      <c r="FH24" s="14" t="str">
        <f ca="1">IF(FH$1="","",'Total Value'!FH36/'Total Value'!$D36-1)</f>
        <v/>
      </c>
      <c r="FI24" s="14" t="str">
        <f ca="1">IF(FI$1="","",'Total Value'!FI36/'Total Value'!$D36-1)</f>
        <v/>
      </c>
      <c r="FJ24" s="14" t="str">
        <f ca="1">IF(FJ$1="","",'Total Value'!FJ36/'Total Value'!$D36-1)</f>
        <v/>
      </c>
      <c r="FK24" s="14" t="str">
        <f ca="1">IF(FK$1="","",'Total Value'!FK36/'Total Value'!$D36-1)</f>
        <v/>
      </c>
      <c r="FL24" s="14" t="str">
        <f ca="1">IF(FL$1="","",'Total Value'!FL36/'Total Value'!$D36-1)</f>
        <v/>
      </c>
      <c r="FM24" s="14" t="str">
        <f ca="1">IF(FM$1="","",'Total Value'!FM36/'Total Value'!$D36-1)</f>
        <v/>
      </c>
      <c r="FN24" s="14" t="str">
        <f ca="1">IF(FN$1="","",'Total Value'!FN36/'Total Value'!$D36-1)</f>
        <v/>
      </c>
      <c r="FO24" s="14" t="str">
        <f ca="1">IF(FO$1="","",'Total Value'!FO36/'Total Value'!$D36-1)</f>
        <v/>
      </c>
      <c r="FP24" s="14" t="str">
        <f ca="1">IF(FP$1="","",'Total Value'!FP36/'Total Value'!$D36-1)</f>
        <v/>
      </c>
      <c r="FQ24" s="14" t="str">
        <f ca="1">IF(FQ$1="","",'Total Value'!FQ36/'Total Value'!$D36-1)</f>
        <v/>
      </c>
      <c r="FR24" s="14" t="str">
        <f ca="1">IF(FR$1="","",'Total Value'!FR36/'Total Value'!$D36-1)</f>
        <v/>
      </c>
      <c r="FS24" s="14" t="str">
        <f ca="1">IF(FS$1="","",'Total Value'!FS36/'Total Value'!$D36-1)</f>
        <v/>
      </c>
      <c r="FT24" s="14" t="str">
        <f ca="1">IF(FT$1="","",'Total Value'!FT36/'Total Value'!$D36-1)</f>
        <v/>
      </c>
      <c r="FU24" s="14" t="str">
        <f ca="1">IF(FU$1="","",'Total Value'!FU36/'Total Value'!$D36-1)</f>
        <v/>
      </c>
      <c r="FV24" s="14" t="str">
        <f ca="1">IF(FV$1="","",'Total Value'!FV36/'Total Value'!$D36-1)</f>
        <v/>
      </c>
      <c r="FW24" s="14" t="str">
        <f ca="1">IF(FW$1="","",'Total Value'!FW36/'Total Value'!$D36-1)</f>
        <v/>
      </c>
      <c r="FX24" s="14" t="str">
        <f ca="1">IF(FX$1="","",'Total Value'!FX36/'Total Value'!$D36-1)</f>
        <v/>
      </c>
      <c r="FY24" s="14" t="str">
        <f ca="1">IF(FY$1="","",'Total Value'!FY36/'Total Value'!$D36-1)</f>
        <v/>
      </c>
      <c r="FZ24" s="14" t="str">
        <f ca="1">IF(FZ$1="","",'Total Value'!FZ36/'Total Value'!$D36-1)</f>
        <v/>
      </c>
      <c r="GA24" s="14" t="str">
        <f ca="1">IF(GA$1="","",'Total Value'!GA36/'Total Value'!$D36-1)</f>
        <v/>
      </c>
      <c r="GB24" s="14" t="str">
        <f ca="1">IF(GB$1="","",'Total Value'!GB36/'Total Value'!$D36-1)</f>
        <v/>
      </c>
      <c r="GC24" s="14" t="str">
        <f ca="1">IF(GC$1="","",'Total Value'!GC36/'Total Value'!$D36-1)</f>
        <v/>
      </c>
      <c r="GD24" s="14" t="str">
        <f ca="1">IF(GD$1="","",'Total Value'!GD36/'Total Value'!$D36-1)</f>
        <v/>
      </c>
      <c r="GE24" s="14" t="str">
        <f ca="1">IF(GE$1="","",'Total Value'!GE36/'Total Value'!$D36-1)</f>
        <v/>
      </c>
      <c r="GF24" s="14" t="str">
        <f ca="1">IF(GF$1="","",'Total Value'!GF36/'Total Value'!$D36-1)</f>
        <v/>
      </c>
      <c r="GG24" s="14" t="str">
        <f ca="1">IF(GG$1="","",'Total Value'!GG36/'Total Value'!$D36-1)</f>
        <v/>
      </c>
      <c r="GH24" s="14" t="str">
        <f ca="1">IF(GH$1="","",'Total Value'!GH36/'Total Value'!$D36-1)</f>
        <v/>
      </c>
      <c r="GI24" s="14" t="str">
        <f ca="1">IF(GI$1="","",'Total Value'!GI36/'Total Value'!$D36-1)</f>
        <v/>
      </c>
      <c r="GJ24" s="14" t="str">
        <f ca="1">IF(GJ$1="","",'Total Value'!GJ36/'Total Value'!$D36-1)</f>
        <v/>
      </c>
      <c r="GK24" s="14" t="str">
        <f ca="1">IF(GK$1="","",'Total Value'!GK36/'Total Value'!$D36-1)</f>
        <v/>
      </c>
      <c r="GL24" s="14" t="str">
        <f ca="1">IF(GL$1="","",'Total Value'!GL36/'Total Value'!$D36-1)</f>
        <v/>
      </c>
      <c r="GM24" s="14" t="str">
        <f ca="1">IF(GM$1="","",'Total Value'!GM36/'Total Value'!$D36-1)</f>
        <v/>
      </c>
      <c r="GN24" s="14" t="str">
        <f ca="1">IF(GN$1="","",'Total Value'!GN36/'Total Value'!$D36-1)</f>
        <v/>
      </c>
      <c r="GO24" s="14" t="str">
        <f ca="1">IF(GO$1="","",'Total Value'!GO36/'Total Value'!$D36-1)</f>
        <v/>
      </c>
      <c r="GP24" s="14" t="str">
        <f ca="1">IF(GP$1="","",'Total Value'!GP36/'Total Value'!$D36-1)</f>
        <v/>
      </c>
      <c r="GQ24" s="14" t="str">
        <f ca="1">IF(GQ$1="","",'Total Value'!GQ36/'Total Value'!$D36-1)</f>
        <v/>
      </c>
      <c r="GR24" s="14" t="str">
        <f ca="1">IF(GR$1="","",'Total Value'!GR36/'Total Value'!$D36-1)</f>
        <v/>
      </c>
      <c r="GS24" s="14" t="str">
        <f ca="1">IF(GS$1="","",'Total Value'!GS36/'Total Value'!$D36-1)</f>
        <v/>
      </c>
      <c r="GT24" s="14" t="str">
        <f ca="1">IF(GT$1="","",'Total Value'!GT36/'Total Value'!$D36-1)</f>
        <v/>
      </c>
      <c r="GU24" s="14" t="str">
        <f ca="1">IF(GU$1="","",'Total Value'!GU36/'Total Value'!$D36-1)</f>
        <v/>
      </c>
      <c r="GV24" s="14" t="str">
        <f ca="1">IF(GV$1="","",'Total Value'!GV36/'Total Value'!$D36-1)</f>
        <v/>
      </c>
      <c r="GW24" s="14" t="str">
        <f ca="1">IF(GW$1="","",'Total Value'!GW36/'Total Value'!$D36-1)</f>
        <v/>
      </c>
      <c r="GX24" s="14" t="str">
        <f ca="1">IF(GX$1="","",'Total Value'!GX36/'Total Value'!$D36-1)</f>
        <v/>
      </c>
      <c r="GY24" s="14" t="str">
        <f ca="1">IF(GY$1="","",'Total Value'!GY36/'Total Value'!$D36-1)</f>
        <v/>
      </c>
      <c r="GZ24" s="14" t="str">
        <f ca="1">IF(GZ$1="","",'Total Value'!GZ36/'Total Value'!$D36-1)</f>
        <v/>
      </c>
      <c r="HA24" s="14" t="str">
        <f ca="1">IF(HA$1="","",'Total Value'!HA36/'Total Value'!$D36-1)</f>
        <v/>
      </c>
      <c r="HB24" s="14" t="str">
        <f ca="1">IF(HB$1="","",'Total Value'!HB36/'Total Value'!$D36-1)</f>
        <v/>
      </c>
      <c r="HC24" s="14" t="str">
        <f ca="1">IF(HC$1="","",'Total Value'!HC36/'Total Value'!$D36-1)</f>
        <v/>
      </c>
      <c r="HD24" s="14" t="str">
        <f ca="1">IF(HD$1="","",'Total Value'!HD36/'Total Value'!$D36-1)</f>
        <v/>
      </c>
      <c r="HE24" s="14" t="str">
        <f ca="1">IF(HE$1="","",'Total Value'!HE36/'Total Value'!$D36-1)</f>
        <v/>
      </c>
      <c r="HF24" s="14" t="str">
        <f ca="1">IF(HF$1="","",'Total Value'!HF36/'Total Value'!$D36-1)</f>
        <v/>
      </c>
      <c r="HG24" s="14" t="str">
        <f ca="1">IF(HG$1="","",'Total Value'!HG36/'Total Value'!$D36-1)</f>
        <v/>
      </c>
      <c r="HH24" s="14" t="str">
        <f ca="1">IF(HH$1="","",'Total Value'!HH36/'Total Value'!$D36-1)</f>
        <v/>
      </c>
      <c r="HI24" s="14" t="str">
        <f ca="1">IF(HI$1="","",'Total Value'!HI36/'Total Value'!$D36-1)</f>
        <v/>
      </c>
      <c r="HJ24" s="14" t="str">
        <f ca="1">IF(HJ$1="","",'Total Value'!HJ36/'Total Value'!$D36-1)</f>
        <v/>
      </c>
      <c r="HK24" s="14" t="str">
        <f ca="1">IF(HK$1="","",'Total Value'!HK36/'Total Value'!$D36-1)</f>
        <v/>
      </c>
      <c r="HL24" s="14" t="str">
        <f ca="1">IF(HL$1="","",'Total Value'!HL36/'Total Value'!$D36-1)</f>
        <v/>
      </c>
      <c r="HM24" s="14" t="str">
        <f ca="1">IF(HM$1="","",'Total Value'!HM36/'Total Value'!$D36-1)</f>
        <v/>
      </c>
      <c r="HN24" s="14" t="str">
        <f ca="1">IF(HN$1="","",'Total Value'!HN36/'Total Value'!$D36-1)</f>
        <v/>
      </c>
      <c r="HO24" s="14" t="str">
        <f ca="1">IF(HO$1="","",'Total Value'!HO36/'Total Value'!$D36-1)</f>
        <v/>
      </c>
      <c r="HP24" s="14" t="str">
        <f ca="1">IF(HP$1="","",'Total Value'!HP36/'Total Value'!$D36-1)</f>
        <v/>
      </c>
      <c r="HQ24" s="14" t="str">
        <f ca="1">IF(HQ$1="","",'Total Value'!HQ36/'Total Value'!$D36-1)</f>
        <v/>
      </c>
      <c r="HR24" s="14" t="str">
        <f ca="1">IF(HR$1="","",'Total Value'!HR36/'Total Value'!$D36-1)</f>
        <v/>
      </c>
      <c r="HS24" s="14" t="str">
        <f ca="1">IF(HS$1="","",'Total Value'!HS36/'Total Value'!$D36-1)</f>
        <v/>
      </c>
      <c r="HT24" s="14" t="str">
        <f ca="1">IF(HT$1="","",'Total Value'!HT36/'Total Value'!$D36-1)</f>
        <v/>
      </c>
      <c r="HU24" s="14" t="str">
        <f ca="1">IF(HU$1="","",'Total Value'!HU36/'Total Value'!$D36-1)</f>
        <v/>
      </c>
      <c r="HV24" s="14" t="str">
        <f ca="1">IF(HV$1="","",'Total Value'!HV36/'Total Value'!$D36-1)</f>
        <v/>
      </c>
      <c r="HW24" s="14" t="str">
        <f ca="1">IF(HW$1="","",'Total Value'!HW36/'Total Value'!$D36-1)</f>
        <v/>
      </c>
      <c r="HX24" s="14" t="str">
        <f ca="1">IF(HX$1="","",'Total Value'!HX36/'Total Value'!$D36-1)</f>
        <v/>
      </c>
      <c r="HY24" s="14" t="str">
        <f ca="1">IF(HY$1="","",'Total Value'!HY36/'Total Value'!$D36-1)</f>
        <v/>
      </c>
      <c r="HZ24" s="14" t="str">
        <f ca="1">IF(HZ$1="","",'Total Value'!HZ36/'Total Value'!$D36-1)</f>
        <v/>
      </c>
      <c r="IA24" s="14" t="str">
        <f ca="1">IF(IA$1="","",'Total Value'!IA36/'Total Value'!$D36-1)</f>
        <v/>
      </c>
      <c r="IB24" s="14" t="str">
        <f ca="1">IF(IB$1="","",'Total Value'!IB36/'Total Value'!$D36-1)</f>
        <v/>
      </c>
      <c r="IC24" s="14" t="str">
        <f ca="1">IF(IC$1="","",'Total Value'!IC36/'Total Value'!$D36-1)</f>
        <v/>
      </c>
      <c r="ID24" s="14" t="str">
        <f ca="1">IF(ID$1="","",'Total Value'!ID36/'Total Value'!$D36-1)</f>
        <v/>
      </c>
      <c r="IE24" s="14" t="str">
        <f ca="1">IF(IE$1="","",'Total Value'!IE36/'Total Value'!$D36-1)</f>
        <v/>
      </c>
      <c r="IF24" s="14" t="str">
        <f ca="1">IF(IF$1="","",'Total Value'!IF36/'Total Value'!$D36-1)</f>
        <v/>
      </c>
      <c r="IG24" s="14" t="str">
        <f ca="1">IF(IG$1="","",'Total Value'!IG36/'Total Value'!$D36-1)</f>
        <v/>
      </c>
      <c r="IH24" s="14" t="str">
        <f ca="1">IF(IH$1="","",'Total Value'!IH36/'Total Value'!$D36-1)</f>
        <v/>
      </c>
      <c r="II24" s="14" t="str">
        <f ca="1">IF(II$1="","",'Total Value'!II36/'Total Value'!$D36-1)</f>
        <v/>
      </c>
      <c r="IJ24" s="14" t="str">
        <f ca="1">IF(IJ$1="","",'Total Value'!IJ36/'Total Value'!$D36-1)</f>
        <v/>
      </c>
      <c r="IK24" s="14" t="str">
        <f ca="1">IF(IK$1="","",'Total Value'!IK36/'Total Value'!$D36-1)</f>
        <v/>
      </c>
      <c r="IL24" s="14" t="str">
        <f ca="1">IF(IL$1="","",'Total Value'!IL36/'Total Value'!$D36-1)</f>
        <v/>
      </c>
      <c r="IM24" s="14" t="str">
        <f ca="1">IF(IM$1="","",'Total Value'!IM36/'Total Value'!$D36-1)</f>
        <v/>
      </c>
      <c r="IN24" s="14" t="str">
        <f ca="1">IF(IN$1="","",'Total Value'!IN36/'Total Value'!$D36-1)</f>
        <v/>
      </c>
      <c r="IO24" s="14" t="str">
        <f ca="1">IF(IO$1="","",'Total Value'!IO36/'Total Value'!$D36-1)</f>
        <v/>
      </c>
      <c r="IP24" s="14" t="str">
        <f ca="1">IF(IP$1="","",'Total Value'!IP36/'Total Value'!$D36-1)</f>
        <v/>
      </c>
      <c r="IQ24" s="14" t="str">
        <f ca="1">IF(IQ$1="","",'Total Value'!IQ36/'Total Value'!$D36-1)</f>
        <v/>
      </c>
      <c r="IR24" s="14" t="str">
        <f ca="1">IF(IR$1="","",'Total Value'!IR36/'Total Value'!$D36-1)</f>
        <v/>
      </c>
      <c r="IS24" s="14" t="str">
        <f ca="1">IF(IS$1="","",'Total Value'!IS36/'Total Value'!$D36-1)</f>
        <v/>
      </c>
      <c r="IT24" s="14" t="str">
        <f ca="1">IF(IT$1="","",'Total Value'!IT36/'Total Value'!$D36-1)</f>
        <v/>
      </c>
      <c r="IU24" s="14" t="str">
        <f ca="1">IF(IU$1="","",'Total Value'!IU36/'Total Value'!$D36-1)</f>
        <v/>
      </c>
      <c r="IV24" s="14" t="str">
        <f ca="1">IF(IV$1="","",'Total Value'!IV36/'Total Value'!$D36-1)</f>
        <v/>
      </c>
      <c r="IW24" s="14" t="str">
        <f ca="1">IF(IW$1="","",'Total Value'!IW36/'Total Value'!$D36-1)</f>
        <v/>
      </c>
      <c r="IX24" s="14" t="str">
        <f ca="1">IF(IX$1="","",'Total Value'!IX36/'Total Value'!$D36-1)</f>
        <v/>
      </c>
      <c r="IY24" s="14" t="str">
        <f ca="1">IF(IY$1="","",'Total Value'!IY36/'Total Value'!$D36-1)</f>
        <v/>
      </c>
      <c r="IZ24" s="14" t="str">
        <f ca="1">IF(IZ$1="","",'Total Value'!IZ36/'Total Value'!$D36-1)</f>
        <v/>
      </c>
      <c r="JA24" s="14" t="str">
        <f ca="1">IF(JA$1="","",'Total Value'!JA36/'Total Value'!$D36-1)</f>
        <v/>
      </c>
      <c r="JB24" s="14" t="str">
        <f ca="1">IF(JB$1="","",'Total Value'!JB36/'Total Value'!$D36-1)</f>
        <v/>
      </c>
      <c r="JC24" s="14" t="str">
        <f ca="1">IF(JC$1="","",'Total Value'!JC36/'Total Value'!$D36-1)</f>
        <v/>
      </c>
      <c r="JD24" s="14" t="str">
        <f ca="1">IF(JD$1="","",'Total Value'!JD36/'Total Value'!$D36-1)</f>
        <v/>
      </c>
      <c r="JE24" s="14" t="str">
        <f ca="1">IF(JE$1="","",'Total Value'!JE36/'Total Value'!$D36-1)</f>
        <v/>
      </c>
      <c r="JF24" s="14" t="str">
        <f ca="1">IF(JF$1="","",'Total Value'!JF36/'Total Value'!$D36-1)</f>
        <v/>
      </c>
      <c r="JG24" s="14" t="str">
        <f ca="1">IF(JG$1="","",'Total Value'!JG36/'Total Value'!$D36-1)</f>
        <v/>
      </c>
      <c r="JH24" s="14" t="str">
        <f ca="1">IF(JH$1="","",'Total Value'!JH36/'Total Value'!$D36-1)</f>
        <v/>
      </c>
      <c r="JI24" s="14" t="str">
        <f ca="1">IF(JI$1="","",'Total Value'!JI36/'Total Value'!$D36-1)</f>
        <v/>
      </c>
      <c r="JJ24" s="14" t="str">
        <f ca="1">IF(JJ$1="","",'Total Value'!JJ36/'Total Value'!$D36-1)</f>
        <v/>
      </c>
      <c r="JK24" s="14" t="str">
        <f ca="1">IF(JK$1="","",'Total Value'!JK36/'Total Value'!$D36-1)</f>
        <v/>
      </c>
      <c r="JL24" s="14" t="str">
        <f ca="1">IF(JL$1="","",'Total Value'!JL36/'Total Value'!$D36-1)</f>
        <v/>
      </c>
      <c r="JM24" s="14" t="str">
        <f ca="1">IF(JM$1="","",'Total Value'!JM36/'Total Value'!$D36-1)</f>
        <v/>
      </c>
      <c r="JN24" s="14" t="str">
        <f ca="1">IF(JN$1="","",'Total Value'!JN36/'Total Value'!$D36-1)</f>
        <v/>
      </c>
      <c r="JO24" s="14" t="str">
        <f ca="1">IF(JO$1="","",'Total Value'!JO36/'Total Value'!$D36-1)</f>
        <v/>
      </c>
      <c r="JP24" s="14" t="str">
        <f ca="1">IF(JP$1="","",'Total Value'!JP36/'Total Value'!$D36-1)</f>
        <v/>
      </c>
      <c r="JQ24" s="14" t="str">
        <f ca="1">IF(JQ$1="","",'Total Value'!JQ36/'Total Value'!$D36-1)</f>
        <v/>
      </c>
      <c r="JR24" s="14" t="str">
        <f ca="1">IF(JR$1="","",'Total Value'!JR36/'Total Value'!$D36-1)</f>
        <v/>
      </c>
      <c r="JS24" s="14" t="str">
        <f ca="1">IF(JS$1="","",'Total Value'!JS36/'Total Value'!$D36-1)</f>
        <v/>
      </c>
      <c r="JT24" s="14" t="str">
        <f ca="1">IF(JT$1="","",'Total Value'!JT36/'Total Value'!$D36-1)</f>
        <v/>
      </c>
      <c r="JU24" s="14" t="str">
        <f ca="1">IF(JU$1="","",'Total Value'!JU36/'Total Value'!$D36-1)</f>
        <v/>
      </c>
      <c r="JV24" s="14" t="str">
        <f ca="1">IF(JV$1="","",'Total Value'!JV36/'Total Value'!$D36-1)</f>
        <v/>
      </c>
      <c r="JW24" s="14" t="str">
        <f ca="1">IF(JW$1="","",'Total Value'!JW36/'Total Value'!$D36-1)</f>
        <v/>
      </c>
      <c r="JX24" s="14" t="str">
        <f ca="1">IF(JX$1="","",'Total Value'!JX36/'Total Value'!$D36-1)</f>
        <v/>
      </c>
      <c r="JY24" s="14" t="str">
        <f ca="1">IF(JY$1="","",'Total Value'!JY36/'Total Value'!$D36-1)</f>
        <v/>
      </c>
      <c r="JZ24" s="14" t="str">
        <f ca="1">IF(JZ$1="","",'Total Value'!JZ36/'Total Value'!$D36-1)</f>
        <v/>
      </c>
      <c r="KA24" s="14" t="str">
        <f ca="1">IF(KA$1="","",'Total Value'!KA36/'Total Value'!$D36-1)</f>
        <v/>
      </c>
      <c r="KB24" s="14" t="str">
        <f ca="1">IF(KB$1="","",'Total Value'!KB36/'Total Value'!$D36-1)</f>
        <v/>
      </c>
    </row>
    <row r="25" spans="1:288" ht="15.75" customHeight="1">
      <c r="A25" s="9" t="s">
        <v>30</v>
      </c>
      <c r="B25" s="6" t="s">
        <v>69</v>
      </c>
      <c r="C25" s="26">
        <v>23</v>
      </c>
      <c r="D25" s="13">
        <v>0</v>
      </c>
      <c r="E25" s="14">
        <f ca="1">IF(E$1="","",'Total Value'!E37/'Total Value'!$D37-1)</f>
        <v>3.7270273743734705E-3</v>
      </c>
      <c r="F25" s="14">
        <f ca="1">IF(F$1="","",'Total Value'!F37/'Total Value'!$D37-1)</f>
        <v>2.634622799126074E-2</v>
      </c>
      <c r="G25" s="14">
        <f ca="1">IF(G$1="","",'Total Value'!G37/'Total Value'!$D37-1)</f>
        <v>2.1719573319624708E-2</v>
      </c>
      <c r="H25" s="14">
        <f ca="1">IF(H$1="","",'Total Value'!H37/'Total Value'!$D37-1)</f>
        <v>1.5036627682817105E-2</v>
      </c>
      <c r="I25" s="14">
        <f ca="1">IF(I$1="","",'Total Value'!I37/'Total Value'!$D37-1)</f>
        <v>-3.9840637450200278E-3</v>
      </c>
      <c r="J25" s="14">
        <f ca="1">IF(J$1="","",'Total Value'!J37/'Total Value'!$D37-1)</f>
        <v>-8.7392366019793943E-3</v>
      </c>
      <c r="K25" s="14">
        <f ca="1">IF(K$1="","",'Total Value'!K37/'Total Value'!$D37-1)</f>
        <v>-2.1205500578332037E-2</v>
      </c>
      <c r="L25" s="14">
        <f ca="1">IF(L$1="","",'Total Value'!L37/'Total Value'!$D37-1)</f>
        <v>-3.6113610075825808E-2</v>
      </c>
      <c r="M25" s="14">
        <f ca="1">IF(M$1="","",'Total Value'!M37/'Total Value'!$D37-1)</f>
        <v>-2.506104613802862E-2</v>
      </c>
      <c r="N25" s="14">
        <f ca="1">IF(N$1="","",'Total Value'!N37/'Total Value'!$D37-1)</f>
        <v>-5.4620228762369827E-2</v>
      </c>
      <c r="O25" s="14">
        <f ca="1">IF(O$1="","",'Total Value'!O37/'Total Value'!$D37-1)</f>
        <v>-7.3383883819560514E-2</v>
      </c>
      <c r="P25" s="14">
        <f ca="1">IF(P$1="","",'Total Value'!P37/'Total Value'!$D37-1)</f>
        <v>-9.1890502506104754E-2</v>
      </c>
      <c r="Q25" s="14">
        <f ca="1">IF(Q$1="","",'Total Value'!Q37/'Total Value'!$D37-1)</f>
        <v>-7.1713147410358502E-2</v>
      </c>
      <c r="R25" s="14">
        <f ca="1">IF(R$1="","",'Total Value'!R37/'Total Value'!$D37-1)</f>
        <v>-5.9375401619329304E-2</v>
      </c>
      <c r="S25" s="14">
        <f ca="1">IF(S$1="","",'Total Value'!S37/'Total Value'!$D37-1)</f>
        <v>-4.7808764940239001E-2</v>
      </c>
      <c r="T25" s="14">
        <f ca="1">IF(T$1="","",'Total Value'!T37/'Total Value'!$D37-1)</f>
        <v>-4.6909137642976662E-2</v>
      </c>
      <c r="U25" s="14">
        <f ca="1">IF(U$1="","",'Total Value'!U37/'Total Value'!$D37-1)</f>
        <v>-6.8757229147924481E-2</v>
      </c>
      <c r="V25" s="14">
        <f ca="1">IF(V$1="","",'Total Value'!V37/'Total Value'!$D37-1)</f>
        <v>-7.7882020305873323E-2</v>
      </c>
      <c r="W25" s="14">
        <f ca="1">IF(W$1="","",'Total Value'!W37/'Total Value'!$D37-1)</f>
        <v>-8.8291993317054507E-2</v>
      </c>
      <c r="X25" s="14">
        <f ca="1">IF(X$1="","",'Total Value'!X37/'Total Value'!$D37-1)</f>
        <v>-6.7986120035985254E-2</v>
      </c>
      <c r="Y25" s="14">
        <f ca="1">IF(Y$1="","",'Total Value'!Y37/'Total Value'!$D37-1)</f>
        <v>-3.3414728184038123E-2</v>
      </c>
      <c r="Z25" s="14">
        <f ca="1">IF(Z$1="","",'Total Value'!Z37/'Total Value'!$D37-1)</f>
        <v>-4.9608019534764125E-2</v>
      </c>
      <c r="AA25" s="14">
        <f ca="1">IF(AA$1="","",'Total Value'!AA37/'Total Value'!$D37-1)</f>
        <v>-5.4234674206400157E-2</v>
      </c>
      <c r="AB25" s="14">
        <f ca="1">IF(AB$1="","",'Total Value'!AB37/'Total Value'!$D37-1)</f>
        <v>-3.6370646446472144E-2</v>
      </c>
      <c r="AC25" s="14">
        <f ca="1">IF(AC$1="","",'Total Value'!AC37/'Total Value'!$D37-1)</f>
        <v>-1.6193291350726224E-2</v>
      </c>
      <c r="AD25" s="14">
        <f ca="1">IF(AD$1="","",'Total Value'!AD37/'Total Value'!$D37-1)</f>
        <v>3.6884719187765036E-2</v>
      </c>
      <c r="AE25" s="14">
        <f ca="1">IF(AE$1="","",'Total Value'!AE37/'Total Value'!$D37-1)</f>
        <v>1.0538491196504074E-2</v>
      </c>
      <c r="AF25" s="14">
        <f ca="1">IF(AF$1="","",'Total Value'!AF37/'Total Value'!$D37-1)</f>
        <v>1.1181082123120412E-2</v>
      </c>
      <c r="AG25" s="14">
        <f ca="1">IF(AG$1="","",'Total Value'!AG37/'Total Value'!$D37-1)</f>
        <v>-1.9020691427837133E-2</v>
      </c>
      <c r="AH25" s="14">
        <f ca="1">IF(AH$1="","",'Total Value'!AH37/'Total Value'!$D37-1)</f>
        <v>-4.9865055905410571E-2</v>
      </c>
      <c r="AI25" s="14">
        <f ca="1">IF(AI$1="","",'Total Value'!AI37/'Total Value'!$D37-1)</f>
        <v>-2.8531037141755533E-2</v>
      </c>
      <c r="AJ25" s="14">
        <f ca="1">IF(AJ$1="","",'Total Value'!AJ37/'Total Value'!$D37-1)</f>
        <v>-2.9559182624342428E-3</v>
      </c>
      <c r="AK25" s="14">
        <f ca="1">IF(AK$1="","",'Total Value'!AK37/'Total Value'!$D37-1)</f>
        <v>1.3237373088291982E-2</v>
      </c>
      <c r="AL25" s="14">
        <f ca="1">IF(AL$1="","",'Total Value'!AL37/'Total Value'!$D37-1)</f>
        <v>-1.5422182238787885E-3</v>
      </c>
      <c r="AM25" s="14">
        <f ca="1">IF(AM$1="","",'Total Value'!AM37/'Total Value'!$D37-1)</f>
        <v>3.6756201002441813E-2</v>
      </c>
      <c r="AN25" s="14">
        <f ca="1">IF(AN$1="","",'Total Value'!AN37/'Total Value'!$D37-1)</f>
        <v>3.2643619072098673E-2</v>
      </c>
      <c r="AO25" s="14">
        <f ca="1">IF(AO$1="","",'Total Value'!AO37/'Total Value'!$D37-1)</f>
        <v>1.5679218609433221E-2</v>
      </c>
      <c r="AP25" s="14">
        <f ca="1">IF(AP$1="","",'Total Value'!AP37/'Total Value'!$D37-1)</f>
        <v>-1.3879964014908097E-2</v>
      </c>
      <c r="AQ25" s="14">
        <f ca="1">IF(AQ$1="","",'Total Value'!AQ37/'Total Value'!$D37-1)</f>
        <v>-1.9920318725099695E-2</v>
      </c>
      <c r="AR25" s="14">
        <f ca="1">IF(AR$1="","",'Total Value'!AR37/'Total Value'!$D37-1)</f>
        <v>2.3133273358180162E-2</v>
      </c>
      <c r="AS25" s="14">
        <f ca="1">IF(AS$1="","",'Total Value'!AS37/'Total Value'!$D37-1)</f>
        <v>1.4779591312170659E-2</v>
      </c>
      <c r="AT25" s="14">
        <f ca="1">IF(AT$1="","",'Total Value'!AT37/'Total Value'!$D37-1)</f>
        <v>1.7735509574604791E-2</v>
      </c>
      <c r="AU25" s="14">
        <f ca="1">IF(AU$1="","",'Total Value'!AU37/'Total Value'!$D37-1)</f>
        <v>-4.241100115666363E-3</v>
      </c>
      <c r="AV25" s="14">
        <f ca="1">IF(AV$1="","",'Total Value'!AV37/'Total Value'!$D37-1)</f>
        <v>1.0024418455211404E-2</v>
      </c>
      <c r="AW25" s="14">
        <f ca="1">IF(AW$1="","",'Total Value'!AW37/'Total Value'!$D37-1)</f>
        <v>5.6162446986248504E-2</v>
      </c>
      <c r="AX25" s="14">
        <f ca="1">IF(AX$1="","",'Total Value'!AX37/'Total Value'!$D37-1)</f>
        <v>7.6596838452640981E-2</v>
      </c>
      <c r="AY25" s="14">
        <f ca="1">IF(AY$1="","",'Total Value'!AY37/'Total Value'!$D37-1)</f>
        <v>8.2894229533478914E-2</v>
      </c>
      <c r="AZ25" s="14">
        <f ca="1">IF(AZ$1="","",'Total Value'!AZ37/'Total Value'!$D37-1)</f>
        <v>8.3922375016064699E-2</v>
      </c>
      <c r="BA25" s="14">
        <f ca="1">IF(BA$1="","",'Total Value'!BA37/'Total Value'!$D37-1)</f>
        <v>8.0323865827014451E-2</v>
      </c>
      <c r="BB25" s="14">
        <f ca="1">IF(BB$1="","",'Total Value'!BB37/'Total Value'!$D37-1)</f>
        <v>4.6652101272329993E-2</v>
      </c>
      <c r="BC25" s="14">
        <f ca="1">IF(BC$1="","",'Total Value'!BC37/'Total Value'!$D37-1)</f>
        <v>5.063616501734991E-2</v>
      </c>
      <c r="BD25" s="14">
        <f ca="1">IF(BD$1="","",'Total Value'!BD37/'Total Value'!$D37-1)</f>
        <v>3.829841922632049E-2</v>
      </c>
      <c r="BE25" s="14">
        <f ca="1">IF(BE$1="","",'Total Value'!BE37/'Total Value'!$D37-1)</f>
        <v>4.6266546716360102E-2</v>
      </c>
      <c r="BF25" s="14">
        <f ca="1">IF(BF$1="","",'Total Value'!BF37/'Total Value'!$D37-1)</f>
        <v>5.3720601465107265E-2</v>
      </c>
      <c r="BG25" s="14">
        <f ca="1">IF(BG$1="","",'Total Value'!BG37/'Total Value'!$D37-1)</f>
        <v>4.652358308700677E-2</v>
      </c>
      <c r="BH25" s="14">
        <f ca="1">IF(BH$1="","",'Total Value'!BH37/'Total Value'!$D37-1)</f>
        <v>1.9534764169129915E-2</v>
      </c>
      <c r="BI25" s="14">
        <f ca="1">IF(BI$1="","",'Total Value'!BI37/'Total Value'!$D37-1)</f>
        <v>-4.9093946793471344E-2</v>
      </c>
      <c r="BJ25" s="14">
        <f ca="1">IF(BJ$1="","",'Total Value'!BJ37/'Total Value'!$D37-1)</f>
        <v>-6.5030201773551011E-2</v>
      </c>
      <c r="BK25" s="14">
        <f ca="1">IF(BK$1="","",'Total Value'!BK37/'Total Value'!$D37-1)</f>
        <v>-0.12967484899113235</v>
      </c>
      <c r="BL25" s="14">
        <f ca="1">IF(BL$1="","",'Total Value'!BL37/'Total Value'!$D37-1)</f>
        <v>-0.15897699524482722</v>
      </c>
      <c r="BM25" s="14">
        <f ca="1">IF(BM$1="","",'Total Value'!BM37/'Total Value'!$D37-1)</f>
        <v>-0.17851175941395703</v>
      </c>
      <c r="BN25" s="14">
        <f ca="1">IF(BN$1="","",'Total Value'!BN37/'Total Value'!$D37-1)</f>
        <v>-0.18892173242513821</v>
      </c>
      <c r="BO25" s="14">
        <f ca="1">IF(BO$1="","",'Total Value'!BO37/'Total Value'!$D37-1)</f>
        <v>-0.19046395064901689</v>
      </c>
      <c r="BP25" s="14">
        <f ca="1">IF(BP$1="","",'Total Value'!BP37/'Total Value'!$D37-1)</f>
        <v>-0.19007839609304722</v>
      </c>
      <c r="BQ25" s="14">
        <f ca="1">IF(BQ$1="","",'Total Value'!BQ37/'Total Value'!$D37-1)</f>
        <v>-0.16643104999357416</v>
      </c>
      <c r="BR25" s="14">
        <f ca="1">IF(BR$1="","",'Total Value'!BR37/'Total Value'!$D37-1)</f>
        <v>-0.17722657756072502</v>
      </c>
      <c r="BS25" s="14">
        <f ca="1">IF(BS$1="","",'Total Value'!BS37/'Total Value'!$D37-1)</f>
        <v>-0.17234288651844243</v>
      </c>
      <c r="BT25" s="14">
        <f ca="1">IF(BT$1="","",'Total Value'!BT37/'Total Value'!$D37-1)</f>
        <v>-0.14689628582444436</v>
      </c>
      <c r="BU25" s="14">
        <f ca="1">IF(BU$1="","",'Total Value'!BU37/'Total Value'!$D37-1)</f>
        <v>-0.13070299447371803</v>
      </c>
      <c r="BV25" s="14">
        <f ca="1">IF(BV$1="","",'Total Value'!BV37/'Total Value'!$D37-1)</f>
        <v>-0.12581930343143566</v>
      </c>
      <c r="BW25" s="14">
        <f ca="1">IF(BW$1="","",'Total Value'!BW37/'Total Value'!$D37-1)</f>
        <v>-0.13301632180953615</v>
      </c>
      <c r="BX25" s="14">
        <f ca="1">IF(BX$1="","",'Total Value'!BX37/'Total Value'!$D37-1)</f>
        <v>-0.10615602107698252</v>
      </c>
      <c r="BY25" s="14">
        <f ca="1">IF(BY$1="","",'Total Value'!BY37/'Total Value'!$D37-1)</f>
        <v>-0.126590412543375</v>
      </c>
      <c r="BZ25" s="14">
        <f ca="1">IF(BZ$1="","",'Total Value'!BZ37/'Total Value'!$D37-1)</f>
        <v>-0.12286338516900142</v>
      </c>
      <c r="CA25" s="14">
        <f ca="1">IF(CA$1="","",'Total Value'!CA37/'Total Value'!$D37-1)</f>
        <v>-8.8034956946408061E-2</v>
      </c>
      <c r="CB25" s="14">
        <f ca="1">IF(CB$1="","",'Total Value'!CB37/'Total Value'!$D37-1)</f>
        <v>-0.1016578845906696</v>
      </c>
      <c r="CC25" s="14">
        <f ca="1">IF(CC$1="","",'Total Value'!CC37/'Total Value'!$D37-1)</f>
        <v>-8.6878293278499052E-2</v>
      </c>
      <c r="CD25" s="14">
        <f ca="1">IF(CD$1="","",'Total Value'!CD37/'Total Value'!$D37-1)</f>
        <v>-6.3102428993702664E-2</v>
      </c>
      <c r="CE25" s="14">
        <f ca="1">IF(CE$1="","",'Total Value'!CE37/'Total Value'!$D37-1)</f>
        <v>-2.6860300732553744E-2</v>
      </c>
      <c r="CF25" s="14" t="str">
        <f ca="1">IF(CF$1="","",'Total Value'!CF37/'Total Value'!$D37-1)</f>
        <v/>
      </c>
      <c r="CG25" s="14" t="str">
        <f ca="1">IF(CG$1="","",'Total Value'!CG37/'Total Value'!$D37-1)</f>
        <v/>
      </c>
      <c r="CH25" s="14" t="str">
        <f ca="1">IF(CH$1="","",'Total Value'!CH37/'Total Value'!$D37-1)</f>
        <v/>
      </c>
      <c r="CI25" s="14" t="str">
        <f ca="1">IF(CI$1="","",'Total Value'!CI37/'Total Value'!$D37-1)</f>
        <v/>
      </c>
      <c r="CJ25" s="14" t="str">
        <f ca="1">IF(CJ$1="","",'Total Value'!CJ37/'Total Value'!$D37-1)</f>
        <v/>
      </c>
      <c r="CK25" s="14" t="str">
        <f ca="1">IF(CK$1="","",'Total Value'!CK37/'Total Value'!$D37-1)</f>
        <v/>
      </c>
      <c r="CL25" s="14" t="str">
        <f ca="1">IF(CL$1="","",'Total Value'!CL37/'Total Value'!$D37-1)</f>
        <v/>
      </c>
      <c r="CM25" s="14" t="str">
        <f ca="1">IF(CM$1="","",'Total Value'!CM37/'Total Value'!$D37-1)</f>
        <v/>
      </c>
      <c r="CN25" s="14" t="str">
        <f ca="1">IF(CN$1="","",'Total Value'!CN37/'Total Value'!$D37-1)</f>
        <v/>
      </c>
      <c r="CO25" s="14" t="str">
        <f ca="1">IF(CO$1="","",'Total Value'!CO37/'Total Value'!$D37-1)</f>
        <v/>
      </c>
      <c r="CP25" s="14" t="str">
        <f ca="1">IF(CP$1="","",'Total Value'!CP37/'Total Value'!$D37-1)</f>
        <v/>
      </c>
      <c r="CQ25" s="14" t="str">
        <f ca="1">IF(CQ$1="","",'Total Value'!CQ37/'Total Value'!$D37-1)</f>
        <v/>
      </c>
      <c r="CR25" s="14" t="str">
        <f ca="1">IF(CR$1="","",'Total Value'!CR37/'Total Value'!$D37-1)</f>
        <v/>
      </c>
      <c r="CS25" s="14" t="str">
        <f ca="1">IF(CS$1="","",'Total Value'!CS37/'Total Value'!$D37-1)</f>
        <v/>
      </c>
      <c r="CT25" s="14" t="str">
        <f ca="1">IF(CT$1="","",'Total Value'!CT37/'Total Value'!$D37-1)</f>
        <v/>
      </c>
      <c r="CU25" s="14" t="str">
        <f ca="1">IF(CU$1="","",'Total Value'!CU37/'Total Value'!$D37-1)</f>
        <v/>
      </c>
      <c r="CV25" s="14" t="str">
        <f ca="1">IF(CV$1="","",'Total Value'!CV37/'Total Value'!$D37-1)</f>
        <v/>
      </c>
      <c r="CW25" s="14" t="str">
        <f ca="1">IF(CW$1="","",'Total Value'!CW37/'Total Value'!$D37-1)</f>
        <v/>
      </c>
      <c r="CX25" s="14" t="str">
        <f ca="1">IF(CX$1="","",'Total Value'!CX37/'Total Value'!$D37-1)</f>
        <v/>
      </c>
      <c r="CY25" s="14" t="str">
        <f ca="1">IF(CY$1="","",'Total Value'!CY37/'Total Value'!$D37-1)</f>
        <v/>
      </c>
      <c r="CZ25" s="14" t="str">
        <f ca="1">IF(CZ$1="","",'Total Value'!CZ37/'Total Value'!$D37-1)</f>
        <v/>
      </c>
      <c r="DA25" s="14" t="str">
        <f ca="1">IF(DA$1="","",'Total Value'!DA37/'Total Value'!$D37-1)</f>
        <v/>
      </c>
      <c r="DB25" s="14" t="str">
        <f ca="1">IF(DB$1="","",'Total Value'!DB37/'Total Value'!$D37-1)</f>
        <v/>
      </c>
      <c r="DC25" s="14" t="str">
        <f ca="1">IF(DC$1="","",'Total Value'!DC37/'Total Value'!$D37-1)</f>
        <v/>
      </c>
      <c r="DD25" s="14" t="str">
        <f ca="1">IF(DD$1="","",'Total Value'!DD37/'Total Value'!$D37-1)</f>
        <v/>
      </c>
      <c r="DE25" s="14" t="str">
        <f ca="1">IF(DE$1="","",'Total Value'!DE37/'Total Value'!$D37-1)</f>
        <v/>
      </c>
      <c r="DF25" s="14" t="str">
        <f ca="1">IF(DF$1="","",'Total Value'!DF37/'Total Value'!$D37-1)</f>
        <v/>
      </c>
      <c r="DG25" s="14" t="str">
        <f ca="1">IF(DG$1="","",'Total Value'!DG37/'Total Value'!$D37-1)</f>
        <v/>
      </c>
      <c r="DH25" s="14" t="str">
        <f ca="1">IF(DH$1="","",'Total Value'!DH37/'Total Value'!$D37-1)</f>
        <v/>
      </c>
      <c r="DI25" s="14" t="str">
        <f ca="1">IF(DI$1="","",'Total Value'!DI37/'Total Value'!$D37-1)</f>
        <v/>
      </c>
      <c r="DJ25" s="14" t="str">
        <f ca="1">IF(DJ$1="","",'Total Value'!DJ37/'Total Value'!$D37-1)</f>
        <v/>
      </c>
      <c r="DK25" s="14" t="str">
        <f ca="1">IF(DK$1="","",'Total Value'!DK37/'Total Value'!$D37-1)</f>
        <v/>
      </c>
      <c r="DL25" s="14" t="str">
        <f ca="1">IF(DL$1="","",'Total Value'!DL37/'Total Value'!$D37-1)</f>
        <v/>
      </c>
      <c r="DM25" s="14" t="str">
        <f ca="1">IF(DM$1="","",'Total Value'!DM37/'Total Value'!$D37-1)</f>
        <v/>
      </c>
      <c r="DN25" s="14" t="str">
        <f ca="1">IF(DN$1="","",'Total Value'!DN37/'Total Value'!$D37-1)</f>
        <v/>
      </c>
      <c r="DO25" s="14" t="str">
        <f ca="1">IF(DO$1="","",'Total Value'!DO37/'Total Value'!$D37-1)</f>
        <v/>
      </c>
      <c r="DP25" s="14" t="str">
        <f ca="1">IF(DP$1="","",'Total Value'!DP37/'Total Value'!$D37-1)</f>
        <v/>
      </c>
      <c r="DQ25" s="14" t="str">
        <f ca="1">IF(DQ$1="","",'Total Value'!DQ37/'Total Value'!$D37-1)</f>
        <v/>
      </c>
      <c r="DR25" s="14" t="str">
        <f ca="1">IF(DR$1="","",'Total Value'!DR37/'Total Value'!$D37-1)</f>
        <v/>
      </c>
      <c r="DS25" s="14" t="str">
        <f ca="1">IF(DS$1="","",'Total Value'!DS37/'Total Value'!$D37-1)</f>
        <v/>
      </c>
      <c r="DT25" s="14" t="str">
        <f ca="1">IF(DT$1="","",'Total Value'!DT37/'Total Value'!$D37-1)</f>
        <v/>
      </c>
      <c r="DU25" s="14" t="str">
        <f ca="1">IF(DU$1="","",'Total Value'!DU37/'Total Value'!$D37-1)</f>
        <v/>
      </c>
      <c r="DV25" s="14" t="str">
        <f ca="1">IF(DV$1="","",'Total Value'!DV37/'Total Value'!$D37-1)</f>
        <v/>
      </c>
      <c r="DW25" s="14" t="str">
        <f ca="1">IF(DW$1="","",'Total Value'!DW37/'Total Value'!$D37-1)</f>
        <v/>
      </c>
      <c r="DX25" s="14" t="str">
        <f ca="1">IF(DX$1="","",'Total Value'!DX37/'Total Value'!$D37-1)</f>
        <v/>
      </c>
      <c r="DY25" s="14" t="str">
        <f ca="1">IF(DY$1="","",'Total Value'!DY37/'Total Value'!$D37-1)</f>
        <v/>
      </c>
      <c r="DZ25" s="14" t="str">
        <f ca="1">IF(DZ$1="","",'Total Value'!DZ37/'Total Value'!$D37-1)</f>
        <v/>
      </c>
      <c r="EA25" s="14" t="str">
        <f ca="1">IF(EA$1="","",'Total Value'!EA37/'Total Value'!$D37-1)</f>
        <v/>
      </c>
      <c r="EB25" s="14" t="str">
        <f ca="1">IF(EB$1="","",'Total Value'!EB37/'Total Value'!$D37-1)</f>
        <v/>
      </c>
      <c r="EC25" s="14" t="str">
        <f ca="1">IF(EC$1="","",'Total Value'!EC37/'Total Value'!$D37-1)</f>
        <v/>
      </c>
      <c r="ED25" s="14" t="str">
        <f ca="1">IF(ED$1="","",'Total Value'!ED37/'Total Value'!$D37-1)</f>
        <v/>
      </c>
      <c r="EE25" s="14" t="str">
        <f ca="1">IF(EE$1="","",'Total Value'!EE37/'Total Value'!$D37-1)</f>
        <v/>
      </c>
      <c r="EF25" s="14" t="str">
        <f ca="1">IF(EF$1="","",'Total Value'!EF37/'Total Value'!$D37-1)</f>
        <v/>
      </c>
      <c r="EG25" s="14" t="str">
        <f ca="1">IF(EG$1="","",'Total Value'!EG37/'Total Value'!$D37-1)</f>
        <v/>
      </c>
      <c r="EH25" s="14" t="str">
        <f ca="1">IF(EH$1="","",'Total Value'!EH37/'Total Value'!$D37-1)</f>
        <v/>
      </c>
      <c r="EI25" s="14" t="str">
        <f ca="1">IF(EI$1="","",'Total Value'!EI37/'Total Value'!$D37-1)</f>
        <v/>
      </c>
      <c r="EJ25" s="14" t="str">
        <f ca="1">IF(EJ$1="","",'Total Value'!EJ37/'Total Value'!$D37-1)</f>
        <v/>
      </c>
      <c r="EK25" s="14" t="str">
        <f ca="1">IF(EK$1="","",'Total Value'!EK37/'Total Value'!$D37-1)</f>
        <v/>
      </c>
      <c r="EL25" s="14" t="str">
        <f ca="1">IF(EL$1="","",'Total Value'!EL37/'Total Value'!$D37-1)</f>
        <v/>
      </c>
      <c r="EM25" s="14" t="str">
        <f ca="1">IF(EM$1="","",'Total Value'!EM37/'Total Value'!$D37-1)</f>
        <v/>
      </c>
      <c r="EN25" s="14" t="str">
        <f ca="1">IF(EN$1="","",'Total Value'!EN37/'Total Value'!$D37-1)</f>
        <v/>
      </c>
      <c r="EO25" s="14" t="str">
        <f ca="1">IF(EO$1="","",'Total Value'!EO37/'Total Value'!$D37-1)</f>
        <v/>
      </c>
      <c r="EP25" s="14" t="str">
        <f ca="1">IF(EP$1="","",'Total Value'!EP37/'Total Value'!$D37-1)</f>
        <v/>
      </c>
      <c r="EQ25" s="14" t="str">
        <f ca="1">IF(EQ$1="","",'Total Value'!EQ37/'Total Value'!$D37-1)</f>
        <v/>
      </c>
      <c r="ER25" s="14" t="str">
        <f ca="1">IF(ER$1="","",'Total Value'!ER37/'Total Value'!$D37-1)</f>
        <v/>
      </c>
      <c r="ES25" s="14" t="str">
        <f ca="1">IF(ES$1="","",'Total Value'!ES37/'Total Value'!$D37-1)</f>
        <v/>
      </c>
      <c r="ET25" s="14" t="str">
        <f ca="1">IF(ET$1="","",'Total Value'!ET37/'Total Value'!$D37-1)</f>
        <v/>
      </c>
      <c r="EU25" s="14" t="str">
        <f ca="1">IF(EU$1="","",'Total Value'!EU37/'Total Value'!$D37-1)</f>
        <v/>
      </c>
      <c r="EV25" s="14" t="str">
        <f ca="1">IF(EV$1="","",'Total Value'!EV37/'Total Value'!$D37-1)</f>
        <v/>
      </c>
      <c r="EW25" s="14" t="str">
        <f ca="1">IF(EW$1="","",'Total Value'!EW37/'Total Value'!$D37-1)</f>
        <v/>
      </c>
      <c r="EX25" s="14" t="str">
        <f ca="1">IF(EX$1="","",'Total Value'!EX37/'Total Value'!$D37-1)</f>
        <v/>
      </c>
      <c r="EY25" s="14" t="str">
        <f ca="1">IF(EY$1="","",'Total Value'!EY37/'Total Value'!$D37-1)</f>
        <v/>
      </c>
      <c r="EZ25" s="14" t="str">
        <f ca="1">IF(EZ$1="","",'Total Value'!EZ37/'Total Value'!$D37-1)</f>
        <v/>
      </c>
      <c r="FA25" s="14" t="str">
        <f ca="1">IF(FA$1="","",'Total Value'!FA37/'Total Value'!$D37-1)</f>
        <v/>
      </c>
      <c r="FB25" s="14" t="str">
        <f ca="1">IF(FB$1="","",'Total Value'!FB37/'Total Value'!$D37-1)</f>
        <v/>
      </c>
      <c r="FC25" s="14" t="str">
        <f ca="1">IF(FC$1="","",'Total Value'!FC37/'Total Value'!$D37-1)</f>
        <v/>
      </c>
      <c r="FD25" s="14" t="str">
        <f ca="1">IF(FD$1="","",'Total Value'!FD37/'Total Value'!$D37-1)</f>
        <v/>
      </c>
      <c r="FE25" s="14" t="str">
        <f ca="1">IF(FE$1="","",'Total Value'!FE37/'Total Value'!$D37-1)</f>
        <v/>
      </c>
      <c r="FF25" s="14" t="str">
        <f ca="1">IF(FF$1="","",'Total Value'!FF37/'Total Value'!$D37-1)</f>
        <v/>
      </c>
      <c r="FG25" s="14" t="str">
        <f ca="1">IF(FG$1="","",'Total Value'!FG37/'Total Value'!$D37-1)</f>
        <v/>
      </c>
      <c r="FH25" s="14" t="str">
        <f ca="1">IF(FH$1="","",'Total Value'!FH37/'Total Value'!$D37-1)</f>
        <v/>
      </c>
      <c r="FI25" s="14" t="str">
        <f ca="1">IF(FI$1="","",'Total Value'!FI37/'Total Value'!$D37-1)</f>
        <v/>
      </c>
      <c r="FJ25" s="14" t="str">
        <f ca="1">IF(FJ$1="","",'Total Value'!FJ37/'Total Value'!$D37-1)</f>
        <v/>
      </c>
      <c r="FK25" s="14" t="str">
        <f ca="1">IF(FK$1="","",'Total Value'!FK37/'Total Value'!$D37-1)</f>
        <v/>
      </c>
      <c r="FL25" s="14" t="str">
        <f ca="1">IF(FL$1="","",'Total Value'!FL37/'Total Value'!$D37-1)</f>
        <v/>
      </c>
      <c r="FM25" s="14" t="str">
        <f ca="1">IF(FM$1="","",'Total Value'!FM37/'Total Value'!$D37-1)</f>
        <v/>
      </c>
      <c r="FN25" s="14" t="str">
        <f ca="1">IF(FN$1="","",'Total Value'!FN37/'Total Value'!$D37-1)</f>
        <v/>
      </c>
      <c r="FO25" s="14" t="str">
        <f ca="1">IF(FO$1="","",'Total Value'!FO37/'Total Value'!$D37-1)</f>
        <v/>
      </c>
      <c r="FP25" s="14" t="str">
        <f ca="1">IF(FP$1="","",'Total Value'!FP37/'Total Value'!$D37-1)</f>
        <v/>
      </c>
      <c r="FQ25" s="14" t="str">
        <f ca="1">IF(FQ$1="","",'Total Value'!FQ37/'Total Value'!$D37-1)</f>
        <v/>
      </c>
      <c r="FR25" s="14" t="str">
        <f ca="1">IF(FR$1="","",'Total Value'!FR37/'Total Value'!$D37-1)</f>
        <v/>
      </c>
      <c r="FS25" s="14" t="str">
        <f ca="1">IF(FS$1="","",'Total Value'!FS37/'Total Value'!$D37-1)</f>
        <v/>
      </c>
      <c r="FT25" s="14" t="str">
        <f ca="1">IF(FT$1="","",'Total Value'!FT37/'Total Value'!$D37-1)</f>
        <v/>
      </c>
      <c r="FU25" s="14" t="str">
        <f ca="1">IF(FU$1="","",'Total Value'!FU37/'Total Value'!$D37-1)</f>
        <v/>
      </c>
      <c r="FV25" s="14" t="str">
        <f ca="1">IF(FV$1="","",'Total Value'!FV37/'Total Value'!$D37-1)</f>
        <v/>
      </c>
      <c r="FW25" s="14" t="str">
        <f ca="1">IF(FW$1="","",'Total Value'!FW37/'Total Value'!$D37-1)</f>
        <v/>
      </c>
      <c r="FX25" s="14" t="str">
        <f ca="1">IF(FX$1="","",'Total Value'!FX37/'Total Value'!$D37-1)</f>
        <v/>
      </c>
      <c r="FY25" s="14" t="str">
        <f ca="1">IF(FY$1="","",'Total Value'!FY37/'Total Value'!$D37-1)</f>
        <v/>
      </c>
      <c r="FZ25" s="14" t="str">
        <f ca="1">IF(FZ$1="","",'Total Value'!FZ37/'Total Value'!$D37-1)</f>
        <v/>
      </c>
      <c r="GA25" s="14" t="str">
        <f ca="1">IF(GA$1="","",'Total Value'!GA37/'Total Value'!$D37-1)</f>
        <v/>
      </c>
      <c r="GB25" s="14" t="str">
        <f ca="1">IF(GB$1="","",'Total Value'!GB37/'Total Value'!$D37-1)</f>
        <v/>
      </c>
      <c r="GC25" s="14" t="str">
        <f ca="1">IF(GC$1="","",'Total Value'!GC37/'Total Value'!$D37-1)</f>
        <v/>
      </c>
      <c r="GD25" s="14" t="str">
        <f ca="1">IF(GD$1="","",'Total Value'!GD37/'Total Value'!$D37-1)</f>
        <v/>
      </c>
      <c r="GE25" s="14" t="str">
        <f ca="1">IF(GE$1="","",'Total Value'!GE37/'Total Value'!$D37-1)</f>
        <v/>
      </c>
      <c r="GF25" s="14" t="str">
        <f ca="1">IF(GF$1="","",'Total Value'!GF37/'Total Value'!$D37-1)</f>
        <v/>
      </c>
      <c r="GG25" s="14" t="str">
        <f ca="1">IF(GG$1="","",'Total Value'!GG37/'Total Value'!$D37-1)</f>
        <v/>
      </c>
      <c r="GH25" s="14" t="str">
        <f ca="1">IF(GH$1="","",'Total Value'!GH37/'Total Value'!$D37-1)</f>
        <v/>
      </c>
      <c r="GI25" s="14" t="str">
        <f ca="1">IF(GI$1="","",'Total Value'!GI37/'Total Value'!$D37-1)</f>
        <v/>
      </c>
      <c r="GJ25" s="14" t="str">
        <f ca="1">IF(GJ$1="","",'Total Value'!GJ37/'Total Value'!$D37-1)</f>
        <v/>
      </c>
      <c r="GK25" s="14" t="str">
        <f ca="1">IF(GK$1="","",'Total Value'!GK37/'Total Value'!$D37-1)</f>
        <v/>
      </c>
      <c r="GL25" s="14" t="str">
        <f ca="1">IF(GL$1="","",'Total Value'!GL37/'Total Value'!$D37-1)</f>
        <v/>
      </c>
      <c r="GM25" s="14" t="str">
        <f ca="1">IF(GM$1="","",'Total Value'!GM37/'Total Value'!$D37-1)</f>
        <v/>
      </c>
      <c r="GN25" s="14" t="str">
        <f ca="1">IF(GN$1="","",'Total Value'!GN37/'Total Value'!$D37-1)</f>
        <v/>
      </c>
      <c r="GO25" s="14" t="str">
        <f ca="1">IF(GO$1="","",'Total Value'!GO37/'Total Value'!$D37-1)</f>
        <v/>
      </c>
      <c r="GP25" s="14" t="str">
        <f ca="1">IF(GP$1="","",'Total Value'!GP37/'Total Value'!$D37-1)</f>
        <v/>
      </c>
      <c r="GQ25" s="14" t="str">
        <f ca="1">IF(GQ$1="","",'Total Value'!GQ37/'Total Value'!$D37-1)</f>
        <v/>
      </c>
      <c r="GR25" s="14" t="str">
        <f ca="1">IF(GR$1="","",'Total Value'!GR37/'Total Value'!$D37-1)</f>
        <v/>
      </c>
      <c r="GS25" s="14" t="str">
        <f ca="1">IF(GS$1="","",'Total Value'!GS37/'Total Value'!$D37-1)</f>
        <v/>
      </c>
      <c r="GT25" s="14" t="str">
        <f ca="1">IF(GT$1="","",'Total Value'!GT37/'Total Value'!$D37-1)</f>
        <v/>
      </c>
      <c r="GU25" s="14" t="str">
        <f ca="1">IF(GU$1="","",'Total Value'!GU37/'Total Value'!$D37-1)</f>
        <v/>
      </c>
      <c r="GV25" s="14" t="str">
        <f ca="1">IF(GV$1="","",'Total Value'!GV37/'Total Value'!$D37-1)</f>
        <v/>
      </c>
      <c r="GW25" s="14" t="str">
        <f ca="1">IF(GW$1="","",'Total Value'!GW37/'Total Value'!$D37-1)</f>
        <v/>
      </c>
      <c r="GX25" s="14" t="str">
        <f ca="1">IF(GX$1="","",'Total Value'!GX37/'Total Value'!$D37-1)</f>
        <v/>
      </c>
      <c r="GY25" s="14" t="str">
        <f ca="1">IF(GY$1="","",'Total Value'!GY37/'Total Value'!$D37-1)</f>
        <v/>
      </c>
      <c r="GZ25" s="14" t="str">
        <f ca="1">IF(GZ$1="","",'Total Value'!GZ37/'Total Value'!$D37-1)</f>
        <v/>
      </c>
      <c r="HA25" s="14" t="str">
        <f ca="1">IF(HA$1="","",'Total Value'!HA37/'Total Value'!$D37-1)</f>
        <v/>
      </c>
      <c r="HB25" s="14" t="str">
        <f ca="1">IF(HB$1="","",'Total Value'!HB37/'Total Value'!$D37-1)</f>
        <v/>
      </c>
      <c r="HC25" s="14" t="str">
        <f ca="1">IF(HC$1="","",'Total Value'!HC37/'Total Value'!$D37-1)</f>
        <v/>
      </c>
      <c r="HD25" s="14" t="str">
        <f ca="1">IF(HD$1="","",'Total Value'!HD37/'Total Value'!$D37-1)</f>
        <v/>
      </c>
      <c r="HE25" s="14" t="str">
        <f ca="1">IF(HE$1="","",'Total Value'!HE37/'Total Value'!$D37-1)</f>
        <v/>
      </c>
      <c r="HF25" s="14" t="str">
        <f ca="1">IF(HF$1="","",'Total Value'!HF37/'Total Value'!$D37-1)</f>
        <v/>
      </c>
      <c r="HG25" s="14" t="str">
        <f ca="1">IF(HG$1="","",'Total Value'!HG37/'Total Value'!$D37-1)</f>
        <v/>
      </c>
      <c r="HH25" s="14" t="str">
        <f ca="1">IF(HH$1="","",'Total Value'!HH37/'Total Value'!$D37-1)</f>
        <v/>
      </c>
      <c r="HI25" s="14" t="str">
        <f ca="1">IF(HI$1="","",'Total Value'!HI37/'Total Value'!$D37-1)</f>
        <v/>
      </c>
      <c r="HJ25" s="14" t="str">
        <f ca="1">IF(HJ$1="","",'Total Value'!HJ37/'Total Value'!$D37-1)</f>
        <v/>
      </c>
      <c r="HK25" s="14" t="str">
        <f ca="1">IF(HK$1="","",'Total Value'!HK37/'Total Value'!$D37-1)</f>
        <v/>
      </c>
      <c r="HL25" s="14" t="str">
        <f ca="1">IF(HL$1="","",'Total Value'!HL37/'Total Value'!$D37-1)</f>
        <v/>
      </c>
      <c r="HM25" s="14" t="str">
        <f ca="1">IF(HM$1="","",'Total Value'!HM37/'Total Value'!$D37-1)</f>
        <v/>
      </c>
      <c r="HN25" s="14" t="str">
        <f ca="1">IF(HN$1="","",'Total Value'!HN37/'Total Value'!$D37-1)</f>
        <v/>
      </c>
      <c r="HO25" s="14" t="str">
        <f ca="1">IF(HO$1="","",'Total Value'!HO37/'Total Value'!$D37-1)</f>
        <v/>
      </c>
      <c r="HP25" s="14" t="str">
        <f ca="1">IF(HP$1="","",'Total Value'!HP37/'Total Value'!$D37-1)</f>
        <v/>
      </c>
      <c r="HQ25" s="14" t="str">
        <f ca="1">IF(HQ$1="","",'Total Value'!HQ37/'Total Value'!$D37-1)</f>
        <v/>
      </c>
      <c r="HR25" s="14" t="str">
        <f ca="1">IF(HR$1="","",'Total Value'!HR37/'Total Value'!$D37-1)</f>
        <v/>
      </c>
      <c r="HS25" s="14" t="str">
        <f ca="1">IF(HS$1="","",'Total Value'!HS37/'Total Value'!$D37-1)</f>
        <v/>
      </c>
      <c r="HT25" s="14" t="str">
        <f ca="1">IF(HT$1="","",'Total Value'!HT37/'Total Value'!$D37-1)</f>
        <v/>
      </c>
      <c r="HU25" s="14" t="str">
        <f ca="1">IF(HU$1="","",'Total Value'!HU37/'Total Value'!$D37-1)</f>
        <v/>
      </c>
      <c r="HV25" s="14" t="str">
        <f ca="1">IF(HV$1="","",'Total Value'!HV37/'Total Value'!$D37-1)</f>
        <v/>
      </c>
      <c r="HW25" s="14" t="str">
        <f ca="1">IF(HW$1="","",'Total Value'!HW37/'Total Value'!$D37-1)</f>
        <v/>
      </c>
      <c r="HX25" s="14" t="str">
        <f ca="1">IF(HX$1="","",'Total Value'!HX37/'Total Value'!$D37-1)</f>
        <v/>
      </c>
      <c r="HY25" s="14" t="str">
        <f ca="1">IF(HY$1="","",'Total Value'!HY37/'Total Value'!$D37-1)</f>
        <v/>
      </c>
      <c r="HZ25" s="14" t="str">
        <f ca="1">IF(HZ$1="","",'Total Value'!HZ37/'Total Value'!$D37-1)</f>
        <v/>
      </c>
      <c r="IA25" s="14" t="str">
        <f ca="1">IF(IA$1="","",'Total Value'!IA37/'Total Value'!$D37-1)</f>
        <v/>
      </c>
      <c r="IB25" s="14" t="str">
        <f ca="1">IF(IB$1="","",'Total Value'!IB37/'Total Value'!$D37-1)</f>
        <v/>
      </c>
      <c r="IC25" s="14" t="str">
        <f ca="1">IF(IC$1="","",'Total Value'!IC37/'Total Value'!$D37-1)</f>
        <v/>
      </c>
      <c r="ID25" s="14" t="str">
        <f ca="1">IF(ID$1="","",'Total Value'!ID37/'Total Value'!$D37-1)</f>
        <v/>
      </c>
      <c r="IE25" s="14" t="str">
        <f ca="1">IF(IE$1="","",'Total Value'!IE37/'Total Value'!$D37-1)</f>
        <v/>
      </c>
      <c r="IF25" s="14" t="str">
        <f ca="1">IF(IF$1="","",'Total Value'!IF37/'Total Value'!$D37-1)</f>
        <v/>
      </c>
      <c r="IG25" s="14" t="str">
        <f ca="1">IF(IG$1="","",'Total Value'!IG37/'Total Value'!$D37-1)</f>
        <v/>
      </c>
      <c r="IH25" s="14" t="str">
        <f ca="1">IF(IH$1="","",'Total Value'!IH37/'Total Value'!$D37-1)</f>
        <v/>
      </c>
      <c r="II25" s="14" t="str">
        <f ca="1">IF(II$1="","",'Total Value'!II37/'Total Value'!$D37-1)</f>
        <v/>
      </c>
      <c r="IJ25" s="14" t="str">
        <f ca="1">IF(IJ$1="","",'Total Value'!IJ37/'Total Value'!$D37-1)</f>
        <v/>
      </c>
      <c r="IK25" s="14" t="str">
        <f ca="1">IF(IK$1="","",'Total Value'!IK37/'Total Value'!$D37-1)</f>
        <v/>
      </c>
      <c r="IL25" s="14" t="str">
        <f ca="1">IF(IL$1="","",'Total Value'!IL37/'Total Value'!$D37-1)</f>
        <v/>
      </c>
      <c r="IM25" s="14" t="str">
        <f ca="1">IF(IM$1="","",'Total Value'!IM37/'Total Value'!$D37-1)</f>
        <v/>
      </c>
      <c r="IN25" s="14" t="str">
        <f ca="1">IF(IN$1="","",'Total Value'!IN37/'Total Value'!$D37-1)</f>
        <v/>
      </c>
      <c r="IO25" s="14" t="str">
        <f ca="1">IF(IO$1="","",'Total Value'!IO37/'Total Value'!$D37-1)</f>
        <v/>
      </c>
      <c r="IP25" s="14" t="str">
        <f ca="1">IF(IP$1="","",'Total Value'!IP37/'Total Value'!$D37-1)</f>
        <v/>
      </c>
      <c r="IQ25" s="14" t="str">
        <f ca="1">IF(IQ$1="","",'Total Value'!IQ37/'Total Value'!$D37-1)</f>
        <v/>
      </c>
      <c r="IR25" s="14" t="str">
        <f ca="1">IF(IR$1="","",'Total Value'!IR37/'Total Value'!$D37-1)</f>
        <v/>
      </c>
      <c r="IS25" s="14" t="str">
        <f ca="1">IF(IS$1="","",'Total Value'!IS37/'Total Value'!$D37-1)</f>
        <v/>
      </c>
      <c r="IT25" s="14" t="str">
        <f ca="1">IF(IT$1="","",'Total Value'!IT37/'Total Value'!$D37-1)</f>
        <v/>
      </c>
      <c r="IU25" s="14" t="str">
        <f ca="1">IF(IU$1="","",'Total Value'!IU37/'Total Value'!$D37-1)</f>
        <v/>
      </c>
      <c r="IV25" s="14" t="str">
        <f ca="1">IF(IV$1="","",'Total Value'!IV37/'Total Value'!$D37-1)</f>
        <v/>
      </c>
      <c r="IW25" s="14" t="str">
        <f ca="1">IF(IW$1="","",'Total Value'!IW37/'Total Value'!$D37-1)</f>
        <v/>
      </c>
      <c r="IX25" s="14" t="str">
        <f ca="1">IF(IX$1="","",'Total Value'!IX37/'Total Value'!$D37-1)</f>
        <v/>
      </c>
      <c r="IY25" s="14" t="str">
        <f ca="1">IF(IY$1="","",'Total Value'!IY37/'Total Value'!$D37-1)</f>
        <v/>
      </c>
      <c r="IZ25" s="14" t="str">
        <f ca="1">IF(IZ$1="","",'Total Value'!IZ37/'Total Value'!$D37-1)</f>
        <v/>
      </c>
      <c r="JA25" s="14" t="str">
        <f ca="1">IF(JA$1="","",'Total Value'!JA37/'Total Value'!$D37-1)</f>
        <v/>
      </c>
      <c r="JB25" s="14" t="str">
        <f ca="1">IF(JB$1="","",'Total Value'!JB37/'Total Value'!$D37-1)</f>
        <v/>
      </c>
      <c r="JC25" s="14" t="str">
        <f ca="1">IF(JC$1="","",'Total Value'!JC37/'Total Value'!$D37-1)</f>
        <v/>
      </c>
      <c r="JD25" s="14" t="str">
        <f ca="1">IF(JD$1="","",'Total Value'!JD37/'Total Value'!$D37-1)</f>
        <v/>
      </c>
      <c r="JE25" s="14" t="str">
        <f ca="1">IF(JE$1="","",'Total Value'!JE37/'Total Value'!$D37-1)</f>
        <v/>
      </c>
      <c r="JF25" s="14" t="str">
        <f ca="1">IF(JF$1="","",'Total Value'!JF37/'Total Value'!$D37-1)</f>
        <v/>
      </c>
      <c r="JG25" s="14" t="str">
        <f ca="1">IF(JG$1="","",'Total Value'!JG37/'Total Value'!$D37-1)</f>
        <v/>
      </c>
      <c r="JH25" s="14" t="str">
        <f ca="1">IF(JH$1="","",'Total Value'!JH37/'Total Value'!$D37-1)</f>
        <v/>
      </c>
      <c r="JI25" s="14" t="str">
        <f ca="1">IF(JI$1="","",'Total Value'!JI37/'Total Value'!$D37-1)</f>
        <v/>
      </c>
      <c r="JJ25" s="14" t="str">
        <f ca="1">IF(JJ$1="","",'Total Value'!JJ37/'Total Value'!$D37-1)</f>
        <v/>
      </c>
      <c r="JK25" s="14" t="str">
        <f ca="1">IF(JK$1="","",'Total Value'!JK37/'Total Value'!$D37-1)</f>
        <v/>
      </c>
      <c r="JL25" s="14" t="str">
        <f ca="1">IF(JL$1="","",'Total Value'!JL37/'Total Value'!$D37-1)</f>
        <v/>
      </c>
      <c r="JM25" s="14" t="str">
        <f ca="1">IF(JM$1="","",'Total Value'!JM37/'Total Value'!$D37-1)</f>
        <v/>
      </c>
      <c r="JN25" s="14" t="str">
        <f ca="1">IF(JN$1="","",'Total Value'!JN37/'Total Value'!$D37-1)</f>
        <v/>
      </c>
      <c r="JO25" s="14" t="str">
        <f ca="1">IF(JO$1="","",'Total Value'!JO37/'Total Value'!$D37-1)</f>
        <v/>
      </c>
      <c r="JP25" s="14" t="str">
        <f ca="1">IF(JP$1="","",'Total Value'!JP37/'Total Value'!$D37-1)</f>
        <v/>
      </c>
      <c r="JQ25" s="14" t="str">
        <f ca="1">IF(JQ$1="","",'Total Value'!JQ37/'Total Value'!$D37-1)</f>
        <v/>
      </c>
      <c r="JR25" s="14" t="str">
        <f ca="1">IF(JR$1="","",'Total Value'!JR37/'Total Value'!$D37-1)</f>
        <v/>
      </c>
      <c r="JS25" s="14" t="str">
        <f ca="1">IF(JS$1="","",'Total Value'!JS37/'Total Value'!$D37-1)</f>
        <v/>
      </c>
      <c r="JT25" s="14" t="str">
        <f ca="1">IF(JT$1="","",'Total Value'!JT37/'Total Value'!$D37-1)</f>
        <v/>
      </c>
      <c r="JU25" s="14" t="str">
        <f ca="1">IF(JU$1="","",'Total Value'!JU37/'Total Value'!$D37-1)</f>
        <v/>
      </c>
      <c r="JV25" s="14" t="str">
        <f ca="1">IF(JV$1="","",'Total Value'!JV37/'Total Value'!$D37-1)</f>
        <v/>
      </c>
      <c r="JW25" s="14" t="str">
        <f ca="1">IF(JW$1="","",'Total Value'!JW37/'Total Value'!$D37-1)</f>
        <v/>
      </c>
      <c r="JX25" s="14" t="str">
        <f ca="1">IF(JX$1="","",'Total Value'!JX37/'Total Value'!$D37-1)</f>
        <v/>
      </c>
      <c r="JY25" s="14" t="str">
        <f ca="1">IF(JY$1="","",'Total Value'!JY37/'Total Value'!$D37-1)</f>
        <v/>
      </c>
      <c r="JZ25" s="14" t="str">
        <f ca="1">IF(JZ$1="","",'Total Value'!JZ37/'Total Value'!$D37-1)</f>
        <v/>
      </c>
      <c r="KA25" s="14" t="str">
        <f ca="1">IF(KA$1="","",'Total Value'!KA37/'Total Value'!$D37-1)</f>
        <v/>
      </c>
      <c r="KB25" s="14" t="str">
        <f ca="1">IF(KB$1="","",'Total Value'!KB37/'Total Value'!$D37-1)</f>
        <v/>
      </c>
    </row>
    <row r="26" spans="1:288" ht="15.75" customHeight="1">
      <c r="A26" s="9" t="s">
        <v>30</v>
      </c>
      <c r="B26" s="6" t="s">
        <v>70</v>
      </c>
      <c r="C26" s="26">
        <v>65</v>
      </c>
      <c r="D26" s="13">
        <v>0</v>
      </c>
      <c r="E26" s="14">
        <f ca="1">IF(E$1="","",'Total Value'!E38/'Total Value'!$D38-1)</f>
        <v>4.6982291290205147E-3</v>
      </c>
      <c r="F26" s="14">
        <f ca="1">IF(F$1="","",'Total Value'!F38/'Total Value'!$D38-1)</f>
        <v>6.1438380917959723E-3</v>
      </c>
      <c r="G26" s="14">
        <f ca="1">IF(G$1="","",'Total Value'!G38/'Total Value'!$D38-1)</f>
        <v>1.8070112034694663E-2</v>
      </c>
      <c r="H26" s="14">
        <f ca="1">IF(H$1="","",'Total Value'!H38/'Total Value'!$D38-1)</f>
        <v>4.8066498012287573E-2</v>
      </c>
      <c r="I26" s="14">
        <f ca="1">IF(I$1="","",'Total Value'!I38/'Total Value'!$D38-1)</f>
        <v>1.0119262739428869E-2</v>
      </c>
      <c r="J26" s="14">
        <f ca="1">IF(J$1="","",'Total Value'!J38/'Total Value'!$D38-1)</f>
        <v>-1.4094687387061877E-2</v>
      </c>
      <c r="K26" s="14">
        <f ca="1">IF(K$1="","",'Total Value'!K38/'Total Value'!$D38-1)</f>
        <v>-1.5178894109143526E-2</v>
      </c>
      <c r="L26" s="14">
        <f ca="1">IF(L$1="","",'Total Value'!L38/'Total Value'!$D38-1)</f>
        <v>-2.7827972533429834E-2</v>
      </c>
      <c r="M26" s="14">
        <f ca="1">IF(M$1="","",'Total Value'!M38/'Total Value'!$D38-1)</f>
        <v>-1.7708709794000743E-2</v>
      </c>
      <c r="N26" s="14">
        <f ca="1">IF(N$1="","",'Total Value'!N38/'Total Value'!$D38-1)</f>
        <v>-2.4936754607878697E-2</v>
      </c>
      <c r="O26" s="14">
        <f ca="1">IF(O$1="","",'Total Value'!O38/'Total Value'!$D38-1)</f>
        <v>-1.4094687387061877E-2</v>
      </c>
      <c r="P26" s="14">
        <f ca="1">IF(P$1="","",'Total Value'!P38/'Total Value'!$D38-1)</f>
        <v>-3.9392844235634494E-2</v>
      </c>
      <c r="Q26" s="14">
        <f ca="1">IF(Q$1="","",'Total Value'!Q38/'Total Value'!$D38-1)</f>
        <v>-4.0115648717022223E-2</v>
      </c>
      <c r="R26" s="14">
        <f ca="1">IF(R$1="","",'Total Value'!R38/'Total Value'!$D38-1)</f>
        <v>-4.2284062161185521E-2</v>
      </c>
      <c r="S26" s="14">
        <f ca="1">IF(S$1="","",'Total Value'!S38/'Total Value'!$D38-1)</f>
        <v>5.0596313697142126E-3</v>
      </c>
      <c r="T26" s="14">
        <f ca="1">IF(T$1="","",'Total Value'!T38/'Total Value'!$D38-1)</f>
        <v>1.0119262739428869E-2</v>
      </c>
      <c r="U26" s="14">
        <f ca="1">IF(U$1="","",'Total Value'!U38/'Total Value'!$D38-1)</f>
        <v>-6.1438380917963054E-3</v>
      </c>
      <c r="V26" s="14">
        <f ca="1">IF(V$1="","",'Total Value'!V38/'Total Value'!$D38-1)</f>
        <v>-1.301048066498034E-2</v>
      </c>
      <c r="W26" s="14">
        <f ca="1">IF(W$1="","",'Total Value'!W38/'Total Value'!$D38-1)</f>
        <v>-9.0350560173473315E-3</v>
      </c>
      <c r="X26" s="14">
        <f ca="1">IF(X$1="","",'Total Value'!X38/'Total Value'!$D38-1)</f>
        <v>2.5298156848572395E-2</v>
      </c>
      <c r="Y26" s="14">
        <f ca="1">IF(Y$1="","",'Total Value'!Y38/'Total Value'!$D38-1)</f>
        <v>5.6378749548247065E-2</v>
      </c>
      <c r="Z26" s="14">
        <f ca="1">IF(Z$1="","",'Total Value'!Z38/'Total Value'!$D38-1)</f>
        <v>5.095771593783871E-2</v>
      </c>
      <c r="AA26" s="14">
        <f ca="1">IF(AA$1="","",'Total Value'!AA38/'Total Value'!$D38-1)</f>
        <v>3.4333212865919727E-2</v>
      </c>
      <c r="AB26" s="14">
        <f ca="1">IF(AB$1="","",'Total Value'!AB38/'Total Value'!$D38-1)</f>
        <v>2.2768341163715178E-2</v>
      </c>
      <c r="AC26" s="14">
        <f ca="1">IF(AC$1="","",'Total Value'!AC38/'Total Value'!$D38-1)</f>
        <v>6.5775207806288316E-2</v>
      </c>
      <c r="AD26" s="14">
        <f ca="1">IF(AD$1="","",'Total Value'!AD38/'Total Value'!$D38-1)</f>
        <v>9.1796169136248551E-2</v>
      </c>
      <c r="AE26" s="14">
        <f ca="1">IF(AE$1="","",'Total Value'!AE38/'Total Value'!$D38-1)</f>
        <v>7.1557643657390591E-2</v>
      </c>
      <c r="AF26" s="14">
        <f ca="1">IF(AF$1="","",'Total Value'!AF38/'Total Value'!$D38-1)</f>
        <v>5.8908565233104282E-2</v>
      </c>
      <c r="AG26" s="14">
        <f ca="1">IF(AG$1="","",'Total Value'!AG38/'Total Value'!$D38-1)</f>
        <v>5.6378749548247065E-2</v>
      </c>
      <c r="AH26" s="14">
        <f ca="1">IF(AH$1="","",'Total Value'!AH38/'Total Value'!$D38-1)</f>
        <v>3.071919045898075E-2</v>
      </c>
      <c r="AI26" s="14">
        <f ca="1">IF(AI$1="","",'Total Value'!AI38/'Total Value'!$D38-1)</f>
        <v>2.6743765811348075E-2</v>
      </c>
      <c r="AJ26" s="14">
        <f ca="1">IF(AJ$1="","",'Total Value'!AJ38/'Total Value'!$D38-1)</f>
        <v>0.10083122515359588</v>
      </c>
      <c r="AK26" s="14">
        <f ca="1">IF(AK$1="","",'Total Value'!AK38/'Total Value'!$D38-1)</f>
        <v>0.10986628117094321</v>
      </c>
      <c r="AL26" s="14">
        <f ca="1">IF(AL$1="","",'Total Value'!AL38/'Total Value'!$D38-1)</f>
        <v>7.6978677267798945E-2</v>
      </c>
      <c r="AM26" s="14">
        <f ca="1">IF(AM$1="","",'Total Value'!AM38/'Total Value'!$D38-1)</f>
        <v>0.12359956631731106</v>
      </c>
      <c r="AN26" s="14">
        <f ca="1">IF(AN$1="","",'Total Value'!AN38/'Total Value'!$D38-1)</f>
        <v>0.11637152150343333</v>
      </c>
      <c r="AO26" s="14">
        <f ca="1">IF(AO$1="","",'Total Value'!AO38/'Total Value'!$D38-1)</f>
        <v>5.7462956270328824E-2</v>
      </c>
      <c r="AP26" s="14">
        <f ca="1">IF(AP$1="","",'Total Value'!AP38/'Total Value'!$D38-1)</f>
        <v>-7.2280448138783981E-4</v>
      </c>
      <c r="AQ26" s="14">
        <f ca="1">IF(AQ$1="","",'Total Value'!AQ38/'Total Value'!$D38-1)</f>
        <v>1.3371882905673926E-2</v>
      </c>
      <c r="AR26" s="14">
        <f ca="1">IF(AR$1="","",'Total Value'!AR38/'Total Value'!$D38-1)</f>
        <v>6.6859414528369854E-2</v>
      </c>
      <c r="AS26" s="14">
        <f ca="1">IF(AS$1="","",'Total Value'!AS38/'Total Value'!$D38-1)</f>
        <v>7.8785688471268323E-2</v>
      </c>
      <c r="AT26" s="14">
        <f ca="1">IF(AT$1="","",'Total Value'!AT38/'Total Value'!$D38-1)</f>
        <v>0.10769786772677969</v>
      </c>
      <c r="AU26" s="14">
        <f ca="1">IF(AU$1="","",'Total Value'!AU38/'Total Value'!$D38-1)</f>
        <v>0.15142753885074089</v>
      </c>
      <c r="AV26" s="14">
        <f ca="1">IF(AV$1="","",'Total Value'!AV38/'Total Value'!$D38-1)</f>
        <v>0.16226960607155738</v>
      </c>
      <c r="AW26" s="14">
        <f ca="1">IF(AW$1="","",'Total Value'!AW38/'Total Value'!$D38-1)</f>
        <v>0.18033971810625204</v>
      </c>
      <c r="AX26" s="14">
        <f ca="1">IF(AX$1="","",'Total Value'!AX38/'Total Value'!$D38-1)</f>
        <v>0.19335019877123227</v>
      </c>
      <c r="AY26" s="14">
        <f ca="1">IF(AY$1="","",'Total Value'!AY38/'Total Value'!$D38-1)</f>
        <v>0.17491868449584391</v>
      </c>
      <c r="AZ26" s="14">
        <f ca="1">IF(AZ$1="","",'Total Value'!AZ38/'Total Value'!$D38-1)</f>
        <v>0.17347307553306801</v>
      </c>
      <c r="BA26" s="14">
        <f ca="1">IF(BA$1="","",'Total Value'!BA38/'Total Value'!$D38-1)</f>
        <v>0.22081676906396819</v>
      </c>
      <c r="BB26" s="14">
        <f ca="1">IF(BB$1="","",'Total Value'!BB38/'Total Value'!$D38-1)</f>
        <v>0.20925189736176364</v>
      </c>
      <c r="BC26" s="14">
        <f ca="1">IF(BC$1="","",'Total Value'!BC38/'Total Value'!$D38-1)</f>
        <v>0.21105890856523302</v>
      </c>
      <c r="BD26" s="14">
        <f ca="1">IF(BD$1="","",'Total Value'!BD38/'Total Value'!$D38-1)</f>
        <v>0.20708348391760012</v>
      </c>
      <c r="BE26" s="14">
        <f ca="1">IF(BE$1="","",'Total Value'!BE38/'Total Value'!$D38-1)</f>
        <v>0.18901337188290546</v>
      </c>
      <c r="BF26" s="14">
        <f ca="1">IF(BF$1="","",'Total Value'!BF38/'Total Value'!$D38-1)</f>
        <v>0.19082038308637506</v>
      </c>
      <c r="BG26" s="14">
        <f ca="1">IF(BG$1="","",'Total Value'!BG38/'Total Value'!$D38-1)</f>
        <v>0.16660643295988442</v>
      </c>
      <c r="BH26" s="14">
        <f ca="1">IF(BH$1="","",'Total Value'!BH38/'Total Value'!$D38-1)</f>
        <v>0.16154680159016976</v>
      </c>
      <c r="BI26" s="14">
        <f ca="1">IF(BI$1="","",'Total Value'!BI38/'Total Value'!$D38-1)</f>
        <v>0.16046259486808823</v>
      </c>
      <c r="BJ26" s="14">
        <f ca="1">IF(BJ$1="","",'Total Value'!BJ38/'Total Value'!$D38-1)</f>
        <v>0.15359595229490419</v>
      </c>
      <c r="BK26" s="14">
        <f ca="1">IF(BK$1="","",'Total Value'!BK38/'Total Value'!$D38-1)</f>
        <v>0.14239248283339356</v>
      </c>
      <c r="BL26" s="14">
        <f ca="1">IF(BL$1="","",'Total Value'!BL38/'Total Value'!$D38-1)</f>
        <v>0.11167329237441259</v>
      </c>
      <c r="BM26" s="14">
        <f ca="1">IF(BM$1="","",'Total Value'!BM38/'Total Value'!$D38-1)</f>
        <v>9.7578604987350825E-2</v>
      </c>
      <c r="BN26" s="14">
        <f ca="1">IF(BN$1="","",'Total Value'!BN38/'Total Value'!$D38-1)</f>
        <v>9.3603180339718151E-2</v>
      </c>
      <c r="BO26" s="14">
        <f ca="1">IF(BO$1="","",'Total Value'!BO38/'Total Value'!$D38-1)</f>
        <v>9.2157571376942471E-2</v>
      </c>
      <c r="BP26" s="14">
        <f ca="1">IF(BP$1="","",'Total Value'!BP38/'Total Value'!$D38-1)</f>
        <v>8.7459342247921734E-2</v>
      </c>
      <c r="BQ26" s="14">
        <f ca="1">IF(BQ$1="","",'Total Value'!BQ38/'Total Value'!$D38-1)</f>
        <v>0.1225153595952293</v>
      </c>
      <c r="BR26" s="14">
        <f ca="1">IF(BR$1="","",'Total Value'!BR38/'Total Value'!$D38-1)</f>
        <v>0.11311890133718827</v>
      </c>
      <c r="BS26" s="14">
        <f ca="1">IF(BS$1="","",'Total Value'!BS38/'Total Value'!$D38-1)</f>
        <v>0.1055294542826164</v>
      </c>
      <c r="BT26" s="14">
        <f ca="1">IF(BT$1="","",'Total Value'!BT38/'Total Value'!$D38-1)</f>
        <v>0.13950126490784243</v>
      </c>
      <c r="BU26" s="14">
        <f ca="1">IF(BU$1="","",'Total Value'!BU38/'Total Value'!$D38-1)</f>
        <v>0.15720997470184317</v>
      </c>
      <c r="BV26" s="14">
        <f ca="1">IF(BV$1="","",'Total Value'!BV38/'Total Value'!$D38-1)</f>
        <v>0.14817491868449584</v>
      </c>
      <c r="BW26" s="14">
        <f ca="1">IF(BW$1="","",'Total Value'!BW38/'Total Value'!$D38-1)</f>
        <v>0.1055294542826164</v>
      </c>
      <c r="BX26" s="14">
        <f ca="1">IF(BX$1="","",'Total Value'!BX38/'Total Value'!$D38-1)</f>
        <v>0.1055294542826164</v>
      </c>
      <c r="BY26" s="14">
        <f ca="1">IF(BY$1="","",'Total Value'!BY38/'Total Value'!$D38-1)</f>
        <v>6.5775207806288316E-2</v>
      </c>
      <c r="BZ26" s="14">
        <f ca="1">IF(BZ$1="","",'Total Value'!BZ38/'Total Value'!$D38-1)</f>
        <v>7.4448861582941728E-2</v>
      </c>
      <c r="CA26" s="14">
        <f ca="1">IF(CA$1="","",'Total Value'!CA38/'Total Value'!$D38-1)</f>
        <v>7.4810263823635648E-2</v>
      </c>
      <c r="CB26" s="14">
        <f ca="1">IF(CB$1="","",'Total Value'!CB38/'Total Value'!$D38-1)</f>
        <v>5.2403324900614168E-2</v>
      </c>
      <c r="CC26" s="14">
        <f ca="1">IF(CC$1="","",'Total Value'!CC38/'Total Value'!$D38-1)</f>
        <v>6.2522587640043259E-2</v>
      </c>
      <c r="CD26" s="14">
        <f ca="1">IF(CD$1="","",'Total Value'!CD38/'Total Value'!$D38-1)</f>
        <v>9.7217202746656906E-2</v>
      </c>
      <c r="CE26" s="14">
        <f ca="1">IF(CE$1="","",'Total Value'!CE38/'Total Value'!$D38-1)</f>
        <v>0.11781713046620879</v>
      </c>
      <c r="CF26" s="14" t="str">
        <f ca="1">IF(CF$1="","",'Total Value'!CF38/'Total Value'!$D38-1)</f>
        <v/>
      </c>
      <c r="CG26" s="14" t="str">
        <f ca="1">IF(CG$1="","",'Total Value'!CG38/'Total Value'!$D38-1)</f>
        <v/>
      </c>
      <c r="CH26" s="14" t="str">
        <f ca="1">IF(CH$1="","",'Total Value'!CH38/'Total Value'!$D38-1)</f>
        <v/>
      </c>
      <c r="CI26" s="14" t="str">
        <f ca="1">IF(CI$1="","",'Total Value'!CI38/'Total Value'!$D38-1)</f>
        <v/>
      </c>
      <c r="CJ26" s="14" t="str">
        <f ca="1">IF(CJ$1="","",'Total Value'!CJ38/'Total Value'!$D38-1)</f>
        <v/>
      </c>
      <c r="CK26" s="14" t="str">
        <f ca="1">IF(CK$1="","",'Total Value'!CK38/'Total Value'!$D38-1)</f>
        <v/>
      </c>
      <c r="CL26" s="14" t="str">
        <f ca="1">IF(CL$1="","",'Total Value'!CL38/'Total Value'!$D38-1)</f>
        <v/>
      </c>
      <c r="CM26" s="14" t="str">
        <f ca="1">IF(CM$1="","",'Total Value'!CM38/'Total Value'!$D38-1)</f>
        <v/>
      </c>
      <c r="CN26" s="14" t="str">
        <f ca="1">IF(CN$1="","",'Total Value'!CN38/'Total Value'!$D38-1)</f>
        <v/>
      </c>
      <c r="CO26" s="14" t="str">
        <f ca="1">IF(CO$1="","",'Total Value'!CO38/'Total Value'!$D38-1)</f>
        <v/>
      </c>
      <c r="CP26" s="14" t="str">
        <f ca="1">IF(CP$1="","",'Total Value'!CP38/'Total Value'!$D38-1)</f>
        <v/>
      </c>
      <c r="CQ26" s="14" t="str">
        <f ca="1">IF(CQ$1="","",'Total Value'!CQ38/'Total Value'!$D38-1)</f>
        <v/>
      </c>
      <c r="CR26" s="14" t="str">
        <f ca="1">IF(CR$1="","",'Total Value'!CR38/'Total Value'!$D38-1)</f>
        <v/>
      </c>
      <c r="CS26" s="14" t="str">
        <f ca="1">IF(CS$1="","",'Total Value'!CS38/'Total Value'!$D38-1)</f>
        <v/>
      </c>
      <c r="CT26" s="14" t="str">
        <f ca="1">IF(CT$1="","",'Total Value'!CT38/'Total Value'!$D38-1)</f>
        <v/>
      </c>
      <c r="CU26" s="14" t="str">
        <f ca="1">IF(CU$1="","",'Total Value'!CU38/'Total Value'!$D38-1)</f>
        <v/>
      </c>
      <c r="CV26" s="14" t="str">
        <f ca="1">IF(CV$1="","",'Total Value'!CV38/'Total Value'!$D38-1)</f>
        <v/>
      </c>
      <c r="CW26" s="14" t="str">
        <f ca="1">IF(CW$1="","",'Total Value'!CW38/'Total Value'!$D38-1)</f>
        <v/>
      </c>
      <c r="CX26" s="14" t="str">
        <f ca="1">IF(CX$1="","",'Total Value'!CX38/'Total Value'!$D38-1)</f>
        <v/>
      </c>
      <c r="CY26" s="14" t="str">
        <f ca="1">IF(CY$1="","",'Total Value'!CY38/'Total Value'!$D38-1)</f>
        <v/>
      </c>
      <c r="CZ26" s="14" t="str">
        <f ca="1">IF(CZ$1="","",'Total Value'!CZ38/'Total Value'!$D38-1)</f>
        <v/>
      </c>
      <c r="DA26" s="14" t="str">
        <f ca="1">IF(DA$1="","",'Total Value'!DA38/'Total Value'!$D38-1)</f>
        <v/>
      </c>
      <c r="DB26" s="14" t="str">
        <f ca="1">IF(DB$1="","",'Total Value'!DB38/'Total Value'!$D38-1)</f>
        <v/>
      </c>
      <c r="DC26" s="14" t="str">
        <f ca="1">IF(DC$1="","",'Total Value'!DC38/'Total Value'!$D38-1)</f>
        <v/>
      </c>
      <c r="DD26" s="14" t="str">
        <f ca="1">IF(DD$1="","",'Total Value'!DD38/'Total Value'!$D38-1)</f>
        <v/>
      </c>
      <c r="DE26" s="14" t="str">
        <f ca="1">IF(DE$1="","",'Total Value'!DE38/'Total Value'!$D38-1)</f>
        <v/>
      </c>
      <c r="DF26" s="14" t="str">
        <f ca="1">IF(DF$1="","",'Total Value'!DF38/'Total Value'!$D38-1)</f>
        <v/>
      </c>
      <c r="DG26" s="14" t="str">
        <f ca="1">IF(DG$1="","",'Total Value'!DG38/'Total Value'!$D38-1)</f>
        <v/>
      </c>
      <c r="DH26" s="14" t="str">
        <f ca="1">IF(DH$1="","",'Total Value'!DH38/'Total Value'!$D38-1)</f>
        <v/>
      </c>
      <c r="DI26" s="14" t="str">
        <f ca="1">IF(DI$1="","",'Total Value'!DI38/'Total Value'!$D38-1)</f>
        <v/>
      </c>
      <c r="DJ26" s="14" t="str">
        <f ca="1">IF(DJ$1="","",'Total Value'!DJ38/'Total Value'!$D38-1)</f>
        <v/>
      </c>
      <c r="DK26" s="14" t="str">
        <f ca="1">IF(DK$1="","",'Total Value'!DK38/'Total Value'!$D38-1)</f>
        <v/>
      </c>
      <c r="DL26" s="14" t="str">
        <f ca="1">IF(DL$1="","",'Total Value'!DL38/'Total Value'!$D38-1)</f>
        <v/>
      </c>
      <c r="DM26" s="14" t="str">
        <f ca="1">IF(DM$1="","",'Total Value'!DM38/'Total Value'!$D38-1)</f>
        <v/>
      </c>
      <c r="DN26" s="14" t="str">
        <f ca="1">IF(DN$1="","",'Total Value'!DN38/'Total Value'!$D38-1)</f>
        <v/>
      </c>
      <c r="DO26" s="14" t="str">
        <f ca="1">IF(DO$1="","",'Total Value'!DO38/'Total Value'!$D38-1)</f>
        <v/>
      </c>
      <c r="DP26" s="14" t="str">
        <f ca="1">IF(DP$1="","",'Total Value'!DP38/'Total Value'!$D38-1)</f>
        <v/>
      </c>
      <c r="DQ26" s="14" t="str">
        <f ca="1">IF(DQ$1="","",'Total Value'!DQ38/'Total Value'!$D38-1)</f>
        <v/>
      </c>
      <c r="DR26" s="14" t="str">
        <f ca="1">IF(DR$1="","",'Total Value'!DR38/'Total Value'!$D38-1)</f>
        <v/>
      </c>
      <c r="DS26" s="14" t="str">
        <f ca="1">IF(DS$1="","",'Total Value'!DS38/'Total Value'!$D38-1)</f>
        <v/>
      </c>
      <c r="DT26" s="14" t="str">
        <f ca="1">IF(DT$1="","",'Total Value'!DT38/'Total Value'!$D38-1)</f>
        <v/>
      </c>
      <c r="DU26" s="14" t="str">
        <f ca="1">IF(DU$1="","",'Total Value'!DU38/'Total Value'!$D38-1)</f>
        <v/>
      </c>
      <c r="DV26" s="14" t="str">
        <f ca="1">IF(DV$1="","",'Total Value'!DV38/'Total Value'!$D38-1)</f>
        <v/>
      </c>
      <c r="DW26" s="14" t="str">
        <f ca="1">IF(DW$1="","",'Total Value'!DW38/'Total Value'!$D38-1)</f>
        <v/>
      </c>
      <c r="DX26" s="14" t="str">
        <f ca="1">IF(DX$1="","",'Total Value'!DX38/'Total Value'!$D38-1)</f>
        <v/>
      </c>
      <c r="DY26" s="14" t="str">
        <f ca="1">IF(DY$1="","",'Total Value'!DY38/'Total Value'!$D38-1)</f>
        <v/>
      </c>
      <c r="DZ26" s="14" t="str">
        <f ca="1">IF(DZ$1="","",'Total Value'!DZ38/'Total Value'!$D38-1)</f>
        <v/>
      </c>
      <c r="EA26" s="14" t="str">
        <f ca="1">IF(EA$1="","",'Total Value'!EA38/'Total Value'!$D38-1)</f>
        <v/>
      </c>
      <c r="EB26" s="14" t="str">
        <f ca="1">IF(EB$1="","",'Total Value'!EB38/'Total Value'!$D38-1)</f>
        <v/>
      </c>
      <c r="EC26" s="14" t="str">
        <f ca="1">IF(EC$1="","",'Total Value'!EC38/'Total Value'!$D38-1)</f>
        <v/>
      </c>
      <c r="ED26" s="14" t="str">
        <f ca="1">IF(ED$1="","",'Total Value'!ED38/'Total Value'!$D38-1)</f>
        <v/>
      </c>
      <c r="EE26" s="14" t="str">
        <f ca="1">IF(EE$1="","",'Total Value'!EE38/'Total Value'!$D38-1)</f>
        <v/>
      </c>
      <c r="EF26" s="14" t="str">
        <f ca="1">IF(EF$1="","",'Total Value'!EF38/'Total Value'!$D38-1)</f>
        <v/>
      </c>
      <c r="EG26" s="14" t="str">
        <f ca="1">IF(EG$1="","",'Total Value'!EG38/'Total Value'!$D38-1)</f>
        <v/>
      </c>
      <c r="EH26" s="14" t="str">
        <f ca="1">IF(EH$1="","",'Total Value'!EH38/'Total Value'!$D38-1)</f>
        <v/>
      </c>
      <c r="EI26" s="14" t="str">
        <f ca="1">IF(EI$1="","",'Total Value'!EI38/'Total Value'!$D38-1)</f>
        <v/>
      </c>
      <c r="EJ26" s="14" t="str">
        <f ca="1">IF(EJ$1="","",'Total Value'!EJ38/'Total Value'!$D38-1)</f>
        <v/>
      </c>
      <c r="EK26" s="14" t="str">
        <f ca="1">IF(EK$1="","",'Total Value'!EK38/'Total Value'!$D38-1)</f>
        <v/>
      </c>
      <c r="EL26" s="14" t="str">
        <f ca="1">IF(EL$1="","",'Total Value'!EL38/'Total Value'!$D38-1)</f>
        <v/>
      </c>
      <c r="EM26" s="14" t="str">
        <f ca="1">IF(EM$1="","",'Total Value'!EM38/'Total Value'!$D38-1)</f>
        <v/>
      </c>
      <c r="EN26" s="14" t="str">
        <f ca="1">IF(EN$1="","",'Total Value'!EN38/'Total Value'!$D38-1)</f>
        <v/>
      </c>
      <c r="EO26" s="14" t="str">
        <f ca="1">IF(EO$1="","",'Total Value'!EO38/'Total Value'!$D38-1)</f>
        <v/>
      </c>
      <c r="EP26" s="14" t="str">
        <f ca="1">IF(EP$1="","",'Total Value'!EP38/'Total Value'!$D38-1)</f>
        <v/>
      </c>
      <c r="EQ26" s="14" t="str">
        <f ca="1">IF(EQ$1="","",'Total Value'!EQ38/'Total Value'!$D38-1)</f>
        <v/>
      </c>
      <c r="ER26" s="14" t="str">
        <f ca="1">IF(ER$1="","",'Total Value'!ER38/'Total Value'!$D38-1)</f>
        <v/>
      </c>
      <c r="ES26" s="14" t="str">
        <f ca="1">IF(ES$1="","",'Total Value'!ES38/'Total Value'!$D38-1)</f>
        <v/>
      </c>
      <c r="ET26" s="14" t="str">
        <f ca="1">IF(ET$1="","",'Total Value'!ET38/'Total Value'!$D38-1)</f>
        <v/>
      </c>
      <c r="EU26" s="14" t="str">
        <f ca="1">IF(EU$1="","",'Total Value'!EU38/'Total Value'!$D38-1)</f>
        <v/>
      </c>
      <c r="EV26" s="14" t="str">
        <f ca="1">IF(EV$1="","",'Total Value'!EV38/'Total Value'!$D38-1)</f>
        <v/>
      </c>
      <c r="EW26" s="14" t="str">
        <f ca="1">IF(EW$1="","",'Total Value'!EW38/'Total Value'!$D38-1)</f>
        <v/>
      </c>
      <c r="EX26" s="14" t="str">
        <f ca="1">IF(EX$1="","",'Total Value'!EX38/'Total Value'!$D38-1)</f>
        <v/>
      </c>
      <c r="EY26" s="14" t="str">
        <f ca="1">IF(EY$1="","",'Total Value'!EY38/'Total Value'!$D38-1)</f>
        <v/>
      </c>
      <c r="EZ26" s="14" t="str">
        <f ca="1">IF(EZ$1="","",'Total Value'!EZ38/'Total Value'!$D38-1)</f>
        <v/>
      </c>
      <c r="FA26" s="14" t="str">
        <f ca="1">IF(FA$1="","",'Total Value'!FA38/'Total Value'!$D38-1)</f>
        <v/>
      </c>
      <c r="FB26" s="14" t="str">
        <f ca="1">IF(FB$1="","",'Total Value'!FB38/'Total Value'!$D38-1)</f>
        <v/>
      </c>
      <c r="FC26" s="14" t="str">
        <f ca="1">IF(FC$1="","",'Total Value'!FC38/'Total Value'!$D38-1)</f>
        <v/>
      </c>
      <c r="FD26" s="14" t="str">
        <f ca="1">IF(FD$1="","",'Total Value'!FD38/'Total Value'!$D38-1)</f>
        <v/>
      </c>
      <c r="FE26" s="14" t="str">
        <f ca="1">IF(FE$1="","",'Total Value'!FE38/'Total Value'!$D38-1)</f>
        <v/>
      </c>
      <c r="FF26" s="14" t="str">
        <f ca="1">IF(FF$1="","",'Total Value'!FF38/'Total Value'!$D38-1)</f>
        <v/>
      </c>
      <c r="FG26" s="14" t="str">
        <f ca="1">IF(FG$1="","",'Total Value'!FG38/'Total Value'!$D38-1)</f>
        <v/>
      </c>
      <c r="FH26" s="14" t="str">
        <f ca="1">IF(FH$1="","",'Total Value'!FH38/'Total Value'!$D38-1)</f>
        <v/>
      </c>
      <c r="FI26" s="14" t="str">
        <f ca="1">IF(FI$1="","",'Total Value'!FI38/'Total Value'!$D38-1)</f>
        <v/>
      </c>
      <c r="FJ26" s="14" t="str">
        <f ca="1">IF(FJ$1="","",'Total Value'!FJ38/'Total Value'!$D38-1)</f>
        <v/>
      </c>
      <c r="FK26" s="14" t="str">
        <f ca="1">IF(FK$1="","",'Total Value'!FK38/'Total Value'!$D38-1)</f>
        <v/>
      </c>
      <c r="FL26" s="14" t="str">
        <f ca="1">IF(FL$1="","",'Total Value'!FL38/'Total Value'!$D38-1)</f>
        <v/>
      </c>
      <c r="FM26" s="14" t="str">
        <f ca="1">IF(FM$1="","",'Total Value'!FM38/'Total Value'!$D38-1)</f>
        <v/>
      </c>
      <c r="FN26" s="14" t="str">
        <f ca="1">IF(FN$1="","",'Total Value'!FN38/'Total Value'!$D38-1)</f>
        <v/>
      </c>
      <c r="FO26" s="14" t="str">
        <f ca="1">IF(FO$1="","",'Total Value'!FO38/'Total Value'!$D38-1)</f>
        <v/>
      </c>
      <c r="FP26" s="14" t="str">
        <f ca="1">IF(FP$1="","",'Total Value'!FP38/'Total Value'!$D38-1)</f>
        <v/>
      </c>
      <c r="FQ26" s="14" t="str">
        <f ca="1">IF(FQ$1="","",'Total Value'!FQ38/'Total Value'!$D38-1)</f>
        <v/>
      </c>
      <c r="FR26" s="14" t="str">
        <f ca="1">IF(FR$1="","",'Total Value'!FR38/'Total Value'!$D38-1)</f>
        <v/>
      </c>
      <c r="FS26" s="14" t="str">
        <f ca="1">IF(FS$1="","",'Total Value'!FS38/'Total Value'!$D38-1)</f>
        <v/>
      </c>
      <c r="FT26" s="14" t="str">
        <f ca="1">IF(FT$1="","",'Total Value'!FT38/'Total Value'!$D38-1)</f>
        <v/>
      </c>
      <c r="FU26" s="14" t="str">
        <f ca="1">IF(FU$1="","",'Total Value'!FU38/'Total Value'!$D38-1)</f>
        <v/>
      </c>
      <c r="FV26" s="14" t="str">
        <f ca="1">IF(FV$1="","",'Total Value'!FV38/'Total Value'!$D38-1)</f>
        <v/>
      </c>
      <c r="FW26" s="14" t="str">
        <f ca="1">IF(FW$1="","",'Total Value'!FW38/'Total Value'!$D38-1)</f>
        <v/>
      </c>
      <c r="FX26" s="14" t="str">
        <f ca="1">IF(FX$1="","",'Total Value'!FX38/'Total Value'!$D38-1)</f>
        <v/>
      </c>
      <c r="FY26" s="14" t="str">
        <f ca="1">IF(FY$1="","",'Total Value'!FY38/'Total Value'!$D38-1)</f>
        <v/>
      </c>
      <c r="FZ26" s="14" t="str">
        <f ca="1">IF(FZ$1="","",'Total Value'!FZ38/'Total Value'!$D38-1)</f>
        <v/>
      </c>
      <c r="GA26" s="14" t="str">
        <f ca="1">IF(GA$1="","",'Total Value'!GA38/'Total Value'!$D38-1)</f>
        <v/>
      </c>
      <c r="GB26" s="14" t="str">
        <f ca="1">IF(GB$1="","",'Total Value'!GB38/'Total Value'!$D38-1)</f>
        <v/>
      </c>
      <c r="GC26" s="14" t="str">
        <f ca="1">IF(GC$1="","",'Total Value'!GC38/'Total Value'!$D38-1)</f>
        <v/>
      </c>
      <c r="GD26" s="14" t="str">
        <f ca="1">IF(GD$1="","",'Total Value'!GD38/'Total Value'!$D38-1)</f>
        <v/>
      </c>
      <c r="GE26" s="14" t="str">
        <f ca="1">IF(GE$1="","",'Total Value'!GE38/'Total Value'!$D38-1)</f>
        <v/>
      </c>
      <c r="GF26" s="14" t="str">
        <f ca="1">IF(GF$1="","",'Total Value'!GF38/'Total Value'!$D38-1)</f>
        <v/>
      </c>
      <c r="GG26" s="14" t="str">
        <f ca="1">IF(GG$1="","",'Total Value'!GG38/'Total Value'!$D38-1)</f>
        <v/>
      </c>
      <c r="GH26" s="14" t="str">
        <f ca="1">IF(GH$1="","",'Total Value'!GH38/'Total Value'!$D38-1)</f>
        <v/>
      </c>
      <c r="GI26" s="14" t="str">
        <f ca="1">IF(GI$1="","",'Total Value'!GI38/'Total Value'!$D38-1)</f>
        <v/>
      </c>
      <c r="GJ26" s="14" t="str">
        <f ca="1">IF(GJ$1="","",'Total Value'!GJ38/'Total Value'!$D38-1)</f>
        <v/>
      </c>
      <c r="GK26" s="14" t="str">
        <f ca="1">IF(GK$1="","",'Total Value'!GK38/'Total Value'!$D38-1)</f>
        <v/>
      </c>
      <c r="GL26" s="14" t="str">
        <f ca="1">IF(GL$1="","",'Total Value'!GL38/'Total Value'!$D38-1)</f>
        <v/>
      </c>
      <c r="GM26" s="14" t="str">
        <f ca="1">IF(GM$1="","",'Total Value'!GM38/'Total Value'!$D38-1)</f>
        <v/>
      </c>
      <c r="GN26" s="14" t="str">
        <f ca="1">IF(GN$1="","",'Total Value'!GN38/'Total Value'!$D38-1)</f>
        <v/>
      </c>
      <c r="GO26" s="14" t="str">
        <f ca="1">IF(GO$1="","",'Total Value'!GO38/'Total Value'!$D38-1)</f>
        <v/>
      </c>
      <c r="GP26" s="14" t="str">
        <f ca="1">IF(GP$1="","",'Total Value'!GP38/'Total Value'!$D38-1)</f>
        <v/>
      </c>
      <c r="GQ26" s="14" t="str">
        <f ca="1">IF(GQ$1="","",'Total Value'!GQ38/'Total Value'!$D38-1)</f>
        <v/>
      </c>
      <c r="GR26" s="14" t="str">
        <f ca="1">IF(GR$1="","",'Total Value'!GR38/'Total Value'!$D38-1)</f>
        <v/>
      </c>
      <c r="GS26" s="14" t="str">
        <f ca="1">IF(GS$1="","",'Total Value'!GS38/'Total Value'!$D38-1)</f>
        <v/>
      </c>
      <c r="GT26" s="14" t="str">
        <f ca="1">IF(GT$1="","",'Total Value'!GT38/'Total Value'!$D38-1)</f>
        <v/>
      </c>
      <c r="GU26" s="14" t="str">
        <f ca="1">IF(GU$1="","",'Total Value'!GU38/'Total Value'!$D38-1)</f>
        <v/>
      </c>
      <c r="GV26" s="14" t="str">
        <f ca="1">IF(GV$1="","",'Total Value'!GV38/'Total Value'!$D38-1)</f>
        <v/>
      </c>
      <c r="GW26" s="14" t="str">
        <f ca="1">IF(GW$1="","",'Total Value'!GW38/'Total Value'!$D38-1)</f>
        <v/>
      </c>
      <c r="GX26" s="14" t="str">
        <f ca="1">IF(GX$1="","",'Total Value'!GX38/'Total Value'!$D38-1)</f>
        <v/>
      </c>
      <c r="GY26" s="14" t="str">
        <f ca="1">IF(GY$1="","",'Total Value'!GY38/'Total Value'!$D38-1)</f>
        <v/>
      </c>
      <c r="GZ26" s="14" t="str">
        <f ca="1">IF(GZ$1="","",'Total Value'!GZ38/'Total Value'!$D38-1)</f>
        <v/>
      </c>
      <c r="HA26" s="14" t="str">
        <f ca="1">IF(HA$1="","",'Total Value'!HA38/'Total Value'!$D38-1)</f>
        <v/>
      </c>
      <c r="HB26" s="14" t="str">
        <f ca="1">IF(HB$1="","",'Total Value'!HB38/'Total Value'!$D38-1)</f>
        <v/>
      </c>
      <c r="HC26" s="14" t="str">
        <f ca="1">IF(HC$1="","",'Total Value'!HC38/'Total Value'!$D38-1)</f>
        <v/>
      </c>
      <c r="HD26" s="14" t="str">
        <f ca="1">IF(HD$1="","",'Total Value'!HD38/'Total Value'!$D38-1)</f>
        <v/>
      </c>
      <c r="HE26" s="14" t="str">
        <f ca="1">IF(HE$1="","",'Total Value'!HE38/'Total Value'!$D38-1)</f>
        <v/>
      </c>
      <c r="HF26" s="14" t="str">
        <f ca="1">IF(HF$1="","",'Total Value'!HF38/'Total Value'!$D38-1)</f>
        <v/>
      </c>
      <c r="HG26" s="14" t="str">
        <f ca="1">IF(HG$1="","",'Total Value'!HG38/'Total Value'!$D38-1)</f>
        <v/>
      </c>
      <c r="HH26" s="14" t="str">
        <f ca="1">IF(HH$1="","",'Total Value'!HH38/'Total Value'!$D38-1)</f>
        <v/>
      </c>
      <c r="HI26" s="14" t="str">
        <f ca="1">IF(HI$1="","",'Total Value'!HI38/'Total Value'!$D38-1)</f>
        <v/>
      </c>
      <c r="HJ26" s="14" t="str">
        <f ca="1">IF(HJ$1="","",'Total Value'!HJ38/'Total Value'!$D38-1)</f>
        <v/>
      </c>
      <c r="HK26" s="14" t="str">
        <f ca="1">IF(HK$1="","",'Total Value'!HK38/'Total Value'!$D38-1)</f>
        <v/>
      </c>
      <c r="HL26" s="14" t="str">
        <f ca="1">IF(HL$1="","",'Total Value'!HL38/'Total Value'!$D38-1)</f>
        <v/>
      </c>
      <c r="HM26" s="14" t="str">
        <f ca="1">IF(HM$1="","",'Total Value'!HM38/'Total Value'!$D38-1)</f>
        <v/>
      </c>
      <c r="HN26" s="14" t="str">
        <f ca="1">IF(HN$1="","",'Total Value'!HN38/'Total Value'!$D38-1)</f>
        <v/>
      </c>
      <c r="HO26" s="14" t="str">
        <f ca="1">IF(HO$1="","",'Total Value'!HO38/'Total Value'!$D38-1)</f>
        <v/>
      </c>
      <c r="HP26" s="14" t="str">
        <f ca="1">IF(HP$1="","",'Total Value'!HP38/'Total Value'!$D38-1)</f>
        <v/>
      </c>
      <c r="HQ26" s="14" t="str">
        <f ca="1">IF(HQ$1="","",'Total Value'!HQ38/'Total Value'!$D38-1)</f>
        <v/>
      </c>
      <c r="HR26" s="14" t="str">
        <f ca="1">IF(HR$1="","",'Total Value'!HR38/'Total Value'!$D38-1)</f>
        <v/>
      </c>
      <c r="HS26" s="14" t="str">
        <f ca="1">IF(HS$1="","",'Total Value'!HS38/'Total Value'!$D38-1)</f>
        <v/>
      </c>
      <c r="HT26" s="14" t="str">
        <f ca="1">IF(HT$1="","",'Total Value'!HT38/'Total Value'!$D38-1)</f>
        <v/>
      </c>
      <c r="HU26" s="14" t="str">
        <f ca="1">IF(HU$1="","",'Total Value'!HU38/'Total Value'!$D38-1)</f>
        <v/>
      </c>
      <c r="HV26" s="14" t="str">
        <f ca="1">IF(HV$1="","",'Total Value'!HV38/'Total Value'!$D38-1)</f>
        <v/>
      </c>
      <c r="HW26" s="14" t="str">
        <f ca="1">IF(HW$1="","",'Total Value'!HW38/'Total Value'!$D38-1)</f>
        <v/>
      </c>
      <c r="HX26" s="14" t="str">
        <f ca="1">IF(HX$1="","",'Total Value'!HX38/'Total Value'!$D38-1)</f>
        <v/>
      </c>
      <c r="HY26" s="14" t="str">
        <f ca="1">IF(HY$1="","",'Total Value'!HY38/'Total Value'!$D38-1)</f>
        <v/>
      </c>
      <c r="HZ26" s="14" t="str">
        <f ca="1">IF(HZ$1="","",'Total Value'!HZ38/'Total Value'!$D38-1)</f>
        <v/>
      </c>
      <c r="IA26" s="14" t="str">
        <f ca="1">IF(IA$1="","",'Total Value'!IA38/'Total Value'!$D38-1)</f>
        <v/>
      </c>
      <c r="IB26" s="14" t="str">
        <f ca="1">IF(IB$1="","",'Total Value'!IB38/'Total Value'!$D38-1)</f>
        <v/>
      </c>
      <c r="IC26" s="14" t="str">
        <f ca="1">IF(IC$1="","",'Total Value'!IC38/'Total Value'!$D38-1)</f>
        <v/>
      </c>
      <c r="ID26" s="14" t="str">
        <f ca="1">IF(ID$1="","",'Total Value'!ID38/'Total Value'!$D38-1)</f>
        <v/>
      </c>
      <c r="IE26" s="14" t="str">
        <f ca="1">IF(IE$1="","",'Total Value'!IE38/'Total Value'!$D38-1)</f>
        <v/>
      </c>
      <c r="IF26" s="14" t="str">
        <f ca="1">IF(IF$1="","",'Total Value'!IF38/'Total Value'!$D38-1)</f>
        <v/>
      </c>
      <c r="IG26" s="14" t="str">
        <f ca="1">IF(IG$1="","",'Total Value'!IG38/'Total Value'!$D38-1)</f>
        <v/>
      </c>
      <c r="IH26" s="14" t="str">
        <f ca="1">IF(IH$1="","",'Total Value'!IH38/'Total Value'!$D38-1)</f>
        <v/>
      </c>
      <c r="II26" s="14" t="str">
        <f ca="1">IF(II$1="","",'Total Value'!II38/'Total Value'!$D38-1)</f>
        <v/>
      </c>
      <c r="IJ26" s="14" t="str">
        <f ca="1">IF(IJ$1="","",'Total Value'!IJ38/'Total Value'!$D38-1)</f>
        <v/>
      </c>
      <c r="IK26" s="14" t="str">
        <f ca="1">IF(IK$1="","",'Total Value'!IK38/'Total Value'!$D38-1)</f>
        <v/>
      </c>
      <c r="IL26" s="14" t="str">
        <f ca="1">IF(IL$1="","",'Total Value'!IL38/'Total Value'!$D38-1)</f>
        <v/>
      </c>
      <c r="IM26" s="14" t="str">
        <f ca="1">IF(IM$1="","",'Total Value'!IM38/'Total Value'!$D38-1)</f>
        <v/>
      </c>
      <c r="IN26" s="14" t="str">
        <f ca="1">IF(IN$1="","",'Total Value'!IN38/'Total Value'!$D38-1)</f>
        <v/>
      </c>
      <c r="IO26" s="14" t="str">
        <f ca="1">IF(IO$1="","",'Total Value'!IO38/'Total Value'!$D38-1)</f>
        <v/>
      </c>
      <c r="IP26" s="14" t="str">
        <f ca="1">IF(IP$1="","",'Total Value'!IP38/'Total Value'!$D38-1)</f>
        <v/>
      </c>
      <c r="IQ26" s="14" t="str">
        <f ca="1">IF(IQ$1="","",'Total Value'!IQ38/'Total Value'!$D38-1)</f>
        <v/>
      </c>
      <c r="IR26" s="14" t="str">
        <f ca="1">IF(IR$1="","",'Total Value'!IR38/'Total Value'!$D38-1)</f>
        <v/>
      </c>
      <c r="IS26" s="14" t="str">
        <f ca="1">IF(IS$1="","",'Total Value'!IS38/'Total Value'!$D38-1)</f>
        <v/>
      </c>
      <c r="IT26" s="14" t="str">
        <f ca="1">IF(IT$1="","",'Total Value'!IT38/'Total Value'!$D38-1)</f>
        <v/>
      </c>
      <c r="IU26" s="14" t="str">
        <f ca="1">IF(IU$1="","",'Total Value'!IU38/'Total Value'!$D38-1)</f>
        <v/>
      </c>
      <c r="IV26" s="14" t="str">
        <f ca="1">IF(IV$1="","",'Total Value'!IV38/'Total Value'!$D38-1)</f>
        <v/>
      </c>
      <c r="IW26" s="14" t="str">
        <f ca="1">IF(IW$1="","",'Total Value'!IW38/'Total Value'!$D38-1)</f>
        <v/>
      </c>
      <c r="IX26" s="14" t="str">
        <f ca="1">IF(IX$1="","",'Total Value'!IX38/'Total Value'!$D38-1)</f>
        <v/>
      </c>
      <c r="IY26" s="14" t="str">
        <f ca="1">IF(IY$1="","",'Total Value'!IY38/'Total Value'!$D38-1)</f>
        <v/>
      </c>
      <c r="IZ26" s="14" t="str">
        <f ca="1">IF(IZ$1="","",'Total Value'!IZ38/'Total Value'!$D38-1)</f>
        <v/>
      </c>
      <c r="JA26" s="14" t="str">
        <f ca="1">IF(JA$1="","",'Total Value'!JA38/'Total Value'!$D38-1)</f>
        <v/>
      </c>
      <c r="JB26" s="14" t="str">
        <f ca="1">IF(JB$1="","",'Total Value'!JB38/'Total Value'!$D38-1)</f>
        <v/>
      </c>
      <c r="JC26" s="14" t="str">
        <f ca="1">IF(JC$1="","",'Total Value'!JC38/'Total Value'!$D38-1)</f>
        <v/>
      </c>
      <c r="JD26" s="14" t="str">
        <f ca="1">IF(JD$1="","",'Total Value'!JD38/'Total Value'!$D38-1)</f>
        <v/>
      </c>
      <c r="JE26" s="14" t="str">
        <f ca="1">IF(JE$1="","",'Total Value'!JE38/'Total Value'!$D38-1)</f>
        <v/>
      </c>
      <c r="JF26" s="14" t="str">
        <f ca="1">IF(JF$1="","",'Total Value'!JF38/'Total Value'!$D38-1)</f>
        <v/>
      </c>
      <c r="JG26" s="14" t="str">
        <f ca="1">IF(JG$1="","",'Total Value'!JG38/'Total Value'!$D38-1)</f>
        <v/>
      </c>
      <c r="JH26" s="14" t="str">
        <f ca="1">IF(JH$1="","",'Total Value'!JH38/'Total Value'!$D38-1)</f>
        <v/>
      </c>
      <c r="JI26" s="14" t="str">
        <f ca="1">IF(JI$1="","",'Total Value'!JI38/'Total Value'!$D38-1)</f>
        <v/>
      </c>
      <c r="JJ26" s="14" t="str">
        <f ca="1">IF(JJ$1="","",'Total Value'!JJ38/'Total Value'!$D38-1)</f>
        <v/>
      </c>
      <c r="JK26" s="14" t="str">
        <f ca="1">IF(JK$1="","",'Total Value'!JK38/'Total Value'!$D38-1)</f>
        <v/>
      </c>
      <c r="JL26" s="14" t="str">
        <f ca="1">IF(JL$1="","",'Total Value'!JL38/'Total Value'!$D38-1)</f>
        <v/>
      </c>
      <c r="JM26" s="14" t="str">
        <f ca="1">IF(JM$1="","",'Total Value'!JM38/'Total Value'!$D38-1)</f>
        <v/>
      </c>
      <c r="JN26" s="14" t="str">
        <f ca="1">IF(JN$1="","",'Total Value'!JN38/'Total Value'!$D38-1)</f>
        <v/>
      </c>
      <c r="JO26" s="14" t="str">
        <f ca="1">IF(JO$1="","",'Total Value'!JO38/'Total Value'!$D38-1)</f>
        <v/>
      </c>
      <c r="JP26" s="14" t="str">
        <f ca="1">IF(JP$1="","",'Total Value'!JP38/'Total Value'!$D38-1)</f>
        <v/>
      </c>
      <c r="JQ26" s="14" t="str">
        <f ca="1">IF(JQ$1="","",'Total Value'!JQ38/'Total Value'!$D38-1)</f>
        <v/>
      </c>
      <c r="JR26" s="14" t="str">
        <f ca="1">IF(JR$1="","",'Total Value'!JR38/'Total Value'!$D38-1)</f>
        <v/>
      </c>
      <c r="JS26" s="14" t="str">
        <f ca="1">IF(JS$1="","",'Total Value'!JS38/'Total Value'!$D38-1)</f>
        <v/>
      </c>
      <c r="JT26" s="14" t="str">
        <f ca="1">IF(JT$1="","",'Total Value'!JT38/'Total Value'!$D38-1)</f>
        <v/>
      </c>
      <c r="JU26" s="14" t="str">
        <f ca="1">IF(JU$1="","",'Total Value'!JU38/'Total Value'!$D38-1)</f>
        <v/>
      </c>
      <c r="JV26" s="14" t="str">
        <f ca="1">IF(JV$1="","",'Total Value'!JV38/'Total Value'!$D38-1)</f>
        <v/>
      </c>
      <c r="JW26" s="14" t="str">
        <f ca="1">IF(JW$1="","",'Total Value'!JW38/'Total Value'!$D38-1)</f>
        <v/>
      </c>
      <c r="JX26" s="14" t="str">
        <f ca="1">IF(JX$1="","",'Total Value'!JX38/'Total Value'!$D38-1)</f>
        <v/>
      </c>
      <c r="JY26" s="14" t="str">
        <f ca="1">IF(JY$1="","",'Total Value'!JY38/'Total Value'!$D38-1)</f>
        <v/>
      </c>
      <c r="JZ26" s="14" t="str">
        <f ca="1">IF(JZ$1="","",'Total Value'!JZ38/'Total Value'!$D38-1)</f>
        <v/>
      </c>
      <c r="KA26" s="14" t="str">
        <f ca="1">IF(KA$1="","",'Total Value'!KA38/'Total Value'!$D38-1)</f>
        <v/>
      </c>
      <c r="KB26" s="14" t="str">
        <f ca="1">IF(KB$1="","",'Total Value'!KB38/'Total Value'!$D38-1)</f>
        <v/>
      </c>
    </row>
    <row r="27" spans="1:288" ht="15.75" customHeight="1">
      <c r="A27" s="9" t="s">
        <v>30</v>
      </c>
      <c r="B27" s="6" t="s">
        <v>71</v>
      </c>
      <c r="C27" s="26">
        <v>129</v>
      </c>
      <c r="D27" s="13">
        <v>0</v>
      </c>
      <c r="E27" s="14">
        <f ca="1">IF(E$1="","",'Total Value'!E39/'Total Value'!$D39-1)</f>
        <v>-1.3556618819776767E-2</v>
      </c>
      <c r="F27" s="14">
        <f ca="1">IF(F$1="","",'Total Value'!F39/'Total Value'!$D39-1)</f>
        <v>-2.0733652312599715E-2</v>
      </c>
      <c r="G27" s="14">
        <f ca="1">IF(G$1="","",'Total Value'!G39/'Total Value'!$D39-1)</f>
        <v>-4.3062200956937691E-2</v>
      </c>
      <c r="H27" s="14">
        <f ca="1">IF(H$1="","",'Total Value'!H39/'Total Value'!$D39-1)</f>
        <v>-3.5087719298245612E-2</v>
      </c>
      <c r="I27" s="14">
        <f ca="1">IF(I$1="","",'Total Value'!I39/'Total Value'!$D39-1)</f>
        <v>-6.5390749601275777E-2</v>
      </c>
      <c r="J27" s="14">
        <f ca="1">IF(J$1="","",'Total Value'!J39/'Total Value'!$D39-1)</f>
        <v>-3.1897926634768536E-2</v>
      </c>
      <c r="K27" s="14">
        <f ca="1">IF(K$1="","",'Total Value'!K39/'Total Value'!$D39-1)</f>
        <v>-6.0606060606060552E-2</v>
      </c>
      <c r="L27" s="14">
        <f ca="1">IF(L$1="","",'Total Value'!L39/'Total Value'!$D39-1)</f>
        <v>-0.12679425837320568</v>
      </c>
      <c r="M27" s="14">
        <f ca="1">IF(M$1="","",'Total Value'!M39/'Total Value'!$D39-1)</f>
        <v>-0.10845295055821358</v>
      </c>
      <c r="N27" s="14">
        <f ca="1">IF(N$1="","",'Total Value'!N39/'Total Value'!$D39-1)</f>
        <v>-0.13078149920255167</v>
      </c>
      <c r="O27" s="14">
        <f ca="1">IF(O$1="","",'Total Value'!O39/'Total Value'!$D39-1)</f>
        <v>-0.15071770334928214</v>
      </c>
      <c r="P27" s="14">
        <f ca="1">IF(P$1="","",'Total Value'!P39/'Total Value'!$D39-1)</f>
        <v>-0.17384370015948969</v>
      </c>
      <c r="Q27" s="14">
        <f ca="1">IF(Q$1="","",'Total Value'!Q39/'Total Value'!$D39-1)</f>
        <v>-0.15071770334928214</v>
      </c>
      <c r="R27" s="14">
        <f ca="1">IF(R$1="","",'Total Value'!R39/'Total Value'!$D39-1)</f>
        <v>-0.11323763955342903</v>
      </c>
      <c r="S27" s="14">
        <f ca="1">IF(S$1="","",'Total Value'!S39/'Total Value'!$D39-1)</f>
        <v>-0.11802232854864425</v>
      </c>
      <c r="T27" s="14">
        <f ca="1">IF(T$1="","",'Total Value'!T39/'Total Value'!$D39-1)</f>
        <v>-0.16188197767145129</v>
      </c>
      <c r="U27" s="14">
        <f ca="1">IF(U$1="","",'Total Value'!U39/'Total Value'!$D39-1)</f>
        <v>-0.20813397129186595</v>
      </c>
      <c r="V27" s="14">
        <f ca="1">IF(V$1="","",'Total Value'!V39/'Total Value'!$D39-1)</f>
        <v>-0.16586921850079728</v>
      </c>
      <c r="W27" s="14">
        <f ca="1">IF(W$1="","",'Total Value'!W39/'Total Value'!$D39-1)</f>
        <v>-0.15629984051036683</v>
      </c>
      <c r="X27" s="14">
        <f ca="1">IF(X$1="","",'Total Value'!X39/'Total Value'!$D39-1)</f>
        <v>-0.14912280701754377</v>
      </c>
      <c r="Y27" s="14">
        <f ca="1">IF(Y$1="","",'Total Value'!Y39/'Total Value'!$D39-1)</f>
        <v>-0.1004784688995215</v>
      </c>
      <c r="Z27" s="14">
        <f ca="1">IF(Z$1="","",'Total Value'!Z39/'Total Value'!$D39-1)</f>
        <v>-0.11881977671451349</v>
      </c>
      <c r="AA27" s="14">
        <f ca="1">IF(AA$1="","",'Total Value'!AA39/'Total Value'!$D39-1)</f>
        <v>-0.12998405103668242</v>
      </c>
      <c r="AB27" s="14">
        <f ca="1">IF(AB$1="","",'Total Value'!AB39/'Total Value'!$D39-1)</f>
        <v>-0.13397129186602874</v>
      </c>
      <c r="AC27" s="14">
        <f ca="1">IF(AC$1="","",'Total Value'!AC39/'Total Value'!$D39-1)</f>
        <v>-0.10845295055821358</v>
      </c>
      <c r="AD27" s="14">
        <f ca="1">IF(AD$1="","",'Total Value'!AD39/'Total Value'!$D39-1)</f>
        <v>-0.10765550239234445</v>
      </c>
      <c r="AE27" s="14">
        <f ca="1">IF(AE$1="","",'Total Value'!AE39/'Total Value'!$D39-1)</f>
        <v>-0.1475279106858054</v>
      </c>
      <c r="AF27" s="14">
        <f ca="1">IF(AF$1="","",'Total Value'!AF39/'Total Value'!$D39-1)</f>
        <v>-0.15869218500797433</v>
      </c>
      <c r="AG27" s="14">
        <f ca="1">IF(AG$1="","",'Total Value'!AG39/'Total Value'!$D39-1)</f>
        <v>-0.1762360446570973</v>
      </c>
      <c r="AH27" s="14">
        <f ca="1">IF(AH$1="","",'Total Value'!AH39/'Total Value'!$D39-1)</f>
        <v>-0.22009569377990434</v>
      </c>
      <c r="AI27" s="14">
        <f ca="1">IF(AI$1="","",'Total Value'!AI39/'Total Value'!$D39-1)</f>
        <v>-0.1866028708133971</v>
      </c>
      <c r="AJ27" s="14">
        <f ca="1">IF(AJ$1="","",'Total Value'!AJ39/'Total Value'!$D39-1)</f>
        <v>-0.20414673046251985</v>
      </c>
      <c r="AK27" s="14">
        <f ca="1">IF(AK$1="","",'Total Value'!AK39/'Total Value'!$D39-1)</f>
        <v>-0.18341307814992014</v>
      </c>
      <c r="AL27" s="14">
        <f ca="1">IF(AL$1="","",'Total Value'!AL39/'Total Value'!$D39-1)</f>
        <v>-0.12440191387559796</v>
      </c>
      <c r="AM27" s="14">
        <f ca="1">IF(AM$1="","",'Total Value'!AM39/'Total Value'!$D39-1)</f>
        <v>-0.14274322169059006</v>
      </c>
      <c r="AN27" s="14">
        <f ca="1">IF(AN$1="","",'Total Value'!AN39/'Total Value'!$D39-1)</f>
        <v>-0.15470494417862835</v>
      </c>
      <c r="AO27" s="14">
        <f ca="1">IF(AO$1="","",'Total Value'!AO39/'Total Value'!$D39-1)</f>
        <v>-0.16267942583732053</v>
      </c>
      <c r="AP27" s="14">
        <f ca="1">IF(AP$1="","",'Total Value'!AP39/'Total Value'!$D39-1)</f>
        <v>-0.19298245614035092</v>
      </c>
      <c r="AQ27" s="14">
        <f ca="1">IF(AQ$1="","",'Total Value'!AQ39/'Total Value'!$D39-1)</f>
        <v>-0.17543859649122806</v>
      </c>
      <c r="AR27" s="14">
        <f ca="1">IF(AR$1="","",'Total Value'!AR39/'Total Value'!$D39-1)</f>
        <v>-0.11881977671451349</v>
      </c>
      <c r="AS27" s="14">
        <f ca="1">IF(AS$1="","",'Total Value'!AS39/'Total Value'!$D39-1)</f>
        <v>-0.12838915470494405</v>
      </c>
      <c r="AT27" s="14">
        <f ca="1">IF(AT$1="","",'Total Value'!AT39/'Total Value'!$D39-1)</f>
        <v>-0.15231259968102051</v>
      </c>
      <c r="AU27" s="14">
        <f ca="1">IF(AU$1="","",'Total Value'!AU39/'Total Value'!$D39-1)</f>
        <v>-0.668261562998405</v>
      </c>
      <c r="AV27" s="14">
        <f ca="1">IF(AV$1="","",'Total Value'!AV39/'Total Value'!$D39-1)</f>
        <v>-0.64274322169059006</v>
      </c>
      <c r="AW27" s="14">
        <f ca="1">IF(AW$1="","",'Total Value'!AW39/'Total Value'!$D39-1)</f>
        <v>-0.63078149920255178</v>
      </c>
      <c r="AX27" s="14">
        <f ca="1">IF(AX$1="","",'Total Value'!AX39/'Total Value'!$D39-1)</f>
        <v>-0.55821371610845294</v>
      </c>
      <c r="AY27" s="14">
        <f ca="1">IF(AY$1="","",'Total Value'!AY39/'Total Value'!$D39-1)</f>
        <v>-0.5534290271132376</v>
      </c>
      <c r="AZ27" s="14">
        <f ca="1">IF(AZ$1="","",'Total Value'!AZ39/'Total Value'!$D39-1)</f>
        <v>-0.54625199362041454</v>
      </c>
      <c r="BA27" s="14">
        <f ca="1">IF(BA$1="","",'Total Value'!BA39/'Total Value'!$D39-1)</f>
        <v>-0.51515151515151514</v>
      </c>
      <c r="BB27" s="14">
        <f ca="1">IF(BB$1="","",'Total Value'!BB39/'Total Value'!$D39-1)</f>
        <v>-0.50797448165869219</v>
      </c>
      <c r="BC27" s="14">
        <f ca="1">IF(BC$1="","",'Total Value'!BC39/'Total Value'!$D39-1)</f>
        <v>-0.53189792663476876</v>
      </c>
      <c r="BD27" s="14">
        <f ca="1">IF(BD$1="","",'Total Value'!BD39/'Total Value'!$D39-1)</f>
        <v>-0.55183413078149912</v>
      </c>
      <c r="BE27" s="14">
        <f ca="1">IF(BE$1="","",'Total Value'!BE39/'Total Value'!$D39-1)</f>
        <v>-0.55741626794258381</v>
      </c>
      <c r="BF27" s="14">
        <f ca="1">IF(BF$1="","",'Total Value'!BF39/'Total Value'!$D39-1)</f>
        <v>-0.54146730462519932</v>
      </c>
      <c r="BG27" s="14">
        <f ca="1">IF(BG$1="","",'Total Value'!BG39/'Total Value'!$D39-1)</f>
        <v>-0.55582137161084522</v>
      </c>
      <c r="BH27" s="14">
        <f ca="1">IF(BH$1="","",'Total Value'!BH39/'Total Value'!$D39-1)</f>
        <v>-0.57017543859649122</v>
      </c>
      <c r="BI27" s="14">
        <f ca="1">IF(BI$1="","",'Total Value'!BI39/'Total Value'!$D39-1)</f>
        <v>-0.55422647527910684</v>
      </c>
      <c r="BJ27" s="14">
        <f ca="1">IF(BJ$1="","",'Total Value'!BJ39/'Total Value'!$D39-1)</f>
        <v>-0.54306220095693769</v>
      </c>
      <c r="BK27" s="14">
        <f ca="1">IF(BK$1="","",'Total Value'!BK39/'Total Value'!$D39-1)</f>
        <v>-0.55023923444976075</v>
      </c>
      <c r="BL27" s="14">
        <f ca="1">IF(BL$1="","",'Total Value'!BL39/'Total Value'!$D39-1)</f>
        <v>-0.54226475279106845</v>
      </c>
      <c r="BM27" s="14">
        <f ca="1">IF(BM$1="","",'Total Value'!BM39/'Total Value'!$D39-1)</f>
        <v>-0.53987240829346095</v>
      </c>
      <c r="BN27" s="14">
        <f ca="1">IF(BN$1="","",'Total Value'!BN39/'Total Value'!$D39-1)</f>
        <v>-0.56060606060606055</v>
      </c>
      <c r="BO27" s="14">
        <f ca="1">IF(BO$1="","",'Total Value'!BO39/'Total Value'!$D39-1)</f>
        <v>-0.5534290271132376</v>
      </c>
      <c r="BP27" s="14">
        <f ca="1">IF(BP$1="","",'Total Value'!BP39/'Total Value'!$D39-1)</f>
        <v>-0.54465709728867617</v>
      </c>
      <c r="BQ27" s="14">
        <f ca="1">IF(BQ$1="","",'Total Value'!BQ39/'Total Value'!$D39-1)</f>
        <v>-0.50797448165869219</v>
      </c>
      <c r="BR27" s="14">
        <f ca="1">IF(BR$1="","",'Total Value'!BR39/'Total Value'!$D39-1)</f>
        <v>-0.50877192982456143</v>
      </c>
      <c r="BS27" s="14">
        <f ca="1">IF(BS$1="","",'Total Value'!BS39/'Total Value'!$D39-1)</f>
        <v>-0.62200956937799035</v>
      </c>
      <c r="BT27" s="14">
        <f ca="1">IF(BT$1="","",'Total Value'!BT39/'Total Value'!$D39-1)</f>
        <v>-0.63078149920255178</v>
      </c>
      <c r="BU27" s="14">
        <f ca="1">IF(BU$1="","",'Total Value'!BU39/'Total Value'!$D39-1)</f>
        <v>-0.62838915470494416</v>
      </c>
      <c r="BV27" s="14">
        <f ca="1">IF(BV$1="","",'Total Value'!BV39/'Total Value'!$D39-1)</f>
        <v>-0.64114832535885169</v>
      </c>
      <c r="BW27" s="14">
        <f ca="1">IF(BW$1="","",'Total Value'!BW39/'Total Value'!$D39-1)</f>
        <v>-0.63636363636363646</v>
      </c>
      <c r="BX27" s="14">
        <f ca="1">IF(BX$1="","",'Total Value'!BX39/'Total Value'!$D39-1)</f>
        <v>-0.62360446570972883</v>
      </c>
      <c r="BY27" s="14">
        <f ca="1">IF(BY$1="","",'Total Value'!BY39/'Total Value'!$D39-1)</f>
        <v>-0.65470494417862835</v>
      </c>
      <c r="BZ27" s="14">
        <f ca="1">IF(BZ$1="","",'Total Value'!BZ39/'Total Value'!$D39-1)</f>
        <v>-0.66028708133971292</v>
      </c>
      <c r="CA27" s="14">
        <f ca="1">IF(CA$1="","",'Total Value'!CA39/'Total Value'!$D39-1)</f>
        <v>-0.66427432216905902</v>
      </c>
      <c r="CB27" s="14">
        <f ca="1">IF(CB$1="","",'Total Value'!CB39/'Total Value'!$D39-1)</f>
        <v>-0.67065390749601272</v>
      </c>
      <c r="CC27" s="14">
        <f ca="1">IF(CC$1="","",'Total Value'!CC39/'Total Value'!$D39-1)</f>
        <v>-0.64114832535885169</v>
      </c>
      <c r="CD27" s="14">
        <f ca="1">IF(CD$1="","",'Total Value'!CD39/'Total Value'!$D39-1)</f>
        <v>-0.64035087719298245</v>
      </c>
      <c r="CE27" s="14">
        <f ca="1">IF(CE$1="","",'Total Value'!CE39/'Total Value'!$D39-1)</f>
        <v>-0.62838915470494416</v>
      </c>
      <c r="CF27" s="14" t="str">
        <f ca="1">IF(CF$1="","",'Total Value'!CF39/'Total Value'!$D39-1)</f>
        <v/>
      </c>
      <c r="CG27" s="14" t="str">
        <f ca="1">IF(CG$1="","",'Total Value'!CG39/'Total Value'!$D39-1)</f>
        <v/>
      </c>
      <c r="CH27" s="14" t="str">
        <f ca="1">IF(CH$1="","",'Total Value'!CH39/'Total Value'!$D39-1)</f>
        <v/>
      </c>
      <c r="CI27" s="14" t="str">
        <f ca="1">IF(CI$1="","",'Total Value'!CI39/'Total Value'!$D39-1)</f>
        <v/>
      </c>
      <c r="CJ27" s="14" t="str">
        <f ca="1">IF(CJ$1="","",'Total Value'!CJ39/'Total Value'!$D39-1)</f>
        <v/>
      </c>
      <c r="CK27" s="14" t="str">
        <f ca="1">IF(CK$1="","",'Total Value'!CK39/'Total Value'!$D39-1)</f>
        <v/>
      </c>
      <c r="CL27" s="14" t="str">
        <f ca="1">IF(CL$1="","",'Total Value'!CL39/'Total Value'!$D39-1)</f>
        <v/>
      </c>
      <c r="CM27" s="14" t="str">
        <f ca="1">IF(CM$1="","",'Total Value'!CM39/'Total Value'!$D39-1)</f>
        <v/>
      </c>
      <c r="CN27" s="14" t="str">
        <f ca="1">IF(CN$1="","",'Total Value'!CN39/'Total Value'!$D39-1)</f>
        <v/>
      </c>
      <c r="CO27" s="14" t="str">
        <f ca="1">IF(CO$1="","",'Total Value'!CO39/'Total Value'!$D39-1)</f>
        <v/>
      </c>
      <c r="CP27" s="14" t="str">
        <f ca="1">IF(CP$1="","",'Total Value'!CP39/'Total Value'!$D39-1)</f>
        <v/>
      </c>
      <c r="CQ27" s="14" t="str">
        <f ca="1">IF(CQ$1="","",'Total Value'!CQ39/'Total Value'!$D39-1)</f>
        <v/>
      </c>
      <c r="CR27" s="14" t="str">
        <f ca="1">IF(CR$1="","",'Total Value'!CR39/'Total Value'!$D39-1)</f>
        <v/>
      </c>
      <c r="CS27" s="14" t="str">
        <f ca="1">IF(CS$1="","",'Total Value'!CS39/'Total Value'!$D39-1)</f>
        <v/>
      </c>
      <c r="CT27" s="14" t="str">
        <f ca="1">IF(CT$1="","",'Total Value'!CT39/'Total Value'!$D39-1)</f>
        <v/>
      </c>
      <c r="CU27" s="14" t="str">
        <f ca="1">IF(CU$1="","",'Total Value'!CU39/'Total Value'!$D39-1)</f>
        <v/>
      </c>
      <c r="CV27" s="14" t="str">
        <f ca="1">IF(CV$1="","",'Total Value'!CV39/'Total Value'!$D39-1)</f>
        <v/>
      </c>
      <c r="CW27" s="14" t="str">
        <f ca="1">IF(CW$1="","",'Total Value'!CW39/'Total Value'!$D39-1)</f>
        <v/>
      </c>
      <c r="CX27" s="14" t="str">
        <f ca="1">IF(CX$1="","",'Total Value'!CX39/'Total Value'!$D39-1)</f>
        <v/>
      </c>
      <c r="CY27" s="14" t="str">
        <f ca="1">IF(CY$1="","",'Total Value'!CY39/'Total Value'!$D39-1)</f>
        <v/>
      </c>
      <c r="CZ27" s="14" t="str">
        <f ca="1">IF(CZ$1="","",'Total Value'!CZ39/'Total Value'!$D39-1)</f>
        <v/>
      </c>
      <c r="DA27" s="14" t="str">
        <f ca="1">IF(DA$1="","",'Total Value'!DA39/'Total Value'!$D39-1)</f>
        <v/>
      </c>
      <c r="DB27" s="14" t="str">
        <f ca="1">IF(DB$1="","",'Total Value'!DB39/'Total Value'!$D39-1)</f>
        <v/>
      </c>
      <c r="DC27" s="14" t="str">
        <f ca="1">IF(DC$1="","",'Total Value'!DC39/'Total Value'!$D39-1)</f>
        <v/>
      </c>
      <c r="DD27" s="14" t="str">
        <f ca="1">IF(DD$1="","",'Total Value'!DD39/'Total Value'!$D39-1)</f>
        <v/>
      </c>
      <c r="DE27" s="14" t="str">
        <f ca="1">IF(DE$1="","",'Total Value'!DE39/'Total Value'!$D39-1)</f>
        <v/>
      </c>
      <c r="DF27" s="14" t="str">
        <f ca="1">IF(DF$1="","",'Total Value'!DF39/'Total Value'!$D39-1)</f>
        <v/>
      </c>
      <c r="DG27" s="14" t="str">
        <f ca="1">IF(DG$1="","",'Total Value'!DG39/'Total Value'!$D39-1)</f>
        <v/>
      </c>
      <c r="DH27" s="14" t="str">
        <f ca="1">IF(DH$1="","",'Total Value'!DH39/'Total Value'!$D39-1)</f>
        <v/>
      </c>
      <c r="DI27" s="14" t="str">
        <f ca="1">IF(DI$1="","",'Total Value'!DI39/'Total Value'!$D39-1)</f>
        <v/>
      </c>
      <c r="DJ27" s="14" t="str">
        <f ca="1">IF(DJ$1="","",'Total Value'!DJ39/'Total Value'!$D39-1)</f>
        <v/>
      </c>
      <c r="DK27" s="14" t="str">
        <f ca="1">IF(DK$1="","",'Total Value'!DK39/'Total Value'!$D39-1)</f>
        <v/>
      </c>
      <c r="DL27" s="14" t="str">
        <f ca="1">IF(DL$1="","",'Total Value'!DL39/'Total Value'!$D39-1)</f>
        <v/>
      </c>
      <c r="DM27" s="14" t="str">
        <f ca="1">IF(DM$1="","",'Total Value'!DM39/'Total Value'!$D39-1)</f>
        <v/>
      </c>
      <c r="DN27" s="14" t="str">
        <f ca="1">IF(DN$1="","",'Total Value'!DN39/'Total Value'!$D39-1)</f>
        <v/>
      </c>
      <c r="DO27" s="14" t="str">
        <f ca="1">IF(DO$1="","",'Total Value'!DO39/'Total Value'!$D39-1)</f>
        <v/>
      </c>
      <c r="DP27" s="14" t="str">
        <f ca="1">IF(DP$1="","",'Total Value'!DP39/'Total Value'!$D39-1)</f>
        <v/>
      </c>
      <c r="DQ27" s="14" t="str">
        <f ca="1">IF(DQ$1="","",'Total Value'!DQ39/'Total Value'!$D39-1)</f>
        <v/>
      </c>
      <c r="DR27" s="14" t="str">
        <f ca="1">IF(DR$1="","",'Total Value'!DR39/'Total Value'!$D39-1)</f>
        <v/>
      </c>
      <c r="DS27" s="14" t="str">
        <f ca="1">IF(DS$1="","",'Total Value'!DS39/'Total Value'!$D39-1)</f>
        <v/>
      </c>
      <c r="DT27" s="14" t="str">
        <f ca="1">IF(DT$1="","",'Total Value'!DT39/'Total Value'!$D39-1)</f>
        <v/>
      </c>
      <c r="DU27" s="14" t="str">
        <f ca="1">IF(DU$1="","",'Total Value'!DU39/'Total Value'!$D39-1)</f>
        <v/>
      </c>
      <c r="DV27" s="14" t="str">
        <f ca="1">IF(DV$1="","",'Total Value'!DV39/'Total Value'!$D39-1)</f>
        <v/>
      </c>
      <c r="DW27" s="14" t="str">
        <f ca="1">IF(DW$1="","",'Total Value'!DW39/'Total Value'!$D39-1)</f>
        <v/>
      </c>
      <c r="DX27" s="14" t="str">
        <f ca="1">IF(DX$1="","",'Total Value'!DX39/'Total Value'!$D39-1)</f>
        <v/>
      </c>
      <c r="DY27" s="14" t="str">
        <f ca="1">IF(DY$1="","",'Total Value'!DY39/'Total Value'!$D39-1)</f>
        <v/>
      </c>
      <c r="DZ27" s="14" t="str">
        <f ca="1">IF(DZ$1="","",'Total Value'!DZ39/'Total Value'!$D39-1)</f>
        <v/>
      </c>
      <c r="EA27" s="14" t="str">
        <f ca="1">IF(EA$1="","",'Total Value'!EA39/'Total Value'!$D39-1)</f>
        <v/>
      </c>
      <c r="EB27" s="14" t="str">
        <f ca="1">IF(EB$1="","",'Total Value'!EB39/'Total Value'!$D39-1)</f>
        <v/>
      </c>
      <c r="EC27" s="14" t="str">
        <f ca="1">IF(EC$1="","",'Total Value'!EC39/'Total Value'!$D39-1)</f>
        <v/>
      </c>
      <c r="ED27" s="14" t="str">
        <f ca="1">IF(ED$1="","",'Total Value'!ED39/'Total Value'!$D39-1)</f>
        <v/>
      </c>
      <c r="EE27" s="14" t="str">
        <f ca="1">IF(EE$1="","",'Total Value'!EE39/'Total Value'!$D39-1)</f>
        <v/>
      </c>
      <c r="EF27" s="14" t="str">
        <f ca="1">IF(EF$1="","",'Total Value'!EF39/'Total Value'!$D39-1)</f>
        <v/>
      </c>
      <c r="EG27" s="14" t="str">
        <f ca="1">IF(EG$1="","",'Total Value'!EG39/'Total Value'!$D39-1)</f>
        <v/>
      </c>
      <c r="EH27" s="14" t="str">
        <f ca="1">IF(EH$1="","",'Total Value'!EH39/'Total Value'!$D39-1)</f>
        <v/>
      </c>
      <c r="EI27" s="14" t="str">
        <f ca="1">IF(EI$1="","",'Total Value'!EI39/'Total Value'!$D39-1)</f>
        <v/>
      </c>
      <c r="EJ27" s="14" t="str">
        <f ca="1">IF(EJ$1="","",'Total Value'!EJ39/'Total Value'!$D39-1)</f>
        <v/>
      </c>
      <c r="EK27" s="14" t="str">
        <f ca="1">IF(EK$1="","",'Total Value'!EK39/'Total Value'!$D39-1)</f>
        <v/>
      </c>
      <c r="EL27" s="14" t="str">
        <f ca="1">IF(EL$1="","",'Total Value'!EL39/'Total Value'!$D39-1)</f>
        <v/>
      </c>
      <c r="EM27" s="14" t="str">
        <f ca="1">IF(EM$1="","",'Total Value'!EM39/'Total Value'!$D39-1)</f>
        <v/>
      </c>
      <c r="EN27" s="14" t="str">
        <f ca="1">IF(EN$1="","",'Total Value'!EN39/'Total Value'!$D39-1)</f>
        <v/>
      </c>
      <c r="EO27" s="14" t="str">
        <f ca="1">IF(EO$1="","",'Total Value'!EO39/'Total Value'!$D39-1)</f>
        <v/>
      </c>
      <c r="EP27" s="14" t="str">
        <f ca="1">IF(EP$1="","",'Total Value'!EP39/'Total Value'!$D39-1)</f>
        <v/>
      </c>
      <c r="EQ27" s="14" t="str">
        <f ca="1">IF(EQ$1="","",'Total Value'!EQ39/'Total Value'!$D39-1)</f>
        <v/>
      </c>
      <c r="ER27" s="14" t="str">
        <f ca="1">IF(ER$1="","",'Total Value'!ER39/'Total Value'!$D39-1)</f>
        <v/>
      </c>
      <c r="ES27" s="14" t="str">
        <f ca="1">IF(ES$1="","",'Total Value'!ES39/'Total Value'!$D39-1)</f>
        <v/>
      </c>
      <c r="ET27" s="14" t="str">
        <f ca="1">IF(ET$1="","",'Total Value'!ET39/'Total Value'!$D39-1)</f>
        <v/>
      </c>
      <c r="EU27" s="14" t="str">
        <f ca="1">IF(EU$1="","",'Total Value'!EU39/'Total Value'!$D39-1)</f>
        <v/>
      </c>
      <c r="EV27" s="14" t="str">
        <f ca="1">IF(EV$1="","",'Total Value'!EV39/'Total Value'!$D39-1)</f>
        <v/>
      </c>
      <c r="EW27" s="14" t="str">
        <f ca="1">IF(EW$1="","",'Total Value'!EW39/'Total Value'!$D39-1)</f>
        <v/>
      </c>
      <c r="EX27" s="14" t="str">
        <f ca="1">IF(EX$1="","",'Total Value'!EX39/'Total Value'!$D39-1)</f>
        <v/>
      </c>
      <c r="EY27" s="14" t="str">
        <f ca="1">IF(EY$1="","",'Total Value'!EY39/'Total Value'!$D39-1)</f>
        <v/>
      </c>
      <c r="EZ27" s="14" t="str">
        <f ca="1">IF(EZ$1="","",'Total Value'!EZ39/'Total Value'!$D39-1)</f>
        <v/>
      </c>
      <c r="FA27" s="14" t="str">
        <f ca="1">IF(FA$1="","",'Total Value'!FA39/'Total Value'!$D39-1)</f>
        <v/>
      </c>
      <c r="FB27" s="14" t="str">
        <f ca="1">IF(FB$1="","",'Total Value'!FB39/'Total Value'!$D39-1)</f>
        <v/>
      </c>
      <c r="FC27" s="14" t="str">
        <f ca="1">IF(FC$1="","",'Total Value'!FC39/'Total Value'!$D39-1)</f>
        <v/>
      </c>
      <c r="FD27" s="14" t="str">
        <f ca="1">IF(FD$1="","",'Total Value'!FD39/'Total Value'!$D39-1)</f>
        <v/>
      </c>
      <c r="FE27" s="14" t="str">
        <f ca="1">IF(FE$1="","",'Total Value'!FE39/'Total Value'!$D39-1)</f>
        <v/>
      </c>
      <c r="FF27" s="14" t="str">
        <f ca="1">IF(FF$1="","",'Total Value'!FF39/'Total Value'!$D39-1)</f>
        <v/>
      </c>
      <c r="FG27" s="14" t="str">
        <f ca="1">IF(FG$1="","",'Total Value'!FG39/'Total Value'!$D39-1)</f>
        <v/>
      </c>
      <c r="FH27" s="14" t="str">
        <f ca="1">IF(FH$1="","",'Total Value'!FH39/'Total Value'!$D39-1)</f>
        <v/>
      </c>
      <c r="FI27" s="14" t="str">
        <f ca="1">IF(FI$1="","",'Total Value'!FI39/'Total Value'!$D39-1)</f>
        <v/>
      </c>
      <c r="FJ27" s="14" t="str">
        <f ca="1">IF(FJ$1="","",'Total Value'!FJ39/'Total Value'!$D39-1)</f>
        <v/>
      </c>
      <c r="FK27" s="14" t="str">
        <f ca="1">IF(FK$1="","",'Total Value'!FK39/'Total Value'!$D39-1)</f>
        <v/>
      </c>
      <c r="FL27" s="14" t="str">
        <f ca="1">IF(FL$1="","",'Total Value'!FL39/'Total Value'!$D39-1)</f>
        <v/>
      </c>
      <c r="FM27" s="14" t="str">
        <f ca="1">IF(FM$1="","",'Total Value'!FM39/'Total Value'!$D39-1)</f>
        <v/>
      </c>
      <c r="FN27" s="14" t="str">
        <f ca="1">IF(FN$1="","",'Total Value'!FN39/'Total Value'!$D39-1)</f>
        <v/>
      </c>
      <c r="FO27" s="14" t="str">
        <f ca="1">IF(FO$1="","",'Total Value'!FO39/'Total Value'!$D39-1)</f>
        <v/>
      </c>
      <c r="FP27" s="14" t="str">
        <f ca="1">IF(FP$1="","",'Total Value'!FP39/'Total Value'!$D39-1)</f>
        <v/>
      </c>
      <c r="FQ27" s="14" t="str">
        <f ca="1">IF(FQ$1="","",'Total Value'!FQ39/'Total Value'!$D39-1)</f>
        <v/>
      </c>
      <c r="FR27" s="14" t="str">
        <f ca="1">IF(FR$1="","",'Total Value'!FR39/'Total Value'!$D39-1)</f>
        <v/>
      </c>
      <c r="FS27" s="14" t="str">
        <f ca="1">IF(FS$1="","",'Total Value'!FS39/'Total Value'!$D39-1)</f>
        <v/>
      </c>
      <c r="FT27" s="14" t="str">
        <f ca="1">IF(FT$1="","",'Total Value'!FT39/'Total Value'!$D39-1)</f>
        <v/>
      </c>
      <c r="FU27" s="14" t="str">
        <f ca="1">IF(FU$1="","",'Total Value'!FU39/'Total Value'!$D39-1)</f>
        <v/>
      </c>
      <c r="FV27" s="14" t="str">
        <f ca="1">IF(FV$1="","",'Total Value'!FV39/'Total Value'!$D39-1)</f>
        <v/>
      </c>
      <c r="FW27" s="14" t="str">
        <f ca="1">IF(FW$1="","",'Total Value'!FW39/'Total Value'!$D39-1)</f>
        <v/>
      </c>
      <c r="FX27" s="14" t="str">
        <f ca="1">IF(FX$1="","",'Total Value'!FX39/'Total Value'!$D39-1)</f>
        <v/>
      </c>
      <c r="FY27" s="14" t="str">
        <f ca="1">IF(FY$1="","",'Total Value'!FY39/'Total Value'!$D39-1)</f>
        <v/>
      </c>
      <c r="FZ27" s="14" t="str">
        <f ca="1">IF(FZ$1="","",'Total Value'!FZ39/'Total Value'!$D39-1)</f>
        <v/>
      </c>
      <c r="GA27" s="14" t="str">
        <f ca="1">IF(GA$1="","",'Total Value'!GA39/'Total Value'!$D39-1)</f>
        <v/>
      </c>
      <c r="GB27" s="14" t="str">
        <f ca="1">IF(GB$1="","",'Total Value'!GB39/'Total Value'!$D39-1)</f>
        <v/>
      </c>
      <c r="GC27" s="14" t="str">
        <f ca="1">IF(GC$1="","",'Total Value'!GC39/'Total Value'!$D39-1)</f>
        <v/>
      </c>
      <c r="GD27" s="14" t="str">
        <f ca="1">IF(GD$1="","",'Total Value'!GD39/'Total Value'!$D39-1)</f>
        <v/>
      </c>
      <c r="GE27" s="14" t="str">
        <f ca="1">IF(GE$1="","",'Total Value'!GE39/'Total Value'!$D39-1)</f>
        <v/>
      </c>
      <c r="GF27" s="14" t="str">
        <f ca="1">IF(GF$1="","",'Total Value'!GF39/'Total Value'!$D39-1)</f>
        <v/>
      </c>
      <c r="GG27" s="14" t="str">
        <f ca="1">IF(GG$1="","",'Total Value'!GG39/'Total Value'!$D39-1)</f>
        <v/>
      </c>
      <c r="GH27" s="14" t="str">
        <f ca="1">IF(GH$1="","",'Total Value'!GH39/'Total Value'!$D39-1)</f>
        <v/>
      </c>
      <c r="GI27" s="14" t="str">
        <f ca="1">IF(GI$1="","",'Total Value'!GI39/'Total Value'!$D39-1)</f>
        <v/>
      </c>
      <c r="GJ27" s="14" t="str">
        <f ca="1">IF(GJ$1="","",'Total Value'!GJ39/'Total Value'!$D39-1)</f>
        <v/>
      </c>
      <c r="GK27" s="14" t="str">
        <f ca="1">IF(GK$1="","",'Total Value'!GK39/'Total Value'!$D39-1)</f>
        <v/>
      </c>
      <c r="GL27" s="14" t="str">
        <f ca="1">IF(GL$1="","",'Total Value'!GL39/'Total Value'!$D39-1)</f>
        <v/>
      </c>
      <c r="GM27" s="14" t="str">
        <f ca="1">IF(GM$1="","",'Total Value'!GM39/'Total Value'!$D39-1)</f>
        <v/>
      </c>
      <c r="GN27" s="14" t="str">
        <f ca="1">IF(GN$1="","",'Total Value'!GN39/'Total Value'!$D39-1)</f>
        <v/>
      </c>
      <c r="GO27" s="14" t="str">
        <f ca="1">IF(GO$1="","",'Total Value'!GO39/'Total Value'!$D39-1)</f>
        <v/>
      </c>
      <c r="GP27" s="14" t="str">
        <f ca="1">IF(GP$1="","",'Total Value'!GP39/'Total Value'!$D39-1)</f>
        <v/>
      </c>
      <c r="GQ27" s="14" t="str">
        <f ca="1">IF(GQ$1="","",'Total Value'!GQ39/'Total Value'!$D39-1)</f>
        <v/>
      </c>
      <c r="GR27" s="14" t="str">
        <f ca="1">IF(GR$1="","",'Total Value'!GR39/'Total Value'!$D39-1)</f>
        <v/>
      </c>
      <c r="GS27" s="14" t="str">
        <f ca="1">IF(GS$1="","",'Total Value'!GS39/'Total Value'!$D39-1)</f>
        <v/>
      </c>
      <c r="GT27" s="14" t="str">
        <f ca="1">IF(GT$1="","",'Total Value'!GT39/'Total Value'!$D39-1)</f>
        <v/>
      </c>
      <c r="GU27" s="14" t="str">
        <f ca="1">IF(GU$1="","",'Total Value'!GU39/'Total Value'!$D39-1)</f>
        <v/>
      </c>
      <c r="GV27" s="14" t="str">
        <f ca="1">IF(GV$1="","",'Total Value'!GV39/'Total Value'!$D39-1)</f>
        <v/>
      </c>
      <c r="GW27" s="14" t="str">
        <f ca="1">IF(GW$1="","",'Total Value'!GW39/'Total Value'!$D39-1)</f>
        <v/>
      </c>
      <c r="GX27" s="14" t="str">
        <f ca="1">IF(GX$1="","",'Total Value'!GX39/'Total Value'!$D39-1)</f>
        <v/>
      </c>
      <c r="GY27" s="14" t="str">
        <f ca="1">IF(GY$1="","",'Total Value'!GY39/'Total Value'!$D39-1)</f>
        <v/>
      </c>
      <c r="GZ27" s="14" t="str">
        <f ca="1">IF(GZ$1="","",'Total Value'!GZ39/'Total Value'!$D39-1)</f>
        <v/>
      </c>
      <c r="HA27" s="14" t="str">
        <f ca="1">IF(HA$1="","",'Total Value'!HA39/'Total Value'!$D39-1)</f>
        <v/>
      </c>
      <c r="HB27" s="14" t="str">
        <f ca="1">IF(HB$1="","",'Total Value'!HB39/'Total Value'!$D39-1)</f>
        <v/>
      </c>
      <c r="HC27" s="14" t="str">
        <f ca="1">IF(HC$1="","",'Total Value'!HC39/'Total Value'!$D39-1)</f>
        <v/>
      </c>
      <c r="HD27" s="14" t="str">
        <f ca="1">IF(HD$1="","",'Total Value'!HD39/'Total Value'!$D39-1)</f>
        <v/>
      </c>
      <c r="HE27" s="14" t="str">
        <f ca="1">IF(HE$1="","",'Total Value'!HE39/'Total Value'!$D39-1)</f>
        <v/>
      </c>
      <c r="HF27" s="14" t="str">
        <f ca="1">IF(HF$1="","",'Total Value'!HF39/'Total Value'!$D39-1)</f>
        <v/>
      </c>
      <c r="HG27" s="14" t="str">
        <f ca="1">IF(HG$1="","",'Total Value'!HG39/'Total Value'!$D39-1)</f>
        <v/>
      </c>
      <c r="HH27" s="14" t="str">
        <f ca="1">IF(HH$1="","",'Total Value'!HH39/'Total Value'!$D39-1)</f>
        <v/>
      </c>
      <c r="HI27" s="14" t="str">
        <f ca="1">IF(HI$1="","",'Total Value'!HI39/'Total Value'!$D39-1)</f>
        <v/>
      </c>
      <c r="HJ27" s="14" t="str">
        <f ca="1">IF(HJ$1="","",'Total Value'!HJ39/'Total Value'!$D39-1)</f>
        <v/>
      </c>
      <c r="HK27" s="14" t="str">
        <f ca="1">IF(HK$1="","",'Total Value'!HK39/'Total Value'!$D39-1)</f>
        <v/>
      </c>
      <c r="HL27" s="14" t="str">
        <f ca="1">IF(HL$1="","",'Total Value'!HL39/'Total Value'!$D39-1)</f>
        <v/>
      </c>
      <c r="HM27" s="14" t="str">
        <f ca="1">IF(HM$1="","",'Total Value'!HM39/'Total Value'!$D39-1)</f>
        <v/>
      </c>
      <c r="HN27" s="14" t="str">
        <f ca="1">IF(HN$1="","",'Total Value'!HN39/'Total Value'!$D39-1)</f>
        <v/>
      </c>
      <c r="HO27" s="14" t="str">
        <f ca="1">IF(HO$1="","",'Total Value'!HO39/'Total Value'!$D39-1)</f>
        <v/>
      </c>
      <c r="HP27" s="14" t="str">
        <f ca="1">IF(HP$1="","",'Total Value'!HP39/'Total Value'!$D39-1)</f>
        <v/>
      </c>
      <c r="HQ27" s="14" t="str">
        <f ca="1">IF(HQ$1="","",'Total Value'!HQ39/'Total Value'!$D39-1)</f>
        <v/>
      </c>
      <c r="HR27" s="14" t="str">
        <f ca="1">IF(HR$1="","",'Total Value'!HR39/'Total Value'!$D39-1)</f>
        <v/>
      </c>
      <c r="HS27" s="14" t="str">
        <f ca="1">IF(HS$1="","",'Total Value'!HS39/'Total Value'!$D39-1)</f>
        <v/>
      </c>
      <c r="HT27" s="14" t="str">
        <f ca="1">IF(HT$1="","",'Total Value'!HT39/'Total Value'!$D39-1)</f>
        <v/>
      </c>
      <c r="HU27" s="14" t="str">
        <f ca="1">IF(HU$1="","",'Total Value'!HU39/'Total Value'!$D39-1)</f>
        <v/>
      </c>
      <c r="HV27" s="14" t="str">
        <f ca="1">IF(HV$1="","",'Total Value'!HV39/'Total Value'!$D39-1)</f>
        <v/>
      </c>
      <c r="HW27" s="14" t="str">
        <f ca="1">IF(HW$1="","",'Total Value'!HW39/'Total Value'!$D39-1)</f>
        <v/>
      </c>
      <c r="HX27" s="14" t="str">
        <f ca="1">IF(HX$1="","",'Total Value'!HX39/'Total Value'!$D39-1)</f>
        <v/>
      </c>
      <c r="HY27" s="14" t="str">
        <f ca="1">IF(HY$1="","",'Total Value'!HY39/'Total Value'!$D39-1)</f>
        <v/>
      </c>
      <c r="HZ27" s="14" t="str">
        <f ca="1">IF(HZ$1="","",'Total Value'!HZ39/'Total Value'!$D39-1)</f>
        <v/>
      </c>
      <c r="IA27" s="14" t="str">
        <f ca="1">IF(IA$1="","",'Total Value'!IA39/'Total Value'!$D39-1)</f>
        <v/>
      </c>
      <c r="IB27" s="14" t="str">
        <f ca="1">IF(IB$1="","",'Total Value'!IB39/'Total Value'!$D39-1)</f>
        <v/>
      </c>
      <c r="IC27" s="14" t="str">
        <f ca="1">IF(IC$1="","",'Total Value'!IC39/'Total Value'!$D39-1)</f>
        <v/>
      </c>
      <c r="ID27" s="14" t="str">
        <f ca="1">IF(ID$1="","",'Total Value'!ID39/'Total Value'!$D39-1)</f>
        <v/>
      </c>
      <c r="IE27" s="14" t="str">
        <f ca="1">IF(IE$1="","",'Total Value'!IE39/'Total Value'!$D39-1)</f>
        <v/>
      </c>
      <c r="IF27" s="14" t="str">
        <f ca="1">IF(IF$1="","",'Total Value'!IF39/'Total Value'!$D39-1)</f>
        <v/>
      </c>
      <c r="IG27" s="14" t="str">
        <f ca="1">IF(IG$1="","",'Total Value'!IG39/'Total Value'!$D39-1)</f>
        <v/>
      </c>
      <c r="IH27" s="14" t="str">
        <f ca="1">IF(IH$1="","",'Total Value'!IH39/'Total Value'!$D39-1)</f>
        <v/>
      </c>
      <c r="II27" s="14" t="str">
        <f ca="1">IF(II$1="","",'Total Value'!II39/'Total Value'!$D39-1)</f>
        <v/>
      </c>
      <c r="IJ27" s="14" t="str">
        <f ca="1">IF(IJ$1="","",'Total Value'!IJ39/'Total Value'!$D39-1)</f>
        <v/>
      </c>
      <c r="IK27" s="14" t="str">
        <f ca="1">IF(IK$1="","",'Total Value'!IK39/'Total Value'!$D39-1)</f>
        <v/>
      </c>
      <c r="IL27" s="14" t="str">
        <f ca="1">IF(IL$1="","",'Total Value'!IL39/'Total Value'!$D39-1)</f>
        <v/>
      </c>
      <c r="IM27" s="14" t="str">
        <f ca="1">IF(IM$1="","",'Total Value'!IM39/'Total Value'!$D39-1)</f>
        <v/>
      </c>
      <c r="IN27" s="14" t="str">
        <f ca="1">IF(IN$1="","",'Total Value'!IN39/'Total Value'!$D39-1)</f>
        <v/>
      </c>
      <c r="IO27" s="14" t="str">
        <f ca="1">IF(IO$1="","",'Total Value'!IO39/'Total Value'!$D39-1)</f>
        <v/>
      </c>
      <c r="IP27" s="14" t="str">
        <f ca="1">IF(IP$1="","",'Total Value'!IP39/'Total Value'!$D39-1)</f>
        <v/>
      </c>
      <c r="IQ27" s="14" t="str">
        <f ca="1">IF(IQ$1="","",'Total Value'!IQ39/'Total Value'!$D39-1)</f>
        <v/>
      </c>
      <c r="IR27" s="14" t="str">
        <f ca="1">IF(IR$1="","",'Total Value'!IR39/'Total Value'!$D39-1)</f>
        <v/>
      </c>
      <c r="IS27" s="14" t="str">
        <f ca="1">IF(IS$1="","",'Total Value'!IS39/'Total Value'!$D39-1)</f>
        <v/>
      </c>
      <c r="IT27" s="14" t="str">
        <f ca="1">IF(IT$1="","",'Total Value'!IT39/'Total Value'!$D39-1)</f>
        <v/>
      </c>
      <c r="IU27" s="14" t="str">
        <f ca="1">IF(IU$1="","",'Total Value'!IU39/'Total Value'!$D39-1)</f>
        <v/>
      </c>
      <c r="IV27" s="14" t="str">
        <f ca="1">IF(IV$1="","",'Total Value'!IV39/'Total Value'!$D39-1)</f>
        <v/>
      </c>
      <c r="IW27" s="14" t="str">
        <f ca="1">IF(IW$1="","",'Total Value'!IW39/'Total Value'!$D39-1)</f>
        <v/>
      </c>
      <c r="IX27" s="14" t="str">
        <f ca="1">IF(IX$1="","",'Total Value'!IX39/'Total Value'!$D39-1)</f>
        <v/>
      </c>
      <c r="IY27" s="14" t="str">
        <f ca="1">IF(IY$1="","",'Total Value'!IY39/'Total Value'!$D39-1)</f>
        <v/>
      </c>
      <c r="IZ27" s="14" t="str">
        <f ca="1">IF(IZ$1="","",'Total Value'!IZ39/'Total Value'!$D39-1)</f>
        <v/>
      </c>
      <c r="JA27" s="14" t="str">
        <f ca="1">IF(JA$1="","",'Total Value'!JA39/'Total Value'!$D39-1)</f>
        <v/>
      </c>
      <c r="JB27" s="14" t="str">
        <f ca="1">IF(JB$1="","",'Total Value'!JB39/'Total Value'!$D39-1)</f>
        <v/>
      </c>
      <c r="JC27" s="14" t="str">
        <f ca="1">IF(JC$1="","",'Total Value'!JC39/'Total Value'!$D39-1)</f>
        <v/>
      </c>
      <c r="JD27" s="14" t="str">
        <f ca="1">IF(JD$1="","",'Total Value'!JD39/'Total Value'!$D39-1)</f>
        <v/>
      </c>
      <c r="JE27" s="14" t="str">
        <f ca="1">IF(JE$1="","",'Total Value'!JE39/'Total Value'!$D39-1)</f>
        <v/>
      </c>
      <c r="JF27" s="14" t="str">
        <f ca="1">IF(JF$1="","",'Total Value'!JF39/'Total Value'!$D39-1)</f>
        <v/>
      </c>
      <c r="JG27" s="14" t="str">
        <f ca="1">IF(JG$1="","",'Total Value'!JG39/'Total Value'!$D39-1)</f>
        <v/>
      </c>
      <c r="JH27" s="14" t="str">
        <f ca="1">IF(JH$1="","",'Total Value'!JH39/'Total Value'!$D39-1)</f>
        <v/>
      </c>
      <c r="JI27" s="14" t="str">
        <f ca="1">IF(JI$1="","",'Total Value'!JI39/'Total Value'!$D39-1)</f>
        <v/>
      </c>
      <c r="JJ27" s="14" t="str">
        <f ca="1">IF(JJ$1="","",'Total Value'!JJ39/'Total Value'!$D39-1)</f>
        <v/>
      </c>
      <c r="JK27" s="14" t="str">
        <f ca="1">IF(JK$1="","",'Total Value'!JK39/'Total Value'!$D39-1)</f>
        <v/>
      </c>
      <c r="JL27" s="14" t="str">
        <f ca="1">IF(JL$1="","",'Total Value'!JL39/'Total Value'!$D39-1)</f>
        <v/>
      </c>
      <c r="JM27" s="14" t="str">
        <f ca="1">IF(JM$1="","",'Total Value'!JM39/'Total Value'!$D39-1)</f>
        <v/>
      </c>
      <c r="JN27" s="14" t="str">
        <f ca="1">IF(JN$1="","",'Total Value'!JN39/'Total Value'!$D39-1)</f>
        <v/>
      </c>
      <c r="JO27" s="14" t="str">
        <f ca="1">IF(JO$1="","",'Total Value'!JO39/'Total Value'!$D39-1)</f>
        <v/>
      </c>
      <c r="JP27" s="14" t="str">
        <f ca="1">IF(JP$1="","",'Total Value'!JP39/'Total Value'!$D39-1)</f>
        <v/>
      </c>
      <c r="JQ27" s="14" t="str">
        <f ca="1">IF(JQ$1="","",'Total Value'!JQ39/'Total Value'!$D39-1)</f>
        <v/>
      </c>
      <c r="JR27" s="14" t="str">
        <f ca="1">IF(JR$1="","",'Total Value'!JR39/'Total Value'!$D39-1)</f>
        <v/>
      </c>
      <c r="JS27" s="14" t="str">
        <f ca="1">IF(JS$1="","",'Total Value'!JS39/'Total Value'!$D39-1)</f>
        <v/>
      </c>
      <c r="JT27" s="14" t="str">
        <f ca="1">IF(JT$1="","",'Total Value'!JT39/'Total Value'!$D39-1)</f>
        <v/>
      </c>
      <c r="JU27" s="14" t="str">
        <f ca="1">IF(JU$1="","",'Total Value'!JU39/'Total Value'!$D39-1)</f>
        <v/>
      </c>
      <c r="JV27" s="14" t="str">
        <f ca="1">IF(JV$1="","",'Total Value'!JV39/'Total Value'!$D39-1)</f>
        <v/>
      </c>
      <c r="JW27" s="14" t="str">
        <f ca="1">IF(JW$1="","",'Total Value'!JW39/'Total Value'!$D39-1)</f>
        <v/>
      </c>
      <c r="JX27" s="14" t="str">
        <f ca="1">IF(JX$1="","",'Total Value'!JX39/'Total Value'!$D39-1)</f>
        <v/>
      </c>
      <c r="JY27" s="14" t="str">
        <f ca="1">IF(JY$1="","",'Total Value'!JY39/'Total Value'!$D39-1)</f>
        <v/>
      </c>
      <c r="JZ27" s="14" t="str">
        <f ca="1">IF(JZ$1="","",'Total Value'!JZ39/'Total Value'!$D39-1)</f>
        <v/>
      </c>
      <c r="KA27" s="14" t="str">
        <f ca="1">IF(KA$1="","",'Total Value'!KA39/'Total Value'!$D39-1)</f>
        <v/>
      </c>
      <c r="KB27" s="14" t="str">
        <f ca="1">IF(KB$1="","",'Total Value'!KB39/'Total Value'!$D39-1)</f>
        <v/>
      </c>
    </row>
    <row r="28" spans="1:288" ht="15.75" customHeight="1">
      <c r="A28" s="9" t="s">
        <v>30</v>
      </c>
      <c r="B28" s="6" t="s">
        <v>72</v>
      </c>
      <c r="C28" s="26">
        <v>67</v>
      </c>
      <c r="D28" s="13">
        <v>0</v>
      </c>
      <c r="E28" s="14">
        <f ca="1">IF(E$1="","",'Total Value'!E40/'Total Value'!$D40-1)</f>
        <v>0</v>
      </c>
      <c r="F28" s="14">
        <f ca="1">IF(F$1="","",'Total Value'!F40/'Total Value'!$D40-1)</f>
        <v>3.0315278900565845E-2</v>
      </c>
      <c r="G28" s="14">
        <f ca="1">IF(G$1="","",'Total Value'!G40/'Total Value'!$D40-1)</f>
        <v>3.5974130962004969E-2</v>
      </c>
      <c r="H28" s="14">
        <f ca="1">IF(H$1="","",'Total Value'!H40/'Total Value'!$D40-1)</f>
        <v>5.7801131770412351E-2</v>
      </c>
      <c r="I28" s="14">
        <f ca="1">IF(I$1="","",'Total Value'!I40/'Total Value'!$D40-1)</f>
        <v>4.163298302344387E-2</v>
      </c>
      <c r="J28" s="14">
        <f ca="1">IF(J$1="","",'Total Value'!J40/'Total Value'!$D40-1)</f>
        <v>4.2441390460792094E-2</v>
      </c>
      <c r="K28" s="14">
        <f ca="1">IF(K$1="","",'Total Value'!K40/'Total Value'!$D40-1)</f>
        <v>2.5060630557801167E-2</v>
      </c>
      <c r="L28" s="14">
        <f ca="1">IF(L$1="","",'Total Value'!L40/'Total Value'!$D40-1)</f>
        <v>-1.8189167340339596E-2</v>
      </c>
      <c r="M28" s="14">
        <f ca="1">IF(M$1="","",'Total Value'!M40/'Total Value'!$D40-1)</f>
        <v>1.2934518997574918E-2</v>
      </c>
      <c r="N28" s="14">
        <f ca="1">IF(N$1="","",'Total Value'!N40/'Total Value'!$D40-1)</f>
        <v>-2.6677445432497948E-2</v>
      </c>
      <c r="O28" s="14">
        <f ca="1">IF(O$1="","",'Total Value'!O40/'Total Value'!$D40-1)</f>
        <v>-4.4866612772837433E-2</v>
      </c>
      <c r="P28" s="14">
        <f ca="1">IF(P$1="","",'Total Value'!P40/'Total Value'!$D40-1)</f>
        <v>-7.5990299110751836E-2</v>
      </c>
      <c r="Q28" s="14">
        <f ca="1">IF(Q$1="","",'Total Value'!Q40/'Total Value'!$D40-1)</f>
        <v>-4.8100242522231107E-2</v>
      </c>
      <c r="R28" s="14">
        <f ca="1">IF(R$1="","",'Total Value'!R40/'Total Value'!$D40-1)</f>
        <v>1.6168148746968924E-3</v>
      </c>
      <c r="S28" s="14">
        <f ca="1">IF(S$1="","",'Total Value'!S40/'Total Value'!$D40-1)</f>
        <v>1.616814874696848E-2</v>
      </c>
      <c r="T28" s="14">
        <f ca="1">IF(T$1="","",'Total Value'!T40/'Total Value'!$D40-1)</f>
        <v>2.8294260307195618E-3</v>
      </c>
      <c r="U28" s="14">
        <f ca="1">IF(U$1="","",'Total Value'!U40/'Total Value'!$D40-1)</f>
        <v>-4.2037186742118093E-2</v>
      </c>
      <c r="V28" s="14">
        <f ca="1">IF(V$1="","",'Total Value'!V40/'Total Value'!$D40-1)</f>
        <v>-5.5780113177041235E-2</v>
      </c>
      <c r="W28" s="14">
        <f ca="1">IF(W$1="","",'Total Value'!W40/'Total Value'!$D40-1)</f>
        <v>-3.7590945836701639E-2</v>
      </c>
      <c r="X28" s="14">
        <f ca="1">IF(X$1="","",'Total Value'!X40/'Total Value'!$D40-1)</f>
        <v>-2.2635408245755828E-2</v>
      </c>
      <c r="Y28" s="14">
        <f ca="1">IF(Y$1="","",'Total Value'!Y40/'Total Value'!$D40-1)</f>
        <v>1.4955537590945811E-2</v>
      </c>
      <c r="Z28" s="14">
        <f ca="1">IF(Z$1="","",'Total Value'!Z40/'Total Value'!$D40-1)</f>
        <v>-1.4955537590945811E-2</v>
      </c>
      <c r="AA28" s="14">
        <f ca="1">IF(AA$1="","",'Total Value'!AA40/'Total Value'!$D40-1)</f>
        <v>-2.0614389652384713E-2</v>
      </c>
      <c r="AB28" s="14">
        <f ca="1">IF(AB$1="","",'Total Value'!AB40/'Total Value'!$D40-1)</f>
        <v>-1.4955537590945811E-2</v>
      </c>
      <c r="AC28" s="14">
        <f ca="1">IF(AC$1="","",'Total Value'!AC40/'Total Value'!$D40-1)</f>
        <v>3.2336297493937849E-3</v>
      </c>
      <c r="AD28" s="14">
        <f ca="1">IF(AD$1="","",'Total Value'!AD40/'Total Value'!$D40-1)</f>
        <v>8.2053354890865071E-2</v>
      </c>
      <c r="AE28" s="14">
        <f ca="1">IF(AE$1="","",'Total Value'!AE40/'Total Value'!$D40-1)</f>
        <v>5.5780113177041235E-2</v>
      </c>
      <c r="AF28" s="14">
        <f ca="1">IF(AF$1="","",'Total Value'!AF40/'Total Value'!$D40-1)</f>
        <v>3.1932093775262738E-2</v>
      </c>
      <c r="AG28" s="14">
        <f ca="1">IF(AG$1="","",'Total Value'!AG40/'Total Value'!$D40-1)</f>
        <v>1.8593371059013597E-2</v>
      </c>
      <c r="AH28" s="14">
        <f ca="1">IF(AH$1="","",'Total Value'!AH40/'Total Value'!$D40-1)</f>
        <v>-2.9506871463217399E-2</v>
      </c>
      <c r="AI28" s="14">
        <f ca="1">IF(AI$1="","",'Total Value'!AI40/'Total Value'!$D40-1)</f>
        <v>1.5763945028294257E-2</v>
      </c>
      <c r="AJ28" s="14">
        <f ca="1">IF(AJ$1="","",'Total Value'!AJ40/'Total Value'!$D40-1)</f>
        <v>2.9911075181891844E-2</v>
      </c>
      <c r="AK28" s="14">
        <f ca="1">IF(AK$1="","",'Total Value'!AK40/'Total Value'!$D40-1)</f>
        <v>4.0420371867421201E-2</v>
      </c>
      <c r="AL28" s="14">
        <f ca="1">IF(AL$1="","",'Total Value'!AL40/'Total Value'!$D40-1)</f>
        <v>3.1527890056588515E-2</v>
      </c>
      <c r="AM28" s="14">
        <f ca="1">IF(AM$1="","",'Total Value'!AM40/'Total Value'!$D40-1)</f>
        <v>4.2441390460792094E-2</v>
      </c>
      <c r="AN28" s="14">
        <f ca="1">IF(AN$1="","",'Total Value'!AN40/'Total Value'!$D40-1)</f>
        <v>3.1932093775262738E-2</v>
      </c>
      <c r="AO28" s="14">
        <f ca="1">IF(AO$1="","",'Total Value'!AO40/'Total Value'!$D40-1)</f>
        <v>-4.8504446240905663E-3</v>
      </c>
      <c r="AP28" s="14">
        <f ca="1">IF(AP$1="","",'Total Value'!AP40/'Total Value'!$D40-1)</f>
        <v>-3.8399353274050196E-2</v>
      </c>
      <c r="AQ28" s="14">
        <f ca="1">IF(AQ$1="","",'Total Value'!AQ40/'Total Value'!$D40-1)</f>
        <v>-8.8924818108326864E-3</v>
      </c>
      <c r="AR28" s="14">
        <f ca="1">IF(AR$1="","",'Total Value'!AR40/'Total Value'!$D40-1)</f>
        <v>2.6677445432498059E-2</v>
      </c>
      <c r="AS28" s="14">
        <f ca="1">IF(AS$1="","",'Total Value'!AS40/'Total Value'!$D40-1)</f>
        <v>2.1422797089733159E-2</v>
      </c>
      <c r="AT28" s="14">
        <f ca="1">IF(AT$1="","",'Total Value'!AT40/'Total Value'!$D40-1)</f>
        <v>2.1422797089733159E-2</v>
      </c>
      <c r="AU28" s="14">
        <f ca="1">IF(AU$1="","",'Total Value'!AU40/'Total Value'!$D40-1)</f>
        <v>4.0420371867422311E-4</v>
      </c>
      <c r="AV28" s="14">
        <f ca="1">IF(AV$1="","",'Total Value'!AV40/'Total Value'!$D40-1)</f>
        <v>3.2336297493936961E-2</v>
      </c>
      <c r="AW28" s="14">
        <f ca="1">IF(AW$1="","",'Total Value'!AW40/'Total Value'!$D40-1)</f>
        <v>7.6798706548100393E-2</v>
      </c>
      <c r="AX28" s="14">
        <f ca="1">IF(AX$1="","",'Total Value'!AX40/'Total Value'!$D40-1)</f>
        <v>7.51818916734035E-2</v>
      </c>
      <c r="AY28" s="14">
        <f ca="1">IF(AY$1="","",'Total Value'!AY40/'Total Value'!$D40-1)</f>
        <v>7.3160873080032385E-2</v>
      </c>
      <c r="AZ28" s="14">
        <f ca="1">IF(AZ$1="","",'Total Value'!AZ40/'Total Value'!$D40-1)</f>
        <v>6.3055780113177251E-2</v>
      </c>
      <c r="BA28" s="14">
        <f ca="1">IF(BA$1="","",'Total Value'!BA40/'Total Value'!$D40-1)</f>
        <v>7.1139854486661269E-2</v>
      </c>
      <c r="BB28" s="14">
        <f ca="1">IF(BB$1="","",'Total Value'!BB40/'Total Value'!$D40-1)</f>
        <v>3.51657235246563E-2</v>
      </c>
      <c r="BC28" s="14">
        <f ca="1">IF(BC$1="","",'Total Value'!BC40/'Total Value'!$D40-1)</f>
        <v>5.6588520614391236E-3</v>
      </c>
      <c r="BD28" s="14">
        <f ca="1">IF(BD$1="","",'Total Value'!BD40/'Total Value'!$D40-1)</f>
        <v>8.0840743734844622E-4</v>
      </c>
      <c r="BE28" s="14">
        <f ca="1">IF(BE$1="","",'Total Value'!BE40/'Total Value'!$D40-1)</f>
        <v>0</v>
      </c>
      <c r="BF28" s="14">
        <f ca="1">IF(BF$1="","",'Total Value'!BF40/'Total Value'!$D40-1)</f>
        <v>3.7590945836701861E-2</v>
      </c>
      <c r="BG28" s="14">
        <f ca="1">IF(BG$1="","",'Total Value'!BG40/'Total Value'!$D40-1)</f>
        <v>-9.2966855295067985E-3</v>
      </c>
      <c r="BH28" s="14">
        <f ca="1">IF(BH$1="","",'Total Value'!BH40/'Total Value'!$D40-1)</f>
        <v>-3.6782538399353304E-2</v>
      </c>
      <c r="BI28" s="14">
        <f ca="1">IF(BI$1="","",'Total Value'!BI40/'Total Value'!$D40-1)</f>
        <v>-1.1317704122877803E-2</v>
      </c>
      <c r="BJ28" s="14">
        <f ca="1">IF(BJ$1="","",'Total Value'!BJ40/'Total Value'!$D40-1)</f>
        <v>-2.303961196442994E-2</v>
      </c>
      <c r="BK28" s="14">
        <f ca="1">IF(BK$1="","",'Total Value'!BK40/'Total Value'!$D40-1)</f>
        <v>-9.1754244139045982E-2</v>
      </c>
      <c r="BL28" s="14">
        <f ca="1">IF(BL$1="","",'Total Value'!BL40/'Total Value'!$D40-1)</f>
        <v>-0.12651576394502828</v>
      </c>
      <c r="BM28" s="14">
        <f ca="1">IF(BM$1="","",'Total Value'!BM40/'Total Value'!$D40-1)</f>
        <v>-0.11681487469684715</v>
      </c>
      <c r="BN28" s="14">
        <f ca="1">IF(BN$1="","",'Total Value'!BN40/'Total Value'!$D40-1)</f>
        <v>-0.13257881972514129</v>
      </c>
      <c r="BO28" s="14">
        <f ca="1">IF(BO$1="","",'Total Value'!BO40/'Total Value'!$D40-1)</f>
        <v>-0.13136620856911885</v>
      </c>
      <c r="BP28" s="14">
        <f ca="1">IF(BP$1="","",'Total Value'!BP40/'Total Value'!$D40-1)</f>
        <v>-0.11721907841552137</v>
      </c>
      <c r="BQ28" s="14">
        <f ca="1">IF(BQ$1="","",'Total Value'!BQ40/'Total Value'!$D40-1)</f>
        <v>-6.7906224737267595E-2</v>
      </c>
      <c r="BR28" s="14">
        <f ca="1">IF(BR$1="","",'Total Value'!BR40/'Total Value'!$D40-1)</f>
        <v>-7.7202910266774505E-2</v>
      </c>
      <c r="BS28" s="14">
        <f ca="1">IF(BS$1="","",'Total Value'!BS40/'Total Value'!$D40-1)</f>
        <v>-8.2053354890864849E-2</v>
      </c>
      <c r="BT28" s="14">
        <f ca="1">IF(BT$1="","",'Total Value'!BT40/'Total Value'!$D40-1)</f>
        <v>-4.2037186742118093E-2</v>
      </c>
      <c r="BU28" s="14">
        <f ca="1">IF(BU$1="","",'Total Value'!BU40/'Total Value'!$D40-1)</f>
        <v>-1.4551333872271588E-2</v>
      </c>
      <c r="BV28" s="14">
        <f ca="1">IF(BV$1="","",'Total Value'!BV40/'Total Value'!$D40-1)</f>
        <v>-4.3249797898140541E-2</v>
      </c>
      <c r="BW28" s="14">
        <f ca="1">IF(BW$1="","",'Total Value'!BW40/'Total Value'!$D40-1)</f>
        <v>-6.99272433306386E-2</v>
      </c>
      <c r="BX28" s="14">
        <f ca="1">IF(BX$1="","",'Total Value'!BX40/'Total Value'!$D40-1)</f>
        <v>-6.1034761519805913E-2</v>
      </c>
      <c r="BY28" s="14">
        <f ca="1">IF(BY$1="","",'Total Value'!BY40/'Total Value'!$D40-1)</f>
        <v>-8.0436540016168068E-2</v>
      </c>
      <c r="BZ28" s="14">
        <f ca="1">IF(BZ$1="","",'Total Value'!BZ40/'Total Value'!$D40-1)</f>
        <v>-8.2053354890864849E-2</v>
      </c>
      <c r="CA28" s="14">
        <f ca="1">IF(CA$1="","",'Total Value'!CA40/'Total Value'!$D40-1)</f>
        <v>-4.3249797898140541E-2</v>
      </c>
      <c r="CB28" s="14">
        <f ca="1">IF(CB$1="","",'Total Value'!CB40/'Total Value'!$D40-1)</f>
        <v>-9.0945836701697647E-2</v>
      </c>
      <c r="CC28" s="14">
        <f ca="1">IF(CC$1="","",'Total Value'!CC40/'Total Value'!$D40-1)</f>
        <v>-5.6588520614389681E-2</v>
      </c>
      <c r="CD28" s="14">
        <f ca="1">IF(CD$1="","",'Total Value'!CD40/'Total Value'!$D40-1)</f>
        <v>-4.4866612772837433E-2</v>
      </c>
      <c r="CE28" s="14">
        <f ca="1">IF(CE$1="","",'Total Value'!CE40/'Total Value'!$D40-1)</f>
        <v>5.2142279708973449E-2</v>
      </c>
      <c r="CF28" s="14" t="str">
        <f ca="1">IF(CF$1="","",'Total Value'!CF40/'Total Value'!$D40-1)</f>
        <v/>
      </c>
      <c r="CG28" s="14" t="str">
        <f ca="1">IF(CG$1="","",'Total Value'!CG40/'Total Value'!$D40-1)</f>
        <v/>
      </c>
      <c r="CH28" s="14" t="str">
        <f ca="1">IF(CH$1="","",'Total Value'!CH40/'Total Value'!$D40-1)</f>
        <v/>
      </c>
      <c r="CI28" s="14" t="str">
        <f ca="1">IF(CI$1="","",'Total Value'!CI40/'Total Value'!$D40-1)</f>
        <v/>
      </c>
      <c r="CJ28" s="14" t="str">
        <f ca="1">IF(CJ$1="","",'Total Value'!CJ40/'Total Value'!$D40-1)</f>
        <v/>
      </c>
      <c r="CK28" s="14" t="str">
        <f ca="1">IF(CK$1="","",'Total Value'!CK40/'Total Value'!$D40-1)</f>
        <v/>
      </c>
      <c r="CL28" s="14" t="str">
        <f ca="1">IF(CL$1="","",'Total Value'!CL40/'Total Value'!$D40-1)</f>
        <v/>
      </c>
      <c r="CM28" s="14" t="str">
        <f ca="1">IF(CM$1="","",'Total Value'!CM40/'Total Value'!$D40-1)</f>
        <v/>
      </c>
      <c r="CN28" s="14" t="str">
        <f ca="1">IF(CN$1="","",'Total Value'!CN40/'Total Value'!$D40-1)</f>
        <v/>
      </c>
      <c r="CO28" s="14" t="str">
        <f ca="1">IF(CO$1="","",'Total Value'!CO40/'Total Value'!$D40-1)</f>
        <v/>
      </c>
      <c r="CP28" s="14" t="str">
        <f ca="1">IF(CP$1="","",'Total Value'!CP40/'Total Value'!$D40-1)</f>
        <v/>
      </c>
      <c r="CQ28" s="14" t="str">
        <f ca="1">IF(CQ$1="","",'Total Value'!CQ40/'Total Value'!$D40-1)</f>
        <v/>
      </c>
      <c r="CR28" s="14" t="str">
        <f ca="1">IF(CR$1="","",'Total Value'!CR40/'Total Value'!$D40-1)</f>
        <v/>
      </c>
      <c r="CS28" s="14" t="str">
        <f ca="1">IF(CS$1="","",'Total Value'!CS40/'Total Value'!$D40-1)</f>
        <v/>
      </c>
      <c r="CT28" s="14" t="str">
        <f ca="1">IF(CT$1="","",'Total Value'!CT40/'Total Value'!$D40-1)</f>
        <v/>
      </c>
      <c r="CU28" s="14" t="str">
        <f ca="1">IF(CU$1="","",'Total Value'!CU40/'Total Value'!$D40-1)</f>
        <v/>
      </c>
      <c r="CV28" s="14" t="str">
        <f ca="1">IF(CV$1="","",'Total Value'!CV40/'Total Value'!$D40-1)</f>
        <v/>
      </c>
      <c r="CW28" s="14" t="str">
        <f ca="1">IF(CW$1="","",'Total Value'!CW40/'Total Value'!$D40-1)</f>
        <v/>
      </c>
      <c r="CX28" s="14" t="str">
        <f ca="1">IF(CX$1="","",'Total Value'!CX40/'Total Value'!$D40-1)</f>
        <v/>
      </c>
      <c r="CY28" s="14" t="str">
        <f ca="1">IF(CY$1="","",'Total Value'!CY40/'Total Value'!$D40-1)</f>
        <v/>
      </c>
      <c r="CZ28" s="14" t="str">
        <f ca="1">IF(CZ$1="","",'Total Value'!CZ40/'Total Value'!$D40-1)</f>
        <v/>
      </c>
      <c r="DA28" s="14" t="str">
        <f ca="1">IF(DA$1="","",'Total Value'!DA40/'Total Value'!$D40-1)</f>
        <v/>
      </c>
      <c r="DB28" s="14" t="str">
        <f ca="1">IF(DB$1="","",'Total Value'!DB40/'Total Value'!$D40-1)</f>
        <v/>
      </c>
      <c r="DC28" s="14" t="str">
        <f ca="1">IF(DC$1="","",'Total Value'!DC40/'Total Value'!$D40-1)</f>
        <v/>
      </c>
      <c r="DD28" s="14" t="str">
        <f ca="1">IF(DD$1="","",'Total Value'!DD40/'Total Value'!$D40-1)</f>
        <v/>
      </c>
      <c r="DE28" s="14" t="str">
        <f ca="1">IF(DE$1="","",'Total Value'!DE40/'Total Value'!$D40-1)</f>
        <v/>
      </c>
      <c r="DF28" s="14" t="str">
        <f ca="1">IF(DF$1="","",'Total Value'!DF40/'Total Value'!$D40-1)</f>
        <v/>
      </c>
      <c r="DG28" s="14" t="str">
        <f ca="1">IF(DG$1="","",'Total Value'!DG40/'Total Value'!$D40-1)</f>
        <v/>
      </c>
      <c r="DH28" s="14" t="str">
        <f ca="1">IF(DH$1="","",'Total Value'!DH40/'Total Value'!$D40-1)</f>
        <v/>
      </c>
      <c r="DI28" s="14" t="str">
        <f ca="1">IF(DI$1="","",'Total Value'!DI40/'Total Value'!$D40-1)</f>
        <v/>
      </c>
      <c r="DJ28" s="14" t="str">
        <f ca="1">IF(DJ$1="","",'Total Value'!DJ40/'Total Value'!$D40-1)</f>
        <v/>
      </c>
      <c r="DK28" s="14" t="str">
        <f ca="1">IF(DK$1="","",'Total Value'!DK40/'Total Value'!$D40-1)</f>
        <v/>
      </c>
      <c r="DL28" s="14" t="str">
        <f ca="1">IF(DL$1="","",'Total Value'!DL40/'Total Value'!$D40-1)</f>
        <v/>
      </c>
      <c r="DM28" s="14" t="str">
        <f ca="1">IF(DM$1="","",'Total Value'!DM40/'Total Value'!$D40-1)</f>
        <v/>
      </c>
      <c r="DN28" s="14" t="str">
        <f ca="1">IF(DN$1="","",'Total Value'!DN40/'Total Value'!$D40-1)</f>
        <v/>
      </c>
      <c r="DO28" s="14" t="str">
        <f ca="1">IF(DO$1="","",'Total Value'!DO40/'Total Value'!$D40-1)</f>
        <v/>
      </c>
      <c r="DP28" s="14" t="str">
        <f ca="1">IF(DP$1="","",'Total Value'!DP40/'Total Value'!$D40-1)</f>
        <v/>
      </c>
      <c r="DQ28" s="14" t="str">
        <f ca="1">IF(DQ$1="","",'Total Value'!DQ40/'Total Value'!$D40-1)</f>
        <v/>
      </c>
      <c r="DR28" s="14" t="str">
        <f ca="1">IF(DR$1="","",'Total Value'!DR40/'Total Value'!$D40-1)</f>
        <v/>
      </c>
      <c r="DS28" s="14" t="str">
        <f ca="1">IF(DS$1="","",'Total Value'!DS40/'Total Value'!$D40-1)</f>
        <v/>
      </c>
      <c r="DT28" s="14" t="str">
        <f ca="1">IF(DT$1="","",'Total Value'!DT40/'Total Value'!$D40-1)</f>
        <v/>
      </c>
      <c r="DU28" s="14" t="str">
        <f ca="1">IF(DU$1="","",'Total Value'!DU40/'Total Value'!$D40-1)</f>
        <v/>
      </c>
      <c r="DV28" s="14" t="str">
        <f ca="1">IF(DV$1="","",'Total Value'!DV40/'Total Value'!$D40-1)</f>
        <v/>
      </c>
      <c r="DW28" s="14" t="str">
        <f ca="1">IF(DW$1="","",'Total Value'!DW40/'Total Value'!$D40-1)</f>
        <v/>
      </c>
      <c r="DX28" s="14" t="str">
        <f ca="1">IF(DX$1="","",'Total Value'!DX40/'Total Value'!$D40-1)</f>
        <v/>
      </c>
      <c r="DY28" s="14" t="str">
        <f ca="1">IF(DY$1="","",'Total Value'!DY40/'Total Value'!$D40-1)</f>
        <v/>
      </c>
      <c r="DZ28" s="14" t="str">
        <f ca="1">IF(DZ$1="","",'Total Value'!DZ40/'Total Value'!$D40-1)</f>
        <v/>
      </c>
      <c r="EA28" s="14" t="str">
        <f ca="1">IF(EA$1="","",'Total Value'!EA40/'Total Value'!$D40-1)</f>
        <v/>
      </c>
      <c r="EB28" s="14" t="str">
        <f ca="1">IF(EB$1="","",'Total Value'!EB40/'Total Value'!$D40-1)</f>
        <v/>
      </c>
      <c r="EC28" s="14" t="str">
        <f ca="1">IF(EC$1="","",'Total Value'!EC40/'Total Value'!$D40-1)</f>
        <v/>
      </c>
      <c r="ED28" s="14" t="str">
        <f ca="1">IF(ED$1="","",'Total Value'!ED40/'Total Value'!$D40-1)</f>
        <v/>
      </c>
      <c r="EE28" s="14" t="str">
        <f ca="1">IF(EE$1="","",'Total Value'!EE40/'Total Value'!$D40-1)</f>
        <v/>
      </c>
      <c r="EF28" s="14" t="str">
        <f ca="1">IF(EF$1="","",'Total Value'!EF40/'Total Value'!$D40-1)</f>
        <v/>
      </c>
      <c r="EG28" s="14" t="str">
        <f ca="1">IF(EG$1="","",'Total Value'!EG40/'Total Value'!$D40-1)</f>
        <v/>
      </c>
      <c r="EH28" s="14" t="str">
        <f ca="1">IF(EH$1="","",'Total Value'!EH40/'Total Value'!$D40-1)</f>
        <v/>
      </c>
      <c r="EI28" s="14" t="str">
        <f ca="1">IF(EI$1="","",'Total Value'!EI40/'Total Value'!$D40-1)</f>
        <v/>
      </c>
      <c r="EJ28" s="14" t="str">
        <f ca="1">IF(EJ$1="","",'Total Value'!EJ40/'Total Value'!$D40-1)</f>
        <v/>
      </c>
      <c r="EK28" s="14" t="str">
        <f ca="1">IF(EK$1="","",'Total Value'!EK40/'Total Value'!$D40-1)</f>
        <v/>
      </c>
      <c r="EL28" s="14" t="str">
        <f ca="1">IF(EL$1="","",'Total Value'!EL40/'Total Value'!$D40-1)</f>
        <v/>
      </c>
      <c r="EM28" s="14" t="str">
        <f ca="1">IF(EM$1="","",'Total Value'!EM40/'Total Value'!$D40-1)</f>
        <v/>
      </c>
      <c r="EN28" s="14" t="str">
        <f ca="1">IF(EN$1="","",'Total Value'!EN40/'Total Value'!$D40-1)</f>
        <v/>
      </c>
      <c r="EO28" s="14" t="str">
        <f ca="1">IF(EO$1="","",'Total Value'!EO40/'Total Value'!$D40-1)</f>
        <v/>
      </c>
      <c r="EP28" s="14" t="str">
        <f ca="1">IF(EP$1="","",'Total Value'!EP40/'Total Value'!$D40-1)</f>
        <v/>
      </c>
      <c r="EQ28" s="14" t="str">
        <f ca="1">IF(EQ$1="","",'Total Value'!EQ40/'Total Value'!$D40-1)</f>
        <v/>
      </c>
      <c r="ER28" s="14" t="str">
        <f ca="1">IF(ER$1="","",'Total Value'!ER40/'Total Value'!$D40-1)</f>
        <v/>
      </c>
      <c r="ES28" s="14" t="str">
        <f ca="1">IF(ES$1="","",'Total Value'!ES40/'Total Value'!$D40-1)</f>
        <v/>
      </c>
      <c r="ET28" s="14" t="str">
        <f ca="1">IF(ET$1="","",'Total Value'!ET40/'Total Value'!$D40-1)</f>
        <v/>
      </c>
      <c r="EU28" s="14" t="str">
        <f ca="1">IF(EU$1="","",'Total Value'!EU40/'Total Value'!$D40-1)</f>
        <v/>
      </c>
      <c r="EV28" s="14" t="str">
        <f ca="1">IF(EV$1="","",'Total Value'!EV40/'Total Value'!$D40-1)</f>
        <v/>
      </c>
      <c r="EW28" s="14" t="str">
        <f ca="1">IF(EW$1="","",'Total Value'!EW40/'Total Value'!$D40-1)</f>
        <v/>
      </c>
      <c r="EX28" s="14" t="str">
        <f ca="1">IF(EX$1="","",'Total Value'!EX40/'Total Value'!$D40-1)</f>
        <v/>
      </c>
      <c r="EY28" s="14" t="str">
        <f ca="1">IF(EY$1="","",'Total Value'!EY40/'Total Value'!$D40-1)</f>
        <v/>
      </c>
      <c r="EZ28" s="14" t="str">
        <f ca="1">IF(EZ$1="","",'Total Value'!EZ40/'Total Value'!$D40-1)</f>
        <v/>
      </c>
      <c r="FA28" s="14" t="str">
        <f ca="1">IF(FA$1="","",'Total Value'!FA40/'Total Value'!$D40-1)</f>
        <v/>
      </c>
      <c r="FB28" s="14" t="str">
        <f ca="1">IF(FB$1="","",'Total Value'!FB40/'Total Value'!$D40-1)</f>
        <v/>
      </c>
      <c r="FC28" s="14" t="str">
        <f ca="1">IF(FC$1="","",'Total Value'!FC40/'Total Value'!$D40-1)</f>
        <v/>
      </c>
      <c r="FD28" s="14" t="str">
        <f ca="1">IF(FD$1="","",'Total Value'!FD40/'Total Value'!$D40-1)</f>
        <v/>
      </c>
      <c r="FE28" s="14" t="str">
        <f ca="1">IF(FE$1="","",'Total Value'!FE40/'Total Value'!$D40-1)</f>
        <v/>
      </c>
      <c r="FF28" s="14" t="str">
        <f ca="1">IF(FF$1="","",'Total Value'!FF40/'Total Value'!$D40-1)</f>
        <v/>
      </c>
      <c r="FG28" s="14" t="str">
        <f ca="1">IF(FG$1="","",'Total Value'!FG40/'Total Value'!$D40-1)</f>
        <v/>
      </c>
      <c r="FH28" s="14" t="str">
        <f ca="1">IF(FH$1="","",'Total Value'!FH40/'Total Value'!$D40-1)</f>
        <v/>
      </c>
      <c r="FI28" s="14" t="str">
        <f ca="1">IF(FI$1="","",'Total Value'!FI40/'Total Value'!$D40-1)</f>
        <v/>
      </c>
      <c r="FJ28" s="14" t="str">
        <f ca="1">IF(FJ$1="","",'Total Value'!FJ40/'Total Value'!$D40-1)</f>
        <v/>
      </c>
      <c r="FK28" s="14" t="str">
        <f ca="1">IF(FK$1="","",'Total Value'!FK40/'Total Value'!$D40-1)</f>
        <v/>
      </c>
      <c r="FL28" s="14" t="str">
        <f ca="1">IF(FL$1="","",'Total Value'!FL40/'Total Value'!$D40-1)</f>
        <v/>
      </c>
      <c r="FM28" s="14" t="str">
        <f ca="1">IF(FM$1="","",'Total Value'!FM40/'Total Value'!$D40-1)</f>
        <v/>
      </c>
      <c r="FN28" s="14" t="str">
        <f ca="1">IF(FN$1="","",'Total Value'!FN40/'Total Value'!$D40-1)</f>
        <v/>
      </c>
      <c r="FO28" s="14" t="str">
        <f ca="1">IF(FO$1="","",'Total Value'!FO40/'Total Value'!$D40-1)</f>
        <v/>
      </c>
      <c r="FP28" s="14" t="str">
        <f ca="1">IF(FP$1="","",'Total Value'!FP40/'Total Value'!$D40-1)</f>
        <v/>
      </c>
      <c r="FQ28" s="14" t="str">
        <f ca="1">IF(FQ$1="","",'Total Value'!FQ40/'Total Value'!$D40-1)</f>
        <v/>
      </c>
      <c r="FR28" s="14" t="str">
        <f ca="1">IF(FR$1="","",'Total Value'!FR40/'Total Value'!$D40-1)</f>
        <v/>
      </c>
      <c r="FS28" s="14" t="str">
        <f ca="1">IF(FS$1="","",'Total Value'!FS40/'Total Value'!$D40-1)</f>
        <v/>
      </c>
      <c r="FT28" s="14" t="str">
        <f ca="1">IF(FT$1="","",'Total Value'!FT40/'Total Value'!$D40-1)</f>
        <v/>
      </c>
      <c r="FU28" s="14" t="str">
        <f ca="1">IF(FU$1="","",'Total Value'!FU40/'Total Value'!$D40-1)</f>
        <v/>
      </c>
      <c r="FV28" s="14" t="str">
        <f ca="1">IF(FV$1="","",'Total Value'!FV40/'Total Value'!$D40-1)</f>
        <v/>
      </c>
      <c r="FW28" s="14" t="str">
        <f ca="1">IF(FW$1="","",'Total Value'!FW40/'Total Value'!$D40-1)</f>
        <v/>
      </c>
      <c r="FX28" s="14" t="str">
        <f ca="1">IF(FX$1="","",'Total Value'!FX40/'Total Value'!$D40-1)</f>
        <v/>
      </c>
      <c r="FY28" s="14" t="str">
        <f ca="1">IF(FY$1="","",'Total Value'!FY40/'Total Value'!$D40-1)</f>
        <v/>
      </c>
      <c r="FZ28" s="14" t="str">
        <f ca="1">IF(FZ$1="","",'Total Value'!FZ40/'Total Value'!$D40-1)</f>
        <v/>
      </c>
      <c r="GA28" s="14" t="str">
        <f ca="1">IF(GA$1="","",'Total Value'!GA40/'Total Value'!$D40-1)</f>
        <v/>
      </c>
      <c r="GB28" s="14" t="str">
        <f ca="1">IF(GB$1="","",'Total Value'!GB40/'Total Value'!$D40-1)</f>
        <v/>
      </c>
      <c r="GC28" s="14" t="str">
        <f ca="1">IF(GC$1="","",'Total Value'!GC40/'Total Value'!$D40-1)</f>
        <v/>
      </c>
      <c r="GD28" s="14" t="str">
        <f ca="1">IF(GD$1="","",'Total Value'!GD40/'Total Value'!$D40-1)</f>
        <v/>
      </c>
      <c r="GE28" s="14" t="str">
        <f ca="1">IF(GE$1="","",'Total Value'!GE40/'Total Value'!$D40-1)</f>
        <v/>
      </c>
      <c r="GF28" s="14" t="str">
        <f ca="1">IF(GF$1="","",'Total Value'!GF40/'Total Value'!$D40-1)</f>
        <v/>
      </c>
      <c r="GG28" s="14" t="str">
        <f ca="1">IF(GG$1="","",'Total Value'!GG40/'Total Value'!$D40-1)</f>
        <v/>
      </c>
      <c r="GH28" s="14" t="str">
        <f ca="1">IF(GH$1="","",'Total Value'!GH40/'Total Value'!$D40-1)</f>
        <v/>
      </c>
      <c r="GI28" s="14" t="str">
        <f ca="1">IF(GI$1="","",'Total Value'!GI40/'Total Value'!$D40-1)</f>
        <v/>
      </c>
      <c r="GJ28" s="14" t="str">
        <f ca="1">IF(GJ$1="","",'Total Value'!GJ40/'Total Value'!$D40-1)</f>
        <v/>
      </c>
      <c r="GK28" s="14" t="str">
        <f ca="1">IF(GK$1="","",'Total Value'!GK40/'Total Value'!$D40-1)</f>
        <v/>
      </c>
      <c r="GL28" s="14" t="str">
        <f ca="1">IF(GL$1="","",'Total Value'!GL40/'Total Value'!$D40-1)</f>
        <v/>
      </c>
      <c r="GM28" s="14" t="str">
        <f ca="1">IF(GM$1="","",'Total Value'!GM40/'Total Value'!$D40-1)</f>
        <v/>
      </c>
      <c r="GN28" s="14" t="str">
        <f ca="1">IF(GN$1="","",'Total Value'!GN40/'Total Value'!$D40-1)</f>
        <v/>
      </c>
      <c r="GO28" s="14" t="str">
        <f ca="1">IF(GO$1="","",'Total Value'!GO40/'Total Value'!$D40-1)</f>
        <v/>
      </c>
      <c r="GP28" s="14" t="str">
        <f ca="1">IF(GP$1="","",'Total Value'!GP40/'Total Value'!$D40-1)</f>
        <v/>
      </c>
      <c r="GQ28" s="14" t="str">
        <f ca="1">IF(GQ$1="","",'Total Value'!GQ40/'Total Value'!$D40-1)</f>
        <v/>
      </c>
      <c r="GR28" s="14" t="str">
        <f ca="1">IF(GR$1="","",'Total Value'!GR40/'Total Value'!$D40-1)</f>
        <v/>
      </c>
      <c r="GS28" s="14" t="str">
        <f ca="1">IF(GS$1="","",'Total Value'!GS40/'Total Value'!$D40-1)</f>
        <v/>
      </c>
      <c r="GT28" s="14" t="str">
        <f ca="1">IF(GT$1="","",'Total Value'!GT40/'Total Value'!$D40-1)</f>
        <v/>
      </c>
      <c r="GU28" s="14" t="str">
        <f ca="1">IF(GU$1="","",'Total Value'!GU40/'Total Value'!$D40-1)</f>
        <v/>
      </c>
      <c r="GV28" s="14" t="str">
        <f ca="1">IF(GV$1="","",'Total Value'!GV40/'Total Value'!$D40-1)</f>
        <v/>
      </c>
      <c r="GW28" s="14" t="str">
        <f ca="1">IF(GW$1="","",'Total Value'!GW40/'Total Value'!$D40-1)</f>
        <v/>
      </c>
      <c r="GX28" s="14" t="str">
        <f ca="1">IF(GX$1="","",'Total Value'!GX40/'Total Value'!$D40-1)</f>
        <v/>
      </c>
      <c r="GY28" s="14" t="str">
        <f ca="1">IF(GY$1="","",'Total Value'!GY40/'Total Value'!$D40-1)</f>
        <v/>
      </c>
      <c r="GZ28" s="14" t="str">
        <f ca="1">IF(GZ$1="","",'Total Value'!GZ40/'Total Value'!$D40-1)</f>
        <v/>
      </c>
      <c r="HA28" s="14" t="str">
        <f ca="1">IF(HA$1="","",'Total Value'!HA40/'Total Value'!$D40-1)</f>
        <v/>
      </c>
      <c r="HB28" s="14" t="str">
        <f ca="1">IF(HB$1="","",'Total Value'!HB40/'Total Value'!$D40-1)</f>
        <v/>
      </c>
      <c r="HC28" s="14" t="str">
        <f ca="1">IF(HC$1="","",'Total Value'!HC40/'Total Value'!$D40-1)</f>
        <v/>
      </c>
      <c r="HD28" s="14" t="str">
        <f ca="1">IF(HD$1="","",'Total Value'!HD40/'Total Value'!$D40-1)</f>
        <v/>
      </c>
      <c r="HE28" s="14" t="str">
        <f ca="1">IF(HE$1="","",'Total Value'!HE40/'Total Value'!$D40-1)</f>
        <v/>
      </c>
      <c r="HF28" s="14" t="str">
        <f ca="1">IF(HF$1="","",'Total Value'!HF40/'Total Value'!$D40-1)</f>
        <v/>
      </c>
      <c r="HG28" s="14" t="str">
        <f ca="1">IF(HG$1="","",'Total Value'!HG40/'Total Value'!$D40-1)</f>
        <v/>
      </c>
      <c r="HH28" s="14" t="str">
        <f ca="1">IF(HH$1="","",'Total Value'!HH40/'Total Value'!$D40-1)</f>
        <v/>
      </c>
      <c r="HI28" s="14" t="str">
        <f ca="1">IF(HI$1="","",'Total Value'!HI40/'Total Value'!$D40-1)</f>
        <v/>
      </c>
      <c r="HJ28" s="14" t="str">
        <f ca="1">IF(HJ$1="","",'Total Value'!HJ40/'Total Value'!$D40-1)</f>
        <v/>
      </c>
      <c r="HK28" s="14" t="str">
        <f ca="1">IF(HK$1="","",'Total Value'!HK40/'Total Value'!$D40-1)</f>
        <v/>
      </c>
      <c r="HL28" s="14" t="str">
        <f ca="1">IF(HL$1="","",'Total Value'!HL40/'Total Value'!$D40-1)</f>
        <v/>
      </c>
      <c r="HM28" s="14" t="str">
        <f ca="1">IF(HM$1="","",'Total Value'!HM40/'Total Value'!$D40-1)</f>
        <v/>
      </c>
      <c r="HN28" s="14" t="str">
        <f ca="1">IF(HN$1="","",'Total Value'!HN40/'Total Value'!$D40-1)</f>
        <v/>
      </c>
      <c r="HO28" s="14" t="str">
        <f ca="1">IF(HO$1="","",'Total Value'!HO40/'Total Value'!$D40-1)</f>
        <v/>
      </c>
      <c r="HP28" s="14" t="str">
        <f ca="1">IF(HP$1="","",'Total Value'!HP40/'Total Value'!$D40-1)</f>
        <v/>
      </c>
      <c r="HQ28" s="14" t="str">
        <f ca="1">IF(HQ$1="","",'Total Value'!HQ40/'Total Value'!$D40-1)</f>
        <v/>
      </c>
      <c r="HR28" s="14" t="str">
        <f ca="1">IF(HR$1="","",'Total Value'!HR40/'Total Value'!$D40-1)</f>
        <v/>
      </c>
      <c r="HS28" s="14" t="str">
        <f ca="1">IF(HS$1="","",'Total Value'!HS40/'Total Value'!$D40-1)</f>
        <v/>
      </c>
      <c r="HT28" s="14" t="str">
        <f ca="1">IF(HT$1="","",'Total Value'!HT40/'Total Value'!$D40-1)</f>
        <v/>
      </c>
      <c r="HU28" s="14" t="str">
        <f ca="1">IF(HU$1="","",'Total Value'!HU40/'Total Value'!$D40-1)</f>
        <v/>
      </c>
      <c r="HV28" s="14" t="str">
        <f ca="1">IF(HV$1="","",'Total Value'!HV40/'Total Value'!$D40-1)</f>
        <v/>
      </c>
      <c r="HW28" s="14" t="str">
        <f ca="1">IF(HW$1="","",'Total Value'!HW40/'Total Value'!$D40-1)</f>
        <v/>
      </c>
      <c r="HX28" s="14" t="str">
        <f ca="1">IF(HX$1="","",'Total Value'!HX40/'Total Value'!$D40-1)</f>
        <v/>
      </c>
      <c r="HY28" s="14" t="str">
        <f ca="1">IF(HY$1="","",'Total Value'!HY40/'Total Value'!$D40-1)</f>
        <v/>
      </c>
      <c r="HZ28" s="14" t="str">
        <f ca="1">IF(HZ$1="","",'Total Value'!HZ40/'Total Value'!$D40-1)</f>
        <v/>
      </c>
      <c r="IA28" s="14" t="str">
        <f ca="1">IF(IA$1="","",'Total Value'!IA40/'Total Value'!$D40-1)</f>
        <v/>
      </c>
      <c r="IB28" s="14" t="str">
        <f ca="1">IF(IB$1="","",'Total Value'!IB40/'Total Value'!$D40-1)</f>
        <v/>
      </c>
      <c r="IC28" s="14" t="str">
        <f ca="1">IF(IC$1="","",'Total Value'!IC40/'Total Value'!$D40-1)</f>
        <v/>
      </c>
      <c r="ID28" s="14" t="str">
        <f ca="1">IF(ID$1="","",'Total Value'!ID40/'Total Value'!$D40-1)</f>
        <v/>
      </c>
      <c r="IE28" s="14" t="str">
        <f ca="1">IF(IE$1="","",'Total Value'!IE40/'Total Value'!$D40-1)</f>
        <v/>
      </c>
      <c r="IF28" s="14" t="str">
        <f ca="1">IF(IF$1="","",'Total Value'!IF40/'Total Value'!$D40-1)</f>
        <v/>
      </c>
      <c r="IG28" s="14" t="str">
        <f ca="1">IF(IG$1="","",'Total Value'!IG40/'Total Value'!$D40-1)</f>
        <v/>
      </c>
      <c r="IH28" s="14" t="str">
        <f ca="1">IF(IH$1="","",'Total Value'!IH40/'Total Value'!$D40-1)</f>
        <v/>
      </c>
      <c r="II28" s="14" t="str">
        <f ca="1">IF(II$1="","",'Total Value'!II40/'Total Value'!$D40-1)</f>
        <v/>
      </c>
      <c r="IJ28" s="14" t="str">
        <f ca="1">IF(IJ$1="","",'Total Value'!IJ40/'Total Value'!$D40-1)</f>
        <v/>
      </c>
      <c r="IK28" s="14" t="str">
        <f ca="1">IF(IK$1="","",'Total Value'!IK40/'Total Value'!$D40-1)</f>
        <v/>
      </c>
      <c r="IL28" s="14" t="str">
        <f ca="1">IF(IL$1="","",'Total Value'!IL40/'Total Value'!$D40-1)</f>
        <v/>
      </c>
      <c r="IM28" s="14" t="str">
        <f ca="1">IF(IM$1="","",'Total Value'!IM40/'Total Value'!$D40-1)</f>
        <v/>
      </c>
      <c r="IN28" s="14" t="str">
        <f ca="1">IF(IN$1="","",'Total Value'!IN40/'Total Value'!$D40-1)</f>
        <v/>
      </c>
      <c r="IO28" s="14" t="str">
        <f ca="1">IF(IO$1="","",'Total Value'!IO40/'Total Value'!$D40-1)</f>
        <v/>
      </c>
      <c r="IP28" s="14" t="str">
        <f ca="1">IF(IP$1="","",'Total Value'!IP40/'Total Value'!$D40-1)</f>
        <v/>
      </c>
      <c r="IQ28" s="14" t="str">
        <f ca="1">IF(IQ$1="","",'Total Value'!IQ40/'Total Value'!$D40-1)</f>
        <v/>
      </c>
      <c r="IR28" s="14" t="str">
        <f ca="1">IF(IR$1="","",'Total Value'!IR40/'Total Value'!$D40-1)</f>
        <v/>
      </c>
      <c r="IS28" s="14" t="str">
        <f ca="1">IF(IS$1="","",'Total Value'!IS40/'Total Value'!$D40-1)</f>
        <v/>
      </c>
      <c r="IT28" s="14" t="str">
        <f ca="1">IF(IT$1="","",'Total Value'!IT40/'Total Value'!$D40-1)</f>
        <v/>
      </c>
      <c r="IU28" s="14" t="str">
        <f ca="1">IF(IU$1="","",'Total Value'!IU40/'Total Value'!$D40-1)</f>
        <v/>
      </c>
      <c r="IV28" s="14" t="str">
        <f ca="1">IF(IV$1="","",'Total Value'!IV40/'Total Value'!$D40-1)</f>
        <v/>
      </c>
      <c r="IW28" s="14" t="str">
        <f ca="1">IF(IW$1="","",'Total Value'!IW40/'Total Value'!$D40-1)</f>
        <v/>
      </c>
      <c r="IX28" s="14" t="str">
        <f ca="1">IF(IX$1="","",'Total Value'!IX40/'Total Value'!$D40-1)</f>
        <v/>
      </c>
      <c r="IY28" s="14" t="str">
        <f ca="1">IF(IY$1="","",'Total Value'!IY40/'Total Value'!$D40-1)</f>
        <v/>
      </c>
      <c r="IZ28" s="14" t="str">
        <f ca="1">IF(IZ$1="","",'Total Value'!IZ40/'Total Value'!$D40-1)</f>
        <v/>
      </c>
      <c r="JA28" s="14" t="str">
        <f ca="1">IF(JA$1="","",'Total Value'!JA40/'Total Value'!$D40-1)</f>
        <v/>
      </c>
      <c r="JB28" s="14" t="str">
        <f ca="1">IF(JB$1="","",'Total Value'!JB40/'Total Value'!$D40-1)</f>
        <v/>
      </c>
      <c r="JC28" s="14" t="str">
        <f ca="1">IF(JC$1="","",'Total Value'!JC40/'Total Value'!$D40-1)</f>
        <v/>
      </c>
      <c r="JD28" s="14" t="str">
        <f ca="1">IF(JD$1="","",'Total Value'!JD40/'Total Value'!$D40-1)</f>
        <v/>
      </c>
      <c r="JE28" s="14" t="str">
        <f ca="1">IF(JE$1="","",'Total Value'!JE40/'Total Value'!$D40-1)</f>
        <v/>
      </c>
      <c r="JF28" s="14" t="str">
        <f ca="1">IF(JF$1="","",'Total Value'!JF40/'Total Value'!$D40-1)</f>
        <v/>
      </c>
      <c r="JG28" s="14" t="str">
        <f ca="1">IF(JG$1="","",'Total Value'!JG40/'Total Value'!$D40-1)</f>
        <v/>
      </c>
      <c r="JH28" s="14" t="str">
        <f ca="1">IF(JH$1="","",'Total Value'!JH40/'Total Value'!$D40-1)</f>
        <v/>
      </c>
      <c r="JI28" s="14" t="str">
        <f ca="1">IF(JI$1="","",'Total Value'!JI40/'Total Value'!$D40-1)</f>
        <v/>
      </c>
      <c r="JJ28" s="14" t="str">
        <f ca="1">IF(JJ$1="","",'Total Value'!JJ40/'Total Value'!$D40-1)</f>
        <v/>
      </c>
      <c r="JK28" s="14" t="str">
        <f ca="1">IF(JK$1="","",'Total Value'!JK40/'Total Value'!$D40-1)</f>
        <v/>
      </c>
      <c r="JL28" s="14" t="str">
        <f ca="1">IF(JL$1="","",'Total Value'!JL40/'Total Value'!$D40-1)</f>
        <v/>
      </c>
      <c r="JM28" s="14" t="str">
        <f ca="1">IF(JM$1="","",'Total Value'!JM40/'Total Value'!$D40-1)</f>
        <v/>
      </c>
      <c r="JN28" s="14" t="str">
        <f ca="1">IF(JN$1="","",'Total Value'!JN40/'Total Value'!$D40-1)</f>
        <v/>
      </c>
      <c r="JO28" s="14" t="str">
        <f ca="1">IF(JO$1="","",'Total Value'!JO40/'Total Value'!$D40-1)</f>
        <v/>
      </c>
      <c r="JP28" s="14" t="str">
        <f ca="1">IF(JP$1="","",'Total Value'!JP40/'Total Value'!$D40-1)</f>
        <v/>
      </c>
      <c r="JQ28" s="14" t="str">
        <f ca="1">IF(JQ$1="","",'Total Value'!JQ40/'Total Value'!$D40-1)</f>
        <v/>
      </c>
      <c r="JR28" s="14" t="str">
        <f ca="1">IF(JR$1="","",'Total Value'!JR40/'Total Value'!$D40-1)</f>
        <v/>
      </c>
      <c r="JS28" s="14" t="str">
        <f ca="1">IF(JS$1="","",'Total Value'!JS40/'Total Value'!$D40-1)</f>
        <v/>
      </c>
      <c r="JT28" s="14" t="str">
        <f ca="1">IF(JT$1="","",'Total Value'!JT40/'Total Value'!$D40-1)</f>
        <v/>
      </c>
      <c r="JU28" s="14" t="str">
        <f ca="1">IF(JU$1="","",'Total Value'!JU40/'Total Value'!$D40-1)</f>
        <v/>
      </c>
      <c r="JV28" s="14" t="str">
        <f ca="1">IF(JV$1="","",'Total Value'!JV40/'Total Value'!$D40-1)</f>
        <v/>
      </c>
      <c r="JW28" s="14" t="str">
        <f ca="1">IF(JW$1="","",'Total Value'!JW40/'Total Value'!$D40-1)</f>
        <v/>
      </c>
      <c r="JX28" s="14" t="str">
        <f ca="1">IF(JX$1="","",'Total Value'!JX40/'Total Value'!$D40-1)</f>
        <v/>
      </c>
      <c r="JY28" s="14" t="str">
        <f ca="1">IF(JY$1="","",'Total Value'!JY40/'Total Value'!$D40-1)</f>
        <v/>
      </c>
      <c r="JZ28" s="14" t="str">
        <f ca="1">IF(JZ$1="","",'Total Value'!JZ40/'Total Value'!$D40-1)</f>
        <v/>
      </c>
      <c r="KA28" s="14" t="str">
        <f ca="1">IF(KA$1="","",'Total Value'!KA40/'Total Value'!$D40-1)</f>
        <v/>
      </c>
      <c r="KB28" s="14" t="str">
        <f ca="1">IF(KB$1="","",'Total Value'!KB40/'Total Value'!$D40-1)</f>
        <v/>
      </c>
    </row>
    <row r="29" spans="1:288" ht="15.75" customHeight="1">
      <c r="A29" s="9" t="s">
        <v>30</v>
      </c>
      <c r="B29" s="6" t="s">
        <v>73</v>
      </c>
      <c r="C29" s="26">
        <v>52</v>
      </c>
      <c r="D29" s="13">
        <v>0</v>
      </c>
      <c r="E29" s="14">
        <f ca="1">IF(E$1="","",'Total Value'!E41/'Total Value'!$D41-1)</f>
        <v>3.6338704148097367E-2</v>
      </c>
      <c r="F29" s="14">
        <f ca="1">IF(F$1="","",'Total Value'!F41/'Total Value'!$D41-1)</f>
        <v>-3.428179636614237E-4</v>
      </c>
      <c r="G29" s="14">
        <f ca="1">IF(G$1="","",'Total Value'!G41/'Total Value'!$D41-1)</f>
        <v>-4.9365786767226694E-2</v>
      </c>
      <c r="H29" s="14">
        <f ca="1">IF(H$1="","",'Total Value'!H41/'Total Value'!$D41-1)</f>
        <v>-6.1707233459034061E-3</v>
      </c>
      <c r="I29" s="14">
        <f ca="1">IF(I$1="","",'Total Value'!I41/'Total Value'!$D41-1)</f>
        <v>-5.965032567706563E-2</v>
      </c>
      <c r="J29" s="14">
        <f ca="1">IF(J$1="","",'Total Value'!J41/'Total Value'!$D41-1)</f>
        <v>-4.5594789166952365E-2</v>
      </c>
      <c r="K29" s="14">
        <f ca="1">IF(K$1="","",'Total Value'!K41/'Total Value'!$D41-1)</f>
        <v>-8.1590675351388531E-2</v>
      </c>
      <c r="L29" s="14">
        <f ca="1">IF(L$1="","",'Total Value'!L41/'Total Value'!$D41-1)</f>
        <v>-9.0161124442920904E-2</v>
      </c>
      <c r="M29" s="14">
        <f ca="1">IF(M$1="","",'Total Value'!M41/'Total Value'!$D41-1)</f>
        <v>-5.1765512512855771E-2</v>
      </c>
      <c r="N29" s="14">
        <f ca="1">IF(N$1="","",'Total Value'!N41/'Total Value'!$D41-1)</f>
        <v>-8.0219403496743391E-2</v>
      </c>
      <c r="O29" s="14">
        <f ca="1">IF(O$1="","",'Total Value'!O41/'Total Value'!$D41-1)</f>
        <v>-9.1189578333904842E-2</v>
      </c>
      <c r="P29" s="14">
        <f ca="1">IF(P$1="","",'Total Value'!P41/'Total Value'!$D41-1)</f>
        <v>-0.11964346931779235</v>
      </c>
      <c r="Q29" s="14">
        <f ca="1">IF(Q$1="","",'Total Value'!Q41/'Total Value'!$D41-1)</f>
        <v>-5.999314364072672E-2</v>
      </c>
      <c r="R29" s="14">
        <f ca="1">IF(R$1="","",'Total Value'!R41/'Total Value'!$D41-1)</f>
        <v>-1.0970174837161561E-2</v>
      </c>
      <c r="S29" s="14">
        <f ca="1">IF(S$1="","",'Total Value'!S41/'Total Value'!$D41-1)</f>
        <v>5.4850874185805587E-3</v>
      </c>
      <c r="T29" s="14">
        <f ca="1">IF(T$1="","",'Total Value'!T41/'Total Value'!$D41-1)</f>
        <v>-3.668152211175868E-2</v>
      </c>
      <c r="U29" s="14">
        <f ca="1">IF(U$1="","",'Total Value'!U41/'Total Value'!$D41-1)</f>
        <v>-6.51354130956463E-2</v>
      </c>
      <c r="V29" s="14">
        <f ca="1">IF(V$1="","",'Total Value'!V41/'Total Value'!$D41-1)</f>
        <v>-5.4165238258484738E-2</v>
      </c>
      <c r="W29" s="14">
        <f ca="1">IF(W$1="","",'Total Value'!W41/'Total Value'!$D41-1)</f>
        <v>-1.2684264655467903E-2</v>
      </c>
      <c r="X29" s="14">
        <f ca="1">IF(X$1="","",'Total Value'!X41/'Total Value'!$D41-1)</f>
        <v>-4.4566335275969537E-3</v>
      </c>
      <c r="Y29" s="14">
        <f ca="1">IF(Y$1="","",'Total Value'!Y41/'Total Value'!$D41-1)</f>
        <v>4.388069934864558E-2</v>
      </c>
      <c r="Z29" s="14">
        <f ca="1">IF(Z$1="","",'Total Value'!Z41/'Total Value'!$D41-1)</f>
        <v>5.7593417895097643E-2</v>
      </c>
      <c r="AA29" s="14">
        <f ca="1">IF(AA$1="","",'Total Value'!AA41/'Total Value'!$D41-1)</f>
        <v>5.5879328076791301E-2</v>
      </c>
      <c r="AB29" s="14">
        <f ca="1">IF(AB$1="","",'Total Value'!AB41/'Total Value'!$D41-1)</f>
        <v>4.388069934864558E-2</v>
      </c>
      <c r="AC29" s="14">
        <f ca="1">IF(AC$1="","",'Total Value'!AC41/'Total Value'!$D41-1)</f>
        <v>9.804593760713054E-2</v>
      </c>
      <c r="AD29" s="14">
        <f ca="1">IF(AD$1="","",'Total Value'!AD41/'Total Value'!$D41-1)</f>
        <v>0.18066506684950268</v>
      </c>
      <c r="AE29" s="14">
        <f ca="1">IF(AE$1="","",'Total Value'!AE41/'Total Value'!$D41-1)</f>
        <v>0.13129928008227609</v>
      </c>
      <c r="AF29" s="14">
        <f ca="1">IF(AF$1="","",'Total Value'!AF41/'Total Value'!$D41-1)</f>
        <v>0.11484401782653419</v>
      </c>
      <c r="AG29" s="14">
        <f ca="1">IF(AG$1="","",'Total Value'!AG41/'Total Value'!$D41-1)</f>
        <v>7.0277682550565546E-2</v>
      </c>
      <c r="AH29" s="14">
        <f ca="1">IF(AH$1="","",'Total Value'!AH41/'Total Value'!$D41-1)</f>
        <v>-1.3369900582790639E-2</v>
      </c>
      <c r="AI29" s="14">
        <f ca="1">IF(AI$1="","",'Total Value'!AI41/'Total Value'!$D41-1)</f>
        <v>3.5310250257113207E-2</v>
      </c>
      <c r="AJ29" s="14">
        <f ca="1">IF(AJ$1="","",'Total Value'!AJ41/'Total Value'!$D41-1)</f>
        <v>2.2968803565306839E-2</v>
      </c>
      <c r="AK29" s="14">
        <f ca="1">IF(AK$1="","",'Total Value'!AK41/'Total Value'!$D41-1)</f>
        <v>3.5310250257113207E-2</v>
      </c>
      <c r="AL29" s="14">
        <f ca="1">IF(AL$1="","",'Total Value'!AL41/'Total Value'!$D41-1)</f>
        <v>2.3997257456290555E-2</v>
      </c>
      <c r="AM29" s="14">
        <f ca="1">IF(AM$1="","",'Total Value'!AM41/'Total Value'!$D41-1)</f>
        <v>-7.8848131642098584E-3</v>
      </c>
      <c r="AN29" s="14">
        <f ca="1">IF(AN$1="","",'Total Value'!AN41/'Total Value'!$D41-1)</f>
        <v>-2.3311621528968152E-2</v>
      </c>
      <c r="AO29" s="14">
        <f ca="1">IF(AO$1="","",'Total Value'!AO41/'Total Value'!$D41-1)</f>
        <v>-5.6222146040452614E-2</v>
      </c>
      <c r="AP29" s="14">
        <f ca="1">IF(AP$1="","",'Total Value'!AP41/'Total Value'!$D41-1)</f>
        <v>-4.4223517312307226E-2</v>
      </c>
      <c r="AQ29" s="14">
        <f ca="1">IF(AQ$1="","",'Total Value'!AQ41/'Total Value'!$D41-1)</f>
        <v>-1.7140898183064746E-2</v>
      </c>
      <c r="AR29" s="14">
        <f ca="1">IF(AR$1="","",'Total Value'!AR41/'Total Value'!$D41-1)</f>
        <v>1.3712718546450287E-3</v>
      </c>
      <c r="AS29" s="14">
        <f ca="1">IF(AS$1="","",'Total Value'!AS41/'Total Value'!$D41-1)</f>
        <v>-1.9540623928693934E-2</v>
      </c>
      <c r="AT29" s="14">
        <f ca="1">IF(AT$1="","",'Total Value'!AT41/'Total Value'!$D41-1)</f>
        <v>-4.6623243057936414E-2</v>
      </c>
      <c r="AU29" s="14">
        <f ca="1">IF(AU$1="","",'Total Value'!AU41/'Total Value'!$D41-1)</f>
        <v>-2.6739801165581167E-2</v>
      </c>
      <c r="AV29" s="14">
        <f ca="1">IF(AV$1="","",'Total Value'!AV41/'Total Value'!$D41-1)</f>
        <v>-1.0970174837161561E-2</v>
      </c>
      <c r="AW29" s="14">
        <f ca="1">IF(AW$1="","",'Total Value'!AW41/'Total Value'!$D41-1)</f>
        <v>3.291052451148424E-2</v>
      </c>
      <c r="AX29" s="14">
        <f ca="1">IF(AX$1="","",'Total Value'!AX41/'Total Value'!$D41-1)</f>
        <v>6.924922865958183E-2</v>
      </c>
      <c r="AY29" s="14">
        <f ca="1">IF(AY$1="","",'Total Value'!AY41/'Total Value'!$D41-1)</f>
        <v>0.11724374357216316</v>
      </c>
      <c r="AZ29" s="14">
        <f ca="1">IF(AZ$1="","",'Total Value'!AZ41/'Total Value'!$D41-1)</f>
        <v>0.10215975317106607</v>
      </c>
      <c r="BA29" s="14">
        <f ca="1">IF(BA$1="","",'Total Value'!BA41/'Total Value'!$D41-1)</f>
        <v>0.15426808364758315</v>
      </c>
      <c r="BB29" s="14">
        <f ca="1">IF(BB$1="","",'Total Value'!BB41/'Total Value'!$D41-1)</f>
        <v>0.15049708604730894</v>
      </c>
      <c r="BC29" s="14">
        <f ca="1">IF(BC$1="","",'Total Value'!BC41/'Total Value'!$D41-1)</f>
        <v>0.19472060335961605</v>
      </c>
      <c r="BD29" s="14">
        <f ca="1">IF(BD$1="","",'Total Value'!BD41/'Total Value'!$D41-1)</f>
        <v>0.18066506684950268</v>
      </c>
      <c r="BE29" s="14">
        <f ca="1">IF(BE$1="","",'Total Value'!BE41/'Total Value'!$D41-1)</f>
        <v>0.20946177579705161</v>
      </c>
      <c r="BF29" s="14">
        <f ca="1">IF(BF$1="","",'Total Value'!BF41/'Total Value'!$D41-1)</f>
        <v>0.22008913267055208</v>
      </c>
      <c r="BG29" s="14">
        <f ca="1">IF(BG$1="","",'Total Value'!BG41/'Total Value'!$D41-1)</f>
        <v>0.19814878299622896</v>
      </c>
      <c r="BH29" s="14">
        <f ca="1">IF(BH$1="","",'Total Value'!BH41/'Total Value'!$D41-1)</f>
        <v>0.18752142612272871</v>
      </c>
      <c r="BI29" s="14">
        <f ca="1">IF(BI$1="","",'Total Value'!BI41/'Total Value'!$D41-1)</f>
        <v>0.2310593075077132</v>
      </c>
      <c r="BJ29" s="14">
        <f ca="1">IF(BJ$1="","",'Total Value'!BJ41/'Total Value'!$D41-1)</f>
        <v>0.27871100445663344</v>
      </c>
      <c r="BK29" s="14">
        <f ca="1">IF(BK$1="","",'Total Value'!BK41/'Total Value'!$D41-1)</f>
        <v>0.28179636612958503</v>
      </c>
      <c r="BL29" s="14">
        <f ca="1">IF(BL$1="","",'Total Value'!BL41/'Total Value'!$D41-1)</f>
        <v>0.26396983201919744</v>
      </c>
      <c r="BM29" s="14">
        <f ca="1">IF(BM$1="","",'Total Value'!BM41/'Total Value'!$D41-1)</f>
        <v>0.23585875899897135</v>
      </c>
      <c r="BN29" s="14">
        <f ca="1">IF(BN$1="","",'Total Value'!BN41/'Total Value'!$D41-1)</f>
        <v>0.19300651354130949</v>
      </c>
      <c r="BO29" s="14">
        <f ca="1">IF(BO$1="","",'Total Value'!BO41/'Total Value'!$D41-1)</f>
        <v>0.16695234830305083</v>
      </c>
      <c r="BP29" s="14">
        <f ca="1">IF(BP$1="","",'Total Value'!BP41/'Total Value'!$D41-1)</f>
        <v>0.20020569077819661</v>
      </c>
      <c r="BQ29" s="14">
        <f ca="1">IF(BQ$1="","",'Total Value'!BQ41/'Total Value'!$D41-1)</f>
        <v>0.23654439492629398</v>
      </c>
      <c r="BR29" s="14">
        <f ca="1">IF(BR$1="","",'Total Value'!BR41/'Total Value'!$D41-1)</f>
        <v>0.21494686321563239</v>
      </c>
      <c r="BS29" s="14">
        <f ca="1">IF(BS$1="","",'Total Value'!BS41/'Total Value'!$D41-1)</f>
        <v>0.16626671237572843</v>
      </c>
      <c r="BT29" s="14">
        <f ca="1">IF(BT$1="","",'Total Value'!BT41/'Total Value'!$D41-1)</f>
        <v>0.18923551594103505</v>
      </c>
      <c r="BU29" s="14">
        <f ca="1">IF(BU$1="","",'Total Value'!BU41/'Total Value'!$D41-1)</f>
        <v>0.2224888584161806</v>
      </c>
      <c r="BV29" s="14">
        <f ca="1">IF(BV$1="","",'Total Value'!BV41/'Total Value'!$D41-1)</f>
        <v>0.18649297223174477</v>
      </c>
      <c r="BW29" s="14">
        <f ca="1">IF(BW$1="","",'Total Value'!BW41/'Total Value'!$D41-1)</f>
        <v>0.1429550908467605</v>
      </c>
      <c r="BX29" s="14">
        <f ca="1">IF(BX$1="","",'Total Value'!BX41/'Total Value'!$D41-1)</f>
        <v>0.19437778539595474</v>
      </c>
      <c r="BY29" s="14">
        <f ca="1">IF(BY$1="","",'Total Value'!BY41/'Total Value'!$D41-1)</f>
        <v>0.12272883099074372</v>
      </c>
      <c r="BZ29" s="14">
        <f ca="1">IF(BZ$1="","",'Total Value'!BZ41/'Total Value'!$D41-1)</f>
        <v>0.10867329448063079</v>
      </c>
      <c r="CA29" s="14">
        <f ca="1">IF(CA$1="","",'Total Value'!CA41/'Total Value'!$D41-1)</f>
        <v>9.804593760713054E-2</v>
      </c>
      <c r="CB29" s="14">
        <f ca="1">IF(CB$1="","",'Total Value'!CB41/'Total Value'!$D41-1)</f>
        <v>5.2451148440178175E-2</v>
      </c>
      <c r="CC29" s="14">
        <f ca="1">IF(CC$1="","",'Total Value'!CC41/'Total Value'!$D41-1)</f>
        <v>0.10010284538909842</v>
      </c>
      <c r="CD29" s="14">
        <f ca="1">IF(CD$1="","",'Total Value'!CD41/'Total Value'!$D41-1)</f>
        <v>9.8388755570791853E-2</v>
      </c>
      <c r="CE29" s="14">
        <f ca="1">IF(CE$1="","",'Total Value'!CE41/'Total Value'!$D41-1)</f>
        <v>0.10215975317106607</v>
      </c>
      <c r="CF29" s="14" t="str">
        <f ca="1">IF(CF$1="","",'Total Value'!CF41/'Total Value'!$D41-1)</f>
        <v/>
      </c>
      <c r="CG29" s="14" t="str">
        <f ca="1">IF(CG$1="","",'Total Value'!CG41/'Total Value'!$D41-1)</f>
        <v/>
      </c>
      <c r="CH29" s="14" t="str">
        <f ca="1">IF(CH$1="","",'Total Value'!CH41/'Total Value'!$D41-1)</f>
        <v/>
      </c>
      <c r="CI29" s="14" t="str">
        <f ca="1">IF(CI$1="","",'Total Value'!CI41/'Total Value'!$D41-1)</f>
        <v/>
      </c>
      <c r="CJ29" s="14" t="str">
        <f ca="1">IF(CJ$1="","",'Total Value'!CJ41/'Total Value'!$D41-1)</f>
        <v/>
      </c>
      <c r="CK29" s="14" t="str">
        <f ca="1">IF(CK$1="","",'Total Value'!CK41/'Total Value'!$D41-1)</f>
        <v/>
      </c>
      <c r="CL29" s="14" t="str">
        <f ca="1">IF(CL$1="","",'Total Value'!CL41/'Total Value'!$D41-1)</f>
        <v/>
      </c>
      <c r="CM29" s="14" t="str">
        <f ca="1">IF(CM$1="","",'Total Value'!CM41/'Total Value'!$D41-1)</f>
        <v/>
      </c>
      <c r="CN29" s="14" t="str">
        <f ca="1">IF(CN$1="","",'Total Value'!CN41/'Total Value'!$D41-1)</f>
        <v/>
      </c>
      <c r="CO29" s="14" t="str">
        <f ca="1">IF(CO$1="","",'Total Value'!CO41/'Total Value'!$D41-1)</f>
        <v/>
      </c>
      <c r="CP29" s="14" t="str">
        <f ca="1">IF(CP$1="","",'Total Value'!CP41/'Total Value'!$D41-1)</f>
        <v/>
      </c>
      <c r="CQ29" s="14" t="str">
        <f ca="1">IF(CQ$1="","",'Total Value'!CQ41/'Total Value'!$D41-1)</f>
        <v/>
      </c>
      <c r="CR29" s="14" t="str">
        <f ca="1">IF(CR$1="","",'Total Value'!CR41/'Total Value'!$D41-1)</f>
        <v/>
      </c>
      <c r="CS29" s="14" t="str">
        <f ca="1">IF(CS$1="","",'Total Value'!CS41/'Total Value'!$D41-1)</f>
        <v/>
      </c>
      <c r="CT29" s="14" t="str">
        <f ca="1">IF(CT$1="","",'Total Value'!CT41/'Total Value'!$D41-1)</f>
        <v/>
      </c>
      <c r="CU29" s="14" t="str">
        <f ca="1">IF(CU$1="","",'Total Value'!CU41/'Total Value'!$D41-1)</f>
        <v/>
      </c>
      <c r="CV29" s="14" t="str">
        <f ca="1">IF(CV$1="","",'Total Value'!CV41/'Total Value'!$D41-1)</f>
        <v/>
      </c>
      <c r="CW29" s="14" t="str">
        <f ca="1">IF(CW$1="","",'Total Value'!CW41/'Total Value'!$D41-1)</f>
        <v/>
      </c>
      <c r="CX29" s="14" t="str">
        <f ca="1">IF(CX$1="","",'Total Value'!CX41/'Total Value'!$D41-1)</f>
        <v/>
      </c>
      <c r="CY29" s="14" t="str">
        <f ca="1">IF(CY$1="","",'Total Value'!CY41/'Total Value'!$D41-1)</f>
        <v/>
      </c>
      <c r="CZ29" s="14" t="str">
        <f ca="1">IF(CZ$1="","",'Total Value'!CZ41/'Total Value'!$D41-1)</f>
        <v/>
      </c>
      <c r="DA29" s="14" t="str">
        <f ca="1">IF(DA$1="","",'Total Value'!DA41/'Total Value'!$D41-1)</f>
        <v/>
      </c>
      <c r="DB29" s="14" t="str">
        <f ca="1">IF(DB$1="","",'Total Value'!DB41/'Total Value'!$D41-1)</f>
        <v/>
      </c>
      <c r="DC29" s="14" t="str">
        <f ca="1">IF(DC$1="","",'Total Value'!DC41/'Total Value'!$D41-1)</f>
        <v/>
      </c>
      <c r="DD29" s="14" t="str">
        <f ca="1">IF(DD$1="","",'Total Value'!DD41/'Total Value'!$D41-1)</f>
        <v/>
      </c>
      <c r="DE29" s="14" t="str">
        <f ca="1">IF(DE$1="","",'Total Value'!DE41/'Total Value'!$D41-1)</f>
        <v/>
      </c>
      <c r="DF29" s="14" t="str">
        <f ca="1">IF(DF$1="","",'Total Value'!DF41/'Total Value'!$D41-1)</f>
        <v/>
      </c>
      <c r="DG29" s="14" t="str">
        <f ca="1">IF(DG$1="","",'Total Value'!DG41/'Total Value'!$D41-1)</f>
        <v/>
      </c>
      <c r="DH29" s="14" t="str">
        <f ca="1">IF(DH$1="","",'Total Value'!DH41/'Total Value'!$D41-1)</f>
        <v/>
      </c>
      <c r="DI29" s="14" t="str">
        <f ca="1">IF(DI$1="","",'Total Value'!DI41/'Total Value'!$D41-1)</f>
        <v/>
      </c>
      <c r="DJ29" s="14" t="str">
        <f ca="1">IF(DJ$1="","",'Total Value'!DJ41/'Total Value'!$D41-1)</f>
        <v/>
      </c>
      <c r="DK29" s="14" t="str">
        <f ca="1">IF(DK$1="","",'Total Value'!DK41/'Total Value'!$D41-1)</f>
        <v/>
      </c>
      <c r="DL29" s="14" t="str">
        <f ca="1">IF(DL$1="","",'Total Value'!DL41/'Total Value'!$D41-1)</f>
        <v/>
      </c>
      <c r="DM29" s="14" t="str">
        <f ca="1">IF(DM$1="","",'Total Value'!DM41/'Total Value'!$D41-1)</f>
        <v/>
      </c>
      <c r="DN29" s="14" t="str">
        <f ca="1">IF(DN$1="","",'Total Value'!DN41/'Total Value'!$D41-1)</f>
        <v/>
      </c>
      <c r="DO29" s="14" t="str">
        <f ca="1">IF(DO$1="","",'Total Value'!DO41/'Total Value'!$D41-1)</f>
        <v/>
      </c>
      <c r="DP29" s="14" t="str">
        <f ca="1">IF(DP$1="","",'Total Value'!DP41/'Total Value'!$D41-1)</f>
        <v/>
      </c>
      <c r="DQ29" s="14" t="str">
        <f ca="1">IF(DQ$1="","",'Total Value'!DQ41/'Total Value'!$D41-1)</f>
        <v/>
      </c>
      <c r="DR29" s="14" t="str">
        <f ca="1">IF(DR$1="","",'Total Value'!DR41/'Total Value'!$D41-1)</f>
        <v/>
      </c>
      <c r="DS29" s="14" t="str">
        <f ca="1">IF(DS$1="","",'Total Value'!DS41/'Total Value'!$D41-1)</f>
        <v/>
      </c>
      <c r="DT29" s="14" t="str">
        <f ca="1">IF(DT$1="","",'Total Value'!DT41/'Total Value'!$D41-1)</f>
        <v/>
      </c>
      <c r="DU29" s="14" t="str">
        <f ca="1">IF(DU$1="","",'Total Value'!DU41/'Total Value'!$D41-1)</f>
        <v/>
      </c>
      <c r="DV29" s="14" t="str">
        <f ca="1">IF(DV$1="","",'Total Value'!DV41/'Total Value'!$D41-1)</f>
        <v/>
      </c>
      <c r="DW29" s="14" t="str">
        <f ca="1">IF(DW$1="","",'Total Value'!DW41/'Total Value'!$D41-1)</f>
        <v/>
      </c>
      <c r="DX29" s="14" t="str">
        <f ca="1">IF(DX$1="","",'Total Value'!DX41/'Total Value'!$D41-1)</f>
        <v/>
      </c>
      <c r="DY29" s="14" t="str">
        <f ca="1">IF(DY$1="","",'Total Value'!DY41/'Total Value'!$D41-1)</f>
        <v/>
      </c>
      <c r="DZ29" s="14" t="str">
        <f ca="1">IF(DZ$1="","",'Total Value'!DZ41/'Total Value'!$D41-1)</f>
        <v/>
      </c>
      <c r="EA29" s="14" t="str">
        <f ca="1">IF(EA$1="","",'Total Value'!EA41/'Total Value'!$D41-1)</f>
        <v/>
      </c>
      <c r="EB29" s="14" t="str">
        <f ca="1">IF(EB$1="","",'Total Value'!EB41/'Total Value'!$D41-1)</f>
        <v/>
      </c>
      <c r="EC29" s="14" t="str">
        <f ca="1">IF(EC$1="","",'Total Value'!EC41/'Total Value'!$D41-1)</f>
        <v/>
      </c>
      <c r="ED29" s="14" t="str">
        <f ca="1">IF(ED$1="","",'Total Value'!ED41/'Total Value'!$D41-1)</f>
        <v/>
      </c>
      <c r="EE29" s="14" t="str">
        <f ca="1">IF(EE$1="","",'Total Value'!EE41/'Total Value'!$D41-1)</f>
        <v/>
      </c>
      <c r="EF29" s="14" t="str">
        <f ca="1">IF(EF$1="","",'Total Value'!EF41/'Total Value'!$D41-1)</f>
        <v/>
      </c>
      <c r="EG29" s="14" t="str">
        <f ca="1">IF(EG$1="","",'Total Value'!EG41/'Total Value'!$D41-1)</f>
        <v/>
      </c>
      <c r="EH29" s="14" t="str">
        <f ca="1">IF(EH$1="","",'Total Value'!EH41/'Total Value'!$D41-1)</f>
        <v/>
      </c>
      <c r="EI29" s="14" t="str">
        <f ca="1">IF(EI$1="","",'Total Value'!EI41/'Total Value'!$D41-1)</f>
        <v/>
      </c>
      <c r="EJ29" s="14" t="str">
        <f ca="1">IF(EJ$1="","",'Total Value'!EJ41/'Total Value'!$D41-1)</f>
        <v/>
      </c>
      <c r="EK29" s="14" t="str">
        <f ca="1">IF(EK$1="","",'Total Value'!EK41/'Total Value'!$D41-1)</f>
        <v/>
      </c>
      <c r="EL29" s="14" t="str">
        <f ca="1">IF(EL$1="","",'Total Value'!EL41/'Total Value'!$D41-1)</f>
        <v/>
      </c>
      <c r="EM29" s="14" t="str">
        <f ca="1">IF(EM$1="","",'Total Value'!EM41/'Total Value'!$D41-1)</f>
        <v/>
      </c>
      <c r="EN29" s="14" t="str">
        <f ca="1">IF(EN$1="","",'Total Value'!EN41/'Total Value'!$D41-1)</f>
        <v/>
      </c>
      <c r="EO29" s="14" t="str">
        <f ca="1">IF(EO$1="","",'Total Value'!EO41/'Total Value'!$D41-1)</f>
        <v/>
      </c>
      <c r="EP29" s="14" t="str">
        <f ca="1">IF(EP$1="","",'Total Value'!EP41/'Total Value'!$D41-1)</f>
        <v/>
      </c>
      <c r="EQ29" s="14" t="str">
        <f ca="1">IF(EQ$1="","",'Total Value'!EQ41/'Total Value'!$D41-1)</f>
        <v/>
      </c>
      <c r="ER29" s="14" t="str">
        <f ca="1">IF(ER$1="","",'Total Value'!ER41/'Total Value'!$D41-1)</f>
        <v/>
      </c>
      <c r="ES29" s="14" t="str">
        <f ca="1">IF(ES$1="","",'Total Value'!ES41/'Total Value'!$D41-1)</f>
        <v/>
      </c>
      <c r="ET29" s="14" t="str">
        <f ca="1">IF(ET$1="","",'Total Value'!ET41/'Total Value'!$D41-1)</f>
        <v/>
      </c>
      <c r="EU29" s="14" t="str">
        <f ca="1">IF(EU$1="","",'Total Value'!EU41/'Total Value'!$D41-1)</f>
        <v/>
      </c>
      <c r="EV29" s="14" t="str">
        <f ca="1">IF(EV$1="","",'Total Value'!EV41/'Total Value'!$D41-1)</f>
        <v/>
      </c>
      <c r="EW29" s="14" t="str">
        <f ca="1">IF(EW$1="","",'Total Value'!EW41/'Total Value'!$D41-1)</f>
        <v/>
      </c>
      <c r="EX29" s="14" t="str">
        <f ca="1">IF(EX$1="","",'Total Value'!EX41/'Total Value'!$D41-1)</f>
        <v/>
      </c>
      <c r="EY29" s="14" t="str">
        <f ca="1">IF(EY$1="","",'Total Value'!EY41/'Total Value'!$D41-1)</f>
        <v/>
      </c>
      <c r="EZ29" s="14" t="str">
        <f ca="1">IF(EZ$1="","",'Total Value'!EZ41/'Total Value'!$D41-1)</f>
        <v/>
      </c>
      <c r="FA29" s="14" t="str">
        <f ca="1">IF(FA$1="","",'Total Value'!FA41/'Total Value'!$D41-1)</f>
        <v/>
      </c>
      <c r="FB29" s="14" t="str">
        <f ca="1">IF(FB$1="","",'Total Value'!FB41/'Total Value'!$D41-1)</f>
        <v/>
      </c>
      <c r="FC29" s="14" t="str">
        <f ca="1">IF(FC$1="","",'Total Value'!FC41/'Total Value'!$D41-1)</f>
        <v/>
      </c>
      <c r="FD29" s="14" t="str">
        <f ca="1">IF(FD$1="","",'Total Value'!FD41/'Total Value'!$D41-1)</f>
        <v/>
      </c>
      <c r="FE29" s="14" t="str">
        <f ca="1">IF(FE$1="","",'Total Value'!FE41/'Total Value'!$D41-1)</f>
        <v/>
      </c>
      <c r="FF29" s="14" t="str">
        <f ca="1">IF(FF$1="","",'Total Value'!FF41/'Total Value'!$D41-1)</f>
        <v/>
      </c>
      <c r="FG29" s="14" t="str">
        <f ca="1">IF(FG$1="","",'Total Value'!FG41/'Total Value'!$D41-1)</f>
        <v/>
      </c>
      <c r="FH29" s="14" t="str">
        <f ca="1">IF(FH$1="","",'Total Value'!FH41/'Total Value'!$D41-1)</f>
        <v/>
      </c>
      <c r="FI29" s="14" t="str">
        <f ca="1">IF(FI$1="","",'Total Value'!FI41/'Total Value'!$D41-1)</f>
        <v/>
      </c>
      <c r="FJ29" s="14" t="str">
        <f ca="1">IF(FJ$1="","",'Total Value'!FJ41/'Total Value'!$D41-1)</f>
        <v/>
      </c>
      <c r="FK29" s="14" t="str">
        <f ca="1">IF(FK$1="","",'Total Value'!FK41/'Total Value'!$D41-1)</f>
        <v/>
      </c>
      <c r="FL29" s="14" t="str">
        <f ca="1">IF(FL$1="","",'Total Value'!FL41/'Total Value'!$D41-1)</f>
        <v/>
      </c>
      <c r="FM29" s="14" t="str">
        <f ca="1">IF(FM$1="","",'Total Value'!FM41/'Total Value'!$D41-1)</f>
        <v/>
      </c>
      <c r="FN29" s="14" t="str">
        <f ca="1">IF(FN$1="","",'Total Value'!FN41/'Total Value'!$D41-1)</f>
        <v/>
      </c>
      <c r="FO29" s="14" t="str">
        <f ca="1">IF(FO$1="","",'Total Value'!FO41/'Total Value'!$D41-1)</f>
        <v/>
      </c>
      <c r="FP29" s="14" t="str">
        <f ca="1">IF(FP$1="","",'Total Value'!FP41/'Total Value'!$D41-1)</f>
        <v/>
      </c>
      <c r="FQ29" s="14" t="str">
        <f ca="1">IF(FQ$1="","",'Total Value'!FQ41/'Total Value'!$D41-1)</f>
        <v/>
      </c>
      <c r="FR29" s="14" t="str">
        <f ca="1">IF(FR$1="","",'Total Value'!FR41/'Total Value'!$D41-1)</f>
        <v/>
      </c>
      <c r="FS29" s="14" t="str">
        <f ca="1">IF(FS$1="","",'Total Value'!FS41/'Total Value'!$D41-1)</f>
        <v/>
      </c>
      <c r="FT29" s="14" t="str">
        <f ca="1">IF(FT$1="","",'Total Value'!FT41/'Total Value'!$D41-1)</f>
        <v/>
      </c>
      <c r="FU29" s="14" t="str">
        <f ca="1">IF(FU$1="","",'Total Value'!FU41/'Total Value'!$D41-1)</f>
        <v/>
      </c>
      <c r="FV29" s="14" t="str">
        <f ca="1">IF(FV$1="","",'Total Value'!FV41/'Total Value'!$D41-1)</f>
        <v/>
      </c>
      <c r="FW29" s="14" t="str">
        <f ca="1">IF(FW$1="","",'Total Value'!FW41/'Total Value'!$D41-1)</f>
        <v/>
      </c>
      <c r="FX29" s="14" t="str">
        <f ca="1">IF(FX$1="","",'Total Value'!FX41/'Total Value'!$D41-1)</f>
        <v/>
      </c>
      <c r="FY29" s="14" t="str">
        <f ca="1">IF(FY$1="","",'Total Value'!FY41/'Total Value'!$D41-1)</f>
        <v/>
      </c>
      <c r="FZ29" s="14" t="str">
        <f ca="1">IF(FZ$1="","",'Total Value'!FZ41/'Total Value'!$D41-1)</f>
        <v/>
      </c>
      <c r="GA29" s="14" t="str">
        <f ca="1">IF(GA$1="","",'Total Value'!GA41/'Total Value'!$D41-1)</f>
        <v/>
      </c>
      <c r="GB29" s="14" t="str">
        <f ca="1">IF(GB$1="","",'Total Value'!GB41/'Total Value'!$D41-1)</f>
        <v/>
      </c>
      <c r="GC29" s="14" t="str">
        <f ca="1">IF(GC$1="","",'Total Value'!GC41/'Total Value'!$D41-1)</f>
        <v/>
      </c>
      <c r="GD29" s="14" t="str">
        <f ca="1">IF(GD$1="","",'Total Value'!GD41/'Total Value'!$D41-1)</f>
        <v/>
      </c>
      <c r="GE29" s="14" t="str">
        <f ca="1">IF(GE$1="","",'Total Value'!GE41/'Total Value'!$D41-1)</f>
        <v/>
      </c>
      <c r="GF29" s="14" t="str">
        <f ca="1">IF(GF$1="","",'Total Value'!GF41/'Total Value'!$D41-1)</f>
        <v/>
      </c>
      <c r="GG29" s="14" t="str">
        <f ca="1">IF(GG$1="","",'Total Value'!GG41/'Total Value'!$D41-1)</f>
        <v/>
      </c>
      <c r="GH29" s="14" t="str">
        <f ca="1">IF(GH$1="","",'Total Value'!GH41/'Total Value'!$D41-1)</f>
        <v/>
      </c>
      <c r="GI29" s="14" t="str">
        <f ca="1">IF(GI$1="","",'Total Value'!GI41/'Total Value'!$D41-1)</f>
        <v/>
      </c>
      <c r="GJ29" s="14" t="str">
        <f ca="1">IF(GJ$1="","",'Total Value'!GJ41/'Total Value'!$D41-1)</f>
        <v/>
      </c>
      <c r="GK29" s="14" t="str">
        <f ca="1">IF(GK$1="","",'Total Value'!GK41/'Total Value'!$D41-1)</f>
        <v/>
      </c>
      <c r="GL29" s="14" t="str">
        <f ca="1">IF(GL$1="","",'Total Value'!GL41/'Total Value'!$D41-1)</f>
        <v/>
      </c>
      <c r="GM29" s="14" t="str">
        <f ca="1">IF(GM$1="","",'Total Value'!GM41/'Total Value'!$D41-1)</f>
        <v/>
      </c>
      <c r="GN29" s="14" t="str">
        <f ca="1">IF(GN$1="","",'Total Value'!GN41/'Total Value'!$D41-1)</f>
        <v/>
      </c>
      <c r="GO29" s="14" t="str">
        <f ca="1">IF(GO$1="","",'Total Value'!GO41/'Total Value'!$D41-1)</f>
        <v/>
      </c>
      <c r="GP29" s="14" t="str">
        <f ca="1">IF(GP$1="","",'Total Value'!GP41/'Total Value'!$D41-1)</f>
        <v/>
      </c>
      <c r="GQ29" s="14" t="str">
        <f ca="1">IF(GQ$1="","",'Total Value'!GQ41/'Total Value'!$D41-1)</f>
        <v/>
      </c>
      <c r="GR29" s="14" t="str">
        <f ca="1">IF(GR$1="","",'Total Value'!GR41/'Total Value'!$D41-1)</f>
        <v/>
      </c>
      <c r="GS29" s="14" t="str">
        <f ca="1">IF(GS$1="","",'Total Value'!GS41/'Total Value'!$D41-1)</f>
        <v/>
      </c>
      <c r="GT29" s="14" t="str">
        <f ca="1">IF(GT$1="","",'Total Value'!GT41/'Total Value'!$D41-1)</f>
        <v/>
      </c>
      <c r="GU29" s="14" t="str">
        <f ca="1">IF(GU$1="","",'Total Value'!GU41/'Total Value'!$D41-1)</f>
        <v/>
      </c>
      <c r="GV29" s="14" t="str">
        <f ca="1">IF(GV$1="","",'Total Value'!GV41/'Total Value'!$D41-1)</f>
        <v/>
      </c>
      <c r="GW29" s="14" t="str">
        <f ca="1">IF(GW$1="","",'Total Value'!GW41/'Total Value'!$D41-1)</f>
        <v/>
      </c>
      <c r="GX29" s="14" t="str">
        <f ca="1">IF(GX$1="","",'Total Value'!GX41/'Total Value'!$D41-1)</f>
        <v/>
      </c>
      <c r="GY29" s="14" t="str">
        <f ca="1">IF(GY$1="","",'Total Value'!GY41/'Total Value'!$D41-1)</f>
        <v/>
      </c>
      <c r="GZ29" s="14" t="str">
        <f ca="1">IF(GZ$1="","",'Total Value'!GZ41/'Total Value'!$D41-1)</f>
        <v/>
      </c>
      <c r="HA29" s="14" t="str">
        <f ca="1">IF(HA$1="","",'Total Value'!HA41/'Total Value'!$D41-1)</f>
        <v/>
      </c>
      <c r="HB29" s="14" t="str">
        <f ca="1">IF(HB$1="","",'Total Value'!HB41/'Total Value'!$D41-1)</f>
        <v/>
      </c>
      <c r="HC29" s="14" t="str">
        <f ca="1">IF(HC$1="","",'Total Value'!HC41/'Total Value'!$D41-1)</f>
        <v/>
      </c>
      <c r="HD29" s="14" t="str">
        <f ca="1">IF(HD$1="","",'Total Value'!HD41/'Total Value'!$D41-1)</f>
        <v/>
      </c>
      <c r="HE29" s="14" t="str">
        <f ca="1">IF(HE$1="","",'Total Value'!HE41/'Total Value'!$D41-1)</f>
        <v/>
      </c>
      <c r="HF29" s="14" t="str">
        <f ca="1">IF(HF$1="","",'Total Value'!HF41/'Total Value'!$D41-1)</f>
        <v/>
      </c>
      <c r="HG29" s="14" t="str">
        <f ca="1">IF(HG$1="","",'Total Value'!HG41/'Total Value'!$D41-1)</f>
        <v/>
      </c>
      <c r="HH29" s="14" t="str">
        <f ca="1">IF(HH$1="","",'Total Value'!HH41/'Total Value'!$D41-1)</f>
        <v/>
      </c>
      <c r="HI29" s="14" t="str">
        <f ca="1">IF(HI$1="","",'Total Value'!HI41/'Total Value'!$D41-1)</f>
        <v/>
      </c>
      <c r="HJ29" s="14" t="str">
        <f ca="1">IF(HJ$1="","",'Total Value'!HJ41/'Total Value'!$D41-1)</f>
        <v/>
      </c>
      <c r="HK29" s="14" t="str">
        <f ca="1">IF(HK$1="","",'Total Value'!HK41/'Total Value'!$D41-1)</f>
        <v/>
      </c>
      <c r="HL29" s="14" t="str">
        <f ca="1">IF(HL$1="","",'Total Value'!HL41/'Total Value'!$D41-1)</f>
        <v/>
      </c>
      <c r="HM29" s="14" t="str">
        <f ca="1">IF(HM$1="","",'Total Value'!HM41/'Total Value'!$D41-1)</f>
        <v/>
      </c>
      <c r="HN29" s="14" t="str">
        <f ca="1">IF(HN$1="","",'Total Value'!HN41/'Total Value'!$D41-1)</f>
        <v/>
      </c>
      <c r="HO29" s="14" t="str">
        <f ca="1">IF(HO$1="","",'Total Value'!HO41/'Total Value'!$D41-1)</f>
        <v/>
      </c>
      <c r="HP29" s="14" t="str">
        <f ca="1">IF(HP$1="","",'Total Value'!HP41/'Total Value'!$D41-1)</f>
        <v/>
      </c>
      <c r="HQ29" s="14" t="str">
        <f ca="1">IF(HQ$1="","",'Total Value'!HQ41/'Total Value'!$D41-1)</f>
        <v/>
      </c>
      <c r="HR29" s="14" t="str">
        <f ca="1">IF(HR$1="","",'Total Value'!HR41/'Total Value'!$D41-1)</f>
        <v/>
      </c>
      <c r="HS29" s="14" t="str">
        <f ca="1">IF(HS$1="","",'Total Value'!HS41/'Total Value'!$D41-1)</f>
        <v/>
      </c>
      <c r="HT29" s="14" t="str">
        <f ca="1">IF(HT$1="","",'Total Value'!HT41/'Total Value'!$D41-1)</f>
        <v/>
      </c>
      <c r="HU29" s="14" t="str">
        <f ca="1">IF(HU$1="","",'Total Value'!HU41/'Total Value'!$D41-1)</f>
        <v/>
      </c>
      <c r="HV29" s="14" t="str">
        <f ca="1">IF(HV$1="","",'Total Value'!HV41/'Total Value'!$D41-1)</f>
        <v/>
      </c>
      <c r="HW29" s="14" t="str">
        <f ca="1">IF(HW$1="","",'Total Value'!HW41/'Total Value'!$D41-1)</f>
        <v/>
      </c>
      <c r="HX29" s="14" t="str">
        <f ca="1">IF(HX$1="","",'Total Value'!HX41/'Total Value'!$D41-1)</f>
        <v/>
      </c>
      <c r="HY29" s="14" t="str">
        <f ca="1">IF(HY$1="","",'Total Value'!HY41/'Total Value'!$D41-1)</f>
        <v/>
      </c>
      <c r="HZ29" s="14" t="str">
        <f ca="1">IF(HZ$1="","",'Total Value'!HZ41/'Total Value'!$D41-1)</f>
        <v/>
      </c>
      <c r="IA29" s="14" t="str">
        <f ca="1">IF(IA$1="","",'Total Value'!IA41/'Total Value'!$D41-1)</f>
        <v/>
      </c>
      <c r="IB29" s="14" t="str">
        <f ca="1">IF(IB$1="","",'Total Value'!IB41/'Total Value'!$D41-1)</f>
        <v/>
      </c>
      <c r="IC29" s="14" t="str">
        <f ca="1">IF(IC$1="","",'Total Value'!IC41/'Total Value'!$D41-1)</f>
        <v/>
      </c>
      <c r="ID29" s="14" t="str">
        <f ca="1">IF(ID$1="","",'Total Value'!ID41/'Total Value'!$D41-1)</f>
        <v/>
      </c>
      <c r="IE29" s="14" t="str">
        <f ca="1">IF(IE$1="","",'Total Value'!IE41/'Total Value'!$D41-1)</f>
        <v/>
      </c>
      <c r="IF29" s="14" t="str">
        <f ca="1">IF(IF$1="","",'Total Value'!IF41/'Total Value'!$D41-1)</f>
        <v/>
      </c>
      <c r="IG29" s="14" t="str">
        <f ca="1">IF(IG$1="","",'Total Value'!IG41/'Total Value'!$D41-1)</f>
        <v/>
      </c>
      <c r="IH29" s="14" t="str">
        <f ca="1">IF(IH$1="","",'Total Value'!IH41/'Total Value'!$D41-1)</f>
        <v/>
      </c>
      <c r="II29" s="14" t="str">
        <f ca="1">IF(II$1="","",'Total Value'!II41/'Total Value'!$D41-1)</f>
        <v/>
      </c>
      <c r="IJ29" s="14" t="str">
        <f ca="1">IF(IJ$1="","",'Total Value'!IJ41/'Total Value'!$D41-1)</f>
        <v/>
      </c>
      <c r="IK29" s="14" t="str">
        <f ca="1">IF(IK$1="","",'Total Value'!IK41/'Total Value'!$D41-1)</f>
        <v/>
      </c>
      <c r="IL29" s="14" t="str">
        <f ca="1">IF(IL$1="","",'Total Value'!IL41/'Total Value'!$D41-1)</f>
        <v/>
      </c>
      <c r="IM29" s="14" t="str">
        <f ca="1">IF(IM$1="","",'Total Value'!IM41/'Total Value'!$D41-1)</f>
        <v/>
      </c>
      <c r="IN29" s="14" t="str">
        <f ca="1">IF(IN$1="","",'Total Value'!IN41/'Total Value'!$D41-1)</f>
        <v/>
      </c>
      <c r="IO29" s="14" t="str">
        <f ca="1">IF(IO$1="","",'Total Value'!IO41/'Total Value'!$D41-1)</f>
        <v/>
      </c>
      <c r="IP29" s="14" t="str">
        <f ca="1">IF(IP$1="","",'Total Value'!IP41/'Total Value'!$D41-1)</f>
        <v/>
      </c>
      <c r="IQ29" s="14" t="str">
        <f ca="1">IF(IQ$1="","",'Total Value'!IQ41/'Total Value'!$D41-1)</f>
        <v/>
      </c>
      <c r="IR29" s="14" t="str">
        <f ca="1">IF(IR$1="","",'Total Value'!IR41/'Total Value'!$D41-1)</f>
        <v/>
      </c>
      <c r="IS29" s="14" t="str">
        <f ca="1">IF(IS$1="","",'Total Value'!IS41/'Total Value'!$D41-1)</f>
        <v/>
      </c>
      <c r="IT29" s="14" t="str">
        <f ca="1">IF(IT$1="","",'Total Value'!IT41/'Total Value'!$D41-1)</f>
        <v/>
      </c>
      <c r="IU29" s="14" t="str">
        <f ca="1">IF(IU$1="","",'Total Value'!IU41/'Total Value'!$D41-1)</f>
        <v/>
      </c>
      <c r="IV29" s="14" t="str">
        <f ca="1">IF(IV$1="","",'Total Value'!IV41/'Total Value'!$D41-1)</f>
        <v/>
      </c>
      <c r="IW29" s="14" t="str">
        <f ca="1">IF(IW$1="","",'Total Value'!IW41/'Total Value'!$D41-1)</f>
        <v/>
      </c>
      <c r="IX29" s="14" t="str">
        <f ca="1">IF(IX$1="","",'Total Value'!IX41/'Total Value'!$D41-1)</f>
        <v/>
      </c>
      <c r="IY29" s="14" t="str">
        <f ca="1">IF(IY$1="","",'Total Value'!IY41/'Total Value'!$D41-1)</f>
        <v/>
      </c>
      <c r="IZ29" s="14" t="str">
        <f ca="1">IF(IZ$1="","",'Total Value'!IZ41/'Total Value'!$D41-1)</f>
        <v/>
      </c>
      <c r="JA29" s="14" t="str">
        <f ca="1">IF(JA$1="","",'Total Value'!JA41/'Total Value'!$D41-1)</f>
        <v/>
      </c>
      <c r="JB29" s="14" t="str">
        <f ca="1">IF(JB$1="","",'Total Value'!JB41/'Total Value'!$D41-1)</f>
        <v/>
      </c>
      <c r="JC29" s="14" t="str">
        <f ca="1">IF(JC$1="","",'Total Value'!JC41/'Total Value'!$D41-1)</f>
        <v/>
      </c>
      <c r="JD29" s="14" t="str">
        <f ca="1">IF(JD$1="","",'Total Value'!JD41/'Total Value'!$D41-1)</f>
        <v/>
      </c>
      <c r="JE29" s="14" t="str">
        <f ca="1">IF(JE$1="","",'Total Value'!JE41/'Total Value'!$D41-1)</f>
        <v/>
      </c>
      <c r="JF29" s="14" t="str">
        <f ca="1">IF(JF$1="","",'Total Value'!JF41/'Total Value'!$D41-1)</f>
        <v/>
      </c>
      <c r="JG29" s="14" t="str">
        <f ca="1">IF(JG$1="","",'Total Value'!JG41/'Total Value'!$D41-1)</f>
        <v/>
      </c>
      <c r="JH29" s="14" t="str">
        <f ca="1">IF(JH$1="","",'Total Value'!JH41/'Total Value'!$D41-1)</f>
        <v/>
      </c>
      <c r="JI29" s="14" t="str">
        <f ca="1">IF(JI$1="","",'Total Value'!JI41/'Total Value'!$D41-1)</f>
        <v/>
      </c>
      <c r="JJ29" s="14" t="str">
        <f ca="1">IF(JJ$1="","",'Total Value'!JJ41/'Total Value'!$D41-1)</f>
        <v/>
      </c>
      <c r="JK29" s="14" t="str">
        <f ca="1">IF(JK$1="","",'Total Value'!JK41/'Total Value'!$D41-1)</f>
        <v/>
      </c>
      <c r="JL29" s="14" t="str">
        <f ca="1">IF(JL$1="","",'Total Value'!JL41/'Total Value'!$D41-1)</f>
        <v/>
      </c>
      <c r="JM29" s="14" t="str">
        <f ca="1">IF(JM$1="","",'Total Value'!JM41/'Total Value'!$D41-1)</f>
        <v/>
      </c>
      <c r="JN29" s="14" t="str">
        <f ca="1">IF(JN$1="","",'Total Value'!JN41/'Total Value'!$D41-1)</f>
        <v/>
      </c>
      <c r="JO29" s="14" t="str">
        <f ca="1">IF(JO$1="","",'Total Value'!JO41/'Total Value'!$D41-1)</f>
        <v/>
      </c>
      <c r="JP29" s="14" t="str">
        <f ca="1">IF(JP$1="","",'Total Value'!JP41/'Total Value'!$D41-1)</f>
        <v/>
      </c>
      <c r="JQ29" s="14" t="str">
        <f ca="1">IF(JQ$1="","",'Total Value'!JQ41/'Total Value'!$D41-1)</f>
        <v/>
      </c>
      <c r="JR29" s="14" t="str">
        <f ca="1">IF(JR$1="","",'Total Value'!JR41/'Total Value'!$D41-1)</f>
        <v/>
      </c>
      <c r="JS29" s="14" t="str">
        <f ca="1">IF(JS$1="","",'Total Value'!JS41/'Total Value'!$D41-1)</f>
        <v/>
      </c>
      <c r="JT29" s="14" t="str">
        <f ca="1">IF(JT$1="","",'Total Value'!JT41/'Total Value'!$D41-1)</f>
        <v/>
      </c>
      <c r="JU29" s="14" t="str">
        <f ca="1">IF(JU$1="","",'Total Value'!JU41/'Total Value'!$D41-1)</f>
        <v/>
      </c>
      <c r="JV29" s="14" t="str">
        <f ca="1">IF(JV$1="","",'Total Value'!JV41/'Total Value'!$D41-1)</f>
        <v/>
      </c>
      <c r="JW29" s="14" t="str">
        <f ca="1">IF(JW$1="","",'Total Value'!JW41/'Total Value'!$D41-1)</f>
        <v/>
      </c>
      <c r="JX29" s="14" t="str">
        <f ca="1">IF(JX$1="","",'Total Value'!JX41/'Total Value'!$D41-1)</f>
        <v/>
      </c>
      <c r="JY29" s="14" t="str">
        <f ca="1">IF(JY$1="","",'Total Value'!JY41/'Total Value'!$D41-1)</f>
        <v/>
      </c>
      <c r="JZ29" s="14" t="str">
        <f ca="1">IF(JZ$1="","",'Total Value'!JZ41/'Total Value'!$D41-1)</f>
        <v/>
      </c>
      <c r="KA29" s="14" t="str">
        <f ca="1">IF(KA$1="","",'Total Value'!KA41/'Total Value'!$D41-1)</f>
        <v/>
      </c>
      <c r="KB29" s="14" t="str">
        <f ca="1">IF(KB$1="","",'Total Value'!KB41/'Total Value'!$D41-1)</f>
        <v/>
      </c>
    </row>
    <row r="30" spans="1:288" ht="15.75" customHeight="1">
      <c r="A30" s="9" t="s">
        <v>30</v>
      </c>
      <c r="B30" s="6" t="s">
        <v>74</v>
      </c>
      <c r="C30" s="26">
        <v>26</v>
      </c>
      <c r="D30" s="13">
        <v>0</v>
      </c>
      <c r="E30" s="14">
        <f ca="1">IF(E$1="","",'Total Value'!E42/'Total Value'!$D42-1)</f>
        <v>1.0309278350515427E-2</v>
      </c>
      <c r="F30" s="14">
        <f ca="1">IF(F$1="","",'Total Value'!F42/'Total Value'!$D42-1)</f>
        <v>1.0996563573883122E-2</v>
      </c>
      <c r="G30" s="14">
        <f ca="1">IF(G$1="","",'Total Value'!G42/'Total Value'!$D42-1)</f>
        <v>2.8694158075601273E-2</v>
      </c>
      <c r="H30" s="14">
        <f ca="1">IF(H$1="","",'Total Value'!H42/'Total Value'!$D42-1)</f>
        <v>4.9140893470790203E-2</v>
      </c>
      <c r="I30" s="14">
        <f ca="1">IF(I$1="","",'Total Value'!I42/'Total Value'!$D42-1)</f>
        <v>3.1615120274913977E-2</v>
      </c>
      <c r="J30" s="14">
        <f ca="1">IF(J$1="","",'Total Value'!J42/'Total Value'!$D42-1)</f>
        <v>-2.0618556701031965E-3</v>
      </c>
      <c r="K30" s="14">
        <f ca="1">IF(K$1="","",'Total Value'!K42/'Total Value'!$D42-1)</f>
        <v>-3.075601374570458E-2</v>
      </c>
      <c r="L30" s="14">
        <f ca="1">IF(L$1="","",'Total Value'!L42/'Total Value'!$D42-1)</f>
        <v>-4.4158075601374525E-2</v>
      </c>
      <c r="M30" s="14">
        <f ca="1">IF(M$1="","",'Total Value'!M42/'Total Value'!$D42-1)</f>
        <v>-4.0893470790378084E-2</v>
      </c>
      <c r="N30" s="14">
        <f ca="1">IF(N$1="","",'Total Value'!N42/'Total Value'!$D42-1)</f>
        <v>-4.6391752577319645E-2</v>
      </c>
      <c r="O30" s="14">
        <f ca="1">IF(O$1="","",'Total Value'!O42/'Total Value'!$D42-1)</f>
        <v>-6.0137457044673548E-2</v>
      </c>
      <c r="P30" s="14">
        <f ca="1">IF(P$1="","",'Total Value'!P42/'Total Value'!$D42-1)</f>
        <v>-6.7869415807560118E-2</v>
      </c>
      <c r="Q30" s="14">
        <f ca="1">IF(Q$1="","",'Total Value'!Q42/'Total Value'!$D42-1)</f>
        <v>-4.4329896907216559E-2</v>
      </c>
      <c r="R30" s="14">
        <f ca="1">IF(R$1="","",'Total Value'!R42/'Total Value'!$D42-1)</f>
        <v>-5.5154639175257758E-2</v>
      </c>
      <c r="S30" s="14">
        <f ca="1">IF(S$1="","",'Total Value'!S42/'Total Value'!$D42-1)</f>
        <v>6.8556701030927814E-2</v>
      </c>
      <c r="T30" s="14">
        <f ca="1">IF(T$1="","",'Total Value'!T42/'Total Value'!$D42-1)</f>
        <v>9.106529209621983E-2</v>
      </c>
      <c r="U30" s="14">
        <f ca="1">IF(U$1="","",'Total Value'!U42/'Total Value'!$D42-1)</f>
        <v>6.7525773195876271E-2</v>
      </c>
      <c r="V30" s="14">
        <f ca="1">IF(V$1="","",'Total Value'!V42/'Total Value'!$D42-1)</f>
        <v>7.3024054982817832E-2</v>
      </c>
      <c r="W30" s="14">
        <f ca="1">IF(W$1="","",'Total Value'!W42/'Total Value'!$D42-1)</f>
        <v>9.6391752577319467E-2</v>
      </c>
      <c r="X30" s="14">
        <f ca="1">IF(X$1="","",'Total Value'!X42/'Total Value'!$D42-1)</f>
        <v>0.1721649484536083</v>
      </c>
      <c r="Y30" s="14">
        <f ca="1">IF(Y$1="","",'Total Value'!Y42/'Total Value'!$D42-1)</f>
        <v>0.1900343642611686</v>
      </c>
      <c r="Z30" s="14">
        <f ca="1">IF(Z$1="","",'Total Value'!Z42/'Total Value'!$D42-1)</f>
        <v>0.20446735395188997</v>
      </c>
      <c r="AA30" s="14">
        <f ca="1">IF(AA$1="","",'Total Value'!AA42/'Total Value'!$D42-1)</f>
        <v>0.19261168384879701</v>
      </c>
      <c r="AB30" s="14">
        <f ca="1">IF(AB$1="","",'Total Value'!AB42/'Total Value'!$D42-1)</f>
        <v>0.19793814432989687</v>
      </c>
      <c r="AC30" s="14">
        <f ca="1">IF(AC$1="","",'Total Value'!AC42/'Total Value'!$D42-1)</f>
        <v>0.25</v>
      </c>
      <c r="AD30" s="14">
        <f ca="1">IF(AD$1="","",'Total Value'!AD42/'Total Value'!$D42-1)</f>
        <v>0.28024054982817881</v>
      </c>
      <c r="AE30" s="14">
        <f ca="1">IF(AE$1="","",'Total Value'!AE42/'Total Value'!$D42-1)</f>
        <v>0.26649484536082468</v>
      </c>
      <c r="AF30" s="14">
        <f ca="1">IF(AF$1="","",'Total Value'!AF42/'Total Value'!$D42-1)</f>
        <v>0.27319587628865971</v>
      </c>
      <c r="AG30" s="14">
        <f ca="1">IF(AG$1="","",'Total Value'!AG42/'Total Value'!$D42-1)</f>
        <v>0.24776632302405499</v>
      </c>
      <c r="AH30" s="14">
        <f ca="1">IF(AH$1="","",'Total Value'!AH42/'Total Value'!$D42-1)</f>
        <v>0.23659793814432994</v>
      </c>
      <c r="AI30" s="14">
        <f ca="1">IF(AI$1="","",'Total Value'!AI42/'Total Value'!$D42-1)</f>
        <v>0.23883161512027473</v>
      </c>
      <c r="AJ30" s="14">
        <f ca="1">IF(AJ$1="","",'Total Value'!AJ42/'Total Value'!$D42-1)</f>
        <v>0.27268041237113372</v>
      </c>
      <c r="AK30" s="14">
        <f ca="1">IF(AK$1="","",'Total Value'!AK42/'Total Value'!$D42-1)</f>
        <v>0.25704467353951888</v>
      </c>
      <c r="AL30" s="14">
        <f ca="1">IF(AL$1="","",'Total Value'!AL42/'Total Value'!$D42-1)</f>
        <v>0.23711340206185572</v>
      </c>
      <c r="AM30" s="14">
        <f ca="1">IF(AM$1="","",'Total Value'!AM42/'Total Value'!$D42-1)</f>
        <v>0.25824742268041234</v>
      </c>
      <c r="AN30" s="14">
        <f ca="1">IF(AN$1="","",'Total Value'!AN42/'Total Value'!$D42-1)</f>
        <v>0.24862542955326461</v>
      </c>
      <c r="AO30" s="14">
        <f ca="1">IF(AO$1="","",'Total Value'!AO42/'Total Value'!$D42-1)</f>
        <v>0.23522336769759455</v>
      </c>
      <c r="AP30" s="14">
        <f ca="1">IF(AP$1="","",'Total Value'!AP42/'Total Value'!$D42-1)</f>
        <v>0.16821305841924383</v>
      </c>
      <c r="AQ30" s="14">
        <f ca="1">IF(AQ$1="","",'Total Value'!AQ42/'Total Value'!$D42-1)</f>
        <v>0.18144329896907219</v>
      </c>
      <c r="AR30" s="14">
        <f ca="1">IF(AR$1="","",'Total Value'!AR42/'Total Value'!$D42-1)</f>
        <v>0.22027491408934696</v>
      </c>
      <c r="AS30" s="14">
        <f ca="1">IF(AS$1="","",'Total Value'!AS42/'Total Value'!$D42-1)</f>
        <v>0.23298969072164954</v>
      </c>
      <c r="AT30" s="14">
        <f ca="1">IF(AT$1="","",'Total Value'!AT42/'Total Value'!$D42-1)</f>
        <v>0.20515463917525767</v>
      </c>
      <c r="AU30" s="14">
        <f ca="1">IF(AU$1="","",'Total Value'!AU42/'Total Value'!$D42-1)</f>
        <v>0.21460481099656348</v>
      </c>
      <c r="AV30" s="14">
        <f ca="1">IF(AV$1="","",'Total Value'!AV42/'Total Value'!$D42-1)</f>
        <v>0.2010309278350515</v>
      </c>
      <c r="AW30" s="14">
        <f ca="1">IF(AW$1="","",'Total Value'!AW42/'Total Value'!$D42-1)</f>
        <v>0.21649484536082464</v>
      </c>
      <c r="AX30" s="14">
        <f ca="1">IF(AX$1="","",'Total Value'!AX42/'Total Value'!$D42-1)</f>
        <v>0.21701030927835041</v>
      </c>
      <c r="AY30" s="14">
        <f ca="1">IF(AY$1="","",'Total Value'!AY42/'Total Value'!$D42-1)</f>
        <v>0.21597938144329887</v>
      </c>
      <c r="AZ30" s="14">
        <f ca="1">IF(AZ$1="","",'Total Value'!AZ42/'Total Value'!$D42-1)</f>
        <v>0.21735395189003426</v>
      </c>
      <c r="BA30" s="14">
        <f ca="1">IF(BA$1="","",'Total Value'!BA42/'Total Value'!$D42-1)</f>
        <v>0.19415807560137455</v>
      </c>
      <c r="BB30" s="14">
        <f ca="1">IF(BB$1="","",'Total Value'!BB42/'Total Value'!$D42-1)</f>
        <v>0.1867697594501716</v>
      </c>
      <c r="BC30" s="14">
        <f ca="1">IF(BC$1="","",'Total Value'!BC42/'Total Value'!$D42-1)</f>
        <v>0.19089347079037799</v>
      </c>
      <c r="BD30" s="14">
        <f ca="1">IF(BD$1="","",'Total Value'!BD42/'Total Value'!$D42-1)</f>
        <v>0.20687285223367669</v>
      </c>
      <c r="BE30" s="14">
        <f ca="1">IF(BE$1="","",'Total Value'!BE42/'Total Value'!$D42-1)</f>
        <v>0.2182130584192441</v>
      </c>
      <c r="BF30" s="14">
        <f ca="1">IF(BF$1="","",'Total Value'!BF42/'Total Value'!$D42-1)</f>
        <v>0.22182130584192428</v>
      </c>
      <c r="BG30" s="14">
        <f ca="1">IF(BG$1="","",'Total Value'!BG42/'Total Value'!$D42-1)</f>
        <v>0.20395189003436398</v>
      </c>
      <c r="BH30" s="14">
        <f ca="1">IF(BH$1="","",'Total Value'!BH42/'Total Value'!$D42-1)</f>
        <v>0.17542955326460463</v>
      </c>
      <c r="BI30" s="14">
        <f ca="1">IF(BI$1="","",'Total Value'!BI42/'Total Value'!$D42-1)</f>
        <v>0.16907216494845367</v>
      </c>
      <c r="BJ30" s="14">
        <f ca="1">IF(BJ$1="","",'Total Value'!BJ42/'Total Value'!$D42-1)</f>
        <v>0.16958762886597922</v>
      </c>
      <c r="BK30" s="14">
        <f ca="1">IF(BK$1="","",'Total Value'!BK42/'Total Value'!$D42-1)</f>
        <v>0.13539518900343639</v>
      </c>
      <c r="BL30" s="14">
        <f ca="1">IF(BL$1="","",'Total Value'!BL42/'Total Value'!$D42-1)</f>
        <v>0.11323024054982822</v>
      </c>
      <c r="BM30" s="14">
        <f ca="1">IF(BM$1="","",'Total Value'!BM42/'Total Value'!$D42-1)</f>
        <v>0.11426116838487954</v>
      </c>
      <c r="BN30" s="14">
        <f ca="1">IF(BN$1="","",'Total Value'!BN42/'Total Value'!$D42-1)</f>
        <v>0.12285223367697595</v>
      </c>
      <c r="BO30" s="14">
        <f ca="1">IF(BO$1="","",'Total Value'!BO42/'Total Value'!$D42-1)</f>
        <v>0.12886597938144329</v>
      </c>
      <c r="BP30" s="14">
        <f ca="1">IF(BP$1="","",'Total Value'!BP42/'Total Value'!$D42-1)</f>
        <v>0.13092783505154615</v>
      </c>
      <c r="BQ30" s="14">
        <f ca="1">IF(BQ$1="","",'Total Value'!BQ42/'Total Value'!$D42-1)</f>
        <v>0.15652920962199302</v>
      </c>
      <c r="BR30" s="14">
        <f ca="1">IF(BR$1="","",'Total Value'!BR42/'Total Value'!$D42-1)</f>
        <v>0.15309278350515454</v>
      </c>
      <c r="BS30" s="14">
        <f ca="1">IF(BS$1="","",'Total Value'!BS42/'Total Value'!$D42-1)</f>
        <v>0.1584192439862544</v>
      </c>
      <c r="BT30" s="14">
        <f ca="1">IF(BT$1="","",'Total Value'!BT42/'Total Value'!$D42-1)</f>
        <v>0.1900343642611686</v>
      </c>
      <c r="BU30" s="14">
        <f ca="1">IF(BU$1="","",'Total Value'!BU42/'Total Value'!$D42-1)</f>
        <v>0.21563573883161502</v>
      </c>
      <c r="BV30" s="14">
        <f ca="1">IF(BV$1="","",'Total Value'!BV42/'Total Value'!$D42-1)</f>
        <v>0.20704467353951883</v>
      </c>
      <c r="BW30" s="14">
        <f ca="1">IF(BW$1="","",'Total Value'!BW42/'Total Value'!$D42-1)</f>
        <v>0.16237113402061865</v>
      </c>
      <c r="BX30" s="14">
        <f ca="1">IF(BX$1="","",'Total Value'!BX42/'Total Value'!$D42-1)</f>
        <v>0.14656357388316144</v>
      </c>
      <c r="BY30" s="14">
        <f ca="1">IF(BY$1="","",'Total Value'!BY42/'Total Value'!$D42-1)</f>
        <v>0.13058419243986252</v>
      </c>
      <c r="BZ30" s="14">
        <f ca="1">IF(BZ$1="","",'Total Value'!BZ42/'Total Value'!$D42-1)</f>
        <v>0.13436426116838485</v>
      </c>
      <c r="CA30" s="14">
        <f ca="1">IF(CA$1="","",'Total Value'!CA42/'Total Value'!$D42-1)</f>
        <v>0.14381443298969043</v>
      </c>
      <c r="CB30" s="14">
        <f ca="1">IF(CB$1="","",'Total Value'!CB42/'Total Value'!$D42-1)</f>
        <v>0.13144329896907214</v>
      </c>
      <c r="CC30" s="14">
        <f ca="1">IF(CC$1="","",'Total Value'!CC42/'Total Value'!$D42-1)</f>
        <v>0.13865979381443294</v>
      </c>
      <c r="CD30" s="14">
        <f ca="1">IF(CD$1="","",'Total Value'!CD42/'Total Value'!$D42-1)</f>
        <v>0.19501718213058417</v>
      </c>
      <c r="CE30" s="14">
        <f ca="1">IF(CE$1="","",'Total Value'!CE42/'Total Value'!$D42-1)</f>
        <v>0.21597938144329887</v>
      </c>
      <c r="CF30" s="14" t="str">
        <f ca="1">IF(CF$1="","",'Total Value'!CF42/'Total Value'!$D42-1)</f>
        <v/>
      </c>
      <c r="CG30" s="14" t="str">
        <f ca="1">IF(CG$1="","",'Total Value'!CG42/'Total Value'!$D42-1)</f>
        <v/>
      </c>
      <c r="CH30" s="14" t="str">
        <f ca="1">IF(CH$1="","",'Total Value'!CH42/'Total Value'!$D42-1)</f>
        <v/>
      </c>
      <c r="CI30" s="14" t="str">
        <f ca="1">IF(CI$1="","",'Total Value'!CI42/'Total Value'!$D42-1)</f>
        <v/>
      </c>
      <c r="CJ30" s="14" t="str">
        <f ca="1">IF(CJ$1="","",'Total Value'!CJ42/'Total Value'!$D42-1)</f>
        <v/>
      </c>
      <c r="CK30" s="14" t="str">
        <f ca="1">IF(CK$1="","",'Total Value'!CK42/'Total Value'!$D42-1)</f>
        <v/>
      </c>
      <c r="CL30" s="14" t="str">
        <f ca="1">IF(CL$1="","",'Total Value'!CL42/'Total Value'!$D42-1)</f>
        <v/>
      </c>
      <c r="CM30" s="14" t="str">
        <f ca="1">IF(CM$1="","",'Total Value'!CM42/'Total Value'!$D42-1)</f>
        <v/>
      </c>
      <c r="CN30" s="14" t="str">
        <f ca="1">IF(CN$1="","",'Total Value'!CN42/'Total Value'!$D42-1)</f>
        <v/>
      </c>
      <c r="CO30" s="14" t="str">
        <f ca="1">IF(CO$1="","",'Total Value'!CO42/'Total Value'!$D42-1)</f>
        <v/>
      </c>
      <c r="CP30" s="14" t="str">
        <f ca="1">IF(CP$1="","",'Total Value'!CP42/'Total Value'!$D42-1)</f>
        <v/>
      </c>
      <c r="CQ30" s="14" t="str">
        <f ca="1">IF(CQ$1="","",'Total Value'!CQ42/'Total Value'!$D42-1)</f>
        <v/>
      </c>
      <c r="CR30" s="14" t="str">
        <f ca="1">IF(CR$1="","",'Total Value'!CR42/'Total Value'!$D42-1)</f>
        <v/>
      </c>
      <c r="CS30" s="14" t="str">
        <f ca="1">IF(CS$1="","",'Total Value'!CS42/'Total Value'!$D42-1)</f>
        <v/>
      </c>
      <c r="CT30" s="14" t="str">
        <f ca="1">IF(CT$1="","",'Total Value'!CT42/'Total Value'!$D42-1)</f>
        <v/>
      </c>
      <c r="CU30" s="14" t="str">
        <f ca="1">IF(CU$1="","",'Total Value'!CU42/'Total Value'!$D42-1)</f>
        <v/>
      </c>
      <c r="CV30" s="14" t="str">
        <f ca="1">IF(CV$1="","",'Total Value'!CV42/'Total Value'!$D42-1)</f>
        <v/>
      </c>
      <c r="CW30" s="14" t="str">
        <f ca="1">IF(CW$1="","",'Total Value'!CW42/'Total Value'!$D42-1)</f>
        <v/>
      </c>
      <c r="CX30" s="14" t="str">
        <f ca="1">IF(CX$1="","",'Total Value'!CX42/'Total Value'!$D42-1)</f>
        <v/>
      </c>
      <c r="CY30" s="14" t="str">
        <f ca="1">IF(CY$1="","",'Total Value'!CY42/'Total Value'!$D42-1)</f>
        <v/>
      </c>
      <c r="CZ30" s="14" t="str">
        <f ca="1">IF(CZ$1="","",'Total Value'!CZ42/'Total Value'!$D42-1)</f>
        <v/>
      </c>
      <c r="DA30" s="14" t="str">
        <f ca="1">IF(DA$1="","",'Total Value'!DA42/'Total Value'!$D42-1)</f>
        <v/>
      </c>
      <c r="DB30" s="14" t="str">
        <f ca="1">IF(DB$1="","",'Total Value'!DB42/'Total Value'!$D42-1)</f>
        <v/>
      </c>
      <c r="DC30" s="14" t="str">
        <f ca="1">IF(DC$1="","",'Total Value'!DC42/'Total Value'!$D42-1)</f>
        <v/>
      </c>
      <c r="DD30" s="14" t="str">
        <f ca="1">IF(DD$1="","",'Total Value'!DD42/'Total Value'!$D42-1)</f>
        <v/>
      </c>
      <c r="DE30" s="14" t="str">
        <f ca="1">IF(DE$1="","",'Total Value'!DE42/'Total Value'!$D42-1)</f>
        <v/>
      </c>
      <c r="DF30" s="14" t="str">
        <f ca="1">IF(DF$1="","",'Total Value'!DF42/'Total Value'!$D42-1)</f>
        <v/>
      </c>
      <c r="DG30" s="14" t="str">
        <f ca="1">IF(DG$1="","",'Total Value'!DG42/'Total Value'!$D42-1)</f>
        <v/>
      </c>
      <c r="DH30" s="14" t="str">
        <f ca="1">IF(DH$1="","",'Total Value'!DH42/'Total Value'!$D42-1)</f>
        <v/>
      </c>
      <c r="DI30" s="14" t="str">
        <f ca="1">IF(DI$1="","",'Total Value'!DI42/'Total Value'!$D42-1)</f>
        <v/>
      </c>
      <c r="DJ30" s="14" t="str">
        <f ca="1">IF(DJ$1="","",'Total Value'!DJ42/'Total Value'!$D42-1)</f>
        <v/>
      </c>
      <c r="DK30" s="14" t="str">
        <f ca="1">IF(DK$1="","",'Total Value'!DK42/'Total Value'!$D42-1)</f>
        <v/>
      </c>
      <c r="DL30" s="14" t="str">
        <f ca="1">IF(DL$1="","",'Total Value'!DL42/'Total Value'!$D42-1)</f>
        <v/>
      </c>
      <c r="DM30" s="14" t="str">
        <f ca="1">IF(DM$1="","",'Total Value'!DM42/'Total Value'!$D42-1)</f>
        <v/>
      </c>
      <c r="DN30" s="14" t="str">
        <f ca="1">IF(DN$1="","",'Total Value'!DN42/'Total Value'!$D42-1)</f>
        <v/>
      </c>
      <c r="DO30" s="14" t="str">
        <f ca="1">IF(DO$1="","",'Total Value'!DO42/'Total Value'!$D42-1)</f>
        <v/>
      </c>
      <c r="DP30" s="14" t="str">
        <f ca="1">IF(DP$1="","",'Total Value'!DP42/'Total Value'!$D42-1)</f>
        <v/>
      </c>
      <c r="DQ30" s="14" t="str">
        <f ca="1">IF(DQ$1="","",'Total Value'!DQ42/'Total Value'!$D42-1)</f>
        <v/>
      </c>
      <c r="DR30" s="14" t="str">
        <f ca="1">IF(DR$1="","",'Total Value'!DR42/'Total Value'!$D42-1)</f>
        <v/>
      </c>
      <c r="DS30" s="14" t="str">
        <f ca="1">IF(DS$1="","",'Total Value'!DS42/'Total Value'!$D42-1)</f>
        <v/>
      </c>
      <c r="DT30" s="14" t="str">
        <f ca="1">IF(DT$1="","",'Total Value'!DT42/'Total Value'!$D42-1)</f>
        <v/>
      </c>
      <c r="DU30" s="14" t="str">
        <f ca="1">IF(DU$1="","",'Total Value'!DU42/'Total Value'!$D42-1)</f>
        <v/>
      </c>
      <c r="DV30" s="14" t="str">
        <f ca="1">IF(DV$1="","",'Total Value'!DV42/'Total Value'!$D42-1)</f>
        <v/>
      </c>
      <c r="DW30" s="14" t="str">
        <f ca="1">IF(DW$1="","",'Total Value'!DW42/'Total Value'!$D42-1)</f>
        <v/>
      </c>
      <c r="DX30" s="14" t="str">
        <f ca="1">IF(DX$1="","",'Total Value'!DX42/'Total Value'!$D42-1)</f>
        <v/>
      </c>
      <c r="DY30" s="14" t="str">
        <f ca="1">IF(DY$1="","",'Total Value'!DY42/'Total Value'!$D42-1)</f>
        <v/>
      </c>
      <c r="DZ30" s="14" t="str">
        <f ca="1">IF(DZ$1="","",'Total Value'!DZ42/'Total Value'!$D42-1)</f>
        <v/>
      </c>
      <c r="EA30" s="14" t="str">
        <f ca="1">IF(EA$1="","",'Total Value'!EA42/'Total Value'!$D42-1)</f>
        <v/>
      </c>
      <c r="EB30" s="14" t="str">
        <f ca="1">IF(EB$1="","",'Total Value'!EB42/'Total Value'!$D42-1)</f>
        <v/>
      </c>
      <c r="EC30" s="14" t="str">
        <f ca="1">IF(EC$1="","",'Total Value'!EC42/'Total Value'!$D42-1)</f>
        <v/>
      </c>
      <c r="ED30" s="14" t="str">
        <f ca="1">IF(ED$1="","",'Total Value'!ED42/'Total Value'!$D42-1)</f>
        <v/>
      </c>
      <c r="EE30" s="14" t="str">
        <f ca="1">IF(EE$1="","",'Total Value'!EE42/'Total Value'!$D42-1)</f>
        <v/>
      </c>
      <c r="EF30" s="14" t="str">
        <f ca="1">IF(EF$1="","",'Total Value'!EF42/'Total Value'!$D42-1)</f>
        <v/>
      </c>
      <c r="EG30" s="14" t="str">
        <f ca="1">IF(EG$1="","",'Total Value'!EG42/'Total Value'!$D42-1)</f>
        <v/>
      </c>
      <c r="EH30" s="14" t="str">
        <f ca="1">IF(EH$1="","",'Total Value'!EH42/'Total Value'!$D42-1)</f>
        <v/>
      </c>
      <c r="EI30" s="14" t="str">
        <f ca="1">IF(EI$1="","",'Total Value'!EI42/'Total Value'!$D42-1)</f>
        <v/>
      </c>
      <c r="EJ30" s="14" t="str">
        <f ca="1">IF(EJ$1="","",'Total Value'!EJ42/'Total Value'!$D42-1)</f>
        <v/>
      </c>
      <c r="EK30" s="14" t="str">
        <f ca="1">IF(EK$1="","",'Total Value'!EK42/'Total Value'!$D42-1)</f>
        <v/>
      </c>
      <c r="EL30" s="14" t="str">
        <f ca="1">IF(EL$1="","",'Total Value'!EL42/'Total Value'!$D42-1)</f>
        <v/>
      </c>
      <c r="EM30" s="14" t="str">
        <f ca="1">IF(EM$1="","",'Total Value'!EM42/'Total Value'!$D42-1)</f>
        <v/>
      </c>
      <c r="EN30" s="14" t="str">
        <f ca="1">IF(EN$1="","",'Total Value'!EN42/'Total Value'!$D42-1)</f>
        <v/>
      </c>
      <c r="EO30" s="14" t="str">
        <f ca="1">IF(EO$1="","",'Total Value'!EO42/'Total Value'!$D42-1)</f>
        <v/>
      </c>
      <c r="EP30" s="14" t="str">
        <f ca="1">IF(EP$1="","",'Total Value'!EP42/'Total Value'!$D42-1)</f>
        <v/>
      </c>
      <c r="EQ30" s="14" t="str">
        <f ca="1">IF(EQ$1="","",'Total Value'!EQ42/'Total Value'!$D42-1)</f>
        <v/>
      </c>
      <c r="ER30" s="14" t="str">
        <f ca="1">IF(ER$1="","",'Total Value'!ER42/'Total Value'!$D42-1)</f>
        <v/>
      </c>
      <c r="ES30" s="14" t="str">
        <f ca="1">IF(ES$1="","",'Total Value'!ES42/'Total Value'!$D42-1)</f>
        <v/>
      </c>
      <c r="ET30" s="14" t="str">
        <f ca="1">IF(ET$1="","",'Total Value'!ET42/'Total Value'!$D42-1)</f>
        <v/>
      </c>
      <c r="EU30" s="14" t="str">
        <f ca="1">IF(EU$1="","",'Total Value'!EU42/'Total Value'!$D42-1)</f>
        <v/>
      </c>
      <c r="EV30" s="14" t="str">
        <f ca="1">IF(EV$1="","",'Total Value'!EV42/'Total Value'!$D42-1)</f>
        <v/>
      </c>
      <c r="EW30" s="14" t="str">
        <f ca="1">IF(EW$1="","",'Total Value'!EW42/'Total Value'!$D42-1)</f>
        <v/>
      </c>
      <c r="EX30" s="14" t="str">
        <f ca="1">IF(EX$1="","",'Total Value'!EX42/'Total Value'!$D42-1)</f>
        <v/>
      </c>
      <c r="EY30" s="14" t="str">
        <f ca="1">IF(EY$1="","",'Total Value'!EY42/'Total Value'!$D42-1)</f>
        <v/>
      </c>
      <c r="EZ30" s="14" t="str">
        <f ca="1">IF(EZ$1="","",'Total Value'!EZ42/'Total Value'!$D42-1)</f>
        <v/>
      </c>
      <c r="FA30" s="14" t="str">
        <f ca="1">IF(FA$1="","",'Total Value'!FA42/'Total Value'!$D42-1)</f>
        <v/>
      </c>
      <c r="FB30" s="14" t="str">
        <f ca="1">IF(FB$1="","",'Total Value'!FB42/'Total Value'!$D42-1)</f>
        <v/>
      </c>
      <c r="FC30" s="14" t="str">
        <f ca="1">IF(FC$1="","",'Total Value'!FC42/'Total Value'!$D42-1)</f>
        <v/>
      </c>
      <c r="FD30" s="14" t="str">
        <f ca="1">IF(FD$1="","",'Total Value'!FD42/'Total Value'!$D42-1)</f>
        <v/>
      </c>
      <c r="FE30" s="14" t="str">
        <f ca="1">IF(FE$1="","",'Total Value'!FE42/'Total Value'!$D42-1)</f>
        <v/>
      </c>
      <c r="FF30" s="14" t="str">
        <f ca="1">IF(FF$1="","",'Total Value'!FF42/'Total Value'!$D42-1)</f>
        <v/>
      </c>
      <c r="FG30" s="14" t="str">
        <f ca="1">IF(FG$1="","",'Total Value'!FG42/'Total Value'!$D42-1)</f>
        <v/>
      </c>
      <c r="FH30" s="14" t="str">
        <f ca="1">IF(FH$1="","",'Total Value'!FH42/'Total Value'!$D42-1)</f>
        <v/>
      </c>
      <c r="FI30" s="14" t="str">
        <f ca="1">IF(FI$1="","",'Total Value'!FI42/'Total Value'!$D42-1)</f>
        <v/>
      </c>
      <c r="FJ30" s="14" t="str">
        <f ca="1">IF(FJ$1="","",'Total Value'!FJ42/'Total Value'!$D42-1)</f>
        <v/>
      </c>
      <c r="FK30" s="14" t="str">
        <f ca="1">IF(FK$1="","",'Total Value'!FK42/'Total Value'!$D42-1)</f>
        <v/>
      </c>
      <c r="FL30" s="14" t="str">
        <f ca="1">IF(FL$1="","",'Total Value'!FL42/'Total Value'!$D42-1)</f>
        <v/>
      </c>
      <c r="FM30" s="14" t="str">
        <f ca="1">IF(FM$1="","",'Total Value'!FM42/'Total Value'!$D42-1)</f>
        <v/>
      </c>
      <c r="FN30" s="14" t="str">
        <f ca="1">IF(FN$1="","",'Total Value'!FN42/'Total Value'!$D42-1)</f>
        <v/>
      </c>
      <c r="FO30" s="14" t="str">
        <f ca="1">IF(FO$1="","",'Total Value'!FO42/'Total Value'!$D42-1)</f>
        <v/>
      </c>
      <c r="FP30" s="14" t="str">
        <f ca="1">IF(FP$1="","",'Total Value'!FP42/'Total Value'!$D42-1)</f>
        <v/>
      </c>
      <c r="FQ30" s="14" t="str">
        <f ca="1">IF(FQ$1="","",'Total Value'!FQ42/'Total Value'!$D42-1)</f>
        <v/>
      </c>
      <c r="FR30" s="14" t="str">
        <f ca="1">IF(FR$1="","",'Total Value'!FR42/'Total Value'!$D42-1)</f>
        <v/>
      </c>
      <c r="FS30" s="14" t="str">
        <f ca="1">IF(FS$1="","",'Total Value'!FS42/'Total Value'!$D42-1)</f>
        <v/>
      </c>
      <c r="FT30" s="14" t="str">
        <f ca="1">IF(FT$1="","",'Total Value'!FT42/'Total Value'!$D42-1)</f>
        <v/>
      </c>
      <c r="FU30" s="14" t="str">
        <f ca="1">IF(FU$1="","",'Total Value'!FU42/'Total Value'!$D42-1)</f>
        <v/>
      </c>
      <c r="FV30" s="14" t="str">
        <f ca="1">IF(FV$1="","",'Total Value'!FV42/'Total Value'!$D42-1)</f>
        <v/>
      </c>
      <c r="FW30" s="14" t="str">
        <f ca="1">IF(FW$1="","",'Total Value'!FW42/'Total Value'!$D42-1)</f>
        <v/>
      </c>
      <c r="FX30" s="14" t="str">
        <f ca="1">IF(FX$1="","",'Total Value'!FX42/'Total Value'!$D42-1)</f>
        <v/>
      </c>
      <c r="FY30" s="14" t="str">
        <f ca="1">IF(FY$1="","",'Total Value'!FY42/'Total Value'!$D42-1)</f>
        <v/>
      </c>
      <c r="FZ30" s="14" t="str">
        <f ca="1">IF(FZ$1="","",'Total Value'!FZ42/'Total Value'!$D42-1)</f>
        <v/>
      </c>
      <c r="GA30" s="14" t="str">
        <f ca="1">IF(GA$1="","",'Total Value'!GA42/'Total Value'!$D42-1)</f>
        <v/>
      </c>
      <c r="GB30" s="14" t="str">
        <f ca="1">IF(GB$1="","",'Total Value'!GB42/'Total Value'!$D42-1)</f>
        <v/>
      </c>
      <c r="GC30" s="14" t="str">
        <f ca="1">IF(GC$1="","",'Total Value'!GC42/'Total Value'!$D42-1)</f>
        <v/>
      </c>
      <c r="GD30" s="14" t="str">
        <f ca="1">IF(GD$1="","",'Total Value'!GD42/'Total Value'!$D42-1)</f>
        <v/>
      </c>
      <c r="GE30" s="14" t="str">
        <f ca="1">IF(GE$1="","",'Total Value'!GE42/'Total Value'!$D42-1)</f>
        <v/>
      </c>
      <c r="GF30" s="14" t="str">
        <f ca="1">IF(GF$1="","",'Total Value'!GF42/'Total Value'!$D42-1)</f>
        <v/>
      </c>
      <c r="GG30" s="14" t="str">
        <f ca="1">IF(GG$1="","",'Total Value'!GG42/'Total Value'!$D42-1)</f>
        <v/>
      </c>
      <c r="GH30" s="14" t="str">
        <f ca="1">IF(GH$1="","",'Total Value'!GH42/'Total Value'!$D42-1)</f>
        <v/>
      </c>
      <c r="GI30" s="14" t="str">
        <f ca="1">IF(GI$1="","",'Total Value'!GI42/'Total Value'!$D42-1)</f>
        <v/>
      </c>
      <c r="GJ30" s="14" t="str">
        <f ca="1">IF(GJ$1="","",'Total Value'!GJ42/'Total Value'!$D42-1)</f>
        <v/>
      </c>
      <c r="GK30" s="14" t="str">
        <f ca="1">IF(GK$1="","",'Total Value'!GK42/'Total Value'!$D42-1)</f>
        <v/>
      </c>
      <c r="GL30" s="14" t="str">
        <f ca="1">IF(GL$1="","",'Total Value'!GL42/'Total Value'!$D42-1)</f>
        <v/>
      </c>
      <c r="GM30" s="14" t="str">
        <f ca="1">IF(GM$1="","",'Total Value'!GM42/'Total Value'!$D42-1)</f>
        <v/>
      </c>
      <c r="GN30" s="14" t="str">
        <f ca="1">IF(GN$1="","",'Total Value'!GN42/'Total Value'!$D42-1)</f>
        <v/>
      </c>
      <c r="GO30" s="14" t="str">
        <f ca="1">IF(GO$1="","",'Total Value'!GO42/'Total Value'!$D42-1)</f>
        <v/>
      </c>
      <c r="GP30" s="14" t="str">
        <f ca="1">IF(GP$1="","",'Total Value'!GP42/'Total Value'!$D42-1)</f>
        <v/>
      </c>
      <c r="GQ30" s="14" t="str">
        <f ca="1">IF(GQ$1="","",'Total Value'!GQ42/'Total Value'!$D42-1)</f>
        <v/>
      </c>
      <c r="GR30" s="14" t="str">
        <f ca="1">IF(GR$1="","",'Total Value'!GR42/'Total Value'!$D42-1)</f>
        <v/>
      </c>
      <c r="GS30" s="14" t="str">
        <f ca="1">IF(GS$1="","",'Total Value'!GS42/'Total Value'!$D42-1)</f>
        <v/>
      </c>
      <c r="GT30" s="14" t="str">
        <f ca="1">IF(GT$1="","",'Total Value'!GT42/'Total Value'!$D42-1)</f>
        <v/>
      </c>
      <c r="GU30" s="14" t="str">
        <f ca="1">IF(GU$1="","",'Total Value'!GU42/'Total Value'!$D42-1)</f>
        <v/>
      </c>
      <c r="GV30" s="14" t="str">
        <f ca="1">IF(GV$1="","",'Total Value'!GV42/'Total Value'!$D42-1)</f>
        <v/>
      </c>
      <c r="GW30" s="14" t="str">
        <f ca="1">IF(GW$1="","",'Total Value'!GW42/'Total Value'!$D42-1)</f>
        <v/>
      </c>
      <c r="GX30" s="14" t="str">
        <f ca="1">IF(GX$1="","",'Total Value'!GX42/'Total Value'!$D42-1)</f>
        <v/>
      </c>
      <c r="GY30" s="14" t="str">
        <f ca="1">IF(GY$1="","",'Total Value'!GY42/'Total Value'!$D42-1)</f>
        <v/>
      </c>
      <c r="GZ30" s="14" t="str">
        <f ca="1">IF(GZ$1="","",'Total Value'!GZ42/'Total Value'!$D42-1)</f>
        <v/>
      </c>
      <c r="HA30" s="14" t="str">
        <f ca="1">IF(HA$1="","",'Total Value'!HA42/'Total Value'!$D42-1)</f>
        <v/>
      </c>
      <c r="HB30" s="14" t="str">
        <f ca="1">IF(HB$1="","",'Total Value'!HB42/'Total Value'!$D42-1)</f>
        <v/>
      </c>
      <c r="HC30" s="14" t="str">
        <f ca="1">IF(HC$1="","",'Total Value'!HC42/'Total Value'!$D42-1)</f>
        <v/>
      </c>
      <c r="HD30" s="14" t="str">
        <f ca="1">IF(HD$1="","",'Total Value'!HD42/'Total Value'!$D42-1)</f>
        <v/>
      </c>
      <c r="HE30" s="14" t="str">
        <f ca="1">IF(HE$1="","",'Total Value'!HE42/'Total Value'!$D42-1)</f>
        <v/>
      </c>
      <c r="HF30" s="14" t="str">
        <f ca="1">IF(HF$1="","",'Total Value'!HF42/'Total Value'!$D42-1)</f>
        <v/>
      </c>
      <c r="HG30" s="14" t="str">
        <f ca="1">IF(HG$1="","",'Total Value'!HG42/'Total Value'!$D42-1)</f>
        <v/>
      </c>
      <c r="HH30" s="14" t="str">
        <f ca="1">IF(HH$1="","",'Total Value'!HH42/'Total Value'!$D42-1)</f>
        <v/>
      </c>
      <c r="HI30" s="14" t="str">
        <f ca="1">IF(HI$1="","",'Total Value'!HI42/'Total Value'!$D42-1)</f>
        <v/>
      </c>
      <c r="HJ30" s="14" t="str">
        <f ca="1">IF(HJ$1="","",'Total Value'!HJ42/'Total Value'!$D42-1)</f>
        <v/>
      </c>
      <c r="HK30" s="14" t="str">
        <f ca="1">IF(HK$1="","",'Total Value'!HK42/'Total Value'!$D42-1)</f>
        <v/>
      </c>
      <c r="HL30" s="14" t="str">
        <f ca="1">IF(HL$1="","",'Total Value'!HL42/'Total Value'!$D42-1)</f>
        <v/>
      </c>
      <c r="HM30" s="14" t="str">
        <f ca="1">IF(HM$1="","",'Total Value'!HM42/'Total Value'!$D42-1)</f>
        <v/>
      </c>
      <c r="HN30" s="14" t="str">
        <f ca="1">IF(HN$1="","",'Total Value'!HN42/'Total Value'!$D42-1)</f>
        <v/>
      </c>
      <c r="HO30" s="14" t="str">
        <f ca="1">IF(HO$1="","",'Total Value'!HO42/'Total Value'!$D42-1)</f>
        <v/>
      </c>
      <c r="HP30" s="14" t="str">
        <f ca="1">IF(HP$1="","",'Total Value'!HP42/'Total Value'!$D42-1)</f>
        <v/>
      </c>
      <c r="HQ30" s="14" t="str">
        <f ca="1">IF(HQ$1="","",'Total Value'!HQ42/'Total Value'!$D42-1)</f>
        <v/>
      </c>
      <c r="HR30" s="14" t="str">
        <f ca="1">IF(HR$1="","",'Total Value'!HR42/'Total Value'!$D42-1)</f>
        <v/>
      </c>
      <c r="HS30" s="14" t="str">
        <f ca="1">IF(HS$1="","",'Total Value'!HS42/'Total Value'!$D42-1)</f>
        <v/>
      </c>
      <c r="HT30" s="14" t="str">
        <f ca="1">IF(HT$1="","",'Total Value'!HT42/'Total Value'!$D42-1)</f>
        <v/>
      </c>
      <c r="HU30" s="14" t="str">
        <f ca="1">IF(HU$1="","",'Total Value'!HU42/'Total Value'!$D42-1)</f>
        <v/>
      </c>
      <c r="HV30" s="14" t="str">
        <f ca="1">IF(HV$1="","",'Total Value'!HV42/'Total Value'!$D42-1)</f>
        <v/>
      </c>
      <c r="HW30" s="14" t="str">
        <f ca="1">IF(HW$1="","",'Total Value'!HW42/'Total Value'!$D42-1)</f>
        <v/>
      </c>
      <c r="HX30" s="14" t="str">
        <f ca="1">IF(HX$1="","",'Total Value'!HX42/'Total Value'!$D42-1)</f>
        <v/>
      </c>
      <c r="HY30" s="14" t="str">
        <f ca="1">IF(HY$1="","",'Total Value'!HY42/'Total Value'!$D42-1)</f>
        <v/>
      </c>
      <c r="HZ30" s="14" t="str">
        <f ca="1">IF(HZ$1="","",'Total Value'!HZ42/'Total Value'!$D42-1)</f>
        <v/>
      </c>
      <c r="IA30" s="14" t="str">
        <f ca="1">IF(IA$1="","",'Total Value'!IA42/'Total Value'!$D42-1)</f>
        <v/>
      </c>
      <c r="IB30" s="14" t="str">
        <f ca="1">IF(IB$1="","",'Total Value'!IB42/'Total Value'!$D42-1)</f>
        <v/>
      </c>
      <c r="IC30" s="14" t="str">
        <f ca="1">IF(IC$1="","",'Total Value'!IC42/'Total Value'!$D42-1)</f>
        <v/>
      </c>
      <c r="ID30" s="14" t="str">
        <f ca="1">IF(ID$1="","",'Total Value'!ID42/'Total Value'!$D42-1)</f>
        <v/>
      </c>
      <c r="IE30" s="14" t="str">
        <f ca="1">IF(IE$1="","",'Total Value'!IE42/'Total Value'!$D42-1)</f>
        <v/>
      </c>
      <c r="IF30" s="14" t="str">
        <f ca="1">IF(IF$1="","",'Total Value'!IF42/'Total Value'!$D42-1)</f>
        <v/>
      </c>
      <c r="IG30" s="14" t="str">
        <f ca="1">IF(IG$1="","",'Total Value'!IG42/'Total Value'!$D42-1)</f>
        <v/>
      </c>
      <c r="IH30" s="14" t="str">
        <f ca="1">IF(IH$1="","",'Total Value'!IH42/'Total Value'!$D42-1)</f>
        <v/>
      </c>
      <c r="II30" s="14" t="str">
        <f ca="1">IF(II$1="","",'Total Value'!II42/'Total Value'!$D42-1)</f>
        <v/>
      </c>
      <c r="IJ30" s="14" t="str">
        <f ca="1">IF(IJ$1="","",'Total Value'!IJ42/'Total Value'!$D42-1)</f>
        <v/>
      </c>
      <c r="IK30" s="14" t="str">
        <f ca="1">IF(IK$1="","",'Total Value'!IK42/'Total Value'!$D42-1)</f>
        <v/>
      </c>
      <c r="IL30" s="14" t="str">
        <f ca="1">IF(IL$1="","",'Total Value'!IL42/'Total Value'!$D42-1)</f>
        <v/>
      </c>
      <c r="IM30" s="14" t="str">
        <f ca="1">IF(IM$1="","",'Total Value'!IM42/'Total Value'!$D42-1)</f>
        <v/>
      </c>
      <c r="IN30" s="14" t="str">
        <f ca="1">IF(IN$1="","",'Total Value'!IN42/'Total Value'!$D42-1)</f>
        <v/>
      </c>
      <c r="IO30" s="14" t="str">
        <f ca="1">IF(IO$1="","",'Total Value'!IO42/'Total Value'!$D42-1)</f>
        <v/>
      </c>
      <c r="IP30" s="14" t="str">
        <f ca="1">IF(IP$1="","",'Total Value'!IP42/'Total Value'!$D42-1)</f>
        <v/>
      </c>
      <c r="IQ30" s="14" t="str">
        <f ca="1">IF(IQ$1="","",'Total Value'!IQ42/'Total Value'!$D42-1)</f>
        <v/>
      </c>
      <c r="IR30" s="14" t="str">
        <f ca="1">IF(IR$1="","",'Total Value'!IR42/'Total Value'!$D42-1)</f>
        <v/>
      </c>
      <c r="IS30" s="14" t="str">
        <f ca="1">IF(IS$1="","",'Total Value'!IS42/'Total Value'!$D42-1)</f>
        <v/>
      </c>
      <c r="IT30" s="14" t="str">
        <f ca="1">IF(IT$1="","",'Total Value'!IT42/'Total Value'!$D42-1)</f>
        <v/>
      </c>
      <c r="IU30" s="14" t="str">
        <f ca="1">IF(IU$1="","",'Total Value'!IU42/'Total Value'!$D42-1)</f>
        <v/>
      </c>
      <c r="IV30" s="14" t="str">
        <f ca="1">IF(IV$1="","",'Total Value'!IV42/'Total Value'!$D42-1)</f>
        <v/>
      </c>
      <c r="IW30" s="14" t="str">
        <f ca="1">IF(IW$1="","",'Total Value'!IW42/'Total Value'!$D42-1)</f>
        <v/>
      </c>
      <c r="IX30" s="14" t="str">
        <f ca="1">IF(IX$1="","",'Total Value'!IX42/'Total Value'!$D42-1)</f>
        <v/>
      </c>
      <c r="IY30" s="14" t="str">
        <f ca="1">IF(IY$1="","",'Total Value'!IY42/'Total Value'!$D42-1)</f>
        <v/>
      </c>
      <c r="IZ30" s="14" t="str">
        <f ca="1">IF(IZ$1="","",'Total Value'!IZ42/'Total Value'!$D42-1)</f>
        <v/>
      </c>
      <c r="JA30" s="14" t="str">
        <f ca="1">IF(JA$1="","",'Total Value'!JA42/'Total Value'!$D42-1)</f>
        <v/>
      </c>
      <c r="JB30" s="14" t="str">
        <f ca="1">IF(JB$1="","",'Total Value'!JB42/'Total Value'!$D42-1)</f>
        <v/>
      </c>
      <c r="JC30" s="14" t="str">
        <f ca="1">IF(JC$1="","",'Total Value'!JC42/'Total Value'!$D42-1)</f>
        <v/>
      </c>
      <c r="JD30" s="14" t="str">
        <f ca="1">IF(JD$1="","",'Total Value'!JD42/'Total Value'!$D42-1)</f>
        <v/>
      </c>
      <c r="JE30" s="14" t="str">
        <f ca="1">IF(JE$1="","",'Total Value'!JE42/'Total Value'!$D42-1)</f>
        <v/>
      </c>
      <c r="JF30" s="14" t="str">
        <f ca="1">IF(JF$1="","",'Total Value'!JF42/'Total Value'!$D42-1)</f>
        <v/>
      </c>
      <c r="JG30" s="14" t="str">
        <f ca="1">IF(JG$1="","",'Total Value'!JG42/'Total Value'!$D42-1)</f>
        <v/>
      </c>
      <c r="JH30" s="14" t="str">
        <f ca="1">IF(JH$1="","",'Total Value'!JH42/'Total Value'!$D42-1)</f>
        <v/>
      </c>
      <c r="JI30" s="14" t="str">
        <f ca="1">IF(JI$1="","",'Total Value'!JI42/'Total Value'!$D42-1)</f>
        <v/>
      </c>
      <c r="JJ30" s="14" t="str">
        <f ca="1">IF(JJ$1="","",'Total Value'!JJ42/'Total Value'!$D42-1)</f>
        <v/>
      </c>
      <c r="JK30" s="14" t="str">
        <f ca="1">IF(JK$1="","",'Total Value'!JK42/'Total Value'!$D42-1)</f>
        <v/>
      </c>
      <c r="JL30" s="14" t="str">
        <f ca="1">IF(JL$1="","",'Total Value'!JL42/'Total Value'!$D42-1)</f>
        <v/>
      </c>
      <c r="JM30" s="14" t="str">
        <f ca="1">IF(JM$1="","",'Total Value'!JM42/'Total Value'!$D42-1)</f>
        <v/>
      </c>
      <c r="JN30" s="14" t="str">
        <f ca="1">IF(JN$1="","",'Total Value'!JN42/'Total Value'!$D42-1)</f>
        <v/>
      </c>
      <c r="JO30" s="14" t="str">
        <f ca="1">IF(JO$1="","",'Total Value'!JO42/'Total Value'!$D42-1)</f>
        <v/>
      </c>
      <c r="JP30" s="14" t="str">
        <f ca="1">IF(JP$1="","",'Total Value'!JP42/'Total Value'!$D42-1)</f>
        <v/>
      </c>
      <c r="JQ30" s="14" t="str">
        <f ca="1">IF(JQ$1="","",'Total Value'!JQ42/'Total Value'!$D42-1)</f>
        <v/>
      </c>
      <c r="JR30" s="14" t="str">
        <f ca="1">IF(JR$1="","",'Total Value'!JR42/'Total Value'!$D42-1)</f>
        <v/>
      </c>
      <c r="JS30" s="14" t="str">
        <f ca="1">IF(JS$1="","",'Total Value'!JS42/'Total Value'!$D42-1)</f>
        <v/>
      </c>
      <c r="JT30" s="14" t="str">
        <f ca="1">IF(JT$1="","",'Total Value'!JT42/'Total Value'!$D42-1)</f>
        <v/>
      </c>
      <c r="JU30" s="14" t="str">
        <f ca="1">IF(JU$1="","",'Total Value'!JU42/'Total Value'!$D42-1)</f>
        <v/>
      </c>
      <c r="JV30" s="14" t="str">
        <f ca="1">IF(JV$1="","",'Total Value'!JV42/'Total Value'!$D42-1)</f>
        <v/>
      </c>
      <c r="JW30" s="14" t="str">
        <f ca="1">IF(JW$1="","",'Total Value'!JW42/'Total Value'!$D42-1)</f>
        <v/>
      </c>
      <c r="JX30" s="14" t="str">
        <f ca="1">IF(JX$1="","",'Total Value'!JX42/'Total Value'!$D42-1)</f>
        <v/>
      </c>
      <c r="JY30" s="14" t="str">
        <f ca="1">IF(JY$1="","",'Total Value'!JY42/'Total Value'!$D42-1)</f>
        <v/>
      </c>
      <c r="JZ30" s="14" t="str">
        <f ca="1">IF(JZ$1="","",'Total Value'!JZ42/'Total Value'!$D42-1)</f>
        <v/>
      </c>
      <c r="KA30" s="14" t="str">
        <f ca="1">IF(KA$1="","",'Total Value'!KA42/'Total Value'!$D42-1)</f>
        <v/>
      </c>
      <c r="KB30" s="14" t="str">
        <f ca="1">IF(KB$1="","",'Total Value'!KB42/'Total Value'!$D42-1)</f>
        <v/>
      </c>
    </row>
    <row r="31" spans="1:288" ht="15.75" customHeight="1">
      <c r="A31" s="9" t="s">
        <v>30</v>
      </c>
      <c r="B31" s="6" t="s">
        <v>75</v>
      </c>
      <c r="C31" s="26">
        <v>88</v>
      </c>
      <c r="D31" s="13">
        <v>0</v>
      </c>
      <c r="E31" s="14">
        <f ca="1">IF(E$1="","",'Total Value'!E43/'Total Value'!$D43-1)</f>
        <v>6.1728395061728669E-3</v>
      </c>
      <c r="F31" s="14">
        <f ca="1">IF(F$1="","",'Total Value'!F43/'Total Value'!$D43-1)</f>
        <v>2.0833333333333259E-2</v>
      </c>
      <c r="G31" s="14">
        <f ca="1">IF(G$1="","",'Total Value'!G43/'Total Value'!$D43-1)</f>
        <v>7.3302469135802406E-2</v>
      </c>
      <c r="H31" s="14">
        <f ca="1">IF(H$1="","",'Total Value'!H43/'Total Value'!$D43-1)</f>
        <v>0.10185185185185164</v>
      </c>
      <c r="I31" s="14">
        <f ca="1">IF(I$1="","",'Total Value'!I43/'Total Value'!$D43-1)</f>
        <v>8.8734567901234351E-2</v>
      </c>
      <c r="J31" s="14">
        <f ca="1">IF(J$1="","",'Total Value'!J43/'Total Value'!$D43-1)</f>
        <v>0.11651234567901247</v>
      </c>
      <c r="K31" s="14">
        <f ca="1">IF(K$1="","",'Total Value'!K43/'Total Value'!$D43-1)</f>
        <v>5.8641975308642014E-2</v>
      </c>
      <c r="L31" s="14">
        <f ca="1">IF(L$1="","",'Total Value'!L43/'Total Value'!$D43-1)</f>
        <v>2.3148148148147918E-2</v>
      </c>
      <c r="M31" s="14">
        <f ca="1">IF(M$1="","",'Total Value'!M43/'Total Value'!$D43-1)</f>
        <v>1.9290123456790154E-2</v>
      </c>
      <c r="N31" s="14">
        <f ca="1">IF(N$1="","",'Total Value'!N43/'Total Value'!$D43-1)</f>
        <v>3.8580246913579863E-3</v>
      </c>
      <c r="O31" s="14">
        <f ca="1">IF(O$1="","",'Total Value'!O43/'Total Value'!$D43-1)</f>
        <v>-6.1728395061727559E-3</v>
      </c>
      <c r="P31" s="14">
        <f ca="1">IF(P$1="","",'Total Value'!P43/'Total Value'!$D43-1)</f>
        <v>1.4660493827160614E-2</v>
      </c>
      <c r="Q31" s="14">
        <f ca="1">IF(Q$1="","",'Total Value'!Q43/'Total Value'!$D43-1)</f>
        <v>7.7160493827159726E-3</v>
      </c>
      <c r="R31" s="14">
        <f ca="1">IF(R$1="","",'Total Value'!R43/'Total Value'!$D43-1)</f>
        <v>2.7006172839506126E-2</v>
      </c>
      <c r="S31" s="14">
        <f ca="1">IF(S$1="","",'Total Value'!S43/'Total Value'!$D43-1)</f>
        <v>5.0154320987654266E-2</v>
      </c>
      <c r="T31" s="14">
        <f ca="1">IF(T$1="","",'Total Value'!T43/'Total Value'!$D43-1)</f>
        <v>8.1790123456790154E-2</v>
      </c>
      <c r="U31" s="14">
        <f ca="1">IF(U$1="","",'Total Value'!U43/'Total Value'!$D43-1)</f>
        <v>7.0987654320987748E-2</v>
      </c>
      <c r="V31" s="14">
        <f ca="1">IF(V$1="","",'Total Value'!V43/'Total Value'!$D43-1)</f>
        <v>6.5586419753086433E-2</v>
      </c>
      <c r="W31" s="14">
        <f ca="1">IF(W$1="","",'Total Value'!W43/'Total Value'!$D43-1)</f>
        <v>4.629629629629628E-2</v>
      </c>
      <c r="X31" s="14">
        <f ca="1">IF(X$1="","",'Total Value'!X43/'Total Value'!$D43-1)</f>
        <v>7.0987654320987748E-2</v>
      </c>
      <c r="Y31" s="14">
        <f ca="1">IF(Y$1="","",'Total Value'!Y43/'Total Value'!$D43-1)</f>
        <v>7.2530864197530853E-2</v>
      </c>
      <c r="Z31" s="14">
        <f ca="1">IF(Z$1="","",'Total Value'!Z43/'Total Value'!$D43-1)</f>
        <v>5.7098765432098686E-2</v>
      </c>
      <c r="AA31" s="14">
        <f ca="1">IF(AA$1="","",'Total Value'!AA43/'Total Value'!$D43-1)</f>
        <v>5.4012345679012252E-2</v>
      </c>
      <c r="AB31" s="14">
        <f ca="1">IF(AB$1="","",'Total Value'!AB43/'Total Value'!$D43-1)</f>
        <v>4.0895061728395188E-2</v>
      </c>
      <c r="AC31" s="14">
        <f ca="1">IF(AC$1="","",'Total Value'!AC43/'Total Value'!$D43-1)</f>
        <v>7.638888888888884E-2</v>
      </c>
      <c r="AD31" s="14">
        <f ca="1">IF(AD$1="","",'Total Value'!AD43/'Total Value'!$D43-1)</f>
        <v>7.5617283950617287E-2</v>
      </c>
      <c r="AE31" s="14">
        <f ca="1">IF(AE$1="","",'Total Value'!AE43/'Total Value'!$D43-1)</f>
        <v>7.638888888888884E-2</v>
      </c>
      <c r="AF31" s="14">
        <f ca="1">IF(AF$1="","",'Total Value'!AF43/'Total Value'!$D43-1)</f>
        <v>3.009259259259256E-2</v>
      </c>
      <c r="AG31" s="14">
        <f ca="1">IF(AG$1="","",'Total Value'!AG43/'Total Value'!$D43-1)</f>
        <v>-3.0864197530864335E-3</v>
      </c>
      <c r="AH31" s="14">
        <f ca="1">IF(AH$1="","",'Total Value'!AH43/'Total Value'!$D43-1)</f>
        <v>-2.3148148148148251E-2</v>
      </c>
      <c r="AI31" s="14">
        <f ca="1">IF(AI$1="","",'Total Value'!AI43/'Total Value'!$D43-1)</f>
        <v>-4.166666666666663E-2</v>
      </c>
      <c r="AJ31" s="14">
        <f ca="1">IF(AJ$1="","",'Total Value'!AJ43/'Total Value'!$D43-1)</f>
        <v>1.3117283950617287E-2</v>
      </c>
      <c r="AK31" s="14">
        <f ca="1">IF(AK$1="","",'Total Value'!AK43/'Total Value'!$D43-1)</f>
        <v>-1.3888888888889062E-2</v>
      </c>
      <c r="AL31" s="14">
        <f ca="1">IF(AL$1="","",'Total Value'!AL43/'Total Value'!$D43-1)</f>
        <v>-8.8734567901234573E-2</v>
      </c>
      <c r="AM31" s="14">
        <f ca="1">IF(AM$1="","",'Total Value'!AM43/'Total Value'!$D43-1)</f>
        <v>-3.9351851851851971E-2</v>
      </c>
      <c r="AN31" s="14">
        <f ca="1">IF(AN$1="","",'Total Value'!AN43/'Total Value'!$D43-1)</f>
        <v>-4.0895061728395188E-2</v>
      </c>
      <c r="AO31" s="14">
        <f ca="1">IF(AO$1="","",'Total Value'!AO43/'Total Value'!$D43-1)</f>
        <v>-5.2469135802469258E-2</v>
      </c>
      <c r="AP31" s="14">
        <f ca="1">IF(AP$1="","",'Total Value'!AP43/'Total Value'!$D43-1)</f>
        <v>-0.10493827160493829</v>
      </c>
      <c r="AQ31" s="14">
        <f ca="1">IF(AQ$1="","",'Total Value'!AQ43/'Total Value'!$D43-1)</f>
        <v>-9.3364197530864224E-2</v>
      </c>
      <c r="AR31" s="14">
        <f ca="1">IF(AR$1="","",'Total Value'!AR43/'Total Value'!$D43-1)</f>
        <v>-6.6358024691358097E-2</v>
      </c>
      <c r="AS31" s="14">
        <f ca="1">IF(AS$1="","",'Total Value'!AS43/'Total Value'!$D43-1)</f>
        <v>-7.3302469135802628E-2</v>
      </c>
      <c r="AT31" s="14">
        <f ca="1">IF(AT$1="","",'Total Value'!AT43/'Total Value'!$D43-1)</f>
        <v>-8.9506172839506126E-2</v>
      </c>
      <c r="AU31" s="14">
        <f ca="1">IF(AU$1="","",'Total Value'!AU43/'Total Value'!$D43-1)</f>
        <v>-8.6419753086419693E-2</v>
      </c>
      <c r="AV31" s="14">
        <f ca="1">IF(AV$1="","",'Total Value'!AV43/'Total Value'!$D43-1)</f>
        <v>-8.1018518518518601E-2</v>
      </c>
      <c r="AW31" s="14">
        <f ca="1">IF(AW$1="","",'Total Value'!AW43/'Total Value'!$D43-1)</f>
        <v>1.4660493827160614E-2</v>
      </c>
      <c r="AX31" s="14">
        <f ca="1">IF(AX$1="","",'Total Value'!AX43/'Total Value'!$D43-1)</f>
        <v>-1.3888888888889062E-2</v>
      </c>
      <c r="AY31" s="14">
        <f ca="1">IF(AY$1="","",'Total Value'!AY43/'Total Value'!$D43-1)</f>
        <v>-2.083333333333337E-2</v>
      </c>
      <c r="AZ31" s="14">
        <f ca="1">IF(AZ$1="","",'Total Value'!AZ43/'Total Value'!$D43-1)</f>
        <v>-1.8518518518518379E-2</v>
      </c>
      <c r="BA31" s="14">
        <f ca="1">IF(BA$1="","",'Total Value'!BA43/'Total Value'!$D43-1)</f>
        <v>-1.2345679012345623E-2</v>
      </c>
      <c r="BB31" s="14">
        <f ca="1">IF(BB$1="","",'Total Value'!BB43/'Total Value'!$D43-1)</f>
        <v>-6.4043209876543217E-2</v>
      </c>
      <c r="BC31" s="14">
        <f ca="1">IF(BC$1="","",'Total Value'!BC43/'Total Value'!$D43-1)</f>
        <v>-2.083333333333337E-2</v>
      </c>
      <c r="BD31" s="14">
        <f ca="1">IF(BD$1="","",'Total Value'!BD43/'Total Value'!$D43-1)</f>
        <v>2.3148148148147918E-2</v>
      </c>
      <c r="BE31" s="14">
        <f ca="1">IF(BE$1="","",'Total Value'!BE43/'Total Value'!$D43-1)</f>
        <v>2.2376543209876587E-2</v>
      </c>
      <c r="BF31" s="14">
        <f ca="1">IF(BF$1="","",'Total Value'!BF43/'Total Value'!$D43-1)</f>
        <v>4.5524691358024727E-2</v>
      </c>
      <c r="BG31" s="14">
        <f ca="1">IF(BG$1="","",'Total Value'!BG43/'Total Value'!$D43-1)</f>
        <v>2.2376543209876587E-2</v>
      </c>
      <c r="BH31" s="14">
        <f ca="1">IF(BH$1="","",'Total Value'!BH43/'Total Value'!$D43-1)</f>
        <v>1.6975308641975273E-2</v>
      </c>
      <c r="BI31" s="14">
        <f ca="1">IF(BI$1="","",'Total Value'!BI43/'Total Value'!$D43-1)</f>
        <v>2.0833333333333259E-2</v>
      </c>
      <c r="BJ31" s="14">
        <f ca="1">IF(BJ$1="","",'Total Value'!BJ43/'Total Value'!$D43-1)</f>
        <v>1.6975308641975273E-2</v>
      </c>
      <c r="BK31" s="14">
        <f ca="1">IF(BK$1="","",'Total Value'!BK43/'Total Value'!$D43-1)</f>
        <v>-2.546296296296291E-2</v>
      </c>
      <c r="BL31" s="14">
        <f ca="1">IF(BL$1="","",'Total Value'!BL43/'Total Value'!$D43-1)</f>
        <v>-1.4660493827160503E-2</v>
      </c>
      <c r="BM31" s="14">
        <f ca="1">IF(BM$1="","",'Total Value'!BM43/'Total Value'!$D43-1)</f>
        <v>-2.546296296296291E-2</v>
      </c>
      <c r="BN31" s="14">
        <f ca="1">IF(BN$1="","",'Total Value'!BN43/'Total Value'!$D43-1)</f>
        <v>1.0802469135802406E-2</v>
      </c>
      <c r="BO31" s="14">
        <f ca="1">IF(BO$1="","",'Total Value'!BO43/'Total Value'!$D43-1)</f>
        <v>-2.0061728395061817E-2</v>
      </c>
      <c r="BP31" s="14">
        <f ca="1">IF(BP$1="","",'Total Value'!BP43/'Total Value'!$D43-1)</f>
        <v>-4.6296296296296502E-3</v>
      </c>
      <c r="BQ31" s="14">
        <f ca="1">IF(BQ$1="","",'Total Value'!BQ43/'Total Value'!$D43-1)</f>
        <v>2.7006172839506126E-2</v>
      </c>
      <c r="BR31" s="14">
        <f ca="1">IF(BR$1="","",'Total Value'!BR43/'Total Value'!$D43-1)</f>
        <v>1.0802469135802406E-2</v>
      </c>
      <c r="BS31" s="14">
        <f ca="1">IF(BS$1="","",'Total Value'!BS43/'Total Value'!$D43-1)</f>
        <v>0</v>
      </c>
      <c r="BT31" s="14">
        <f ca="1">IF(BT$1="","",'Total Value'!BT43/'Total Value'!$D43-1)</f>
        <v>2.0833333333333259E-2</v>
      </c>
      <c r="BU31" s="14">
        <f ca="1">IF(BU$1="","",'Total Value'!BU43/'Total Value'!$D43-1)</f>
        <v>5.9413580246913567E-2</v>
      </c>
      <c r="BV31" s="14">
        <f ca="1">IF(BV$1="","",'Total Value'!BV43/'Total Value'!$D43-1)</f>
        <v>5.8641975308642014E-2</v>
      </c>
      <c r="BW31" s="14">
        <f ca="1">IF(BW$1="","",'Total Value'!BW43/'Total Value'!$D43-1)</f>
        <v>3.240740740740744E-2</v>
      </c>
      <c r="BX31" s="14">
        <f ca="1">IF(BX$1="","",'Total Value'!BX43/'Total Value'!$D43-1)</f>
        <v>2.2376543209876587E-2</v>
      </c>
      <c r="BY31" s="14">
        <f ca="1">IF(BY$1="","",'Total Value'!BY43/'Total Value'!$D43-1)</f>
        <v>-2.3919753086419693E-2</v>
      </c>
      <c r="BZ31" s="14">
        <f ca="1">IF(BZ$1="","",'Total Value'!BZ43/'Total Value'!$D43-1)</f>
        <v>3.6265432098765427E-2</v>
      </c>
      <c r="CA31" s="14">
        <f ca="1">IF(CA$1="","",'Total Value'!CA43/'Total Value'!$D43-1)</f>
        <v>7.3302469135802406E-2</v>
      </c>
      <c r="CB31" s="14">
        <f ca="1">IF(CB$1="","",'Total Value'!CB43/'Total Value'!$D43-1)</f>
        <v>4.0123456790123413E-2</v>
      </c>
      <c r="CC31" s="14">
        <f ca="1">IF(CC$1="","",'Total Value'!CC43/'Total Value'!$D43-1)</f>
        <v>4.3981481481481399E-2</v>
      </c>
      <c r="CD31" s="14">
        <f ca="1">IF(CD$1="","",'Total Value'!CD43/'Total Value'!$D43-1)</f>
        <v>7.3302469135802406E-2</v>
      </c>
      <c r="CE31" s="14">
        <f ca="1">IF(CE$1="","",'Total Value'!CE43/'Total Value'!$D43-1)</f>
        <v>0.10648148148148162</v>
      </c>
      <c r="CF31" s="14" t="str">
        <f ca="1">IF(CF$1="","",'Total Value'!CF43/'Total Value'!$D43-1)</f>
        <v/>
      </c>
      <c r="CG31" s="14" t="str">
        <f ca="1">IF(CG$1="","",'Total Value'!CG43/'Total Value'!$D43-1)</f>
        <v/>
      </c>
      <c r="CH31" s="14" t="str">
        <f ca="1">IF(CH$1="","",'Total Value'!CH43/'Total Value'!$D43-1)</f>
        <v/>
      </c>
      <c r="CI31" s="14" t="str">
        <f ca="1">IF(CI$1="","",'Total Value'!CI43/'Total Value'!$D43-1)</f>
        <v/>
      </c>
      <c r="CJ31" s="14" t="str">
        <f ca="1">IF(CJ$1="","",'Total Value'!CJ43/'Total Value'!$D43-1)</f>
        <v/>
      </c>
      <c r="CK31" s="14" t="str">
        <f ca="1">IF(CK$1="","",'Total Value'!CK43/'Total Value'!$D43-1)</f>
        <v/>
      </c>
      <c r="CL31" s="14" t="str">
        <f ca="1">IF(CL$1="","",'Total Value'!CL43/'Total Value'!$D43-1)</f>
        <v/>
      </c>
      <c r="CM31" s="14" t="str">
        <f ca="1">IF(CM$1="","",'Total Value'!CM43/'Total Value'!$D43-1)</f>
        <v/>
      </c>
      <c r="CN31" s="14" t="str">
        <f ca="1">IF(CN$1="","",'Total Value'!CN43/'Total Value'!$D43-1)</f>
        <v/>
      </c>
      <c r="CO31" s="14" t="str">
        <f ca="1">IF(CO$1="","",'Total Value'!CO43/'Total Value'!$D43-1)</f>
        <v/>
      </c>
      <c r="CP31" s="14" t="str">
        <f ca="1">IF(CP$1="","",'Total Value'!CP43/'Total Value'!$D43-1)</f>
        <v/>
      </c>
      <c r="CQ31" s="14" t="str">
        <f ca="1">IF(CQ$1="","",'Total Value'!CQ43/'Total Value'!$D43-1)</f>
        <v/>
      </c>
      <c r="CR31" s="14" t="str">
        <f ca="1">IF(CR$1="","",'Total Value'!CR43/'Total Value'!$D43-1)</f>
        <v/>
      </c>
      <c r="CS31" s="14" t="str">
        <f ca="1">IF(CS$1="","",'Total Value'!CS43/'Total Value'!$D43-1)</f>
        <v/>
      </c>
      <c r="CT31" s="14" t="str">
        <f ca="1">IF(CT$1="","",'Total Value'!CT43/'Total Value'!$D43-1)</f>
        <v/>
      </c>
      <c r="CU31" s="14" t="str">
        <f ca="1">IF(CU$1="","",'Total Value'!CU43/'Total Value'!$D43-1)</f>
        <v/>
      </c>
      <c r="CV31" s="14" t="str">
        <f ca="1">IF(CV$1="","",'Total Value'!CV43/'Total Value'!$D43-1)</f>
        <v/>
      </c>
      <c r="CW31" s="14" t="str">
        <f ca="1">IF(CW$1="","",'Total Value'!CW43/'Total Value'!$D43-1)</f>
        <v/>
      </c>
      <c r="CX31" s="14" t="str">
        <f ca="1">IF(CX$1="","",'Total Value'!CX43/'Total Value'!$D43-1)</f>
        <v/>
      </c>
      <c r="CY31" s="14" t="str">
        <f ca="1">IF(CY$1="","",'Total Value'!CY43/'Total Value'!$D43-1)</f>
        <v/>
      </c>
      <c r="CZ31" s="14" t="str">
        <f ca="1">IF(CZ$1="","",'Total Value'!CZ43/'Total Value'!$D43-1)</f>
        <v/>
      </c>
      <c r="DA31" s="14" t="str">
        <f ca="1">IF(DA$1="","",'Total Value'!DA43/'Total Value'!$D43-1)</f>
        <v/>
      </c>
      <c r="DB31" s="14" t="str">
        <f ca="1">IF(DB$1="","",'Total Value'!DB43/'Total Value'!$D43-1)</f>
        <v/>
      </c>
      <c r="DC31" s="14" t="str">
        <f ca="1">IF(DC$1="","",'Total Value'!DC43/'Total Value'!$D43-1)</f>
        <v/>
      </c>
      <c r="DD31" s="14" t="str">
        <f ca="1">IF(DD$1="","",'Total Value'!DD43/'Total Value'!$D43-1)</f>
        <v/>
      </c>
      <c r="DE31" s="14" t="str">
        <f ca="1">IF(DE$1="","",'Total Value'!DE43/'Total Value'!$D43-1)</f>
        <v/>
      </c>
      <c r="DF31" s="14" t="str">
        <f ca="1">IF(DF$1="","",'Total Value'!DF43/'Total Value'!$D43-1)</f>
        <v/>
      </c>
      <c r="DG31" s="14" t="str">
        <f ca="1">IF(DG$1="","",'Total Value'!DG43/'Total Value'!$D43-1)</f>
        <v/>
      </c>
      <c r="DH31" s="14" t="str">
        <f ca="1">IF(DH$1="","",'Total Value'!DH43/'Total Value'!$D43-1)</f>
        <v/>
      </c>
      <c r="DI31" s="14" t="str">
        <f ca="1">IF(DI$1="","",'Total Value'!DI43/'Total Value'!$D43-1)</f>
        <v/>
      </c>
      <c r="DJ31" s="14" t="str">
        <f ca="1">IF(DJ$1="","",'Total Value'!DJ43/'Total Value'!$D43-1)</f>
        <v/>
      </c>
      <c r="DK31" s="14" t="str">
        <f ca="1">IF(DK$1="","",'Total Value'!DK43/'Total Value'!$D43-1)</f>
        <v/>
      </c>
      <c r="DL31" s="14" t="str">
        <f ca="1">IF(DL$1="","",'Total Value'!DL43/'Total Value'!$D43-1)</f>
        <v/>
      </c>
      <c r="DM31" s="14" t="str">
        <f ca="1">IF(DM$1="","",'Total Value'!DM43/'Total Value'!$D43-1)</f>
        <v/>
      </c>
      <c r="DN31" s="14" t="str">
        <f ca="1">IF(DN$1="","",'Total Value'!DN43/'Total Value'!$D43-1)</f>
        <v/>
      </c>
      <c r="DO31" s="14" t="str">
        <f ca="1">IF(DO$1="","",'Total Value'!DO43/'Total Value'!$D43-1)</f>
        <v/>
      </c>
      <c r="DP31" s="14" t="str">
        <f ca="1">IF(DP$1="","",'Total Value'!DP43/'Total Value'!$D43-1)</f>
        <v/>
      </c>
      <c r="DQ31" s="14" t="str">
        <f ca="1">IF(DQ$1="","",'Total Value'!DQ43/'Total Value'!$D43-1)</f>
        <v/>
      </c>
      <c r="DR31" s="14" t="str">
        <f ca="1">IF(DR$1="","",'Total Value'!DR43/'Total Value'!$D43-1)</f>
        <v/>
      </c>
      <c r="DS31" s="14" t="str">
        <f ca="1">IF(DS$1="","",'Total Value'!DS43/'Total Value'!$D43-1)</f>
        <v/>
      </c>
      <c r="DT31" s="14" t="str">
        <f ca="1">IF(DT$1="","",'Total Value'!DT43/'Total Value'!$D43-1)</f>
        <v/>
      </c>
      <c r="DU31" s="14" t="str">
        <f ca="1">IF(DU$1="","",'Total Value'!DU43/'Total Value'!$D43-1)</f>
        <v/>
      </c>
      <c r="DV31" s="14" t="str">
        <f ca="1">IF(DV$1="","",'Total Value'!DV43/'Total Value'!$D43-1)</f>
        <v/>
      </c>
      <c r="DW31" s="14" t="str">
        <f ca="1">IF(DW$1="","",'Total Value'!DW43/'Total Value'!$D43-1)</f>
        <v/>
      </c>
      <c r="DX31" s="14" t="str">
        <f ca="1">IF(DX$1="","",'Total Value'!DX43/'Total Value'!$D43-1)</f>
        <v/>
      </c>
      <c r="DY31" s="14" t="str">
        <f ca="1">IF(DY$1="","",'Total Value'!DY43/'Total Value'!$D43-1)</f>
        <v/>
      </c>
      <c r="DZ31" s="14" t="str">
        <f ca="1">IF(DZ$1="","",'Total Value'!DZ43/'Total Value'!$D43-1)</f>
        <v/>
      </c>
      <c r="EA31" s="14" t="str">
        <f ca="1">IF(EA$1="","",'Total Value'!EA43/'Total Value'!$D43-1)</f>
        <v/>
      </c>
      <c r="EB31" s="14" t="str">
        <f ca="1">IF(EB$1="","",'Total Value'!EB43/'Total Value'!$D43-1)</f>
        <v/>
      </c>
      <c r="EC31" s="14" t="str">
        <f ca="1">IF(EC$1="","",'Total Value'!EC43/'Total Value'!$D43-1)</f>
        <v/>
      </c>
      <c r="ED31" s="14" t="str">
        <f ca="1">IF(ED$1="","",'Total Value'!ED43/'Total Value'!$D43-1)</f>
        <v/>
      </c>
      <c r="EE31" s="14" t="str">
        <f ca="1">IF(EE$1="","",'Total Value'!EE43/'Total Value'!$D43-1)</f>
        <v/>
      </c>
      <c r="EF31" s="14" t="str">
        <f ca="1">IF(EF$1="","",'Total Value'!EF43/'Total Value'!$D43-1)</f>
        <v/>
      </c>
      <c r="EG31" s="14" t="str">
        <f ca="1">IF(EG$1="","",'Total Value'!EG43/'Total Value'!$D43-1)</f>
        <v/>
      </c>
      <c r="EH31" s="14" t="str">
        <f ca="1">IF(EH$1="","",'Total Value'!EH43/'Total Value'!$D43-1)</f>
        <v/>
      </c>
      <c r="EI31" s="14" t="str">
        <f ca="1">IF(EI$1="","",'Total Value'!EI43/'Total Value'!$D43-1)</f>
        <v/>
      </c>
      <c r="EJ31" s="14" t="str">
        <f ca="1">IF(EJ$1="","",'Total Value'!EJ43/'Total Value'!$D43-1)</f>
        <v/>
      </c>
      <c r="EK31" s="14" t="str">
        <f ca="1">IF(EK$1="","",'Total Value'!EK43/'Total Value'!$D43-1)</f>
        <v/>
      </c>
      <c r="EL31" s="14" t="str">
        <f ca="1">IF(EL$1="","",'Total Value'!EL43/'Total Value'!$D43-1)</f>
        <v/>
      </c>
      <c r="EM31" s="14" t="str">
        <f ca="1">IF(EM$1="","",'Total Value'!EM43/'Total Value'!$D43-1)</f>
        <v/>
      </c>
      <c r="EN31" s="14" t="str">
        <f ca="1">IF(EN$1="","",'Total Value'!EN43/'Total Value'!$D43-1)</f>
        <v/>
      </c>
      <c r="EO31" s="14" t="str">
        <f ca="1">IF(EO$1="","",'Total Value'!EO43/'Total Value'!$D43-1)</f>
        <v/>
      </c>
      <c r="EP31" s="14" t="str">
        <f ca="1">IF(EP$1="","",'Total Value'!EP43/'Total Value'!$D43-1)</f>
        <v/>
      </c>
      <c r="EQ31" s="14" t="str">
        <f ca="1">IF(EQ$1="","",'Total Value'!EQ43/'Total Value'!$D43-1)</f>
        <v/>
      </c>
      <c r="ER31" s="14" t="str">
        <f ca="1">IF(ER$1="","",'Total Value'!ER43/'Total Value'!$D43-1)</f>
        <v/>
      </c>
      <c r="ES31" s="14" t="str">
        <f ca="1">IF(ES$1="","",'Total Value'!ES43/'Total Value'!$D43-1)</f>
        <v/>
      </c>
      <c r="ET31" s="14" t="str">
        <f ca="1">IF(ET$1="","",'Total Value'!ET43/'Total Value'!$D43-1)</f>
        <v/>
      </c>
      <c r="EU31" s="14" t="str">
        <f ca="1">IF(EU$1="","",'Total Value'!EU43/'Total Value'!$D43-1)</f>
        <v/>
      </c>
      <c r="EV31" s="14" t="str">
        <f ca="1">IF(EV$1="","",'Total Value'!EV43/'Total Value'!$D43-1)</f>
        <v/>
      </c>
      <c r="EW31" s="14" t="str">
        <f ca="1">IF(EW$1="","",'Total Value'!EW43/'Total Value'!$D43-1)</f>
        <v/>
      </c>
      <c r="EX31" s="14" t="str">
        <f ca="1">IF(EX$1="","",'Total Value'!EX43/'Total Value'!$D43-1)</f>
        <v/>
      </c>
      <c r="EY31" s="14" t="str">
        <f ca="1">IF(EY$1="","",'Total Value'!EY43/'Total Value'!$D43-1)</f>
        <v/>
      </c>
      <c r="EZ31" s="14" t="str">
        <f ca="1">IF(EZ$1="","",'Total Value'!EZ43/'Total Value'!$D43-1)</f>
        <v/>
      </c>
      <c r="FA31" s="14" t="str">
        <f ca="1">IF(FA$1="","",'Total Value'!FA43/'Total Value'!$D43-1)</f>
        <v/>
      </c>
      <c r="FB31" s="14" t="str">
        <f ca="1">IF(FB$1="","",'Total Value'!FB43/'Total Value'!$D43-1)</f>
        <v/>
      </c>
      <c r="FC31" s="14" t="str">
        <f ca="1">IF(FC$1="","",'Total Value'!FC43/'Total Value'!$D43-1)</f>
        <v/>
      </c>
      <c r="FD31" s="14" t="str">
        <f ca="1">IF(FD$1="","",'Total Value'!FD43/'Total Value'!$D43-1)</f>
        <v/>
      </c>
      <c r="FE31" s="14" t="str">
        <f ca="1">IF(FE$1="","",'Total Value'!FE43/'Total Value'!$D43-1)</f>
        <v/>
      </c>
      <c r="FF31" s="14" t="str">
        <f ca="1">IF(FF$1="","",'Total Value'!FF43/'Total Value'!$D43-1)</f>
        <v/>
      </c>
      <c r="FG31" s="14" t="str">
        <f ca="1">IF(FG$1="","",'Total Value'!FG43/'Total Value'!$D43-1)</f>
        <v/>
      </c>
      <c r="FH31" s="14" t="str">
        <f ca="1">IF(FH$1="","",'Total Value'!FH43/'Total Value'!$D43-1)</f>
        <v/>
      </c>
      <c r="FI31" s="14" t="str">
        <f ca="1">IF(FI$1="","",'Total Value'!FI43/'Total Value'!$D43-1)</f>
        <v/>
      </c>
      <c r="FJ31" s="14" t="str">
        <f ca="1">IF(FJ$1="","",'Total Value'!FJ43/'Total Value'!$D43-1)</f>
        <v/>
      </c>
      <c r="FK31" s="14" t="str">
        <f ca="1">IF(FK$1="","",'Total Value'!FK43/'Total Value'!$D43-1)</f>
        <v/>
      </c>
      <c r="FL31" s="14" t="str">
        <f ca="1">IF(FL$1="","",'Total Value'!FL43/'Total Value'!$D43-1)</f>
        <v/>
      </c>
      <c r="FM31" s="14" t="str">
        <f ca="1">IF(FM$1="","",'Total Value'!FM43/'Total Value'!$D43-1)</f>
        <v/>
      </c>
      <c r="FN31" s="14" t="str">
        <f ca="1">IF(FN$1="","",'Total Value'!FN43/'Total Value'!$D43-1)</f>
        <v/>
      </c>
      <c r="FO31" s="14" t="str">
        <f ca="1">IF(FO$1="","",'Total Value'!FO43/'Total Value'!$D43-1)</f>
        <v/>
      </c>
      <c r="FP31" s="14" t="str">
        <f ca="1">IF(FP$1="","",'Total Value'!FP43/'Total Value'!$D43-1)</f>
        <v/>
      </c>
      <c r="FQ31" s="14" t="str">
        <f ca="1">IF(FQ$1="","",'Total Value'!FQ43/'Total Value'!$D43-1)</f>
        <v/>
      </c>
      <c r="FR31" s="14" t="str">
        <f ca="1">IF(FR$1="","",'Total Value'!FR43/'Total Value'!$D43-1)</f>
        <v/>
      </c>
      <c r="FS31" s="14" t="str">
        <f ca="1">IF(FS$1="","",'Total Value'!FS43/'Total Value'!$D43-1)</f>
        <v/>
      </c>
      <c r="FT31" s="14" t="str">
        <f ca="1">IF(FT$1="","",'Total Value'!FT43/'Total Value'!$D43-1)</f>
        <v/>
      </c>
      <c r="FU31" s="14" t="str">
        <f ca="1">IF(FU$1="","",'Total Value'!FU43/'Total Value'!$D43-1)</f>
        <v/>
      </c>
      <c r="FV31" s="14" t="str">
        <f ca="1">IF(FV$1="","",'Total Value'!FV43/'Total Value'!$D43-1)</f>
        <v/>
      </c>
      <c r="FW31" s="14" t="str">
        <f ca="1">IF(FW$1="","",'Total Value'!FW43/'Total Value'!$D43-1)</f>
        <v/>
      </c>
      <c r="FX31" s="14" t="str">
        <f ca="1">IF(FX$1="","",'Total Value'!FX43/'Total Value'!$D43-1)</f>
        <v/>
      </c>
      <c r="FY31" s="14" t="str">
        <f ca="1">IF(FY$1="","",'Total Value'!FY43/'Total Value'!$D43-1)</f>
        <v/>
      </c>
      <c r="FZ31" s="14" t="str">
        <f ca="1">IF(FZ$1="","",'Total Value'!FZ43/'Total Value'!$D43-1)</f>
        <v/>
      </c>
      <c r="GA31" s="14" t="str">
        <f ca="1">IF(GA$1="","",'Total Value'!GA43/'Total Value'!$D43-1)</f>
        <v/>
      </c>
      <c r="GB31" s="14" t="str">
        <f ca="1">IF(GB$1="","",'Total Value'!GB43/'Total Value'!$D43-1)</f>
        <v/>
      </c>
      <c r="GC31" s="14" t="str">
        <f ca="1">IF(GC$1="","",'Total Value'!GC43/'Total Value'!$D43-1)</f>
        <v/>
      </c>
      <c r="GD31" s="14" t="str">
        <f ca="1">IF(GD$1="","",'Total Value'!GD43/'Total Value'!$D43-1)</f>
        <v/>
      </c>
      <c r="GE31" s="14" t="str">
        <f ca="1">IF(GE$1="","",'Total Value'!GE43/'Total Value'!$D43-1)</f>
        <v/>
      </c>
      <c r="GF31" s="14" t="str">
        <f ca="1">IF(GF$1="","",'Total Value'!GF43/'Total Value'!$D43-1)</f>
        <v/>
      </c>
      <c r="GG31" s="14" t="str">
        <f ca="1">IF(GG$1="","",'Total Value'!GG43/'Total Value'!$D43-1)</f>
        <v/>
      </c>
      <c r="GH31" s="14" t="str">
        <f ca="1">IF(GH$1="","",'Total Value'!GH43/'Total Value'!$D43-1)</f>
        <v/>
      </c>
      <c r="GI31" s="14" t="str">
        <f ca="1">IF(GI$1="","",'Total Value'!GI43/'Total Value'!$D43-1)</f>
        <v/>
      </c>
      <c r="GJ31" s="14" t="str">
        <f ca="1">IF(GJ$1="","",'Total Value'!GJ43/'Total Value'!$D43-1)</f>
        <v/>
      </c>
      <c r="GK31" s="14" t="str">
        <f ca="1">IF(GK$1="","",'Total Value'!GK43/'Total Value'!$D43-1)</f>
        <v/>
      </c>
      <c r="GL31" s="14" t="str">
        <f ca="1">IF(GL$1="","",'Total Value'!GL43/'Total Value'!$D43-1)</f>
        <v/>
      </c>
      <c r="GM31" s="14" t="str">
        <f ca="1">IF(GM$1="","",'Total Value'!GM43/'Total Value'!$D43-1)</f>
        <v/>
      </c>
      <c r="GN31" s="14" t="str">
        <f ca="1">IF(GN$1="","",'Total Value'!GN43/'Total Value'!$D43-1)</f>
        <v/>
      </c>
      <c r="GO31" s="14" t="str">
        <f ca="1">IF(GO$1="","",'Total Value'!GO43/'Total Value'!$D43-1)</f>
        <v/>
      </c>
      <c r="GP31" s="14" t="str">
        <f ca="1">IF(GP$1="","",'Total Value'!GP43/'Total Value'!$D43-1)</f>
        <v/>
      </c>
      <c r="GQ31" s="14" t="str">
        <f ca="1">IF(GQ$1="","",'Total Value'!GQ43/'Total Value'!$D43-1)</f>
        <v/>
      </c>
      <c r="GR31" s="14" t="str">
        <f ca="1">IF(GR$1="","",'Total Value'!GR43/'Total Value'!$D43-1)</f>
        <v/>
      </c>
      <c r="GS31" s="14" t="str">
        <f ca="1">IF(GS$1="","",'Total Value'!GS43/'Total Value'!$D43-1)</f>
        <v/>
      </c>
      <c r="GT31" s="14" t="str">
        <f ca="1">IF(GT$1="","",'Total Value'!GT43/'Total Value'!$D43-1)</f>
        <v/>
      </c>
      <c r="GU31" s="14" t="str">
        <f ca="1">IF(GU$1="","",'Total Value'!GU43/'Total Value'!$D43-1)</f>
        <v/>
      </c>
      <c r="GV31" s="14" t="str">
        <f ca="1">IF(GV$1="","",'Total Value'!GV43/'Total Value'!$D43-1)</f>
        <v/>
      </c>
      <c r="GW31" s="14" t="str">
        <f ca="1">IF(GW$1="","",'Total Value'!GW43/'Total Value'!$D43-1)</f>
        <v/>
      </c>
      <c r="GX31" s="14" t="str">
        <f ca="1">IF(GX$1="","",'Total Value'!GX43/'Total Value'!$D43-1)</f>
        <v/>
      </c>
      <c r="GY31" s="14" t="str">
        <f ca="1">IF(GY$1="","",'Total Value'!GY43/'Total Value'!$D43-1)</f>
        <v/>
      </c>
      <c r="GZ31" s="14" t="str">
        <f ca="1">IF(GZ$1="","",'Total Value'!GZ43/'Total Value'!$D43-1)</f>
        <v/>
      </c>
      <c r="HA31" s="14" t="str">
        <f ca="1">IF(HA$1="","",'Total Value'!HA43/'Total Value'!$D43-1)</f>
        <v/>
      </c>
      <c r="HB31" s="14" t="str">
        <f ca="1">IF(HB$1="","",'Total Value'!HB43/'Total Value'!$D43-1)</f>
        <v/>
      </c>
      <c r="HC31" s="14" t="str">
        <f ca="1">IF(HC$1="","",'Total Value'!HC43/'Total Value'!$D43-1)</f>
        <v/>
      </c>
      <c r="HD31" s="14" t="str">
        <f ca="1">IF(HD$1="","",'Total Value'!HD43/'Total Value'!$D43-1)</f>
        <v/>
      </c>
      <c r="HE31" s="14" t="str">
        <f ca="1">IF(HE$1="","",'Total Value'!HE43/'Total Value'!$D43-1)</f>
        <v/>
      </c>
      <c r="HF31" s="14" t="str">
        <f ca="1">IF(HF$1="","",'Total Value'!HF43/'Total Value'!$D43-1)</f>
        <v/>
      </c>
      <c r="HG31" s="14" t="str">
        <f ca="1">IF(HG$1="","",'Total Value'!HG43/'Total Value'!$D43-1)</f>
        <v/>
      </c>
      <c r="HH31" s="14" t="str">
        <f ca="1">IF(HH$1="","",'Total Value'!HH43/'Total Value'!$D43-1)</f>
        <v/>
      </c>
      <c r="HI31" s="14" t="str">
        <f ca="1">IF(HI$1="","",'Total Value'!HI43/'Total Value'!$D43-1)</f>
        <v/>
      </c>
      <c r="HJ31" s="14" t="str">
        <f ca="1">IF(HJ$1="","",'Total Value'!HJ43/'Total Value'!$D43-1)</f>
        <v/>
      </c>
      <c r="HK31" s="14" t="str">
        <f ca="1">IF(HK$1="","",'Total Value'!HK43/'Total Value'!$D43-1)</f>
        <v/>
      </c>
      <c r="HL31" s="14" t="str">
        <f ca="1">IF(HL$1="","",'Total Value'!HL43/'Total Value'!$D43-1)</f>
        <v/>
      </c>
      <c r="HM31" s="14" t="str">
        <f ca="1">IF(HM$1="","",'Total Value'!HM43/'Total Value'!$D43-1)</f>
        <v/>
      </c>
      <c r="HN31" s="14" t="str">
        <f ca="1">IF(HN$1="","",'Total Value'!HN43/'Total Value'!$D43-1)</f>
        <v/>
      </c>
      <c r="HO31" s="14" t="str">
        <f ca="1">IF(HO$1="","",'Total Value'!HO43/'Total Value'!$D43-1)</f>
        <v/>
      </c>
      <c r="HP31" s="14" t="str">
        <f ca="1">IF(HP$1="","",'Total Value'!HP43/'Total Value'!$D43-1)</f>
        <v/>
      </c>
      <c r="HQ31" s="14" t="str">
        <f ca="1">IF(HQ$1="","",'Total Value'!HQ43/'Total Value'!$D43-1)</f>
        <v/>
      </c>
      <c r="HR31" s="14" t="str">
        <f ca="1">IF(HR$1="","",'Total Value'!HR43/'Total Value'!$D43-1)</f>
        <v/>
      </c>
      <c r="HS31" s="14" t="str">
        <f ca="1">IF(HS$1="","",'Total Value'!HS43/'Total Value'!$D43-1)</f>
        <v/>
      </c>
      <c r="HT31" s="14" t="str">
        <f ca="1">IF(HT$1="","",'Total Value'!HT43/'Total Value'!$D43-1)</f>
        <v/>
      </c>
      <c r="HU31" s="14" t="str">
        <f ca="1">IF(HU$1="","",'Total Value'!HU43/'Total Value'!$D43-1)</f>
        <v/>
      </c>
      <c r="HV31" s="14" t="str">
        <f ca="1">IF(HV$1="","",'Total Value'!HV43/'Total Value'!$D43-1)</f>
        <v/>
      </c>
      <c r="HW31" s="14" t="str">
        <f ca="1">IF(HW$1="","",'Total Value'!HW43/'Total Value'!$D43-1)</f>
        <v/>
      </c>
      <c r="HX31" s="14" t="str">
        <f ca="1">IF(HX$1="","",'Total Value'!HX43/'Total Value'!$D43-1)</f>
        <v/>
      </c>
      <c r="HY31" s="14" t="str">
        <f ca="1">IF(HY$1="","",'Total Value'!HY43/'Total Value'!$D43-1)</f>
        <v/>
      </c>
      <c r="HZ31" s="14" t="str">
        <f ca="1">IF(HZ$1="","",'Total Value'!HZ43/'Total Value'!$D43-1)</f>
        <v/>
      </c>
      <c r="IA31" s="14" t="str">
        <f ca="1">IF(IA$1="","",'Total Value'!IA43/'Total Value'!$D43-1)</f>
        <v/>
      </c>
      <c r="IB31" s="14" t="str">
        <f ca="1">IF(IB$1="","",'Total Value'!IB43/'Total Value'!$D43-1)</f>
        <v/>
      </c>
      <c r="IC31" s="14" t="str">
        <f ca="1">IF(IC$1="","",'Total Value'!IC43/'Total Value'!$D43-1)</f>
        <v/>
      </c>
      <c r="ID31" s="14" t="str">
        <f ca="1">IF(ID$1="","",'Total Value'!ID43/'Total Value'!$D43-1)</f>
        <v/>
      </c>
      <c r="IE31" s="14" t="str">
        <f ca="1">IF(IE$1="","",'Total Value'!IE43/'Total Value'!$D43-1)</f>
        <v/>
      </c>
      <c r="IF31" s="14" t="str">
        <f ca="1">IF(IF$1="","",'Total Value'!IF43/'Total Value'!$D43-1)</f>
        <v/>
      </c>
      <c r="IG31" s="14" t="str">
        <f ca="1">IF(IG$1="","",'Total Value'!IG43/'Total Value'!$D43-1)</f>
        <v/>
      </c>
      <c r="IH31" s="14" t="str">
        <f ca="1">IF(IH$1="","",'Total Value'!IH43/'Total Value'!$D43-1)</f>
        <v/>
      </c>
      <c r="II31" s="14" t="str">
        <f ca="1">IF(II$1="","",'Total Value'!II43/'Total Value'!$D43-1)</f>
        <v/>
      </c>
      <c r="IJ31" s="14" t="str">
        <f ca="1">IF(IJ$1="","",'Total Value'!IJ43/'Total Value'!$D43-1)</f>
        <v/>
      </c>
      <c r="IK31" s="14" t="str">
        <f ca="1">IF(IK$1="","",'Total Value'!IK43/'Total Value'!$D43-1)</f>
        <v/>
      </c>
      <c r="IL31" s="14" t="str">
        <f ca="1">IF(IL$1="","",'Total Value'!IL43/'Total Value'!$D43-1)</f>
        <v/>
      </c>
      <c r="IM31" s="14" t="str">
        <f ca="1">IF(IM$1="","",'Total Value'!IM43/'Total Value'!$D43-1)</f>
        <v/>
      </c>
      <c r="IN31" s="14" t="str">
        <f ca="1">IF(IN$1="","",'Total Value'!IN43/'Total Value'!$D43-1)</f>
        <v/>
      </c>
      <c r="IO31" s="14" t="str">
        <f ca="1">IF(IO$1="","",'Total Value'!IO43/'Total Value'!$D43-1)</f>
        <v/>
      </c>
      <c r="IP31" s="14" t="str">
        <f ca="1">IF(IP$1="","",'Total Value'!IP43/'Total Value'!$D43-1)</f>
        <v/>
      </c>
      <c r="IQ31" s="14" t="str">
        <f ca="1">IF(IQ$1="","",'Total Value'!IQ43/'Total Value'!$D43-1)</f>
        <v/>
      </c>
      <c r="IR31" s="14" t="str">
        <f ca="1">IF(IR$1="","",'Total Value'!IR43/'Total Value'!$D43-1)</f>
        <v/>
      </c>
      <c r="IS31" s="14" t="str">
        <f ca="1">IF(IS$1="","",'Total Value'!IS43/'Total Value'!$D43-1)</f>
        <v/>
      </c>
      <c r="IT31" s="14" t="str">
        <f ca="1">IF(IT$1="","",'Total Value'!IT43/'Total Value'!$D43-1)</f>
        <v/>
      </c>
      <c r="IU31" s="14" t="str">
        <f ca="1">IF(IU$1="","",'Total Value'!IU43/'Total Value'!$D43-1)</f>
        <v/>
      </c>
      <c r="IV31" s="14" t="str">
        <f ca="1">IF(IV$1="","",'Total Value'!IV43/'Total Value'!$D43-1)</f>
        <v/>
      </c>
      <c r="IW31" s="14" t="str">
        <f ca="1">IF(IW$1="","",'Total Value'!IW43/'Total Value'!$D43-1)</f>
        <v/>
      </c>
      <c r="IX31" s="14" t="str">
        <f ca="1">IF(IX$1="","",'Total Value'!IX43/'Total Value'!$D43-1)</f>
        <v/>
      </c>
      <c r="IY31" s="14" t="str">
        <f ca="1">IF(IY$1="","",'Total Value'!IY43/'Total Value'!$D43-1)</f>
        <v/>
      </c>
      <c r="IZ31" s="14" t="str">
        <f ca="1">IF(IZ$1="","",'Total Value'!IZ43/'Total Value'!$D43-1)</f>
        <v/>
      </c>
      <c r="JA31" s="14" t="str">
        <f ca="1">IF(JA$1="","",'Total Value'!JA43/'Total Value'!$D43-1)</f>
        <v/>
      </c>
      <c r="JB31" s="14" t="str">
        <f ca="1">IF(JB$1="","",'Total Value'!JB43/'Total Value'!$D43-1)</f>
        <v/>
      </c>
      <c r="JC31" s="14" t="str">
        <f ca="1">IF(JC$1="","",'Total Value'!JC43/'Total Value'!$D43-1)</f>
        <v/>
      </c>
      <c r="JD31" s="14" t="str">
        <f ca="1">IF(JD$1="","",'Total Value'!JD43/'Total Value'!$D43-1)</f>
        <v/>
      </c>
      <c r="JE31" s="14" t="str">
        <f ca="1">IF(JE$1="","",'Total Value'!JE43/'Total Value'!$D43-1)</f>
        <v/>
      </c>
      <c r="JF31" s="14" t="str">
        <f ca="1">IF(JF$1="","",'Total Value'!JF43/'Total Value'!$D43-1)</f>
        <v/>
      </c>
      <c r="JG31" s="14" t="str">
        <f ca="1">IF(JG$1="","",'Total Value'!JG43/'Total Value'!$D43-1)</f>
        <v/>
      </c>
      <c r="JH31" s="14" t="str">
        <f ca="1">IF(JH$1="","",'Total Value'!JH43/'Total Value'!$D43-1)</f>
        <v/>
      </c>
      <c r="JI31" s="14" t="str">
        <f ca="1">IF(JI$1="","",'Total Value'!JI43/'Total Value'!$D43-1)</f>
        <v/>
      </c>
      <c r="JJ31" s="14" t="str">
        <f ca="1">IF(JJ$1="","",'Total Value'!JJ43/'Total Value'!$D43-1)</f>
        <v/>
      </c>
      <c r="JK31" s="14" t="str">
        <f ca="1">IF(JK$1="","",'Total Value'!JK43/'Total Value'!$D43-1)</f>
        <v/>
      </c>
      <c r="JL31" s="14" t="str">
        <f ca="1">IF(JL$1="","",'Total Value'!JL43/'Total Value'!$D43-1)</f>
        <v/>
      </c>
      <c r="JM31" s="14" t="str">
        <f ca="1">IF(JM$1="","",'Total Value'!JM43/'Total Value'!$D43-1)</f>
        <v/>
      </c>
      <c r="JN31" s="14" t="str">
        <f ca="1">IF(JN$1="","",'Total Value'!JN43/'Total Value'!$D43-1)</f>
        <v/>
      </c>
      <c r="JO31" s="14" t="str">
        <f ca="1">IF(JO$1="","",'Total Value'!JO43/'Total Value'!$D43-1)</f>
        <v/>
      </c>
      <c r="JP31" s="14" t="str">
        <f ca="1">IF(JP$1="","",'Total Value'!JP43/'Total Value'!$D43-1)</f>
        <v/>
      </c>
      <c r="JQ31" s="14" t="str">
        <f ca="1">IF(JQ$1="","",'Total Value'!JQ43/'Total Value'!$D43-1)</f>
        <v/>
      </c>
      <c r="JR31" s="14" t="str">
        <f ca="1">IF(JR$1="","",'Total Value'!JR43/'Total Value'!$D43-1)</f>
        <v/>
      </c>
      <c r="JS31" s="14" t="str">
        <f ca="1">IF(JS$1="","",'Total Value'!JS43/'Total Value'!$D43-1)</f>
        <v/>
      </c>
      <c r="JT31" s="14" t="str">
        <f ca="1">IF(JT$1="","",'Total Value'!JT43/'Total Value'!$D43-1)</f>
        <v/>
      </c>
      <c r="JU31" s="14" t="str">
        <f ca="1">IF(JU$1="","",'Total Value'!JU43/'Total Value'!$D43-1)</f>
        <v/>
      </c>
      <c r="JV31" s="14" t="str">
        <f ca="1">IF(JV$1="","",'Total Value'!JV43/'Total Value'!$D43-1)</f>
        <v/>
      </c>
      <c r="JW31" s="14" t="str">
        <f ca="1">IF(JW$1="","",'Total Value'!JW43/'Total Value'!$D43-1)</f>
        <v/>
      </c>
      <c r="JX31" s="14" t="str">
        <f ca="1">IF(JX$1="","",'Total Value'!JX43/'Total Value'!$D43-1)</f>
        <v/>
      </c>
      <c r="JY31" s="14" t="str">
        <f ca="1">IF(JY$1="","",'Total Value'!JY43/'Total Value'!$D43-1)</f>
        <v/>
      </c>
      <c r="JZ31" s="14" t="str">
        <f ca="1">IF(JZ$1="","",'Total Value'!JZ43/'Total Value'!$D43-1)</f>
        <v/>
      </c>
      <c r="KA31" s="14" t="str">
        <f ca="1">IF(KA$1="","",'Total Value'!KA43/'Total Value'!$D43-1)</f>
        <v/>
      </c>
      <c r="KB31" s="14" t="str">
        <f ca="1">IF(KB$1="","",'Total Value'!KB43/'Total Value'!$D43-1)</f>
        <v/>
      </c>
    </row>
    <row r="32" spans="1:288" ht="15.75" customHeight="1">
      <c r="A32" s="9" t="s">
        <v>30</v>
      </c>
      <c r="B32" s="6" t="s">
        <v>76</v>
      </c>
      <c r="C32" s="26">
        <v>65</v>
      </c>
      <c r="D32" s="13">
        <v>0</v>
      </c>
      <c r="E32" s="14">
        <f ca="1">IF(E$1="","",'Total Value'!E44/'Total Value'!$D44-1)</f>
        <v>3.3444816053511683E-3</v>
      </c>
      <c r="F32" s="14">
        <f ca="1">IF(F$1="","",'Total Value'!F44/'Total Value'!$D44-1)</f>
        <v>1.2040133779264162E-2</v>
      </c>
      <c r="G32" s="14">
        <f ca="1">IF(G$1="","",'Total Value'!G44/'Total Value'!$D44-1)</f>
        <v>2.1404682274247522E-2</v>
      </c>
      <c r="H32" s="14">
        <f ca="1">IF(H$1="","",'Total Value'!H44/'Total Value'!$D44-1)</f>
        <v>4.013377926421402E-2</v>
      </c>
      <c r="I32" s="14">
        <f ca="1">IF(I$1="","",'Total Value'!I44/'Total Value'!$D44-1)</f>
        <v>3.1438127090301027E-2</v>
      </c>
      <c r="J32" s="14">
        <f ca="1">IF(J$1="","",'Total Value'!J44/'Total Value'!$D44-1)</f>
        <v>2.6086956521739202E-2</v>
      </c>
      <c r="K32" s="14">
        <f ca="1">IF(K$1="","",'Total Value'!K44/'Total Value'!$D44-1)</f>
        <v>-3.3444816053511683E-3</v>
      </c>
      <c r="L32" s="14">
        <f ca="1">IF(L$1="","",'Total Value'!L44/'Total Value'!$D44-1)</f>
        <v>-1.9397993311036865E-2</v>
      </c>
      <c r="M32" s="14">
        <f ca="1">IF(M$1="","",'Total Value'!M44/'Total Value'!$D44-1)</f>
        <v>-1.8060200668896353E-2</v>
      </c>
      <c r="N32" s="14">
        <f ca="1">IF(N$1="","",'Total Value'!N44/'Total Value'!$D44-1)</f>
        <v>-2.4749163879598579E-2</v>
      </c>
      <c r="O32" s="14">
        <f ca="1">IF(O$1="","",'Total Value'!O44/'Total Value'!$D44-1)</f>
        <v>-3.4782608695652195E-2</v>
      </c>
      <c r="P32" s="14">
        <f ca="1">IF(P$1="","",'Total Value'!P44/'Total Value'!$D44-1)</f>
        <v>-3.4113712374581939E-2</v>
      </c>
      <c r="Q32" s="14">
        <f ca="1">IF(Q$1="","",'Total Value'!Q44/'Total Value'!$D44-1)</f>
        <v>-5.0836120401337781E-2</v>
      </c>
      <c r="R32" s="14">
        <f ca="1">IF(R$1="","",'Total Value'!R44/'Total Value'!$D44-1)</f>
        <v>-4.013377926421402E-2</v>
      </c>
      <c r="S32" s="14">
        <f ca="1">IF(S$1="","",'Total Value'!S44/'Total Value'!$D44-1)</f>
        <v>-2.8093645484949858E-2</v>
      </c>
      <c r="T32" s="14">
        <f ca="1">IF(T$1="","",'Total Value'!T44/'Total Value'!$D44-1)</f>
        <v>-2.8762541806020114E-2</v>
      </c>
      <c r="U32" s="14">
        <f ca="1">IF(U$1="","",'Total Value'!U44/'Total Value'!$D44-1)</f>
        <v>-4.9498327759197269E-2</v>
      </c>
      <c r="V32" s="14">
        <f ca="1">IF(V$1="","",'Total Value'!V44/'Total Value'!$D44-1)</f>
        <v>-5.4849498327759205E-2</v>
      </c>
      <c r="W32" s="14">
        <f ca="1">IF(W$1="","",'Total Value'!W44/'Total Value'!$D44-1)</f>
        <v>-5.2842809364548549E-2</v>
      </c>
      <c r="X32" s="14">
        <f ca="1">IF(X$1="","",'Total Value'!X44/'Total Value'!$D44-1)</f>
        <v>-3.3444816053511683E-2</v>
      </c>
      <c r="Y32" s="14">
        <f ca="1">IF(Y$1="","",'Total Value'!Y44/'Total Value'!$D44-1)</f>
        <v>-3.2775919732441428E-2</v>
      </c>
      <c r="Z32" s="14">
        <f ca="1">IF(Z$1="","",'Total Value'!Z44/'Total Value'!$D44-1)</f>
        <v>-4.8160535117056757E-2</v>
      </c>
      <c r="AA32" s="14">
        <f ca="1">IF(AA$1="","",'Total Value'!AA44/'Total Value'!$D44-1)</f>
        <v>-6.7558528428093623E-2</v>
      </c>
      <c r="AB32" s="14">
        <f ca="1">IF(AB$1="","",'Total Value'!AB44/'Total Value'!$D44-1)</f>
        <v>-4.8160535117056757E-2</v>
      </c>
      <c r="AC32" s="14">
        <f ca="1">IF(AC$1="","",'Total Value'!AC44/'Total Value'!$D44-1)</f>
        <v>-3.6789297658862852E-2</v>
      </c>
      <c r="AD32" s="14">
        <f ca="1">IF(AD$1="","",'Total Value'!AD44/'Total Value'!$D44-1)</f>
        <v>-2.3411371237458178E-2</v>
      </c>
      <c r="AE32" s="14">
        <f ca="1">IF(AE$1="","",'Total Value'!AE44/'Total Value'!$D44-1)</f>
        <v>-5.0167224080267525E-2</v>
      </c>
      <c r="AF32" s="14">
        <f ca="1">IF(AF$1="","",'Total Value'!AF44/'Total Value'!$D44-1)</f>
        <v>-4.4816053511705811E-2</v>
      </c>
      <c r="AG32" s="14">
        <f ca="1">IF(AG$1="","",'Total Value'!AG44/'Total Value'!$D44-1)</f>
        <v>-4.7491638795986613E-2</v>
      </c>
      <c r="AH32" s="14">
        <f ca="1">IF(AH$1="","",'Total Value'!AH44/'Total Value'!$D44-1)</f>
        <v>-6.2207357859531798E-2</v>
      </c>
      <c r="AI32" s="14">
        <f ca="1">IF(AI$1="","",'Total Value'!AI44/'Total Value'!$D44-1)</f>
        <v>-4.5484949832775956E-2</v>
      </c>
      <c r="AJ32" s="14">
        <f ca="1">IF(AJ$1="","",'Total Value'!AJ44/'Total Value'!$D44-1)</f>
        <v>-1.4046822742474929E-2</v>
      </c>
      <c r="AK32" s="14">
        <f ca="1">IF(AK$1="","",'Total Value'!AK44/'Total Value'!$D44-1)</f>
        <v>-1.4715719063545074E-2</v>
      </c>
      <c r="AL32" s="14">
        <f ca="1">IF(AL$1="","",'Total Value'!AL44/'Total Value'!$D44-1)</f>
        <v>-4.013377926421402E-2</v>
      </c>
      <c r="AM32" s="14">
        <f ca="1">IF(AM$1="","",'Total Value'!AM44/'Total Value'!$D44-1)</f>
        <v>-2.0735785953177266E-2</v>
      </c>
      <c r="AN32" s="14">
        <f ca="1">IF(AN$1="","",'Total Value'!AN44/'Total Value'!$D44-1)</f>
        <v>9.3645484949833602E-3</v>
      </c>
      <c r="AO32" s="14">
        <f ca="1">IF(AO$1="","",'Total Value'!AO44/'Total Value'!$D44-1)</f>
        <v>-1.8060200668896353E-2</v>
      </c>
      <c r="AP32" s="14">
        <f ca="1">IF(AP$1="","",'Total Value'!AP44/'Total Value'!$D44-1)</f>
        <v>-8.5618729096989976E-2</v>
      </c>
      <c r="AQ32" s="14">
        <f ca="1">IF(AQ$1="","",'Total Value'!AQ44/'Total Value'!$D44-1)</f>
        <v>-8.2274247491638697E-2</v>
      </c>
      <c r="AR32" s="14">
        <f ca="1">IF(AR$1="","",'Total Value'!AR44/'Total Value'!$D44-1)</f>
        <v>-3.5451505016722451E-2</v>
      </c>
      <c r="AS32" s="14">
        <f ca="1">IF(AS$1="","",'Total Value'!AS44/'Total Value'!$D44-1)</f>
        <v>-3.3444816053511683E-3</v>
      </c>
      <c r="AT32" s="14">
        <f ca="1">IF(AT$1="","",'Total Value'!AT44/'Total Value'!$D44-1)</f>
        <v>-2.2742474916388034E-2</v>
      </c>
      <c r="AU32" s="14">
        <f ca="1">IF(AU$1="","",'Total Value'!AU44/'Total Value'!$D44-1)</f>
        <v>2.006688963210701E-2</v>
      </c>
      <c r="AV32" s="14">
        <f ca="1">IF(AV$1="","",'Total Value'!AV44/'Total Value'!$D44-1)</f>
        <v>-6.6889632107025587E-4</v>
      </c>
      <c r="AW32" s="14">
        <f ca="1">IF(AW$1="","",'Total Value'!AW44/'Total Value'!$D44-1)</f>
        <v>1.538461538461533E-2</v>
      </c>
      <c r="AX32" s="14">
        <f ca="1">IF(AX$1="","",'Total Value'!AX44/'Total Value'!$D44-1)</f>
        <v>4.0802675585284165E-2</v>
      </c>
      <c r="AY32" s="14">
        <f ca="1">IF(AY$1="","",'Total Value'!AY44/'Total Value'!$D44-1)</f>
        <v>7.4247491638795848E-2</v>
      </c>
      <c r="AZ32" s="14">
        <f ca="1">IF(AZ$1="","",'Total Value'!AZ44/'Total Value'!$D44-1)</f>
        <v>5.8193979933110374E-2</v>
      </c>
      <c r="BA32" s="14">
        <f ca="1">IF(BA$1="","",'Total Value'!BA44/'Total Value'!$D44-1)</f>
        <v>5.3511705685618693E-2</v>
      </c>
      <c r="BB32" s="14">
        <f ca="1">IF(BB$1="","",'Total Value'!BB44/'Total Value'!$D44-1)</f>
        <v>6.020066889632103E-2</v>
      </c>
      <c r="BC32" s="14">
        <f ca="1">IF(BC$1="","",'Total Value'!BC44/'Total Value'!$D44-1)</f>
        <v>8.8963210702341255E-2</v>
      </c>
      <c r="BD32" s="14">
        <f ca="1">IF(BD$1="","",'Total Value'!BD44/'Total Value'!$D44-1)</f>
        <v>7.4247491638795848E-2</v>
      </c>
      <c r="BE32" s="14">
        <f ca="1">IF(BE$1="","",'Total Value'!BE44/'Total Value'!$D44-1)</f>
        <v>6.020066889632103E-2</v>
      </c>
      <c r="BF32" s="14">
        <f ca="1">IF(BF$1="","",'Total Value'!BF44/'Total Value'!$D44-1)</f>
        <v>6.1538461538461542E-2</v>
      </c>
      <c r="BG32" s="14">
        <f ca="1">IF(BG$1="","",'Total Value'!BG44/'Total Value'!$D44-1)</f>
        <v>4.949832775919738E-2</v>
      </c>
      <c r="BH32" s="14">
        <f ca="1">IF(BH$1="","",'Total Value'!BH44/'Total Value'!$D44-1)</f>
        <v>3.8127090301003363E-2</v>
      </c>
      <c r="BI32" s="14">
        <f ca="1">IF(BI$1="","",'Total Value'!BI44/'Total Value'!$D44-1)</f>
        <v>5.4849498327759205E-2</v>
      </c>
      <c r="BJ32" s="14">
        <f ca="1">IF(BJ$1="","",'Total Value'!BJ44/'Total Value'!$D44-1)</f>
        <v>5.0836120401337892E-2</v>
      </c>
      <c r="BK32" s="14">
        <f ca="1">IF(BK$1="","",'Total Value'!BK44/'Total Value'!$D44-1)</f>
        <v>3.4782608695652195E-2</v>
      </c>
      <c r="BL32" s="14">
        <f ca="1">IF(BL$1="","",'Total Value'!BL44/'Total Value'!$D44-1)</f>
        <v>3.1438127090301027E-2</v>
      </c>
      <c r="BM32" s="14">
        <f ca="1">IF(BM$1="","",'Total Value'!BM44/'Total Value'!$D44-1)</f>
        <v>3.8795986622073508E-2</v>
      </c>
      <c r="BN32" s="14">
        <f ca="1">IF(BN$1="","",'Total Value'!BN44/'Total Value'!$D44-1)</f>
        <v>2.4080267558528323E-2</v>
      </c>
      <c r="BO32" s="14">
        <f ca="1">IF(BO$1="","",'Total Value'!BO44/'Total Value'!$D44-1)</f>
        <v>2.5418060200668835E-2</v>
      </c>
      <c r="BP32" s="14">
        <f ca="1">IF(BP$1="","",'Total Value'!BP44/'Total Value'!$D44-1)</f>
        <v>3.3444816053511683E-2</v>
      </c>
      <c r="BQ32" s="14">
        <f ca="1">IF(BQ$1="","",'Total Value'!BQ44/'Total Value'!$D44-1)</f>
        <v>6.0869565217391175E-2</v>
      </c>
      <c r="BR32" s="14">
        <f ca="1">IF(BR$1="","",'Total Value'!BR44/'Total Value'!$D44-1)</f>
        <v>7.0234113712374535E-2</v>
      </c>
      <c r="BS32" s="14">
        <f ca="1">IF(BS$1="","",'Total Value'!BS44/'Total Value'!$D44-1)</f>
        <v>6.4214046822742565E-2</v>
      </c>
      <c r="BT32" s="14">
        <f ca="1">IF(BT$1="","",'Total Value'!BT44/'Total Value'!$D44-1)</f>
        <v>0.10033444816053505</v>
      </c>
      <c r="BU32" s="14">
        <f ca="1">IF(BU$1="","",'Total Value'!BU44/'Total Value'!$D44-1)</f>
        <v>0.10635451505016702</v>
      </c>
      <c r="BV32" s="14">
        <f ca="1">IF(BV$1="","",'Total Value'!BV44/'Total Value'!$D44-1)</f>
        <v>9.3645484949832714E-2</v>
      </c>
      <c r="BW32" s="14">
        <f ca="1">IF(BW$1="","",'Total Value'!BW44/'Total Value'!$D44-1)</f>
        <v>6.3545150501672198E-2</v>
      </c>
      <c r="BX32" s="14">
        <f ca="1">IF(BX$1="","",'Total Value'!BX44/'Total Value'!$D44-1)</f>
        <v>5.8193979933110374E-2</v>
      </c>
      <c r="BY32" s="14">
        <f ca="1">IF(BY$1="","",'Total Value'!BY44/'Total Value'!$D44-1)</f>
        <v>3.8127090301003363E-2</v>
      </c>
      <c r="BZ32" s="14">
        <f ca="1">IF(BZ$1="","",'Total Value'!BZ44/'Total Value'!$D44-1)</f>
        <v>3.3444816053511683E-2</v>
      </c>
      <c r="CA32" s="14">
        <f ca="1">IF(CA$1="","",'Total Value'!CA44/'Total Value'!$D44-1)</f>
        <v>3.076923076923066E-2</v>
      </c>
      <c r="CB32" s="14">
        <f ca="1">IF(CB$1="","",'Total Value'!CB44/'Total Value'!$D44-1)</f>
        <v>1.8060200668896353E-2</v>
      </c>
      <c r="CC32" s="14">
        <f ca="1">IF(CC$1="","",'Total Value'!CC44/'Total Value'!$D44-1)</f>
        <v>2.4080267558528323E-2</v>
      </c>
      <c r="CD32" s="14">
        <f ca="1">IF(CD$1="","",'Total Value'!CD44/'Total Value'!$D44-1)</f>
        <v>4.48160535117057E-2</v>
      </c>
      <c r="CE32" s="14">
        <f ca="1">IF(CE$1="","",'Total Value'!CE44/'Total Value'!$D44-1)</f>
        <v>7.2240802675585414E-2</v>
      </c>
      <c r="CF32" s="14" t="str">
        <f ca="1">IF(CF$1="","",'Total Value'!CF44/'Total Value'!$D44-1)</f>
        <v/>
      </c>
      <c r="CG32" s="14" t="str">
        <f ca="1">IF(CG$1="","",'Total Value'!CG44/'Total Value'!$D44-1)</f>
        <v/>
      </c>
      <c r="CH32" s="14" t="str">
        <f ca="1">IF(CH$1="","",'Total Value'!CH44/'Total Value'!$D44-1)</f>
        <v/>
      </c>
      <c r="CI32" s="14" t="str">
        <f ca="1">IF(CI$1="","",'Total Value'!CI44/'Total Value'!$D44-1)</f>
        <v/>
      </c>
      <c r="CJ32" s="14" t="str">
        <f ca="1">IF(CJ$1="","",'Total Value'!CJ44/'Total Value'!$D44-1)</f>
        <v/>
      </c>
      <c r="CK32" s="14" t="str">
        <f ca="1">IF(CK$1="","",'Total Value'!CK44/'Total Value'!$D44-1)</f>
        <v/>
      </c>
      <c r="CL32" s="14" t="str">
        <f ca="1">IF(CL$1="","",'Total Value'!CL44/'Total Value'!$D44-1)</f>
        <v/>
      </c>
      <c r="CM32" s="14" t="str">
        <f ca="1">IF(CM$1="","",'Total Value'!CM44/'Total Value'!$D44-1)</f>
        <v/>
      </c>
      <c r="CN32" s="14" t="str">
        <f ca="1">IF(CN$1="","",'Total Value'!CN44/'Total Value'!$D44-1)</f>
        <v/>
      </c>
      <c r="CO32" s="14" t="str">
        <f ca="1">IF(CO$1="","",'Total Value'!CO44/'Total Value'!$D44-1)</f>
        <v/>
      </c>
      <c r="CP32" s="14" t="str">
        <f ca="1">IF(CP$1="","",'Total Value'!CP44/'Total Value'!$D44-1)</f>
        <v/>
      </c>
      <c r="CQ32" s="14" t="str">
        <f ca="1">IF(CQ$1="","",'Total Value'!CQ44/'Total Value'!$D44-1)</f>
        <v/>
      </c>
      <c r="CR32" s="14" t="str">
        <f ca="1">IF(CR$1="","",'Total Value'!CR44/'Total Value'!$D44-1)</f>
        <v/>
      </c>
      <c r="CS32" s="14" t="str">
        <f ca="1">IF(CS$1="","",'Total Value'!CS44/'Total Value'!$D44-1)</f>
        <v/>
      </c>
      <c r="CT32" s="14" t="str">
        <f ca="1">IF(CT$1="","",'Total Value'!CT44/'Total Value'!$D44-1)</f>
        <v/>
      </c>
      <c r="CU32" s="14" t="str">
        <f ca="1">IF(CU$1="","",'Total Value'!CU44/'Total Value'!$D44-1)</f>
        <v/>
      </c>
      <c r="CV32" s="14" t="str">
        <f ca="1">IF(CV$1="","",'Total Value'!CV44/'Total Value'!$D44-1)</f>
        <v/>
      </c>
      <c r="CW32" s="14" t="str">
        <f ca="1">IF(CW$1="","",'Total Value'!CW44/'Total Value'!$D44-1)</f>
        <v/>
      </c>
      <c r="CX32" s="14" t="str">
        <f ca="1">IF(CX$1="","",'Total Value'!CX44/'Total Value'!$D44-1)</f>
        <v/>
      </c>
      <c r="CY32" s="14" t="str">
        <f ca="1">IF(CY$1="","",'Total Value'!CY44/'Total Value'!$D44-1)</f>
        <v/>
      </c>
      <c r="CZ32" s="14" t="str">
        <f ca="1">IF(CZ$1="","",'Total Value'!CZ44/'Total Value'!$D44-1)</f>
        <v/>
      </c>
      <c r="DA32" s="14" t="str">
        <f ca="1">IF(DA$1="","",'Total Value'!DA44/'Total Value'!$D44-1)</f>
        <v/>
      </c>
      <c r="DB32" s="14" t="str">
        <f ca="1">IF(DB$1="","",'Total Value'!DB44/'Total Value'!$D44-1)</f>
        <v/>
      </c>
      <c r="DC32" s="14" t="str">
        <f ca="1">IF(DC$1="","",'Total Value'!DC44/'Total Value'!$D44-1)</f>
        <v/>
      </c>
      <c r="DD32" s="14" t="str">
        <f ca="1">IF(DD$1="","",'Total Value'!DD44/'Total Value'!$D44-1)</f>
        <v/>
      </c>
      <c r="DE32" s="14" t="str">
        <f ca="1">IF(DE$1="","",'Total Value'!DE44/'Total Value'!$D44-1)</f>
        <v/>
      </c>
      <c r="DF32" s="14" t="str">
        <f ca="1">IF(DF$1="","",'Total Value'!DF44/'Total Value'!$D44-1)</f>
        <v/>
      </c>
      <c r="DG32" s="14" t="str">
        <f ca="1">IF(DG$1="","",'Total Value'!DG44/'Total Value'!$D44-1)</f>
        <v/>
      </c>
      <c r="DH32" s="14" t="str">
        <f ca="1">IF(DH$1="","",'Total Value'!DH44/'Total Value'!$D44-1)</f>
        <v/>
      </c>
      <c r="DI32" s="14" t="str">
        <f ca="1">IF(DI$1="","",'Total Value'!DI44/'Total Value'!$D44-1)</f>
        <v/>
      </c>
      <c r="DJ32" s="14" t="str">
        <f ca="1">IF(DJ$1="","",'Total Value'!DJ44/'Total Value'!$D44-1)</f>
        <v/>
      </c>
      <c r="DK32" s="14" t="str">
        <f ca="1">IF(DK$1="","",'Total Value'!DK44/'Total Value'!$D44-1)</f>
        <v/>
      </c>
      <c r="DL32" s="14" t="str">
        <f ca="1">IF(DL$1="","",'Total Value'!DL44/'Total Value'!$D44-1)</f>
        <v/>
      </c>
      <c r="DM32" s="14" t="str">
        <f ca="1">IF(DM$1="","",'Total Value'!DM44/'Total Value'!$D44-1)</f>
        <v/>
      </c>
      <c r="DN32" s="14" t="str">
        <f ca="1">IF(DN$1="","",'Total Value'!DN44/'Total Value'!$D44-1)</f>
        <v/>
      </c>
      <c r="DO32" s="14" t="str">
        <f ca="1">IF(DO$1="","",'Total Value'!DO44/'Total Value'!$D44-1)</f>
        <v/>
      </c>
      <c r="DP32" s="14" t="str">
        <f ca="1">IF(DP$1="","",'Total Value'!DP44/'Total Value'!$D44-1)</f>
        <v/>
      </c>
      <c r="DQ32" s="14" t="str">
        <f ca="1">IF(DQ$1="","",'Total Value'!DQ44/'Total Value'!$D44-1)</f>
        <v/>
      </c>
      <c r="DR32" s="14" t="str">
        <f ca="1">IF(DR$1="","",'Total Value'!DR44/'Total Value'!$D44-1)</f>
        <v/>
      </c>
      <c r="DS32" s="14" t="str">
        <f ca="1">IF(DS$1="","",'Total Value'!DS44/'Total Value'!$D44-1)</f>
        <v/>
      </c>
      <c r="DT32" s="14" t="str">
        <f ca="1">IF(DT$1="","",'Total Value'!DT44/'Total Value'!$D44-1)</f>
        <v/>
      </c>
      <c r="DU32" s="14" t="str">
        <f ca="1">IF(DU$1="","",'Total Value'!DU44/'Total Value'!$D44-1)</f>
        <v/>
      </c>
      <c r="DV32" s="14" t="str">
        <f ca="1">IF(DV$1="","",'Total Value'!DV44/'Total Value'!$D44-1)</f>
        <v/>
      </c>
      <c r="DW32" s="14" t="str">
        <f ca="1">IF(DW$1="","",'Total Value'!DW44/'Total Value'!$D44-1)</f>
        <v/>
      </c>
      <c r="DX32" s="14" t="str">
        <f ca="1">IF(DX$1="","",'Total Value'!DX44/'Total Value'!$D44-1)</f>
        <v/>
      </c>
      <c r="DY32" s="14" t="str">
        <f ca="1">IF(DY$1="","",'Total Value'!DY44/'Total Value'!$D44-1)</f>
        <v/>
      </c>
      <c r="DZ32" s="14" t="str">
        <f ca="1">IF(DZ$1="","",'Total Value'!DZ44/'Total Value'!$D44-1)</f>
        <v/>
      </c>
      <c r="EA32" s="14" t="str">
        <f ca="1">IF(EA$1="","",'Total Value'!EA44/'Total Value'!$D44-1)</f>
        <v/>
      </c>
      <c r="EB32" s="14" t="str">
        <f ca="1">IF(EB$1="","",'Total Value'!EB44/'Total Value'!$D44-1)</f>
        <v/>
      </c>
      <c r="EC32" s="14" t="str">
        <f ca="1">IF(EC$1="","",'Total Value'!EC44/'Total Value'!$D44-1)</f>
        <v/>
      </c>
      <c r="ED32" s="14" t="str">
        <f ca="1">IF(ED$1="","",'Total Value'!ED44/'Total Value'!$D44-1)</f>
        <v/>
      </c>
      <c r="EE32" s="14" t="str">
        <f ca="1">IF(EE$1="","",'Total Value'!EE44/'Total Value'!$D44-1)</f>
        <v/>
      </c>
      <c r="EF32" s="14" t="str">
        <f ca="1">IF(EF$1="","",'Total Value'!EF44/'Total Value'!$D44-1)</f>
        <v/>
      </c>
      <c r="EG32" s="14" t="str">
        <f ca="1">IF(EG$1="","",'Total Value'!EG44/'Total Value'!$D44-1)</f>
        <v/>
      </c>
      <c r="EH32" s="14" t="str">
        <f ca="1">IF(EH$1="","",'Total Value'!EH44/'Total Value'!$D44-1)</f>
        <v/>
      </c>
      <c r="EI32" s="14" t="str">
        <f ca="1">IF(EI$1="","",'Total Value'!EI44/'Total Value'!$D44-1)</f>
        <v/>
      </c>
      <c r="EJ32" s="14" t="str">
        <f ca="1">IF(EJ$1="","",'Total Value'!EJ44/'Total Value'!$D44-1)</f>
        <v/>
      </c>
      <c r="EK32" s="14" t="str">
        <f ca="1">IF(EK$1="","",'Total Value'!EK44/'Total Value'!$D44-1)</f>
        <v/>
      </c>
      <c r="EL32" s="14" t="str">
        <f ca="1">IF(EL$1="","",'Total Value'!EL44/'Total Value'!$D44-1)</f>
        <v/>
      </c>
      <c r="EM32" s="14" t="str">
        <f ca="1">IF(EM$1="","",'Total Value'!EM44/'Total Value'!$D44-1)</f>
        <v/>
      </c>
      <c r="EN32" s="14" t="str">
        <f ca="1">IF(EN$1="","",'Total Value'!EN44/'Total Value'!$D44-1)</f>
        <v/>
      </c>
      <c r="EO32" s="14" t="str">
        <f ca="1">IF(EO$1="","",'Total Value'!EO44/'Total Value'!$D44-1)</f>
        <v/>
      </c>
      <c r="EP32" s="14" t="str">
        <f ca="1">IF(EP$1="","",'Total Value'!EP44/'Total Value'!$D44-1)</f>
        <v/>
      </c>
      <c r="EQ32" s="14" t="str">
        <f ca="1">IF(EQ$1="","",'Total Value'!EQ44/'Total Value'!$D44-1)</f>
        <v/>
      </c>
      <c r="ER32" s="14" t="str">
        <f ca="1">IF(ER$1="","",'Total Value'!ER44/'Total Value'!$D44-1)</f>
        <v/>
      </c>
      <c r="ES32" s="14" t="str">
        <f ca="1">IF(ES$1="","",'Total Value'!ES44/'Total Value'!$D44-1)</f>
        <v/>
      </c>
      <c r="ET32" s="14" t="str">
        <f ca="1">IF(ET$1="","",'Total Value'!ET44/'Total Value'!$D44-1)</f>
        <v/>
      </c>
      <c r="EU32" s="14" t="str">
        <f ca="1">IF(EU$1="","",'Total Value'!EU44/'Total Value'!$D44-1)</f>
        <v/>
      </c>
      <c r="EV32" s="14" t="str">
        <f ca="1">IF(EV$1="","",'Total Value'!EV44/'Total Value'!$D44-1)</f>
        <v/>
      </c>
      <c r="EW32" s="14" t="str">
        <f ca="1">IF(EW$1="","",'Total Value'!EW44/'Total Value'!$D44-1)</f>
        <v/>
      </c>
      <c r="EX32" s="14" t="str">
        <f ca="1">IF(EX$1="","",'Total Value'!EX44/'Total Value'!$D44-1)</f>
        <v/>
      </c>
      <c r="EY32" s="14" t="str">
        <f ca="1">IF(EY$1="","",'Total Value'!EY44/'Total Value'!$D44-1)</f>
        <v/>
      </c>
      <c r="EZ32" s="14" t="str">
        <f ca="1">IF(EZ$1="","",'Total Value'!EZ44/'Total Value'!$D44-1)</f>
        <v/>
      </c>
      <c r="FA32" s="14" t="str">
        <f ca="1">IF(FA$1="","",'Total Value'!FA44/'Total Value'!$D44-1)</f>
        <v/>
      </c>
      <c r="FB32" s="14" t="str">
        <f ca="1">IF(FB$1="","",'Total Value'!FB44/'Total Value'!$D44-1)</f>
        <v/>
      </c>
      <c r="FC32" s="14" t="str">
        <f ca="1">IF(FC$1="","",'Total Value'!FC44/'Total Value'!$D44-1)</f>
        <v/>
      </c>
      <c r="FD32" s="14" t="str">
        <f ca="1">IF(FD$1="","",'Total Value'!FD44/'Total Value'!$D44-1)</f>
        <v/>
      </c>
      <c r="FE32" s="14" t="str">
        <f ca="1">IF(FE$1="","",'Total Value'!FE44/'Total Value'!$D44-1)</f>
        <v/>
      </c>
      <c r="FF32" s="14" t="str">
        <f ca="1">IF(FF$1="","",'Total Value'!FF44/'Total Value'!$D44-1)</f>
        <v/>
      </c>
      <c r="FG32" s="14" t="str">
        <f ca="1">IF(FG$1="","",'Total Value'!FG44/'Total Value'!$D44-1)</f>
        <v/>
      </c>
      <c r="FH32" s="14" t="str">
        <f ca="1">IF(FH$1="","",'Total Value'!FH44/'Total Value'!$D44-1)</f>
        <v/>
      </c>
      <c r="FI32" s="14" t="str">
        <f ca="1">IF(FI$1="","",'Total Value'!FI44/'Total Value'!$D44-1)</f>
        <v/>
      </c>
      <c r="FJ32" s="14" t="str">
        <f ca="1">IF(FJ$1="","",'Total Value'!FJ44/'Total Value'!$D44-1)</f>
        <v/>
      </c>
      <c r="FK32" s="14" t="str">
        <f ca="1">IF(FK$1="","",'Total Value'!FK44/'Total Value'!$D44-1)</f>
        <v/>
      </c>
      <c r="FL32" s="14" t="str">
        <f ca="1">IF(FL$1="","",'Total Value'!FL44/'Total Value'!$D44-1)</f>
        <v/>
      </c>
      <c r="FM32" s="14" t="str">
        <f ca="1">IF(FM$1="","",'Total Value'!FM44/'Total Value'!$D44-1)</f>
        <v/>
      </c>
      <c r="FN32" s="14" t="str">
        <f ca="1">IF(FN$1="","",'Total Value'!FN44/'Total Value'!$D44-1)</f>
        <v/>
      </c>
      <c r="FO32" s="14" t="str">
        <f ca="1">IF(FO$1="","",'Total Value'!FO44/'Total Value'!$D44-1)</f>
        <v/>
      </c>
      <c r="FP32" s="14" t="str">
        <f ca="1">IF(FP$1="","",'Total Value'!FP44/'Total Value'!$D44-1)</f>
        <v/>
      </c>
      <c r="FQ32" s="14" t="str">
        <f ca="1">IF(FQ$1="","",'Total Value'!FQ44/'Total Value'!$D44-1)</f>
        <v/>
      </c>
      <c r="FR32" s="14" t="str">
        <f ca="1">IF(FR$1="","",'Total Value'!FR44/'Total Value'!$D44-1)</f>
        <v/>
      </c>
      <c r="FS32" s="14" t="str">
        <f ca="1">IF(FS$1="","",'Total Value'!FS44/'Total Value'!$D44-1)</f>
        <v/>
      </c>
      <c r="FT32" s="14" t="str">
        <f ca="1">IF(FT$1="","",'Total Value'!FT44/'Total Value'!$D44-1)</f>
        <v/>
      </c>
      <c r="FU32" s="14" t="str">
        <f ca="1">IF(FU$1="","",'Total Value'!FU44/'Total Value'!$D44-1)</f>
        <v/>
      </c>
      <c r="FV32" s="14" t="str">
        <f ca="1">IF(FV$1="","",'Total Value'!FV44/'Total Value'!$D44-1)</f>
        <v/>
      </c>
      <c r="FW32" s="14" t="str">
        <f ca="1">IF(FW$1="","",'Total Value'!FW44/'Total Value'!$D44-1)</f>
        <v/>
      </c>
      <c r="FX32" s="14" t="str">
        <f ca="1">IF(FX$1="","",'Total Value'!FX44/'Total Value'!$D44-1)</f>
        <v/>
      </c>
      <c r="FY32" s="14" t="str">
        <f ca="1">IF(FY$1="","",'Total Value'!FY44/'Total Value'!$D44-1)</f>
        <v/>
      </c>
      <c r="FZ32" s="14" t="str">
        <f ca="1">IF(FZ$1="","",'Total Value'!FZ44/'Total Value'!$D44-1)</f>
        <v/>
      </c>
      <c r="GA32" s="14" t="str">
        <f ca="1">IF(GA$1="","",'Total Value'!GA44/'Total Value'!$D44-1)</f>
        <v/>
      </c>
      <c r="GB32" s="14" t="str">
        <f ca="1">IF(GB$1="","",'Total Value'!GB44/'Total Value'!$D44-1)</f>
        <v/>
      </c>
      <c r="GC32" s="14" t="str">
        <f ca="1">IF(GC$1="","",'Total Value'!GC44/'Total Value'!$D44-1)</f>
        <v/>
      </c>
      <c r="GD32" s="14" t="str">
        <f ca="1">IF(GD$1="","",'Total Value'!GD44/'Total Value'!$D44-1)</f>
        <v/>
      </c>
      <c r="GE32" s="14" t="str">
        <f ca="1">IF(GE$1="","",'Total Value'!GE44/'Total Value'!$D44-1)</f>
        <v/>
      </c>
      <c r="GF32" s="14" t="str">
        <f ca="1">IF(GF$1="","",'Total Value'!GF44/'Total Value'!$D44-1)</f>
        <v/>
      </c>
      <c r="GG32" s="14" t="str">
        <f ca="1">IF(GG$1="","",'Total Value'!GG44/'Total Value'!$D44-1)</f>
        <v/>
      </c>
      <c r="GH32" s="14" t="str">
        <f ca="1">IF(GH$1="","",'Total Value'!GH44/'Total Value'!$D44-1)</f>
        <v/>
      </c>
      <c r="GI32" s="14" t="str">
        <f ca="1">IF(GI$1="","",'Total Value'!GI44/'Total Value'!$D44-1)</f>
        <v/>
      </c>
      <c r="GJ32" s="14" t="str">
        <f ca="1">IF(GJ$1="","",'Total Value'!GJ44/'Total Value'!$D44-1)</f>
        <v/>
      </c>
      <c r="GK32" s="14" t="str">
        <f ca="1">IF(GK$1="","",'Total Value'!GK44/'Total Value'!$D44-1)</f>
        <v/>
      </c>
      <c r="GL32" s="14" t="str">
        <f ca="1">IF(GL$1="","",'Total Value'!GL44/'Total Value'!$D44-1)</f>
        <v/>
      </c>
      <c r="GM32" s="14" t="str">
        <f ca="1">IF(GM$1="","",'Total Value'!GM44/'Total Value'!$D44-1)</f>
        <v/>
      </c>
      <c r="GN32" s="14" t="str">
        <f ca="1">IF(GN$1="","",'Total Value'!GN44/'Total Value'!$D44-1)</f>
        <v/>
      </c>
      <c r="GO32" s="14" t="str">
        <f ca="1">IF(GO$1="","",'Total Value'!GO44/'Total Value'!$D44-1)</f>
        <v/>
      </c>
      <c r="GP32" s="14" t="str">
        <f ca="1">IF(GP$1="","",'Total Value'!GP44/'Total Value'!$D44-1)</f>
        <v/>
      </c>
      <c r="GQ32" s="14" t="str">
        <f ca="1">IF(GQ$1="","",'Total Value'!GQ44/'Total Value'!$D44-1)</f>
        <v/>
      </c>
      <c r="GR32" s="14" t="str">
        <f ca="1">IF(GR$1="","",'Total Value'!GR44/'Total Value'!$D44-1)</f>
        <v/>
      </c>
      <c r="GS32" s="14" t="str">
        <f ca="1">IF(GS$1="","",'Total Value'!GS44/'Total Value'!$D44-1)</f>
        <v/>
      </c>
      <c r="GT32" s="14" t="str">
        <f ca="1">IF(GT$1="","",'Total Value'!GT44/'Total Value'!$D44-1)</f>
        <v/>
      </c>
      <c r="GU32" s="14" t="str">
        <f ca="1">IF(GU$1="","",'Total Value'!GU44/'Total Value'!$D44-1)</f>
        <v/>
      </c>
      <c r="GV32" s="14" t="str">
        <f ca="1">IF(GV$1="","",'Total Value'!GV44/'Total Value'!$D44-1)</f>
        <v/>
      </c>
      <c r="GW32" s="14" t="str">
        <f ca="1">IF(GW$1="","",'Total Value'!GW44/'Total Value'!$D44-1)</f>
        <v/>
      </c>
      <c r="GX32" s="14" t="str">
        <f ca="1">IF(GX$1="","",'Total Value'!GX44/'Total Value'!$D44-1)</f>
        <v/>
      </c>
      <c r="GY32" s="14" t="str">
        <f ca="1">IF(GY$1="","",'Total Value'!GY44/'Total Value'!$D44-1)</f>
        <v/>
      </c>
      <c r="GZ32" s="14" t="str">
        <f ca="1">IF(GZ$1="","",'Total Value'!GZ44/'Total Value'!$D44-1)</f>
        <v/>
      </c>
      <c r="HA32" s="14" t="str">
        <f ca="1">IF(HA$1="","",'Total Value'!HA44/'Total Value'!$D44-1)</f>
        <v/>
      </c>
      <c r="HB32" s="14" t="str">
        <f ca="1">IF(HB$1="","",'Total Value'!HB44/'Total Value'!$D44-1)</f>
        <v/>
      </c>
      <c r="HC32" s="14" t="str">
        <f ca="1">IF(HC$1="","",'Total Value'!HC44/'Total Value'!$D44-1)</f>
        <v/>
      </c>
      <c r="HD32" s="14" t="str">
        <f ca="1">IF(HD$1="","",'Total Value'!HD44/'Total Value'!$D44-1)</f>
        <v/>
      </c>
      <c r="HE32" s="14" t="str">
        <f ca="1">IF(HE$1="","",'Total Value'!HE44/'Total Value'!$D44-1)</f>
        <v/>
      </c>
      <c r="HF32" s="14" t="str">
        <f ca="1">IF(HF$1="","",'Total Value'!HF44/'Total Value'!$D44-1)</f>
        <v/>
      </c>
      <c r="HG32" s="14" t="str">
        <f ca="1">IF(HG$1="","",'Total Value'!HG44/'Total Value'!$D44-1)</f>
        <v/>
      </c>
      <c r="HH32" s="14" t="str">
        <f ca="1">IF(HH$1="","",'Total Value'!HH44/'Total Value'!$D44-1)</f>
        <v/>
      </c>
      <c r="HI32" s="14" t="str">
        <f ca="1">IF(HI$1="","",'Total Value'!HI44/'Total Value'!$D44-1)</f>
        <v/>
      </c>
      <c r="HJ32" s="14" t="str">
        <f ca="1">IF(HJ$1="","",'Total Value'!HJ44/'Total Value'!$D44-1)</f>
        <v/>
      </c>
      <c r="HK32" s="14" t="str">
        <f ca="1">IF(HK$1="","",'Total Value'!HK44/'Total Value'!$D44-1)</f>
        <v/>
      </c>
      <c r="HL32" s="14" t="str">
        <f ca="1">IF(HL$1="","",'Total Value'!HL44/'Total Value'!$D44-1)</f>
        <v/>
      </c>
      <c r="HM32" s="14" t="str">
        <f ca="1">IF(HM$1="","",'Total Value'!HM44/'Total Value'!$D44-1)</f>
        <v/>
      </c>
      <c r="HN32" s="14" t="str">
        <f ca="1">IF(HN$1="","",'Total Value'!HN44/'Total Value'!$D44-1)</f>
        <v/>
      </c>
      <c r="HO32" s="14" t="str">
        <f ca="1">IF(HO$1="","",'Total Value'!HO44/'Total Value'!$D44-1)</f>
        <v/>
      </c>
      <c r="HP32" s="14" t="str">
        <f ca="1">IF(HP$1="","",'Total Value'!HP44/'Total Value'!$D44-1)</f>
        <v/>
      </c>
      <c r="HQ32" s="14" t="str">
        <f ca="1">IF(HQ$1="","",'Total Value'!HQ44/'Total Value'!$D44-1)</f>
        <v/>
      </c>
      <c r="HR32" s="14" t="str">
        <f ca="1">IF(HR$1="","",'Total Value'!HR44/'Total Value'!$D44-1)</f>
        <v/>
      </c>
      <c r="HS32" s="14" t="str">
        <f ca="1">IF(HS$1="","",'Total Value'!HS44/'Total Value'!$D44-1)</f>
        <v/>
      </c>
      <c r="HT32" s="14" t="str">
        <f ca="1">IF(HT$1="","",'Total Value'!HT44/'Total Value'!$D44-1)</f>
        <v/>
      </c>
      <c r="HU32" s="14" t="str">
        <f ca="1">IF(HU$1="","",'Total Value'!HU44/'Total Value'!$D44-1)</f>
        <v/>
      </c>
      <c r="HV32" s="14" t="str">
        <f ca="1">IF(HV$1="","",'Total Value'!HV44/'Total Value'!$D44-1)</f>
        <v/>
      </c>
      <c r="HW32" s="14" t="str">
        <f ca="1">IF(HW$1="","",'Total Value'!HW44/'Total Value'!$D44-1)</f>
        <v/>
      </c>
      <c r="HX32" s="14" t="str">
        <f ca="1">IF(HX$1="","",'Total Value'!HX44/'Total Value'!$D44-1)</f>
        <v/>
      </c>
      <c r="HY32" s="14" t="str">
        <f ca="1">IF(HY$1="","",'Total Value'!HY44/'Total Value'!$D44-1)</f>
        <v/>
      </c>
      <c r="HZ32" s="14" t="str">
        <f ca="1">IF(HZ$1="","",'Total Value'!HZ44/'Total Value'!$D44-1)</f>
        <v/>
      </c>
      <c r="IA32" s="14" t="str">
        <f ca="1">IF(IA$1="","",'Total Value'!IA44/'Total Value'!$D44-1)</f>
        <v/>
      </c>
      <c r="IB32" s="14" t="str">
        <f ca="1">IF(IB$1="","",'Total Value'!IB44/'Total Value'!$D44-1)</f>
        <v/>
      </c>
      <c r="IC32" s="14" t="str">
        <f ca="1">IF(IC$1="","",'Total Value'!IC44/'Total Value'!$D44-1)</f>
        <v/>
      </c>
      <c r="ID32" s="14" t="str">
        <f ca="1">IF(ID$1="","",'Total Value'!ID44/'Total Value'!$D44-1)</f>
        <v/>
      </c>
      <c r="IE32" s="14" t="str">
        <f ca="1">IF(IE$1="","",'Total Value'!IE44/'Total Value'!$D44-1)</f>
        <v/>
      </c>
      <c r="IF32" s="14" t="str">
        <f ca="1">IF(IF$1="","",'Total Value'!IF44/'Total Value'!$D44-1)</f>
        <v/>
      </c>
      <c r="IG32" s="14" t="str">
        <f ca="1">IF(IG$1="","",'Total Value'!IG44/'Total Value'!$D44-1)</f>
        <v/>
      </c>
      <c r="IH32" s="14" t="str">
        <f ca="1">IF(IH$1="","",'Total Value'!IH44/'Total Value'!$D44-1)</f>
        <v/>
      </c>
      <c r="II32" s="14" t="str">
        <f ca="1">IF(II$1="","",'Total Value'!II44/'Total Value'!$D44-1)</f>
        <v/>
      </c>
      <c r="IJ32" s="14" t="str">
        <f ca="1">IF(IJ$1="","",'Total Value'!IJ44/'Total Value'!$D44-1)</f>
        <v/>
      </c>
      <c r="IK32" s="14" t="str">
        <f ca="1">IF(IK$1="","",'Total Value'!IK44/'Total Value'!$D44-1)</f>
        <v/>
      </c>
      <c r="IL32" s="14" t="str">
        <f ca="1">IF(IL$1="","",'Total Value'!IL44/'Total Value'!$D44-1)</f>
        <v/>
      </c>
      <c r="IM32" s="14" t="str">
        <f ca="1">IF(IM$1="","",'Total Value'!IM44/'Total Value'!$D44-1)</f>
        <v/>
      </c>
      <c r="IN32" s="14" t="str">
        <f ca="1">IF(IN$1="","",'Total Value'!IN44/'Total Value'!$D44-1)</f>
        <v/>
      </c>
      <c r="IO32" s="14" t="str">
        <f ca="1">IF(IO$1="","",'Total Value'!IO44/'Total Value'!$D44-1)</f>
        <v/>
      </c>
      <c r="IP32" s="14" t="str">
        <f ca="1">IF(IP$1="","",'Total Value'!IP44/'Total Value'!$D44-1)</f>
        <v/>
      </c>
      <c r="IQ32" s="14" t="str">
        <f ca="1">IF(IQ$1="","",'Total Value'!IQ44/'Total Value'!$D44-1)</f>
        <v/>
      </c>
      <c r="IR32" s="14" t="str">
        <f ca="1">IF(IR$1="","",'Total Value'!IR44/'Total Value'!$D44-1)</f>
        <v/>
      </c>
      <c r="IS32" s="14" t="str">
        <f ca="1">IF(IS$1="","",'Total Value'!IS44/'Total Value'!$D44-1)</f>
        <v/>
      </c>
      <c r="IT32" s="14" t="str">
        <f ca="1">IF(IT$1="","",'Total Value'!IT44/'Total Value'!$D44-1)</f>
        <v/>
      </c>
      <c r="IU32" s="14" t="str">
        <f ca="1">IF(IU$1="","",'Total Value'!IU44/'Total Value'!$D44-1)</f>
        <v/>
      </c>
      <c r="IV32" s="14" t="str">
        <f ca="1">IF(IV$1="","",'Total Value'!IV44/'Total Value'!$D44-1)</f>
        <v/>
      </c>
      <c r="IW32" s="14" t="str">
        <f ca="1">IF(IW$1="","",'Total Value'!IW44/'Total Value'!$D44-1)</f>
        <v/>
      </c>
      <c r="IX32" s="14" t="str">
        <f ca="1">IF(IX$1="","",'Total Value'!IX44/'Total Value'!$D44-1)</f>
        <v/>
      </c>
      <c r="IY32" s="14" t="str">
        <f ca="1">IF(IY$1="","",'Total Value'!IY44/'Total Value'!$D44-1)</f>
        <v/>
      </c>
      <c r="IZ32" s="14" t="str">
        <f ca="1">IF(IZ$1="","",'Total Value'!IZ44/'Total Value'!$D44-1)</f>
        <v/>
      </c>
      <c r="JA32" s="14" t="str">
        <f ca="1">IF(JA$1="","",'Total Value'!JA44/'Total Value'!$D44-1)</f>
        <v/>
      </c>
      <c r="JB32" s="14" t="str">
        <f ca="1">IF(JB$1="","",'Total Value'!JB44/'Total Value'!$D44-1)</f>
        <v/>
      </c>
      <c r="JC32" s="14" t="str">
        <f ca="1">IF(JC$1="","",'Total Value'!JC44/'Total Value'!$D44-1)</f>
        <v/>
      </c>
      <c r="JD32" s="14" t="str">
        <f ca="1">IF(JD$1="","",'Total Value'!JD44/'Total Value'!$D44-1)</f>
        <v/>
      </c>
      <c r="JE32" s="14" t="str">
        <f ca="1">IF(JE$1="","",'Total Value'!JE44/'Total Value'!$D44-1)</f>
        <v/>
      </c>
      <c r="JF32" s="14" t="str">
        <f ca="1">IF(JF$1="","",'Total Value'!JF44/'Total Value'!$D44-1)</f>
        <v/>
      </c>
      <c r="JG32" s="14" t="str">
        <f ca="1">IF(JG$1="","",'Total Value'!JG44/'Total Value'!$D44-1)</f>
        <v/>
      </c>
      <c r="JH32" s="14" t="str">
        <f ca="1">IF(JH$1="","",'Total Value'!JH44/'Total Value'!$D44-1)</f>
        <v/>
      </c>
      <c r="JI32" s="14" t="str">
        <f ca="1">IF(JI$1="","",'Total Value'!JI44/'Total Value'!$D44-1)</f>
        <v/>
      </c>
      <c r="JJ32" s="14" t="str">
        <f ca="1">IF(JJ$1="","",'Total Value'!JJ44/'Total Value'!$D44-1)</f>
        <v/>
      </c>
      <c r="JK32" s="14" t="str">
        <f ca="1">IF(JK$1="","",'Total Value'!JK44/'Total Value'!$D44-1)</f>
        <v/>
      </c>
      <c r="JL32" s="14" t="str">
        <f ca="1">IF(JL$1="","",'Total Value'!JL44/'Total Value'!$D44-1)</f>
        <v/>
      </c>
      <c r="JM32" s="14" t="str">
        <f ca="1">IF(JM$1="","",'Total Value'!JM44/'Total Value'!$D44-1)</f>
        <v/>
      </c>
      <c r="JN32" s="14" t="str">
        <f ca="1">IF(JN$1="","",'Total Value'!JN44/'Total Value'!$D44-1)</f>
        <v/>
      </c>
      <c r="JO32" s="14" t="str">
        <f ca="1">IF(JO$1="","",'Total Value'!JO44/'Total Value'!$D44-1)</f>
        <v/>
      </c>
      <c r="JP32" s="14" t="str">
        <f ca="1">IF(JP$1="","",'Total Value'!JP44/'Total Value'!$D44-1)</f>
        <v/>
      </c>
      <c r="JQ32" s="14" t="str">
        <f ca="1">IF(JQ$1="","",'Total Value'!JQ44/'Total Value'!$D44-1)</f>
        <v/>
      </c>
      <c r="JR32" s="14" t="str">
        <f ca="1">IF(JR$1="","",'Total Value'!JR44/'Total Value'!$D44-1)</f>
        <v/>
      </c>
      <c r="JS32" s="14" t="str">
        <f ca="1">IF(JS$1="","",'Total Value'!JS44/'Total Value'!$D44-1)</f>
        <v/>
      </c>
      <c r="JT32" s="14" t="str">
        <f ca="1">IF(JT$1="","",'Total Value'!JT44/'Total Value'!$D44-1)</f>
        <v/>
      </c>
      <c r="JU32" s="14" t="str">
        <f ca="1">IF(JU$1="","",'Total Value'!JU44/'Total Value'!$D44-1)</f>
        <v/>
      </c>
      <c r="JV32" s="14" t="str">
        <f ca="1">IF(JV$1="","",'Total Value'!JV44/'Total Value'!$D44-1)</f>
        <v/>
      </c>
      <c r="JW32" s="14" t="str">
        <f ca="1">IF(JW$1="","",'Total Value'!JW44/'Total Value'!$D44-1)</f>
        <v/>
      </c>
      <c r="JX32" s="14" t="str">
        <f ca="1">IF(JX$1="","",'Total Value'!JX44/'Total Value'!$D44-1)</f>
        <v/>
      </c>
      <c r="JY32" s="14" t="str">
        <f ca="1">IF(JY$1="","",'Total Value'!JY44/'Total Value'!$D44-1)</f>
        <v/>
      </c>
      <c r="JZ32" s="14" t="str">
        <f ca="1">IF(JZ$1="","",'Total Value'!JZ44/'Total Value'!$D44-1)</f>
        <v/>
      </c>
      <c r="KA32" s="14" t="str">
        <f ca="1">IF(KA$1="","",'Total Value'!KA44/'Total Value'!$D44-1)</f>
        <v/>
      </c>
      <c r="KB32" s="14" t="str">
        <f ca="1">IF(KB$1="","",'Total Value'!KB44/'Total Value'!$D44-1)</f>
        <v/>
      </c>
    </row>
    <row r="33" spans="1:288" ht="15.75" customHeight="1">
      <c r="A33" s="9" t="s">
        <v>30</v>
      </c>
      <c r="B33" s="6" t="s">
        <v>77</v>
      </c>
      <c r="C33" s="26">
        <v>24</v>
      </c>
      <c r="D33" s="13">
        <v>0</v>
      </c>
      <c r="E33" s="14">
        <f ca="1">IF(E$1="","",'Total Value'!E45/'Total Value'!$D45-1)</f>
        <v>4.6592119275825405E-2</v>
      </c>
      <c r="F33" s="14">
        <f ca="1">IF(F$1="","",'Total Value'!F45/'Total Value'!$D45-1)</f>
        <v>-1.5441959531416471E-2</v>
      </c>
      <c r="G33" s="14">
        <f ca="1">IF(G$1="","",'Total Value'!G45/'Total Value'!$D45-1)</f>
        <v>-3.0883919062832943E-2</v>
      </c>
      <c r="H33" s="14">
        <f ca="1">IF(H$1="","",'Total Value'!H45/'Total Value'!$D45-1)</f>
        <v>-4.6592119275825294E-2</v>
      </c>
      <c r="I33" s="14">
        <f ca="1">IF(I$1="","",'Total Value'!I45/'Total Value'!$D45-1)</f>
        <v>-8.5197018104366418E-2</v>
      </c>
      <c r="J33" s="14">
        <f ca="1">IF(J$1="","",'Total Value'!J45/'Total Value'!$D45-1)</f>
        <v>-0.10809371671991486</v>
      </c>
      <c r="K33" s="14">
        <f ca="1">IF(K$1="","",'Total Value'!K45/'Total Value'!$D45-1)</f>
        <v>-0.13817891373801938</v>
      </c>
      <c r="L33" s="14">
        <f ca="1">IF(L$1="","",'Total Value'!L45/'Total Value'!$D45-1)</f>
        <v>-0.17225772097976577</v>
      </c>
      <c r="M33" s="14">
        <f ca="1">IF(M$1="","",'Total Value'!M45/'Total Value'!$D45-1)</f>
        <v>-0.15468583599574015</v>
      </c>
      <c r="N33" s="14">
        <f ca="1">IF(N$1="","",'Total Value'!N45/'Total Value'!$D45-1)</f>
        <v>-0.17864749733759311</v>
      </c>
      <c r="O33" s="14">
        <f ca="1">IF(O$1="","",'Total Value'!O45/'Total Value'!$D45-1)</f>
        <v>-0.1781150159744409</v>
      </c>
      <c r="P33" s="14">
        <f ca="1">IF(P$1="","",'Total Value'!P45/'Total Value'!$D45-1)</f>
        <v>-0.2204472843450479</v>
      </c>
      <c r="Q33" s="14">
        <f ca="1">IF(Q$1="","",'Total Value'!Q45/'Total Value'!$D45-1)</f>
        <v>-0.20793397231096922</v>
      </c>
      <c r="R33" s="14">
        <f ca="1">IF(R$1="","",'Total Value'!R45/'Total Value'!$D45-1)</f>
        <v>-0.17997870074547395</v>
      </c>
      <c r="S33" s="14">
        <f ca="1">IF(S$1="","",'Total Value'!S45/'Total Value'!$D45-1)</f>
        <v>-0.16214057507987234</v>
      </c>
      <c r="T33" s="14">
        <f ca="1">IF(T$1="","",'Total Value'!T45/'Total Value'!$D45-1)</f>
        <v>-0.19994675186368482</v>
      </c>
      <c r="U33" s="14">
        <f ca="1">IF(U$1="","",'Total Value'!U45/'Total Value'!$D45-1)</f>
        <v>-0.2204472843450479</v>
      </c>
      <c r="V33" s="14">
        <f ca="1">IF(V$1="","",'Total Value'!V45/'Total Value'!$D45-1)</f>
        <v>-0.21725239616613434</v>
      </c>
      <c r="W33" s="14">
        <f ca="1">IF(W$1="","",'Total Value'!W45/'Total Value'!$D45-1)</f>
        <v>-0.19355697550585726</v>
      </c>
      <c r="X33" s="14">
        <f ca="1">IF(X$1="","",'Total Value'!X45/'Total Value'!$D45-1)</f>
        <v>-0.19329073482428116</v>
      </c>
      <c r="Y33" s="14">
        <f ca="1">IF(Y$1="","",'Total Value'!Y45/'Total Value'!$D45-1)</f>
        <v>-0.14137380191693294</v>
      </c>
      <c r="Z33" s="14">
        <f ca="1">IF(Z$1="","",'Total Value'!Z45/'Total Value'!$D45-1)</f>
        <v>-0.181842385516507</v>
      </c>
      <c r="AA33" s="14">
        <f ca="1">IF(AA$1="","",'Total Value'!AA45/'Total Value'!$D45-1)</f>
        <v>-0.21938232161874327</v>
      </c>
      <c r="AB33" s="14">
        <f ca="1">IF(AB$1="","",'Total Value'!AB45/'Total Value'!$D45-1)</f>
        <v>-0.23003194888178913</v>
      </c>
      <c r="AC33" s="14">
        <f ca="1">IF(AC$1="","",'Total Value'!AC45/'Total Value'!$D45-1)</f>
        <v>-0.20926517571884995</v>
      </c>
      <c r="AD33" s="14">
        <f ca="1">IF(AD$1="","",'Total Value'!AD45/'Total Value'!$D45-1)</f>
        <v>-0.23003194888178913</v>
      </c>
      <c r="AE33" s="14">
        <f ca="1">IF(AE$1="","",'Total Value'!AE45/'Total Value'!$D45-1)</f>
        <v>-0.21778487752928655</v>
      </c>
      <c r="AF33" s="14">
        <f ca="1">IF(AF$1="","",'Total Value'!AF45/'Total Value'!$D45-1)</f>
        <v>-0.18823216187433445</v>
      </c>
      <c r="AG33" s="14">
        <f ca="1">IF(AG$1="","",'Total Value'!AG45/'Total Value'!$D45-1)</f>
        <v>-0.20500532481363154</v>
      </c>
      <c r="AH33" s="14">
        <f ca="1">IF(AH$1="","",'Total Value'!AH45/'Total Value'!$D45-1)</f>
        <v>-0.20101171458998934</v>
      </c>
      <c r="AI33" s="14">
        <f ca="1">IF(AI$1="","",'Total Value'!AI45/'Total Value'!$D45-1)</f>
        <v>-5.2449414270500538E-2</v>
      </c>
      <c r="AJ33" s="14">
        <f ca="1">IF(AJ$1="","",'Total Value'!AJ45/'Total Value'!$D45-1)</f>
        <v>-2.8221512247071368E-2</v>
      </c>
      <c r="AK33" s="14">
        <f ca="1">IF(AK$1="","",'Total Value'!AK45/'Total Value'!$D45-1)</f>
        <v>-9.5846645367412275E-3</v>
      </c>
      <c r="AL33" s="14">
        <f ca="1">IF(AL$1="","",'Total Value'!AL45/'Total Value'!$D45-1)</f>
        <v>0</v>
      </c>
      <c r="AM33" s="14">
        <f ca="1">IF(AM$1="","",'Total Value'!AM45/'Total Value'!$D45-1)</f>
        <v>-2.4760383386581375E-2</v>
      </c>
      <c r="AN33" s="14">
        <f ca="1">IF(AN$1="","",'Total Value'!AN45/'Total Value'!$D45-1)</f>
        <v>-3.6741214057508076E-2</v>
      </c>
      <c r="AO33" s="14">
        <f ca="1">IF(AO$1="","",'Total Value'!AO45/'Total Value'!$D45-1)</f>
        <v>-9.7976570820021203E-2</v>
      </c>
      <c r="AP33" s="14">
        <f ca="1">IF(AP$1="","",'Total Value'!AP45/'Total Value'!$D45-1)</f>
        <v>-0.12779552715654952</v>
      </c>
      <c r="AQ33" s="14">
        <f ca="1">IF(AQ$1="","",'Total Value'!AQ45/'Total Value'!$D45-1)</f>
        <v>-0.12060702875399365</v>
      </c>
      <c r="AR33" s="14">
        <f ca="1">IF(AR$1="","",'Total Value'!AR45/'Total Value'!$D45-1)</f>
        <v>-8.0937167199148119E-2</v>
      </c>
      <c r="AS33" s="14">
        <f ca="1">IF(AS$1="","",'Total Value'!AS45/'Total Value'!$D45-1)</f>
        <v>-8.0404685835995804E-2</v>
      </c>
      <c r="AT33" s="14">
        <f ca="1">IF(AT$1="","",'Total Value'!AT45/'Total Value'!$D45-1)</f>
        <v>-0.1187433439829606</v>
      </c>
      <c r="AU33" s="14">
        <f ca="1">IF(AU$1="","",'Total Value'!AU45/'Total Value'!$D45-1)</f>
        <v>-0.16560170394036222</v>
      </c>
      <c r="AV33" s="14">
        <f ca="1">IF(AV$1="","",'Total Value'!AV45/'Total Value'!$D45-1)</f>
        <v>-0.15734824281150173</v>
      </c>
      <c r="AW33" s="14">
        <f ca="1">IF(AW$1="","",'Total Value'!AW45/'Total Value'!$D45-1)</f>
        <v>-0.11155484558040485</v>
      </c>
      <c r="AX33" s="14">
        <f ca="1">IF(AX$1="","",'Total Value'!AX45/'Total Value'!$D45-1)</f>
        <v>-8.1469648562300323E-2</v>
      </c>
      <c r="AY33" s="14">
        <f ca="1">IF(AY$1="","",'Total Value'!AY45/'Total Value'!$D45-1)</f>
        <v>-4.2864749733759311E-2</v>
      </c>
      <c r="AZ33" s="14">
        <f ca="1">IF(AZ$1="","",'Total Value'!AZ45/'Total Value'!$D45-1)</f>
        <v>-7.8274760383386766E-2</v>
      </c>
      <c r="BA33" s="14">
        <f ca="1">IF(BA$1="","",'Total Value'!BA45/'Total Value'!$D45-1)</f>
        <v>-8.1735889243876536E-2</v>
      </c>
      <c r="BB33" s="14">
        <f ca="1">IF(BB$1="","",'Total Value'!BB45/'Total Value'!$D45-1)</f>
        <v>-0.12193823216187438</v>
      </c>
      <c r="BC33" s="14">
        <f ca="1">IF(BC$1="","",'Total Value'!BC45/'Total Value'!$D45-1)</f>
        <v>-7.561235356762519E-2</v>
      </c>
      <c r="BD33" s="14">
        <f ca="1">IF(BD$1="","",'Total Value'!BD45/'Total Value'!$D45-1)</f>
        <v>-4.259850905218332E-2</v>
      </c>
      <c r="BE33" s="14">
        <f ca="1">IF(BE$1="","",'Total Value'!BE45/'Total Value'!$D45-1)</f>
        <v>-2.8221512247071368E-2</v>
      </c>
      <c r="BF33" s="14">
        <f ca="1">IF(BF$1="","",'Total Value'!BF45/'Total Value'!$D45-1)</f>
        <v>-1.4909478168264156E-2</v>
      </c>
      <c r="BG33" s="14">
        <f ca="1">IF(BG$1="","",'Total Value'!BG45/'Total Value'!$D45-1)</f>
        <v>-0.11075612353567643</v>
      </c>
      <c r="BH33" s="14">
        <f ca="1">IF(BH$1="","",'Total Value'!BH45/'Total Value'!$D45-1)</f>
        <v>-0.15974440894568698</v>
      </c>
      <c r="BI33" s="14">
        <f ca="1">IF(BI$1="","",'Total Value'!BI45/'Total Value'!$D45-1)</f>
        <v>-0.1482960596379127</v>
      </c>
      <c r="BJ33" s="14">
        <f ca="1">IF(BJ$1="","",'Total Value'!BJ45/'Total Value'!$D45-1)</f>
        <v>-7.1086261980830678E-2</v>
      </c>
      <c r="BK33" s="14">
        <f ca="1">IF(BK$1="","",'Total Value'!BK45/'Total Value'!$D45-1)</f>
        <v>4.5260915867944007E-3</v>
      </c>
      <c r="BL33" s="14">
        <f ca="1">IF(BL$1="","",'Total Value'!BL45/'Total Value'!$D45-1)</f>
        <v>-6.5228966986155545E-2</v>
      </c>
      <c r="BM33" s="14">
        <f ca="1">IF(BM$1="","",'Total Value'!BM45/'Total Value'!$D45-1)</f>
        <v>-9.2917997870074487E-2</v>
      </c>
      <c r="BN33" s="14">
        <f ca="1">IF(BN$1="","",'Total Value'!BN45/'Total Value'!$D45-1)</f>
        <v>-0.10276890308839193</v>
      </c>
      <c r="BO33" s="14">
        <f ca="1">IF(BO$1="","",'Total Value'!BO45/'Total Value'!$D45-1)</f>
        <v>-0.1653354632587859</v>
      </c>
      <c r="BP33" s="14">
        <f ca="1">IF(BP$1="","",'Total Value'!BP45/'Total Value'!$D45-1)</f>
        <v>-0.18130990415335468</v>
      </c>
      <c r="BQ33" s="14">
        <f ca="1">IF(BQ$1="","",'Total Value'!BQ45/'Total Value'!$D45-1)</f>
        <v>-0.15149094781682648</v>
      </c>
      <c r="BR33" s="14">
        <f ca="1">IF(BR$1="","",'Total Value'!BR45/'Total Value'!$D45-1)</f>
        <v>-0.14856230031948892</v>
      </c>
      <c r="BS33" s="14">
        <f ca="1">IF(BS$1="","",'Total Value'!BS45/'Total Value'!$D45-1)</f>
        <v>-0.16879659211927589</v>
      </c>
      <c r="BT33" s="14">
        <f ca="1">IF(BT$1="","",'Total Value'!BT45/'Total Value'!$D45-1)</f>
        <v>-0.16586794462193832</v>
      </c>
      <c r="BU33" s="14">
        <f ca="1">IF(BU$1="","",'Total Value'!BU45/'Total Value'!$D45-1)</f>
        <v>-0.16799787007454747</v>
      </c>
      <c r="BV33" s="14">
        <f ca="1">IF(BV$1="","",'Total Value'!BV45/'Total Value'!$D45-1)</f>
        <v>-0.21938232161874327</v>
      </c>
      <c r="BW33" s="14">
        <f ca="1">IF(BW$1="","",'Total Value'!BW45/'Total Value'!$D45-1)</f>
        <v>-0.2705005324813633</v>
      </c>
      <c r="BX33" s="14">
        <f ca="1">IF(BX$1="","",'Total Value'!BX45/'Total Value'!$D45-1)</f>
        <v>-0.27289669861554855</v>
      </c>
      <c r="BY33" s="14">
        <f ca="1">IF(BY$1="","",'Total Value'!BY45/'Total Value'!$D45-1)</f>
        <v>-0.32294994675186384</v>
      </c>
      <c r="BZ33" s="14">
        <f ca="1">IF(BZ$1="","",'Total Value'!BZ45/'Total Value'!$D45-1)</f>
        <v>-0.33493077742279032</v>
      </c>
      <c r="CA33" s="14">
        <f ca="1">IF(CA$1="","",'Total Value'!CA45/'Total Value'!$D45-1)</f>
        <v>-0.33759318423855167</v>
      </c>
      <c r="CB33" s="14">
        <f ca="1">IF(CB$1="","",'Total Value'!CB45/'Total Value'!$D45-1)</f>
        <v>-0.35543130990415339</v>
      </c>
      <c r="CC33" s="14">
        <f ca="1">IF(CC$1="","",'Total Value'!CC45/'Total Value'!$D45-1)</f>
        <v>-0.32561235356762519</v>
      </c>
      <c r="CD33" s="14">
        <f ca="1">IF(CD$1="","",'Total Value'!CD45/'Total Value'!$D45-1)</f>
        <v>-0.34265175718849838</v>
      </c>
      <c r="CE33" s="14">
        <f ca="1">IF(CE$1="","",'Total Value'!CE45/'Total Value'!$D45-1)</f>
        <v>-0.33093716719914812</v>
      </c>
      <c r="CF33" s="14" t="str">
        <f ca="1">IF(CF$1="","",'Total Value'!CF45/'Total Value'!$D45-1)</f>
        <v/>
      </c>
      <c r="CG33" s="14" t="str">
        <f ca="1">IF(CG$1="","",'Total Value'!CG45/'Total Value'!$D45-1)</f>
        <v/>
      </c>
      <c r="CH33" s="14" t="str">
        <f ca="1">IF(CH$1="","",'Total Value'!CH45/'Total Value'!$D45-1)</f>
        <v/>
      </c>
      <c r="CI33" s="14" t="str">
        <f ca="1">IF(CI$1="","",'Total Value'!CI45/'Total Value'!$D45-1)</f>
        <v/>
      </c>
      <c r="CJ33" s="14" t="str">
        <f ca="1">IF(CJ$1="","",'Total Value'!CJ45/'Total Value'!$D45-1)</f>
        <v/>
      </c>
      <c r="CK33" s="14" t="str">
        <f ca="1">IF(CK$1="","",'Total Value'!CK45/'Total Value'!$D45-1)</f>
        <v/>
      </c>
      <c r="CL33" s="14" t="str">
        <f ca="1">IF(CL$1="","",'Total Value'!CL45/'Total Value'!$D45-1)</f>
        <v/>
      </c>
      <c r="CM33" s="14" t="str">
        <f ca="1">IF(CM$1="","",'Total Value'!CM45/'Total Value'!$D45-1)</f>
        <v/>
      </c>
      <c r="CN33" s="14" t="str">
        <f ca="1">IF(CN$1="","",'Total Value'!CN45/'Total Value'!$D45-1)</f>
        <v/>
      </c>
      <c r="CO33" s="14" t="str">
        <f ca="1">IF(CO$1="","",'Total Value'!CO45/'Total Value'!$D45-1)</f>
        <v/>
      </c>
      <c r="CP33" s="14" t="str">
        <f ca="1">IF(CP$1="","",'Total Value'!CP45/'Total Value'!$D45-1)</f>
        <v/>
      </c>
      <c r="CQ33" s="14" t="str">
        <f ca="1">IF(CQ$1="","",'Total Value'!CQ45/'Total Value'!$D45-1)</f>
        <v/>
      </c>
      <c r="CR33" s="14" t="str">
        <f ca="1">IF(CR$1="","",'Total Value'!CR45/'Total Value'!$D45-1)</f>
        <v/>
      </c>
      <c r="CS33" s="14" t="str">
        <f ca="1">IF(CS$1="","",'Total Value'!CS45/'Total Value'!$D45-1)</f>
        <v/>
      </c>
      <c r="CT33" s="14" t="str">
        <f ca="1">IF(CT$1="","",'Total Value'!CT45/'Total Value'!$D45-1)</f>
        <v/>
      </c>
      <c r="CU33" s="14" t="str">
        <f ca="1">IF(CU$1="","",'Total Value'!CU45/'Total Value'!$D45-1)</f>
        <v/>
      </c>
      <c r="CV33" s="14" t="str">
        <f ca="1">IF(CV$1="","",'Total Value'!CV45/'Total Value'!$D45-1)</f>
        <v/>
      </c>
      <c r="CW33" s="14" t="str">
        <f ca="1">IF(CW$1="","",'Total Value'!CW45/'Total Value'!$D45-1)</f>
        <v/>
      </c>
      <c r="CX33" s="14" t="str">
        <f ca="1">IF(CX$1="","",'Total Value'!CX45/'Total Value'!$D45-1)</f>
        <v/>
      </c>
      <c r="CY33" s="14" t="str">
        <f ca="1">IF(CY$1="","",'Total Value'!CY45/'Total Value'!$D45-1)</f>
        <v/>
      </c>
      <c r="CZ33" s="14" t="str">
        <f ca="1">IF(CZ$1="","",'Total Value'!CZ45/'Total Value'!$D45-1)</f>
        <v/>
      </c>
      <c r="DA33" s="14" t="str">
        <f ca="1">IF(DA$1="","",'Total Value'!DA45/'Total Value'!$D45-1)</f>
        <v/>
      </c>
      <c r="DB33" s="14" t="str">
        <f ca="1">IF(DB$1="","",'Total Value'!DB45/'Total Value'!$D45-1)</f>
        <v/>
      </c>
      <c r="DC33" s="14" t="str">
        <f ca="1">IF(DC$1="","",'Total Value'!DC45/'Total Value'!$D45-1)</f>
        <v/>
      </c>
      <c r="DD33" s="14" t="str">
        <f ca="1">IF(DD$1="","",'Total Value'!DD45/'Total Value'!$D45-1)</f>
        <v/>
      </c>
      <c r="DE33" s="14" t="str">
        <f ca="1">IF(DE$1="","",'Total Value'!DE45/'Total Value'!$D45-1)</f>
        <v/>
      </c>
      <c r="DF33" s="14" t="str">
        <f ca="1">IF(DF$1="","",'Total Value'!DF45/'Total Value'!$D45-1)</f>
        <v/>
      </c>
      <c r="DG33" s="14" t="str">
        <f ca="1">IF(DG$1="","",'Total Value'!DG45/'Total Value'!$D45-1)</f>
        <v/>
      </c>
      <c r="DH33" s="14" t="str">
        <f ca="1">IF(DH$1="","",'Total Value'!DH45/'Total Value'!$D45-1)</f>
        <v/>
      </c>
      <c r="DI33" s="14" t="str">
        <f ca="1">IF(DI$1="","",'Total Value'!DI45/'Total Value'!$D45-1)</f>
        <v/>
      </c>
      <c r="DJ33" s="14" t="str">
        <f ca="1">IF(DJ$1="","",'Total Value'!DJ45/'Total Value'!$D45-1)</f>
        <v/>
      </c>
      <c r="DK33" s="14" t="str">
        <f ca="1">IF(DK$1="","",'Total Value'!DK45/'Total Value'!$D45-1)</f>
        <v/>
      </c>
      <c r="DL33" s="14" t="str">
        <f ca="1">IF(DL$1="","",'Total Value'!DL45/'Total Value'!$D45-1)</f>
        <v/>
      </c>
      <c r="DM33" s="14" t="str">
        <f ca="1">IF(DM$1="","",'Total Value'!DM45/'Total Value'!$D45-1)</f>
        <v/>
      </c>
      <c r="DN33" s="14" t="str">
        <f ca="1">IF(DN$1="","",'Total Value'!DN45/'Total Value'!$D45-1)</f>
        <v/>
      </c>
      <c r="DO33" s="14" t="str">
        <f ca="1">IF(DO$1="","",'Total Value'!DO45/'Total Value'!$D45-1)</f>
        <v/>
      </c>
      <c r="DP33" s="14" t="str">
        <f ca="1">IF(DP$1="","",'Total Value'!DP45/'Total Value'!$D45-1)</f>
        <v/>
      </c>
      <c r="DQ33" s="14" t="str">
        <f ca="1">IF(DQ$1="","",'Total Value'!DQ45/'Total Value'!$D45-1)</f>
        <v/>
      </c>
      <c r="DR33" s="14" t="str">
        <f ca="1">IF(DR$1="","",'Total Value'!DR45/'Total Value'!$D45-1)</f>
        <v/>
      </c>
      <c r="DS33" s="14" t="str">
        <f ca="1">IF(DS$1="","",'Total Value'!DS45/'Total Value'!$D45-1)</f>
        <v/>
      </c>
      <c r="DT33" s="14" t="str">
        <f ca="1">IF(DT$1="","",'Total Value'!DT45/'Total Value'!$D45-1)</f>
        <v/>
      </c>
      <c r="DU33" s="14" t="str">
        <f ca="1">IF(DU$1="","",'Total Value'!DU45/'Total Value'!$D45-1)</f>
        <v/>
      </c>
      <c r="DV33" s="14" t="str">
        <f ca="1">IF(DV$1="","",'Total Value'!DV45/'Total Value'!$D45-1)</f>
        <v/>
      </c>
      <c r="DW33" s="14" t="str">
        <f ca="1">IF(DW$1="","",'Total Value'!DW45/'Total Value'!$D45-1)</f>
        <v/>
      </c>
      <c r="DX33" s="14" t="str">
        <f ca="1">IF(DX$1="","",'Total Value'!DX45/'Total Value'!$D45-1)</f>
        <v/>
      </c>
      <c r="DY33" s="14" t="str">
        <f ca="1">IF(DY$1="","",'Total Value'!DY45/'Total Value'!$D45-1)</f>
        <v/>
      </c>
      <c r="DZ33" s="14" t="str">
        <f ca="1">IF(DZ$1="","",'Total Value'!DZ45/'Total Value'!$D45-1)</f>
        <v/>
      </c>
      <c r="EA33" s="14" t="str">
        <f ca="1">IF(EA$1="","",'Total Value'!EA45/'Total Value'!$D45-1)</f>
        <v/>
      </c>
      <c r="EB33" s="14" t="str">
        <f ca="1">IF(EB$1="","",'Total Value'!EB45/'Total Value'!$D45-1)</f>
        <v/>
      </c>
      <c r="EC33" s="14" t="str">
        <f ca="1">IF(EC$1="","",'Total Value'!EC45/'Total Value'!$D45-1)</f>
        <v/>
      </c>
      <c r="ED33" s="14" t="str">
        <f ca="1">IF(ED$1="","",'Total Value'!ED45/'Total Value'!$D45-1)</f>
        <v/>
      </c>
      <c r="EE33" s="14" t="str">
        <f ca="1">IF(EE$1="","",'Total Value'!EE45/'Total Value'!$D45-1)</f>
        <v/>
      </c>
      <c r="EF33" s="14" t="str">
        <f ca="1">IF(EF$1="","",'Total Value'!EF45/'Total Value'!$D45-1)</f>
        <v/>
      </c>
      <c r="EG33" s="14" t="str">
        <f ca="1">IF(EG$1="","",'Total Value'!EG45/'Total Value'!$D45-1)</f>
        <v/>
      </c>
      <c r="EH33" s="14" t="str">
        <f ca="1">IF(EH$1="","",'Total Value'!EH45/'Total Value'!$D45-1)</f>
        <v/>
      </c>
      <c r="EI33" s="14" t="str">
        <f ca="1">IF(EI$1="","",'Total Value'!EI45/'Total Value'!$D45-1)</f>
        <v/>
      </c>
      <c r="EJ33" s="14" t="str">
        <f ca="1">IF(EJ$1="","",'Total Value'!EJ45/'Total Value'!$D45-1)</f>
        <v/>
      </c>
      <c r="EK33" s="14" t="str">
        <f ca="1">IF(EK$1="","",'Total Value'!EK45/'Total Value'!$D45-1)</f>
        <v/>
      </c>
      <c r="EL33" s="14" t="str">
        <f ca="1">IF(EL$1="","",'Total Value'!EL45/'Total Value'!$D45-1)</f>
        <v/>
      </c>
      <c r="EM33" s="14" t="str">
        <f ca="1">IF(EM$1="","",'Total Value'!EM45/'Total Value'!$D45-1)</f>
        <v/>
      </c>
      <c r="EN33" s="14" t="str">
        <f ca="1">IF(EN$1="","",'Total Value'!EN45/'Total Value'!$D45-1)</f>
        <v/>
      </c>
      <c r="EO33" s="14" t="str">
        <f ca="1">IF(EO$1="","",'Total Value'!EO45/'Total Value'!$D45-1)</f>
        <v/>
      </c>
      <c r="EP33" s="14" t="str">
        <f ca="1">IF(EP$1="","",'Total Value'!EP45/'Total Value'!$D45-1)</f>
        <v/>
      </c>
      <c r="EQ33" s="14" t="str">
        <f ca="1">IF(EQ$1="","",'Total Value'!EQ45/'Total Value'!$D45-1)</f>
        <v/>
      </c>
      <c r="ER33" s="14" t="str">
        <f ca="1">IF(ER$1="","",'Total Value'!ER45/'Total Value'!$D45-1)</f>
        <v/>
      </c>
      <c r="ES33" s="14" t="str">
        <f ca="1">IF(ES$1="","",'Total Value'!ES45/'Total Value'!$D45-1)</f>
        <v/>
      </c>
      <c r="ET33" s="14" t="str">
        <f ca="1">IF(ET$1="","",'Total Value'!ET45/'Total Value'!$D45-1)</f>
        <v/>
      </c>
      <c r="EU33" s="14" t="str">
        <f ca="1">IF(EU$1="","",'Total Value'!EU45/'Total Value'!$D45-1)</f>
        <v/>
      </c>
      <c r="EV33" s="14" t="str">
        <f ca="1">IF(EV$1="","",'Total Value'!EV45/'Total Value'!$D45-1)</f>
        <v/>
      </c>
      <c r="EW33" s="14" t="str">
        <f ca="1">IF(EW$1="","",'Total Value'!EW45/'Total Value'!$D45-1)</f>
        <v/>
      </c>
      <c r="EX33" s="14" t="str">
        <f ca="1">IF(EX$1="","",'Total Value'!EX45/'Total Value'!$D45-1)</f>
        <v/>
      </c>
      <c r="EY33" s="14" t="str">
        <f ca="1">IF(EY$1="","",'Total Value'!EY45/'Total Value'!$D45-1)</f>
        <v/>
      </c>
      <c r="EZ33" s="14" t="str">
        <f ca="1">IF(EZ$1="","",'Total Value'!EZ45/'Total Value'!$D45-1)</f>
        <v/>
      </c>
      <c r="FA33" s="14" t="str">
        <f ca="1">IF(FA$1="","",'Total Value'!FA45/'Total Value'!$D45-1)</f>
        <v/>
      </c>
      <c r="FB33" s="14" t="str">
        <f ca="1">IF(FB$1="","",'Total Value'!FB45/'Total Value'!$D45-1)</f>
        <v/>
      </c>
      <c r="FC33" s="14" t="str">
        <f ca="1">IF(FC$1="","",'Total Value'!FC45/'Total Value'!$D45-1)</f>
        <v/>
      </c>
      <c r="FD33" s="14" t="str">
        <f ca="1">IF(FD$1="","",'Total Value'!FD45/'Total Value'!$D45-1)</f>
        <v/>
      </c>
      <c r="FE33" s="14" t="str">
        <f ca="1">IF(FE$1="","",'Total Value'!FE45/'Total Value'!$D45-1)</f>
        <v/>
      </c>
      <c r="FF33" s="14" t="str">
        <f ca="1">IF(FF$1="","",'Total Value'!FF45/'Total Value'!$D45-1)</f>
        <v/>
      </c>
      <c r="FG33" s="14" t="str">
        <f ca="1">IF(FG$1="","",'Total Value'!FG45/'Total Value'!$D45-1)</f>
        <v/>
      </c>
      <c r="FH33" s="14" t="str">
        <f ca="1">IF(FH$1="","",'Total Value'!FH45/'Total Value'!$D45-1)</f>
        <v/>
      </c>
      <c r="FI33" s="14" t="str">
        <f ca="1">IF(FI$1="","",'Total Value'!FI45/'Total Value'!$D45-1)</f>
        <v/>
      </c>
      <c r="FJ33" s="14" t="str">
        <f ca="1">IF(FJ$1="","",'Total Value'!FJ45/'Total Value'!$D45-1)</f>
        <v/>
      </c>
      <c r="FK33" s="14" t="str">
        <f ca="1">IF(FK$1="","",'Total Value'!FK45/'Total Value'!$D45-1)</f>
        <v/>
      </c>
      <c r="FL33" s="14" t="str">
        <f ca="1">IF(FL$1="","",'Total Value'!FL45/'Total Value'!$D45-1)</f>
        <v/>
      </c>
      <c r="FM33" s="14" t="str">
        <f ca="1">IF(FM$1="","",'Total Value'!FM45/'Total Value'!$D45-1)</f>
        <v/>
      </c>
      <c r="FN33" s="14" t="str">
        <f ca="1">IF(FN$1="","",'Total Value'!FN45/'Total Value'!$D45-1)</f>
        <v/>
      </c>
      <c r="FO33" s="14" t="str">
        <f ca="1">IF(FO$1="","",'Total Value'!FO45/'Total Value'!$D45-1)</f>
        <v/>
      </c>
      <c r="FP33" s="14" t="str">
        <f ca="1">IF(FP$1="","",'Total Value'!FP45/'Total Value'!$D45-1)</f>
        <v/>
      </c>
      <c r="FQ33" s="14" t="str">
        <f ca="1">IF(FQ$1="","",'Total Value'!FQ45/'Total Value'!$D45-1)</f>
        <v/>
      </c>
      <c r="FR33" s="14" t="str">
        <f ca="1">IF(FR$1="","",'Total Value'!FR45/'Total Value'!$D45-1)</f>
        <v/>
      </c>
      <c r="FS33" s="14" t="str">
        <f ca="1">IF(FS$1="","",'Total Value'!FS45/'Total Value'!$D45-1)</f>
        <v/>
      </c>
      <c r="FT33" s="14" t="str">
        <f ca="1">IF(FT$1="","",'Total Value'!FT45/'Total Value'!$D45-1)</f>
        <v/>
      </c>
      <c r="FU33" s="14" t="str">
        <f ca="1">IF(FU$1="","",'Total Value'!FU45/'Total Value'!$D45-1)</f>
        <v/>
      </c>
      <c r="FV33" s="14" t="str">
        <f ca="1">IF(FV$1="","",'Total Value'!FV45/'Total Value'!$D45-1)</f>
        <v/>
      </c>
      <c r="FW33" s="14" t="str">
        <f ca="1">IF(FW$1="","",'Total Value'!FW45/'Total Value'!$D45-1)</f>
        <v/>
      </c>
      <c r="FX33" s="14" t="str">
        <f ca="1">IF(FX$1="","",'Total Value'!FX45/'Total Value'!$D45-1)</f>
        <v/>
      </c>
      <c r="FY33" s="14" t="str">
        <f ca="1">IF(FY$1="","",'Total Value'!FY45/'Total Value'!$D45-1)</f>
        <v/>
      </c>
      <c r="FZ33" s="14" t="str">
        <f ca="1">IF(FZ$1="","",'Total Value'!FZ45/'Total Value'!$D45-1)</f>
        <v/>
      </c>
      <c r="GA33" s="14" t="str">
        <f ca="1">IF(GA$1="","",'Total Value'!GA45/'Total Value'!$D45-1)</f>
        <v/>
      </c>
      <c r="GB33" s="14" t="str">
        <f ca="1">IF(GB$1="","",'Total Value'!GB45/'Total Value'!$D45-1)</f>
        <v/>
      </c>
      <c r="GC33" s="14" t="str">
        <f ca="1">IF(GC$1="","",'Total Value'!GC45/'Total Value'!$D45-1)</f>
        <v/>
      </c>
      <c r="GD33" s="14" t="str">
        <f ca="1">IF(GD$1="","",'Total Value'!GD45/'Total Value'!$D45-1)</f>
        <v/>
      </c>
      <c r="GE33" s="14" t="str">
        <f ca="1">IF(GE$1="","",'Total Value'!GE45/'Total Value'!$D45-1)</f>
        <v/>
      </c>
      <c r="GF33" s="14" t="str">
        <f ca="1">IF(GF$1="","",'Total Value'!GF45/'Total Value'!$D45-1)</f>
        <v/>
      </c>
      <c r="GG33" s="14" t="str">
        <f ca="1">IF(GG$1="","",'Total Value'!GG45/'Total Value'!$D45-1)</f>
        <v/>
      </c>
      <c r="GH33" s="14" t="str">
        <f ca="1">IF(GH$1="","",'Total Value'!GH45/'Total Value'!$D45-1)</f>
        <v/>
      </c>
      <c r="GI33" s="14" t="str">
        <f ca="1">IF(GI$1="","",'Total Value'!GI45/'Total Value'!$D45-1)</f>
        <v/>
      </c>
      <c r="GJ33" s="14" t="str">
        <f ca="1">IF(GJ$1="","",'Total Value'!GJ45/'Total Value'!$D45-1)</f>
        <v/>
      </c>
      <c r="GK33" s="14" t="str">
        <f ca="1">IF(GK$1="","",'Total Value'!GK45/'Total Value'!$D45-1)</f>
        <v/>
      </c>
      <c r="GL33" s="14" t="str">
        <f ca="1">IF(GL$1="","",'Total Value'!GL45/'Total Value'!$D45-1)</f>
        <v/>
      </c>
      <c r="GM33" s="14" t="str">
        <f ca="1">IF(GM$1="","",'Total Value'!GM45/'Total Value'!$D45-1)</f>
        <v/>
      </c>
      <c r="GN33" s="14" t="str">
        <f ca="1">IF(GN$1="","",'Total Value'!GN45/'Total Value'!$D45-1)</f>
        <v/>
      </c>
      <c r="GO33" s="14" t="str">
        <f ca="1">IF(GO$1="","",'Total Value'!GO45/'Total Value'!$D45-1)</f>
        <v/>
      </c>
      <c r="GP33" s="14" t="str">
        <f ca="1">IF(GP$1="","",'Total Value'!GP45/'Total Value'!$D45-1)</f>
        <v/>
      </c>
      <c r="GQ33" s="14" t="str">
        <f ca="1">IF(GQ$1="","",'Total Value'!GQ45/'Total Value'!$D45-1)</f>
        <v/>
      </c>
      <c r="GR33" s="14" t="str">
        <f ca="1">IF(GR$1="","",'Total Value'!GR45/'Total Value'!$D45-1)</f>
        <v/>
      </c>
      <c r="GS33" s="14" t="str">
        <f ca="1">IF(GS$1="","",'Total Value'!GS45/'Total Value'!$D45-1)</f>
        <v/>
      </c>
      <c r="GT33" s="14" t="str">
        <f ca="1">IF(GT$1="","",'Total Value'!GT45/'Total Value'!$D45-1)</f>
        <v/>
      </c>
      <c r="GU33" s="14" t="str">
        <f ca="1">IF(GU$1="","",'Total Value'!GU45/'Total Value'!$D45-1)</f>
        <v/>
      </c>
      <c r="GV33" s="14" t="str">
        <f ca="1">IF(GV$1="","",'Total Value'!GV45/'Total Value'!$D45-1)</f>
        <v/>
      </c>
      <c r="GW33" s="14" t="str">
        <f ca="1">IF(GW$1="","",'Total Value'!GW45/'Total Value'!$D45-1)</f>
        <v/>
      </c>
      <c r="GX33" s="14" t="str">
        <f ca="1">IF(GX$1="","",'Total Value'!GX45/'Total Value'!$D45-1)</f>
        <v/>
      </c>
      <c r="GY33" s="14" t="str">
        <f ca="1">IF(GY$1="","",'Total Value'!GY45/'Total Value'!$D45-1)</f>
        <v/>
      </c>
      <c r="GZ33" s="14" t="str">
        <f ca="1">IF(GZ$1="","",'Total Value'!GZ45/'Total Value'!$D45-1)</f>
        <v/>
      </c>
      <c r="HA33" s="14" t="str">
        <f ca="1">IF(HA$1="","",'Total Value'!HA45/'Total Value'!$D45-1)</f>
        <v/>
      </c>
      <c r="HB33" s="14" t="str">
        <f ca="1">IF(HB$1="","",'Total Value'!HB45/'Total Value'!$D45-1)</f>
        <v/>
      </c>
      <c r="HC33" s="14" t="str">
        <f ca="1">IF(HC$1="","",'Total Value'!HC45/'Total Value'!$D45-1)</f>
        <v/>
      </c>
      <c r="HD33" s="14" t="str">
        <f ca="1">IF(HD$1="","",'Total Value'!HD45/'Total Value'!$D45-1)</f>
        <v/>
      </c>
      <c r="HE33" s="14" t="str">
        <f ca="1">IF(HE$1="","",'Total Value'!HE45/'Total Value'!$D45-1)</f>
        <v/>
      </c>
      <c r="HF33" s="14" t="str">
        <f ca="1">IF(HF$1="","",'Total Value'!HF45/'Total Value'!$D45-1)</f>
        <v/>
      </c>
      <c r="HG33" s="14" t="str">
        <f ca="1">IF(HG$1="","",'Total Value'!HG45/'Total Value'!$D45-1)</f>
        <v/>
      </c>
      <c r="HH33" s="14" t="str">
        <f ca="1">IF(HH$1="","",'Total Value'!HH45/'Total Value'!$D45-1)</f>
        <v/>
      </c>
      <c r="HI33" s="14" t="str">
        <f ca="1">IF(HI$1="","",'Total Value'!HI45/'Total Value'!$D45-1)</f>
        <v/>
      </c>
      <c r="HJ33" s="14" t="str">
        <f ca="1">IF(HJ$1="","",'Total Value'!HJ45/'Total Value'!$D45-1)</f>
        <v/>
      </c>
      <c r="HK33" s="14" t="str">
        <f ca="1">IF(HK$1="","",'Total Value'!HK45/'Total Value'!$D45-1)</f>
        <v/>
      </c>
      <c r="HL33" s="14" t="str">
        <f ca="1">IF(HL$1="","",'Total Value'!HL45/'Total Value'!$D45-1)</f>
        <v/>
      </c>
      <c r="HM33" s="14" t="str">
        <f ca="1">IF(HM$1="","",'Total Value'!HM45/'Total Value'!$D45-1)</f>
        <v/>
      </c>
      <c r="HN33" s="14" t="str">
        <f ca="1">IF(HN$1="","",'Total Value'!HN45/'Total Value'!$D45-1)</f>
        <v/>
      </c>
      <c r="HO33" s="14" t="str">
        <f ca="1">IF(HO$1="","",'Total Value'!HO45/'Total Value'!$D45-1)</f>
        <v/>
      </c>
      <c r="HP33" s="14" t="str">
        <f ca="1">IF(HP$1="","",'Total Value'!HP45/'Total Value'!$D45-1)</f>
        <v/>
      </c>
      <c r="HQ33" s="14" t="str">
        <f ca="1">IF(HQ$1="","",'Total Value'!HQ45/'Total Value'!$D45-1)</f>
        <v/>
      </c>
      <c r="HR33" s="14" t="str">
        <f ca="1">IF(HR$1="","",'Total Value'!HR45/'Total Value'!$D45-1)</f>
        <v/>
      </c>
      <c r="HS33" s="14" t="str">
        <f ca="1">IF(HS$1="","",'Total Value'!HS45/'Total Value'!$D45-1)</f>
        <v/>
      </c>
      <c r="HT33" s="14" t="str">
        <f ca="1">IF(HT$1="","",'Total Value'!HT45/'Total Value'!$D45-1)</f>
        <v/>
      </c>
      <c r="HU33" s="14" t="str">
        <f ca="1">IF(HU$1="","",'Total Value'!HU45/'Total Value'!$D45-1)</f>
        <v/>
      </c>
      <c r="HV33" s="14" t="str">
        <f ca="1">IF(HV$1="","",'Total Value'!HV45/'Total Value'!$D45-1)</f>
        <v/>
      </c>
      <c r="HW33" s="14" t="str">
        <f ca="1">IF(HW$1="","",'Total Value'!HW45/'Total Value'!$D45-1)</f>
        <v/>
      </c>
      <c r="HX33" s="14" t="str">
        <f ca="1">IF(HX$1="","",'Total Value'!HX45/'Total Value'!$D45-1)</f>
        <v/>
      </c>
      <c r="HY33" s="14" t="str">
        <f ca="1">IF(HY$1="","",'Total Value'!HY45/'Total Value'!$D45-1)</f>
        <v/>
      </c>
      <c r="HZ33" s="14" t="str">
        <f ca="1">IF(HZ$1="","",'Total Value'!HZ45/'Total Value'!$D45-1)</f>
        <v/>
      </c>
      <c r="IA33" s="14" t="str">
        <f ca="1">IF(IA$1="","",'Total Value'!IA45/'Total Value'!$D45-1)</f>
        <v/>
      </c>
      <c r="IB33" s="14" t="str">
        <f ca="1">IF(IB$1="","",'Total Value'!IB45/'Total Value'!$D45-1)</f>
        <v/>
      </c>
      <c r="IC33" s="14" t="str">
        <f ca="1">IF(IC$1="","",'Total Value'!IC45/'Total Value'!$D45-1)</f>
        <v/>
      </c>
      <c r="ID33" s="14" t="str">
        <f ca="1">IF(ID$1="","",'Total Value'!ID45/'Total Value'!$D45-1)</f>
        <v/>
      </c>
      <c r="IE33" s="14" t="str">
        <f ca="1">IF(IE$1="","",'Total Value'!IE45/'Total Value'!$D45-1)</f>
        <v/>
      </c>
      <c r="IF33" s="14" t="str">
        <f ca="1">IF(IF$1="","",'Total Value'!IF45/'Total Value'!$D45-1)</f>
        <v/>
      </c>
      <c r="IG33" s="14" t="str">
        <f ca="1">IF(IG$1="","",'Total Value'!IG45/'Total Value'!$D45-1)</f>
        <v/>
      </c>
      <c r="IH33" s="14" t="str">
        <f ca="1">IF(IH$1="","",'Total Value'!IH45/'Total Value'!$D45-1)</f>
        <v/>
      </c>
      <c r="II33" s="14" t="str">
        <f ca="1">IF(II$1="","",'Total Value'!II45/'Total Value'!$D45-1)</f>
        <v/>
      </c>
      <c r="IJ33" s="14" t="str">
        <f ca="1">IF(IJ$1="","",'Total Value'!IJ45/'Total Value'!$D45-1)</f>
        <v/>
      </c>
      <c r="IK33" s="14" t="str">
        <f ca="1">IF(IK$1="","",'Total Value'!IK45/'Total Value'!$D45-1)</f>
        <v/>
      </c>
      <c r="IL33" s="14" t="str">
        <f ca="1">IF(IL$1="","",'Total Value'!IL45/'Total Value'!$D45-1)</f>
        <v/>
      </c>
      <c r="IM33" s="14" t="str">
        <f ca="1">IF(IM$1="","",'Total Value'!IM45/'Total Value'!$D45-1)</f>
        <v/>
      </c>
      <c r="IN33" s="14" t="str">
        <f ca="1">IF(IN$1="","",'Total Value'!IN45/'Total Value'!$D45-1)</f>
        <v/>
      </c>
      <c r="IO33" s="14" t="str">
        <f ca="1">IF(IO$1="","",'Total Value'!IO45/'Total Value'!$D45-1)</f>
        <v/>
      </c>
      <c r="IP33" s="14" t="str">
        <f ca="1">IF(IP$1="","",'Total Value'!IP45/'Total Value'!$D45-1)</f>
        <v/>
      </c>
      <c r="IQ33" s="14" t="str">
        <f ca="1">IF(IQ$1="","",'Total Value'!IQ45/'Total Value'!$D45-1)</f>
        <v/>
      </c>
      <c r="IR33" s="14" t="str">
        <f ca="1">IF(IR$1="","",'Total Value'!IR45/'Total Value'!$D45-1)</f>
        <v/>
      </c>
      <c r="IS33" s="14" t="str">
        <f ca="1">IF(IS$1="","",'Total Value'!IS45/'Total Value'!$D45-1)</f>
        <v/>
      </c>
      <c r="IT33" s="14" t="str">
        <f ca="1">IF(IT$1="","",'Total Value'!IT45/'Total Value'!$D45-1)</f>
        <v/>
      </c>
      <c r="IU33" s="14" t="str">
        <f ca="1">IF(IU$1="","",'Total Value'!IU45/'Total Value'!$D45-1)</f>
        <v/>
      </c>
      <c r="IV33" s="14" t="str">
        <f ca="1">IF(IV$1="","",'Total Value'!IV45/'Total Value'!$D45-1)</f>
        <v/>
      </c>
      <c r="IW33" s="14" t="str">
        <f ca="1">IF(IW$1="","",'Total Value'!IW45/'Total Value'!$D45-1)</f>
        <v/>
      </c>
      <c r="IX33" s="14" t="str">
        <f ca="1">IF(IX$1="","",'Total Value'!IX45/'Total Value'!$D45-1)</f>
        <v/>
      </c>
      <c r="IY33" s="14" t="str">
        <f ca="1">IF(IY$1="","",'Total Value'!IY45/'Total Value'!$D45-1)</f>
        <v/>
      </c>
      <c r="IZ33" s="14" t="str">
        <f ca="1">IF(IZ$1="","",'Total Value'!IZ45/'Total Value'!$D45-1)</f>
        <v/>
      </c>
      <c r="JA33" s="14" t="str">
        <f ca="1">IF(JA$1="","",'Total Value'!JA45/'Total Value'!$D45-1)</f>
        <v/>
      </c>
      <c r="JB33" s="14" t="str">
        <f ca="1">IF(JB$1="","",'Total Value'!JB45/'Total Value'!$D45-1)</f>
        <v/>
      </c>
      <c r="JC33" s="14" t="str">
        <f ca="1">IF(JC$1="","",'Total Value'!JC45/'Total Value'!$D45-1)</f>
        <v/>
      </c>
      <c r="JD33" s="14" t="str">
        <f ca="1">IF(JD$1="","",'Total Value'!JD45/'Total Value'!$D45-1)</f>
        <v/>
      </c>
      <c r="JE33" s="14" t="str">
        <f ca="1">IF(JE$1="","",'Total Value'!JE45/'Total Value'!$D45-1)</f>
        <v/>
      </c>
      <c r="JF33" s="14" t="str">
        <f ca="1">IF(JF$1="","",'Total Value'!JF45/'Total Value'!$D45-1)</f>
        <v/>
      </c>
      <c r="JG33" s="14" t="str">
        <f ca="1">IF(JG$1="","",'Total Value'!JG45/'Total Value'!$D45-1)</f>
        <v/>
      </c>
      <c r="JH33" s="14" t="str">
        <f ca="1">IF(JH$1="","",'Total Value'!JH45/'Total Value'!$D45-1)</f>
        <v/>
      </c>
      <c r="JI33" s="14" t="str">
        <f ca="1">IF(JI$1="","",'Total Value'!JI45/'Total Value'!$D45-1)</f>
        <v/>
      </c>
      <c r="JJ33" s="14" t="str">
        <f ca="1">IF(JJ$1="","",'Total Value'!JJ45/'Total Value'!$D45-1)</f>
        <v/>
      </c>
      <c r="JK33" s="14" t="str">
        <f ca="1">IF(JK$1="","",'Total Value'!JK45/'Total Value'!$D45-1)</f>
        <v/>
      </c>
      <c r="JL33" s="14" t="str">
        <f ca="1">IF(JL$1="","",'Total Value'!JL45/'Total Value'!$D45-1)</f>
        <v/>
      </c>
      <c r="JM33" s="14" t="str">
        <f ca="1">IF(JM$1="","",'Total Value'!JM45/'Total Value'!$D45-1)</f>
        <v/>
      </c>
      <c r="JN33" s="14" t="str">
        <f ca="1">IF(JN$1="","",'Total Value'!JN45/'Total Value'!$D45-1)</f>
        <v/>
      </c>
      <c r="JO33" s="14" t="str">
        <f ca="1">IF(JO$1="","",'Total Value'!JO45/'Total Value'!$D45-1)</f>
        <v/>
      </c>
      <c r="JP33" s="14" t="str">
        <f ca="1">IF(JP$1="","",'Total Value'!JP45/'Total Value'!$D45-1)</f>
        <v/>
      </c>
      <c r="JQ33" s="14" t="str">
        <f ca="1">IF(JQ$1="","",'Total Value'!JQ45/'Total Value'!$D45-1)</f>
        <v/>
      </c>
      <c r="JR33" s="14" t="str">
        <f ca="1">IF(JR$1="","",'Total Value'!JR45/'Total Value'!$D45-1)</f>
        <v/>
      </c>
      <c r="JS33" s="14" t="str">
        <f ca="1">IF(JS$1="","",'Total Value'!JS45/'Total Value'!$D45-1)</f>
        <v/>
      </c>
      <c r="JT33" s="14" t="str">
        <f ca="1">IF(JT$1="","",'Total Value'!JT45/'Total Value'!$D45-1)</f>
        <v/>
      </c>
      <c r="JU33" s="14" t="str">
        <f ca="1">IF(JU$1="","",'Total Value'!JU45/'Total Value'!$D45-1)</f>
        <v/>
      </c>
      <c r="JV33" s="14" t="str">
        <f ca="1">IF(JV$1="","",'Total Value'!JV45/'Total Value'!$D45-1)</f>
        <v/>
      </c>
      <c r="JW33" s="14" t="str">
        <f ca="1">IF(JW$1="","",'Total Value'!JW45/'Total Value'!$D45-1)</f>
        <v/>
      </c>
      <c r="JX33" s="14" t="str">
        <f ca="1">IF(JX$1="","",'Total Value'!JX45/'Total Value'!$D45-1)</f>
        <v/>
      </c>
      <c r="JY33" s="14" t="str">
        <f ca="1">IF(JY$1="","",'Total Value'!JY45/'Total Value'!$D45-1)</f>
        <v/>
      </c>
      <c r="JZ33" s="14" t="str">
        <f ca="1">IF(JZ$1="","",'Total Value'!JZ45/'Total Value'!$D45-1)</f>
        <v/>
      </c>
      <c r="KA33" s="14" t="str">
        <f ca="1">IF(KA$1="","",'Total Value'!KA45/'Total Value'!$D45-1)</f>
        <v/>
      </c>
      <c r="KB33" s="14" t="str">
        <f ca="1">IF(KB$1="","",'Total Value'!KB45/'Total Value'!$D45-1)</f>
        <v/>
      </c>
    </row>
    <row r="34" spans="1:288" ht="15.75" customHeight="1">
      <c r="A34" s="9" t="s">
        <v>30</v>
      </c>
      <c r="B34" s="6" t="s">
        <v>78</v>
      </c>
      <c r="C34" s="26">
        <v>4</v>
      </c>
      <c r="D34" s="13">
        <v>0</v>
      </c>
      <c r="E34" s="14">
        <f ca="1">IF(E$1="","",'Total Value'!E46/'Total Value'!$D46-1)</f>
        <v>1.6027874564459976E-2</v>
      </c>
      <c r="F34" s="14">
        <f ca="1">IF(F$1="","",'Total Value'!F46/'Total Value'!$D46-1)</f>
        <v>2.0871080139372777E-2</v>
      </c>
      <c r="G34" s="14">
        <f ca="1">IF(G$1="","",'Total Value'!G46/'Total Value'!$D46-1)</f>
        <v>-6.9337979094077351E-3</v>
      </c>
      <c r="H34" s="14">
        <f ca="1">IF(H$1="","",'Total Value'!H46/'Total Value'!$D46-1)</f>
        <v>-9.4076655052264258E-3</v>
      </c>
      <c r="I34" s="14">
        <f ca="1">IF(I$1="","",'Total Value'!I46/'Total Value'!$D46-1)</f>
        <v>-1.2787456445993106E-2</v>
      </c>
      <c r="J34" s="14">
        <f ca="1">IF(J$1="","",'Total Value'!J46/'Total Value'!$D46-1)</f>
        <v>-3.4912891986062622E-2</v>
      </c>
      <c r="K34" s="14">
        <f ca="1">IF(K$1="","",'Total Value'!K46/'Total Value'!$D46-1)</f>
        <v>-4.5714285714285707E-2</v>
      </c>
      <c r="L34" s="14">
        <f ca="1">IF(L$1="","",'Total Value'!L46/'Total Value'!$D46-1)</f>
        <v>-8.8815331010453025E-2</v>
      </c>
      <c r="M34" s="14">
        <f ca="1">IF(M$1="","",'Total Value'!M46/'Total Value'!$D46-1)</f>
        <v>-8.5644599303135838E-2</v>
      </c>
      <c r="N34" s="14">
        <f ca="1">IF(N$1="","",'Total Value'!N46/'Total Value'!$D46-1)</f>
        <v>-0.12177700348432052</v>
      </c>
      <c r="O34" s="14">
        <f ca="1">IF(O$1="","",'Total Value'!O46/'Total Value'!$D46-1)</f>
        <v>-0.12947735191637633</v>
      </c>
      <c r="P34" s="14">
        <f ca="1">IF(P$1="","",'Total Value'!P46/'Total Value'!$D46-1)</f>
        <v>-0.14494773519163762</v>
      </c>
      <c r="Q34" s="14">
        <f ca="1">IF(Q$1="","",'Total Value'!Q46/'Total Value'!$D46-1)</f>
        <v>-0.13644599303135885</v>
      </c>
      <c r="R34" s="14">
        <f ca="1">IF(R$1="","",'Total Value'!R46/'Total Value'!$D46-1)</f>
        <v>-8.8222996515679442E-2</v>
      </c>
      <c r="S34" s="14">
        <f ca="1">IF(S$1="","",'Total Value'!S46/'Total Value'!$D46-1)</f>
        <v>-8.7142857142857078E-2</v>
      </c>
      <c r="T34" s="14">
        <f ca="1">IF(T$1="","",'Total Value'!T46/'Total Value'!$D46-1)</f>
        <v>-9.9303135888501703E-2</v>
      </c>
      <c r="U34" s="14">
        <f ca="1">IF(U$1="","",'Total Value'!U46/'Total Value'!$D46-1)</f>
        <v>-0.1273867595818815</v>
      </c>
      <c r="V34" s="14">
        <f ca="1">IF(V$1="","",'Total Value'!V46/'Total Value'!$D46-1)</f>
        <v>-6.0975609756097615E-2</v>
      </c>
      <c r="W34" s="14">
        <f ca="1">IF(W$1="","",'Total Value'!W46/'Total Value'!$D46-1)</f>
        <v>-9.1324041811846612E-2</v>
      </c>
      <c r="X34" s="14">
        <f ca="1">IF(X$1="","",'Total Value'!X46/'Total Value'!$D46-1)</f>
        <v>-8.4041811846689907E-2</v>
      </c>
      <c r="Y34" s="14">
        <f ca="1">IF(Y$1="","",'Total Value'!Y46/'Total Value'!$D46-1)</f>
        <v>-5.9198606271777088E-2</v>
      </c>
      <c r="Z34" s="14">
        <f ca="1">IF(Z$1="","",'Total Value'!Z46/'Total Value'!$D46-1)</f>
        <v>-9.797909407665506E-2</v>
      </c>
      <c r="AA34" s="14">
        <f ca="1">IF(AA$1="","",'Total Value'!AA46/'Total Value'!$D46-1)</f>
        <v>-0.10717770034843199</v>
      </c>
      <c r="AB34" s="14">
        <f ca="1">IF(AB$1="","",'Total Value'!AB46/'Total Value'!$D46-1)</f>
        <v>-0.1171428571428571</v>
      </c>
      <c r="AC34" s="14">
        <f ca="1">IF(AC$1="","",'Total Value'!AC46/'Total Value'!$D46-1)</f>
        <v>-8.70034843205576E-2</v>
      </c>
      <c r="AD34" s="14">
        <f ca="1">IF(AD$1="","",'Total Value'!AD46/'Total Value'!$D46-1)</f>
        <v>-8.0278745644599359E-2</v>
      </c>
      <c r="AE34" s="14">
        <f ca="1">IF(AE$1="","",'Total Value'!AE46/'Total Value'!$D46-1)</f>
        <v>-0.12564459930313587</v>
      </c>
      <c r="AF34" s="14">
        <f ca="1">IF(AF$1="","",'Total Value'!AF46/'Total Value'!$D46-1)</f>
        <v>-0.12045296167247388</v>
      </c>
      <c r="AG34" s="14">
        <f ca="1">IF(AG$1="","",'Total Value'!AG46/'Total Value'!$D46-1)</f>
        <v>-0.12832752613240428</v>
      </c>
      <c r="AH34" s="14">
        <f ca="1">IF(AH$1="","",'Total Value'!AH46/'Total Value'!$D46-1)</f>
        <v>-0.16466898954703835</v>
      </c>
      <c r="AI34" s="14">
        <f ca="1">IF(AI$1="","",'Total Value'!AI46/'Total Value'!$D46-1)</f>
        <v>-0.15912891986062716</v>
      </c>
      <c r="AJ34" s="14">
        <f ca="1">IF(AJ$1="","",'Total Value'!AJ46/'Total Value'!$D46-1)</f>
        <v>-0.1350174216027874</v>
      </c>
      <c r="AK34" s="14">
        <f ca="1">IF(AK$1="","",'Total Value'!AK46/'Total Value'!$D46-1)</f>
        <v>-0.16160278745644596</v>
      </c>
      <c r="AL34" s="14">
        <f ca="1">IF(AL$1="","",'Total Value'!AL46/'Total Value'!$D46-1)</f>
        <v>-0.19372822299651571</v>
      </c>
      <c r="AM34" s="14">
        <f ca="1">IF(AM$1="","",'Total Value'!AM46/'Total Value'!$D46-1)</f>
        <v>-0.16344947735191639</v>
      </c>
      <c r="AN34" s="14">
        <f ca="1">IF(AN$1="","",'Total Value'!AN46/'Total Value'!$D46-1)</f>
        <v>-0.18222996515679446</v>
      </c>
      <c r="AO34" s="14">
        <f ca="1">IF(AO$1="","",'Total Value'!AO46/'Total Value'!$D46-1)</f>
        <v>-0.2321254355400697</v>
      </c>
      <c r="AP34" s="14">
        <f ca="1">IF(AP$1="","",'Total Value'!AP46/'Total Value'!$D46-1)</f>
        <v>-0.27968641114982584</v>
      </c>
      <c r="AQ34" s="14">
        <f ca="1">IF(AQ$1="","",'Total Value'!AQ46/'Total Value'!$D46-1)</f>
        <v>-0.28205574912891984</v>
      </c>
      <c r="AR34" s="14">
        <f ca="1">IF(AR$1="","",'Total Value'!AR46/'Total Value'!$D46-1)</f>
        <v>-0.24372822299651564</v>
      </c>
      <c r="AS34" s="14">
        <f ca="1">IF(AS$1="","",'Total Value'!AS46/'Total Value'!$D46-1)</f>
        <v>-0.25895470383275254</v>
      </c>
      <c r="AT34" s="14">
        <f ca="1">IF(AT$1="","",'Total Value'!AT46/'Total Value'!$D46-1)</f>
        <v>-0.26257839721254361</v>
      </c>
      <c r="AU34" s="14">
        <f ca="1">IF(AU$1="","",'Total Value'!AU46/'Total Value'!$D46-1)</f>
        <v>-0.25557491289198608</v>
      </c>
      <c r="AV34" s="14">
        <f ca="1">IF(AV$1="","",'Total Value'!AV46/'Total Value'!$D46-1)</f>
        <v>-0.2397212543554007</v>
      </c>
      <c r="AW34" s="14">
        <f ca="1">IF(AW$1="","",'Total Value'!AW46/'Total Value'!$D46-1)</f>
        <v>-0.19390243902439031</v>
      </c>
      <c r="AX34" s="14">
        <f ca="1">IF(AX$1="","",'Total Value'!AX46/'Total Value'!$D46-1)</f>
        <v>-0.17505226480836245</v>
      </c>
      <c r="AY34" s="14">
        <f ca="1">IF(AY$1="","",'Total Value'!AY46/'Total Value'!$D46-1)</f>
        <v>-0.16895470383275268</v>
      </c>
      <c r="AZ34" s="14">
        <f ca="1">IF(AZ$1="","",'Total Value'!AZ46/'Total Value'!$D46-1)</f>
        <v>-0.16421602787456446</v>
      </c>
      <c r="BA34" s="14">
        <f ca="1">IF(BA$1="","",'Total Value'!BA46/'Total Value'!$D46-1)</f>
        <v>-0.15268292682926832</v>
      </c>
      <c r="BB34" s="14">
        <f ca="1">IF(BB$1="","",'Total Value'!BB46/'Total Value'!$D46-1)</f>
        <v>-0.1708362369337979</v>
      </c>
      <c r="BC34" s="14">
        <f ca="1">IF(BC$1="","",'Total Value'!BC46/'Total Value'!$D46-1)</f>
        <v>-0.15790940766550521</v>
      </c>
      <c r="BD34" s="14">
        <f ca="1">IF(BD$1="","",'Total Value'!BD46/'Total Value'!$D46-1)</f>
        <v>-0.14797909407665499</v>
      </c>
      <c r="BE34" s="14">
        <f ca="1">IF(BE$1="","",'Total Value'!BE46/'Total Value'!$D46-1)</f>
        <v>-0.16296167247386761</v>
      </c>
      <c r="BF34" s="14">
        <f ca="1">IF(BF$1="","",'Total Value'!BF46/'Total Value'!$D46-1)</f>
        <v>-0.13808362369337979</v>
      </c>
      <c r="BG34" s="14">
        <f ca="1">IF(BG$1="","",'Total Value'!BG46/'Total Value'!$D46-1)</f>
        <v>-0.15494773519163763</v>
      </c>
      <c r="BH34" s="14">
        <f ca="1">IF(BH$1="","",'Total Value'!BH46/'Total Value'!$D46-1)</f>
        <v>-0.16379790940766548</v>
      </c>
      <c r="BI34" s="14">
        <f ca="1">IF(BI$1="","",'Total Value'!BI46/'Total Value'!$D46-1)</f>
        <v>-0.16470383275261324</v>
      </c>
      <c r="BJ34" s="14">
        <f ca="1">IF(BJ$1="","",'Total Value'!BJ46/'Total Value'!$D46-1)</f>
        <v>-0.17202090592334496</v>
      </c>
      <c r="BK34" s="14">
        <f ca="1">IF(BK$1="","",'Total Value'!BK46/'Total Value'!$D46-1)</f>
        <v>-0.19142857142857139</v>
      </c>
      <c r="BL34" s="14">
        <f ca="1">IF(BL$1="","",'Total Value'!BL46/'Total Value'!$D46-1)</f>
        <v>-0.22944250871080141</v>
      </c>
      <c r="BM34" s="14">
        <f ca="1">IF(BM$1="","",'Total Value'!BM46/'Total Value'!$D46-1)</f>
        <v>-0.23930313588850172</v>
      </c>
      <c r="BN34" s="14">
        <f ca="1">IF(BN$1="","",'Total Value'!BN46/'Total Value'!$D46-1)</f>
        <v>-0.28989547038327523</v>
      </c>
      <c r="BO34" s="14">
        <f ca="1">IF(BO$1="","",'Total Value'!BO46/'Total Value'!$D46-1)</f>
        <v>-0.30700348432055757</v>
      </c>
      <c r="BP34" s="14">
        <f ca="1">IF(BP$1="","",'Total Value'!BP46/'Total Value'!$D46-1)</f>
        <v>-0.30912891986062718</v>
      </c>
      <c r="BQ34" s="14">
        <f ca="1">IF(BQ$1="","",'Total Value'!BQ46/'Total Value'!$D46-1)</f>
        <v>-0.27871080139372828</v>
      </c>
      <c r="BR34" s="14">
        <f ca="1">IF(BR$1="","",'Total Value'!BR46/'Total Value'!$D46-1)</f>
        <v>-0.29268292682926833</v>
      </c>
      <c r="BS34" s="14">
        <f ca="1">IF(BS$1="","",'Total Value'!BS46/'Total Value'!$D46-1)</f>
        <v>-0.30794425087108013</v>
      </c>
      <c r="BT34" s="14">
        <f ca="1">IF(BT$1="","",'Total Value'!BT46/'Total Value'!$D46-1)</f>
        <v>-0.26968641114982583</v>
      </c>
      <c r="BU34" s="14">
        <f ca="1">IF(BU$1="","",'Total Value'!BU46/'Total Value'!$D46-1)</f>
        <v>-0.26919860627177694</v>
      </c>
      <c r="BV34" s="14">
        <f ca="1">IF(BV$1="","",'Total Value'!BV46/'Total Value'!$D46-1)</f>
        <v>-0.2909407665505227</v>
      </c>
      <c r="BW34" s="14">
        <f ca="1">IF(BW$1="","",'Total Value'!BW46/'Total Value'!$D46-1)</f>
        <v>-0.31484320557491297</v>
      </c>
      <c r="BX34" s="14">
        <f ca="1">IF(BX$1="","",'Total Value'!BX46/'Total Value'!$D46-1)</f>
        <v>-0.31212543554006977</v>
      </c>
      <c r="BY34" s="14">
        <f ca="1">IF(BY$1="","",'Total Value'!BY46/'Total Value'!$D46-1)</f>
        <v>-0.35529616724738677</v>
      </c>
      <c r="BZ34" s="14">
        <f ca="1">IF(BZ$1="","",'Total Value'!BZ46/'Total Value'!$D46-1)</f>
        <v>-0.36435540069686412</v>
      </c>
      <c r="CA34" s="14">
        <f ca="1">IF(CA$1="","",'Total Value'!CA46/'Total Value'!$D46-1)</f>
        <v>-0.35888501742160284</v>
      </c>
      <c r="CB34" s="14">
        <f ca="1">IF(CB$1="","",'Total Value'!CB46/'Total Value'!$D46-1)</f>
        <v>-0.3827177700348432</v>
      </c>
      <c r="CC34" s="14">
        <f ca="1">IF(CC$1="","",'Total Value'!CC46/'Total Value'!$D46-1)</f>
        <v>-0.37331010452961666</v>
      </c>
      <c r="CD34" s="14">
        <f ca="1">IF(CD$1="","",'Total Value'!CD46/'Total Value'!$D46-1)</f>
        <v>-0.38045296167247389</v>
      </c>
      <c r="CE34" s="14">
        <f ca="1">IF(CE$1="","",'Total Value'!CE46/'Total Value'!$D46-1)</f>
        <v>-0.35933797909407661</v>
      </c>
      <c r="CF34" s="14" t="str">
        <f ca="1">IF(CF$1="","",'Total Value'!CF46/'Total Value'!$D46-1)</f>
        <v/>
      </c>
      <c r="CG34" s="14" t="str">
        <f ca="1">IF(CG$1="","",'Total Value'!CG46/'Total Value'!$D46-1)</f>
        <v/>
      </c>
      <c r="CH34" s="14" t="str">
        <f ca="1">IF(CH$1="","",'Total Value'!CH46/'Total Value'!$D46-1)</f>
        <v/>
      </c>
      <c r="CI34" s="14" t="str">
        <f ca="1">IF(CI$1="","",'Total Value'!CI46/'Total Value'!$D46-1)</f>
        <v/>
      </c>
      <c r="CJ34" s="14" t="str">
        <f ca="1">IF(CJ$1="","",'Total Value'!CJ46/'Total Value'!$D46-1)</f>
        <v/>
      </c>
      <c r="CK34" s="14" t="str">
        <f ca="1">IF(CK$1="","",'Total Value'!CK46/'Total Value'!$D46-1)</f>
        <v/>
      </c>
      <c r="CL34" s="14" t="str">
        <f ca="1">IF(CL$1="","",'Total Value'!CL46/'Total Value'!$D46-1)</f>
        <v/>
      </c>
      <c r="CM34" s="14" t="str">
        <f ca="1">IF(CM$1="","",'Total Value'!CM46/'Total Value'!$D46-1)</f>
        <v/>
      </c>
      <c r="CN34" s="14" t="str">
        <f ca="1">IF(CN$1="","",'Total Value'!CN46/'Total Value'!$D46-1)</f>
        <v/>
      </c>
      <c r="CO34" s="14" t="str">
        <f ca="1">IF(CO$1="","",'Total Value'!CO46/'Total Value'!$D46-1)</f>
        <v/>
      </c>
      <c r="CP34" s="14" t="str">
        <f ca="1">IF(CP$1="","",'Total Value'!CP46/'Total Value'!$D46-1)</f>
        <v/>
      </c>
      <c r="CQ34" s="14" t="str">
        <f ca="1">IF(CQ$1="","",'Total Value'!CQ46/'Total Value'!$D46-1)</f>
        <v/>
      </c>
      <c r="CR34" s="14" t="str">
        <f ca="1">IF(CR$1="","",'Total Value'!CR46/'Total Value'!$D46-1)</f>
        <v/>
      </c>
      <c r="CS34" s="14" t="str">
        <f ca="1">IF(CS$1="","",'Total Value'!CS46/'Total Value'!$D46-1)</f>
        <v/>
      </c>
      <c r="CT34" s="14" t="str">
        <f ca="1">IF(CT$1="","",'Total Value'!CT46/'Total Value'!$D46-1)</f>
        <v/>
      </c>
      <c r="CU34" s="14" t="str">
        <f ca="1">IF(CU$1="","",'Total Value'!CU46/'Total Value'!$D46-1)</f>
        <v/>
      </c>
      <c r="CV34" s="14" t="str">
        <f ca="1">IF(CV$1="","",'Total Value'!CV46/'Total Value'!$D46-1)</f>
        <v/>
      </c>
      <c r="CW34" s="14" t="str">
        <f ca="1">IF(CW$1="","",'Total Value'!CW46/'Total Value'!$D46-1)</f>
        <v/>
      </c>
      <c r="CX34" s="14" t="str">
        <f ca="1">IF(CX$1="","",'Total Value'!CX46/'Total Value'!$D46-1)</f>
        <v/>
      </c>
      <c r="CY34" s="14" t="str">
        <f ca="1">IF(CY$1="","",'Total Value'!CY46/'Total Value'!$D46-1)</f>
        <v/>
      </c>
      <c r="CZ34" s="14" t="str">
        <f ca="1">IF(CZ$1="","",'Total Value'!CZ46/'Total Value'!$D46-1)</f>
        <v/>
      </c>
      <c r="DA34" s="14" t="str">
        <f ca="1">IF(DA$1="","",'Total Value'!DA46/'Total Value'!$D46-1)</f>
        <v/>
      </c>
      <c r="DB34" s="14" t="str">
        <f ca="1">IF(DB$1="","",'Total Value'!DB46/'Total Value'!$D46-1)</f>
        <v/>
      </c>
      <c r="DC34" s="14" t="str">
        <f ca="1">IF(DC$1="","",'Total Value'!DC46/'Total Value'!$D46-1)</f>
        <v/>
      </c>
      <c r="DD34" s="14" t="str">
        <f ca="1">IF(DD$1="","",'Total Value'!DD46/'Total Value'!$D46-1)</f>
        <v/>
      </c>
      <c r="DE34" s="14" t="str">
        <f ca="1">IF(DE$1="","",'Total Value'!DE46/'Total Value'!$D46-1)</f>
        <v/>
      </c>
      <c r="DF34" s="14" t="str">
        <f ca="1">IF(DF$1="","",'Total Value'!DF46/'Total Value'!$D46-1)</f>
        <v/>
      </c>
      <c r="DG34" s="14" t="str">
        <f ca="1">IF(DG$1="","",'Total Value'!DG46/'Total Value'!$D46-1)</f>
        <v/>
      </c>
      <c r="DH34" s="14" t="str">
        <f ca="1">IF(DH$1="","",'Total Value'!DH46/'Total Value'!$D46-1)</f>
        <v/>
      </c>
      <c r="DI34" s="14" t="str">
        <f ca="1">IF(DI$1="","",'Total Value'!DI46/'Total Value'!$D46-1)</f>
        <v/>
      </c>
      <c r="DJ34" s="14" t="str">
        <f ca="1">IF(DJ$1="","",'Total Value'!DJ46/'Total Value'!$D46-1)</f>
        <v/>
      </c>
      <c r="DK34" s="14" t="str">
        <f ca="1">IF(DK$1="","",'Total Value'!DK46/'Total Value'!$D46-1)</f>
        <v/>
      </c>
      <c r="DL34" s="14" t="str">
        <f ca="1">IF(DL$1="","",'Total Value'!DL46/'Total Value'!$D46-1)</f>
        <v/>
      </c>
      <c r="DM34" s="14" t="str">
        <f ca="1">IF(DM$1="","",'Total Value'!DM46/'Total Value'!$D46-1)</f>
        <v/>
      </c>
      <c r="DN34" s="14" t="str">
        <f ca="1">IF(DN$1="","",'Total Value'!DN46/'Total Value'!$D46-1)</f>
        <v/>
      </c>
      <c r="DO34" s="14" t="str">
        <f ca="1">IF(DO$1="","",'Total Value'!DO46/'Total Value'!$D46-1)</f>
        <v/>
      </c>
      <c r="DP34" s="14" t="str">
        <f ca="1">IF(DP$1="","",'Total Value'!DP46/'Total Value'!$D46-1)</f>
        <v/>
      </c>
      <c r="DQ34" s="14" t="str">
        <f ca="1">IF(DQ$1="","",'Total Value'!DQ46/'Total Value'!$D46-1)</f>
        <v/>
      </c>
      <c r="DR34" s="14" t="str">
        <f ca="1">IF(DR$1="","",'Total Value'!DR46/'Total Value'!$D46-1)</f>
        <v/>
      </c>
      <c r="DS34" s="14" t="str">
        <f ca="1">IF(DS$1="","",'Total Value'!DS46/'Total Value'!$D46-1)</f>
        <v/>
      </c>
      <c r="DT34" s="14" t="str">
        <f ca="1">IF(DT$1="","",'Total Value'!DT46/'Total Value'!$D46-1)</f>
        <v/>
      </c>
      <c r="DU34" s="14" t="str">
        <f ca="1">IF(DU$1="","",'Total Value'!DU46/'Total Value'!$D46-1)</f>
        <v/>
      </c>
      <c r="DV34" s="14" t="str">
        <f ca="1">IF(DV$1="","",'Total Value'!DV46/'Total Value'!$D46-1)</f>
        <v/>
      </c>
      <c r="DW34" s="14" t="str">
        <f ca="1">IF(DW$1="","",'Total Value'!DW46/'Total Value'!$D46-1)</f>
        <v/>
      </c>
      <c r="DX34" s="14" t="str">
        <f ca="1">IF(DX$1="","",'Total Value'!DX46/'Total Value'!$D46-1)</f>
        <v/>
      </c>
      <c r="DY34" s="14" t="str">
        <f ca="1">IF(DY$1="","",'Total Value'!DY46/'Total Value'!$D46-1)</f>
        <v/>
      </c>
      <c r="DZ34" s="14" t="str">
        <f ca="1">IF(DZ$1="","",'Total Value'!DZ46/'Total Value'!$D46-1)</f>
        <v/>
      </c>
      <c r="EA34" s="14" t="str">
        <f ca="1">IF(EA$1="","",'Total Value'!EA46/'Total Value'!$D46-1)</f>
        <v/>
      </c>
      <c r="EB34" s="14" t="str">
        <f ca="1">IF(EB$1="","",'Total Value'!EB46/'Total Value'!$D46-1)</f>
        <v/>
      </c>
      <c r="EC34" s="14" t="str">
        <f ca="1">IF(EC$1="","",'Total Value'!EC46/'Total Value'!$D46-1)</f>
        <v/>
      </c>
      <c r="ED34" s="14" t="str">
        <f ca="1">IF(ED$1="","",'Total Value'!ED46/'Total Value'!$D46-1)</f>
        <v/>
      </c>
      <c r="EE34" s="14" t="str">
        <f ca="1">IF(EE$1="","",'Total Value'!EE46/'Total Value'!$D46-1)</f>
        <v/>
      </c>
      <c r="EF34" s="14" t="str">
        <f ca="1">IF(EF$1="","",'Total Value'!EF46/'Total Value'!$D46-1)</f>
        <v/>
      </c>
      <c r="EG34" s="14" t="str">
        <f ca="1">IF(EG$1="","",'Total Value'!EG46/'Total Value'!$D46-1)</f>
        <v/>
      </c>
      <c r="EH34" s="14" t="str">
        <f ca="1">IF(EH$1="","",'Total Value'!EH46/'Total Value'!$D46-1)</f>
        <v/>
      </c>
      <c r="EI34" s="14" t="str">
        <f ca="1">IF(EI$1="","",'Total Value'!EI46/'Total Value'!$D46-1)</f>
        <v/>
      </c>
      <c r="EJ34" s="14" t="str">
        <f ca="1">IF(EJ$1="","",'Total Value'!EJ46/'Total Value'!$D46-1)</f>
        <v/>
      </c>
      <c r="EK34" s="14" t="str">
        <f ca="1">IF(EK$1="","",'Total Value'!EK46/'Total Value'!$D46-1)</f>
        <v/>
      </c>
      <c r="EL34" s="14" t="str">
        <f ca="1">IF(EL$1="","",'Total Value'!EL46/'Total Value'!$D46-1)</f>
        <v/>
      </c>
      <c r="EM34" s="14" t="str">
        <f ca="1">IF(EM$1="","",'Total Value'!EM46/'Total Value'!$D46-1)</f>
        <v/>
      </c>
      <c r="EN34" s="14" t="str">
        <f ca="1">IF(EN$1="","",'Total Value'!EN46/'Total Value'!$D46-1)</f>
        <v/>
      </c>
      <c r="EO34" s="14" t="str">
        <f ca="1">IF(EO$1="","",'Total Value'!EO46/'Total Value'!$D46-1)</f>
        <v/>
      </c>
      <c r="EP34" s="14" t="str">
        <f ca="1">IF(EP$1="","",'Total Value'!EP46/'Total Value'!$D46-1)</f>
        <v/>
      </c>
      <c r="EQ34" s="14" t="str">
        <f ca="1">IF(EQ$1="","",'Total Value'!EQ46/'Total Value'!$D46-1)</f>
        <v/>
      </c>
      <c r="ER34" s="14" t="str">
        <f ca="1">IF(ER$1="","",'Total Value'!ER46/'Total Value'!$D46-1)</f>
        <v/>
      </c>
      <c r="ES34" s="14" t="str">
        <f ca="1">IF(ES$1="","",'Total Value'!ES46/'Total Value'!$D46-1)</f>
        <v/>
      </c>
      <c r="ET34" s="14" t="str">
        <f ca="1">IF(ET$1="","",'Total Value'!ET46/'Total Value'!$D46-1)</f>
        <v/>
      </c>
      <c r="EU34" s="14" t="str">
        <f ca="1">IF(EU$1="","",'Total Value'!EU46/'Total Value'!$D46-1)</f>
        <v/>
      </c>
      <c r="EV34" s="14" t="str">
        <f ca="1">IF(EV$1="","",'Total Value'!EV46/'Total Value'!$D46-1)</f>
        <v/>
      </c>
      <c r="EW34" s="14" t="str">
        <f ca="1">IF(EW$1="","",'Total Value'!EW46/'Total Value'!$D46-1)</f>
        <v/>
      </c>
      <c r="EX34" s="14" t="str">
        <f ca="1">IF(EX$1="","",'Total Value'!EX46/'Total Value'!$D46-1)</f>
        <v/>
      </c>
      <c r="EY34" s="14" t="str">
        <f ca="1">IF(EY$1="","",'Total Value'!EY46/'Total Value'!$D46-1)</f>
        <v/>
      </c>
      <c r="EZ34" s="14" t="str">
        <f ca="1">IF(EZ$1="","",'Total Value'!EZ46/'Total Value'!$D46-1)</f>
        <v/>
      </c>
      <c r="FA34" s="14" t="str">
        <f ca="1">IF(FA$1="","",'Total Value'!FA46/'Total Value'!$D46-1)</f>
        <v/>
      </c>
      <c r="FB34" s="14" t="str">
        <f ca="1">IF(FB$1="","",'Total Value'!FB46/'Total Value'!$D46-1)</f>
        <v/>
      </c>
      <c r="FC34" s="14" t="str">
        <f ca="1">IF(FC$1="","",'Total Value'!FC46/'Total Value'!$D46-1)</f>
        <v/>
      </c>
      <c r="FD34" s="14" t="str">
        <f ca="1">IF(FD$1="","",'Total Value'!FD46/'Total Value'!$D46-1)</f>
        <v/>
      </c>
      <c r="FE34" s="14" t="str">
        <f ca="1">IF(FE$1="","",'Total Value'!FE46/'Total Value'!$D46-1)</f>
        <v/>
      </c>
      <c r="FF34" s="14" t="str">
        <f ca="1">IF(FF$1="","",'Total Value'!FF46/'Total Value'!$D46-1)</f>
        <v/>
      </c>
      <c r="FG34" s="14" t="str">
        <f ca="1">IF(FG$1="","",'Total Value'!FG46/'Total Value'!$D46-1)</f>
        <v/>
      </c>
      <c r="FH34" s="14" t="str">
        <f ca="1">IF(FH$1="","",'Total Value'!FH46/'Total Value'!$D46-1)</f>
        <v/>
      </c>
      <c r="FI34" s="14" t="str">
        <f ca="1">IF(FI$1="","",'Total Value'!FI46/'Total Value'!$D46-1)</f>
        <v/>
      </c>
      <c r="FJ34" s="14" t="str">
        <f ca="1">IF(FJ$1="","",'Total Value'!FJ46/'Total Value'!$D46-1)</f>
        <v/>
      </c>
      <c r="FK34" s="14" t="str">
        <f ca="1">IF(FK$1="","",'Total Value'!FK46/'Total Value'!$D46-1)</f>
        <v/>
      </c>
      <c r="FL34" s="14" t="str">
        <f ca="1">IF(FL$1="","",'Total Value'!FL46/'Total Value'!$D46-1)</f>
        <v/>
      </c>
      <c r="FM34" s="14" t="str">
        <f ca="1">IF(FM$1="","",'Total Value'!FM46/'Total Value'!$D46-1)</f>
        <v/>
      </c>
      <c r="FN34" s="14" t="str">
        <f ca="1">IF(FN$1="","",'Total Value'!FN46/'Total Value'!$D46-1)</f>
        <v/>
      </c>
      <c r="FO34" s="14" t="str">
        <f ca="1">IF(FO$1="","",'Total Value'!FO46/'Total Value'!$D46-1)</f>
        <v/>
      </c>
      <c r="FP34" s="14" t="str">
        <f ca="1">IF(FP$1="","",'Total Value'!FP46/'Total Value'!$D46-1)</f>
        <v/>
      </c>
      <c r="FQ34" s="14" t="str">
        <f ca="1">IF(FQ$1="","",'Total Value'!FQ46/'Total Value'!$D46-1)</f>
        <v/>
      </c>
      <c r="FR34" s="14" t="str">
        <f ca="1">IF(FR$1="","",'Total Value'!FR46/'Total Value'!$D46-1)</f>
        <v/>
      </c>
      <c r="FS34" s="14" t="str">
        <f ca="1">IF(FS$1="","",'Total Value'!FS46/'Total Value'!$D46-1)</f>
        <v/>
      </c>
      <c r="FT34" s="14" t="str">
        <f ca="1">IF(FT$1="","",'Total Value'!FT46/'Total Value'!$D46-1)</f>
        <v/>
      </c>
      <c r="FU34" s="14" t="str">
        <f ca="1">IF(FU$1="","",'Total Value'!FU46/'Total Value'!$D46-1)</f>
        <v/>
      </c>
      <c r="FV34" s="14" t="str">
        <f ca="1">IF(FV$1="","",'Total Value'!FV46/'Total Value'!$D46-1)</f>
        <v/>
      </c>
      <c r="FW34" s="14" t="str">
        <f ca="1">IF(FW$1="","",'Total Value'!FW46/'Total Value'!$D46-1)</f>
        <v/>
      </c>
      <c r="FX34" s="14" t="str">
        <f ca="1">IF(FX$1="","",'Total Value'!FX46/'Total Value'!$D46-1)</f>
        <v/>
      </c>
      <c r="FY34" s="14" t="str">
        <f ca="1">IF(FY$1="","",'Total Value'!FY46/'Total Value'!$D46-1)</f>
        <v/>
      </c>
      <c r="FZ34" s="14" t="str">
        <f ca="1">IF(FZ$1="","",'Total Value'!FZ46/'Total Value'!$D46-1)</f>
        <v/>
      </c>
      <c r="GA34" s="14" t="str">
        <f ca="1">IF(GA$1="","",'Total Value'!GA46/'Total Value'!$D46-1)</f>
        <v/>
      </c>
      <c r="GB34" s="14" t="str">
        <f ca="1">IF(GB$1="","",'Total Value'!GB46/'Total Value'!$D46-1)</f>
        <v/>
      </c>
      <c r="GC34" s="14" t="str">
        <f ca="1">IF(GC$1="","",'Total Value'!GC46/'Total Value'!$D46-1)</f>
        <v/>
      </c>
      <c r="GD34" s="14" t="str">
        <f ca="1">IF(GD$1="","",'Total Value'!GD46/'Total Value'!$D46-1)</f>
        <v/>
      </c>
      <c r="GE34" s="14" t="str">
        <f ca="1">IF(GE$1="","",'Total Value'!GE46/'Total Value'!$D46-1)</f>
        <v/>
      </c>
      <c r="GF34" s="14" t="str">
        <f ca="1">IF(GF$1="","",'Total Value'!GF46/'Total Value'!$D46-1)</f>
        <v/>
      </c>
      <c r="GG34" s="14" t="str">
        <f ca="1">IF(GG$1="","",'Total Value'!GG46/'Total Value'!$D46-1)</f>
        <v/>
      </c>
      <c r="GH34" s="14" t="str">
        <f ca="1">IF(GH$1="","",'Total Value'!GH46/'Total Value'!$D46-1)</f>
        <v/>
      </c>
      <c r="GI34" s="14" t="str">
        <f ca="1">IF(GI$1="","",'Total Value'!GI46/'Total Value'!$D46-1)</f>
        <v/>
      </c>
      <c r="GJ34" s="14" t="str">
        <f ca="1">IF(GJ$1="","",'Total Value'!GJ46/'Total Value'!$D46-1)</f>
        <v/>
      </c>
      <c r="GK34" s="14" t="str">
        <f ca="1">IF(GK$1="","",'Total Value'!GK46/'Total Value'!$D46-1)</f>
        <v/>
      </c>
      <c r="GL34" s="14" t="str">
        <f ca="1">IF(GL$1="","",'Total Value'!GL46/'Total Value'!$D46-1)</f>
        <v/>
      </c>
      <c r="GM34" s="14" t="str">
        <f ca="1">IF(GM$1="","",'Total Value'!GM46/'Total Value'!$D46-1)</f>
        <v/>
      </c>
      <c r="GN34" s="14" t="str">
        <f ca="1">IF(GN$1="","",'Total Value'!GN46/'Total Value'!$D46-1)</f>
        <v/>
      </c>
      <c r="GO34" s="14" t="str">
        <f ca="1">IF(GO$1="","",'Total Value'!GO46/'Total Value'!$D46-1)</f>
        <v/>
      </c>
      <c r="GP34" s="14" t="str">
        <f ca="1">IF(GP$1="","",'Total Value'!GP46/'Total Value'!$D46-1)</f>
        <v/>
      </c>
      <c r="GQ34" s="14" t="str">
        <f ca="1">IF(GQ$1="","",'Total Value'!GQ46/'Total Value'!$D46-1)</f>
        <v/>
      </c>
      <c r="GR34" s="14" t="str">
        <f ca="1">IF(GR$1="","",'Total Value'!GR46/'Total Value'!$D46-1)</f>
        <v/>
      </c>
      <c r="GS34" s="14" t="str">
        <f ca="1">IF(GS$1="","",'Total Value'!GS46/'Total Value'!$D46-1)</f>
        <v/>
      </c>
      <c r="GT34" s="14" t="str">
        <f ca="1">IF(GT$1="","",'Total Value'!GT46/'Total Value'!$D46-1)</f>
        <v/>
      </c>
      <c r="GU34" s="14" t="str">
        <f ca="1">IF(GU$1="","",'Total Value'!GU46/'Total Value'!$D46-1)</f>
        <v/>
      </c>
      <c r="GV34" s="14" t="str">
        <f ca="1">IF(GV$1="","",'Total Value'!GV46/'Total Value'!$D46-1)</f>
        <v/>
      </c>
      <c r="GW34" s="14" t="str">
        <f ca="1">IF(GW$1="","",'Total Value'!GW46/'Total Value'!$D46-1)</f>
        <v/>
      </c>
      <c r="GX34" s="14" t="str">
        <f ca="1">IF(GX$1="","",'Total Value'!GX46/'Total Value'!$D46-1)</f>
        <v/>
      </c>
      <c r="GY34" s="14" t="str">
        <f ca="1">IF(GY$1="","",'Total Value'!GY46/'Total Value'!$D46-1)</f>
        <v/>
      </c>
      <c r="GZ34" s="14" t="str">
        <f ca="1">IF(GZ$1="","",'Total Value'!GZ46/'Total Value'!$D46-1)</f>
        <v/>
      </c>
      <c r="HA34" s="14" t="str">
        <f ca="1">IF(HA$1="","",'Total Value'!HA46/'Total Value'!$D46-1)</f>
        <v/>
      </c>
      <c r="HB34" s="14" t="str">
        <f ca="1">IF(HB$1="","",'Total Value'!HB46/'Total Value'!$D46-1)</f>
        <v/>
      </c>
      <c r="HC34" s="14" t="str">
        <f ca="1">IF(HC$1="","",'Total Value'!HC46/'Total Value'!$D46-1)</f>
        <v/>
      </c>
      <c r="HD34" s="14" t="str">
        <f ca="1">IF(HD$1="","",'Total Value'!HD46/'Total Value'!$D46-1)</f>
        <v/>
      </c>
      <c r="HE34" s="14" t="str">
        <f ca="1">IF(HE$1="","",'Total Value'!HE46/'Total Value'!$D46-1)</f>
        <v/>
      </c>
      <c r="HF34" s="14" t="str">
        <f ca="1">IF(HF$1="","",'Total Value'!HF46/'Total Value'!$D46-1)</f>
        <v/>
      </c>
      <c r="HG34" s="14" t="str">
        <f ca="1">IF(HG$1="","",'Total Value'!HG46/'Total Value'!$D46-1)</f>
        <v/>
      </c>
      <c r="HH34" s="14" t="str">
        <f ca="1">IF(HH$1="","",'Total Value'!HH46/'Total Value'!$D46-1)</f>
        <v/>
      </c>
      <c r="HI34" s="14" t="str">
        <f ca="1">IF(HI$1="","",'Total Value'!HI46/'Total Value'!$D46-1)</f>
        <v/>
      </c>
      <c r="HJ34" s="14" t="str">
        <f ca="1">IF(HJ$1="","",'Total Value'!HJ46/'Total Value'!$D46-1)</f>
        <v/>
      </c>
      <c r="HK34" s="14" t="str">
        <f ca="1">IF(HK$1="","",'Total Value'!HK46/'Total Value'!$D46-1)</f>
        <v/>
      </c>
      <c r="HL34" s="14" t="str">
        <f ca="1">IF(HL$1="","",'Total Value'!HL46/'Total Value'!$D46-1)</f>
        <v/>
      </c>
      <c r="HM34" s="14" t="str">
        <f ca="1">IF(HM$1="","",'Total Value'!HM46/'Total Value'!$D46-1)</f>
        <v/>
      </c>
      <c r="HN34" s="14" t="str">
        <f ca="1">IF(HN$1="","",'Total Value'!HN46/'Total Value'!$D46-1)</f>
        <v/>
      </c>
      <c r="HO34" s="14" t="str">
        <f ca="1">IF(HO$1="","",'Total Value'!HO46/'Total Value'!$D46-1)</f>
        <v/>
      </c>
      <c r="HP34" s="14" t="str">
        <f ca="1">IF(HP$1="","",'Total Value'!HP46/'Total Value'!$D46-1)</f>
        <v/>
      </c>
      <c r="HQ34" s="14" t="str">
        <f ca="1">IF(HQ$1="","",'Total Value'!HQ46/'Total Value'!$D46-1)</f>
        <v/>
      </c>
      <c r="HR34" s="14" t="str">
        <f ca="1">IF(HR$1="","",'Total Value'!HR46/'Total Value'!$D46-1)</f>
        <v/>
      </c>
      <c r="HS34" s="14" t="str">
        <f ca="1">IF(HS$1="","",'Total Value'!HS46/'Total Value'!$D46-1)</f>
        <v/>
      </c>
      <c r="HT34" s="14" t="str">
        <f ca="1">IF(HT$1="","",'Total Value'!HT46/'Total Value'!$D46-1)</f>
        <v/>
      </c>
      <c r="HU34" s="14" t="str">
        <f ca="1">IF(HU$1="","",'Total Value'!HU46/'Total Value'!$D46-1)</f>
        <v/>
      </c>
      <c r="HV34" s="14" t="str">
        <f ca="1">IF(HV$1="","",'Total Value'!HV46/'Total Value'!$D46-1)</f>
        <v/>
      </c>
      <c r="HW34" s="14" t="str">
        <f ca="1">IF(HW$1="","",'Total Value'!HW46/'Total Value'!$D46-1)</f>
        <v/>
      </c>
      <c r="HX34" s="14" t="str">
        <f ca="1">IF(HX$1="","",'Total Value'!HX46/'Total Value'!$D46-1)</f>
        <v/>
      </c>
      <c r="HY34" s="14" t="str">
        <f ca="1">IF(HY$1="","",'Total Value'!HY46/'Total Value'!$D46-1)</f>
        <v/>
      </c>
      <c r="HZ34" s="14" t="str">
        <f ca="1">IF(HZ$1="","",'Total Value'!HZ46/'Total Value'!$D46-1)</f>
        <v/>
      </c>
      <c r="IA34" s="14" t="str">
        <f ca="1">IF(IA$1="","",'Total Value'!IA46/'Total Value'!$D46-1)</f>
        <v/>
      </c>
      <c r="IB34" s="14" t="str">
        <f ca="1">IF(IB$1="","",'Total Value'!IB46/'Total Value'!$D46-1)</f>
        <v/>
      </c>
      <c r="IC34" s="14" t="str">
        <f ca="1">IF(IC$1="","",'Total Value'!IC46/'Total Value'!$D46-1)</f>
        <v/>
      </c>
      <c r="ID34" s="14" t="str">
        <f ca="1">IF(ID$1="","",'Total Value'!ID46/'Total Value'!$D46-1)</f>
        <v/>
      </c>
      <c r="IE34" s="14" t="str">
        <f ca="1">IF(IE$1="","",'Total Value'!IE46/'Total Value'!$D46-1)</f>
        <v/>
      </c>
      <c r="IF34" s="14" t="str">
        <f ca="1">IF(IF$1="","",'Total Value'!IF46/'Total Value'!$D46-1)</f>
        <v/>
      </c>
      <c r="IG34" s="14" t="str">
        <f ca="1">IF(IG$1="","",'Total Value'!IG46/'Total Value'!$D46-1)</f>
        <v/>
      </c>
      <c r="IH34" s="14" t="str">
        <f ca="1">IF(IH$1="","",'Total Value'!IH46/'Total Value'!$D46-1)</f>
        <v/>
      </c>
      <c r="II34" s="14" t="str">
        <f ca="1">IF(II$1="","",'Total Value'!II46/'Total Value'!$D46-1)</f>
        <v/>
      </c>
      <c r="IJ34" s="14" t="str">
        <f ca="1">IF(IJ$1="","",'Total Value'!IJ46/'Total Value'!$D46-1)</f>
        <v/>
      </c>
      <c r="IK34" s="14" t="str">
        <f ca="1">IF(IK$1="","",'Total Value'!IK46/'Total Value'!$D46-1)</f>
        <v/>
      </c>
      <c r="IL34" s="14" t="str">
        <f ca="1">IF(IL$1="","",'Total Value'!IL46/'Total Value'!$D46-1)</f>
        <v/>
      </c>
      <c r="IM34" s="14" t="str">
        <f ca="1">IF(IM$1="","",'Total Value'!IM46/'Total Value'!$D46-1)</f>
        <v/>
      </c>
      <c r="IN34" s="14" t="str">
        <f ca="1">IF(IN$1="","",'Total Value'!IN46/'Total Value'!$D46-1)</f>
        <v/>
      </c>
      <c r="IO34" s="14" t="str">
        <f ca="1">IF(IO$1="","",'Total Value'!IO46/'Total Value'!$D46-1)</f>
        <v/>
      </c>
      <c r="IP34" s="14" t="str">
        <f ca="1">IF(IP$1="","",'Total Value'!IP46/'Total Value'!$D46-1)</f>
        <v/>
      </c>
      <c r="IQ34" s="14" t="str">
        <f ca="1">IF(IQ$1="","",'Total Value'!IQ46/'Total Value'!$D46-1)</f>
        <v/>
      </c>
      <c r="IR34" s="14" t="str">
        <f ca="1">IF(IR$1="","",'Total Value'!IR46/'Total Value'!$D46-1)</f>
        <v/>
      </c>
      <c r="IS34" s="14" t="str">
        <f ca="1">IF(IS$1="","",'Total Value'!IS46/'Total Value'!$D46-1)</f>
        <v/>
      </c>
      <c r="IT34" s="14" t="str">
        <f ca="1">IF(IT$1="","",'Total Value'!IT46/'Total Value'!$D46-1)</f>
        <v/>
      </c>
      <c r="IU34" s="14" t="str">
        <f ca="1">IF(IU$1="","",'Total Value'!IU46/'Total Value'!$D46-1)</f>
        <v/>
      </c>
      <c r="IV34" s="14" t="str">
        <f ca="1">IF(IV$1="","",'Total Value'!IV46/'Total Value'!$D46-1)</f>
        <v/>
      </c>
      <c r="IW34" s="14" t="str">
        <f ca="1">IF(IW$1="","",'Total Value'!IW46/'Total Value'!$D46-1)</f>
        <v/>
      </c>
      <c r="IX34" s="14" t="str">
        <f ca="1">IF(IX$1="","",'Total Value'!IX46/'Total Value'!$D46-1)</f>
        <v/>
      </c>
      <c r="IY34" s="14" t="str">
        <f ca="1">IF(IY$1="","",'Total Value'!IY46/'Total Value'!$D46-1)</f>
        <v/>
      </c>
      <c r="IZ34" s="14" t="str">
        <f ca="1">IF(IZ$1="","",'Total Value'!IZ46/'Total Value'!$D46-1)</f>
        <v/>
      </c>
      <c r="JA34" s="14" t="str">
        <f ca="1">IF(JA$1="","",'Total Value'!JA46/'Total Value'!$D46-1)</f>
        <v/>
      </c>
      <c r="JB34" s="14" t="str">
        <f ca="1">IF(JB$1="","",'Total Value'!JB46/'Total Value'!$D46-1)</f>
        <v/>
      </c>
      <c r="JC34" s="14" t="str">
        <f ca="1">IF(JC$1="","",'Total Value'!JC46/'Total Value'!$D46-1)</f>
        <v/>
      </c>
      <c r="JD34" s="14" t="str">
        <f ca="1">IF(JD$1="","",'Total Value'!JD46/'Total Value'!$D46-1)</f>
        <v/>
      </c>
      <c r="JE34" s="14" t="str">
        <f ca="1">IF(JE$1="","",'Total Value'!JE46/'Total Value'!$D46-1)</f>
        <v/>
      </c>
      <c r="JF34" s="14" t="str">
        <f ca="1">IF(JF$1="","",'Total Value'!JF46/'Total Value'!$D46-1)</f>
        <v/>
      </c>
      <c r="JG34" s="14" t="str">
        <f ca="1">IF(JG$1="","",'Total Value'!JG46/'Total Value'!$D46-1)</f>
        <v/>
      </c>
      <c r="JH34" s="14" t="str">
        <f ca="1">IF(JH$1="","",'Total Value'!JH46/'Total Value'!$D46-1)</f>
        <v/>
      </c>
      <c r="JI34" s="14" t="str">
        <f ca="1">IF(JI$1="","",'Total Value'!JI46/'Total Value'!$D46-1)</f>
        <v/>
      </c>
      <c r="JJ34" s="14" t="str">
        <f ca="1">IF(JJ$1="","",'Total Value'!JJ46/'Total Value'!$D46-1)</f>
        <v/>
      </c>
      <c r="JK34" s="14" t="str">
        <f ca="1">IF(JK$1="","",'Total Value'!JK46/'Total Value'!$D46-1)</f>
        <v/>
      </c>
      <c r="JL34" s="14" t="str">
        <f ca="1">IF(JL$1="","",'Total Value'!JL46/'Total Value'!$D46-1)</f>
        <v/>
      </c>
      <c r="JM34" s="14" t="str">
        <f ca="1">IF(JM$1="","",'Total Value'!JM46/'Total Value'!$D46-1)</f>
        <v/>
      </c>
      <c r="JN34" s="14" t="str">
        <f ca="1">IF(JN$1="","",'Total Value'!JN46/'Total Value'!$D46-1)</f>
        <v/>
      </c>
      <c r="JO34" s="14" t="str">
        <f ca="1">IF(JO$1="","",'Total Value'!JO46/'Total Value'!$D46-1)</f>
        <v/>
      </c>
      <c r="JP34" s="14" t="str">
        <f ca="1">IF(JP$1="","",'Total Value'!JP46/'Total Value'!$D46-1)</f>
        <v/>
      </c>
      <c r="JQ34" s="14" t="str">
        <f ca="1">IF(JQ$1="","",'Total Value'!JQ46/'Total Value'!$D46-1)</f>
        <v/>
      </c>
      <c r="JR34" s="14" t="str">
        <f ca="1">IF(JR$1="","",'Total Value'!JR46/'Total Value'!$D46-1)</f>
        <v/>
      </c>
      <c r="JS34" s="14" t="str">
        <f ca="1">IF(JS$1="","",'Total Value'!JS46/'Total Value'!$D46-1)</f>
        <v/>
      </c>
      <c r="JT34" s="14" t="str">
        <f ca="1">IF(JT$1="","",'Total Value'!JT46/'Total Value'!$D46-1)</f>
        <v/>
      </c>
      <c r="JU34" s="14" t="str">
        <f ca="1">IF(JU$1="","",'Total Value'!JU46/'Total Value'!$D46-1)</f>
        <v/>
      </c>
      <c r="JV34" s="14" t="str">
        <f ca="1">IF(JV$1="","",'Total Value'!JV46/'Total Value'!$D46-1)</f>
        <v/>
      </c>
      <c r="JW34" s="14" t="str">
        <f ca="1">IF(JW$1="","",'Total Value'!JW46/'Total Value'!$D46-1)</f>
        <v/>
      </c>
      <c r="JX34" s="14" t="str">
        <f ca="1">IF(JX$1="","",'Total Value'!JX46/'Total Value'!$D46-1)</f>
        <v/>
      </c>
      <c r="JY34" s="14" t="str">
        <f ca="1">IF(JY$1="","",'Total Value'!JY46/'Total Value'!$D46-1)</f>
        <v/>
      </c>
      <c r="JZ34" s="14" t="str">
        <f ca="1">IF(JZ$1="","",'Total Value'!JZ46/'Total Value'!$D46-1)</f>
        <v/>
      </c>
      <c r="KA34" s="14" t="str">
        <f ca="1">IF(KA$1="","",'Total Value'!KA46/'Total Value'!$D46-1)</f>
        <v/>
      </c>
      <c r="KB34" s="14" t="str">
        <f ca="1">IF(KB$1="","",'Total Value'!KB46/'Total Value'!$D46-1)</f>
        <v/>
      </c>
    </row>
    <row r="35" spans="1:288" ht="15.75" customHeight="1">
      <c r="A35" s="9" t="s">
        <v>30</v>
      </c>
      <c r="B35" s="6" t="s">
        <v>79</v>
      </c>
      <c r="C35" s="26">
        <v>35</v>
      </c>
      <c r="D35" s="13">
        <v>0</v>
      </c>
      <c r="E35" s="14">
        <f ca="1">IF(E$1="","",'Total Value'!E47/'Total Value'!$D47-1)</f>
        <v>5.5837563451776484E-2</v>
      </c>
      <c r="F35" s="14">
        <f ca="1">IF(F$1="","",'Total Value'!F47/'Total Value'!$D47-1)</f>
        <v>5.9067835717581785E-2</v>
      </c>
      <c r="G35" s="14">
        <f ca="1">IF(G$1="","",'Total Value'!G47/'Total Value'!$D47-1)</f>
        <v>6.4605445316105126E-2</v>
      </c>
      <c r="H35" s="14">
        <f ca="1">IF(H$1="","",'Total Value'!H47/'Total Value'!$D47-1)</f>
        <v>4.6608214120904323E-2</v>
      </c>
      <c r="I35" s="14">
        <f ca="1">IF(I$1="","",'Total Value'!I47/'Total Value'!$D47-1)</f>
        <v>2.7226580526072963E-2</v>
      </c>
      <c r="J35" s="14">
        <f ca="1">IF(J$1="","",'Total Value'!J47/'Total Value'!$D47-1)</f>
        <v>1.9843101061375101E-2</v>
      </c>
      <c r="K35" s="14">
        <f ca="1">IF(K$1="","",'Total Value'!K47/'Total Value'!$D47-1)</f>
        <v>-4.8454083987078955E-2</v>
      </c>
      <c r="L35" s="14">
        <f ca="1">IF(L$1="","",'Total Value'!L47/'Total Value'!$D47-1)</f>
        <v>-6.5989847715736127E-2</v>
      </c>
      <c r="M35" s="14">
        <f ca="1">IF(M$1="","",'Total Value'!M47/'Total Value'!$D47-1)</f>
        <v>1.5689893862482762E-2</v>
      </c>
      <c r="N35" s="14">
        <f ca="1">IF(N$1="","",'Total Value'!N47/'Total Value'!$D47-1)</f>
        <v>1.5228426395939021E-2</v>
      </c>
      <c r="O35" s="14">
        <f ca="1">IF(O$1="","",'Total Value'!O47/'Total Value'!$D47-1)</f>
        <v>-2.2611905860636994E-2</v>
      </c>
      <c r="P35" s="14">
        <f ca="1">IF(P$1="","",'Total Value'!P47/'Total Value'!$D47-1)</f>
        <v>-2.2611905860636994E-2</v>
      </c>
      <c r="Q35" s="14">
        <f ca="1">IF(Q$1="","",'Total Value'!Q47/'Total Value'!$D47-1)</f>
        <v>-1.2459621596677461E-2</v>
      </c>
      <c r="R35" s="14">
        <f ca="1">IF(R$1="","",'Total Value'!R47/'Total Value'!$D47-1)</f>
        <v>6.2298107983387085E-2</v>
      </c>
      <c r="S35" s="14">
        <f ca="1">IF(S$1="","",'Total Value'!S47/'Total Value'!$D47-1)</f>
        <v>4.7069681587448065E-2</v>
      </c>
      <c r="T35" s="14">
        <f ca="1">IF(T$1="","",'Total Value'!T47/'Total Value'!$D47-1)</f>
        <v>1.0152284263959199E-2</v>
      </c>
      <c r="U35" s="14">
        <f ca="1">IF(U$1="","",'Total Value'!U47/'Total Value'!$D47-1)</f>
        <v>-2.7688047992616704E-3</v>
      </c>
      <c r="V35" s="14">
        <f ca="1">IF(V$1="","",'Total Value'!V47/'Total Value'!$D47-1)</f>
        <v>-5.0761421319798217E-3</v>
      </c>
      <c r="W35" s="14">
        <f ca="1">IF(W$1="","",'Total Value'!W47/'Total Value'!$D47-1)</f>
        <v>1.3844023996307797E-3</v>
      </c>
      <c r="X35" s="14">
        <f ca="1">IF(X$1="","",'Total Value'!X47/'Total Value'!$D47-1)</f>
        <v>7.7988001845869848E-2</v>
      </c>
      <c r="Y35" s="14">
        <f ca="1">IF(Y$1="","",'Total Value'!Y47/'Total Value'!$D47-1)</f>
        <v>0.11167512690355319</v>
      </c>
      <c r="Z35" s="14">
        <f ca="1">IF(Z$1="","",'Total Value'!Z47/'Total Value'!$D47-1)</f>
        <v>8.8140286109829047E-2</v>
      </c>
      <c r="AA35" s="14">
        <f ca="1">IF(AA$1="","",'Total Value'!AA47/'Total Value'!$D47-1)</f>
        <v>5.3068758652514925E-2</v>
      </c>
      <c r="AB35" s="14">
        <f ca="1">IF(AB$1="","",'Total Value'!AB47/'Total Value'!$D47-1)</f>
        <v>4.1070604522380982E-2</v>
      </c>
      <c r="AC35" s="14">
        <f ca="1">IF(AC$1="","",'Total Value'!AC47/'Total Value'!$D47-1)</f>
        <v>8.0295339178587888E-2</v>
      </c>
      <c r="AD35" s="14">
        <f ca="1">IF(AD$1="","",'Total Value'!AD47/'Total Value'!$D47-1)</f>
        <v>8.767881864328575E-2</v>
      </c>
      <c r="AE35" s="14">
        <f ca="1">IF(AE$1="","",'Total Value'!AE47/'Total Value'!$D47-1)</f>
        <v>5.0299953853253365E-2</v>
      </c>
      <c r="AF35" s="14">
        <f ca="1">IF(AF$1="","",'Total Value'!AF47/'Total Value'!$D47-1)</f>
        <v>5.6299030918320225E-2</v>
      </c>
      <c r="AG35" s="14">
        <f ca="1">IF(AG$1="","",'Total Value'!AG47/'Total Value'!$D47-1)</f>
        <v>1.0152284263959199E-2</v>
      </c>
      <c r="AH35" s="14">
        <f ca="1">IF(AH$1="","",'Total Value'!AH47/'Total Value'!$D47-1)</f>
        <v>8.3064143977849003E-3</v>
      </c>
      <c r="AI35" s="14">
        <f ca="1">IF(AI$1="","",'Total Value'!AI47/'Total Value'!$D47-1)</f>
        <v>3.8301799723119423E-2</v>
      </c>
      <c r="AJ35" s="14">
        <f ca="1">IF(AJ$1="","",'Total Value'!AJ47/'Total Value'!$D47-1)</f>
        <v>4.2455006922011984E-2</v>
      </c>
      <c r="AK35" s="14">
        <f ca="1">IF(AK$1="","",'Total Value'!AK47/'Total Value'!$D47-1)</f>
        <v>1.0613751730502941E-2</v>
      </c>
      <c r="AL35" s="14">
        <f ca="1">IF(AL$1="","",'Total Value'!AL47/'Total Value'!$D47-1)</f>
        <v>-5.7683433317951116E-2</v>
      </c>
      <c r="AM35" s="14">
        <f ca="1">IF(AM$1="","",'Total Value'!AM47/'Total Value'!$D47-1)</f>
        <v>6.4605445316103793E-3</v>
      </c>
      <c r="AN35" s="14">
        <f ca="1">IF(AN$1="","",'Total Value'!AN47/'Total Value'!$D47-1)</f>
        <v>4.6146746654351922E-4</v>
      </c>
      <c r="AO35" s="14">
        <f ca="1">IF(AO$1="","",'Total Value'!AO47/'Total Value'!$D47-1)</f>
        <v>-8.9063221042916529E-2</v>
      </c>
      <c r="AP35" s="14">
        <f ca="1">IF(AP$1="","",'Total Value'!AP47/'Total Value'!$D47-1)</f>
        <v>-0.24365482233502544</v>
      </c>
      <c r="AQ35" s="14">
        <f ca="1">IF(AQ$1="","",'Total Value'!AQ47/'Total Value'!$D47-1)</f>
        <v>-0.20443008767881876</v>
      </c>
      <c r="AR35" s="14">
        <f ca="1">IF(AR$1="","",'Total Value'!AR47/'Total Value'!$D47-1)</f>
        <v>-0.16382095062298108</v>
      </c>
      <c r="AS35" s="14">
        <f ca="1">IF(AS$1="","",'Total Value'!AS47/'Total Value'!$D47-1)</f>
        <v>-0.13751730502999526</v>
      </c>
      <c r="AT35" s="14">
        <f ca="1">IF(AT$1="","",'Total Value'!AT47/'Total Value'!$D47-1)</f>
        <v>-0.19843101061375168</v>
      </c>
      <c r="AU35" s="14">
        <f ca="1">IF(AU$1="","",'Total Value'!AU47/'Total Value'!$D47-1)</f>
        <v>-0.19843101061375168</v>
      </c>
      <c r="AV35" s="14">
        <f ca="1">IF(AV$1="","",'Total Value'!AV47/'Total Value'!$D47-1)</f>
        <v>-0.15597600369173981</v>
      </c>
      <c r="AW35" s="14">
        <f ca="1">IF(AW$1="","",'Total Value'!AW47/'Total Value'!$D47-1)</f>
        <v>-0.10706045223811722</v>
      </c>
      <c r="AX35" s="14">
        <f ca="1">IF(AX$1="","",'Total Value'!AX47/'Total Value'!$D47-1)</f>
        <v>-2.3996308260267663E-2</v>
      </c>
      <c r="AY35" s="14">
        <f ca="1">IF(AY$1="","",'Total Value'!AY47/'Total Value'!$D47-1)</f>
        <v>-1.1536686663590201E-2</v>
      </c>
      <c r="AZ35" s="14">
        <f ca="1">IF(AZ$1="","",'Total Value'!AZ47/'Total Value'!$D47-1)</f>
        <v>3.2302722658050786E-3</v>
      </c>
      <c r="BA35" s="14">
        <f ca="1">IF(BA$1="","",'Total Value'!BA47/'Total Value'!$D47-1)</f>
        <v>1.3844023996307797E-3</v>
      </c>
      <c r="BB35" s="14">
        <f ca="1">IF(BB$1="","",'Total Value'!BB47/'Total Value'!$D47-1)</f>
        <v>0</v>
      </c>
      <c r="BC35" s="14">
        <f ca="1">IF(BC$1="","",'Total Value'!BC47/'Total Value'!$D47-1)</f>
        <v>5.0761421319798217E-3</v>
      </c>
      <c r="BD35" s="14">
        <f ca="1">IF(BD$1="","",'Total Value'!BD47/'Total Value'!$D47-1)</f>
        <v>1.5689893862482762E-2</v>
      </c>
      <c r="BE35" s="14">
        <f ca="1">IF(BE$1="","",'Total Value'!BE47/'Total Value'!$D47-1)</f>
        <v>1.3382556529764722E-2</v>
      </c>
      <c r="BF35" s="14">
        <f ca="1">IF(BF$1="","",'Total Value'!BF47/'Total Value'!$D47-1)</f>
        <v>7.6142131979695327E-2</v>
      </c>
      <c r="BG35" s="14">
        <f ca="1">IF(BG$1="","",'Total Value'!BG47/'Total Value'!$D47-1)</f>
        <v>4.9838486386709624E-2</v>
      </c>
      <c r="BH35" s="14">
        <f ca="1">IF(BH$1="","",'Total Value'!BH47/'Total Value'!$D47-1)</f>
        <v>8.3064143977849003E-3</v>
      </c>
      <c r="BI35" s="14">
        <f ca="1">IF(BI$1="","",'Total Value'!BI47/'Total Value'!$D47-1)</f>
        <v>2.3073373327180402E-2</v>
      </c>
      <c r="BJ35" s="14">
        <f ca="1">IF(BJ$1="","",'Total Value'!BJ47/'Total Value'!$D47-1)</f>
        <v>5.7221965851407486E-2</v>
      </c>
      <c r="BK35" s="14">
        <f ca="1">IF(BK$1="","",'Total Value'!BK47/'Total Value'!$D47-1)</f>
        <v>3.3687125057683343E-2</v>
      </c>
      <c r="BL35" s="14">
        <f ca="1">IF(BL$1="","",'Total Value'!BL47/'Total Value'!$D47-1)</f>
        <v>2.1227503461005881E-2</v>
      </c>
      <c r="BM35" s="14">
        <f ca="1">IF(BM$1="","",'Total Value'!BM47/'Total Value'!$D47-1)</f>
        <v>2.0766035994462362E-2</v>
      </c>
      <c r="BN35" s="14">
        <f ca="1">IF(BN$1="","",'Total Value'!BN47/'Total Value'!$D47-1)</f>
        <v>3.2764190124596082E-2</v>
      </c>
      <c r="BO35" s="14">
        <f ca="1">IF(BO$1="","",'Total Value'!BO47/'Total Value'!$D47-1)</f>
        <v>2.1227503461005881E-2</v>
      </c>
      <c r="BP35" s="14">
        <f ca="1">IF(BP$1="","",'Total Value'!BP47/'Total Value'!$D47-1)</f>
        <v>2.9995385325334523E-2</v>
      </c>
      <c r="BQ35" s="14">
        <f ca="1">IF(BQ$1="","",'Total Value'!BQ47/'Total Value'!$D47-1)</f>
        <v>7.6603599446238846E-2</v>
      </c>
      <c r="BR35" s="14">
        <f ca="1">IF(BR$1="","",'Total Value'!BR47/'Total Value'!$D47-1)</f>
        <v>7.7526534379326106E-2</v>
      </c>
      <c r="BS35" s="14">
        <f ca="1">IF(BS$1="","",'Total Value'!BS47/'Total Value'!$D47-1)</f>
        <v>7.6142131979695327E-2</v>
      </c>
      <c r="BT35" s="14">
        <f ca="1">IF(BT$1="","",'Total Value'!BT47/'Total Value'!$D47-1)</f>
        <v>0.10890632210429163</v>
      </c>
      <c r="BU35" s="14">
        <f ca="1">IF(BU$1="","",'Total Value'!BU47/'Total Value'!$D47-1)</f>
        <v>9.736963544070143E-2</v>
      </c>
      <c r="BV35" s="14">
        <f ca="1">IF(BV$1="","",'Total Value'!BV47/'Total Value'!$D47-1)</f>
        <v>9.8754037840331987E-2</v>
      </c>
      <c r="BW35" s="14">
        <f ca="1">IF(BW$1="","",'Total Value'!BW47/'Total Value'!$D47-1)</f>
        <v>5.8606368251038266E-2</v>
      </c>
      <c r="BX35" s="14">
        <f ca="1">IF(BX$1="","",'Total Value'!BX47/'Total Value'!$D47-1)</f>
        <v>7.6142131979695327E-2</v>
      </c>
      <c r="BY35" s="14">
        <f ca="1">IF(BY$1="","",'Total Value'!BY47/'Total Value'!$D47-1)</f>
        <v>4.5223811721273544E-2</v>
      </c>
      <c r="BZ35" s="14">
        <f ca="1">IF(BZ$1="","",'Total Value'!BZ47/'Total Value'!$D47-1)</f>
        <v>4.2916474388555503E-2</v>
      </c>
      <c r="CA35" s="14">
        <f ca="1">IF(CA$1="","",'Total Value'!CA47/'Total Value'!$D47-1)</f>
        <v>7.7526534379326106E-2</v>
      </c>
      <c r="CB35" s="14">
        <f ca="1">IF(CB$1="","",'Total Value'!CB47/'Total Value'!$D47-1)</f>
        <v>3.6917397323488643E-2</v>
      </c>
      <c r="CC35" s="14">
        <f ca="1">IF(CC$1="","",'Total Value'!CC47/'Total Value'!$D47-1)</f>
        <v>7.0143054914628467E-2</v>
      </c>
      <c r="CD35" s="14">
        <f ca="1">IF(CD$1="","",'Total Value'!CD47/'Total Value'!$D47-1)</f>
        <v>7.3834794646977286E-2</v>
      </c>
      <c r="CE35" s="14">
        <f ca="1">IF(CE$1="","",'Total Value'!CE47/'Total Value'!$D47-1)</f>
        <v>8.5832948777111229E-2</v>
      </c>
      <c r="CF35" s="14" t="str">
        <f ca="1">IF(CF$1="","",'Total Value'!CF47/'Total Value'!$D47-1)</f>
        <v/>
      </c>
      <c r="CG35" s="14" t="str">
        <f ca="1">IF(CG$1="","",'Total Value'!CG47/'Total Value'!$D47-1)</f>
        <v/>
      </c>
      <c r="CH35" s="14" t="str">
        <f ca="1">IF(CH$1="","",'Total Value'!CH47/'Total Value'!$D47-1)</f>
        <v/>
      </c>
      <c r="CI35" s="14" t="str">
        <f ca="1">IF(CI$1="","",'Total Value'!CI47/'Total Value'!$D47-1)</f>
        <v/>
      </c>
      <c r="CJ35" s="14" t="str">
        <f ca="1">IF(CJ$1="","",'Total Value'!CJ47/'Total Value'!$D47-1)</f>
        <v/>
      </c>
      <c r="CK35" s="14" t="str">
        <f ca="1">IF(CK$1="","",'Total Value'!CK47/'Total Value'!$D47-1)</f>
        <v/>
      </c>
      <c r="CL35" s="14" t="str">
        <f ca="1">IF(CL$1="","",'Total Value'!CL47/'Total Value'!$D47-1)</f>
        <v/>
      </c>
      <c r="CM35" s="14" t="str">
        <f ca="1">IF(CM$1="","",'Total Value'!CM47/'Total Value'!$D47-1)</f>
        <v/>
      </c>
      <c r="CN35" s="14" t="str">
        <f ca="1">IF(CN$1="","",'Total Value'!CN47/'Total Value'!$D47-1)</f>
        <v/>
      </c>
      <c r="CO35" s="14" t="str">
        <f ca="1">IF(CO$1="","",'Total Value'!CO47/'Total Value'!$D47-1)</f>
        <v/>
      </c>
      <c r="CP35" s="14" t="str">
        <f ca="1">IF(CP$1="","",'Total Value'!CP47/'Total Value'!$D47-1)</f>
        <v/>
      </c>
      <c r="CQ35" s="14" t="str">
        <f ca="1">IF(CQ$1="","",'Total Value'!CQ47/'Total Value'!$D47-1)</f>
        <v/>
      </c>
      <c r="CR35" s="14" t="str">
        <f ca="1">IF(CR$1="","",'Total Value'!CR47/'Total Value'!$D47-1)</f>
        <v/>
      </c>
      <c r="CS35" s="14" t="str">
        <f ca="1">IF(CS$1="","",'Total Value'!CS47/'Total Value'!$D47-1)</f>
        <v/>
      </c>
      <c r="CT35" s="14" t="str">
        <f ca="1">IF(CT$1="","",'Total Value'!CT47/'Total Value'!$D47-1)</f>
        <v/>
      </c>
      <c r="CU35" s="14" t="str">
        <f ca="1">IF(CU$1="","",'Total Value'!CU47/'Total Value'!$D47-1)</f>
        <v/>
      </c>
      <c r="CV35" s="14" t="str">
        <f ca="1">IF(CV$1="","",'Total Value'!CV47/'Total Value'!$D47-1)</f>
        <v/>
      </c>
      <c r="CW35" s="14" t="str">
        <f ca="1">IF(CW$1="","",'Total Value'!CW47/'Total Value'!$D47-1)</f>
        <v/>
      </c>
      <c r="CX35" s="14" t="str">
        <f ca="1">IF(CX$1="","",'Total Value'!CX47/'Total Value'!$D47-1)</f>
        <v/>
      </c>
      <c r="CY35" s="14" t="str">
        <f ca="1">IF(CY$1="","",'Total Value'!CY47/'Total Value'!$D47-1)</f>
        <v/>
      </c>
      <c r="CZ35" s="14" t="str">
        <f ca="1">IF(CZ$1="","",'Total Value'!CZ47/'Total Value'!$D47-1)</f>
        <v/>
      </c>
      <c r="DA35" s="14" t="str">
        <f ca="1">IF(DA$1="","",'Total Value'!DA47/'Total Value'!$D47-1)</f>
        <v/>
      </c>
      <c r="DB35" s="14" t="str">
        <f ca="1">IF(DB$1="","",'Total Value'!DB47/'Total Value'!$D47-1)</f>
        <v/>
      </c>
      <c r="DC35" s="14" t="str">
        <f ca="1">IF(DC$1="","",'Total Value'!DC47/'Total Value'!$D47-1)</f>
        <v/>
      </c>
      <c r="DD35" s="14" t="str">
        <f ca="1">IF(DD$1="","",'Total Value'!DD47/'Total Value'!$D47-1)</f>
        <v/>
      </c>
      <c r="DE35" s="14" t="str">
        <f ca="1">IF(DE$1="","",'Total Value'!DE47/'Total Value'!$D47-1)</f>
        <v/>
      </c>
      <c r="DF35" s="14" t="str">
        <f ca="1">IF(DF$1="","",'Total Value'!DF47/'Total Value'!$D47-1)</f>
        <v/>
      </c>
      <c r="DG35" s="14" t="str">
        <f ca="1">IF(DG$1="","",'Total Value'!DG47/'Total Value'!$D47-1)</f>
        <v/>
      </c>
      <c r="DH35" s="14" t="str">
        <f ca="1">IF(DH$1="","",'Total Value'!DH47/'Total Value'!$D47-1)</f>
        <v/>
      </c>
      <c r="DI35" s="14" t="str">
        <f ca="1">IF(DI$1="","",'Total Value'!DI47/'Total Value'!$D47-1)</f>
        <v/>
      </c>
      <c r="DJ35" s="14" t="str">
        <f ca="1">IF(DJ$1="","",'Total Value'!DJ47/'Total Value'!$D47-1)</f>
        <v/>
      </c>
      <c r="DK35" s="14" t="str">
        <f ca="1">IF(DK$1="","",'Total Value'!DK47/'Total Value'!$D47-1)</f>
        <v/>
      </c>
      <c r="DL35" s="14" t="str">
        <f ca="1">IF(DL$1="","",'Total Value'!DL47/'Total Value'!$D47-1)</f>
        <v/>
      </c>
      <c r="DM35" s="14" t="str">
        <f ca="1">IF(DM$1="","",'Total Value'!DM47/'Total Value'!$D47-1)</f>
        <v/>
      </c>
      <c r="DN35" s="14" t="str">
        <f ca="1">IF(DN$1="","",'Total Value'!DN47/'Total Value'!$D47-1)</f>
        <v/>
      </c>
      <c r="DO35" s="14" t="str">
        <f ca="1">IF(DO$1="","",'Total Value'!DO47/'Total Value'!$D47-1)</f>
        <v/>
      </c>
      <c r="DP35" s="14" t="str">
        <f ca="1">IF(DP$1="","",'Total Value'!DP47/'Total Value'!$D47-1)</f>
        <v/>
      </c>
      <c r="DQ35" s="14" t="str">
        <f ca="1">IF(DQ$1="","",'Total Value'!DQ47/'Total Value'!$D47-1)</f>
        <v/>
      </c>
      <c r="DR35" s="14" t="str">
        <f ca="1">IF(DR$1="","",'Total Value'!DR47/'Total Value'!$D47-1)</f>
        <v/>
      </c>
      <c r="DS35" s="14" t="str">
        <f ca="1">IF(DS$1="","",'Total Value'!DS47/'Total Value'!$D47-1)</f>
        <v/>
      </c>
      <c r="DT35" s="14" t="str">
        <f ca="1">IF(DT$1="","",'Total Value'!DT47/'Total Value'!$D47-1)</f>
        <v/>
      </c>
      <c r="DU35" s="14" t="str">
        <f ca="1">IF(DU$1="","",'Total Value'!DU47/'Total Value'!$D47-1)</f>
        <v/>
      </c>
      <c r="DV35" s="14" t="str">
        <f ca="1">IF(DV$1="","",'Total Value'!DV47/'Total Value'!$D47-1)</f>
        <v/>
      </c>
      <c r="DW35" s="14" t="str">
        <f ca="1">IF(DW$1="","",'Total Value'!DW47/'Total Value'!$D47-1)</f>
        <v/>
      </c>
      <c r="DX35" s="14" t="str">
        <f ca="1">IF(DX$1="","",'Total Value'!DX47/'Total Value'!$D47-1)</f>
        <v/>
      </c>
      <c r="DY35" s="14" t="str">
        <f ca="1">IF(DY$1="","",'Total Value'!DY47/'Total Value'!$D47-1)</f>
        <v/>
      </c>
      <c r="DZ35" s="14" t="str">
        <f ca="1">IF(DZ$1="","",'Total Value'!DZ47/'Total Value'!$D47-1)</f>
        <v/>
      </c>
      <c r="EA35" s="14" t="str">
        <f ca="1">IF(EA$1="","",'Total Value'!EA47/'Total Value'!$D47-1)</f>
        <v/>
      </c>
      <c r="EB35" s="14" t="str">
        <f ca="1">IF(EB$1="","",'Total Value'!EB47/'Total Value'!$D47-1)</f>
        <v/>
      </c>
      <c r="EC35" s="14" t="str">
        <f ca="1">IF(EC$1="","",'Total Value'!EC47/'Total Value'!$D47-1)</f>
        <v/>
      </c>
      <c r="ED35" s="14" t="str">
        <f ca="1">IF(ED$1="","",'Total Value'!ED47/'Total Value'!$D47-1)</f>
        <v/>
      </c>
      <c r="EE35" s="14" t="str">
        <f ca="1">IF(EE$1="","",'Total Value'!EE47/'Total Value'!$D47-1)</f>
        <v/>
      </c>
      <c r="EF35" s="14" t="str">
        <f ca="1">IF(EF$1="","",'Total Value'!EF47/'Total Value'!$D47-1)</f>
        <v/>
      </c>
      <c r="EG35" s="14" t="str">
        <f ca="1">IF(EG$1="","",'Total Value'!EG47/'Total Value'!$D47-1)</f>
        <v/>
      </c>
      <c r="EH35" s="14" t="str">
        <f ca="1">IF(EH$1="","",'Total Value'!EH47/'Total Value'!$D47-1)</f>
        <v/>
      </c>
      <c r="EI35" s="14" t="str">
        <f ca="1">IF(EI$1="","",'Total Value'!EI47/'Total Value'!$D47-1)</f>
        <v/>
      </c>
      <c r="EJ35" s="14" t="str">
        <f ca="1">IF(EJ$1="","",'Total Value'!EJ47/'Total Value'!$D47-1)</f>
        <v/>
      </c>
      <c r="EK35" s="14" t="str">
        <f ca="1">IF(EK$1="","",'Total Value'!EK47/'Total Value'!$D47-1)</f>
        <v/>
      </c>
      <c r="EL35" s="14" t="str">
        <f ca="1">IF(EL$1="","",'Total Value'!EL47/'Total Value'!$D47-1)</f>
        <v/>
      </c>
      <c r="EM35" s="14" t="str">
        <f ca="1">IF(EM$1="","",'Total Value'!EM47/'Total Value'!$D47-1)</f>
        <v/>
      </c>
      <c r="EN35" s="14" t="str">
        <f ca="1">IF(EN$1="","",'Total Value'!EN47/'Total Value'!$D47-1)</f>
        <v/>
      </c>
      <c r="EO35" s="14" t="str">
        <f ca="1">IF(EO$1="","",'Total Value'!EO47/'Total Value'!$D47-1)</f>
        <v/>
      </c>
      <c r="EP35" s="14" t="str">
        <f ca="1">IF(EP$1="","",'Total Value'!EP47/'Total Value'!$D47-1)</f>
        <v/>
      </c>
      <c r="EQ35" s="14" t="str">
        <f ca="1">IF(EQ$1="","",'Total Value'!EQ47/'Total Value'!$D47-1)</f>
        <v/>
      </c>
      <c r="ER35" s="14" t="str">
        <f ca="1">IF(ER$1="","",'Total Value'!ER47/'Total Value'!$D47-1)</f>
        <v/>
      </c>
      <c r="ES35" s="14" t="str">
        <f ca="1">IF(ES$1="","",'Total Value'!ES47/'Total Value'!$D47-1)</f>
        <v/>
      </c>
      <c r="ET35" s="14" t="str">
        <f ca="1">IF(ET$1="","",'Total Value'!ET47/'Total Value'!$D47-1)</f>
        <v/>
      </c>
      <c r="EU35" s="14" t="str">
        <f ca="1">IF(EU$1="","",'Total Value'!EU47/'Total Value'!$D47-1)</f>
        <v/>
      </c>
      <c r="EV35" s="14" t="str">
        <f ca="1">IF(EV$1="","",'Total Value'!EV47/'Total Value'!$D47-1)</f>
        <v/>
      </c>
      <c r="EW35" s="14" t="str">
        <f ca="1">IF(EW$1="","",'Total Value'!EW47/'Total Value'!$D47-1)</f>
        <v/>
      </c>
      <c r="EX35" s="14" t="str">
        <f ca="1">IF(EX$1="","",'Total Value'!EX47/'Total Value'!$D47-1)</f>
        <v/>
      </c>
      <c r="EY35" s="14" t="str">
        <f ca="1">IF(EY$1="","",'Total Value'!EY47/'Total Value'!$D47-1)</f>
        <v/>
      </c>
      <c r="EZ35" s="14" t="str">
        <f ca="1">IF(EZ$1="","",'Total Value'!EZ47/'Total Value'!$D47-1)</f>
        <v/>
      </c>
      <c r="FA35" s="14" t="str">
        <f ca="1">IF(FA$1="","",'Total Value'!FA47/'Total Value'!$D47-1)</f>
        <v/>
      </c>
      <c r="FB35" s="14" t="str">
        <f ca="1">IF(FB$1="","",'Total Value'!FB47/'Total Value'!$D47-1)</f>
        <v/>
      </c>
      <c r="FC35" s="14" t="str">
        <f ca="1">IF(FC$1="","",'Total Value'!FC47/'Total Value'!$D47-1)</f>
        <v/>
      </c>
      <c r="FD35" s="14" t="str">
        <f ca="1">IF(FD$1="","",'Total Value'!FD47/'Total Value'!$D47-1)</f>
        <v/>
      </c>
      <c r="FE35" s="14" t="str">
        <f ca="1">IF(FE$1="","",'Total Value'!FE47/'Total Value'!$D47-1)</f>
        <v/>
      </c>
      <c r="FF35" s="14" t="str">
        <f ca="1">IF(FF$1="","",'Total Value'!FF47/'Total Value'!$D47-1)</f>
        <v/>
      </c>
      <c r="FG35" s="14" t="str">
        <f ca="1">IF(FG$1="","",'Total Value'!FG47/'Total Value'!$D47-1)</f>
        <v/>
      </c>
      <c r="FH35" s="14" t="str">
        <f ca="1">IF(FH$1="","",'Total Value'!FH47/'Total Value'!$D47-1)</f>
        <v/>
      </c>
      <c r="FI35" s="14" t="str">
        <f ca="1">IF(FI$1="","",'Total Value'!FI47/'Total Value'!$D47-1)</f>
        <v/>
      </c>
      <c r="FJ35" s="14" t="str">
        <f ca="1">IF(FJ$1="","",'Total Value'!FJ47/'Total Value'!$D47-1)</f>
        <v/>
      </c>
      <c r="FK35" s="14" t="str">
        <f ca="1">IF(FK$1="","",'Total Value'!FK47/'Total Value'!$D47-1)</f>
        <v/>
      </c>
      <c r="FL35" s="14" t="str">
        <f ca="1">IF(FL$1="","",'Total Value'!FL47/'Total Value'!$D47-1)</f>
        <v/>
      </c>
      <c r="FM35" s="14" t="str">
        <f ca="1">IF(FM$1="","",'Total Value'!FM47/'Total Value'!$D47-1)</f>
        <v/>
      </c>
      <c r="FN35" s="14" t="str">
        <f ca="1">IF(FN$1="","",'Total Value'!FN47/'Total Value'!$D47-1)</f>
        <v/>
      </c>
      <c r="FO35" s="14" t="str">
        <f ca="1">IF(FO$1="","",'Total Value'!FO47/'Total Value'!$D47-1)</f>
        <v/>
      </c>
      <c r="FP35" s="14" t="str">
        <f ca="1">IF(FP$1="","",'Total Value'!FP47/'Total Value'!$D47-1)</f>
        <v/>
      </c>
      <c r="FQ35" s="14" t="str">
        <f ca="1">IF(FQ$1="","",'Total Value'!FQ47/'Total Value'!$D47-1)</f>
        <v/>
      </c>
      <c r="FR35" s="14" t="str">
        <f ca="1">IF(FR$1="","",'Total Value'!FR47/'Total Value'!$D47-1)</f>
        <v/>
      </c>
      <c r="FS35" s="14" t="str">
        <f ca="1">IF(FS$1="","",'Total Value'!FS47/'Total Value'!$D47-1)</f>
        <v/>
      </c>
      <c r="FT35" s="14" t="str">
        <f ca="1">IF(FT$1="","",'Total Value'!FT47/'Total Value'!$D47-1)</f>
        <v/>
      </c>
      <c r="FU35" s="14" t="str">
        <f ca="1">IF(FU$1="","",'Total Value'!FU47/'Total Value'!$D47-1)</f>
        <v/>
      </c>
      <c r="FV35" s="14" t="str">
        <f ca="1">IF(FV$1="","",'Total Value'!FV47/'Total Value'!$D47-1)</f>
        <v/>
      </c>
      <c r="FW35" s="14" t="str">
        <f ca="1">IF(FW$1="","",'Total Value'!FW47/'Total Value'!$D47-1)</f>
        <v/>
      </c>
      <c r="FX35" s="14" t="str">
        <f ca="1">IF(FX$1="","",'Total Value'!FX47/'Total Value'!$D47-1)</f>
        <v/>
      </c>
      <c r="FY35" s="14" t="str">
        <f ca="1">IF(FY$1="","",'Total Value'!FY47/'Total Value'!$D47-1)</f>
        <v/>
      </c>
      <c r="FZ35" s="14" t="str">
        <f ca="1">IF(FZ$1="","",'Total Value'!FZ47/'Total Value'!$D47-1)</f>
        <v/>
      </c>
      <c r="GA35" s="14" t="str">
        <f ca="1">IF(GA$1="","",'Total Value'!GA47/'Total Value'!$D47-1)</f>
        <v/>
      </c>
      <c r="GB35" s="14" t="str">
        <f ca="1">IF(GB$1="","",'Total Value'!GB47/'Total Value'!$D47-1)</f>
        <v/>
      </c>
      <c r="GC35" s="14" t="str">
        <f ca="1">IF(GC$1="","",'Total Value'!GC47/'Total Value'!$D47-1)</f>
        <v/>
      </c>
      <c r="GD35" s="14" t="str">
        <f ca="1">IF(GD$1="","",'Total Value'!GD47/'Total Value'!$D47-1)</f>
        <v/>
      </c>
      <c r="GE35" s="14" t="str">
        <f ca="1">IF(GE$1="","",'Total Value'!GE47/'Total Value'!$D47-1)</f>
        <v/>
      </c>
      <c r="GF35" s="14" t="str">
        <f ca="1">IF(GF$1="","",'Total Value'!GF47/'Total Value'!$D47-1)</f>
        <v/>
      </c>
      <c r="GG35" s="14" t="str">
        <f ca="1">IF(GG$1="","",'Total Value'!GG47/'Total Value'!$D47-1)</f>
        <v/>
      </c>
      <c r="GH35" s="14" t="str">
        <f ca="1">IF(GH$1="","",'Total Value'!GH47/'Total Value'!$D47-1)</f>
        <v/>
      </c>
      <c r="GI35" s="14" t="str">
        <f ca="1">IF(GI$1="","",'Total Value'!GI47/'Total Value'!$D47-1)</f>
        <v/>
      </c>
      <c r="GJ35" s="14" t="str">
        <f ca="1">IF(GJ$1="","",'Total Value'!GJ47/'Total Value'!$D47-1)</f>
        <v/>
      </c>
      <c r="GK35" s="14" t="str">
        <f ca="1">IF(GK$1="","",'Total Value'!GK47/'Total Value'!$D47-1)</f>
        <v/>
      </c>
      <c r="GL35" s="14" t="str">
        <f ca="1">IF(GL$1="","",'Total Value'!GL47/'Total Value'!$D47-1)</f>
        <v/>
      </c>
      <c r="GM35" s="14" t="str">
        <f ca="1">IF(GM$1="","",'Total Value'!GM47/'Total Value'!$D47-1)</f>
        <v/>
      </c>
      <c r="GN35" s="14" t="str">
        <f ca="1">IF(GN$1="","",'Total Value'!GN47/'Total Value'!$D47-1)</f>
        <v/>
      </c>
      <c r="GO35" s="14" t="str">
        <f ca="1">IF(GO$1="","",'Total Value'!GO47/'Total Value'!$D47-1)</f>
        <v/>
      </c>
      <c r="GP35" s="14" t="str">
        <f ca="1">IF(GP$1="","",'Total Value'!GP47/'Total Value'!$D47-1)</f>
        <v/>
      </c>
      <c r="GQ35" s="14" t="str">
        <f ca="1">IF(GQ$1="","",'Total Value'!GQ47/'Total Value'!$D47-1)</f>
        <v/>
      </c>
      <c r="GR35" s="14" t="str">
        <f ca="1">IF(GR$1="","",'Total Value'!GR47/'Total Value'!$D47-1)</f>
        <v/>
      </c>
      <c r="GS35" s="14" t="str">
        <f ca="1">IF(GS$1="","",'Total Value'!GS47/'Total Value'!$D47-1)</f>
        <v/>
      </c>
      <c r="GT35" s="14" t="str">
        <f ca="1">IF(GT$1="","",'Total Value'!GT47/'Total Value'!$D47-1)</f>
        <v/>
      </c>
      <c r="GU35" s="14" t="str">
        <f ca="1">IF(GU$1="","",'Total Value'!GU47/'Total Value'!$D47-1)</f>
        <v/>
      </c>
      <c r="GV35" s="14" t="str">
        <f ca="1">IF(GV$1="","",'Total Value'!GV47/'Total Value'!$D47-1)</f>
        <v/>
      </c>
      <c r="GW35" s="14" t="str">
        <f ca="1">IF(GW$1="","",'Total Value'!GW47/'Total Value'!$D47-1)</f>
        <v/>
      </c>
      <c r="GX35" s="14" t="str">
        <f ca="1">IF(GX$1="","",'Total Value'!GX47/'Total Value'!$D47-1)</f>
        <v/>
      </c>
      <c r="GY35" s="14" t="str">
        <f ca="1">IF(GY$1="","",'Total Value'!GY47/'Total Value'!$D47-1)</f>
        <v/>
      </c>
      <c r="GZ35" s="14" t="str">
        <f ca="1">IF(GZ$1="","",'Total Value'!GZ47/'Total Value'!$D47-1)</f>
        <v/>
      </c>
      <c r="HA35" s="14" t="str">
        <f ca="1">IF(HA$1="","",'Total Value'!HA47/'Total Value'!$D47-1)</f>
        <v/>
      </c>
      <c r="HB35" s="14" t="str">
        <f ca="1">IF(HB$1="","",'Total Value'!HB47/'Total Value'!$D47-1)</f>
        <v/>
      </c>
      <c r="HC35" s="14" t="str">
        <f ca="1">IF(HC$1="","",'Total Value'!HC47/'Total Value'!$D47-1)</f>
        <v/>
      </c>
      <c r="HD35" s="14" t="str">
        <f ca="1">IF(HD$1="","",'Total Value'!HD47/'Total Value'!$D47-1)</f>
        <v/>
      </c>
      <c r="HE35" s="14" t="str">
        <f ca="1">IF(HE$1="","",'Total Value'!HE47/'Total Value'!$D47-1)</f>
        <v/>
      </c>
      <c r="HF35" s="14" t="str">
        <f ca="1">IF(HF$1="","",'Total Value'!HF47/'Total Value'!$D47-1)</f>
        <v/>
      </c>
      <c r="HG35" s="14" t="str">
        <f ca="1">IF(HG$1="","",'Total Value'!HG47/'Total Value'!$D47-1)</f>
        <v/>
      </c>
      <c r="HH35" s="14" t="str">
        <f ca="1">IF(HH$1="","",'Total Value'!HH47/'Total Value'!$D47-1)</f>
        <v/>
      </c>
      <c r="HI35" s="14" t="str">
        <f ca="1">IF(HI$1="","",'Total Value'!HI47/'Total Value'!$D47-1)</f>
        <v/>
      </c>
      <c r="HJ35" s="14" t="str">
        <f ca="1">IF(HJ$1="","",'Total Value'!HJ47/'Total Value'!$D47-1)</f>
        <v/>
      </c>
      <c r="HK35" s="14" t="str">
        <f ca="1">IF(HK$1="","",'Total Value'!HK47/'Total Value'!$D47-1)</f>
        <v/>
      </c>
      <c r="HL35" s="14" t="str">
        <f ca="1">IF(HL$1="","",'Total Value'!HL47/'Total Value'!$D47-1)</f>
        <v/>
      </c>
      <c r="HM35" s="14" t="str">
        <f ca="1">IF(HM$1="","",'Total Value'!HM47/'Total Value'!$D47-1)</f>
        <v/>
      </c>
      <c r="HN35" s="14" t="str">
        <f ca="1">IF(HN$1="","",'Total Value'!HN47/'Total Value'!$D47-1)</f>
        <v/>
      </c>
      <c r="HO35" s="14" t="str">
        <f ca="1">IF(HO$1="","",'Total Value'!HO47/'Total Value'!$D47-1)</f>
        <v/>
      </c>
      <c r="HP35" s="14" t="str">
        <f ca="1">IF(HP$1="","",'Total Value'!HP47/'Total Value'!$D47-1)</f>
        <v/>
      </c>
      <c r="HQ35" s="14" t="str">
        <f ca="1">IF(HQ$1="","",'Total Value'!HQ47/'Total Value'!$D47-1)</f>
        <v/>
      </c>
      <c r="HR35" s="14" t="str">
        <f ca="1">IF(HR$1="","",'Total Value'!HR47/'Total Value'!$D47-1)</f>
        <v/>
      </c>
      <c r="HS35" s="14" t="str">
        <f ca="1">IF(HS$1="","",'Total Value'!HS47/'Total Value'!$D47-1)</f>
        <v/>
      </c>
      <c r="HT35" s="14" t="str">
        <f ca="1">IF(HT$1="","",'Total Value'!HT47/'Total Value'!$D47-1)</f>
        <v/>
      </c>
      <c r="HU35" s="14" t="str">
        <f ca="1">IF(HU$1="","",'Total Value'!HU47/'Total Value'!$D47-1)</f>
        <v/>
      </c>
      <c r="HV35" s="14" t="str">
        <f ca="1">IF(HV$1="","",'Total Value'!HV47/'Total Value'!$D47-1)</f>
        <v/>
      </c>
      <c r="HW35" s="14" t="str">
        <f ca="1">IF(HW$1="","",'Total Value'!HW47/'Total Value'!$D47-1)</f>
        <v/>
      </c>
      <c r="HX35" s="14" t="str">
        <f ca="1">IF(HX$1="","",'Total Value'!HX47/'Total Value'!$D47-1)</f>
        <v/>
      </c>
      <c r="HY35" s="14" t="str">
        <f ca="1">IF(HY$1="","",'Total Value'!HY47/'Total Value'!$D47-1)</f>
        <v/>
      </c>
      <c r="HZ35" s="14" t="str">
        <f ca="1">IF(HZ$1="","",'Total Value'!HZ47/'Total Value'!$D47-1)</f>
        <v/>
      </c>
      <c r="IA35" s="14" t="str">
        <f ca="1">IF(IA$1="","",'Total Value'!IA47/'Total Value'!$D47-1)</f>
        <v/>
      </c>
      <c r="IB35" s="14" t="str">
        <f ca="1">IF(IB$1="","",'Total Value'!IB47/'Total Value'!$D47-1)</f>
        <v/>
      </c>
      <c r="IC35" s="14" t="str">
        <f ca="1">IF(IC$1="","",'Total Value'!IC47/'Total Value'!$D47-1)</f>
        <v/>
      </c>
      <c r="ID35" s="14" t="str">
        <f ca="1">IF(ID$1="","",'Total Value'!ID47/'Total Value'!$D47-1)</f>
        <v/>
      </c>
      <c r="IE35" s="14" t="str">
        <f ca="1">IF(IE$1="","",'Total Value'!IE47/'Total Value'!$D47-1)</f>
        <v/>
      </c>
      <c r="IF35" s="14" t="str">
        <f ca="1">IF(IF$1="","",'Total Value'!IF47/'Total Value'!$D47-1)</f>
        <v/>
      </c>
      <c r="IG35" s="14" t="str">
        <f ca="1">IF(IG$1="","",'Total Value'!IG47/'Total Value'!$D47-1)</f>
        <v/>
      </c>
      <c r="IH35" s="14" t="str">
        <f ca="1">IF(IH$1="","",'Total Value'!IH47/'Total Value'!$D47-1)</f>
        <v/>
      </c>
      <c r="II35" s="14" t="str">
        <f ca="1">IF(II$1="","",'Total Value'!II47/'Total Value'!$D47-1)</f>
        <v/>
      </c>
      <c r="IJ35" s="14" t="str">
        <f ca="1">IF(IJ$1="","",'Total Value'!IJ47/'Total Value'!$D47-1)</f>
        <v/>
      </c>
      <c r="IK35" s="14" t="str">
        <f ca="1">IF(IK$1="","",'Total Value'!IK47/'Total Value'!$D47-1)</f>
        <v/>
      </c>
      <c r="IL35" s="14" t="str">
        <f ca="1">IF(IL$1="","",'Total Value'!IL47/'Total Value'!$D47-1)</f>
        <v/>
      </c>
      <c r="IM35" s="14" t="str">
        <f ca="1">IF(IM$1="","",'Total Value'!IM47/'Total Value'!$D47-1)</f>
        <v/>
      </c>
      <c r="IN35" s="14" t="str">
        <f ca="1">IF(IN$1="","",'Total Value'!IN47/'Total Value'!$D47-1)</f>
        <v/>
      </c>
      <c r="IO35" s="14" t="str">
        <f ca="1">IF(IO$1="","",'Total Value'!IO47/'Total Value'!$D47-1)</f>
        <v/>
      </c>
      <c r="IP35" s="14" t="str">
        <f ca="1">IF(IP$1="","",'Total Value'!IP47/'Total Value'!$D47-1)</f>
        <v/>
      </c>
      <c r="IQ35" s="14" t="str">
        <f ca="1">IF(IQ$1="","",'Total Value'!IQ47/'Total Value'!$D47-1)</f>
        <v/>
      </c>
      <c r="IR35" s="14" t="str">
        <f ca="1">IF(IR$1="","",'Total Value'!IR47/'Total Value'!$D47-1)</f>
        <v/>
      </c>
      <c r="IS35" s="14" t="str">
        <f ca="1">IF(IS$1="","",'Total Value'!IS47/'Total Value'!$D47-1)</f>
        <v/>
      </c>
      <c r="IT35" s="14" t="str">
        <f ca="1">IF(IT$1="","",'Total Value'!IT47/'Total Value'!$D47-1)</f>
        <v/>
      </c>
      <c r="IU35" s="14" t="str">
        <f ca="1">IF(IU$1="","",'Total Value'!IU47/'Total Value'!$D47-1)</f>
        <v/>
      </c>
      <c r="IV35" s="14" t="str">
        <f ca="1">IF(IV$1="","",'Total Value'!IV47/'Total Value'!$D47-1)</f>
        <v/>
      </c>
      <c r="IW35" s="14" t="str">
        <f ca="1">IF(IW$1="","",'Total Value'!IW47/'Total Value'!$D47-1)</f>
        <v/>
      </c>
      <c r="IX35" s="14" t="str">
        <f ca="1">IF(IX$1="","",'Total Value'!IX47/'Total Value'!$D47-1)</f>
        <v/>
      </c>
      <c r="IY35" s="14" t="str">
        <f ca="1">IF(IY$1="","",'Total Value'!IY47/'Total Value'!$D47-1)</f>
        <v/>
      </c>
      <c r="IZ35" s="14" t="str">
        <f ca="1">IF(IZ$1="","",'Total Value'!IZ47/'Total Value'!$D47-1)</f>
        <v/>
      </c>
      <c r="JA35" s="14" t="str">
        <f ca="1">IF(JA$1="","",'Total Value'!JA47/'Total Value'!$D47-1)</f>
        <v/>
      </c>
      <c r="JB35" s="14" t="str">
        <f ca="1">IF(JB$1="","",'Total Value'!JB47/'Total Value'!$D47-1)</f>
        <v/>
      </c>
      <c r="JC35" s="14" t="str">
        <f ca="1">IF(JC$1="","",'Total Value'!JC47/'Total Value'!$D47-1)</f>
        <v/>
      </c>
      <c r="JD35" s="14" t="str">
        <f ca="1">IF(JD$1="","",'Total Value'!JD47/'Total Value'!$D47-1)</f>
        <v/>
      </c>
      <c r="JE35" s="14" t="str">
        <f ca="1">IF(JE$1="","",'Total Value'!JE47/'Total Value'!$D47-1)</f>
        <v/>
      </c>
      <c r="JF35" s="14" t="str">
        <f ca="1">IF(JF$1="","",'Total Value'!JF47/'Total Value'!$D47-1)</f>
        <v/>
      </c>
      <c r="JG35" s="14" t="str">
        <f ca="1">IF(JG$1="","",'Total Value'!JG47/'Total Value'!$D47-1)</f>
        <v/>
      </c>
      <c r="JH35" s="14" t="str">
        <f ca="1">IF(JH$1="","",'Total Value'!JH47/'Total Value'!$D47-1)</f>
        <v/>
      </c>
      <c r="JI35" s="14" t="str">
        <f ca="1">IF(JI$1="","",'Total Value'!JI47/'Total Value'!$D47-1)</f>
        <v/>
      </c>
      <c r="JJ35" s="14" t="str">
        <f ca="1">IF(JJ$1="","",'Total Value'!JJ47/'Total Value'!$D47-1)</f>
        <v/>
      </c>
      <c r="JK35" s="14" t="str">
        <f ca="1">IF(JK$1="","",'Total Value'!JK47/'Total Value'!$D47-1)</f>
        <v/>
      </c>
      <c r="JL35" s="14" t="str">
        <f ca="1">IF(JL$1="","",'Total Value'!JL47/'Total Value'!$D47-1)</f>
        <v/>
      </c>
      <c r="JM35" s="14" t="str">
        <f ca="1">IF(JM$1="","",'Total Value'!JM47/'Total Value'!$D47-1)</f>
        <v/>
      </c>
      <c r="JN35" s="14" t="str">
        <f ca="1">IF(JN$1="","",'Total Value'!JN47/'Total Value'!$D47-1)</f>
        <v/>
      </c>
      <c r="JO35" s="14" t="str">
        <f ca="1">IF(JO$1="","",'Total Value'!JO47/'Total Value'!$D47-1)</f>
        <v/>
      </c>
      <c r="JP35" s="14" t="str">
        <f ca="1">IF(JP$1="","",'Total Value'!JP47/'Total Value'!$D47-1)</f>
        <v/>
      </c>
      <c r="JQ35" s="14" t="str">
        <f ca="1">IF(JQ$1="","",'Total Value'!JQ47/'Total Value'!$D47-1)</f>
        <v/>
      </c>
      <c r="JR35" s="14" t="str">
        <f ca="1">IF(JR$1="","",'Total Value'!JR47/'Total Value'!$D47-1)</f>
        <v/>
      </c>
      <c r="JS35" s="14" t="str">
        <f ca="1">IF(JS$1="","",'Total Value'!JS47/'Total Value'!$D47-1)</f>
        <v/>
      </c>
      <c r="JT35" s="14" t="str">
        <f ca="1">IF(JT$1="","",'Total Value'!JT47/'Total Value'!$D47-1)</f>
        <v/>
      </c>
      <c r="JU35" s="14" t="str">
        <f ca="1">IF(JU$1="","",'Total Value'!JU47/'Total Value'!$D47-1)</f>
        <v/>
      </c>
      <c r="JV35" s="14" t="str">
        <f ca="1">IF(JV$1="","",'Total Value'!JV47/'Total Value'!$D47-1)</f>
        <v/>
      </c>
      <c r="JW35" s="14" t="str">
        <f ca="1">IF(JW$1="","",'Total Value'!JW47/'Total Value'!$D47-1)</f>
        <v/>
      </c>
      <c r="JX35" s="14" t="str">
        <f ca="1">IF(JX$1="","",'Total Value'!JX47/'Total Value'!$D47-1)</f>
        <v/>
      </c>
      <c r="JY35" s="14" t="str">
        <f ca="1">IF(JY$1="","",'Total Value'!JY47/'Total Value'!$D47-1)</f>
        <v/>
      </c>
      <c r="JZ35" s="14" t="str">
        <f ca="1">IF(JZ$1="","",'Total Value'!JZ47/'Total Value'!$D47-1)</f>
        <v/>
      </c>
      <c r="KA35" s="14" t="str">
        <f ca="1">IF(KA$1="","",'Total Value'!KA47/'Total Value'!$D47-1)</f>
        <v/>
      </c>
      <c r="KB35" s="14" t="str">
        <f ca="1">IF(KB$1="","",'Total Value'!KB47/'Total Value'!$D47-1)</f>
        <v/>
      </c>
    </row>
    <row r="36" spans="1:288" ht="15.75" customHeight="1">
      <c r="A36" s="9" t="s">
        <v>30</v>
      </c>
      <c r="B36" s="6" t="s">
        <v>80</v>
      </c>
      <c r="C36" s="26">
        <v>16</v>
      </c>
      <c r="D36" s="13">
        <v>0</v>
      </c>
      <c r="E36" s="14">
        <f ca="1">IF(E$1="","",'Total Value'!E48/'Total Value'!$D48-1)</f>
        <v>-1.7475728155340597E-3</v>
      </c>
      <c r="F36" s="14">
        <f ca="1">IF(F$1="","",'Total Value'!F48/'Total Value'!$D48-1)</f>
        <v>1.9417475728156219E-4</v>
      </c>
      <c r="G36" s="14">
        <f ca="1">IF(G$1="","",'Total Value'!G48/'Total Value'!$D48-1)</f>
        <v>-1.4951456310679623E-2</v>
      </c>
      <c r="H36" s="14">
        <f ca="1">IF(H$1="","",'Total Value'!H48/'Total Value'!$D48-1)</f>
        <v>8.3495145631067302E-3</v>
      </c>
      <c r="I36" s="14">
        <f ca="1">IF(I$1="","",'Total Value'!I48/'Total Value'!$D48-1)</f>
        <v>1.3009708737864001E-2</v>
      </c>
      <c r="J36" s="14">
        <f ca="1">IF(J$1="","",'Total Value'!J48/'Total Value'!$D48-1)</f>
        <v>1.1262135922330163E-2</v>
      </c>
      <c r="K36" s="14">
        <f ca="1">IF(K$1="","",'Total Value'!K48/'Total Value'!$D48-1)</f>
        <v>1.1456310679611725E-2</v>
      </c>
      <c r="L36" s="14">
        <f ca="1">IF(L$1="","",'Total Value'!L48/'Total Value'!$D48-1)</f>
        <v>-5.048543689320395E-3</v>
      </c>
      <c r="M36" s="14">
        <f ca="1">IF(M$1="","",'Total Value'!M48/'Total Value'!$D48-1)</f>
        <v>-1.2815533980582439E-2</v>
      </c>
      <c r="N36" s="14">
        <f ca="1">IF(N$1="","",'Total Value'!N48/'Total Value'!$D48-1)</f>
        <v>-1.9417475728155109E-3</v>
      </c>
      <c r="O36" s="14">
        <f ca="1">IF(O$1="","",'Total Value'!O48/'Total Value'!$D48-1)</f>
        <v>-3.4951456310680085E-3</v>
      </c>
      <c r="P36" s="14">
        <f ca="1">IF(P$1="","",'Total Value'!P48/'Total Value'!$D48-1)</f>
        <v>2.6407766990291348E-2</v>
      </c>
      <c r="Q36" s="14">
        <f ca="1">IF(Q$1="","",'Total Value'!Q48/'Total Value'!$D48-1)</f>
        <v>2.4077669902912602E-2</v>
      </c>
      <c r="R36" s="14">
        <f ca="1">IF(R$1="","",'Total Value'!R48/'Total Value'!$D48-1)</f>
        <v>9.7087378640776656E-3</v>
      </c>
      <c r="S36" s="14">
        <f ca="1">IF(S$1="","",'Total Value'!S48/'Total Value'!$D48-1)</f>
        <v>2.5242718446603085E-3</v>
      </c>
      <c r="T36" s="14">
        <f ca="1">IF(T$1="","",'Total Value'!T48/'Total Value'!$D48-1)</f>
        <v>2.019417475728158E-2</v>
      </c>
      <c r="U36" s="14">
        <f ca="1">IF(U$1="","",'Total Value'!U48/'Total Value'!$D48-1)</f>
        <v>1.8640776699029082E-2</v>
      </c>
      <c r="V36" s="14">
        <f ca="1">IF(V$1="","",'Total Value'!V48/'Total Value'!$D48-1)</f>
        <v>1.1262135922330163E-2</v>
      </c>
      <c r="W36" s="14">
        <f ca="1">IF(W$1="","",'Total Value'!W48/'Total Value'!$D48-1)</f>
        <v>3.0097087378640808E-2</v>
      </c>
      <c r="X36" s="14">
        <f ca="1">IF(X$1="","",'Total Value'!X48/'Total Value'!$D48-1)</f>
        <v>4.0970873786407846E-2</v>
      </c>
      <c r="Y36" s="14">
        <f ca="1">IF(Y$1="","",'Total Value'!Y48/'Total Value'!$D48-1)</f>
        <v>4.1747572815533873E-2</v>
      </c>
      <c r="Z36" s="14">
        <f ca="1">IF(Z$1="","",'Total Value'!Z48/'Total Value'!$D48-1)</f>
        <v>2.7766990291262061E-2</v>
      </c>
      <c r="AA36" s="14">
        <f ca="1">IF(AA$1="","",'Total Value'!AA48/'Total Value'!$D48-1)</f>
        <v>2.4077669902912602E-2</v>
      </c>
      <c r="AB36" s="14">
        <f ca="1">IF(AB$1="","",'Total Value'!AB48/'Total Value'!$D48-1)</f>
        <v>1.4563106796116498E-2</v>
      </c>
      <c r="AC36" s="14">
        <f ca="1">IF(AC$1="","",'Total Value'!AC48/'Total Value'!$D48-1)</f>
        <v>2.9514563106796121E-2</v>
      </c>
      <c r="AD36" s="14">
        <f ca="1">IF(AD$1="","",'Total Value'!AD48/'Total Value'!$D48-1)</f>
        <v>3.9417475728155349E-2</v>
      </c>
      <c r="AE36" s="14">
        <f ca="1">IF(AE$1="","",'Total Value'!AE48/'Total Value'!$D48-1)</f>
        <v>2.6601941747572688E-2</v>
      </c>
      <c r="AF36" s="14">
        <f ca="1">IF(AF$1="","",'Total Value'!AF48/'Total Value'!$D48-1)</f>
        <v>1.9417475728155331E-2</v>
      </c>
      <c r="AG36" s="14">
        <f ca="1">IF(AG$1="","",'Total Value'!AG48/'Total Value'!$D48-1)</f>
        <v>1.1262135922330163E-2</v>
      </c>
      <c r="AH36" s="14">
        <f ca="1">IF(AH$1="","",'Total Value'!AH48/'Total Value'!$D48-1)</f>
        <v>1.9805825242718456E-2</v>
      </c>
      <c r="AI36" s="14">
        <f ca="1">IF(AI$1="","",'Total Value'!AI48/'Total Value'!$D48-1)</f>
        <v>-5.2427184466019572E-3</v>
      </c>
      <c r="AJ36" s="14">
        <f ca="1">IF(AJ$1="","",'Total Value'!AJ48/'Total Value'!$D48-1)</f>
        <v>3.0097087378640808E-2</v>
      </c>
      <c r="AK36" s="14">
        <f ca="1">IF(AK$1="","",'Total Value'!AK48/'Total Value'!$D48-1)</f>
        <v>1.844660194174752E-2</v>
      </c>
      <c r="AL36" s="14">
        <f ca="1">IF(AL$1="","",'Total Value'!AL48/'Total Value'!$D48-1)</f>
        <v>-8.5436893203882924E-3</v>
      </c>
      <c r="AM36" s="14">
        <f ca="1">IF(AM$1="","",'Total Value'!AM48/'Total Value'!$D48-1)</f>
        <v>-8.5436893203882924E-3</v>
      </c>
      <c r="AN36" s="14">
        <f ca="1">IF(AN$1="","",'Total Value'!AN48/'Total Value'!$D48-1)</f>
        <v>-2.5631067961165099E-2</v>
      </c>
      <c r="AO36" s="14">
        <f ca="1">IF(AO$1="","",'Total Value'!AO48/'Total Value'!$D48-1)</f>
        <v>-5.8640776699029229E-2</v>
      </c>
      <c r="AP36" s="14">
        <f ca="1">IF(AP$1="","",'Total Value'!AP48/'Total Value'!$D48-1)</f>
        <v>-5.6504854368931934E-2</v>
      </c>
      <c r="AQ36" s="14">
        <f ca="1">IF(AQ$1="","",'Total Value'!AQ48/'Total Value'!$D48-1)</f>
        <v>-2.5242718446601864E-2</v>
      </c>
      <c r="AR36" s="14">
        <f ca="1">IF(AR$1="","",'Total Value'!AR48/'Total Value'!$D48-1)</f>
        <v>8.3495145631067302E-3</v>
      </c>
      <c r="AS36" s="14">
        <f ca="1">IF(AS$1="","",'Total Value'!AS48/'Total Value'!$D48-1)</f>
        <v>-1.9417475728155109E-3</v>
      </c>
      <c r="AT36" s="14">
        <f ca="1">IF(AT$1="","",'Total Value'!AT48/'Total Value'!$D48-1)</f>
        <v>-1.5339805825242747E-2</v>
      </c>
      <c r="AU36" s="14">
        <f ca="1">IF(AU$1="","",'Total Value'!AU48/'Total Value'!$D48-1)</f>
        <v>-2.2718446601941777E-2</v>
      </c>
      <c r="AV36" s="14">
        <f ca="1">IF(AV$1="","",'Total Value'!AV48/'Total Value'!$D48-1)</f>
        <v>6.4077669902913303E-3</v>
      </c>
      <c r="AW36" s="14">
        <f ca="1">IF(AW$1="","",'Total Value'!AW48/'Total Value'!$D48-1)</f>
        <v>7.7669902912620437E-3</v>
      </c>
      <c r="AX36" s="14">
        <f ca="1">IF(AX$1="","",'Total Value'!AX48/'Total Value'!$D48-1)</f>
        <v>2.1359223300970953E-2</v>
      </c>
      <c r="AY36" s="14">
        <f ca="1">IF(AY$1="","",'Total Value'!AY48/'Total Value'!$D48-1)</f>
        <v>1.1456310679611725E-2</v>
      </c>
      <c r="AZ36" s="14">
        <f ca="1">IF(AZ$1="","",'Total Value'!AZ48/'Total Value'!$D48-1)</f>
        <v>-1.0679611650485366E-2</v>
      </c>
      <c r="BA36" s="14">
        <f ca="1">IF(BA$1="","",'Total Value'!BA48/'Total Value'!$D48-1)</f>
        <v>4.077669902912584E-3</v>
      </c>
      <c r="BB36" s="14">
        <f ca="1">IF(BB$1="","",'Total Value'!BB48/'Total Value'!$D48-1)</f>
        <v>1.7475728155340597E-3</v>
      </c>
      <c r="BC36" s="14">
        <f ca="1">IF(BC$1="","",'Total Value'!BC48/'Total Value'!$D48-1)</f>
        <v>-6.019417475728206E-3</v>
      </c>
      <c r="BD36" s="14">
        <f ca="1">IF(BD$1="","",'Total Value'!BD48/'Total Value'!$D48-1)</f>
        <v>5.8252427184468658E-4</v>
      </c>
      <c r="BE36" s="14">
        <f ca="1">IF(BE$1="","",'Total Value'!BE48/'Total Value'!$D48-1)</f>
        <v>6.4077669902913303E-3</v>
      </c>
      <c r="BF36" s="14">
        <f ca="1">IF(BF$1="","",'Total Value'!BF48/'Total Value'!$D48-1)</f>
        <v>-1.5533980582523865E-3</v>
      </c>
      <c r="BG36" s="14">
        <f ca="1">IF(BG$1="","",'Total Value'!BG48/'Total Value'!$D48-1)</f>
        <v>1.9417475728156219E-3</v>
      </c>
      <c r="BH36" s="14">
        <f ca="1">IF(BH$1="","",'Total Value'!BH48/'Total Value'!$D48-1)</f>
        <v>-3.1067961165047731E-3</v>
      </c>
      <c r="BI36" s="14">
        <f ca="1">IF(BI$1="","",'Total Value'!BI48/'Total Value'!$D48-1)</f>
        <v>1.3592233009708687E-2</v>
      </c>
      <c r="BJ36" s="14">
        <f ca="1">IF(BJ$1="","",'Total Value'!BJ48/'Total Value'!$D48-1)</f>
        <v>2.0388349514563142E-2</v>
      </c>
      <c r="BK36" s="14">
        <f ca="1">IF(BK$1="","",'Total Value'!BK48/'Total Value'!$D48-1)</f>
        <v>2.7184466019417375E-2</v>
      </c>
      <c r="BL36" s="14">
        <f ca="1">IF(BL$1="","",'Total Value'!BL48/'Total Value'!$D48-1)</f>
        <v>5.1262135922330199E-2</v>
      </c>
      <c r="BM36" s="14">
        <f ca="1">IF(BM$1="","",'Total Value'!BM48/'Total Value'!$D48-1)</f>
        <v>7.8058252427184449E-2</v>
      </c>
      <c r="BN36" s="14">
        <f ca="1">IF(BN$1="","",'Total Value'!BN48/'Total Value'!$D48-1)</f>
        <v>0.10194174757281549</v>
      </c>
      <c r="BO36" s="14">
        <f ca="1">IF(BO$1="","",'Total Value'!BO48/'Total Value'!$D48-1)</f>
        <v>0.11572815533980574</v>
      </c>
      <c r="BP36" s="14">
        <f ca="1">IF(BP$1="","",'Total Value'!BP48/'Total Value'!$D48-1)</f>
        <v>8.1941747572815471E-2</v>
      </c>
      <c r="BQ36" s="14">
        <f ca="1">IF(BQ$1="","",'Total Value'!BQ48/'Total Value'!$D48-1)</f>
        <v>0.1009708737864079</v>
      </c>
      <c r="BR36" s="14">
        <f ca="1">IF(BR$1="","",'Total Value'!BR48/'Total Value'!$D48-1)</f>
        <v>8.2524271844660158E-2</v>
      </c>
      <c r="BS36" s="14">
        <f ca="1">IF(BS$1="","",'Total Value'!BS48/'Total Value'!$D48-1)</f>
        <v>7.1650485436893119E-2</v>
      </c>
      <c r="BT36" s="14">
        <f ca="1">IF(BT$1="","",'Total Value'!BT48/'Total Value'!$D48-1)</f>
        <v>7.1844660194174903E-2</v>
      </c>
      <c r="BU36" s="14">
        <f ca="1">IF(BU$1="","",'Total Value'!BU48/'Total Value'!$D48-1)</f>
        <v>8.4466019417475779E-2</v>
      </c>
      <c r="BV36" s="14">
        <f ca="1">IF(BV$1="","",'Total Value'!BV48/'Total Value'!$D48-1)</f>
        <v>7.2427184466019368E-2</v>
      </c>
      <c r="BW36" s="14">
        <f ca="1">IF(BW$1="","",'Total Value'!BW48/'Total Value'!$D48-1)</f>
        <v>5.3203883495145599E-2</v>
      </c>
      <c r="BX36" s="14">
        <f ca="1">IF(BX$1="","",'Total Value'!BX48/'Total Value'!$D48-1)</f>
        <v>5.9029126213592242E-2</v>
      </c>
      <c r="BY36" s="14">
        <f ca="1">IF(BY$1="","",'Total Value'!BY48/'Total Value'!$D48-1)</f>
        <v>4.6796116504854268E-2</v>
      </c>
      <c r="BZ36" s="14">
        <f ca="1">IF(BZ$1="","",'Total Value'!BZ48/'Total Value'!$D48-1)</f>
        <v>5.514563106796122E-2</v>
      </c>
      <c r="CA36" s="14">
        <f ca="1">IF(CA$1="","",'Total Value'!CA48/'Total Value'!$D48-1)</f>
        <v>5.6504854368931934E-2</v>
      </c>
      <c r="CB36" s="14">
        <f ca="1">IF(CB$1="","",'Total Value'!CB48/'Total Value'!$D48-1)</f>
        <v>1.4563106796116498E-2</v>
      </c>
      <c r="CC36" s="14">
        <f ca="1">IF(CC$1="","",'Total Value'!CC48/'Total Value'!$D48-1)</f>
        <v>3.029126213592237E-2</v>
      </c>
      <c r="CD36" s="14">
        <f ca="1">IF(CD$1="","",'Total Value'!CD48/'Total Value'!$D48-1)</f>
        <v>3.7281553398058387E-2</v>
      </c>
      <c r="CE36" s="14">
        <f ca="1">IF(CE$1="","",'Total Value'!CE48/'Total Value'!$D48-1)</f>
        <v>1.9223300970873769E-2</v>
      </c>
      <c r="CF36" s="14" t="str">
        <f ca="1">IF(CF$1="","",'Total Value'!CF48/'Total Value'!$D48-1)</f>
        <v/>
      </c>
      <c r="CG36" s="14" t="str">
        <f ca="1">IF(CG$1="","",'Total Value'!CG48/'Total Value'!$D48-1)</f>
        <v/>
      </c>
      <c r="CH36" s="14" t="str">
        <f ca="1">IF(CH$1="","",'Total Value'!CH48/'Total Value'!$D48-1)</f>
        <v/>
      </c>
      <c r="CI36" s="14" t="str">
        <f ca="1">IF(CI$1="","",'Total Value'!CI48/'Total Value'!$D48-1)</f>
        <v/>
      </c>
      <c r="CJ36" s="14" t="str">
        <f ca="1">IF(CJ$1="","",'Total Value'!CJ48/'Total Value'!$D48-1)</f>
        <v/>
      </c>
      <c r="CK36" s="14" t="str">
        <f ca="1">IF(CK$1="","",'Total Value'!CK48/'Total Value'!$D48-1)</f>
        <v/>
      </c>
      <c r="CL36" s="14" t="str">
        <f ca="1">IF(CL$1="","",'Total Value'!CL48/'Total Value'!$D48-1)</f>
        <v/>
      </c>
      <c r="CM36" s="14" t="str">
        <f ca="1">IF(CM$1="","",'Total Value'!CM48/'Total Value'!$D48-1)</f>
        <v/>
      </c>
      <c r="CN36" s="14" t="str">
        <f ca="1">IF(CN$1="","",'Total Value'!CN48/'Total Value'!$D48-1)</f>
        <v/>
      </c>
      <c r="CO36" s="14" t="str">
        <f ca="1">IF(CO$1="","",'Total Value'!CO48/'Total Value'!$D48-1)</f>
        <v/>
      </c>
      <c r="CP36" s="14" t="str">
        <f ca="1">IF(CP$1="","",'Total Value'!CP48/'Total Value'!$D48-1)</f>
        <v/>
      </c>
      <c r="CQ36" s="14" t="str">
        <f ca="1">IF(CQ$1="","",'Total Value'!CQ48/'Total Value'!$D48-1)</f>
        <v/>
      </c>
      <c r="CR36" s="14" t="str">
        <f ca="1">IF(CR$1="","",'Total Value'!CR48/'Total Value'!$D48-1)</f>
        <v/>
      </c>
      <c r="CS36" s="14" t="str">
        <f ca="1">IF(CS$1="","",'Total Value'!CS48/'Total Value'!$D48-1)</f>
        <v/>
      </c>
      <c r="CT36" s="14" t="str">
        <f ca="1">IF(CT$1="","",'Total Value'!CT48/'Total Value'!$D48-1)</f>
        <v/>
      </c>
      <c r="CU36" s="14" t="str">
        <f ca="1">IF(CU$1="","",'Total Value'!CU48/'Total Value'!$D48-1)</f>
        <v/>
      </c>
      <c r="CV36" s="14" t="str">
        <f ca="1">IF(CV$1="","",'Total Value'!CV48/'Total Value'!$D48-1)</f>
        <v/>
      </c>
      <c r="CW36" s="14" t="str">
        <f ca="1">IF(CW$1="","",'Total Value'!CW48/'Total Value'!$D48-1)</f>
        <v/>
      </c>
      <c r="CX36" s="14" t="str">
        <f ca="1">IF(CX$1="","",'Total Value'!CX48/'Total Value'!$D48-1)</f>
        <v/>
      </c>
      <c r="CY36" s="14" t="str">
        <f ca="1">IF(CY$1="","",'Total Value'!CY48/'Total Value'!$D48-1)</f>
        <v/>
      </c>
      <c r="CZ36" s="14" t="str">
        <f ca="1">IF(CZ$1="","",'Total Value'!CZ48/'Total Value'!$D48-1)</f>
        <v/>
      </c>
      <c r="DA36" s="14" t="str">
        <f ca="1">IF(DA$1="","",'Total Value'!DA48/'Total Value'!$D48-1)</f>
        <v/>
      </c>
      <c r="DB36" s="14" t="str">
        <f ca="1">IF(DB$1="","",'Total Value'!DB48/'Total Value'!$D48-1)</f>
        <v/>
      </c>
      <c r="DC36" s="14" t="str">
        <f ca="1">IF(DC$1="","",'Total Value'!DC48/'Total Value'!$D48-1)</f>
        <v/>
      </c>
      <c r="DD36" s="14" t="str">
        <f ca="1">IF(DD$1="","",'Total Value'!DD48/'Total Value'!$D48-1)</f>
        <v/>
      </c>
      <c r="DE36" s="14" t="str">
        <f ca="1">IF(DE$1="","",'Total Value'!DE48/'Total Value'!$D48-1)</f>
        <v/>
      </c>
      <c r="DF36" s="14" t="str">
        <f ca="1">IF(DF$1="","",'Total Value'!DF48/'Total Value'!$D48-1)</f>
        <v/>
      </c>
      <c r="DG36" s="14" t="str">
        <f ca="1">IF(DG$1="","",'Total Value'!DG48/'Total Value'!$D48-1)</f>
        <v/>
      </c>
      <c r="DH36" s="14" t="str">
        <f ca="1">IF(DH$1="","",'Total Value'!DH48/'Total Value'!$D48-1)</f>
        <v/>
      </c>
      <c r="DI36" s="14" t="str">
        <f ca="1">IF(DI$1="","",'Total Value'!DI48/'Total Value'!$D48-1)</f>
        <v/>
      </c>
      <c r="DJ36" s="14" t="str">
        <f ca="1">IF(DJ$1="","",'Total Value'!DJ48/'Total Value'!$D48-1)</f>
        <v/>
      </c>
      <c r="DK36" s="14" t="str">
        <f ca="1">IF(DK$1="","",'Total Value'!DK48/'Total Value'!$D48-1)</f>
        <v/>
      </c>
      <c r="DL36" s="14" t="str">
        <f ca="1">IF(DL$1="","",'Total Value'!DL48/'Total Value'!$D48-1)</f>
        <v/>
      </c>
      <c r="DM36" s="14" t="str">
        <f ca="1">IF(DM$1="","",'Total Value'!DM48/'Total Value'!$D48-1)</f>
        <v/>
      </c>
      <c r="DN36" s="14" t="str">
        <f ca="1">IF(DN$1="","",'Total Value'!DN48/'Total Value'!$D48-1)</f>
        <v/>
      </c>
      <c r="DO36" s="14" t="str">
        <f ca="1">IF(DO$1="","",'Total Value'!DO48/'Total Value'!$D48-1)</f>
        <v/>
      </c>
      <c r="DP36" s="14" t="str">
        <f ca="1">IF(DP$1="","",'Total Value'!DP48/'Total Value'!$D48-1)</f>
        <v/>
      </c>
      <c r="DQ36" s="14" t="str">
        <f ca="1">IF(DQ$1="","",'Total Value'!DQ48/'Total Value'!$D48-1)</f>
        <v/>
      </c>
      <c r="DR36" s="14" t="str">
        <f ca="1">IF(DR$1="","",'Total Value'!DR48/'Total Value'!$D48-1)</f>
        <v/>
      </c>
      <c r="DS36" s="14" t="str">
        <f ca="1">IF(DS$1="","",'Total Value'!DS48/'Total Value'!$D48-1)</f>
        <v/>
      </c>
      <c r="DT36" s="14" t="str">
        <f ca="1">IF(DT$1="","",'Total Value'!DT48/'Total Value'!$D48-1)</f>
        <v/>
      </c>
      <c r="DU36" s="14" t="str">
        <f ca="1">IF(DU$1="","",'Total Value'!DU48/'Total Value'!$D48-1)</f>
        <v/>
      </c>
      <c r="DV36" s="14" t="str">
        <f ca="1">IF(DV$1="","",'Total Value'!DV48/'Total Value'!$D48-1)</f>
        <v/>
      </c>
      <c r="DW36" s="14" t="str">
        <f ca="1">IF(DW$1="","",'Total Value'!DW48/'Total Value'!$D48-1)</f>
        <v/>
      </c>
      <c r="DX36" s="14" t="str">
        <f ca="1">IF(DX$1="","",'Total Value'!DX48/'Total Value'!$D48-1)</f>
        <v/>
      </c>
      <c r="DY36" s="14" t="str">
        <f ca="1">IF(DY$1="","",'Total Value'!DY48/'Total Value'!$D48-1)</f>
        <v/>
      </c>
      <c r="DZ36" s="14" t="str">
        <f ca="1">IF(DZ$1="","",'Total Value'!DZ48/'Total Value'!$D48-1)</f>
        <v/>
      </c>
      <c r="EA36" s="14" t="str">
        <f ca="1">IF(EA$1="","",'Total Value'!EA48/'Total Value'!$D48-1)</f>
        <v/>
      </c>
      <c r="EB36" s="14" t="str">
        <f ca="1">IF(EB$1="","",'Total Value'!EB48/'Total Value'!$D48-1)</f>
        <v/>
      </c>
      <c r="EC36" s="14" t="str">
        <f ca="1">IF(EC$1="","",'Total Value'!EC48/'Total Value'!$D48-1)</f>
        <v/>
      </c>
      <c r="ED36" s="14" t="str">
        <f ca="1">IF(ED$1="","",'Total Value'!ED48/'Total Value'!$D48-1)</f>
        <v/>
      </c>
      <c r="EE36" s="14" t="str">
        <f ca="1">IF(EE$1="","",'Total Value'!EE48/'Total Value'!$D48-1)</f>
        <v/>
      </c>
      <c r="EF36" s="14" t="str">
        <f ca="1">IF(EF$1="","",'Total Value'!EF48/'Total Value'!$D48-1)</f>
        <v/>
      </c>
      <c r="EG36" s="14" t="str">
        <f ca="1">IF(EG$1="","",'Total Value'!EG48/'Total Value'!$D48-1)</f>
        <v/>
      </c>
      <c r="EH36" s="14" t="str">
        <f ca="1">IF(EH$1="","",'Total Value'!EH48/'Total Value'!$D48-1)</f>
        <v/>
      </c>
      <c r="EI36" s="14" t="str">
        <f ca="1">IF(EI$1="","",'Total Value'!EI48/'Total Value'!$D48-1)</f>
        <v/>
      </c>
      <c r="EJ36" s="14" t="str">
        <f ca="1">IF(EJ$1="","",'Total Value'!EJ48/'Total Value'!$D48-1)</f>
        <v/>
      </c>
      <c r="EK36" s="14" t="str">
        <f ca="1">IF(EK$1="","",'Total Value'!EK48/'Total Value'!$D48-1)</f>
        <v/>
      </c>
      <c r="EL36" s="14" t="str">
        <f ca="1">IF(EL$1="","",'Total Value'!EL48/'Total Value'!$D48-1)</f>
        <v/>
      </c>
      <c r="EM36" s="14" t="str">
        <f ca="1">IF(EM$1="","",'Total Value'!EM48/'Total Value'!$D48-1)</f>
        <v/>
      </c>
      <c r="EN36" s="14" t="str">
        <f ca="1">IF(EN$1="","",'Total Value'!EN48/'Total Value'!$D48-1)</f>
        <v/>
      </c>
      <c r="EO36" s="14" t="str">
        <f ca="1">IF(EO$1="","",'Total Value'!EO48/'Total Value'!$D48-1)</f>
        <v/>
      </c>
      <c r="EP36" s="14" t="str">
        <f ca="1">IF(EP$1="","",'Total Value'!EP48/'Total Value'!$D48-1)</f>
        <v/>
      </c>
      <c r="EQ36" s="14" t="str">
        <f ca="1">IF(EQ$1="","",'Total Value'!EQ48/'Total Value'!$D48-1)</f>
        <v/>
      </c>
      <c r="ER36" s="14" t="str">
        <f ca="1">IF(ER$1="","",'Total Value'!ER48/'Total Value'!$D48-1)</f>
        <v/>
      </c>
      <c r="ES36" s="14" t="str">
        <f ca="1">IF(ES$1="","",'Total Value'!ES48/'Total Value'!$D48-1)</f>
        <v/>
      </c>
      <c r="ET36" s="14" t="str">
        <f ca="1">IF(ET$1="","",'Total Value'!ET48/'Total Value'!$D48-1)</f>
        <v/>
      </c>
      <c r="EU36" s="14" t="str">
        <f ca="1">IF(EU$1="","",'Total Value'!EU48/'Total Value'!$D48-1)</f>
        <v/>
      </c>
      <c r="EV36" s="14" t="str">
        <f ca="1">IF(EV$1="","",'Total Value'!EV48/'Total Value'!$D48-1)</f>
        <v/>
      </c>
      <c r="EW36" s="14" t="str">
        <f ca="1">IF(EW$1="","",'Total Value'!EW48/'Total Value'!$D48-1)</f>
        <v/>
      </c>
      <c r="EX36" s="14" t="str">
        <f ca="1">IF(EX$1="","",'Total Value'!EX48/'Total Value'!$D48-1)</f>
        <v/>
      </c>
      <c r="EY36" s="14" t="str">
        <f ca="1">IF(EY$1="","",'Total Value'!EY48/'Total Value'!$D48-1)</f>
        <v/>
      </c>
      <c r="EZ36" s="14" t="str">
        <f ca="1">IF(EZ$1="","",'Total Value'!EZ48/'Total Value'!$D48-1)</f>
        <v/>
      </c>
      <c r="FA36" s="14" t="str">
        <f ca="1">IF(FA$1="","",'Total Value'!FA48/'Total Value'!$D48-1)</f>
        <v/>
      </c>
      <c r="FB36" s="14" t="str">
        <f ca="1">IF(FB$1="","",'Total Value'!FB48/'Total Value'!$D48-1)</f>
        <v/>
      </c>
      <c r="FC36" s="14" t="str">
        <f ca="1">IF(FC$1="","",'Total Value'!FC48/'Total Value'!$D48-1)</f>
        <v/>
      </c>
      <c r="FD36" s="14" t="str">
        <f ca="1">IF(FD$1="","",'Total Value'!FD48/'Total Value'!$D48-1)</f>
        <v/>
      </c>
      <c r="FE36" s="14" t="str">
        <f ca="1">IF(FE$1="","",'Total Value'!FE48/'Total Value'!$D48-1)</f>
        <v/>
      </c>
      <c r="FF36" s="14" t="str">
        <f ca="1">IF(FF$1="","",'Total Value'!FF48/'Total Value'!$D48-1)</f>
        <v/>
      </c>
      <c r="FG36" s="14" t="str">
        <f ca="1">IF(FG$1="","",'Total Value'!FG48/'Total Value'!$D48-1)</f>
        <v/>
      </c>
      <c r="FH36" s="14" t="str">
        <f ca="1">IF(FH$1="","",'Total Value'!FH48/'Total Value'!$D48-1)</f>
        <v/>
      </c>
      <c r="FI36" s="14" t="str">
        <f ca="1">IF(FI$1="","",'Total Value'!FI48/'Total Value'!$D48-1)</f>
        <v/>
      </c>
      <c r="FJ36" s="14" t="str">
        <f ca="1">IF(FJ$1="","",'Total Value'!FJ48/'Total Value'!$D48-1)</f>
        <v/>
      </c>
      <c r="FK36" s="14" t="str">
        <f ca="1">IF(FK$1="","",'Total Value'!FK48/'Total Value'!$D48-1)</f>
        <v/>
      </c>
      <c r="FL36" s="14" t="str">
        <f ca="1">IF(FL$1="","",'Total Value'!FL48/'Total Value'!$D48-1)</f>
        <v/>
      </c>
      <c r="FM36" s="14" t="str">
        <f ca="1">IF(FM$1="","",'Total Value'!FM48/'Total Value'!$D48-1)</f>
        <v/>
      </c>
      <c r="FN36" s="14" t="str">
        <f ca="1">IF(FN$1="","",'Total Value'!FN48/'Total Value'!$D48-1)</f>
        <v/>
      </c>
      <c r="FO36" s="14" t="str">
        <f ca="1">IF(FO$1="","",'Total Value'!FO48/'Total Value'!$D48-1)</f>
        <v/>
      </c>
      <c r="FP36" s="14" t="str">
        <f ca="1">IF(FP$1="","",'Total Value'!FP48/'Total Value'!$D48-1)</f>
        <v/>
      </c>
      <c r="FQ36" s="14" t="str">
        <f ca="1">IF(FQ$1="","",'Total Value'!FQ48/'Total Value'!$D48-1)</f>
        <v/>
      </c>
      <c r="FR36" s="14" t="str">
        <f ca="1">IF(FR$1="","",'Total Value'!FR48/'Total Value'!$D48-1)</f>
        <v/>
      </c>
      <c r="FS36" s="14" t="str">
        <f ca="1">IF(FS$1="","",'Total Value'!FS48/'Total Value'!$D48-1)</f>
        <v/>
      </c>
      <c r="FT36" s="14" t="str">
        <f ca="1">IF(FT$1="","",'Total Value'!FT48/'Total Value'!$D48-1)</f>
        <v/>
      </c>
      <c r="FU36" s="14" t="str">
        <f ca="1">IF(FU$1="","",'Total Value'!FU48/'Total Value'!$D48-1)</f>
        <v/>
      </c>
      <c r="FV36" s="14" t="str">
        <f ca="1">IF(FV$1="","",'Total Value'!FV48/'Total Value'!$D48-1)</f>
        <v/>
      </c>
      <c r="FW36" s="14" t="str">
        <f ca="1">IF(FW$1="","",'Total Value'!FW48/'Total Value'!$D48-1)</f>
        <v/>
      </c>
      <c r="FX36" s="14" t="str">
        <f ca="1">IF(FX$1="","",'Total Value'!FX48/'Total Value'!$D48-1)</f>
        <v/>
      </c>
      <c r="FY36" s="14" t="str">
        <f ca="1">IF(FY$1="","",'Total Value'!FY48/'Total Value'!$D48-1)</f>
        <v/>
      </c>
      <c r="FZ36" s="14" t="str">
        <f ca="1">IF(FZ$1="","",'Total Value'!FZ48/'Total Value'!$D48-1)</f>
        <v/>
      </c>
      <c r="GA36" s="14" t="str">
        <f ca="1">IF(GA$1="","",'Total Value'!GA48/'Total Value'!$D48-1)</f>
        <v/>
      </c>
      <c r="GB36" s="14" t="str">
        <f ca="1">IF(GB$1="","",'Total Value'!GB48/'Total Value'!$D48-1)</f>
        <v/>
      </c>
      <c r="GC36" s="14" t="str">
        <f ca="1">IF(GC$1="","",'Total Value'!GC48/'Total Value'!$D48-1)</f>
        <v/>
      </c>
      <c r="GD36" s="14" t="str">
        <f ca="1">IF(GD$1="","",'Total Value'!GD48/'Total Value'!$D48-1)</f>
        <v/>
      </c>
      <c r="GE36" s="14" t="str">
        <f ca="1">IF(GE$1="","",'Total Value'!GE48/'Total Value'!$D48-1)</f>
        <v/>
      </c>
      <c r="GF36" s="14" t="str">
        <f ca="1">IF(GF$1="","",'Total Value'!GF48/'Total Value'!$D48-1)</f>
        <v/>
      </c>
      <c r="GG36" s="14" t="str">
        <f ca="1">IF(GG$1="","",'Total Value'!GG48/'Total Value'!$D48-1)</f>
        <v/>
      </c>
      <c r="GH36" s="14" t="str">
        <f ca="1">IF(GH$1="","",'Total Value'!GH48/'Total Value'!$D48-1)</f>
        <v/>
      </c>
      <c r="GI36" s="14" t="str">
        <f ca="1">IF(GI$1="","",'Total Value'!GI48/'Total Value'!$D48-1)</f>
        <v/>
      </c>
      <c r="GJ36" s="14" t="str">
        <f ca="1">IF(GJ$1="","",'Total Value'!GJ48/'Total Value'!$D48-1)</f>
        <v/>
      </c>
      <c r="GK36" s="14" t="str">
        <f ca="1">IF(GK$1="","",'Total Value'!GK48/'Total Value'!$D48-1)</f>
        <v/>
      </c>
      <c r="GL36" s="14" t="str">
        <f ca="1">IF(GL$1="","",'Total Value'!GL48/'Total Value'!$D48-1)</f>
        <v/>
      </c>
      <c r="GM36" s="14" t="str">
        <f ca="1">IF(GM$1="","",'Total Value'!GM48/'Total Value'!$D48-1)</f>
        <v/>
      </c>
      <c r="GN36" s="14" t="str">
        <f ca="1">IF(GN$1="","",'Total Value'!GN48/'Total Value'!$D48-1)</f>
        <v/>
      </c>
      <c r="GO36" s="14" t="str">
        <f ca="1">IF(GO$1="","",'Total Value'!GO48/'Total Value'!$D48-1)</f>
        <v/>
      </c>
      <c r="GP36" s="14" t="str">
        <f ca="1">IF(GP$1="","",'Total Value'!GP48/'Total Value'!$D48-1)</f>
        <v/>
      </c>
      <c r="GQ36" s="14" t="str">
        <f ca="1">IF(GQ$1="","",'Total Value'!GQ48/'Total Value'!$D48-1)</f>
        <v/>
      </c>
      <c r="GR36" s="14" t="str">
        <f ca="1">IF(GR$1="","",'Total Value'!GR48/'Total Value'!$D48-1)</f>
        <v/>
      </c>
      <c r="GS36" s="14" t="str">
        <f ca="1">IF(GS$1="","",'Total Value'!GS48/'Total Value'!$D48-1)</f>
        <v/>
      </c>
      <c r="GT36" s="14" t="str">
        <f ca="1">IF(GT$1="","",'Total Value'!GT48/'Total Value'!$D48-1)</f>
        <v/>
      </c>
      <c r="GU36" s="14" t="str">
        <f ca="1">IF(GU$1="","",'Total Value'!GU48/'Total Value'!$D48-1)</f>
        <v/>
      </c>
      <c r="GV36" s="14" t="str">
        <f ca="1">IF(GV$1="","",'Total Value'!GV48/'Total Value'!$D48-1)</f>
        <v/>
      </c>
      <c r="GW36" s="14" t="str">
        <f ca="1">IF(GW$1="","",'Total Value'!GW48/'Total Value'!$D48-1)</f>
        <v/>
      </c>
      <c r="GX36" s="14" t="str">
        <f ca="1">IF(GX$1="","",'Total Value'!GX48/'Total Value'!$D48-1)</f>
        <v/>
      </c>
      <c r="GY36" s="14" t="str">
        <f ca="1">IF(GY$1="","",'Total Value'!GY48/'Total Value'!$D48-1)</f>
        <v/>
      </c>
      <c r="GZ36" s="14" t="str">
        <f ca="1">IF(GZ$1="","",'Total Value'!GZ48/'Total Value'!$D48-1)</f>
        <v/>
      </c>
      <c r="HA36" s="14" t="str">
        <f ca="1">IF(HA$1="","",'Total Value'!HA48/'Total Value'!$D48-1)</f>
        <v/>
      </c>
      <c r="HB36" s="14" t="str">
        <f ca="1">IF(HB$1="","",'Total Value'!HB48/'Total Value'!$D48-1)</f>
        <v/>
      </c>
      <c r="HC36" s="14" t="str">
        <f ca="1">IF(HC$1="","",'Total Value'!HC48/'Total Value'!$D48-1)</f>
        <v/>
      </c>
      <c r="HD36" s="14" t="str">
        <f ca="1">IF(HD$1="","",'Total Value'!HD48/'Total Value'!$D48-1)</f>
        <v/>
      </c>
      <c r="HE36" s="14" t="str">
        <f ca="1">IF(HE$1="","",'Total Value'!HE48/'Total Value'!$D48-1)</f>
        <v/>
      </c>
      <c r="HF36" s="14" t="str">
        <f ca="1">IF(HF$1="","",'Total Value'!HF48/'Total Value'!$D48-1)</f>
        <v/>
      </c>
      <c r="HG36" s="14" t="str">
        <f ca="1">IF(HG$1="","",'Total Value'!HG48/'Total Value'!$D48-1)</f>
        <v/>
      </c>
      <c r="HH36" s="14" t="str">
        <f ca="1">IF(HH$1="","",'Total Value'!HH48/'Total Value'!$D48-1)</f>
        <v/>
      </c>
      <c r="HI36" s="14" t="str">
        <f ca="1">IF(HI$1="","",'Total Value'!HI48/'Total Value'!$D48-1)</f>
        <v/>
      </c>
      <c r="HJ36" s="14" t="str">
        <f ca="1">IF(HJ$1="","",'Total Value'!HJ48/'Total Value'!$D48-1)</f>
        <v/>
      </c>
      <c r="HK36" s="14" t="str">
        <f ca="1">IF(HK$1="","",'Total Value'!HK48/'Total Value'!$D48-1)</f>
        <v/>
      </c>
      <c r="HL36" s="14" t="str">
        <f ca="1">IF(HL$1="","",'Total Value'!HL48/'Total Value'!$D48-1)</f>
        <v/>
      </c>
      <c r="HM36" s="14" t="str">
        <f ca="1">IF(HM$1="","",'Total Value'!HM48/'Total Value'!$D48-1)</f>
        <v/>
      </c>
      <c r="HN36" s="14" t="str">
        <f ca="1">IF(HN$1="","",'Total Value'!HN48/'Total Value'!$D48-1)</f>
        <v/>
      </c>
      <c r="HO36" s="14" t="str">
        <f ca="1">IF(HO$1="","",'Total Value'!HO48/'Total Value'!$D48-1)</f>
        <v/>
      </c>
      <c r="HP36" s="14" t="str">
        <f ca="1">IF(HP$1="","",'Total Value'!HP48/'Total Value'!$D48-1)</f>
        <v/>
      </c>
      <c r="HQ36" s="14" t="str">
        <f ca="1">IF(HQ$1="","",'Total Value'!HQ48/'Total Value'!$D48-1)</f>
        <v/>
      </c>
      <c r="HR36" s="14" t="str">
        <f ca="1">IF(HR$1="","",'Total Value'!HR48/'Total Value'!$D48-1)</f>
        <v/>
      </c>
      <c r="HS36" s="14" t="str">
        <f ca="1">IF(HS$1="","",'Total Value'!HS48/'Total Value'!$D48-1)</f>
        <v/>
      </c>
      <c r="HT36" s="14" t="str">
        <f ca="1">IF(HT$1="","",'Total Value'!HT48/'Total Value'!$D48-1)</f>
        <v/>
      </c>
      <c r="HU36" s="14" t="str">
        <f ca="1">IF(HU$1="","",'Total Value'!HU48/'Total Value'!$D48-1)</f>
        <v/>
      </c>
      <c r="HV36" s="14" t="str">
        <f ca="1">IF(HV$1="","",'Total Value'!HV48/'Total Value'!$D48-1)</f>
        <v/>
      </c>
      <c r="HW36" s="14" t="str">
        <f ca="1">IF(HW$1="","",'Total Value'!HW48/'Total Value'!$D48-1)</f>
        <v/>
      </c>
      <c r="HX36" s="14" t="str">
        <f ca="1">IF(HX$1="","",'Total Value'!HX48/'Total Value'!$D48-1)</f>
        <v/>
      </c>
      <c r="HY36" s="14" t="str">
        <f ca="1">IF(HY$1="","",'Total Value'!HY48/'Total Value'!$D48-1)</f>
        <v/>
      </c>
      <c r="HZ36" s="14" t="str">
        <f ca="1">IF(HZ$1="","",'Total Value'!HZ48/'Total Value'!$D48-1)</f>
        <v/>
      </c>
      <c r="IA36" s="14" t="str">
        <f ca="1">IF(IA$1="","",'Total Value'!IA48/'Total Value'!$D48-1)</f>
        <v/>
      </c>
      <c r="IB36" s="14" t="str">
        <f ca="1">IF(IB$1="","",'Total Value'!IB48/'Total Value'!$D48-1)</f>
        <v/>
      </c>
      <c r="IC36" s="14" t="str">
        <f ca="1">IF(IC$1="","",'Total Value'!IC48/'Total Value'!$D48-1)</f>
        <v/>
      </c>
      <c r="ID36" s="14" t="str">
        <f ca="1">IF(ID$1="","",'Total Value'!ID48/'Total Value'!$D48-1)</f>
        <v/>
      </c>
      <c r="IE36" s="14" t="str">
        <f ca="1">IF(IE$1="","",'Total Value'!IE48/'Total Value'!$D48-1)</f>
        <v/>
      </c>
      <c r="IF36" s="14" t="str">
        <f ca="1">IF(IF$1="","",'Total Value'!IF48/'Total Value'!$D48-1)</f>
        <v/>
      </c>
      <c r="IG36" s="14" t="str">
        <f ca="1">IF(IG$1="","",'Total Value'!IG48/'Total Value'!$D48-1)</f>
        <v/>
      </c>
      <c r="IH36" s="14" t="str">
        <f ca="1">IF(IH$1="","",'Total Value'!IH48/'Total Value'!$D48-1)</f>
        <v/>
      </c>
      <c r="II36" s="14" t="str">
        <f ca="1">IF(II$1="","",'Total Value'!II48/'Total Value'!$D48-1)</f>
        <v/>
      </c>
      <c r="IJ36" s="14" t="str">
        <f ca="1">IF(IJ$1="","",'Total Value'!IJ48/'Total Value'!$D48-1)</f>
        <v/>
      </c>
      <c r="IK36" s="14" t="str">
        <f ca="1">IF(IK$1="","",'Total Value'!IK48/'Total Value'!$D48-1)</f>
        <v/>
      </c>
      <c r="IL36" s="14" t="str">
        <f ca="1">IF(IL$1="","",'Total Value'!IL48/'Total Value'!$D48-1)</f>
        <v/>
      </c>
      <c r="IM36" s="14" t="str">
        <f ca="1">IF(IM$1="","",'Total Value'!IM48/'Total Value'!$D48-1)</f>
        <v/>
      </c>
      <c r="IN36" s="14" t="str">
        <f ca="1">IF(IN$1="","",'Total Value'!IN48/'Total Value'!$D48-1)</f>
        <v/>
      </c>
      <c r="IO36" s="14" t="str">
        <f ca="1">IF(IO$1="","",'Total Value'!IO48/'Total Value'!$D48-1)</f>
        <v/>
      </c>
      <c r="IP36" s="14" t="str">
        <f ca="1">IF(IP$1="","",'Total Value'!IP48/'Total Value'!$D48-1)</f>
        <v/>
      </c>
      <c r="IQ36" s="14" t="str">
        <f ca="1">IF(IQ$1="","",'Total Value'!IQ48/'Total Value'!$D48-1)</f>
        <v/>
      </c>
      <c r="IR36" s="14" t="str">
        <f ca="1">IF(IR$1="","",'Total Value'!IR48/'Total Value'!$D48-1)</f>
        <v/>
      </c>
      <c r="IS36" s="14" t="str">
        <f ca="1">IF(IS$1="","",'Total Value'!IS48/'Total Value'!$D48-1)</f>
        <v/>
      </c>
      <c r="IT36" s="14" t="str">
        <f ca="1">IF(IT$1="","",'Total Value'!IT48/'Total Value'!$D48-1)</f>
        <v/>
      </c>
      <c r="IU36" s="14" t="str">
        <f ca="1">IF(IU$1="","",'Total Value'!IU48/'Total Value'!$D48-1)</f>
        <v/>
      </c>
      <c r="IV36" s="14" t="str">
        <f ca="1">IF(IV$1="","",'Total Value'!IV48/'Total Value'!$D48-1)</f>
        <v/>
      </c>
      <c r="IW36" s="14" t="str">
        <f ca="1">IF(IW$1="","",'Total Value'!IW48/'Total Value'!$D48-1)</f>
        <v/>
      </c>
      <c r="IX36" s="14" t="str">
        <f ca="1">IF(IX$1="","",'Total Value'!IX48/'Total Value'!$D48-1)</f>
        <v/>
      </c>
      <c r="IY36" s="14" t="str">
        <f ca="1">IF(IY$1="","",'Total Value'!IY48/'Total Value'!$D48-1)</f>
        <v/>
      </c>
      <c r="IZ36" s="14" t="str">
        <f ca="1">IF(IZ$1="","",'Total Value'!IZ48/'Total Value'!$D48-1)</f>
        <v/>
      </c>
      <c r="JA36" s="14" t="str">
        <f ca="1">IF(JA$1="","",'Total Value'!JA48/'Total Value'!$D48-1)</f>
        <v/>
      </c>
      <c r="JB36" s="14" t="str">
        <f ca="1">IF(JB$1="","",'Total Value'!JB48/'Total Value'!$D48-1)</f>
        <v/>
      </c>
      <c r="JC36" s="14" t="str">
        <f ca="1">IF(JC$1="","",'Total Value'!JC48/'Total Value'!$D48-1)</f>
        <v/>
      </c>
      <c r="JD36" s="14" t="str">
        <f ca="1">IF(JD$1="","",'Total Value'!JD48/'Total Value'!$D48-1)</f>
        <v/>
      </c>
      <c r="JE36" s="14" t="str">
        <f ca="1">IF(JE$1="","",'Total Value'!JE48/'Total Value'!$D48-1)</f>
        <v/>
      </c>
      <c r="JF36" s="14" t="str">
        <f ca="1">IF(JF$1="","",'Total Value'!JF48/'Total Value'!$D48-1)</f>
        <v/>
      </c>
      <c r="JG36" s="14" t="str">
        <f ca="1">IF(JG$1="","",'Total Value'!JG48/'Total Value'!$D48-1)</f>
        <v/>
      </c>
      <c r="JH36" s="14" t="str">
        <f ca="1">IF(JH$1="","",'Total Value'!JH48/'Total Value'!$D48-1)</f>
        <v/>
      </c>
      <c r="JI36" s="14" t="str">
        <f ca="1">IF(JI$1="","",'Total Value'!JI48/'Total Value'!$D48-1)</f>
        <v/>
      </c>
      <c r="JJ36" s="14" t="str">
        <f ca="1">IF(JJ$1="","",'Total Value'!JJ48/'Total Value'!$D48-1)</f>
        <v/>
      </c>
      <c r="JK36" s="14" t="str">
        <f ca="1">IF(JK$1="","",'Total Value'!JK48/'Total Value'!$D48-1)</f>
        <v/>
      </c>
      <c r="JL36" s="14" t="str">
        <f ca="1">IF(JL$1="","",'Total Value'!JL48/'Total Value'!$D48-1)</f>
        <v/>
      </c>
      <c r="JM36" s="14" t="str">
        <f ca="1">IF(JM$1="","",'Total Value'!JM48/'Total Value'!$D48-1)</f>
        <v/>
      </c>
      <c r="JN36" s="14" t="str">
        <f ca="1">IF(JN$1="","",'Total Value'!JN48/'Total Value'!$D48-1)</f>
        <v/>
      </c>
      <c r="JO36" s="14" t="str">
        <f ca="1">IF(JO$1="","",'Total Value'!JO48/'Total Value'!$D48-1)</f>
        <v/>
      </c>
      <c r="JP36" s="14" t="str">
        <f ca="1">IF(JP$1="","",'Total Value'!JP48/'Total Value'!$D48-1)</f>
        <v/>
      </c>
      <c r="JQ36" s="14" t="str">
        <f ca="1">IF(JQ$1="","",'Total Value'!JQ48/'Total Value'!$D48-1)</f>
        <v/>
      </c>
      <c r="JR36" s="14" t="str">
        <f ca="1">IF(JR$1="","",'Total Value'!JR48/'Total Value'!$D48-1)</f>
        <v/>
      </c>
      <c r="JS36" s="14" t="str">
        <f ca="1">IF(JS$1="","",'Total Value'!JS48/'Total Value'!$D48-1)</f>
        <v/>
      </c>
      <c r="JT36" s="14" t="str">
        <f ca="1">IF(JT$1="","",'Total Value'!JT48/'Total Value'!$D48-1)</f>
        <v/>
      </c>
      <c r="JU36" s="14" t="str">
        <f ca="1">IF(JU$1="","",'Total Value'!JU48/'Total Value'!$D48-1)</f>
        <v/>
      </c>
      <c r="JV36" s="14" t="str">
        <f ca="1">IF(JV$1="","",'Total Value'!JV48/'Total Value'!$D48-1)</f>
        <v/>
      </c>
      <c r="JW36" s="14" t="str">
        <f ca="1">IF(JW$1="","",'Total Value'!JW48/'Total Value'!$D48-1)</f>
        <v/>
      </c>
      <c r="JX36" s="14" t="str">
        <f ca="1">IF(JX$1="","",'Total Value'!JX48/'Total Value'!$D48-1)</f>
        <v/>
      </c>
      <c r="JY36" s="14" t="str">
        <f ca="1">IF(JY$1="","",'Total Value'!JY48/'Total Value'!$D48-1)</f>
        <v/>
      </c>
      <c r="JZ36" s="14" t="str">
        <f ca="1">IF(JZ$1="","",'Total Value'!JZ48/'Total Value'!$D48-1)</f>
        <v/>
      </c>
      <c r="KA36" s="14" t="str">
        <f ca="1">IF(KA$1="","",'Total Value'!KA48/'Total Value'!$D48-1)</f>
        <v/>
      </c>
      <c r="KB36" s="14" t="str">
        <f ca="1">IF(KB$1="","",'Total Value'!KB48/'Total Value'!$D48-1)</f>
        <v/>
      </c>
    </row>
    <row r="37" spans="1:288" ht="15.75" customHeight="1">
      <c r="A37" s="9" t="s">
        <v>30</v>
      </c>
      <c r="B37" s="6" t="s">
        <v>81</v>
      </c>
      <c r="C37" s="26">
        <v>30</v>
      </c>
      <c r="D37" s="13">
        <v>0</v>
      </c>
      <c r="E37" s="14">
        <f ca="1">IF(E$1="","",'Total Value'!E49/'Total Value'!$D49-1)</f>
        <v>1.1465603190428775E-2</v>
      </c>
      <c r="F37" s="14">
        <f ca="1">IF(F$1="","",'Total Value'!F49/'Total Value'!$D49-1)</f>
        <v>1.4955134596212893E-3</v>
      </c>
      <c r="G37" s="14">
        <f ca="1">IF(G$1="","",'Total Value'!G49/'Total Value'!$D49-1)</f>
        <v>9.4715852442672777E-3</v>
      </c>
      <c r="H37" s="14">
        <f ca="1">IF(H$1="","",'Total Value'!H49/'Total Value'!$D49-1)</f>
        <v>4.9850448654038537E-3</v>
      </c>
      <c r="I37" s="14">
        <f ca="1">IF(I$1="","",'Total Value'!I49/'Total Value'!$D49-1)</f>
        <v>-1.3459621136590272E-2</v>
      </c>
      <c r="J37" s="14">
        <f ca="1">IF(J$1="","",'Total Value'!J49/'Total Value'!$D49-1)</f>
        <v>-4.8853439680957123E-2</v>
      </c>
      <c r="K37" s="14">
        <f ca="1">IF(K$1="","",'Total Value'!K49/'Total Value'!$D49-1)</f>
        <v>-8.7736789631106649E-2</v>
      </c>
      <c r="L37" s="14">
        <f ca="1">IF(L$1="","",'Total Value'!L49/'Total Value'!$D49-1)</f>
        <v>-8.7736789631106649E-2</v>
      </c>
      <c r="M37" s="14">
        <f ca="1">IF(M$1="","",'Total Value'!M49/'Total Value'!$D49-1)</f>
        <v>-5.034895314057819E-2</v>
      </c>
      <c r="N37" s="14">
        <f ca="1">IF(N$1="","",'Total Value'!N49/'Total Value'!$D49-1)</f>
        <v>-7.5274177467597125E-2</v>
      </c>
      <c r="O37" s="14">
        <f ca="1">IF(O$1="","",'Total Value'!O49/'Total Value'!$D49-1)</f>
        <v>-0.10618145563310066</v>
      </c>
      <c r="P37" s="14">
        <f ca="1">IF(P$1="","",'Total Value'!P49/'Total Value'!$D49-1)</f>
        <v>-0.13310069790628098</v>
      </c>
      <c r="Q37" s="14">
        <f ca="1">IF(Q$1="","",'Total Value'!Q49/'Total Value'!$D49-1)</f>
        <v>-0.1311066799601196</v>
      </c>
      <c r="R37" s="14">
        <f ca="1">IF(R$1="","",'Total Value'!R49/'Total Value'!$D49-1)</f>
        <v>-0.11016949152542366</v>
      </c>
      <c r="S37" s="14">
        <f ca="1">IF(S$1="","",'Total Value'!S49/'Total Value'!$D49-1)</f>
        <v>-0.11266201395812558</v>
      </c>
      <c r="T37" s="14">
        <f ca="1">IF(T$1="","",'Total Value'!T49/'Total Value'!$D49-1)</f>
        <v>-0.12063808574277157</v>
      </c>
      <c r="U37" s="14">
        <f ca="1">IF(U$1="","",'Total Value'!U49/'Total Value'!$D49-1)</f>
        <v>-0.13459621136590227</v>
      </c>
      <c r="V37" s="14">
        <f ca="1">IF(V$1="","",'Total Value'!V49/'Total Value'!$D49-1)</f>
        <v>-0.13609172482552345</v>
      </c>
      <c r="W37" s="14">
        <f ca="1">IF(W$1="","",'Total Value'!W49/'Total Value'!$D49-1)</f>
        <v>-0.13310069790628098</v>
      </c>
      <c r="X37" s="14">
        <f ca="1">IF(X$1="","",'Total Value'!X49/'Total Value'!$D49-1)</f>
        <v>-0.1151545363908274</v>
      </c>
      <c r="Y37" s="14">
        <f ca="1">IF(Y$1="","",'Total Value'!Y49/'Total Value'!$D49-1)</f>
        <v>-0.10269192422731799</v>
      </c>
      <c r="Z37" s="14">
        <f ca="1">IF(Z$1="","",'Total Value'!Z49/'Total Value'!$D49-1)</f>
        <v>-0.13908275174476559</v>
      </c>
      <c r="AA37" s="14">
        <f ca="1">IF(AA$1="","",'Total Value'!AA49/'Total Value'!$D49-1)</f>
        <v>-0.15154536390827522</v>
      </c>
      <c r="AB37" s="14">
        <f ca="1">IF(AB$1="","",'Total Value'!AB49/'Total Value'!$D49-1)</f>
        <v>-0.15054835493519436</v>
      </c>
      <c r="AC37" s="14">
        <f ca="1">IF(AC$1="","",'Total Value'!AC49/'Total Value'!$D49-1)</f>
        <v>-0.12612163509471563</v>
      </c>
      <c r="AD37" s="14">
        <f ca="1">IF(AD$1="","",'Total Value'!AD49/'Total Value'!$D49-1)</f>
        <v>-0.12313060817547339</v>
      </c>
      <c r="AE37" s="14">
        <f ca="1">IF(AE$1="","",'Total Value'!AE49/'Total Value'!$D49-1)</f>
        <v>-0.14007976071784645</v>
      </c>
      <c r="AF37" s="14">
        <f ca="1">IF(AF$1="","",'Total Value'!AF49/'Total Value'!$D49-1)</f>
        <v>-0.1370887337986042</v>
      </c>
      <c r="AG37" s="14">
        <f ca="1">IF(AG$1="","",'Total Value'!AG49/'Total Value'!$D49-1)</f>
        <v>-0.15453639082751736</v>
      </c>
      <c r="AH37" s="14">
        <f ca="1">IF(AH$1="","",'Total Value'!AH49/'Total Value'!$D49-1)</f>
        <v>-0.1694915254237287</v>
      </c>
      <c r="AI37" s="14">
        <f ca="1">IF(AI$1="","",'Total Value'!AI49/'Total Value'!$D49-1)</f>
        <v>-0.16001994017946142</v>
      </c>
      <c r="AJ37" s="14">
        <f ca="1">IF(AJ$1="","",'Total Value'!AJ49/'Total Value'!$D49-1)</f>
        <v>-0.1470588235294118</v>
      </c>
      <c r="AK37" s="14">
        <f ca="1">IF(AK$1="","",'Total Value'!AK49/'Total Value'!$D49-1)</f>
        <v>-0.14007976071784645</v>
      </c>
      <c r="AL37" s="14">
        <f ca="1">IF(AL$1="","",'Total Value'!AL49/'Total Value'!$D49-1)</f>
        <v>-0.15503489531405779</v>
      </c>
      <c r="AM37" s="14">
        <f ca="1">IF(AM$1="","",'Total Value'!AM49/'Total Value'!$D49-1)</f>
        <v>-0.12412761714855425</v>
      </c>
      <c r="AN37" s="14">
        <f ca="1">IF(AN$1="","",'Total Value'!AN49/'Total Value'!$D49-1)</f>
        <v>-0.11016949152542366</v>
      </c>
      <c r="AO37" s="14">
        <f ca="1">IF(AO$1="","",'Total Value'!AO49/'Total Value'!$D49-1)</f>
        <v>-9.5214356929212318E-2</v>
      </c>
      <c r="AP37" s="14">
        <f ca="1">IF(AP$1="","",'Total Value'!AP49/'Total Value'!$D49-1)</f>
        <v>-8.0259222333000979E-2</v>
      </c>
      <c r="AQ37" s="14">
        <f ca="1">IF(AQ$1="","",'Total Value'!AQ49/'Total Value'!$D49-1)</f>
        <v>-6.0319042871385786E-2</v>
      </c>
      <c r="AR37" s="14">
        <f ca="1">IF(AR$1="","",'Total Value'!AR49/'Total Value'!$D49-1)</f>
        <v>-3.3399800598205243E-2</v>
      </c>
      <c r="AS37" s="14">
        <f ca="1">IF(AS$1="","",'Total Value'!AS49/'Total Value'!$D49-1)</f>
        <v>-3.3399800598205243E-2</v>
      </c>
      <c r="AT37" s="14">
        <f ca="1">IF(AT$1="","",'Total Value'!AT49/'Total Value'!$D49-1)</f>
        <v>-3.2901296111664924E-2</v>
      </c>
      <c r="AU37" s="14">
        <f ca="1">IF(AU$1="","",'Total Value'!AU49/'Total Value'!$D49-1)</f>
        <v>-3.7387836490528459E-2</v>
      </c>
      <c r="AV37" s="14">
        <f ca="1">IF(AV$1="","",'Total Value'!AV49/'Total Value'!$D49-1)</f>
        <v>-2.2432701894317009E-2</v>
      </c>
      <c r="AW37" s="14">
        <f ca="1">IF(AW$1="","",'Total Value'!AW49/'Total Value'!$D49-1)</f>
        <v>-2.6919242273180322E-2</v>
      </c>
      <c r="AX37" s="14">
        <f ca="1">IF(AX$1="","",'Total Value'!AX49/'Total Value'!$D49-1)</f>
        <v>-1.2961116650049731E-2</v>
      </c>
      <c r="AY37" s="14">
        <f ca="1">IF(AY$1="","",'Total Value'!AY49/'Total Value'!$D49-1)</f>
        <v>9.9700897308085956E-4</v>
      </c>
      <c r="AZ37" s="14">
        <f ca="1">IF(AZ$1="","",'Total Value'!AZ49/'Total Value'!$D49-1)</f>
        <v>-2.9910269192422456E-3</v>
      </c>
      <c r="BA37" s="14">
        <f ca="1">IF(BA$1="","",'Total Value'!BA49/'Total Value'!$D49-1)</f>
        <v>3.9880358923232162E-3</v>
      </c>
      <c r="BB37" s="14">
        <f ca="1">IF(BB$1="","",'Total Value'!BB49/'Total Value'!$D49-1)</f>
        <v>5.134596211365916E-2</v>
      </c>
      <c r="BC37" s="14">
        <f ca="1">IF(BC$1="","",'Total Value'!BC49/'Total Value'!$D49-1)</f>
        <v>6.7298105682951137E-2</v>
      </c>
      <c r="BD37" s="14">
        <f ca="1">IF(BD$1="","",'Total Value'!BD49/'Total Value'!$D49-1)</f>
        <v>9.3718843469591473E-2</v>
      </c>
      <c r="BE37" s="14">
        <f ca="1">IF(BE$1="","",'Total Value'!BE49/'Total Value'!$D49-1)</f>
        <v>8.9730807577268257E-2</v>
      </c>
      <c r="BF37" s="14">
        <f ca="1">IF(BF$1="","",'Total Value'!BF49/'Total Value'!$D49-1)</f>
        <v>0.12313060817547372</v>
      </c>
      <c r="BG37" s="14">
        <f ca="1">IF(BG$1="","",'Total Value'!BG49/'Total Value'!$D49-1)</f>
        <v>7.7766699900299274E-2</v>
      </c>
      <c r="BH37" s="14">
        <f ca="1">IF(BH$1="","",'Total Value'!BH49/'Total Value'!$D49-1)</f>
        <v>9.1226321036889546E-2</v>
      </c>
      <c r="BI37" s="14">
        <f ca="1">IF(BI$1="","",'Total Value'!BI49/'Total Value'!$D49-1)</f>
        <v>6.8295114656031997E-2</v>
      </c>
      <c r="BJ37" s="14">
        <f ca="1">IF(BJ$1="","",'Total Value'!BJ49/'Total Value'!$D49-1)</f>
        <v>7.2781655034895421E-2</v>
      </c>
      <c r="BK37" s="14">
        <f ca="1">IF(BK$1="","",'Total Value'!BK49/'Total Value'!$D49-1)</f>
        <v>4.1874376869391883E-2</v>
      </c>
      <c r="BL37" s="14">
        <f ca="1">IF(BL$1="","",'Total Value'!BL49/'Total Value'!$D49-1)</f>
        <v>3.6390827517447599E-2</v>
      </c>
      <c r="BM37" s="14">
        <f ca="1">IF(BM$1="","",'Total Value'!BM49/'Total Value'!$D49-1)</f>
        <v>5.0348953140578301E-2</v>
      </c>
      <c r="BN37" s="14">
        <f ca="1">IF(BN$1="","",'Total Value'!BN49/'Total Value'!$D49-1)</f>
        <v>1.1465603190428775E-2</v>
      </c>
      <c r="BO37" s="14">
        <f ca="1">IF(BO$1="","",'Total Value'!BO49/'Total Value'!$D49-1)</f>
        <v>2.8913260219342041E-2</v>
      </c>
      <c r="BP37" s="14">
        <f ca="1">IF(BP$1="","",'Total Value'!BP49/'Total Value'!$D49-1)</f>
        <v>2.8414755732801611E-2</v>
      </c>
      <c r="BQ37" s="14">
        <f ca="1">IF(BQ$1="","",'Total Value'!BQ49/'Total Value'!$D49-1)</f>
        <v>3.040877367896333E-2</v>
      </c>
      <c r="BR37" s="14">
        <f ca="1">IF(BR$1="","",'Total Value'!BR49/'Total Value'!$D49-1)</f>
        <v>1.1964107676969205E-2</v>
      </c>
      <c r="BS37" s="14">
        <f ca="1">IF(BS$1="","",'Total Value'!BS49/'Total Value'!$D49-1)</f>
        <v>2.0937188434696052E-2</v>
      </c>
      <c r="BT37" s="14">
        <f ca="1">IF(BT$1="","",'Total Value'!BT49/'Total Value'!$D49-1)</f>
        <v>4.3868394815553602E-2</v>
      </c>
      <c r="BU37" s="14">
        <f ca="1">IF(BU$1="","",'Total Value'!BU49/'Total Value'!$D49-1)</f>
        <v>6.2811565304087935E-2</v>
      </c>
      <c r="BV37" s="14">
        <f ca="1">IF(BV$1="","",'Total Value'!BV49/'Total Value'!$D49-1)</f>
        <v>5.3838484546361087E-2</v>
      </c>
      <c r="BW37" s="14">
        <f ca="1">IF(BW$1="","",'Total Value'!BW49/'Total Value'!$D49-1)</f>
        <v>3.1904287138584397E-2</v>
      </c>
      <c r="BX37" s="14">
        <f ca="1">IF(BX$1="","",'Total Value'!BX49/'Total Value'!$D49-1)</f>
        <v>3.040877367896333E-2</v>
      </c>
      <c r="BY37" s="14">
        <f ca="1">IF(BY$1="","",'Total Value'!BY49/'Total Value'!$D49-1)</f>
        <v>1.9940179461614971E-3</v>
      </c>
      <c r="BZ37" s="14">
        <f ca="1">IF(BZ$1="","",'Total Value'!BZ49/'Total Value'!$D49-1)</f>
        <v>6.9790628115653508E-3</v>
      </c>
      <c r="CA37" s="14">
        <f ca="1">IF(CA$1="","",'Total Value'!CA49/'Total Value'!$D49-1)</f>
        <v>2.0438683948155401E-2</v>
      </c>
      <c r="CB37" s="14">
        <f ca="1">IF(CB$1="","",'Total Value'!CB49/'Total Value'!$D49-1)</f>
        <v>9.9700897308085956E-4</v>
      </c>
      <c r="CC37" s="14">
        <f ca="1">IF(CC$1="","",'Total Value'!CC49/'Total Value'!$D49-1)</f>
        <v>1.1465603190428775E-2</v>
      </c>
      <c r="CD37" s="14">
        <f ca="1">IF(CD$1="","",'Total Value'!CD49/'Total Value'!$D49-1)</f>
        <v>2.0937188434696052E-2</v>
      </c>
      <c r="CE37" s="14">
        <f ca="1">IF(CE$1="","",'Total Value'!CE49/'Total Value'!$D49-1)</f>
        <v>7.2781655034895421E-2</v>
      </c>
      <c r="CF37" s="14" t="str">
        <f ca="1">IF(CF$1="","",'Total Value'!CF49/'Total Value'!$D49-1)</f>
        <v/>
      </c>
      <c r="CG37" s="14" t="str">
        <f ca="1">IF(CG$1="","",'Total Value'!CG49/'Total Value'!$D49-1)</f>
        <v/>
      </c>
      <c r="CH37" s="14" t="str">
        <f ca="1">IF(CH$1="","",'Total Value'!CH49/'Total Value'!$D49-1)</f>
        <v/>
      </c>
      <c r="CI37" s="14" t="str">
        <f ca="1">IF(CI$1="","",'Total Value'!CI49/'Total Value'!$D49-1)</f>
        <v/>
      </c>
      <c r="CJ37" s="14" t="str">
        <f ca="1">IF(CJ$1="","",'Total Value'!CJ49/'Total Value'!$D49-1)</f>
        <v/>
      </c>
      <c r="CK37" s="14" t="str">
        <f ca="1">IF(CK$1="","",'Total Value'!CK49/'Total Value'!$D49-1)</f>
        <v/>
      </c>
      <c r="CL37" s="14" t="str">
        <f ca="1">IF(CL$1="","",'Total Value'!CL49/'Total Value'!$D49-1)</f>
        <v/>
      </c>
      <c r="CM37" s="14" t="str">
        <f ca="1">IF(CM$1="","",'Total Value'!CM49/'Total Value'!$D49-1)</f>
        <v/>
      </c>
      <c r="CN37" s="14" t="str">
        <f ca="1">IF(CN$1="","",'Total Value'!CN49/'Total Value'!$D49-1)</f>
        <v/>
      </c>
      <c r="CO37" s="14" t="str">
        <f ca="1">IF(CO$1="","",'Total Value'!CO49/'Total Value'!$D49-1)</f>
        <v/>
      </c>
      <c r="CP37" s="14" t="str">
        <f ca="1">IF(CP$1="","",'Total Value'!CP49/'Total Value'!$D49-1)</f>
        <v/>
      </c>
      <c r="CQ37" s="14" t="str">
        <f ca="1">IF(CQ$1="","",'Total Value'!CQ49/'Total Value'!$D49-1)</f>
        <v/>
      </c>
      <c r="CR37" s="14" t="str">
        <f ca="1">IF(CR$1="","",'Total Value'!CR49/'Total Value'!$D49-1)</f>
        <v/>
      </c>
      <c r="CS37" s="14" t="str">
        <f ca="1">IF(CS$1="","",'Total Value'!CS49/'Total Value'!$D49-1)</f>
        <v/>
      </c>
      <c r="CT37" s="14" t="str">
        <f ca="1">IF(CT$1="","",'Total Value'!CT49/'Total Value'!$D49-1)</f>
        <v/>
      </c>
      <c r="CU37" s="14" t="str">
        <f ca="1">IF(CU$1="","",'Total Value'!CU49/'Total Value'!$D49-1)</f>
        <v/>
      </c>
      <c r="CV37" s="14" t="str">
        <f ca="1">IF(CV$1="","",'Total Value'!CV49/'Total Value'!$D49-1)</f>
        <v/>
      </c>
      <c r="CW37" s="14" t="str">
        <f ca="1">IF(CW$1="","",'Total Value'!CW49/'Total Value'!$D49-1)</f>
        <v/>
      </c>
      <c r="CX37" s="14" t="str">
        <f ca="1">IF(CX$1="","",'Total Value'!CX49/'Total Value'!$D49-1)</f>
        <v/>
      </c>
      <c r="CY37" s="14" t="str">
        <f ca="1">IF(CY$1="","",'Total Value'!CY49/'Total Value'!$D49-1)</f>
        <v/>
      </c>
      <c r="CZ37" s="14" t="str">
        <f ca="1">IF(CZ$1="","",'Total Value'!CZ49/'Total Value'!$D49-1)</f>
        <v/>
      </c>
      <c r="DA37" s="14" t="str">
        <f ca="1">IF(DA$1="","",'Total Value'!DA49/'Total Value'!$D49-1)</f>
        <v/>
      </c>
      <c r="DB37" s="14" t="str">
        <f ca="1">IF(DB$1="","",'Total Value'!DB49/'Total Value'!$D49-1)</f>
        <v/>
      </c>
      <c r="DC37" s="14" t="str">
        <f ca="1">IF(DC$1="","",'Total Value'!DC49/'Total Value'!$D49-1)</f>
        <v/>
      </c>
      <c r="DD37" s="14" t="str">
        <f ca="1">IF(DD$1="","",'Total Value'!DD49/'Total Value'!$D49-1)</f>
        <v/>
      </c>
      <c r="DE37" s="14" t="str">
        <f ca="1">IF(DE$1="","",'Total Value'!DE49/'Total Value'!$D49-1)</f>
        <v/>
      </c>
      <c r="DF37" s="14" t="str">
        <f ca="1">IF(DF$1="","",'Total Value'!DF49/'Total Value'!$D49-1)</f>
        <v/>
      </c>
      <c r="DG37" s="14" t="str">
        <f ca="1">IF(DG$1="","",'Total Value'!DG49/'Total Value'!$D49-1)</f>
        <v/>
      </c>
      <c r="DH37" s="14" t="str">
        <f ca="1">IF(DH$1="","",'Total Value'!DH49/'Total Value'!$D49-1)</f>
        <v/>
      </c>
      <c r="DI37" s="14" t="str">
        <f ca="1">IF(DI$1="","",'Total Value'!DI49/'Total Value'!$D49-1)</f>
        <v/>
      </c>
      <c r="DJ37" s="14" t="str">
        <f ca="1">IF(DJ$1="","",'Total Value'!DJ49/'Total Value'!$D49-1)</f>
        <v/>
      </c>
      <c r="DK37" s="14" t="str">
        <f ca="1">IF(DK$1="","",'Total Value'!DK49/'Total Value'!$D49-1)</f>
        <v/>
      </c>
      <c r="DL37" s="14" t="str">
        <f ca="1">IF(DL$1="","",'Total Value'!DL49/'Total Value'!$D49-1)</f>
        <v/>
      </c>
      <c r="DM37" s="14" t="str">
        <f ca="1">IF(DM$1="","",'Total Value'!DM49/'Total Value'!$D49-1)</f>
        <v/>
      </c>
      <c r="DN37" s="14" t="str">
        <f ca="1">IF(DN$1="","",'Total Value'!DN49/'Total Value'!$D49-1)</f>
        <v/>
      </c>
      <c r="DO37" s="14" t="str">
        <f ca="1">IF(DO$1="","",'Total Value'!DO49/'Total Value'!$D49-1)</f>
        <v/>
      </c>
      <c r="DP37" s="14" t="str">
        <f ca="1">IF(DP$1="","",'Total Value'!DP49/'Total Value'!$D49-1)</f>
        <v/>
      </c>
      <c r="DQ37" s="14" t="str">
        <f ca="1">IF(DQ$1="","",'Total Value'!DQ49/'Total Value'!$D49-1)</f>
        <v/>
      </c>
      <c r="DR37" s="14" t="str">
        <f ca="1">IF(DR$1="","",'Total Value'!DR49/'Total Value'!$D49-1)</f>
        <v/>
      </c>
      <c r="DS37" s="14" t="str">
        <f ca="1">IF(DS$1="","",'Total Value'!DS49/'Total Value'!$D49-1)</f>
        <v/>
      </c>
      <c r="DT37" s="14" t="str">
        <f ca="1">IF(DT$1="","",'Total Value'!DT49/'Total Value'!$D49-1)</f>
        <v/>
      </c>
      <c r="DU37" s="14" t="str">
        <f ca="1">IF(DU$1="","",'Total Value'!DU49/'Total Value'!$D49-1)</f>
        <v/>
      </c>
      <c r="DV37" s="14" t="str">
        <f ca="1">IF(DV$1="","",'Total Value'!DV49/'Total Value'!$D49-1)</f>
        <v/>
      </c>
      <c r="DW37" s="14" t="str">
        <f ca="1">IF(DW$1="","",'Total Value'!DW49/'Total Value'!$D49-1)</f>
        <v/>
      </c>
      <c r="DX37" s="14" t="str">
        <f ca="1">IF(DX$1="","",'Total Value'!DX49/'Total Value'!$D49-1)</f>
        <v/>
      </c>
      <c r="DY37" s="14" t="str">
        <f ca="1">IF(DY$1="","",'Total Value'!DY49/'Total Value'!$D49-1)</f>
        <v/>
      </c>
      <c r="DZ37" s="14" t="str">
        <f ca="1">IF(DZ$1="","",'Total Value'!DZ49/'Total Value'!$D49-1)</f>
        <v/>
      </c>
      <c r="EA37" s="14" t="str">
        <f ca="1">IF(EA$1="","",'Total Value'!EA49/'Total Value'!$D49-1)</f>
        <v/>
      </c>
      <c r="EB37" s="14" t="str">
        <f ca="1">IF(EB$1="","",'Total Value'!EB49/'Total Value'!$D49-1)</f>
        <v/>
      </c>
      <c r="EC37" s="14" t="str">
        <f ca="1">IF(EC$1="","",'Total Value'!EC49/'Total Value'!$D49-1)</f>
        <v/>
      </c>
      <c r="ED37" s="14" t="str">
        <f ca="1">IF(ED$1="","",'Total Value'!ED49/'Total Value'!$D49-1)</f>
        <v/>
      </c>
      <c r="EE37" s="14" t="str">
        <f ca="1">IF(EE$1="","",'Total Value'!EE49/'Total Value'!$D49-1)</f>
        <v/>
      </c>
      <c r="EF37" s="14" t="str">
        <f ca="1">IF(EF$1="","",'Total Value'!EF49/'Total Value'!$D49-1)</f>
        <v/>
      </c>
      <c r="EG37" s="14" t="str">
        <f ca="1">IF(EG$1="","",'Total Value'!EG49/'Total Value'!$D49-1)</f>
        <v/>
      </c>
      <c r="EH37" s="14" t="str">
        <f ca="1">IF(EH$1="","",'Total Value'!EH49/'Total Value'!$D49-1)</f>
        <v/>
      </c>
      <c r="EI37" s="14" t="str">
        <f ca="1">IF(EI$1="","",'Total Value'!EI49/'Total Value'!$D49-1)</f>
        <v/>
      </c>
      <c r="EJ37" s="14" t="str">
        <f ca="1">IF(EJ$1="","",'Total Value'!EJ49/'Total Value'!$D49-1)</f>
        <v/>
      </c>
      <c r="EK37" s="14" t="str">
        <f ca="1">IF(EK$1="","",'Total Value'!EK49/'Total Value'!$D49-1)</f>
        <v/>
      </c>
      <c r="EL37" s="14" t="str">
        <f ca="1">IF(EL$1="","",'Total Value'!EL49/'Total Value'!$D49-1)</f>
        <v/>
      </c>
      <c r="EM37" s="14" t="str">
        <f ca="1">IF(EM$1="","",'Total Value'!EM49/'Total Value'!$D49-1)</f>
        <v/>
      </c>
      <c r="EN37" s="14" t="str">
        <f ca="1">IF(EN$1="","",'Total Value'!EN49/'Total Value'!$D49-1)</f>
        <v/>
      </c>
      <c r="EO37" s="14" t="str">
        <f ca="1">IF(EO$1="","",'Total Value'!EO49/'Total Value'!$D49-1)</f>
        <v/>
      </c>
      <c r="EP37" s="14" t="str">
        <f ca="1">IF(EP$1="","",'Total Value'!EP49/'Total Value'!$D49-1)</f>
        <v/>
      </c>
      <c r="EQ37" s="14" t="str">
        <f ca="1">IF(EQ$1="","",'Total Value'!EQ49/'Total Value'!$D49-1)</f>
        <v/>
      </c>
      <c r="ER37" s="14" t="str">
        <f ca="1">IF(ER$1="","",'Total Value'!ER49/'Total Value'!$D49-1)</f>
        <v/>
      </c>
      <c r="ES37" s="14" t="str">
        <f ca="1">IF(ES$1="","",'Total Value'!ES49/'Total Value'!$D49-1)</f>
        <v/>
      </c>
      <c r="ET37" s="14" t="str">
        <f ca="1">IF(ET$1="","",'Total Value'!ET49/'Total Value'!$D49-1)</f>
        <v/>
      </c>
      <c r="EU37" s="14" t="str">
        <f ca="1">IF(EU$1="","",'Total Value'!EU49/'Total Value'!$D49-1)</f>
        <v/>
      </c>
      <c r="EV37" s="14" t="str">
        <f ca="1">IF(EV$1="","",'Total Value'!EV49/'Total Value'!$D49-1)</f>
        <v/>
      </c>
      <c r="EW37" s="14" t="str">
        <f ca="1">IF(EW$1="","",'Total Value'!EW49/'Total Value'!$D49-1)</f>
        <v/>
      </c>
      <c r="EX37" s="14" t="str">
        <f ca="1">IF(EX$1="","",'Total Value'!EX49/'Total Value'!$D49-1)</f>
        <v/>
      </c>
      <c r="EY37" s="14" t="str">
        <f ca="1">IF(EY$1="","",'Total Value'!EY49/'Total Value'!$D49-1)</f>
        <v/>
      </c>
      <c r="EZ37" s="14" t="str">
        <f ca="1">IF(EZ$1="","",'Total Value'!EZ49/'Total Value'!$D49-1)</f>
        <v/>
      </c>
      <c r="FA37" s="14" t="str">
        <f ca="1">IF(FA$1="","",'Total Value'!FA49/'Total Value'!$D49-1)</f>
        <v/>
      </c>
      <c r="FB37" s="14" t="str">
        <f ca="1">IF(FB$1="","",'Total Value'!FB49/'Total Value'!$D49-1)</f>
        <v/>
      </c>
      <c r="FC37" s="14" t="str">
        <f ca="1">IF(FC$1="","",'Total Value'!FC49/'Total Value'!$D49-1)</f>
        <v/>
      </c>
      <c r="FD37" s="14" t="str">
        <f ca="1">IF(FD$1="","",'Total Value'!FD49/'Total Value'!$D49-1)</f>
        <v/>
      </c>
      <c r="FE37" s="14" t="str">
        <f ca="1">IF(FE$1="","",'Total Value'!FE49/'Total Value'!$D49-1)</f>
        <v/>
      </c>
      <c r="FF37" s="14" t="str">
        <f ca="1">IF(FF$1="","",'Total Value'!FF49/'Total Value'!$D49-1)</f>
        <v/>
      </c>
      <c r="FG37" s="14" t="str">
        <f ca="1">IF(FG$1="","",'Total Value'!FG49/'Total Value'!$D49-1)</f>
        <v/>
      </c>
      <c r="FH37" s="14" t="str">
        <f ca="1">IF(FH$1="","",'Total Value'!FH49/'Total Value'!$D49-1)</f>
        <v/>
      </c>
      <c r="FI37" s="14" t="str">
        <f ca="1">IF(FI$1="","",'Total Value'!FI49/'Total Value'!$D49-1)</f>
        <v/>
      </c>
      <c r="FJ37" s="14" t="str">
        <f ca="1">IF(FJ$1="","",'Total Value'!FJ49/'Total Value'!$D49-1)</f>
        <v/>
      </c>
      <c r="FK37" s="14" t="str">
        <f ca="1">IF(FK$1="","",'Total Value'!FK49/'Total Value'!$D49-1)</f>
        <v/>
      </c>
      <c r="FL37" s="14" t="str">
        <f ca="1">IF(FL$1="","",'Total Value'!FL49/'Total Value'!$D49-1)</f>
        <v/>
      </c>
      <c r="FM37" s="14" t="str">
        <f ca="1">IF(FM$1="","",'Total Value'!FM49/'Total Value'!$D49-1)</f>
        <v/>
      </c>
      <c r="FN37" s="14" t="str">
        <f ca="1">IF(FN$1="","",'Total Value'!FN49/'Total Value'!$D49-1)</f>
        <v/>
      </c>
      <c r="FO37" s="14" t="str">
        <f ca="1">IF(FO$1="","",'Total Value'!FO49/'Total Value'!$D49-1)</f>
        <v/>
      </c>
      <c r="FP37" s="14" t="str">
        <f ca="1">IF(FP$1="","",'Total Value'!FP49/'Total Value'!$D49-1)</f>
        <v/>
      </c>
      <c r="FQ37" s="14" t="str">
        <f ca="1">IF(FQ$1="","",'Total Value'!FQ49/'Total Value'!$D49-1)</f>
        <v/>
      </c>
      <c r="FR37" s="14" t="str">
        <f ca="1">IF(FR$1="","",'Total Value'!FR49/'Total Value'!$D49-1)</f>
        <v/>
      </c>
      <c r="FS37" s="14" t="str">
        <f ca="1">IF(FS$1="","",'Total Value'!FS49/'Total Value'!$D49-1)</f>
        <v/>
      </c>
      <c r="FT37" s="14" t="str">
        <f ca="1">IF(FT$1="","",'Total Value'!FT49/'Total Value'!$D49-1)</f>
        <v/>
      </c>
      <c r="FU37" s="14" t="str">
        <f ca="1">IF(FU$1="","",'Total Value'!FU49/'Total Value'!$D49-1)</f>
        <v/>
      </c>
      <c r="FV37" s="14" t="str">
        <f ca="1">IF(FV$1="","",'Total Value'!FV49/'Total Value'!$D49-1)</f>
        <v/>
      </c>
      <c r="FW37" s="14" t="str">
        <f ca="1">IF(FW$1="","",'Total Value'!FW49/'Total Value'!$D49-1)</f>
        <v/>
      </c>
      <c r="FX37" s="14" t="str">
        <f ca="1">IF(FX$1="","",'Total Value'!FX49/'Total Value'!$D49-1)</f>
        <v/>
      </c>
      <c r="FY37" s="14" t="str">
        <f ca="1">IF(FY$1="","",'Total Value'!FY49/'Total Value'!$D49-1)</f>
        <v/>
      </c>
      <c r="FZ37" s="14" t="str">
        <f ca="1">IF(FZ$1="","",'Total Value'!FZ49/'Total Value'!$D49-1)</f>
        <v/>
      </c>
      <c r="GA37" s="14" t="str">
        <f ca="1">IF(GA$1="","",'Total Value'!GA49/'Total Value'!$D49-1)</f>
        <v/>
      </c>
      <c r="GB37" s="14" t="str">
        <f ca="1">IF(GB$1="","",'Total Value'!GB49/'Total Value'!$D49-1)</f>
        <v/>
      </c>
      <c r="GC37" s="14" t="str">
        <f ca="1">IF(GC$1="","",'Total Value'!GC49/'Total Value'!$D49-1)</f>
        <v/>
      </c>
      <c r="GD37" s="14" t="str">
        <f ca="1">IF(GD$1="","",'Total Value'!GD49/'Total Value'!$D49-1)</f>
        <v/>
      </c>
      <c r="GE37" s="14" t="str">
        <f ca="1">IF(GE$1="","",'Total Value'!GE49/'Total Value'!$D49-1)</f>
        <v/>
      </c>
      <c r="GF37" s="14" t="str">
        <f ca="1">IF(GF$1="","",'Total Value'!GF49/'Total Value'!$D49-1)</f>
        <v/>
      </c>
      <c r="GG37" s="14" t="str">
        <f ca="1">IF(GG$1="","",'Total Value'!GG49/'Total Value'!$D49-1)</f>
        <v/>
      </c>
      <c r="GH37" s="14" t="str">
        <f ca="1">IF(GH$1="","",'Total Value'!GH49/'Total Value'!$D49-1)</f>
        <v/>
      </c>
      <c r="GI37" s="14" t="str">
        <f ca="1">IF(GI$1="","",'Total Value'!GI49/'Total Value'!$D49-1)</f>
        <v/>
      </c>
      <c r="GJ37" s="14" t="str">
        <f ca="1">IF(GJ$1="","",'Total Value'!GJ49/'Total Value'!$D49-1)</f>
        <v/>
      </c>
      <c r="GK37" s="14" t="str">
        <f ca="1">IF(GK$1="","",'Total Value'!GK49/'Total Value'!$D49-1)</f>
        <v/>
      </c>
      <c r="GL37" s="14" t="str">
        <f ca="1">IF(GL$1="","",'Total Value'!GL49/'Total Value'!$D49-1)</f>
        <v/>
      </c>
      <c r="GM37" s="14" t="str">
        <f ca="1">IF(GM$1="","",'Total Value'!GM49/'Total Value'!$D49-1)</f>
        <v/>
      </c>
      <c r="GN37" s="14" t="str">
        <f ca="1">IF(GN$1="","",'Total Value'!GN49/'Total Value'!$D49-1)</f>
        <v/>
      </c>
      <c r="GO37" s="14" t="str">
        <f ca="1">IF(GO$1="","",'Total Value'!GO49/'Total Value'!$D49-1)</f>
        <v/>
      </c>
      <c r="GP37" s="14" t="str">
        <f ca="1">IF(GP$1="","",'Total Value'!GP49/'Total Value'!$D49-1)</f>
        <v/>
      </c>
      <c r="GQ37" s="14" t="str">
        <f ca="1">IF(GQ$1="","",'Total Value'!GQ49/'Total Value'!$D49-1)</f>
        <v/>
      </c>
      <c r="GR37" s="14" t="str">
        <f ca="1">IF(GR$1="","",'Total Value'!GR49/'Total Value'!$D49-1)</f>
        <v/>
      </c>
      <c r="GS37" s="14" t="str">
        <f ca="1">IF(GS$1="","",'Total Value'!GS49/'Total Value'!$D49-1)</f>
        <v/>
      </c>
      <c r="GT37" s="14" t="str">
        <f ca="1">IF(GT$1="","",'Total Value'!GT49/'Total Value'!$D49-1)</f>
        <v/>
      </c>
      <c r="GU37" s="14" t="str">
        <f ca="1">IF(GU$1="","",'Total Value'!GU49/'Total Value'!$D49-1)</f>
        <v/>
      </c>
      <c r="GV37" s="14" t="str">
        <f ca="1">IF(GV$1="","",'Total Value'!GV49/'Total Value'!$D49-1)</f>
        <v/>
      </c>
      <c r="GW37" s="14" t="str">
        <f ca="1">IF(GW$1="","",'Total Value'!GW49/'Total Value'!$D49-1)</f>
        <v/>
      </c>
      <c r="GX37" s="14" t="str">
        <f ca="1">IF(GX$1="","",'Total Value'!GX49/'Total Value'!$D49-1)</f>
        <v/>
      </c>
      <c r="GY37" s="14" t="str">
        <f ca="1">IF(GY$1="","",'Total Value'!GY49/'Total Value'!$D49-1)</f>
        <v/>
      </c>
      <c r="GZ37" s="14" t="str">
        <f ca="1">IF(GZ$1="","",'Total Value'!GZ49/'Total Value'!$D49-1)</f>
        <v/>
      </c>
      <c r="HA37" s="14" t="str">
        <f ca="1">IF(HA$1="","",'Total Value'!HA49/'Total Value'!$D49-1)</f>
        <v/>
      </c>
      <c r="HB37" s="14" t="str">
        <f ca="1">IF(HB$1="","",'Total Value'!HB49/'Total Value'!$D49-1)</f>
        <v/>
      </c>
      <c r="HC37" s="14" t="str">
        <f ca="1">IF(HC$1="","",'Total Value'!HC49/'Total Value'!$D49-1)</f>
        <v/>
      </c>
      <c r="HD37" s="14" t="str">
        <f ca="1">IF(HD$1="","",'Total Value'!HD49/'Total Value'!$D49-1)</f>
        <v/>
      </c>
      <c r="HE37" s="14" t="str">
        <f ca="1">IF(HE$1="","",'Total Value'!HE49/'Total Value'!$D49-1)</f>
        <v/>
      </c>
      <c r="HF37" s="14" t="str">
        <f ca="1">IF(HF$1="","",'Total Value'!HF49/'Total Value'!$D49-1)</f>
        <v/>
      </c>
      <c r="HG37" s="14" t="str">
        <f ca="1">IF(HG$1="","",'Total Value'!HG49/'Total Value'!$D49-1)</f>
        <v/>
      </c>
      <c r="HH37" s="14" t="str">
        <f ca="1">IF(HH$1="","",'Total Value'!HH49/'Total Value'!$D49-1)</f>
        <v/>
      </c>
      <c r="HI37" s="14" t="str">
        <f ca="1">IF(HI$1="","",'Total Value'!HI49/'Total Value'!$D49-1)</f>
        <v/>
      </c>
      <c r="HJ37" s="14" t="str">
        <f ca="1">IF(HJ$1="","",'Total Value'!HJ49/'Total Value'!$D49-1)</f>
        <v/>
      </c>
      <c r="HK37" s="14" t="str">
        <f ca="1">IF(HK$1="","",'Total Value'!HK49/'Total Value'!$D49-1)</f>
        <v/>
      </c>
      <c r="HL37" s="14" t="str">
        <f ca="1">IF(HL$1="","",'Total Value'!HL49/'Total Value'!$D49-1)</f>
        <v/>
      </c>
      <c r="HM37" s="14" t="str">
        <f ca="1">IF(HM$1="","",'Total Value'!HM49/'Total Value'!$D49-1)</f>
        <v/>
      </c>
      <c r="HN37" s="14" t="str">
        <f ca="1">IF(HN$1="","",'Total Value'!HN49/'Total Value'!$D49-1)</f>
        <v/>
      </c>
      <c r="HO37" s="14" t="str">
        <f ca="1">IF(HO$1="","",'Total Value'!HO49/'Total Value'!$D49-1)</f>
        <v/>
      </c>
      <c r="HP37" s="14" t="str">
        <f ca="1">IF(HP$1="","",'Total Value'!HP49/'Total Value'!$D49-1)</f>
        <v/>
      </c>
      <c r="HQ37" s="14" t="str">
        <f ca="1">IF(HQ$1="","",'Total Value'!HQ49/'Total Value'!$D49-1)</f>
        <v/>
      </c>
      <c r="HR37" s="14" t="str">
        <f ca="1">IF(HR$1="","",'Total Value'!HR49/'Total Value'!$D49-1)</f>
        <v/>
      </c>
      <c r="HS37" s="14" t="str">
        <f ca="1">IF(HS$1="","",'Total Value'!HS49/'Total Value'!$D49-1)</f>
        <v/>
      </c>
      <c r="HT37" s="14" t="str">
        <f ca="1">IF(HT$1="","",'Total Value'!HT49/'Total Value'!$D49-1)</f>
        <v/>
      </c>
      <c r="HU37" s="14" t="str">
        <f ca="1">IF(HU$1="","",'Total Value'!HU49/'Total Value'!$D49-1)</f>
        <v/>
      </c>
      <c r="HV37" s="14" t="str">
        <f ca="1">IF(HV$1="","",'Total Value'!HV49/'Total Value'!$D49-1)</f>
        <v/>
      </c>
      <c r="HW37" s="14" t="str">
        <f ca="1">IF(HW$1="","",'Total Value'!HW49/'Total Value'!$D49-1)</f>
        <v/>
      </c>
      <c r="HX37" s="14" t="str">
        <f ca="1">IF(HX$1="","",'Total Value'!HX49/'Total Value'!$D49-1)</f>
        <v/>
      </c>
      <c r="HY37" s="14" t="str">
        <f ca="1">IF(HY$1="","",'Total Value'!HY49/'Total Value'!$D49-1)</f>
        <v/>
      </c>
      <c r="HZ37" s="14" t="str">
        <f ca="1">IF(HZ$1="","",'Total Value'!HZ49/'Total Value'!$D49-1)</f>
        <v/>
      </c>
      <c r="IA37" s="14" t="str">
        <f ca="1">IF(IA$1="","",'Total Value'!IA49/'Total Value'!$D49-1)</f>
        <v/>
      </c>
      <c r="IB37" s="14" t="str">
        <f ca="1">IF(IB$1="","",'Total Value'!IB49/'Total Value'!$D49-1)</f>
        <v/>
      </c>
      <c r="IC37" s="14" t="str">
        <f ca="1">IF(IC$1="","",'Total Value'!IC49/'Total Value'!$D49-1)</f>
        <v/>
      </c>
      <c r="ID37" s="14" t="str">
        <f ca="1">IF(ID$1="","",'Total Value'!ID49/'Total Value'!$D49-1)</f>
        <v/>
      </c>
      <c r="IE37" s="14" t="str">
        <f ca="1">IF(IE$1="","",'Total Value'!IE49/'Total Value'!$D49-1)</f>
        <v/>
      </c>
      <c r="IF37" s="14" t="str">
        <f ca="1">IF(IF$1="","",'Total Value'!IF49/'Total Value'!$D49-1)</f>
        <v/>
      </c>
      <c r="IG37" s="14" t="str">
        <f ca="1">IF(IG$1="","",'Total Value'!IG49/'Total Value'!$D49-1)</f>
        <v/>
      </c>
      <c r="IH37" s="14" t="str">
        <f ca="1">IF(IH$1="","",'Total Value'!IH49/'Total Value'!$D49-1)</f>
        <v/>
      </c>
      <c r="II37" s="14" t="str">
        <f ca="1">IF(II$1="","",'Total Value'!II49/'Total Value'!$D49-1)</f>
        <v/>
      </c>
      <c r="IJ37" s="14" t="str">
        <f ca="1">IF(IJ$1="","",'Total Value'!IJ49/'Total Value'!$D49-1)</f>
        <v/>
      </c>
      <c r="IK37" s="14" t="str">
        <f ca="1">IF(IK$1="","",'Total Value'!IK49/'Total Value'!$D49-1)</f>
        <v/>
      </c>
      <c r="IL37" s="14" t="str">
        <f ca="1">IF(IL$1="","",'Total Value'!IL49/'Total Value'!$D49-1)</f>
        <v/>
      </c>
      <c r="IM37" s="14" t="str">
        <f ca="1">IF(IM$1="","",'Total Value'!IM49/'Total Value'!$D49-1)</f>
        <v/>
      </c>
      <c r="IN37" s="14" t="str">
        <f ca="1">IF(IN$1="","",'Total Value'!IN49/'Total Value'!$D49-1)</f>
        <v/>
      </c>
      <c r="IO37" s="14" t="str">
        <f ca="1">IF(IO$1="","",'Total Value'!IO49/'Total Value'!$D49-1)</f>
        <v/>
      </c>
      <c r="IP37" s="14" t="str">
        <f ca="1">IF(IP$1="","",'Total Value'!IP49/'Total Value'!$D49-1)</f>
        <v/>
      </c>
      <c r="IQ37" s="14" t="str">
        <f ca="1">IF(IQ$1="","",'Total Value'!IQ49/'Total Value'!$D49-1)</f>
        <v/>
      </c>
      <c r="IR37" s="14" t="str">
        <f ca="1">IF(IR$1="","",'Total Value'!IR49/'Total Value'!$D49-1)</f>
        <v/>
      </c>
      <c r="IS37" s="14" t="str">
        <f ca="1">IF(IS$1="","",'Total Value'!IS49/'Total Value'!$D49-1)</f>
        <v/>
      </c>
      <c r="IT37" s="14" t="str">
        <f ca="1">IF(IT$1="","",'Total Value'!IT49/'Total Value'!$D49-1)</f>
        <v/>
      </c>
      <c r="IU37" s="14" t="str">
        <f ca="1">IF(IU$1="","",'Total Value'!IU49/'Total Value'!$D49-1)</f>
        <v/>
      </c>
      <c r="IV37" s="14" t="str">
        <f ca="1">IF(IV$1="","",'Total Value'!IV49/'Total Value'!$D49-1)</f>
        <v/>
      </c>
      <c r="IW37" s="14" t="str">
        <f ca="1">IF(IW$1="","",'Total Value'!IW49/'Total Value'!$D49-1)</f>
        <v/>
      </c>
      <c r="IX37" s="14" t="str">
        <f ca="1">IF(IX$1="","",'Total Value'!IX49/'Total Value'!$D49-1)</f>
        <v/>
      </c>
      <c r="IY37" s="14" t="str">
        <f ca="1">IF(IY$1="","",'Total Value'!IY49/'Total Value'!$D49-1)</f>
        <v/>
      </c>
      <c r="IZ37" s="14" t="str">
        <f ca="1">IF(IZ$1="","",'Total Value'!IZ49/'Total Value'!$D49-1)</f>
        <v/>
      </c>
      <c r="JA37" s="14" t="str">
        <f ca="1">IF(JA$1="","",'Total Value'!JA49/'Total Value'!$D49-1)</f>
        <v/>
      </c>
      <c r="JB37" s="14" t="str">
        <f ca="1">IF(JB$1="","",'Total Value'!JB49/'Total Value'!$D49-1)</f>
        <v/>
      </c>
      <c r="JC37" s="14" t="str">
        <f ca="1">IF(JC$1="","",'Total Value'!JC49/'Total Value'!$D49-1)</f>
        <v/>
      </c>
      <c r="JD37" s="14" t="str">
        <f ca="1">IF(JD$1="","",'Total Value'!JD49/'Total Value'!$D49-1)</f>
        <v/>
      </c>
      <c r="JE37" s="14" t="str">
        <f ca="1">IF(JE$1="","",'Total Value'!JE49/'Total Value'!$D49-1)</f>
        <v/>
      </c>
      <c r="JF37" s="14" t="str">
        <f ca="1">IF(JF$1="","",'Total Value'!JF49/'Total Value'!$D49-1)</f>
        <v/>
      </c>
      <c r="JG37" s="14" t="str">
        <f ca="1">IF(JG$1="","",'Total Value'!JG49/'Total Value'!$D49-1)</f>
        <v/>
      </c>
      <c r="JH37" s="14" t="str">
        <f ca="1">IF(JH$1="","",'Total Value'!JH49/'Total Value'!$D49-1)</f>
        <v/>
      </c>
      <c r="JI37" s="14" t="str">
        <f ca="1">IF(JI$1="","",'Total Value'!JI49/'Total Value'!$D49-1)</f>
        <v/>
      </c>
      <c r="JJ37" s="14" t="str">
        <f ca="1">IF(JJ$1="","",'Total Value'!JJ49/'Total Value'!$D49-1)</f>
        <v/>
      </c>
      <c r="JK37" s="14" t="str">
        <f ca="1">IF(JK$1="","",'Total Value'!JK49/'Total Value'!$D49-1)</f>
        <v/>
      </c>
      <c r="JL37" s="14" t="str">
        <f ca="1">IF(JL$1="","",'Total Value'!JL49/'Total Value'!$D49-1)</f>
        <v/>
      </c>
      <c r="JM37" s="14" t="str">
        <f ca="1">IF(JM$1="","",'Total Value'!JM49/'Total Value'!$D49-1)</f>
        <v/>
      </c>
      <c r="JN37" s="14" t="str">
        <f ca="1">IF(JN$1="","",'Total Value'!JN49/'Total Value'!$D49-1)</f>
        <v/>
      </c>
      <c r="JO37" s="14" t="str">
        <f ca="1">IF(JO$1="","",'Total Value'!JO49/'Total Value'!$D49-1)</f>
        <v/>
      </c>
      <c r="JP37" s="14" t="str">
        <f ca="1">IF(JP$1="","",'Total Value'!JP49/'Total Value'!$D49-1)</f>
        <v/>
      </c>
      <c r="JQ37" s="14" t="str">
        <f ca="1">IF(JQ$1="","",'Total Value'!JQ49/'Total Value'!$D49-1)</f>
        <v/>
      </c>
      <c r="JR37" s="14" t="str">
        <f ca="1">IF(JR$1="","",'Total Value'!JR49/'Total Value'!$D49-1)</f>
        <v/>
      </c>
      <c r="JS37" s="14" t="str">
        <f ca="1">IF(JS$1="","",'Total Value'!JS49/'Total Value'!$D49-1)</f>
        <v/>
      </c>
      <c r="JT37" s="14" t="str">
        <f ca="1">IF(JT$1="","",'Total Value'!JT49/'Total Value'!$D49-1)</f>
        <v/>
      </c>
      <c r="JU37" s="14" t="str">
        <f ca="1">IF(JU$1="","",'Total Value'!JU49/'Total Value'!$D49-1)</f>
        <v/>
      </c>
      <c r="JV37" s="14" t="str">
        <f ca="1">IF(JV$1="","",'Total Value'!JV49/'Total Value'!$D49-1)</f>
        <v/>
      </c>
      <c r="JW37" s="14" t="str">
        <f ca="1">IF(JW$1="","",'Total Value'!JW49/'Total Value'!$D49-1)</f>
        <v/>
      </c>
      <c r="JX37" s="14" t="str">
        <f ca="1">IF(JX$1="","",'Total Value'!JX49/'Total Value'!$D49-1)</f>
        <v/>
      </c>
      <c r="JY37" s="14" t="str">
        <f ca="1">IF(JY$1="","",'Total Value'!JY49/'Total Value'!$D49-1)</f>
        <v/>
      </c>
      <c r="JZ37" s="14" t="str">
        <f ca="1">IF(JZ$1="","",'Total Value'!JZ49/'Total Value'!$D49-1)</f>
        <v/>
      </c>
      <c r="KA37" s="14" t="str">
        <f ca="1">IF(KA$1="","",'Total Value'!KA49/'Total Value'!$D49-1)</f>
        <v/>
      </c>
      <c r="KB37" s="14" t="str">
        <f ca="1">IF(KB$1="","",'Total Value'!KB49/'Total Value'!$D49-1)</f>
        <v/>
      </c>
    </row>
    <row r="38" spans="1:288" ht="15.75" customHeight="1">
      <c r="A38" s="9" t="s">
        <v>30</v>
      </c>
      <c r="B38" s="6" t="s">
        <v>82</v>
      </c>
      <c r="C38" s="26">
        <v>12</v>
      </c>
      <c r="D38" s="13">
        <v>0</v>
      </c>
      <c r="E38" s="14">
        <f ca="1">IF(E$1="","",'Total Value'!E50/'Total Value'!$D50-1)</f>
        <v>1.2879102617366023E-2</v>
      </c>
      <c r="F38" s="14">
        <f ca="1">IF(F$1="","",'Total Value'!F50/'Total Value'!$D50-1)</f>
        <v>1.8903199002907822E-2</v>
      </c>
      <c r="G38" s="14">
        <f ca="1">IF(G$1="","",'Total Value'!G50/'Total Value'!$D50-1)</f>
        <v>1.4956377233070084E-2</v>
      </c>
      <c r="H38" s="14">
        <f ca="1">IF(H$1="","",'Total Value'!H50/'Total Value'!$D50-1)</f>
        <v>2.8874117158288248E-2</v>
      </c>
      <c r="I38" s="14">
        <f ca="1">IF(I$1="","",'Total Value'!I50/'Total Value'!$D50-1)</f>
        <v>3.5313668466969705E-3</v>
      </c>
      <c r="J38" s="14">
        <f ca="1">IF(J$1="","",'Total Value'!J50/'Total Value'!$D50-1)</f>
        <v>-4.3622766929789503E-3</v>
      </c>
      <c r="K38" s="14">
        <f ca="1">IF(K$1="","",'Total Value'!K50/'Total Value'!$D50-1)</f>
        <v>-2.3680930619027984E-2</v>
      </c>
      <c r="L38" s="14">
        <f ca="1">IF(L$1="","",'Total Value'!L50/'Total Value'!$D50-1)</f>
        <v>-2.991275446614039E-2</v>
      </c>
      <c r="M38" s="14">
        <f ca="1">IF(M$1="","",'Total Value'!M50/'Total Value'!$D50-1)</f>
        <v>-3.4067303697548956E-2</v>
      </c>
      <c r="N38" s="14">
        <f ca="1">IF(N$1="","",'Total Value'!N50/'Total Value'!$D50-1)</f>
        <v>-3.9675945159950321E-2</v>
      </c>
      <c r="O38" s="14">
        <f ca="1">IF(O$1="","",'Total Value'!O50/'Total Value'!$D50-1)</f>
        <v>-6.3149148317407588E-2</v>
      </c>
      <c r="P38" s="14">
        <f ca="1">IF(P$1="","",'Total Value'!P50/'Total Value'!$D50-1)</f>
        <v>-0.11009555463232246</v>
      </c>
      <c r="Q38" s="14">
        <f ca="1">IF(Q$1="","",'Total Value'!Q50/'Total Value'!$D50-1)</f>
        <v>-0.10531782301620274</v>
      </c>
      <c r="R38" s="14">
        <f ca="1">IF(R$1="","",'Total Value'!R50/'Total Value'!$D50-1)</f>
        <v>-0.10095554632322401</v>
      </c>
      <c r="S38" s="14">
        <f ca="1">IF(S$1="","",'Total Value'!S50/'Total Value'!$D50-1)</f>
        <v>-8.5168259243872058E-2</v>
      </c>
      <c r="T38" s="14">
        <f ca="1">IF(T$1="","",'Total Value'!T50/'Total Value'!$D50-1)</f>
        <v>-8.8284171167428371E-2</v>
      </c>
      <c r="U38" s="14">
        <f ca="1">IF(U$1="","",'Total Value'!U50/'Total Value'!$D50-1)</f>
        <v>-9.3892812629829847E-2</v>
      </c>
      <c r="V38" s="14">
        <f ca="1">IF(V$1="","",'Total Value'!V50/'Total Value'!$D50-1)</f>
        <v>-8.3298712089738269E-2</v>
      </c>
      <c r="W38" s="14">
        <f ca="1">IF(W$1="","",'Total Value'!W50/'Total Value'!$D50-1)</f>
        <v>-8.226007478188635E-2</v>
      </c>
      <c r="X38" s="14">
        <f ca="1">IF(X$1="","",'Total Value'!X50/'Total Value'!$D50-1)</f>
        <v>-4.1337764852513725E-2</v>
      </c>
      <c r="Y38" s="14">
        <f ca="1">IF(Y$1="","",'Total Value'!Y50/'Total Value'!$D50-1)</f>
        <v>-5.1724137931034697E-2</v>
      </c>
      <c r="Z38" s="14">
        <f ca="1">IF(Z$1="","",'Total Value'!Z50/'Total Value'!$D50-1)</f>
        <v>-7.6859160781055369E-2</v>
      </c>
      <c r="AA38" s="14">
        <f ca="1">IF(AA$1="","",'Total Value'!AA50/'Total Value'!$D50-1)</f>
        <v>-7.9975072704611572E-2</v>
      </c>
      <c r="AB38" s="14">
        <f ca="1">IF(AB$1="","",'Total Value'!AB50/'Total Value'!$D50-1)</f>
        <v>-7.78977980889074E-2</v>
      </c>
      <c r="AC38" s="14">
        <f ca="1">IF(AC$1="","",'Total Value'!AC50/'Total Value'!$D50-1)</f>
        <v>-7.0627336933942741E-2</v>
      </c>
      <c r="AD38" s="14">
        <f ca="1">IF(AD$1="","",'Total Value'!AD50/'Total Value'!$D50-1)</f>
        <v>-5.629414208558392E-2</v>
      </c>
      <c r="AE38" s="14">
        <f ca="1">IF(AE$1="","",'Total Value'!AE50/'Total Value'!$D50-1)</f>
        <v>-6.5434150394682256E-2</v>
      </c>
      <c r="AF38" s="14">
        <f ca="1">IF(AF$1="","",'Total Value'!AF50/'Total Value'!$D50-1)</f>
        <v>-8.2675529705027229E-2</v>
      </c>
      <c r="AG38" s="14">
        <f ca="1">IF(AG$1="","",'Total Value'!AG50/'Total Value'!$D50-1)</f>
        <v>-7.7066888242625864E-2</v>
      </c>
      <c r="AH38" s="14">
        <f ca="1">IF(AH$1="","",'Total Value'!AH50/'Total Value'!$D50-1)</f>
        <v>-8.5791441628583431E-2</v>
      </c>
      <c r="AI38" s="14">
        <f ca="1">IF(AI$1="","",'Total Value'!AI50/'Total Value'!$D50-1)</f>
        <v>-9.5970087245533908E-2</v>
      </c>
      <c r="AJ38" s="14">
        <f ca="1">IF(AJ$1="","",'Total Value'!AJ50/'Total Value'!$D50-1)</f>
        <v>-6.5434150394682256E-2</v>
      </c>
      <c r="AK38" s="14">
        <f ca="1">IF(AK$1="","",'Total Value'!AK50/'Total Value'!$D50-1)</f>
        <v>-5.1931865392604859E-2</v>
      </c>
      <c r="AL38" s="14">
        <f ca="1">IF(AL$1="","",'Total Value'!AL50/'Total Value'!$D50-1)</f>
        <v>-7.5612796011632843E-2</v>
      </c>
      <c r="AM38" s="14">
        <f ca="1">IF(AM$1="","",'Total Value'!AM50/'Total Value'!$D50-1)</f>
        <v>-4.7569588699626131E-2</v>
      </c>
      <c r="AN38" s="14">
        <f ca="1">IF(AN$1="","",'Total Value'!AN50/'Total Value'!$D50-1)</f>
        <v>-2.887411715828847E-2</v>
      </c>
      <c r="AO38" s="14">
        <f ca="1">IF(AO$1="","",'Total Value'!AO50/'Total Value'!$D50-1)</f>
        <v>-7.1665974241794883E-2</v>
      </c>
      <c r="AP38" s="14">
        <f ca="1">IF(AP$1="","",'Total Value'!AP50/'Total Value'!$D50-1)</f>
        <v>-0.10594100540091411</v>
      </c>
      <c r="AQ38" s="14">
        <f ca="1">IF(AQ$1="","",'Total Value'!AQ50/'Total Value'!$D50-1)</f>
        <v>-9.8670544245949343E-2</v>
      </c>
      <c r="AR38" s="14">
        <f ca="1">IF(AR$1="","",'Total Value'!AR50/'Total Value'!$D50-1)</f>
        <v>-9.6593269630245171E-2</v>
      </c>
      <c r="AS38" s="14">
        <f ca="1">IF(AS$1="","",'Total Value'!AS50/'Total Value'!$D50-1)</f>
        <v>-0.10822600747818878</v>
      </c>
      <c r="AT38" s="14">
        <f ca="1">IF(AT$1="","",'Total Value'!AT50/'Total Value'!$D50-1)</f>
        <v>-0.11778147071042799</v>
      </c>
      <c r="AU38" s="14">
        <f ca="1">IF(AU$1="","",'Total Value'!AU50/'Total Value'!$D50-1)</f>
        <v>-0.12733693394266732</v>
      </c>
      <c r="AV38" s="14">
        <f ca="1">IF(AV$1="","",'Total Value'!AV50/'Total Value'!$D50-1)</f>
        <v>-0.1275446614042377</v>
      </c>
      <c r="AW38" s="14">
        <f ca="1">IF(AW$1="","",'Total Value'!AW50/'Total Value'!$D50-1)</f>
        <v>-0.10054009140008335</v>
      </c>
      <c r="AX38" s="14">
        <f ca="1">IF(AX$1="","",'Total Value'!AX50/'Total Value'!$D50-1)</f>
        <v>-8.4960531782301896E-2</v>
      </c>
      <c r="AY38" s="14">
        <f ca="1">IF(AY$1="","",'Total Value'!AY50/'Total Value'!$D50-1)</f>
        <v>-8.5583714167012936E-2</v>
      </c>
      <c r="AZ38" s="14">
        <f ca="1">IF(AZ$1="","",'Total Value'!AZ50/'Total Value'!$D50-1)</f>
        <v>-9.9293726630660828E-2</v>
      </c>
      <c r="BA38" s="14">
        <f ca="1">IF(BA$1="","",'Total Value'!BA50/'Total Value'!$D50-1)</f>
        <v>-6.5849605317823134E-2</v>
      </c>
      <c r="BB38" s="14">
        <f ca="1">IF(BB$1="","",'Total Value'!BB50/'Total Value'!$D50-1)</f>
        <v>-7.2912339011217298E-2</v>
      </c>
      <c r="BC38" s="14">
        <f ca="1">IF(BC$1="","",'Total Value'!BC50/'Total Value'!$D50-1)</f>
        <v>-6.1071873701703305E-2</v>
      </c>
      <c r="BD38" s="14">
        <f ca="1">IF(BD$1="","",'Total Value'!BD50/'Total Value'!$D50-1)</f>
        <v>-3.3859576235978461E-2</v>
      </c>
      <c r="BE38" s="14">
        <f ca="1">IF(BE$1="","",'Total Value'!BE50/'Total Value'!$D50-1)</f>
        <v>-7.9144162858329925E-2</v>
      </c>
      <c r="BF38" s="14">
        <f ca="1">IF(BF$1="","",'Total Value'!BF50/'Total Value'!$D50-1)</f>
        <v>-6.0448691316992265E-2</v>
      </c>
      <c r="BG38" s="14">
        <f ca="1">IF(BG$1="","",'Total Value'!BG50/'Total Value'!$D50-1)</f>
        <v>-0.10116327378479439</v>
      </c>
      <c r="BH38" s="14">
        <f ca="1">IF(BH$1="","",'Total Value'!BH50/'Total Value'!$D50-1)</f>
        <v>-0.11923556294142101</v>
      </c>
      <c r="BI38" s="14">
        <f ca="1">IF(BI$1="","",'Total Value'!BI50/'Total Value'!$D50-1)</f>
        <v>-0.12609056917324479</v>
      </c>
      <c r="BJ38" s="14">
        <f ca="1">IF(BJ$1="","",'Total Value'!BJ50/'Total Value'!$D50-1)</f>
        <v>-0.10157872870793527</v>
      </c>
      <c r="BK38" s="14">
        <f ca="1">IF(BK$1="","",'Total Value'!BK50/'Total Value'!$D50-1)</f>
        <v>-0.14644786040714586</v>
      </c>
      <c r="BL38" s="14">
        <f ca="1">IF(BL$1="","",'Total Value'!BL50/'Total Value'!$D50-1)</f>
        <v>-0.18113834648940597</v>
      </c>
      <c r="BM38" s="14">
        <f ca="1">IF(BM$1="","",'Total Value'!BM50/'Total Value'!$D50-1)</f>
        <v>-0.20128791026173665</v>
      </c>
      <c r="BN38" s="14">
        <f ca="1">IF(BN$1="","",'Total Value'!BN50/'Total Value'!$D50-1)</f>
        <v>-0.21811383464894063</v>
      </c>
      <c r="BO38" s="14">
        <f ca="1">IF(BO$1="","",'Total Value'!BO50/'Total Value'!$D50-1)</f>
        <v>-0.22995429995845451</v>
      </c>
      <c r="BP38" s="14">
        <f ca="1">IF(BP$1="","",'Total Value'!BP50/'Total Value'!$D50-1)</f>
        <v>-0.23120066472787715</v>
      </c>
      <c r="BQ38" s="14">
        <f ca="1">IF(BQ$1="","",'Total Value'!BQ50/'Total Value'!$D50-1)</f>
        <v>-0.21084337349397597</v>
      </c>
      <c r="BR38" s="14">
        <f ca="1">IF(BR$1="","",'Total Value'!BR50/'Total Value'!$D50-1)</f>
        <v>-0.21208973826339861</v>
      </c>
      <c r="BS38" s="14">
        <f ca="1">IF(BS$1="","",'Total Value'!BS50/'Total Value'!$D50-1)</f>
        <v>-0.21479019526381404</v>
      </c>
      <c r="BT38" s="14">
        <f ca="1">IF(BT$1="","",'Total Value'!BT50/'Total Value'!$D50-1)</f>
        <v>-0.1838388034898214</v>
      </c>
      <c r="BU38" s="14">
        <f ca="1">IF(BU$1="","",'Total Value'!BU50/'Total Value'!$D50-1)</f>
        <v>-0.18176152887411723</v>
      </c>
      <c r="BV38" s="14">
        <f ca="1">IF(BV$1="","",'Total Value'!BV50/'Total Value'!$D50-1)</f>
        <v>-0.19110926464478617</v>
      </c>
      <c r="BW38" s="14">
        <f ca="1">IF(BW$1="","",'Total Value'!BW50/'Total Value'!$D50-1)</f>
        <v>-0.20876609887827169</v>
      </c>
      <c r="BX38" s="14">
        <f ca="1">IF(BX$1="","",'Total Value'!BX50/'Total Value'!$D50-1)</f>
        <v>-0.21562110511009558</v>
      </c>
      <c r="BY38" s="14">
        <f ca="1">IF(BY$1="","",'Total Value'!BY50/'Total Value'!$D50-1)</f>
        <v>-0.24553385957623597</v>
      </c>
      <c r="BZ38" s="14">
        <f ca="1">IF(BZ$1="","",'Total Value'!BZ50/'Total Value'!$D50-1)</f>
        <v>-0.25405068550062337</v>
      </c>
      <c r="CA38" s="14">
        <f ca="1">IF(CA$1="","",'Total Value'!CA50/'Total Value'!$D50-1)</f>
        <v>-0.24574158703780646</v>
      </c>
      <c r="CB38" s="14">
        <f ca="1">IF(CB$1="","",'Total Value'!CB50/'Total Value'!$D50-1)</f>
        <v>-0.26360614873286248</v>
      </c>
      <c r="CC38" s="14">
        <f ca="1">IF(CC$1="","",'Total Value'!CC50/'Total Value'!$D50-1)</f>
        <v>-0.25446614042376414</v>
      </c>
      <c r="CD38" s="14">
        <f ca="1">IF(CD$1="","",'Total Value'!CD50/'Total Value'!$D50-1)</f>
        <v>-0.24864977149979228</v>
      </c>
      <c r="CE38" s="14">
        <f ca="1">IF(CE$1="","",'Total Value'!CE50/'Total Value'!$D50-1)</f>
        <v>-0.22413793103448276</v>
      </c>
      <c r="CF38" s="14" t="str">
        <f ca="1">IF(CF$1="","",'Total Value'!CF50/'Total Value'!$D50-1)</f>
        <v/>
      </c>
      <c r="CG38" s="14" t="str">
        <f ca="1">IF(CG$1="","",'Total Value'!CG50/'Total Value'!$D50-1)</f>
        <v/>
      </c>
      <c r="CH38" s="14" t="str">
        <f ca="1">IF(CH$1="","",'Total Value'!CH50/'Total Value'!$D50-1)</f>
        <v/>
      </c>
      <c r="CI38" s="14" t="str">
        <f ca="1">IF(CI$1="","",'Total Value'!CI50/'Total Value'!$D50-1)</f>
        <v/>
      </c>
      <c r="CJ38" s="14" t="str">
        <f ca="1">IF(CJ$1="","",'Total Value'!CJ50/'Total Value'!$D50-1)</f>
        <v/>
      </c>
      <c r="CK38" s="14" t="str">
        <f ca="1">IF(CK$1="","",'Total Value'!CK50/'Total Value'!$D50-1)</f>
        <v/>
      </c>
      <c r="CL38" s="14" t="str">
        <f ca="1">IF(CL$1="","",'Total Value'!CL50/'Total Value'!$D50-1)</f>
        <v/>
      </c>
      <c r="CM38" s="14" t="str">
        <f ca="1">IF(CM$1="","",'Total Value'!CM50/'Total Value'!$D50-1)</f>
        <v/>
      </c>
      <c r="CN38" s="14" t="str">
        <f ca="1">IF(CN$1="","",'Total Value'!CN50/'Total Value'!$D50-1)</f>
        <v/>
      </c>
      <c r="CO38" s="14" t="str">
        <f ca="1">IF(CO$1="","",'Total Value'!CO50/'Total Value'!$D50-1)</f>
        <v/>
      </c>
      <c r="CP38" s="14" t="str">
        <f ca="1">IF(CP$1="","",'Total Value'!CP50/'Total Value'!$D50-1)</f>
        <v/>
      </c>
      <c r="CQ38" s="14" t="str">
        <f ca="1">IF(CQ$1="","",'Total Value'!CQ50/'Total Value'!$D50-1)</f>
        <v/>
      </c>
      <c r="CR38" s="14" t="str">
        <f ca="1">IF(CR$1="","",'Total Value'!CR50/'Total Value'!$D50-1)</f>
        <v/>
      </c>
      <c r="CS38" s="14" t="str">
        <f ca="1">IF(CS$1="","",'Total Value'!CS50/'Total Value'!$D50-1)</f>
        <v/>
      </c>
      <c r="CT38" s="14" t="str">
        <f ca="1">IF(CT$1="","",'Total Value'!CT50/'Total Value'!$D50-1)</f>
        <v/>
      </c>
      <c r="CU38" s="14" t="str">
        <f ca="1">IF(CU$1="","",'Total Value'!CU50/'Total Value'!$D50-1)</f>
        <v/>
      </c>
      <c r="CV38" s="14" t="str">
        <f ca="1">IF(CV$1="","",'Total Value'!CV50/'Total Value'!$D50-1)</f>
        <v/>
      </c>
      <c r="CW38" s="14" t="str">
        <f ca="1">IF(CW$1="","",'Total Value'!CW50/'Total Value'!$D50-1)</f>
        <v/>
      </c>
      <c r="CX38" s="14" t="str">
        <f ca="1">IF(CX$1="","",'Total Value'!CX50/'Total Value'!$D50-1)</f>
        <v/>
      </c>
      <c r="CY38" s="14" t="str">
        <f ca="1">IF(CY$1="","",'Total Value'!CY50/'Total Value'!$D50-1)</f>
        <v/>
      </c>
      <c r="CZ38" s="14" t="str">
        <f ca="1">IF(CZ$1="","",'Total Value'!CZ50/'Total Value'!$D50-1)</f>
        <v/>
      </c>
      <c r="DA38" s="14" t="str">
        <f ca="1">IF(DA$1="","",'Total Value'!DA50/'Total Value'!$D50-1)</f>
        <v/>
      </c>
      <c r="DB38" s="14" t="str">
        <f ca="1">IF(DB$1="","",'Total Value'!DB50/'Total Value'!$D50-1)</f>
        <v/>
      </c>
      <c r="DC38" s="14" t="str">
        <f ca="1">IF(DC$1="","",'Total Value'!DC50/'Total Value'!$D50-1)</f>
        <v/>
      </c>
      <c r="DD38" s="14" t="str">
        <f ca="1">IF(DD$1="","",'Total Value'!DD50/'Total Value'!$D50-1)</f>
        <v/>
      </c>
      <c r="DE38" s="14" t="str">
        <f ca="1">IF(DE$1="","",'Total Value'!DE50/'Total Value'!$D50-1)</f>
        <v/>
      </c>
      <c r="DF38" s="14" t="str">
        <f ca="1">IF(DF$1="","",'Total Value'!DF50/'Total Value'!$D50-1)</f>
        <v/>
      </c>
      <c r="DG38" s="14" t="str">
        <f ca="1">IF(DG$1="","",'Total Value'!DG50/'Total Value'!$D50-1)</f>
        <v/>
      </c>
      <c r="DH38" s="14" t="str">
        <f ca="1">IF(DH$1="","",'Total Value'!DH50/'Total Value'!$D50-1)</f>
        <v/>
      </c>
      <c r="DI38" s="14" t="str">
        <f ca="1">IF(DI$1="","",'Total Value'!DI50/'Total Value'!$D50-1)</f>
        <v/>
      </c>
      <c r="DJ38" s="14" t="str">
        <f ca="1">IF(DJ$1="","",'Total Value'!DJ50/'Total Value'!$D50-1)</f>
        <v/>
      </c>
      <c r="DK38" s="14" t="str">
        <f ca="1">IF(DK$1="","",'Total Value'!DK50/'Total Value'!$D50-1)</f>
        <v/>
      </c>
      <c r="DL38" s="14" t="str">
        <f ca="1">IF(DL$1="","",'Total Value'!DL50/'Total Value'!$D50-1)</f>
        <v/>
      </c>
      <c r="DM38" s="14" t="str">
        <f ca="1">IF(DM$1="","",'Total Value'!DM50/'Total Value'!$D50-1)</f>
        <v/>
      </c>
      <c r="DN38" s="14" t="str">
        <f ca="1">IF(DN$1="","",'Total Value'!DN50/'Total Value'!$D50-1)</f>
        <v/>
      </c>
      <c r="DO38" s="14" t="str">
        <f ca="1">IF(DO$1="","",'Total Value'!DO50/'Total Value'!$D50-1)</f>
        <v/>
      </c>
      <c r="DP38" s="14" t="str">
        <f ca="1">IF(DP$1="","",'Total Value'!DP50/'Total Value'!$D50-1)</f>
        <v/>
      </c>
      <c r="DQ38" s="14" t="str">
        <f ca="1">IF(DQ$1="","",'Total Value'!DQ50/'Total Value'!$D50-1)</f>
        <v/>
      </c>
      <c r="DR38" s="14" t="str">
        <f ca="1">IF(DR$1="","",'Total Value'!DR50/'Total Value'!$D50-1)</f>
        <v/>
      </c>
      <c r="DS38" s="14" t="str">
        <f ca="1">IF(DS$1="","",'Total Value'!DS50/'Total Value'!$D50-1)</f>
        <v/>
      </c>
      <c r="DT38" s="14" t="str">
        <f ca="1">IF(DT$1="","",'Total Value'!DT50/'Total Value'!$D50-1)</f>
        <v/>
      </c>
      <c r="DU38" s="14" t="str">
        <f ca="1">IF(DU$1="","",'Total Value'!DU50/'Total Value'!$D50-1)</f>
        <v/>
      </c>
      <c r="DV38" s="14" t="str">
        <f ca="1">IF(DV$1="","",'Total Value'!DV50/'Total Value'!$D50-1)</f>
        <v/>
      </c>
      <c r="DW38" s="14" t="str">
        <f ca="1">IF(DW$1="","",'Total Value'!DW50/'Total Value'!$D50-1)</f>
        <v/>
      </c>
      <c r="DX38" s="14" t="str">
        <f ca="1">IF(DX$1="","",'Total Value'!DX50/'Total Value'!$D50-1)</f>
        <v/>
      </c>
      <c r="DY38" s="14" t="str">
        <f ca="1">IF(DY$1="","",'Total Value'!DY50/'Total Value'!$D50-1)</f>
        <v/>
      </c>
      <c r="DZ38" s="14" t="str">
        <f ca="1">IF(DZ$1="","",'Total Value'!DZ50/'Total Value'!$D50-1)</f>
        <v/>
      </c>
      <c r="EA38" s="14" t="str">
        <f ca="1">IF(EA$1="","",'Total Value'!EA50/'Total Value'!$D50-1)</f>
        <v/>
      </c>
      <c r="EB38" s="14" t="str">
        <f ca="1">IF(EB$1="","",'Total Value'!EB50/'Total Value'!$D50-1)</f>
        <v/>
      </c>
      <c r="EC38" s="14" t="str">
        <f ca="1">IF(EC$1="","",'Total Value'!EC50/'Total Value'!$D50-1)</f>
        <v/>
      </c>
      <c r="ED38" s="14" t="str">
        <f ca="1">IF(ED$1="","",'Total Value'!ED50/'Total Value'!$D50-1)</f>
        <v/>
      </c>
      <c r="EE38" s="14" t="str">
        <f ca="1">IF(EE$1="","",'Total Value'!EE50/'Total Value'!$D50-1)</f>
        <v/>
      </c>
      <c r="EF38" s="14" t="str">
        <f ca="1">IF(EF$1="","",'Total Value'!EF50/'Total Value'!$D50-1)</f>
        <v/>
      </c>
      <c r="EG38" s="14" t="str">
        <f ca="1">IF(EG$1="","",'Total Value'!EG50/'Total Value'!$D50-1)</f>
        <v/>
      </c>
      <c r="EH38" s="14" t="str">
        <f ca="1">IF(EH$1="","",'Total Value'!EH50/'Total Value'!$D50-1)</f>
        <v/>
      </c>
      <c r="EI38" s="14" t="str">
        <f ca="1">IF(EI$1="","",'Total Value'!EI50/'Total Value'!$D50-1)</f>
        <v/>
      </c>
      <c r="EJ38" s="14" t="str">
        <f ca="1">IF(EJ$1="","",'Total Value'!EJ50/'Total Value'!$D50-1)</f>
        <v/>
      </c>
      <c r="EK38" s="14" t="str">
        <f ca="1">IF(EK$1="","",'Total Value'!EK50/'Total Value'!$D50-1)</f>
        <v/>
      </c>
      <c r="EL38" s="14" t="str">
        <f ca="1">IF(EL$1="","",'Total Value'!EL50/'Total Value'!$D50-1)</f>
        <v/>
      </c>
      <c r="EM38" s="14" t="str">
        <f ca="1">IF(EM$1="","",'Total Value'!EM50/'Total Value'!$D50-1)</f>
        <v/>
      </c>
      <c r="EN38" s="14" t="str">
        <f ca="1">IF(EN$1="","",'Total Value'!EN50/'Total Value'!$D50-1)</f>
        <v/>
      </c>
      <c r="EO38" s="14" t="str">
        <f ca="1">IF(EO$1="","",'Total Value'!EO50/'Total Value'!$D50-1)</f>
        <v/>
      </c>
      <c r="EP38" s="14" t="str">
        <f ca="1">IF(EP$1="","",'Total Value'!EP50/'Total Value'!$D50-1)</f>
        <v/>
      </c>
      <c r="EQ38" s="14" t="str">
        <f ca="1">IF(EQ$1="","",'Total Value'!EQ50/'Total Value'!$D50-1)</f>
        <v/>
      </c>
      <c r="ER38" s="14" t="str">
        <f ca="1">IF(ER$1="","",'Total Value'!ER50/'Total Value'!$D50-1)</f>
        <v/>
      </c>
      <c r="ES38" s="14" t="str">
        <f ca="1">IF(ES$1="","",'Total Value'!ES50/'Total Value'!$D50-1)</f>
        <v/>
      </c>
      <c r="ET38" s="14" t="str">
        <f ca="1">IF(ET$1="","",'Total Value'!ET50/'Total Value'!$D50-1)</f>
        <v/>
      </c>
      <c r="EU38" s="14" t="str">
        <f ca="1">IF(EU$1="","",'Total Value'!EU50/'Total Value'!$D50-1)</f>
        <v/>
      </c>
      <c r="EV38" s="14" t="str">
        <f ca="1">IF(EV$1="","",'Total Value'!EV50/'Total Value'!$D50-1)</f>
        <v/>
      </c>
      <c r="EW38" s="14" t="str">
        <f ca="1">IF(EW$1="","",'Total Value'!EW50/'Total Value'!$D50-1)</f>
        <v/>
      </c>
      <c r="EX38" s="14" t="str">
        <f ca="1">IF(EX$1="","",'Total Value'!EX50/'Total Value'!$D50-1)</f>
        <v/>
      </c>
      <c r="EY38" s="14" t="str">
        <f ca="1">IF(EY$1="","",'Total Value'!EY50/'Total Value'!$D50-1)</f>
        <v/>
      </c>
      <c r="EZ38" s="14" t="str">
        <f ca="1">IF(EZ$1="","",'Total Value'!EZ50/'Total Value'!$D50-1)</f>
        <v/>
      </c>
      <c r="FA38" s="14" t="str">
        <f ca="1">IF(FA$1="","",'Total Value'!FA50/'Total Value'!$D50-1)</f>
        <v/>
      </c>
      <c r="FB38" s="14" t="str">
        <f ca="1">IF(FB$1="","",'Total Value'!FB50/'Total Value'!$D50-1)</f>
        <v/>
      </c>
      <c r="FC38" s="14" t="str">
        <f ca="1">IF(FC$1="","",'Total Value'!FC50/'Total Value'!$D50-1)</f>
        <v/>
      </c>
      <c r="FD38" s="14" t="str">
        <f ca="1">IF(FD$1="","",'Total Value'!FD50/'Total Value'!$D50-1)</f>
        <v/>
      </c>
      <c r="FE38" s="14" t="str">
        <f ca="1">IF(FE$1="","",'Total Value'!FE50/'Total Value'!$D50-1)</f>
        <v/>
      </c>
      <c r="FF38" s="14" t="str">
        <f ca="1">IF(FF$1="","",'Total Value'!FF50/'Total Value'!$D50-1)</f>
        <v/>
      </c>
      <c r="FG38" s="14" t="str">
        <f ca="1">IF(FG$1="","",'Total Value'!FG50/'Total Value'!$D50-1)</f>
        <v/>
      </c>
      <c r="FH38" s="14" t="str">
        <f ca="1">IF(FH$1="","",'Total Value'!FH50/'Total Value'!$D50-1)</f>
        <v/>
      </c>
      <c r="FI38" s="14" t="str">
        <f ca="1">IF(FI$1="","",'Total Value'!FI50/'Total Value'!$D50-1)</f>
        <v/>
      </c>
      <c r="FJ38" s="14" t="str">
        <f ca="1">IF(FJ$1="","",'Total Value'!FJ50/'Total Value'!$D50-1)</f>
        <v/>
      </c>
      <c r="FK38" s="14" t="str">
        <f ca="1">IF(FK$1="","",'Total Value'!FK50/'Total Value'!$D50-1)</f>
        <v/>
      </c>
      <c r="FL38" s="14" t="str">
        <f ca="1">IF(FL$1="","",'Total Value'!FL50/'Total Value'!$D50-1)</f>
        <v/>
      </c>
      <c r="FM38" s="14" t="str">
        <f ca="1">IF(FM$1="","",'Total Value'!FM50/'Total Value'!$D50-1)</f>
        <v/>
      </c>
      <c r="FN38" s="14" t="str">
        <f ca="1">IF(FN$1="","",'Total Value'!FN50/'Total Value'!$D50-1)</f>
        <v/>
      </c>
      <c r="FO38" s="14" t="str">
        <f ca="1">IF(FO$1="","",'Total Value'!FO50/'Total Value'!$D50-1)</f>
        <v/>
      </c>
      <c r="FP38" s="14" t="str">
        <f ca="1">IF(FP$1="","",'Total Value'!FP50/'Total Value'!$D50-1)</f>
        <v/>
      </c>
      <c r="FQ38" s="14" t="str">
        <f ca="1">IF(FQ$1="","",'Total Value'!FQ50/'Total Value'!$D50-1)</f>
        <v/>
      </c>
      <c r="FR38" s="14" t="str">
        <f ca="1">IF(FR$1="","",'Total Value'!FR50/'Total Value'!$D50-1)</f>
        <v/>
      </c>
      <c r="FS38" s="14" t="str">
        <f ca="1">IF(FS$1="","",'Total Value'!FS50/'Total Value'!$D50-1)</f>
        <v/>
      </c>
      <c r="FT38" s="14" t="str">
        <f ca="1">IF(FT$1="","",'Total Value'!FT50/'Total Value'!$D50-1)</f>
        <v/>
      </c>
      <c r="FU38" s="14" t="str">
        <f ca="1">IF(FU$1="","",'Total Value'!FU50/'Total Value'!$D50-1)</f>
        <v/>
      </c>
      <c r="FV38" s="14" t="str">
        <f ca="1">IF(FV$1="","",'Total Value'!FV50/'Total Value'!$D50-1)</f>
        <v/>
      </c>
      <c r="FW38" s="14" t="str">
        <f ca="1">IF(FW$1="","",'Total Value'!FW50/'Total Value'!$D50-1)</f>
        <v/>
      </c>
      <c r="FX38" s="14" t="str">
        <f ca="1">IF(FX$1="","",'Total Value'!FX50/'Total Value'!$D50-1)</f>
        <v/>
      </c>
      <c r="FY38" s="14" t="str">
        <f ca="1">IF(FY$1="","",'Total Value'!FY50/'Total Value'!$D50-1)</f>
        <v/>
      </c>
      <c r="FZ38" s="14" t="str">
        <f ca="1">IF(FZ$1="","",'Total Value'!FZ50/'Total Value'!$D50-1)</f>
        <v/>
      </c>
      <c r="GA38" s="14" t="str">
        <f ca="1">IF(GA$1="","",'Total Value'!GA50/'Total Value'!$D50-1)</f>
        <v/>
      </c>
      <c r="GB38" s="14" t="str">
        <f ca="1">IF(GB$1="","",'Total Value'!GB50/'Total Value'!$D50-1)</f>
        <v/>
      </c>
      <c r="GC38" s="14" t="str">
        <f ca="1">IF(GC$1="","",'Total Value'!GC50/'Total Value'!$D50-1)</f>
        <v/>
      </c>
      <c r="GD38" s="14" t="str">
        <f ca="1">IF(GD$1="","",'Total Value'!GD50/'Total Value'!$D50-1)</f>
        <v/>
      </c>
      <c r="GE38" s="14" t="str">
        <f ca="1">IF(GE$1="","",'Total Value'!GE50/'Total Value'!$D50-1)</f>
        <v/>
      </c>
      <c r="GF38" s="14" t="str">
        <f ca="1">IF(GF$1="","",'Total Value'!GF50/'Total Value'!$D50-1)</f>
        <v/>
      </c>
      <c r="GG38" s="14" t="str">
        <f ca="1">IF(GG$1="","",'Total Value'!GG50/'Total Value'!$D50-1)</f>
        <v/>
      </c>
      <c r="GH38" s="14" t="str">
        <f ca="1">IF(GH$1="","",'Total Value'!GH50/'Total Value'!$D50-1)</f>
        <v/>
      </c>
      <c r="GI38" s="14" t="str">
        <f ca="1">IF(GI$1="","",'Total Value'!GI50/'Total Value'!$D50-1)</f>
        <v/>
      </c>
      <c r="GJ38" s="14" t="str">
        <f ca="1">IF(GJ$1="","",'Total Value'!GJ50/'Total Value'!$D50-1)</f>
        <v/>
      </c>
      <c r="GK38" s="14" t="str">
        <f ca="1">IF(GK$1="","",'Total Value'!GK50/'Total Value'!$D50-1)</f>
        <v/>
      </c>
      <c r="GL38" s="14" t="str">
        <f ca="1">IF(GL$1="","",'Total Value'!GL50/'Total Value'!$D50-1)</f>
        <v/>
      </c>
      <c r="GM38" s="14" t="str">
        <f ca="1">IF(GM$1="","",'Total Value'!GM50/'Total Value'!$D50-1)</f>
        <v/>
      </c>
      <c r="GN38" s="14" t="str">
        <f ca="1">IF(GN$1="","",'Total Value'!GN50/'Total Value'!$D50-1)</f>
        <v/>
      </c>
      <c r="GO38" s="14" t="str">
        <f ca="1">IF(GO$1="","",'Total Value'!GO50/'Total Value'!$D50-1)</f>
        <v/>
      </c>
      <c r="GP38" s="14" t="str">
        <f ca="1">IF(GP$1="","",'Total Value'!GP50/'Total Value'!$D50-1)</f>
        <v/>
      </c>
      <c r="GQ38" s="14" t="str">
        <f ca="1">IF(GQ$1="","",'Total Value'!GQ50/'Total Value'!$D50-1)</f>
        <v/>
      </c>
      <c r="GR38" s="14" t="str">
        <f ca="1">IF(GR$1="","",'Total Value'!GR50/'Total Value'!$D50-1)</f>
        <v/>
      </c>
      <c r="GS38" s="14" t="str">
        <f ca="1">IF(GS$1="","",'Total Value'!GS50/'Total Value'!$D50-1)</f>
        <v/>
      </c>
      <c r="GT38" s="14" t="str">
        <f ca="1">IF(GT$1="","",'Total Value'!GT50/'Total Value'!$D50-1)</f>
        <v/>
      </c>
      <c r="GU38" s="14" t="str">
        <f ca="1">IF(GU$1="","",'Total Value'!GU50/'Total Value'!$D50-1)</f>
        <v/>
      </c>
      <c r="GV38" s="14" t="str">
        <f ca="1">IF(GV$1="","",'Total Value'!GV50/'Total Value'!$D50-1)</f>
        <v/>
      </c>
      <c r="GW38" s="14" t="str">
        <f ca="1">IF(GW$1="","",'Total Value'!GW50/'Total Value'!$D50-1)</f>
        <v/>
      </c>
      <c r="GX38" s="14" t="str">
        <f ca="1">IF(GX$1="","",'Total Value'!GX50/'Total Value'!$D50-1)</f>
        <v/>
      </c>
      <c r="GY38" s="14" t="str">
        <f ca="1">IF(GY$1="","",'Total Value'!GY50/'Total Value'!$D50-1)</f>
        <v/>
      </c>
      <c r="GZ38" s="14" t="str">
        <f ca="1">IF(GZ$1="","",'Total Value'!GZ50/'Total Value'!$D50-1)</f>
        <v/>
      </c>
      <c r="HA38" s="14" t="str">
        <f ca="1">IF(HA$1="","",'Total Value'!HA50/'Total Value'!$D50-1)</f>
        <v/>
      </c>
      <c r="HB38" s="14" t="str">
        <f ca="1">IF(HB$1="","",'Total Value'!HB50/'Total Value'!$D50-1)</f>
        <v/>
      </c>
      <c r="HC38" s="14" t="str">
        <f ca="1">IF(HC$1="","",'Total Value'!HC50/'Total Value'!$D50-1)</f>
        <v/>
      </c>
      <c r="HD38" s="14" t="str">
        <f ca="1">IF(HD$1="","",'Total Value'!HD50/'Total Value'!$D50-1)</f>
        <v/>
      </c>
      <c r="HE38" s="14" t="str">
        <f ca="1">IF(HE$1="","",'Total Value'!HE50/'Total Value'!$D50-1)</f>
        <v/>
      </c>
      <c r="HF38" s="14" t="str">
        <f ca="1">IF(HF$1="","",'Total Value'!HF50/'Total Value'!$D50-1)</f>
        <v/>
      </c>
      <c r="HG38" s="14" t="str">
        <f ca="1">IF(HG$1="","",'Total Value'!HG50/'Total Value'!$D50-1)</f>
        <v/>
      </c>
      <c r="HH38" s="14" t="str">
        <f ca="1">IF(HH$1="","",'Total Value'!HH50/'Total Value'!$D50-1)</f>
        <v/>
      </c>
      <c r="HI38" s="14" t="str">
        <f ca="1">IF(HI$1="","",'Total Value'!HI50/'Total Value'!$D50-1)</f>
        <v/>
      </c>
      <c r="HJ38" s="14" t="str">
        <f ca="1">IF(HJ$1="","",'Total Value'!HJ50/'Total Value'!$D50-1)</f>
        <v/>
      </c>
      <c r="HK38" s="14" t="str">
        <f ca="1">IF(HK$1="","",'Total Value'!HK50/'Total Value'!$D50-1)</f>
        <v/>
      </c>
      <c r="HL38" s="14" t="str">
        <f ca="1">IF(HL$1="","",'Total Value'!HL50/'Total Value'!$D50-1)</f>
        <v/>
      </c>
      <c r="HM38" s="14" t="str">
        <f ca="1">IF(HM$1="","",'Total Value'!HM50/'Total Value'!$D50-1)</f>
        <v/>
      </c>
      <c r="HN38" s="14" t="str">
        <f ca="1">IF(HN$1="","",'Total Value'!HN50/'Total Value'!$D50-1)</f>
        <v/>
      </c>
      <c r="HO38" s="14" t="str">
        <f ca="1">IF(HO$1="","",'Total Value'!HO50/'Total Value'!$D50-1)</f>
        <v/>
      </c>
      <c r="HP38" s="14" t="str">
        <f ca="1">IF(HP$1="","",'Total Value'!HP50/'Total Value'!$D50-1)</f>
        <v/>
      </c>
      <c r="HQ38" s="14" t="str">
        <f ca="1">IF(HQ$1="","",'Total Value'!HQ50/'Total Value'!$D50-1)</f>
        <v/>
      </c>
      <c r="HR38" s="14" t="str">
        <f ca="1">IF(HR$1="","",'Total Value'!HR50/'Total Value'!$D50-1)</f>
        <v/>
      </c>
      <c r="HS38" s="14" t="str">
        <f ca="1">IF(HS$1="","",'Total Value'!HS50/'Total Value'!$D50-1)</f>
        <v/>
      </c>
      <c r="HT38" s="14" t="str">
        <f ca="1">IF(HT$1="","",'Total Value'!HT50/'Total Value'!$D50-1)</f>
        <v/>
      </c>
      <c r="HU38" s="14" t="str">
        <f ca="1">IF(HU$1="","",'Total Value'!HU50/'Total Value'!$D50-1)</f>
        <v/>
      </c>
      <c r="HV38" s="14" t="str">
        <f ca="1">IF(HV$1="","",'Total Value'!HV50/'Total Value'!$D50-1)</f>
        <v/>
      </c>
      <c r="HW38" s="14" t="str">
        <f ca="1">IF(HW$1="","",'Total Value'!HW50/'Total Value'!$D50-1)</f>
        <v/>
      </c>
      <c r="HX38" s="14" t="str">
        <f ca="1">IF(HX$1="","",'Total Value'!HX50/'Total Value'!$D50-1)</f>
        <v/>
      </c>
      <c r="HY38" s="14" t="str">
        <f ca="1">IF(HY$1="","",'Total Value'!HY50/'Total Value'!$D50-1)</f>
        <v/>
      </c>
      <c r="HZ38" s="14" t="str">
        <f ca="1">IF(HZ$1="","",'Total Value'!HZ50/'Total Value'!$D50-1)</f>
        <v/>
      </c>
      <c r="IA38" s="14" t="str">
        <f ca="1">IF(IA$1="","",'Total Value'!IA50/'Total Value'!$D50-1)</f>
        <v/>
      </c>
      <c r="IB38" s="14" t="str">
        <f ca="1">IF(IB$1="","",'Total Value'!IB50/'Total Value'!$D50-1)</f>
        <v/>
      </c>
      <c r="IC38" s="14" t="str">
        <f ca="1">IF(IC$1="","",'Total Value'!IC50/'Total Value'!$D50-1)</f>
        <v/>
      </c>
      <c r="ID38" s="14" t="str">
        <f ca="1">IF(ID$1="","",'Total Value'!ID50/'Total Value'!$D50-1)</f>
        <v/>
      </c>
      <c r="IE38" s="14" t="str">
        <f ca="1">IF(IE$1="","",'Total Value'!IE50/'Total Value'!$D50-1)</f>
        <v/>
      </c>
      <c r="IF38" s="14" t="str">
        <f ca="1">IF(IF$1="","",'Total Value'!IF50/'Total Value'!$D50-1)</f>
        <v/>
      </c>
      <c r="IG38" s="14" t="str">
        <f ca="1">IF(IG$1="","",'Total Value'!IG50/'Total Value'!$D50-1)</f>
        <v/>
      </c>
      <c r="IH38" s="14" t="str">
        <f ca="1">IF(IH$1="","",'Total Value'!IH50/'Total Value'!$D50-1)</f>
        <v/>
      </c>
      <c r="II38" s="14" t="str">
        <f ca="1">IF(II$1="","",'Total Value'!II50/'Total Value'!$D50-1)</f>
        <v/>
      </c>
      <c r="IJ38" s="14" t="str">
        <f ca="1">IF(IJ$1="","",'Total Value'!IJ50/'Total Value'!$D50-1)</f>
        <v/>
      </c>
      <c r="IK38" s="14" t="str">
        <f ca="1">IF(IK$1="","",'Total Value'!IK50/'Total Value'!$D50-1)</f>
        <v/>
      </c>
      <c r="IL38" s="14" t="str">
        <f ca="1">IF(IL$1="","",'Total Value'!IL50/'Total Value'!$D50-1)</f>
        <v/>
      </c>
      <c r="IM38" s="14" t="str">
        <f ca="1">IF(IM$1="","",'Total Value'!IM50/'Total Value'!$D50-1)</f>
        <v/>
      </c>
      <c r="IN38" s="14" t="str">
        <f ca="1">IF(IN$1="","",'Total Value'!IN50/'Total Value'!$D50-1)</f>
        <v/>
      </c>
      <c r="IO38" s="14" t="str">
        <f ca="1">IF(IO$1="","",'Total Value'!IO50/'Total Value'!$D50-1)</f>
        <v/>
      </c>
      <c r="IP38" s="14" t="str">
        <f ca="1">IF(IP$1="","",'Total Value'!IP50/'Total Value'!$D50-1)</f>
        <v/>
      </c>
      <c r="IQ38" s="14" t="str">
        <f ca="1">IF(IQ$1="","",'Total Value'!IQ50/'Total Value'!$D50-1)</f>
        <v/>
      </c>
      <c r="IR38" s="14" t="str">
        <f ca="1">IF(IR$1="","",'Total Value'!IR50/'Total Value'!$D50-1)</f>
        <v/>
      </c>
      <c r="IS38" s="14" t="str">
        <f ca="1">IF(IS$1="","",'Total Value'!IS50/'Total Value'!$D50-1)</f>
        <v/>
      </c>
      <c r="IT38" s="14" t="str">
        <f ca="1">IF(IT$1="","",'Total Value'!IT50/'Total Value'!$D50-1)</f>
        <v/>
      </c>
      <c r="IU38" s="14" t="str">
        <f ca="1">IF(IU$1="","",'Total Value'!IU50/'Total Value'!$D50-1)</f>
        <v/>
      </c>
      <c r="IV38" s="14" t="str">
        <f ca="1">IF(IV$1="","",'Total Value'!IV50/'Total Value'!$D50-1)</f>
        <v/>
      </c>
      <c r="IW38" s="14" t="str">
        <f ca="1">IF(IW$1="","",'Total Value'!IW50/'Total Value'!$D50-1)</f>
        <v/>
      </c>
      <c r="IX38" s="14" t="str">
        <f ca="1">IF(IX$1="","",'Total Value'!IX50/'Total Value'!$D50-1)</f>
        <v/>
      </c>
      <c r="IY38" s="14" t="str">
        <f ca="1">IF(IY$1="","",'Total Value'!IY50/'Total Value'!$D50-1)</f>
        <v/>
      </c>
      <c r="IZ38" s="14" t="str">
        <f ca="1">IF(IZ$1="","",'Total Value'!IZ50/'Total Value'!$D50-1)</f>
        <v/>
      </c>
      <c r="JA38" s="14" t="str">
        <f ca="1">IF(JA$1="","",'Total Value'!JA50/'Total Value'!$D50-1)</f>
        <v/>
      </c>
      <c r="JB38" s="14" t="str">
        <f ca="1">IF(JB$1="","",'Total Value'!JB50/'Total Value'!$D50-1)</f>
        <v/>
      </c>
      <c r="JC38" s="14" t="str">
        <f ca="1">IF(JC$1="","",'Total Value'!JC50/'Total Value'!$D50-1)</f>
        <v/>
      </c>
      <c r="JD38" s="14" t="str">
        <f ca="1">IF(JD$1="","",'Total Value'!JD50/'Total Value'!$D50-1)</f>
        <v/>
      </c>
      <c r="JE38" s="14" t="str">
        <f ca="1">IF(JE$1="","",'Total Value'!JE50/'Total Value'!$D50-1)</f>
        <v/>
      </c>
      <c r="JF38" s="14" t="str">
        <f ca="1">IF(JF$1="","",'Total Value'!JF50/'Total Value'!$D50-1)</f>
        <v/>
      </c>
      <c r="JG38" s="14" t="str">
        <f ca="1">IF(JG$1="","",'Total Value'!JG50/'Total Value'!$D50-1)</f>
        <v/>
      </c>
      <c r="JH38" s="14" t="str">
        <f ca="1">IF(JH$1="","",'Total Value'!JH50/'Total Value'!$D50-1)</f>
        <v/>
      </c>
      <c r="JI38" s="14" t="str">
        <f ca="1">IF(JI$1="","",'Total Value'!JI50/'Total Value'!$D50-1)</f>
        <v/>
      </c>
      <c r="JJ38" s="14" t="str">
        <f ca="1">IF(JJ$1="","",'Total Value'!JJ50/'Total Value'!$D50-1)</f>
        <v/>
      </c>
      <c r="JK38" s="14" t="str">
        <f ca="1">IF(JK$1="","",'Total Value'!JK50/'Total Value'!$D50-1)</f>
        <v/>
      </c>
      <c r="JL38" s="14" t="str">
        <f ca="1">IF(JL$1="","",'Total Value'!JL50/'Total Value'!$D50-1)</f>
        <v/>
      </c>
      <c r="JM38" s="14" t="str">
        <f ca="1">IF(JM$1="","",'Total Value'!JM50/'Total Value'!$D50-1)</f>
        <v/>
      </c>
      <c r="JN38" s="14" t="str">
        <f ca="1">IF(JN$1="","",'Total Value'!JN50/'Total Value'!$D50-1)</f>
        <v/>
      </c>
      <c r="JO38" s="14" t="str">
        <f ca="1">IF(JO$1="","",'Total Value'!JO50/'Total Value'!$D50-1)</f>
        <v/>
      </c>
      <c r="JP38" s="14" t="str">
        <f ca="1">IF(JP$1="","",'Total Value'!JP50/'Total Value'!$D50-1)</f>
        <v/>
      </c>
      <c r="JQ38" s="14" t="str">
        <f ca="1">IF(JQ$1="","",'Total Value'!JQ50/'Total Value'!$D50-1)</f>
        <v/>
      </c>
      <c r="JR38" s="14" t="str">
        <f ca="1">IF(JR$1="","",'Total Value'!JR50/'Total Value'!$D50-1)</f>
        <v/>
      </c>
      <c r="JS38" s="14" t="str">
        <f ca="1">IF(JS$1="","",'Total Value'!JS50/'Total Value'!$D50-1)</f>
        <v/>
      </c>
      <c r="JT38" s="14" t="str">
        <f ca="1">IF(JT$1="","",'Total Value'!JT50/'Total Value'!$D50-1)</f>
        <v/>
      </c>
      <c r="JU38" s="14" t="str">
        <f ca="1">IF(JU$1="","",'Total Value'!JU50/'Total Value'!$D50-1)</f>
        <v/>
      </c>
      <c r="JV38" s="14" t="str">
        <f ca="1">IF(JV$1="","",'Total Value'!JV50/'Total Value'!$D50-1)</f>
        <v/>
      </c>
      <c r="JW38" s="14" t="str">
        <f ca="1">IF(JW$1="","",'Total Value'!JW50/'Total Value'!$D50-1)</f>
        <v/>
      </c>
      <c r="JX38" s="14" t="str">
        <f ca="1">IF(JX$1="","",'Total Value'!JX50/'Total Value'!$D50-1)</f>
        <v/>
      </c>
      <c r="JY38" s="14" t="str">
        <f ca="1">IF(JY$1="","",'Total Value'!JY50/'Total Value'!$D50-1)</f>
        <v/>
      </c>
      <c r="JZ38" s="14" t="str">
        <f ca="1">IF(JZ$1="","",'Total Value'!JZ50/'Total Value'!$D50-1)</f>
        <v/>
      </c>
      <c r="KA38" s="14" t="str">
        <f ca="1">IF(KA$1="","",'Total Value'!KA50/'Total Value'!$D50-1)</f>
        <v/>
      </c>
      <c r="KB38" s="14" t="str">
        <f ca="1">IF(KB$1="","",'Total Value'!KB50/'Total Value'!$D50-1)</f>
        <v/>
      </c>
    </row>
    <row r="39" spans="1:288" ht="15.75" customHeight="1">
      <c r="A39" s="9" t="s">
        <v>30</v>
      </c>
      <c r="B39" s="6" t="s">
        <v>33</v>
      </c>
      <c r="C39" s="26">
        <v>18</v>
      </c>
      <c r="D39" s="13">
        <v>0</v>
      </c>
      <c r="E39" s="14">
        <f ca="1">IF(E$1="","",'Total Value'!E51/'Total Value'!$D51-1)</f>
        <v>2.5767336112163752E-2</v>
      </c>
      <c r="F39" s="14">
        <f ca="1">IF(F$1="","",'Total Value'!F51/'Total Value'!$D51-1)</f>
        <v>2.2356953391436063E-2</v>
      </c>
      <c r="G39" s="14">
        <f ca="1">IF(G$1="","",'Total Value'!G51/'Total Value'!$D51-1)</f>
        <v>4.1682455475560154E-3</v>
      </c>
      <c r="H39" s="14">
        <f ca="1">IF(H$1="","",'Total Value'!H51/'Total Value'!$D51-1)</f>
        <v>3.4103827207275561E-2</v>
      </c>
      <c r="I39" s="14">
        <f ca="1">IF(I$1="","",'Total Value'!I51/'Total Value'!$D51-1)</f>
        <v>-5.6839712012125565E-3</v>
      </c>
      <c r="J39" s="14">
        <f ca="1">IF(J$1="","",'Total Value'!J51/'Total Value'!$D51-1)</f>
        <v>-1.8567639257294433E-2</v>
      </c>
      <c r="K39" s="14">
        <f ca="1">IF(K$1="","",'Total Value'!K51/'Total Value'!$D51-1)</f>
        <v>-2.0083364910951085E-2</v>
      </c>
      <c r="L39" s="14">
        <f ca="1">IF(L$1="","",'Total Value'!L51/'Total Value'!$D51-1)</f>
        <v>-4.3956043956043911E-2</v>
      </c>
      <c r="M39" s="14">
        <f ca="1">IF(M$1="","",'Total Value'!M51/'Total Value'!$D51-1)</f>
        <v>-1.5536187949981017E-2</v>
      </c>
      <c r="N39" s="14">
        <f ca="1">IF(N$1="","",'Total Value'!N51/'Total Value'!$D51-1)</f>
        <v>-5.0776809397498956E-2</v>
      </c>
      <c r="O39" s="14">
        <f ca="1">IF(O$1="","",'Total Value'!O51/'Total Value'!$D51-1)</f>
        <v>-6.1765820386510017E-2</v>
      </c>
      <c r="P39" s="14">
        <f ca="1">IF(P$1="","",'Total Value'!P51/'Total Value'!$D51-1)</f>
        <v>-7.9954528230390176E-2</v>
      </c>
      <c r="Q39" s="14">
        <f ca="1">IF(Q$1="","",'Total Value'!Q51/'Total Value'!$D51-1)</f>
        <v>-6.1386888973095854E-2</v>
      </c>
      <c r="R39" s="14">
        <f ca="1">IF(R$1="","",'Total Value'!R51/'Total Value'!$D51-1)</f>
        <v>-3.7135278514588865E-2</v>
      </c>
      <c r="S39" s="14">
        <f ca="1">IF(S$1="","",'Total Value'!S51/'Total Value'!$D51-1)</f>
        <v>-1.818870784388027E-2</v>
      </c>
      <c r="T39" s="14">
        <f ca="1">IF(T$1="","",'Total Value'!T51/'Total Value'!$D51-1)</f>
        <v>-9.0943539219401348E-3</v>
      </c>
      <c r="U39" s="14">
        <f ca="1">IF(U$1="","",'Total Value'!U51/'Total Value'!$D51-1)</f>
        <v>-1.0231148162182513E-2</v>
      </c>
      <c r="V39" s="14">
        <f ca="1">IF(V$1="","",'Total Value'!V51/'Total Value'!$D51-1)</f>
        <v>6.4418340280409936E-3</v>
      </c>
      <c r="W39" s="14">
        <f ca="1">IF(W$1="","",'Total Value'!W51/'Total Value'!$D51-1)</f>
        <v>8.3364910951118087E-3</v>
      </c>
      <c r="X39" s="14">
        <f ca="1">IF(X$1="","",'Total Value'!X51/'Total Value'!$D51-1)</f>
        <v>4.0545661235316555E-2</v>
      </c>
      <c r="Y39" s="14">
        <f ca="1">IF(Y$1="","",'Total Value'!Y51/'Total Value'!$D51-1)</f>
        <v>6.0629026146267639E-2</v>
      </c>
      <c r="Z39" s="14">
        <f ca="1">IF(Z$1="","",'Total Value'!Z51/'Total Value'!$D51-1)</f>
        <v>5.1534672224327505E-2</v>
      </c>
      <c r="AA39" s="14">
        <f ca="1">IF(AA$1="","",'Total Value'!AA51/'Total Value'!$D51-1)</f>
        <v>7.8817733990147909E-2</v>
      </c>
      <c r="AB39" s="14">
        <f ca="1">IF(AB$1="","",'Total Value'!AB51/'Total Value'!$D51-1)</f>
        <v>7.768093974990542E-2</v>
      </c>
      <c r="AC39" s="14">
        <f ca="1">IF(AC$1="","",'Total Value'!AC51/'Total Value'!$D51-1)</f>
        <v>0.10041682455475565</v>
      </c>
      <c r="AD39" s="14">
        <f ca="1">IF(AD$1="","",'Total Value'!AD51/'Total Value'!$D51-1)</f>
        <v>0.13111026904130374</v>
      </c>
      <c r="AE39" s="14">
        <f ca="1">IF(AE$1="","",'Total Value'!AE51/'Total Value'!$D51-1)</f>
        <v>0.13224706328154623</v>
      </c>
      <c r="AF39" s="14">
        <f ca="1">IF(AF$1="","",'Total Value'!AF51/'Total Value'!$D51-1)</f>
        <v>9.3217127699886548E-2</v>
      </c>
      <c r="AG39" s="14">
        <f ca="1">IF(AG$1="","",'Total Value'!AG51/'Total Value'!$D51-1)</f>
        <v>9.7006441834028179E-2</v>
      </c>
      <c r="AH39" s="14">
        <f ca="1">IF(AH$1="","",'Total Value'!AH51/'Total Value'!$D51-1)</f>
        <v>9.3596059113300489E-2</v>
      </c>
      <c r="AI39" s="14">
        <f ca="1">IF(AI$1="","",'Total Value'!AI51/'Total Value'!$D51-1)</f>
        <v>0.52140962485790054</v>
      </c>
      <c r="AJ39" s="14">
        <f ca="1">IF(AJ$1="","",'Total Value'!AJ51/'Total Value'!$D51-1)</f>
        <v>0.76695718075028441</v>
      </c>
      <c r="AK39" s="14">
        <f ca="1">IF(AK$1="","",'Total Value'!AK51/'Total Value'!$D51-1)</f>
        <v>0.8120500189465707</v>
      </c>
      <c r="AL39" s="14">
        <f ca="1">IF(AL$1="","",'Total Value'!AL51/'Total Value'!$D51-1)</f>
        <v>0.86244789693065549</v>
      </c>
      <c r="AM39" s="14">
        <f ca="1">IF(AM$1="","",'Total Value'!AM51/'Total Value'!$D51-1)</f>
        <v>0.98560060629026136</v>
      </c>
      <c r="AN39" s="14">
        <f ca="1">IF(AN$1="","",'Total Value'!AN51/'Total Value'!$D51-1)</f>
        <v>0.89200454717696109</v>
      </c>
      <c r="AO39" s="14">
        <f ca="1">IF(AO$1="","",'Total Value'!AO51/'Total Value'!$D51-1)</f>
        <v>0.98181129215611973</v>
      </c>
      <c r="AP39" s="14">
        <f ca="1">IF(AP$1="","",'Total Value'!AP51/'Total Value'!$D51-1)</f>
        <v>0.96172792724516865</v>
      </c>
      <c r="AQ39" s="14">
        <f ca="1">IF(AQ$1="","",'Total Value'!AQ51/'Total Value'!$D51-1)</f>
        <v>0.92535051155740833</v>
      </c>
      <c r="AR39" s="14">
        <f ca="1">IF(AR$1="","",'Total Value'!AR51/'Total Value'!$D51-1)</f>
        <v>0.98976885183781738</v>
      </c>
      <c r="AS39" s="14">
        <f ca="1">IF(AS$1="","",'Total Value'!AS51/'Total Value'!$D51-1)</f>
        <v>0.96779082985979548</v>
      </c>
      <c r="AT39" s="14">
        <f ca="1">IF(AT$1="","",'Total Value'!AT51/'Total Value'!$D51-1)</f>
        <v>0.96362258431223946</v>
      </c>
      <c r="AU39" s="14">
        <f ca="1">IF(AU$1="","",'Total Value'!AU51/'Total Value'!$D51-1)</f>
        <v>0.88973095869647589</v>
      </c>
      <c r="AV39" s="14">
        <f ca="1">IF(AV$1="","",'Total Value'!AV51/'Total Value'!$D51-1)</f>
        <v>0.99204244031830235</v>
      </c>
      <c r="AW39" s="14">
        <f ca="1">IF(AW$1="","",'Total Value'!AW51/'Total Value'!$D51-1)</f>
        <v>1.0833649109511181</v>
      </c>
      <c r="AX39" s="14">
        <f ca="1">IF(AX$1="","",'Total Value'!AX51/'Total Value'!$D51-1)</f>
        <v>1.0822281167108754</v>
      </c>
      <c r="AY39" s="14">
        <f ca="1">IF(AY$1="","",'Total Value'!AY51/'Total Value'!$D51-1)</f>
        <v>1.0829859795377037</v>
      </c>
      <c r="AZ39" s="14">
        <f ca="1">IF(AZ$1="","",'Total Value'!AZ51/'Total Value'!$D51-1)</f>
        <v>1.0932171276998863</v>
      </c>
      <c r="BA39" s="14">
        <f ca="1">IF(BA$1="","",'Total Value'!BA51/'Total Value'!$D51-1)</f>
        <v>1.1102690413035239</v>
      </c>
      <c r="BB39" s="14">
        <f ca="1">IF(BB$1="","",'Total Value'!BB51/'Total Value'!$D51-1)</f>
        <v>1.103069344448655</v>
      </c>
      <c r="BC39" s="14">
        <f ca="1">IF(BC$1="","",'Total Value'!BC51/'Total Value'!$D51-1)</f>
        <v>0.92989768851837828</v>
      </c>
      <c r="BD39" s="14">
        <f ca="1">IF(BD$1="","",'Total Value'!BD51/'Total Value'!$D51-1)</f>
        <v>0.89086775293671838</v>
      </c>
      <c r="BE39" s="14">
        <f ca="1">IF(BE$1="","",'Total Value'!BE51/'Total Value'!$D51-1)</f>
        <v>0.97991663508904892</v>
      </c>
      <c r="BF39" s="14">
        <f ca="1">IF(BF$1="","",'Total Value'!BF51/'Total Value'!$D51-1)</f>
        <v>1.1462675255778705</v>
      </c>
      <c r="BG39" s="14">
        <f ca="1">IF(BG$1="","",'Total Value'!BG51/'Total Value'!$D51-1)</f>
        <v>1.1182266009852215</v>
      </c>
      <c r="BH39" s="14">
        <f ca="1">IF(BH$1="","",'Total Value'!BH51/'Total Value'!$D51-1)</f>
        <v>1.0958696475937857</v>
      </c>
      <c r="BI39" s="14">
        <f ca="1">IF(BI$1="","",'Total Value'!BI51/'Total Value'!$D51-1)</f>
        <v>1.2114437286851083</v>
      </c>
      <c r="BJ39" s="14">
        <f ca="1">IF(BJ$1="","",'Total Value'!BJ51/'Total Value'!$D51-1)</f>
        <v>1.1489200454717698</v>
      </c>
      <c r="BK39" s="14">
        <f ca="1">IF(BK$1="","",'Total Value'!BK51/'Total Value'!$D51-1)</f>
        <v>1.1727927245168628</v>
      </c>
      <c r="BL39" s="14">
        <f ca="1">IF(BL$1="","",'Total Value'!BL51/'Total Value'!$D51-1)</f>
        <v>1.2190223569533916</v>
      </c>
      <c r="BM39" s="14">
        <f ca="1">IF(BM$1="","",'Total Value'!BM51/'Total Value'!$D51-1)</f>
        <v>1.2584312239484654</v>
      </c>
      <c r="BN39" s="14">
        <f ca="1">IF(BN$1="","",'Total Value'!BN51/'Total Value'!$D51-1)</f>
        <v>1.2807881773399017</v>
      </c>
      <c r="BO39" s="14">
        <f ca="1">IF(BO$1="","",'Total Value'!BO51/'Total Value'!$D51-1)</f>
        <v>1.2250852595680182</v>
      </c>
      <c r="BP39" s="14">
        <f ca="1">IF(BP$1="","",'Total Value'!BP51/'Total Value'!$D51-1)</f>
        <v>1.1940128836680564</v>
      </c>
      <c r="BQ39" s="14">
        <f ca="1">IF(BQ$1="","",'Total Value'!BQ51/'Total Value'!$D51-1)</f>
        <v>1.253884046987495</v>
      </c>
      <c r="BR39" s="14">
        <f ca="1">IF(BR$1="","",'Total Value'!BR51/'Total Value'!$D51-1)</f>
        <v>1.2841985600606289</v>
      </c>
      <c r="BS39" s="14">
        <f ca="1">IF(BS$1="","",'Total Value'!BS51/'Total Value'!$D51-1)</f>
        <v>1.3031451307313375</v>
      </c>
      <c r="BT39" s="14">
        <f ca="1">IF(BT$1="","",'Total Value'!BT51/'Total Value'!$D51-1)</f>
        <v>1.3277756726032588</v>
      </c>
      <c r="BU39" s="14">
        <f ca="1">IF(BU$1="","",'Total Value'!BU51/'Total Value'!$D51-1)</f>
        <v>1.4160666919287612</v>
      </c>
      <c r="BV39" s="14">
        <f ca="1">IF(BV$1="","",'Total Value'!BV51/'Total Value'!$D51-1)</f>
        <v>1.2482000757862828</v>
      </c>
      <c r="BW39" s="14">
        <f ca="1">IF(BW$1="","",'Total Value'!BW51/'Total Value'!$D51-1)</f>
        <v>1.2103069344448656</v>
      </c>
      <c r="BX39" s="14">
        <f ca="1">IF(BX$1="","",'Total Value'!BX51/'Total Value'!$D51-1)</f>
        <v>1.2391057218643429</v>
      </c>
      <c r="BY39" s="14">
        <f ca="1">IF(BY$1="","",'Total Value'!BY51/'Total Value'!$D51-1)</f>
        <v>1.1974232663887836</v>
      </c>
      <c r="BZ39" s="14">
        <f ca="1">IF(BZ$1="","",'Total Value'!BZ51/'Total Value'!$D51-1)</f>
        <v>1.2042440318302385</v>
      </c>
      <c r="CA39" s="14">
        <f ca="1">IF(CA$1="","",'Total Value'!CA51/'Total Value'!$D51-1)</f>
        <v>1.2402425161045847</v>
      </c>
      <c r="CB39" s="14">
        <f ca="1">IF(CB$1="","",'Total Value'!CB51/'Total Value'!$D51-1)</f>
        <v>1.5164835164835164</v>
      </c>
      <c r="CC39" s="14">
        <f ca="1">IF(CC$1="","",'Total Value'!CC51/'Total Value'!$D51-1)</f>
        <v>1.4994316028798789</v>
      </c>
      <c r="CD39" s="14">
        <f ca="1">IF(CD$1="","",'Total Value'!CD51/'Total Value'!$D51-1)</f>
        <v>1.4876847290640396</v>
      </c>
      <c r="CE39" s="14">
        <f ca="1">IF(CE$1="","",'Total Value'!CE51/'Total Value'!$D51-1)</f>
        <v>1.5255778704054568</v>
      </c>
      <c r="CF39" s="14" t="str">
        <f ca="1">IF(CF$1="","",'Total Value'!CF51/'Total Value'!$D51-1)</f>
        <v/>
      </c>
      <c r="CG39" s="14" t="str">
        <f ca="1">IF(CG$1="","",'Total Value'!CG51/'Total Value'!$D51-1)</f>
        <v/>
      </c>
      <c r="CH39" s="14" t="str">
        <f ca="1">IF(CH$1="","",'Total Value'!CH51/'Total Value'!$D51-1)</f>
        <v/>
      </c>
      <c r="CI39" s="14" t="str">
        <f ca="1">IF(CI$1="","",'Total Value'!CI51/'Total Value'!$D51-1)</f>
        <v/>
      </c>
      <c r="CJ39" s="14" t="str">
        <f ca="1">IF(CJ$1="","",'Total Value'!CJ51/'Total Value'!$D51-1)</f>
        <v/>
      </c>
      <c r="CK39" s="14" t="str">
        <f ca="1">IF(CK$1="","",'Total Value'!CK51/'Total Value'!$D51-1)</f>
        <v/>
      </c>
      <c r="CL39" s="14" t="str">
        <f ca="1">IF(CL$1="","",'Total Value'!CL51/'Total Value'!$D51-1)</f>
        <v/>
      </c>
      <c r="CM39" s="14" t="str">
        <f ca="1">IF(CM$1="","",'Total Value'!CM51/'Total Value'!$D51-1)</f>
        <v/>
      </c>
      <c r="CN39" s="14" t="str">
        <f ca="1">IF(CN$1="","",'Total Value'!CN51/'Total Value'!$D51-1)</f>
        <v/>
      </c>
      <c r="CO39" s="14" t="str">
        <f ca="1">IF(CO$1="","",'Total Value'!CO51/'Total Value'!$D51-1)</f>
        <v/>
      </c>
      <c r="CP39" s="14" t="str">
        <f ca="1">IF(CP$1="","",'Total Value'!CP51/'Total Value'!$D51-1)</f>
        <v/>
      </c>
      <c r="CQ39" s="14" t="str">
        <f ca="1">IF(CQ$1="","",'Total Value'!CQ51/'Total Value'!$D51-1)</f>
        <v/>
      </c>
      <c r="CR39" s="14" t="str">
        <f ca="1">IF(CR$1="","",'Total Value'!CR51/'Total Value'!$D51-1)</f>
        <v/>
      </c>
      <c r="CS39" s="14" t="str">
        <f ca="1">IF(CS$1="","",'Total Value'!CS51/'Total Value'!$D51-1)</f>
        <v/>
      </c>
      <c r="CT39" s="14" t="str">
        <f ca="1">IF(CT$1="","",'Total Value'!CT51/'Total Value'!$D51-1)</f>
        <v/>
      </c>
      <c r="CU39" s="14" t="str">
        <f ca="1">IF(CU$1="","",'Total Value'!CU51/'Total Value'!$D51-1)</f>
        <v/>
      </c>
      <c r="CV39" s="14" t="str">
        <f ca="1">IF(CV$1="","",'Total Value'!CV51/'Total Value'!$D51-1)</f>
        <v/>
      </c>
      <c r="CW39" s="14" t="str">
        <f ca="1">IF(CW$1="","",'Total Value'!CW51/'Total Value'!$D51-1)</f>
        <v/>
      </c>
      <c r="CX39" s="14" t="str">
        <f ca="1">IF(CX$1="","",'Total Value'!CX51/'Total Value'!$D51-1)</f>
        <v/>
      </c>
      <c r="CY39" s="14" t="str">
        <f ca="1">IF(CY$1="","",'Total Value'!CY51/'Total Value'!$D51-1)</f>
        <v/>
      </c>
      <c r="CZ39" s="14" t="str">
        <f ca="1">IF(CZ$1="","",'Total Value'!CZ51/'Total Value'!$D51-1)</f>
        <v/>
      </c>
      <c r="DA39" s="14" t="str">
        <f ca="1">IF(DA$1="","",'Total Value'!DA51/'Total Value'!$D51-1)</f>
        <v/>
      </c>
      <c r="DB39" s="14" t="str">
        <f ca="1">IF(DB$1="","",'Total Value'!DB51/'Total Value'!$D51-1)</f>
        <v/>
      </c>
      <c r="DC39" s="14" t="str">
        <f ca="1">IF(DC$1="","",'Total Value'!DC51/'Total Value'!$D51-1)</f>
        <v/>
      </c>
      <c r="DD39" s="14" t="str">
        <f ca="1">IF(DD$1="","",'Total Value'!DD51/'Total Value'!$D51-1)</f>
        <v/>
      </c>
      <c r="DE39" s="14" t="str">
        <f ca="1">IF(DE$1="","",'Total Value'!DE51/'Total Value'!$D51-1)</f>
        <v/>
      </c>
      <c r="DF39" s="14" t="str">
        <f ca="1">IF(DF$1="","",'Total Value'!DF51/'Total Value'!$D51-1)</f>
        <v/>
      </c>
      <c r="DG39" s="14" t="str">
        <f ca="1">IF(DG$1="","",'Total Value'!DG51/'Total Value'!$D51-1)</f>
        <v/>
      </c>
      <c r="DH39" s="14" t="str">
        <f ca="1">IF(DH$1="","",'Total Value'!DH51/'Total Value'!$D51-1)</f>
        <v/>
      </c>
      <c r="DI39" s="14" t="str">
        <f ca="1">IF(DI$1="","",'Total Value'!DI51/'Total Value'!$D51-1)</f>
        <v/>
      </c>
      <c r="DJ39" s="14" t="str">
        <f ca="1">IF(DJ$1="","",'Total Value'!DJ51/'Total Value'!$D51-1)</f>
        <v/>
      </c>
      <c r="DK39" s="14" t="str">
        <f ca="1">IF(DK$1="","",'Total Value'!DK51/'Total Value'!$D51-1)</f>
        <v/>
      </c>
      <c r="DL39" s="14" t="str">
        <f ca="1">IF(DL$1="","",'Total Value'!DL51/'Total Value'!$D51-1)</f>
        <v/>
      </c>
      <c r="DM39" s="14" t="str">
        <f ca="1">IF(DM$1="","",'Total Value'!DM51/'Total Value'!$D51-1)</f>
        <v/>
      </c>
      <c r="DN39" s="14" t="str">
        <f ca="1">IF(DN$1="","",'Total Value'!DN51/'Total Value'!$D51-1)</f>
        <v/>
      </c>
      <c r="DO39" s="14" t="str">
        <f ca="1">IF(DO$1="","",'Total Value'!DO51/'Total Value'!$D51-1)</f>
        <v/>
      </c>
      <c r="DP39" s="14" t="str">
        <f ca="1">IF(DP$1="","",'Total Value'!DP51/'Total Value'!$D51-1)</f>
        <v/>
      </c>
      <c r="DQ39" s="14" t="str">
        <f ca="1">IF(DQ$1="","",'Total Value'!DQ51/'Total Value'!$D51-1)</f>
        <v/>
      </c>
      <c r="DR39" s="14" t="str">
        <f ca="1">IF(DR$1="","",'Total Value'!DR51/'Total Value'!$D51-1)</f>
        <v/>
      </c>
      <c r="DS39" s="14" t="str">
        <f ca="1">IF(DS$1="","",'Total Value'!DS51/'Total Value'!$D51-1)</f>
        <v/>
      </c>
      <c r="DT39" s="14" t="str">
        <f ca="1">IF(DT$1="","",'Total Value'!DT51/'Total Value'!$D51-1)</f>
        <v/>
      </c>
      <c r="DU39" s="14" t="str">
        <f ca="1">IF(DU$1="","",'Total Value'!DU51/'Total Value'!$D51-1)</f>
        <v/>
      </c>
      <c r="DV39" s="14" t="str">
        <f ca="1">IF(DV$1="","",'Total Value'!DV51/'Total Value'!$D51-1)</f>
        <v/>
      </c>
      <c r="DW39" s="14" t="str">
        <f ca="1">IF(DW$1="","",'Total Value'!DW51/'Total Value'!$D51-1)</f>
        <v/>
      </c>
      <c r="DX39" s="14" t="str">
        <f ca="1">IF(DX$1="","",'Total Value'!DX51/'Total Value'!$D51-1)</f>
        <v/>
      </c>
      <c r="DY39" s="14" t="str">
        <f ca="1">IF(DY$1="","",'Total Value'!DY51/'Total Value'!$D51-1)</f>
        <v/>
      </c>
      <c r="DZ39" s="14" t="str">
        <f ca="1">IF(DZ$1="","",'Total Value'!DZ51/'Total Value'!$D51-1)</f>
        <v/>
      </c>
      <c r="EA39" s="14" t="str">
        <f ca="1">IF(EA$1="","",'Total Value'!EA51/'Total Value'!$D51-1)</f>
        <v/>
      </c>
      <c r="EB39" s="14" t="str">
        <f ca="1">IF(EB$1="","",'Total Value'!EB51/'Total Value'!$D51-1)</f>
        <v/>
      </c>
      <c r="EC39" s="14" t="str">
        <f ca="1">IF(EC$1="","",'Total Value'!EC51/'Total Value'!$D51-1)</f>
        <v/>
      </c>
      <c r="ED39" s="14" t="str">
        <f ca="1">IF(ED$1="","",'Total Value'!ED51/'Total Value'!$D51-1)</f>
        <v/>
      </c>
      <c r="EE39" s="14" t="str">
        <f ca="1">IF(EE$1="","",'Total Value'!EE51/'Total Value'!$D51-1)</f>
        <v/>
      </c>
      <c r="EF39" s="14" t="str">
        <f ca="1">IF(EF$1="","",'Total Value'!EF51/'Total Value'!$D51-1)</f>
        <v/>
      </c>
      <c r="EG39" s="14" t="str">
        <f ca="1">IF(EG$1="","",'Total Value'!EG51/'Total Value'!$D51-1)</f>
        <v/>
      </c>
      <c r="EH39" s="14" t="str">
        <f ca="1">IF(EH$1="","",'Total Value'!EH51/'Total Value'!$D51-1)</f>
        <v/>
      </c>
      <c r="EI39" s="14" t="str">
        <f ca="1">IF(EI$1="","",'Total Value'!EI51/'Total Value'!$D51-1)</f>
        <v/>
      </c>
      <c r="EJ39" s="14" t="str">
        <f ca="1">IF(EJ$1="","",'Total Value'!EJ51/'Total Value'!$D51-1)</f>
        <v/>
      </c>
      <c r="EK39" s="14" t="str">
        <f ca="1">IF(EK$1="","",'Total Value'!EK51/'Total Value'!$D51-1)</f>
        <v/>
      </c>
      <c r="EL39" s="14" t="str">
        <f ca="1">IF(EL$1="","",'Total Value'!EL51/'Total Value'!$D51-1)</f>
        <v/>
      </c>
      <c r="EM39" s="14" t="str">
        <f ca="1">IF(EM$1="","",'Total Value'!EM51/'Total Value'!$D51-1)</f>
        <v/>
      </c>
      <c r="EN39" s="14" t="str">
        <f ca="1">IF(EN$1="","",'Total Value'!EN51/'Total Value'!$D51-1)</f>
        <v/>
      </c>
      <c r="EO39" s="14" t="str">
        <f ca="1">IF(EO$1="","",'Total Value'!EO51/'Total Value'!$D51-1)</f>
        <v/>
      </c>
      <c r="EP39" s="14" t="str">
        <f ca="1">IF(EP$1="","",'Total Value'!EP51/'Total Value'!$D51-1)</f>
        <v/>
      </c>
      <c r="EQ39" s="14" t="str">
        <f ca="1">IF(EQ$1="","",'Total Value'!EQ51/'Total Value'!$D51-1)</f>
        <v/>
      </c>
      <c r="ER39" s="14" t="str">
        <f ca="1">IF(ER$1="","",'Total Value'!ER51/'Total Value'!$D51-1)</f>
        <v/>
      </c>
      <c r="ES39" s="14" t="str">
        <f ca="1">IF(ES$1="","",'Total Value'!ES51/'Total Value'!$D51-1)</f>
        <v/>
      </c>
      <c r="ET39" s="14" t="str">
        <f ca="1">IF(ET$1="","",'Total Value'!ET51/'Total Value'!$D51-1)</f>
        <v/>
      </c>
      <c r="EU39" s="14" t="str">
        <f ca="1">IF(EU$1="","",'Total Value'!EU51/'Total Value'!$D51-1)</f>
        <v/>
      </c>
      <c r="EV39" s="14" t="str">
        <f ca="1">IF(EV$1="","",'Total Value'!EV51/'Total Value'!$D51-1)</f>
        <v/>
      </c>
      <c r="EW39" s="14" t="str">
        <f ca="1">IF(EW$1="","",'Total Value'!EW51/'Total Value'!$D51-1)</f>
        <v/>
      </c>
      <c r="EX39" s="14" t="str">
        <f ca="1">IF(EX$1="","",'Total Value'!EX51/'Total Value'!$D51-1)</f>
        <v/>
      </c>
      <c r="EY39" s="14" t="str">
        <f ca="1">IF(EY$1="","",'Total Value'!EY51/'Total Value'!$D51-1)</f>
        <v/>
      </c>
      <c r="EZ39" s="14" t="str">
        <f ca="1">IF(EZ$1="","",'Total Value'!EZ51/'Total Value'!$D51-1)</f>
        <v/>
      </c>
      <c r="FA39" s="14" t="str">
        <f ca="1">IF(FA$1="","",'Total Value'!FA51/'Total Value'!$D51-1)</f>
        <v/>
      </c>
      <c r="FB39" s="14" t="str">
        <f ca="1">IF(FB$1="","",'Total Value'!FB51/'Total Value'!$D51-1)</f>
        <v/>
      </c>
      <c r="FC39" s="14" t="str">
        <f ca="1">IF(FC$1="","",'Total Value'!FC51/'Total Value'!$D51-1)</f>
        <v/>
      </c>
      <c r="FD39" s="14" t="str">
        <f ca="1">IF(FD$1="","",'Total Value'!FD51/'Total Value'!$D51-1)</f>
        <v/>
      </c>
      <c r="FE39" s="14" t="str">
        <f ca="1">IF(FE$1="","",'Total Value'!FE51/'Total Value'!$D51-1)</f>
        <v/>
      </c>
      <c r="FF39" s="14" t="str">
        <f ca="1">IF(FF$1="","",'Total Value'!FF51/'Total Value'!$D51-1)</f>
        <v/>
      </c>
      <c r="FG39" s="14" t="str">
        <f ca="1">IF(FG$1="","",'Total Value'!FG51/'Total Value'!$D51-1)</f>
        <v/>
      </c>
      <c r="FH39" s="14" t="str">
        <f ca="1">IF(FH$1="","",'Total Value'!FH51/'Total Value'!$D51-1)</f>
        <v/>
      </c>
      <c r="FI39" s="14" t="str">
        <f ca="1">IF(FI$1="","",'Total Value'!FI51/'Total Value'!$D51-1)</f>
        <v/>
      </c>
      <c r="FJ39" s="14" t="str">
        <f ca="1">IF(FJ$1="","",'Total Value'!FJ51/'Total Value'!$D51-1)</f>
        <v/>
      </c>
      <c r="FK39" s="14" t="str">
        <f ca="1">IF(FK$1="","",'Total Value'!FK51/'Total Value'!$D51-1)</f>
        <v/>
      </c>
      <c r="FL39" s="14" t="str">
        <f ca="1">IF(FL$1="","",'Total Value'!FL51/'Total Value'!$D51-1)</f>
        <v/>
      </c>
      <c r="FM39" s="14" t="str">
        <f ca="1">IF(FM$1="","",'Total Value'!FM51/'Total Value'!$D51-1)</f>
        <v/>
      </c>
      <c r="FN39" s="14" t="str">
        <f ca="1">IF(FN$1="","",'Total Value'!FN51/'Total Value'!$D51-1)</f>
        <v/>
      </c>
      <c r="FO39" s="14" t="str">
        <f ca="1">IF(FO$1="","",'Total Value'!FO51/'Total Value'!$D51-1)</f>
        <v/>
      </c>
      <c r="FP39" s="14" t="str">
        <f ca="1">IF(FP$1="","",'Total Value'!FP51/'Total Value'!$D51-1)</f>
        <v/>
      </c>
      <c r="FQ39" s="14" t="str">
        <f ca="1">IF(FQ$1="","",'Total Value'!FQ51/'Total Value'!$D51-1)</f>
        <v/>
      </c>
      <c r="FR39" s="14" t="str">
        <f ca="1">IF(FR$1="","",'Total Value'!FR51/'Total Value'!$D51-1)</f>
        <v/>
      </c>
      <c r="FS39" s="14" t="str">
        <f ca="1">IF(FS$1="","",'Total Value'!FS51/'Total Value'!$D51-1)</f>
        <v/>
      </c>
      <c r="FT39" s="14" t="str">
        <f ca="1">IF(FT$1="","",'Total Value'!FT51/'Total Value'!$D51-1)</f>
        <v/>
      </c>
      <c r="FU39" s="14" t="str">
        <f ca="1">IF(FU$1="","",'Total Value'!FU51/'Total Value'!$D51-1)</f>
        <v/>
      </c>
      <c r="FV39" s="14" t="str">
        <f ca="1">IF(FV$1="","",'Total Value'!FV51/'Total Value'!$D51-1)</f>
        <v/>
      </c>
      <c r="FW39" s="14" t="str">
        <f ca="1">IF(FW$1="","",'Total Value'!FW51/'Total Value'!$D51-1)</f>
        <v/>
      </c>
      <c r="FX39" s="14" t="str">
        <f ca="1">IF(FX$1="","",'Total Value'!FX51/'Total Value'!$D51-1)</f>
        <v/>
      </c>
      <c r="FY39" s="14" t="str">
        <f ca="1">IF(FY$1="","",'Total Value'!FY51/'Total Value'!$D51-1)</f>
        <v/>
      </c>
      <c r="FZ39" s="14" t="str">
        <f ca="1">IF(FZ$1="","",'Total Value'!FZ51/'Total Value'!$D51-1)</f>
        <v/>
      </c>
      <c r="GA39" s="14" t="str">
        <f ca="1">IF(GA$1="","",'Total Value'!GA51/'Total Value'!$D51-1)</f>
        <v/>
      </c>
      <c r="GB39" s="14" t="str">
        <f ca="1">IF(GB$1="","",'Total Value'!GB51/'Total Value'!$D51-1)</f>
        <v/>
      </c>
      <c r="GC39" s="14" t="str">
        <f ca="1">IF(GC$1="","",'Total Value'!GC51/'Total Value'!$D51-1)</f>
        <v/>
      </c>
      <c r="GD39" s="14" t="str">
        <f ca="1">IF(GD$1="","",'Total Value'!GD51/'Total Value'!$D51-1)</f>
        <v/>
      </c>
      <c r="GE39" s="14" t="str">
        <f ca="1">IF(GE$1="","",'Total Value'!GE51/'Total Value'!$D51-1)</f>
        <v/>
      </c>
      <c r="GF39" s="14" t="str">
        <f ca="1">IF(GF$1="","",'Total Value'!GF51/'Total Value'!$D51-1)</f>
        <v/>
      </c>
      <c r="GG39" s="14" t="str">
        <f ca="1">IF(GG$1="","",'Total Value'!GG51/'Total Value'!$D51-1)</f>
        <v/>
      </c>
      <c r="GH39" s="14" t="str">
        <f ca="1">IF(GH$1="","",'Total Value'!GH51/'Total Value'!$D51-1)</f>
        <v/>
      </c>
      <c r="GI39" s="14" t="str">
        <f ca="1">IF(GI$1="","",'Total Value'!GI51/'Total Value'!$D51-1)</f>
        <v/>
      </c>
      <c r="GJ39" s="14" t="str">
        <f ca="1">IF(GJ$1="","",'Total Value'!GJ51/'Total Value'!$D51-1)</f>
        <v/>
      </c>
      <c r="GK39" s="14" t="str">
        <f ca="1">IF(GK$1="","",'Total Value'!GK51/'Total Value'!$D51-1)</f>
        <v/>
      </c>
      <c r="GL39" s="14" t="str">
        <f ca="1">IF(GL$1="","",'Total Value'!GL51/'Total Value'!$D51-1)</f>
        <v/>
      </c>
      <c r="GM39" s="14" t="str">
        <f ca="1">IF(GM$1="","",'Total Value'!GM51/'Total Value'!$D51-1)</f>
        <v/>
      </c>
      <c r="GN39" s="14" t="str">
        <f ca="1">IF(GN$1="","",'Total Value'!GN51/'Total Value'!$D51-1)</f>
        <v/>
      </c>
      <c r="GO39" s="14" t="str">
        <f ca="1">IF(GO$1="","",'Total Value'!GO51/'Total Value'!$D51-1)</f>
        <v/>
      </c>
      <c r="GP39" s="14" t="str">
        <f ca="1">IF(GP$1="","",'Total Value'!GP51/'Total Value'!$D51-1)</f>
        <v/>
      </c>
      <c r="GQ39" s="14" t="str">
        <f ca="1">IF(GQ$1="","",'Total Value'!GQ51/'Total Value'!$D51-1)</f>
        <v/>
      </c>
      <c r="GR39" s="14" t="str">
        <f ca="1">IF(GR$1="","",'Total Value'!GR51/'Total Value'!$D51-1)</f>
        <v/>
      </c>
      <c r="GS39" s="14" t="str">
        <f ca="1">IF(GS$1="","",'Total Value'!GS51/'Total Value'!$D51-1)</f>
        <v/>
      </c>
      <c r="GT39" s="14" t="str">
        <f ca="1">IF(GT$1="","",'Total Value'!GT51/'Total Value'!$D51-1)</f>
        <v/>
      </c>
      <c r="GU39" s="14" t="str">
        <f ca="1">IF(GU$1="","",'Total Value'!GU51/'Total Value'!$D51-1)</f>
        <v/>
      </c>
      <c r="GV39" s="14" t="str">
        <f ca="1">IF(GV$1="","",'Total Value'!GV51/'Total Value'!$D51-1)</f>
        <v/>
      </c>
      <c r="GW39" s="14" t="str">
        <f ca="1">IF(GW$1="","",'Total Value'!GW51/'Total Value'!$D51-1)</f>
        <v/>
      </c>
      <c r="GX39" s="14" t="str">
        <f ca="1">IF(GX$1="","",'Total Value'!GX51/'Total Value'!$D51-1)</f>
        <v/>
      </c>
      <c r="GY39" s="14" t="str">
        <f ca="1">IF(GY$1="","",'Total Value'!GY51/'Total Value'!$D51-1)</f>
        <v/>
      </c>
      <c r="GZ39" s="14" t="str">
        <f ca="1">IF(GZ$1="","",'Total Value'!GZ51/'Total Value'!$D51-1)</f>
        <v/>
      </c>
      <c r="HA39" s="14" t="str">
        <f ca="1">IF(HA$1="","",'Total Value'!HA51/'Total Value'!$D51-1)</f>
        <v/>
      </c>
      <c r="HB39" s="14" t="str">
        <f ca="1">IF(HB$1="","",'Total Value'!HB51/'Total Value'!$D51-1)</f>
        <v/>
      </c>
      <c r="HC39" s="14" t="str">
        <f ca="1">IF(HC$1="","",'Total Value'!HC51/'Total Value'!$D51-1)</f>
        <v/>
      </c>
      <c r="HD39" s="14" t="str">
        <f ca="1">IF(HD$1="","",'Total Value'!HD51/'Total Value'!$D51-1)</f>
        <v/>
      </c>
      <c r="HE39" s="14" t="str">
        <f ca="1">IF(HE$1="","",'Total Value'!HE51/'Total Value'!$D51-1)</f>
        <v/>
      </c>
      <c r="HF39" s="14" t="str">
        <f ca="1">IF(HF$1="","",'Total Value'!HF51/'Total Value'!$D51-1)</f>
        <v/>
      </c>
      <c r="HG39" s="14" t="str">
        <f ca="1">IF(HG$1="","",'Total Value'!HG51/'Total Value'!$D51-1)</f>
        <v/>
      </c>
      <c r="HH39" s="14" t="str">
        <f ca="1">IF(HH$1="","",'Total Value'!HH51/'Total Value'!$D51-1)</f>
        <v/>
      </c>
      <c r="HI39" s="14" t="str">
        <f ca="1">IF(HI$1="","",'Total Value'!HI51/'Total Value'!$D51-1)</f>
        <v/>
      </c>
      <c r="HJ39" s="14" t="str">
        <f ca="1">IF(HJ$1="","",'Total Value'!HJ51/'Total Value'!$D51-1)</f>
        <v/>
      </c>
      <c r="HK39" s="14" t="str">
        <f ca="1">IF(HK$1="","",'Total Value'!HK51/'Total Value'!$D51-1)</f>
        <v/>
      </c>
      <c r="HL39" s="14" t="str">
        <f ca="1">IF(HL$1="","",'Total Value'!HL51/'Total Value'!$D51-1)</f>
        <v/>
      </c>
      <c r="HM39" s="14" t="str">
        <f ca="1">IF(HM$1="","",'Total Value'!HM51/'Total Value'!$D51-1)</f>
        <v/>
      </c>
      <c r="HN39" s="14" t="str">
        <f ca="1">IF(HN$1="","",'Total Value'!HN51/'Total Value'!$D51-1)</f>
        <v/>
      </c>
      <c r="HO39" s="14" t="str">
        <f ca="1">IF(HO$1="","",'Total Value'!HO51/'Total Value'!$D51-1)</f>
        <v/>
      </c>
      <c r="HP39" s="14" t="str">
        <f ca="1">IF(HP$1="","",'Total Value'!HP51/'Total Value'!$D51-1)</f>
        <v/>
      </c>
      <c r="HQ39" s="14" t="str">
        <f ca="1">IF(HQ$1="","",'Total Value'!HQ51/'Total Value'!$D51-1)</f>
        <v/>
      </c>
      <c r="HR39" s="14" t="str">
        <f ca="1">IF(HR$1="","",'Total Value'!HR51/'Total Value'!$D51-1)</f>
        <v/>
      </c>
      <c r="HS39" s="14" t="str">
        <f ca="1">IF(HS$1="","",'Total Value'!HS51/'Total Value'!$D51-1)</f>
        <v/>
      </c>
      <c r="HT39" s="14" t="str">
        <f ca="1">IF(HT$1="","",'Total Value'!HT51/'Total Value'!$D51-1)</f>
        <v/>
      </c>
      <c r="HU39" s="14" t="str">
        <f ca="1">IF(HU$1="","",'Total Value'!HU51/'Total Value'!$D51-1)</f>
        <v/>
      </c>
      <c r="HV39" s="14" t="str">
        <f ca="1">IF(HV$1="","",'Total Value'!HV51/'Total Value'!$D51-1)</f>
        <v/>
      </c>
      <c r="HW39" s="14" t="str">
        <f ca="1">IF(HW$1="","",'Total Value'!HW51/'Total Value'!$D51-1)</f>
        <v/>
      </c>
      <c r="HX39" s="14" t="str">
        <f ca="1">IF(HX$1="","",'Total Value'!HX51/'Total Value'!$D51-1)</f>
        <v/>
      </c>
      <c r="HY39" s="14" t="str">
        <f ca="1">IF(HY$1="","",'Total Value'!HY51/'Total Value'!$D51-1)</f>
        <v/>
      </c>
      <c r="HZ39" s="14" t="str">
        <f ca="1">IF(HZ$1="","",'Total Value'!HZ51/'Total Value'!$D51-1)</f>
        <v/>
      </c>
      <c r="IA39" s="14" t="str">
        <f ca="1">IF(IA$1="","",'Total Value'!IA51/'Total Value'!$D51-1)</f>
        <v/>
      </c>
      <c r="IB39" s="14" t="str">
        <f ca="1">IF(IB$1="","",'Total Value'!IB51/'Total Value'!$D51-1)</f>
        <v/>
      </c>
      <c r="IC39" s="14" t="str">
        <f ca="1">IF(IC$1="","",'Total Value'!IC51/'Total Value'!$D51-1)</f>
        <v/>
      </c>
      <c r="ID39" s="14" t="str">
        <f ca="1">IF(ID$1="","",'Total Value'!ID51/'Total Value'!$D51-1)</f>
        <v/>
      </c>
      <c r="IE39" s="14" t="str">
        <f ca="1">IF(IE$1="","",'Total Value'!IE51/'Total Value'!$D51-1)</f>
        <v/>
      </c>
      <c r="IF39" s="14" t="str">
        <f ca="1">IF(IF$1="","",'Total Value'!IF51/'Total Value'!$D51-1)</f>
        <v/>
      </c>
      <c r="IG39" s="14" t="str">
        <f ca="1">IF(IG$1="","",'Total Value'!IG51/'Total Value'!$D51-1)</f>
        <v/>
      </c>
      <c r="IH39" s="14" t="str">
        <f ca="1">IF(IH$1="","",'Total Value'!IH51/'Total Value'!$D51-1)</f>
        <v/>
      </c>
      <c r="II39" s="14" t="str">
        <f ca="1">IF(II$1="","",'Total Value'!II51/'Total Value'!$D51-1)</f>
        <v/>
      </c>
      <c r="IJ39" s="14" t="str">
        <f ca="1">IF(IJ$1="","",'Total Value'!IJ51/'Total Value'!$D51-1)</f>
        <v/>
      </c>
      <c r="IK39" s="14" t="str">
        <f ca="1">IF(IK$1="","",'Total Value'!IK51/'Total Value'!$D51-1)</f>
        <v/>
      </c>
      <c r="IL39" s="14" t="str">
        <f ca="1">IF(IL$1="","",'Total Value'!IL51/'Total Value'!$D51-1)</f>
        <v/>
      </c>
      <c r="IM39" s="14" t="str">
        <f ca="1">IF(IM$1="","",'Total Value'!IM51/'Total Value'!$D51-1)</f>
        <v/>
      </c>
      <c r="IN39" s="14" t="str">
        <f ca="1">IF(IN$1="","",'Total Value'!IN51/'Total Value'!$D51-1)</f>
        <v/>
      </c>
      <c r="IO39" s="14" t="str">
        <f ca="1">IF(IO$1="","",'Total Value'!IO51/'Total Value'!$D51-1)</f>
        <v/>
      </c>
      <c r="IP39" s="14" t="str">
        <f ca="1">IF(IP$1="","",'Total Value'!IP51/'Total Value'!$D51-1)</f>
        <v/>
      </c>
      <c r="IQ39" s="14" t="str">
        <f ca="1">IF(IQ$1="","",'Total Value'!IQ51/'Total Value'!$D51-1)</f>
        <v/>
      </c>
      <c r="IR39" s="14" t="str">
        <f ca="1">IF(IR$1="","",'Total Value'!IR51/'Total Value'!$D51-1)</f>
        <v/>
      </c>
      <c r="IS39" s="14" t="str">
        <f ca="1">IF(IS$1="","",'Total Value'!IS51/'Total Value'!$D51-1)</f>
        <v/>
      </c>
      <c r="IT39" s="14" t="str">
        <f ca="1">IF(IT$1="","",'Total Value'!IT51/'Total Value'!$D51-1)</f>
        <v/>
      </c>
      <c r="IU39" s="14" t="str">
        <f ca="1">IF(IU$1="","",'Total Value'!IU51/'Total Value'!$D51-1)</f>
        <v/>
      </c>
      <c r="IV39" s="14" t="str">
        <f ca="1">IF(IV$1="","",'Total Value'!IV51/'Total Value'!$D51-1)</f>
        <v/>
      </c>
      <c r="IW39" s="14" t="str">
        <f ca="1">IF(IW$1="","",'Total Value'!IW51/'Total Value'!$D51-1)</f>
        <v/>
      </c>
      <c r="IX39" s="14" t="str">
        <f ca="1">IF(IX$1="","",'Total Value'!IX51/'Total Value'!$D51-1)</f>
        <v/>
      </c>
      <c r="IY39" s="14" t="str">
        <f ca="1">IF(IY$1="","",'Total Value'!IY51/'Total Value'!$D51-1)</f>
        <v/>
      </c>
      <c r="IZ39" s="14" t="str">
        <f ca="1">IF(IZ$1="","",'Total Value'!IZ51/'Total Value'!$D51-1)</f>
        <v/>
      </c>
      <c r="JA39" s="14" t="str">
        <f ca="1">IF(JA$1="","",'Total Value'!JA51/'Total Value'!$D51-1)</f>
        <v/>
      </c>
      <c r="JB39" s="14" t="str">
        <f ca="1">IF(JB$1="","",'Total Value'!JB51/'Total Value'!$D51-1)</f>
        <v/>
      </c>
      <c r="JC39" s="14" t="str">
        <f ca="1">IF(JC$1="","",'Total Value'!JC51/'Total Value'!$D51-1)</f>
        <v/>
      </c>
      <c r="JD39" s="14" t="str">
        <f ca="1">IF(JD$1="","",'Total Value'!JD51/'Total Value'!$D51-1)</f>
        <v/>
      </c>
      <c r="JE39" s="14" t="str">
        <f ca="1">IF(JE$1="","",'Total Value'!JE51/'Total Value'!$D51-1)</f>
        <v/>
      </c>
      <c r="JF39" s="14" t="str">
        <f ca="1">IF(JF$1="","",'Total Value'!JF51/'Total Value'!$D51-1)</f>
        <v/>
      </c>
      <c r="JG39" s="14" t="str">
        <f ca="1">IF(JG$1="","",'Total Value'!JG51/'Total Value'!$D51-1)</f>
        <v/>
      </c>
      <c r="JH39" s="14" t="str">
        <f ca="1">IF(JH$1="","",'Total Value'!JH51/'Total Value'!$D51-1)</f>
        <v/>
      </c>
      <c r="JI39" s="14" t="str">
        <f ca="1">IF(JI$1="","",'Total Value'!JI51/'Total Value'!$D51-1)</f>
        <v/>
      </c>
      <c r="JJ39" s="14" t="str">
        <f ca="1">IF(JJ$1="","",'Total Value'!JJ51/'Total Value'!$D51-1)</f>
        <v/>
      </c>
      <c r="JK39" s="14" t="str">
        <f ca="1">IF(JK$1="","",'Total Value'!JK51/'Total Value'!$D51-1)</f>
        <v/>
      </c>
      <c r="JL39" s="14" t="str">
        <f ca="1">IF(JL$1="","",'Total Value'!JL51/'Total Value'!$D51-1)</f>
        <v/>
      </c>
      <c r="JM39" s="14" t="str">
        <f ca="1">IF(JM$1="","",'Total Value'!JM51/'Total Value'!$D51-1)</f>
        <v/>
      </c>
      <c r="JN39" s="14" t="str">
        <f ca="1">IF(JN$1="","",'Total Value'!JN51/'Total Value'!$D51-1)</f>
        <v/>
      </c>
      <c r="JO39" s="14" t="str">
        <f ca="1">IF(JO$1="","",'Total Value'!JO51/'Total Value'!$D51-1)</f>
        <v/>
      </c>
      <c r="JP39" s="14" t="str">
        <f ca="1">IF(JP$1="","",'Total Value'!JP51/'Total Value'!$D51-1)</f>
        <v/>
      </c>
      <c r="JQ39" s="14" t="str">
        <f ca="1">IF(JQ$1="","",'Total Value'!JQ51/'Total Value'!$D51-1)</f>
        <v/>
      </c>
      <c r="JR39" s="14" t="str">
        <f ca="1">IF(JR$1="","",'Total Value'!JR51/'Total Value'!$D51-1)</f>
        <v/>
      </c>
      <c r="JS39" s="14" t="str">
        <f ca="1">IF(JS$1="","",'Total Value'!JS51/'Total Value'!$D51-1)</f>
        <v/>
      </c>
      <c r="JT39" s="14" t="str">
        <f ca="1">IF(JT$1="","",'Total Value'!JT51/'Total Value'!$D51-1)</f>
        <v/>
      </c>
      <c r="JU39" s="14" t="str">
        <f ca="1">IF(JU$1="","",'Total Value'!JU51/'Total Value'!$D51-1)</f>
        <v/>
      </c>
      <c r="JV39" s="14" t="str">
        <f ca="1">IF(JV$1="","",'Total Value'!JV51/'Total Value'!$D51-1)</f>
        <v/>
      </c>
      <c r="JW39" s="14" t="str">
        <f ca="1">IF(JW$1="","",'Total Value'!JW51/'Total Value'!$D51-1)</f>
        <v/>
      </c>
      <c r="JX39" s="14" t="str">
        <f ca="1">IF(JX$1="","",'Total Value'!JX51/'Total Value'!$D51-1)</f>
        <v/>
      </c>
      <c r="JY39" s="14" t="str">
        <f ca="1">IF(JY$1="","",'Total Value'!JY51/'Total Value'!$D51-1)</f>
        <v/>
      </c>
      <c r="JZ39" s="14" t="str">
        <f ca="1">IF(JZ$1="","",'Total Value'!JZ51/'Total Value'!$D51-1)</f>
        <v/>
      </c>
      <c r="KA39" s="14" t="str">
        <f ca="1">IF(KA$1="","",'Total Value'!KA51/'Total Value'!$D51-1)</f>
        <v/>
      </c>
      <c r="KB39" s="14" t="str">
        <f ca="1">IF(KB$1="","",'Total Value'!KB51/'Total Value'!$D51-1)</f>
        <v/>
      </c>
    </row>
    <row r="40" spans="1:288" ht="15.75" customHeight="1">
      <c r="A40" s="9" t="s">
        <v>30</v>
      </c>
      <c r="B40" s="6" t="s">
        <v>83</v>
      </c>
      <c r="C40" s="26">
        <v>26</v>
      </c>
      <c r="D40" s="13">
        <v>0</v>
      </c>
      <c r="E40" s="14">
        <f ca="1">IF(E$1="","",'Total Value'!E52/'Total Value'!$D52-1)</f>
        <v>1.2338425381903662E-2</v>
      </c>
      <c r="F40" s="14">
        <f ca="1">IF(F$1="","",'Total Value'!F52/'Total Value'!$D52-1)</f>
        <v>1.5863689776733247E-2</v>
      </c>
      <c r="G40" s="14">
        <f ca="1">IF(G$1="","",'Total Value'!G52/'Total Value'!$D52-1)</f>
        <v>5.2878965922444898E-3</v>
      </c>
      <c r="H40" s="14">
        <f ca="1">IF(H$1="","",'Total Value'!H52/'Total Value'!$D52-1)</f>
        <v>5.8754406580494578E-3</v>
      </c>
      <c r="I40" s="14">
        <f ca="1">IF(I$1="","",'Total Value'!I52/'Total Value'!$D52-1)</f>
        <v>-7.0505287896592828E-3</v>
      </c>
      <c r="J40" s="14">
        <f ca="1">IF(J$1="","",'Total Value'!J52/'Total Value'!$D52-1)</f>
        <v>-3.525264394829597E-2</v>
      </c>
      <c r="K40" s="14">
        <f ca="1">IF(K$1="","",'Total Value'!K52/'Total Value'!$D52-1)</f>
        <v>-5.581668625146885E-2</v>
      </c>
      <c r="L40" s="14">
        <f ca="1">IF(L$1="","",'Total Value'!L52/'Total Value'!$D52-1)</f>
        <v>-6.5217391304347783E-2</v>
      </c>
      <c r="M40" s="14">
        <f ca="1">IF(M$1="","",'Total Value'!M52/'Total Value'!$D52-1)</f>
        <v>-5.581668625146885E-2</v>
      </c>
      <c r="N40" s="14">
        <f ca="1">IF(N$1="","",'Total Value'!N52/'Total Value'!$D52-1)</f>
        <v>-7.8143360752056412E-2</v>
      </c>
      <c r="O40" s="14">
        <f ca="1">IF(O$1="","",'Total Value'!O52/'Total Value'!$D52-1)</f>
        <v>-9.5182138660399374E-2</v>
      </c>
      <c r="P40" s="14">
        <f ca="1">IF(P$1="","",'Total Value'!P52/'Total Value'!$D52-1)</f>
        <v>-9.2244418331374867E-2</v>
      </c>
      <c r="Q40" s="14">
        <f ca="1">IF(Q$1="","",'Total Value'!Q52/'Total Value'!$D52-1)</f>
        <v>-7.1680376028202097E-2</v>
      </c>
      <c r="R40" s="14">
        <f ca="1">IF(R$1="","",'Total Value'!R52/'Total Value'!$D52-1)</f>
        <v>-4.7003525264394885E-2</v>
      </c>
      <c r="S40" s="14">
        <f ca="1">IF(S$1="","",'Total Value'!S52/'Total Value'!$D52-1)</f>
        <v>-3.5840188014100938E-2</v>
      </c>
      <c r="T40" s="14">
        <f ca="1">IF(T$1="","",'Total Value'!T52/'Total Value'!$D52-1)</f>
        <v>-2.1739130434782594E-2</v>
      </c>
      <c r="U40" s="14">
        <f ca="1">IF(U$1="","",'Total Value'!U52/'Total Value'!$D52-1)</f>
        <v>-3.525264394829597E-2</v>
      </c>
      <c r="V40" s="14">
        <f ca="1">IF(V$1="","",'Total Value'!V52/'Total Value'!$D52-1)</f>
        <v>-3.0552291421856559E-2</v>
      </c>
      <c r="W40" s="14">
        <f ca="1">IF(W$1="","",'Total Value'!W52/'Total Value'!$D52-1)</f>
        <v>-2.8789659224441766E-2</v>
      </c>
      <c r="X40" s="14">
        <f ca="1">IF(X$1="","",'Total Value'!X52/'Total Value'!$D52-1)</f>
        <v>-8.2256169212691077E-3</v>
      </c>
      <c r="Y40" s="14">
        <f ca="1">IF(Y$1="","",'Total Value'!Y52/'Total Value'!$D52-1)</f>
        <v>2.9964747356051813E-2</v>
      </c>
      <c r="Z40" s="14">
        <f ca="1">IF(Z$1="","",'Total Value'!Z52/'Total Value'!$D52-1)</f>
        <v>5.0528789659224582E-2</v>
      </c>
      <c r="AA40" s="14">
        <f ca="1">IF(AA$1="","",'Total Value'!AA52/'Total Value'!$D52-1)</f>
        <v>6.9330199764982448E-2</v>
      </c>
      <c r="AB40" s="14">
        <f ca="1">IF(AB$1="","",'Total Value'!AB52/'Total Value'!$D52-1)</f>
        <v>6.8742655699177702E-2</v>
      </c>
      <c r="AC40" s="14">
        <f ca="1">IF(AC$1="","",'Total Value'!AC52/'Total Value'!$D52-1)</f>
        <v>0.10340775558166881</v>
      </c>
      <c r="AD40" s="14">
        <f ca="1">IF(AD$1="","",'Total Value'!AD52/'Total Value'!$D52-1)</f>
        <v>0.16039952996474738</v>
      </c>
      <c r="AE40" s="14">
        <f ca="1">IF(AE$1="","",'Total Value'!AE52/'Total Value'!$D52-1)</f>
        <v>0.16274970622796703</v>
      </c>
      <c r="AF40" s="14">
        <f ca="1">IF(AF$1="","",'Total Value'!AF52/'Total Value'!$D52-1)</f>
        <v>0.14747356051703897</v>
      </c>
      <c r="AG40" s="14">
        <f ca="1">IF(AG$1="","",'Total Value'!AG52/'Total Value'!$D52-1)</f>
        <v>0.16392479435957696</v>
      </c>
      <c r="AH40" s="14">
        <f ca="1">IF(AH$1="","",'Total Value'!AH52/'Total Value'!$D52-1)</f>
        <v>0.12455934195064633</v>
      </c>
      <c r="AI40" s="14">
        <f ca="1">IF(AI$1="","",'Total Value'!AI52/'Total Value'!$D52-1)</f>
        <v>0.1269095182138662</v>
      </c>
      <c r="AJ40" s="14">
        <f ca="1">IF(AJ$1="","",'Total Value'!AJ52/'Total Value'!$D52-1)</f>
        <v>0.14453584018801413</v>
      </c>
      <c r="AK40" s="14">
        <f ca="1">IF(AK$1="","",'Total Value'!AK52/'Total Value'!$D52-1)</f>
        <v>0.16921269095182145</v>
      </c>
      <c r="AL40" s="14">
        <f ca="1">IF(AL$1="","",'Total Value'!AL52/'Total Value'!$D52-1)</f>
        <v>0.15393654524089317</v>
      </c>
      <c r="AM40" s="14">
        <f ca="1">IF(AM$1="","",'Total Value'!AM52/'Total Value'!$D52-1)</f>
        <v>0.16745005875440655</v>
      </c>
      <c r="AN40" s="14">
        <f ca="1">IF(AN$1="","",'Total Value'!AN52/'Total Value'!$D52-1)</f>
        <v>0.17450058754406594</v>
      </c>
      <c r="AO40" s="14">
        <f ca="1">IF(AO$1="","",'Total Value'!AO52/'Total Value'!$D52-1)</f>
        <v>0.15981198589894241</v>
      </c>
      <c r="AP40" s="14">
        <f ca="1">IF(AP$1="","",'Total Value'!AP52/'Total Value'!$D52-1)</f>
        <v>0.11985898942420681</v>
      </c>
      <c r="AQ40" s="14">
        <f ca="1">IF(AQ$1="","",'Total Value'!AQ52/'Total Value'!$D52-1)</f>
        <v>0.10340775558166881</v>
      </c>
      <c r="AR40" s="14">
        <f ca="1">IF(AR$1="","",'Total Value'!AR52/'Total Value'!$D52-1)</f>
        <v>0.13983548766157461</v>
      </c>
      <c r="AS40" s="14">
        <f ca="1">IF(AS$1="","",'Total Value'!AS52/'Total Value'!$D52-1)</f>
        <v>0.11927144535840206</v>
      </c>
      <c r="AT40" s="14">
        <f ca="1">IF(AT$1="","",'Total Value'!AT52/'Total Value'!$D52-1)</f>
        <v>7.4618096357226715E-2</v>
      </c>
      <c r="AU40" s="14">
        <f ca="1">IF(AU$1="","",'Total Value'!AU52/'Total Value'!$D52-1)</f>
        <v>8.1081081081081141E-2</v>
      </c>
      <c r="AV40" s="14">
        <f ca="1">IF(AV$1="","",'Total Value'!AV52/'Total Value'!$D52-1)</f>
        <v>8.4606345475910727E-2</v>
      </c>
      <c r="AW40" s="14">
        <f ca="1">IF(AW$1="","",'Total Value'!AW52/'Total Value'!$D52-1)</f>
        <v>0.13866039952996467</v>
      </c>
      <c r="AX40" s="14">
        <f ca="1">IF(AX$1="","",'Total Value'!AX52/'Total Value'!$D52-1)</f>
        <v>0.13102232667450053</v>
      </c>
      <c r="AY40" s="14">
        <f ca="1">IF(AY$1="","",'Total Value'!AY52/'Total Value'!$D52-1)</f>
        <v>0.12749706227967117</v>
      </c>
      <c r="AZ40" s="14">
        <f ca="1">IF(AZ$1="","",'Total Value'!AZ52/'Total Value'!$D52-1)</f>
        <v>0.12984723854289082</v>
      </c>
      <c r="BA40" s="14">
        <f ca="1">IF(BA$1="","",'Total Value'!BA52/'Total Value'!$D52-1)</f>
        <v>0.13454759106933012</v>
      </c>
      <c r="BB40" s="14">
        <f ca="1">IF(BB$1="","",'Total Value'!BB52/'Total Value'!$D52-1)</f>
        <v>0.12162162162162171</v>
      </c>
      <c r="BC40" s="14">
        <f ca="1">IF(BC$1="","",'Total Value'!BC52/'Total Value'!$D52-1)</f>
        <v>0.14571092831962407</v>
      </c>
      <c r="BD40" s="14">
        <f ca="1">IF(BD$1="","",'Total Value'!BD52/'Total Value'!$D52-1)</f>
        <v>0.16274970622796703</v>
      </c>
      <c r="BE40" s="14">
        <f ca="1">IF(BE$1="","",'Total Value'!BE52/'Total Value'!$D52-1)</f>
        <v>0.15687426556991801</v>
      </c>
      <c r="BF40" s="14">
        <f ca="1">IF(BF$1="","",'Total Value'!BF52/'Total Value'!$D52-1)</f>
        <v>0.17685076380728559</v>
      </c>
      <c r="BG40" s="14">
        <f ca="1">IF(BG$1="","",'Total Value'!BG52/'Total Value'!$D52-1)</f>
        <v>0.16157461809635731</v>
      </c>
      <c r="BH40" s="14">
        <f ca="1">IF(BH$1="","",'Total Value'!BH52/'Total Value'!$D52-1)</f>
        <v>0.14864864864864868</v>
      </c>
      <c r="BI40" s="14">
        <f ca="1">IF(BI$1="","",'Total Value'!BI52/'Total Value'!$D52-1)</f>
        <v>0.15569917743830808</v>
      </c>
      <c r="BJ40" s="14">
        <f ca="1">IF(BJ$1="","",'Total Value'!BJ52/'Total Value'!$D52-1)</f>
        <v>0.17391304347826098</v>
      </c>
      <c r="BK40" s="14">
        <f ca="1">IF(BK$1="","",'Total Value'!BK52/'Total Value'!$D52-1)</f>
        <v>0.14159811985898951</v>
      </c>
      <c r="BL40" s="14">
        <f ca="1">IF(BL$1="","",'Total Value'!BL52/'Total Value'!$D52-1)</f>
        <v>0.10575793184488846</v>
      </c>
      <c r="BM40" s="14">
        <f ca="1">IF(BM$1="","",'Total Value'!BM52/'Total Value'!$D52-1)</f>
        <v>0.11045828437132776</v>
      </c>
      <c r="BN40" s="14">
        <f ca="1">IF(BN$1="","",'Total Value'!BN52/'Total Value'!$D52-1)</f>
        <v>0.12749706227967117</v>
      </c>
      <c r="BO40" s="14">
        <f ca="1">IF(BO$1="","",'Total Value'!BO52/'Total Value'!$D52-1)</f>
        <v>0.14394829612220916</v>
      </c>
      <c r="BP40" s="14">
        <f ca="1">IF(BP$1="","",'Total Value'!BP52/'Total Value'!$D52-1)</f>
        <v>0.16157461809635731</v>
      </c>
      <c r="BQ40" s="14">
        <f ca="1">IF(BQ$1="","",'Total Value'!BQ52/'Total Value'!$D52-1)</f>
        <v>0.19153936545240891</v>
      </c>
      <c r="BR40" s="14">
        <f ca="1">IF(BR$1="","",'Total Value'!BR52/'Total Value'!$D52-1)</f>
        <v>0.17861339600470028</v>
      </c>
      <c r="BS40" s="14">
        <f ca="1">IF(BS$1="","",'Total Value'!BS52/'Total Value'!$D52-1)</f>
        <v>0.18801410105757932</v>
      </c>
      <c r="BT40" s="14">
        <f ca="1">IF(BT$1="","",'Total Value'!BT52/'Total Value'!$D52-1)</f>
        <v>0.22444183313748534</v>
      </c>
      <c r="BU40" s="14">
        <f ca="1">IF(BU$1="","",'Total Value'!BU52/'Total Value'!$D52-1)</f>
        <v>0.23501762632197409</v>
      </c>
      <c r="BV40" s="14">
        <f ca="1">IF(BV$1="","",'Total Value'!BV52/'Total Value'!$D52-1)</f>
        <v>0.19447708578143352</v>
      </c>
      <c r="BW40" s="14">
        <f ca="1">IF(BW$1="","",'Total Value'!BW52/'Total Value'!$D52-1)</f>
        <v>0.17215041128084585</v>
      </c>
      <c r="BX40" s="14">
        <f ca="1">IF(BX$1="","",'Total Value'!BX52/'Total Value'!$D52-1)</f>
        <v>0.18742655699177457</v>
      </c>
      <c r="BY40" s="14">
        <f ca="1">IF(BY$1="","",'Total Value'!BY52/'Total Value'!$D52-1)</f>
        <v>0.17508813160987069</v>
      </c>
      <c r="BZ40" s="14">
        <f ca="1">IF(BZ$1="","",'Total Value'!BZ52/'Total Value'!$D52-1)</f>
        <v>0.18801410105757932</v>
      </c>
      <c r="CA40" s="14">
        <f ca="1">IF(CA$1="","",'Total Value'!CA52/'Total Value'!$D52-1)</f>
        <v>0.21210340775558167</v>
      </c>
      <c r="CB40" s="14">
        <f ca="1">IF(CB$1="","",'Total Value'!CB52/'Total Value'!$D52-1)</f>
        <v>0.18977673325499422</v>
      </c>
      <c r="CC40" s="14">
        <f ca="1">IF(CC$1="","",'Total Value'!CC52/'Total Value'!$D52-1)</f>
        <v>0.22267920094007043</v>
      </c>
      <c r="CD40" s="14">
        <f ca="1">IF(CD$1="","",'Total Value'!CD52/'Total Value'!$D52-1)</f>
        <v>0.22032902467685078</v>
      </c>
      <c r="CE40" s="14">
        <f ca="1">IF(CE$1="","",'Total Value'!CE52/'Total Value'!$D52-1)</f>
        <v>1.7626321974148151E-2</v>
      </c>
      <c r="CF40" s="14" t="str">
        <f ca="1">IF(CF$1="","",'Total Value'!CF52/'Total Value'!$D52-1)</f>
        <v/>
      </c>
      <c r="CG40" s="14" t="str">
        <f ca="1">IF(CG$1="","",'Total Value'!CG52/'Total Value'!$D52-1)</f>
        <v/>
      </c>
      <c r="CH40" s="14" t="str">
        <f ca="1">IF(CH$1="","",'Total Value'!CH52/'Total Value'!$D52-1)</f>
        <v/>
      </c>
      <c r="CI40" s="14" t="str">
        <f ca="1">IF(CI$1="","",'Total Value'!CI52/'Total Value'!$D52-1)</f>
        <v/>
      </c>
      <c r="CJ40" s="14" t="str">
        <f ca="1">IF(CJ$1="","",'Total Value'!CJ52/'Total Value'!$D52-1)</f>
        <v/>
      </c>
      <c r="CK40" s="14" t="str">
        <f ca="1">IF(CK$1="","",'Total Value'!CK52/'Total Value'!$D52-1)</f>
        <v/>
      </c>
      <c r="CL40" s="14" t="str">
        <f ca="1">IF(CL$1="","",'Total Value'!CL52/'Total Value'!$D52-1)</f>
        <v/>
      </c>
      <c r="CM40" s="14" t="str">
        <f ca="1">IF(CM$1="","",'Total Value'!CM52/'Total Value'!$D52-1)</f>
        <v/>
      </c>
      <c r="CN40" s="14" t="str">
        <f ca="1">IF(CN$1="","",'Total Value'!CN52/'Total Value'!$D52-1)</f>
        <v/>
      </c>
      <c r="CO40" s="14" t="str">
        <f ca="1">IF(CO$1="","",'Total Value'!CO52/'Total Value'!$D52-1)</f>
        <v/>
      </c>
      <c r="CP40" s="14" t="str">
        <f ca="1">IF(CP$1="","",'Total Value'!CP52/'Total Value'!$D52-1)</f>
        <v/>
      </c>
      <c r="CQ40" s="14" t="str">
        <f ca="1">IF(CQ$1="","",'Total Value'!CQ52/'Total Value'!$D52-1)</f>
        <v/>
      </c>
      <c r="CR40" s="14" t="str">
        <f ca="1">IF(CR$1="","",'Total Value'!CR52/'Total Value'!$D52-1)</f>
        <v/>
      </c>
      <c r="CS40" s="14" t="str">
        <f ca="1">IF(CS$1="","",'Total Value'!CS52/'Total Value'!$D52-1)</f>
        <v/>
      </c>
      <c r="CT40" s="14" t="str">
        <f ca="1">IF(CT$1="","",'Total Value'!CT52/'Total Value'!$D52-1)</f>
        <v/>
      </c>
      <c r="CU40" s="14" t="str">
        <f ca="1">IF(CU$1="","",'Total Value'!CU52/'Total Value'!$D52-1)</f>
        <v/>
      </c>
      <c r="CV40" s="14" t="str">
        <f ca="1">IF(CV$1="","",'Total Value'!CV52/'Total Value'!$D52-1)</f>
        <v/>
      </c>
      <c r="CW40" s="14" t="str">
        <f ca="1">IF(CW$1="","",'Total Value'!CW52/'Total Value'!$D52-1)</f>
        <v/>
      </c>
      <c r="CX40" s="14" t="str">
        <f ca="1">IF(CX$1="","",'Total Value'!CX52/'Total Value'!$D52-1)</f>
        <v/>
      </c>
      <c r="CY40" s="14" t="str">
        <f ca="1">IF(CY$1="","",'Total Value'!CY52/'Total Value'!$D52-1)</f>
        <v/>
      </c>
      <c r="CZ40" s="14" t="str">
        <f ca="1">IF(CZ$1="","",'Total Value'!CZ52/'Total Value'!$D52-1)</f>
        <v/>
      </c>
      <c r="DA40" s="14" t="str">
        <f ca="1">IF(DA$1="","",'Total Value'!DA52/'Total Value'!$D52-1)</f>
        <v/>
      </c>
      <c r="DB40" s="14" t="str">
        <f ca="1">IF(DB$1="","",'Total Value'!DB52/'Total Value'!$D52-1)</f>
        <v/>
      </c>
      <c r="DC40" s="14" t="str">
        <f ca="1">IF(DC$1="","",'Total Value'!DC52/'Total Value'!$D52-1)</f>
        <v/>
      </c>
      <c r="DD40" s="14" t="str">
        <f ca="1">IF(DD$1="","",'Total Value'!DD52/'Total Value'!$D52-1)</f>
        <v/>
      </c>
      <c r="DE40" s="14" t="str">
        <f ca="1">IF(DE$1="","",'Total Value'!DE52/'Total Value'!$D52-1)</f>
        <v/>
      </c>
      <c r="DF40" s="14" t="str">
        <f ca="1">IF(DF$1="","",'Total Value'!DF52/'Total Value'!$D52-1)</f>
        <v/>
      </c>
      <c r="DG40" s="14" t="str">
        <f ca="1">IF(DG$1="","",'Total Value'!DG52/'Total Value'!$D52-1)</f>
        <v/>
      </c>
      <c r="DH40" s="14" t="str">
        <f ca="1">IF(DH$1="","",'Total Value'!DH52/'Total Value'!$D52-1)</f>
        <v/>
      </c>
      <c r="DI40" s="14" t="str">
        <f ca="1">IF(DI$1="","",'Total Value'!DI52/'Total Value'!$D52-1)</f>
        <v/>
      </c>
      <c r="DJ40" s="14" t="str">
        <f ca="1">IF(DJ$1="","",'Total Value'!DJ52/'Total Value'!$D52-1)</f>
        <v/>
      </c>
      <c r="DK40" s="14" t="str">
        <f ca="1">IF(DK$1="","",'Total Value'!DK52/'Total Value'!$D52-1)</f>
        <v/>
      </c>
      <c r="DL40" s="14" t="str">
        <f ca="1">IF(DL$1="","",'Total Value'!DL52/'Total Value'!$D52-1)</f>
        <v/>
      </c>
      <c r="DM40" s="14" t="str">
        <f ca="1">IF(DM$1="","",'Total Value'!DM52/'Total Value'!$D52-1)</f>
        <v/>
      </c>
      <c r="DN40" s="14" t="str">
        <f ca="1">IF(DN$1="","",'Total Value'!DN52/'Total Value'!$D52-1)</f>
        <v/>
      </c>
      <c r="DO40" s="14" t="str">
        <f ca="1">IF(DO$1="","",'Total Value'!DO52/'Total Value'!$D52-1)</f>
        <v/>
      </c>
      <c r="DP40" s="14" t="str">
        <f ca="1">IF(DP$1="","",'Total Value'!DP52/'Total Value'!$D52-1)</f>
        <v/>
      </c>
      <c r="DQ40" s="14" t="str">
        <f ca="1">IF(DQ$1="","",'Total Value'!DQ52/'Total Value'!$D52-1)</f>
        <v/>
      </c>
      <c r="DR40" s="14" t="str">
        <f ca="1">IF(DR$1="","",'Total Value'!DR52/'Total Value'!$D52-1)</f>
        <v/>
      </c>
      <c r="DS40" s="14" t="str">
        <f ca="1">IF(DS$1="","",'Total Value'!DS52/'Total Value'!$D52-1)</f>
        <v/>
      </c>
      <c r="DT40" s="14" t="str">
        <f ca="1">IF(DT$1="","",'Total Value'!DT52/'Total Value'!$D52-1)</f>
        <v/>
      </c>
      <c r="DU40" s="14" t="str">
        <f ca="1">IF(DU$1="","",'Total Value'!DU52/'Total Value'!$D52-1)</f>
        <v/>
      </c>
      <c r="DV40" s="14" t="str">
        <f ca="1">IF(DV$1="","",'Total Value'!DV52/'Total Value'!$D52-1)</f>
        <v/>
      </c>
      <c r="DW40" s="14" t="str">
        <f ca="1">IF(DW$1="","",'Total Value'!DW52/'Total Value'!$D52-1)</f>
        <v/>
      </c>
      <c r="DX40" s="14" t="str">
        <f ca="1">IF(DX$1="","",'Total Value'!DX52/'Total Value'!$D52-1)</f>
        <v/>
      </c>
      <c r="DY40" s="14" t="str">
        <f ca="1">IF(DY$1="","",'Total Value'!DY52/'Total Value'!$D52-1)</f>
        <v/>
      </c>
      <c r="DZ40" s="14" t="str">
        <f ca="1">IF(DZ$1="","",'Total Value'!DZ52/'Total Value'!$D52-1)</f>
        <v/>
      </c>
      <c r="EA40" s="14" t="str">
        <f ca="1">IF(EA$1="","",'Total Value'!EA52/'Total Value'!$D52-1)</f>
        <v/>
      </c>
      <c r="EB40" s="14" t="str">
        <f ca="1">IF(EB$1="","",'Total Value'!EB52/'Total Value'!$D52-1)</f>
        <v/>
      </c>
      <c r="EC40" s="14" t="str">
        <f ca="1">IF(EC$1="","",'Total Value'!EC52/'Total Value'!$D52-1)</f>
        <v/>
      </c>
      <c r="ED40" s="14" t="str">
        <f ca="1">IF(ED$1="","",'Total Value'!ED52/'Total Value'!$D52-1)</f>
        <v/>
      </c>
      <c r="EE40" s="14" t="str">
        <f ca="1">IF(EE$1="","",'Total Value'!EE52/'Total Value'!$D52-1)</f>
        <v/>
      </c>
      <c r="EF40" s="14" t="str">
        <f ca="1">IF(EF$1="","",'Total Value'!EF52/'Total Value'!$D52-1)</f>
        <v/>
      </c>
      <c r="EG40" s="14" t="str">
        <f ca="1">IF(EG$1="","",'Total Value'!EG52/'Total Value'!$D52-1)</f>
        <v/>
      </c>
      <c r="EH40" s="14" t="str">
        <f ca="1">IF(EH$1="","",'Total Value'!EH52/'Total Value'!$D52-1)</f>
        <v/>
      </c>
      <c r="EI40" s="14" t="str">
        <f ca="1">IF(EI$1="","",'Total Value'!EI52/'Total Value'!$D52-1)</f>
        <v/>
      </c>
      <c r="EJ40" s="14" t="str">
        <f ca="1">IF(EJ$1="","",'Total Value'!EJ52/'Total Value'!$D52-1)</f>
        <v/>
      </c>
      <c r="EK40" s="14" t="str">
        <f ca="1">IF(EK$1="","",'Total Value'!EK52/'Total Value'!$D52-1)</f>
        <v/>
      </c>
      <c r="EL40" s="14" t="str">
        <f ca="1">IF(EL$1="","",'Total Value'!EL52/'Total Value'!$D52-1)</f>
        <v/>
      </c>
      <c r="EM40" s="14" t="str">
        <f ca="1">IF(EM$1="","",'Total Value'!EM52/'Total Value'!$D52-1)</f>
        <v/>
      </c>
      <c r="EN40" s="14" t="str">
        <f ca="1">IF(EN$1="","",'Total Value'!EN52/'Total Value'!$D52-1)</f>
        <v/>
      </c>
      <c r="EO40" s="14" t="str">
        <f ca="1">IF(EO$1="","",'Total Value'!EO52/'Total Value'!$D52-1)</f>
        <v/>
      </c>
      <c r="EP40" s="14" t="str">
        <f ca="1">IF(EP$1="","",'Total Value'!EP52/'Total Value'!$D52-1)</f>
        <v/>
      </c>
      <c r="EQ40" s="14" t="str">
        <f ca="1">IF(EQ$1="","",'Total Value'!EQ52/'Total Value'!$D52-1)</f>
        <v/>
      </c>
      <c r="ER40" s="14" t="str">
        <f ca="1">IF(ER$1="","",'Total Value'!ER52/'Total Value'!$D52-1)</f>
        <v/>
      </c>
      <c r="ES40" s="14" t="str">
        <f ca="1">IF(ES$1="","",'Total Value'!ES52/'Total Value'!$D52-1)</f>
        <v/>
      </c>
      <c r="ET40" s="14" t="str">
        <f ca="1">IF(ET$1="","",'Total Value'!ET52/'Total Value'!$D52-1)</f>
        <v/>
      </c>
      <c r="EU40" s="14" t="str">
        <f ca="1">IF(EU$1="","",'Total Value'!EU52/'Total Value'!$D52-1)</f>
        <v/>
      </c>
      <c r="EV40" s="14" t="str">
        <f ca="1">IF(EV$1="","",'Total Value'!EV52/'Total Value'!$D52-1)</f>
        <v/>
      </c>
      <c r="EW40" s="14" t="str">
        <f ca="1">IF(EW$1="","",'Total Value'!EW52/'Total Value'!$D52-1)</f>
        <v/>
      </c>
      <c r="EX40" s="14" t="str">
        <f ca="1">IF(EX$1="","",'Total Value'!EX52/'Total Value'!$D52-1)</f>
        <v/>
      </c>
      <c r="EY40" s="14" t="str">
        <f ca="1">IF(EY$1="","",'Total Value'!EY52/'Total Value'!$D52-1)</f>
        <v/>
      </c>
      <c r="EZ40" s="14" t="str">
        <f ca="1">IF(EZ$1="","",'Total Value'!EZ52/'Total Value'!$D52-1)</f>
        <v/>
      </c>
      <c r="FA40" s="14" t="str">
        <f ca="1">IF(FA$1="","",'Total Value'!FA52/'Total Value'!$D52-1)</f>
        <v/>
      </c>
      <c r="FB40" s="14" t="str">
        <f ca="1">IF(FB$1="","",'Total Value'!FB52/'Total Value'!$D52-1)</f>
        <v/>
      </c>
      <c r="FC40" s="14" t="str">
        <f ca="1">IF(FC$1="","",'Total Value'!FC52/'Total Value'!$D52-1)</f>
        <v/>
      </c>
      <c r="FD40" s="14" t="str">
        <f ca="1">IF(FD$1="","",'Total Value'!FD52/'Total Value'!$D52-1)</f>
        <v/>
      </c>
      <c r="FE40" s="14" t="str">
        <f ca="1">IF(FE$1="","",'Total Value'!FE52/'Total Value'!$D52-1)</f>
        <v/>
      </c>
      <c r="FF40" s="14" t="str">
        <f ca="1">IF(FF$1="","",'Total Value'!FF52/'Total Value'!$D52-1)</f>
        <v/>
      </c>
      <c r="FG40" s="14" t="str">
        <f ca="1">IF(FG$1="","",'Total Value'!FG52/'Total Value'!$D52-1)</f>
        <v/>
      </c>
      <c r="FH40" s="14" t="str">
        <f ca="1">IF(FH$1="","",'Total Value'!FH52/'Total Value'!$D52-1)</f>
        <v/>
      </c>
      <c r="FI40" s="14" t="str">
        <f ca="1">IF(FI$1="","",'Total Value'!FI52/'Total Value'!$D52-1)</f>
        <v/>
      </c>
      <c r="FJ40" s="14" t="str">
        <f ca="1">IF(FJ$1="","",'Total Value'!FJ52/'Total Value'!$D52-1)</f>
        <v/>
      </c>
      <c r="FK40" s="14" t="str">
        <f ca="1">IF(FK$1="","",'Total Value'!FK52/'Total Value'!$D52-1)</f>
        <v/>
      </c>
      <c r="FL40" s="14" t="str">
        <f ca="1">IF(FL$1="","",'Total Value'!FL52/'Total Value'!$D52-1)</f>
        <v/>
      </c>
      <c r="FM40" s="14" t="str">
        <f ca="1">IF(FM$1="","",'Total Value'!FM52/'Total Value'!$D52-1)</f>
        <v/>
      </c>
      <c r="FN40" s="14" t="str">
        <f ca="1">IF(FN$1="","",'Total Value'!FN52/'Total Value'!$D52-1)</f>
        <v/>
      </c>
      <c r="FO40" s="14" t="str">
        <f ca="1">IF(FO$1="","",'Total Value'!FO52/'Total Value'!$D52-1)</f>
        <v/>
      </c>
      <c r="FP40" s="14" t="str">
        <f ca="1">IF(FP$1="","",'Total Value'!FP52/'Total Value'!$D52-1)</f>
        <v/>
      </c>
      <c r="FQ40" s="14" t="str">
        <f ca="1">IF(FQ$1="","",'Total Value'!FQ52/'Total Value'!$D52-1)</f>
        <v/>
      </c>
      <c r="FR40" s="14" t="str">
        <f ca="1">IF(FR$1="","",'Total Value'!FR52/'Total Value'!$D52-1)</f>
        <v/>
      </c>
      <c r="FS40" s="14" t="str">
        <f ca="1">IF(FS$1="","",'Total Value'!FS52/'Total Value'!$D52-1)</f>
        <v/>
      </c>
      <c r="FT40" s="14" t="str">
        <f ca="1">IF(FT$1="","",'Total Value'!FT52/'Total Value'!$D52-1)</f>
        <v/>
      </c>
      <c r="FU40" s="14" t="str">
        <f ca="1">IF(FU$1="","",'Total Value'!FU52/'Total Value'!$D52-1)</f>
        <v/>
      </c>
      <c r="FV40" s="14" t="str">
        <f ca="1">IF(FV$1="","",'Total Value'!FV52/'Total Value'!$D52-1)</f>
        <v/>
      </c>
      <c r="FW40" s="14" t="str">
        <f ca="1">IF(FW$1="","",'Total Value'!FW52/'Total Value'!$D52-1)</f>
        <v/>
      </c>
      <c r="FX40" s="14" t="str">
        <f ca="1">IF(FX$1="","",'Total Value'!FX52/'Total Value'!$D52-1)</f>
        <v/>
      </c>
      <c r="FY40" s="14" t="str">
        <f ca="1">IF(FY$1="","",'Total Value'!FY52/'Total Value'!$D52-1)</f>
        <v/>
      </c>
      <c r="FZ40" s="14" t="str">
        <f ca="1">IF(FZ$1="","",'Total Value'!FZ52/'Total Value'!$D52-1)</f>
        <v/>
      </c>
      <c r="GA40" s="14" t="str">
        <f ca="1">IF(GA$1="","",'Total Value'!GA52/'Total Value'!$D52-1)</f>
        <v/>
      </c>
      <c r="GB40" s="14" t="str">
        <f ca="1">IF(GB$1="","",'Total Value'!GB52/'Total Value'!$D52-1)</f>
        <v/>
      </c>
      <c r="GC40" s="14" t="str">
        <f ca="1">IF(GC$1="","",'Total Value'!GC52/'Total Value'!$D52-1)</f>
        <v/>
      </c>
      <c r="GD40" s="14" t="str">
        <f ca="1">IF(GD$1="","",'Total Value'!GD52/'Total Value'!$D52-1)</f>
        <v/>
      </c>
      <c r="GE40" s="14" t="str">
        <f ca="1">IF(GE$1="","",'Total Value'!GE52/'Total Value'!$D52-1)</f>
        <v/>
      </c>
      <c r="GF40" s="14" t="str">
        <f ca="1">IF(GF$1="","",'Total Value'!GF52/'Total Value'!$D52-1)</f>
        <v/>
      </c>
      <c r="GG40" s="14" t="str">
        <f ca="1">IF(GG$1="","",'Total Value'!GG52/'Total Value'!$D52-1)</f>
        <v/>
      </c>
      <c r="GH40" s="14" t="str">
        <f ca="1">IF(GH$1="","",'Total Value'!GH52/'Total Value'!$D52-1)</f>
        <v/>
      </c>
      <c r="GI40" s="14" t="str">
        <f ca="1">IF(GI$1="","",'Total Value'!GI52/'Total Value'!$D52-1)</f>
        <v/>
      </c>
      <c r="GJ40" s="14" t="str">
        <f ca="1">IF(GJ$1="","",'Total Value'!GJ52/'Total Value'!$D52-1)</f>
        <v/>
      </c>
      <c r="GK40" s="14" t="str">
        <f ca="1">IF(GK$1="","",'Total Value'!GK52/'Total Value'!$D52-1)</f>
        <v/>
      </c>
      <c r="GL40" s="14" t="str">
        <f ca="1">IF(GL$1="","",'Total Value'!GL52/'Total Value'!$D52-1)</f>
        <v/>
      </c>
      <c r="GM40" s="14" t="str">
        <f ca="1">IF(GM$1="","",'Total Value'!GM52/'Total Value'!$D52-1)</f>
        <v/>
      </c>
      <c r="GN40" s="14" t="str">
        <f ca="1">IF(GN$1="","",'Total Value'!GN52/'Total Value'!$D52-1)</f>
        <v/>
      </c>
      <c r="GO40" s="14" t="str">
        <f ca="1">IF(GO$1="","",'Total Value'!GO52/'Total Value'!$D52-1)</f>
        <v/>
      </c>
      <c r="GP40" s="14" t="str">
        <f ca="1">IF(GP$1="","",'Total Value'!GP52/'Total Value'!$D52-1)</f>
        <v/>
      </c>
      <c r="GQ40" s="14" t="str">
        <f ca="1">IF(GQ$1="","",'Total Value'!GQ52/'Total Value'!$D52-1)</f>
        <v/>
      </c>
      <c r="GR40" s="14" t="str">
        <f ca="1">IF(GR$1="","",'Total Value'!GR52/'Total Value'!$D52-1)</f>
        <v/>
      </c>
      <c r="GS40" s="14" t="str">
        <f ca="1">IF(GS$1="","",'Total Value'!GS52/'Total Value'!$D52-1)</f>
        <v/>
      </c>
      <c r="GT40" s="14" t="str">
        <f ca="1">IF(GT$1="","",'Total Value'!GT52/'Total Value'!$D52-1)</f>
        <v/>
      </c>
      <c r="GU40" s="14" t="str">
        <f ca="1">IF(GU$1="","",'Total Value'!GU52/'Total Value'!$D52-1)</f>
        <v/>
      </c>
      <c r="GV40" s="14" t="str">
        <f ca="1">IF(GV$1="","",'Total Value'!GV52/'Total Value'!$D52-1)</f>
        <v/>
      </c>
      <c r="GW40" s="14" t="str">
        <f ca="1">IF(GW$1="","",'Total Value'!GW52/'Total Value'!$D52-1)</f>
        <v/>
      </c>
      <c r="GX40" s="14" t="str">
        <f ca="1">IF(GX$1="","",'Total Value'!GX52/'Total Value'!$D52-1)</f>
        <v/>
      </c>
      <c r="GY40" s="14" t="str">
        <f ca="1">IF(GY$1="","",'Total Value'!GY52/'Total Value'!$D52-1)</f>
        <v/>
      </c>
      <c r="GZ40" s="14" t="str">
        <f ca="1">IF(GZ$1="","",'Total Value'!GZ52/'Total Value'!$D52-1)</f>
        <v/>
      </c>
      <c r="HA40" s="14" t="str">
        <f ca="1">IF(HA$1="","",'Total Value'!HA52/'Total Value'!$D52-1)</f>
        <v/>
      </c>
      <c r="HB40" s="14" t="str">
        <f ca="1">IF(HB$1="","",'Total Value'!HB52/'Total Value'!$D52-1)</f>
        <v/>
      </c>
      <c r="HC40" s="14" t="str">
        <f ca="1">IF(HC$1="","",'Total Value'!HC52/'Total Value'!$D52-1)</f>
        <v/>
      </c>
      <c r="HD40" s="14" t="str">
        <f ca="1">IF(HD$1="","",'Total Value'!HD52/'Total Value'!$D52-1)</f>
        <v/>
      </c>
      <c r="HE40" s="14" t="str">
        <f ca="1">IF(HE$1="","",'Total Value'!HE52/'Total Value'!$D52-1)</f>
        <v/>
      </c>
      <c r="HF40" s="14" t="str">
        <f ca="1">IF(HF$1="","",'Total Value'!HF52/'Total Value'!$D52-1)</f>
        <v/>
      </c>
      <c r="HG40" s="14" t="str">
        <f ca="1">IF(HG$1="","",'Total Value'!HG52/'Total Value'!$D52-1)</f>
        <v/>
      </c>
      <c r="HH40" s="14" t="str">
        <f ca="1">IF(HH$1="","",'Total Value'!HH52/'Total Value'!$D52-1)</f>
        <v/>
      </c>
      <c r="HI40" s="14" t="str">
        <f ca="1">IF(HI$1="","",'Total Value'!HI52/'Total Value'!$D52-1)</f>
        <v/>
      </c>
      <c r="HJ40" s="14" t="str">
        <f ca="1">IF(HJ$1="","",'Total Value'!HJ52/'Total Value'!$D52-1)</f>
        <v/>
      </c>
      <c r="HK40" s="14" t="str">
        <f ca="1">IF(HK$1="","",'Total Value'!HK52/'Total Value'!$D52-1)</f>
        <v/>
      </c>
      <c r="HL40" s="14" t="str">
        <f ca="1">IF(HL$1="","",'Total Value'!HL52/'Total Value'!$D52-1)</f>
        <v/>
      </c>
      <c r="HM40" s="14" t="str">
        <f ca="1">IF(HM$1="","",'Total Value'!HM52/'Total Value'!$D52-1)</f>
        <v/>
      </c>
      <c r="HN40" s="14" t="str">
        <f ca="1">IF(HN$1="","",'Total Value'!HN52/'Total Value'!$D52-1)</f>
        <v/>
      </c>
      <c r="HO40" s="14" t="str">
        <f ca="1">IF(HO$1="","",'Total Value'!HO52/'Total Value'!$D52-1)</f>
        <v/>
      </c>
      <c r="HP40" s="14" t="str">
        <f ca="1">IF(HP$1="","",'Total Value'!HP52/'Total Value'!$D52-1)</f>
        <v/>
      </c>
      <c r="HQ40" s="14" t="str">
        <f ca="1">IF(HQ$1="","",'Total Value'!HQ52/'Total Value'!$D52-1)</f>
        <v/>
      </c>
      <c r="HR40" s="14" t="str">
        <f ca="1">IF(HR$1="","",'Total Value'!HR52/'Total Value'!$D52-1)</f>
        <v/>
      </c>
      <c r="HS40" s="14" t="str">
        <f ca="1">IF(HS$1="","",'Total Value'!HS52/'Total Value'!$D52-1)</f>
        <v/>
      </c>
      <c r="HT40" s="14" t="str">
        <f ca="1">IF(HT$1="","",'Total Value'!HT52/'Total Value'!$D52-1)</f>
        <v/>
      </c>
      <c r="HU40" s="14" t="str">
        <f ca="1">IF(HU$1="","",'Total Value'!HU52/'Total Value'!$D52-1)</f>
        <v/>
      </c>
      <c r="HV40" s="14" t="str">
        <f ca="1">IF(HV$1="","",'Total Value'!HV52/'Total Value'!$D52-1)</f>
        <v/>
      </c>
      <c r="HW40" s="14" t="str">
        <f ca="1">IF(HW$1="","",'Total Value'!HW52/'Total Value'!$D52-1)</f>
        <v/>
      </c>
      <c r="HX40" s="14" t="str">
        <f ca="1">IF(HX$1="","",'Total Value'!HX52/'Total Value'!$D52-1)</f>
        <v/>
      </c>
      <c r="HY40" s="14" t="str">
        <f ca="1">IF(HY$1="","",'Total Value'!HY52/'Total Value'!$D52-1)</f>
        <v/>
      </c>
      <c r="HZ40" s="14" t="str">
        <f ca="1">IF(HZ$1="","",'Total Value'!HZ52/'Total Value'!$D52-1)</f>
        <v/>
      </c>
      <c r="IA40" s="14" t="str">
        <f ca="1">IF(IA$1="","",'Total Value'!IA52/'Total Value'!$D52-1)</f>
        <v/>
      </c>
      <c r="IB40" s="14" t="str">
        <f ca="1">IF(IB$1="","",'Total Value'!IB52/'Total Value'!$D52-1)</f>
        <v/>
      </c>
      <c r="IC40" s="14" t="str">
        <f ca="1">IF(IC$1="","",'Total Value'!IC52/'Total Value'!$D52-1)</f>
        <v/>
      </c>
      <c r="ID40" s="14" t="str">
        <f ca="1">IF(ID$1="","",'Total Value'!ID52/'Total Value'!$D52-1)</f>
        <v/>
      </c>
      <c r="IE40" s="14" t="str">
        <f ca="1">IF(IE$1="","",'Total Value'!IE52/'Total Value'!$D52-1)</f>
        <v/>
      </c>
      <c r="IF40" s="14" t="str">
        <f ca="1">IF(IF$1="","",'Total Value'!IF52/'Total Value'!$D52-1)</f>
        <v/>
      </c>
      <c r="IG40" s="14" t="str">
        <f ca="1">IF(IG$1="","",'Total Value'!IG52/'Total Value'!$D52-1)</f>
        <v/>
      </c>
      <c r="IH40" s="14" t="str">
        <f ca="1">IF(IH$1="","",'Total Value'!IH52/'Total Value'!$D52-1)</f>
        <v/>
      </c>
      <c r="II40" s="14" t="str">
        <f ca="1">IF(II$1="","",'Total Value'!II52/'Total Value'!$D52-1)</f>
        <v/>
      </c>
      <c r="IJ40" s="14" t="str">
        <f ca="1">IF(IJ$1="","",'Total Value'!IJ52/'Total Value'!$D52-1)</f>
        <v/>
      </c>
      <c r="IK40" s="14" t="str">
        <f ca="1">IF(IK$1="","",'Total Value'!IK52/'Total Value'!$D52-1)</f>
        <v/>
      </c>
      <c r="IL40" s="14" t="str">
        <f ca="1">IF(IL$1="","",'Total Value'!IL52/'Total Value'!$D52-1)</f>
        <v/>
      </c>
      <c r="IM40" s="14" t="str">
        <f ca="1">IF(IM$1="","",'Total Value'!IM52/'Total Value'!$D52-1)</f>
        <v/>
      </c>
      <c r="IN40" s="14" t="str">
        <f ca="1">IF(IN$1="","",'Total Value'!IN52/'Total Value'!$D52-1)</f>
        <v/>
      </c>
      <c r="IO40" s="14" t="str">
        <f ca="1">IF(IO$1="","",'Total Value'!IO52/'Total Value'!$D52-1)</f>
        <v/>
      </c>
      <c r="IP40" s="14" t="str">
        <f ca="1">IF(IP$1="","",'Total Value'!IP52/'Total Value'!$D52-1)</f>
        <v/>
      </c>
      <c r="IQ40" s="14" t="str">
        <f ca="1">IF(IQ$1="","",'Total Value'!IQ52/'Total Value'!$D52-1)</f>
        <v/>
      </c>
      <c r="IR40" s="14" t="str">
        <f ca="1">IF(IR$1="","",'Total Value'!IR52/'Total Value'!$D52-1)</f>
        <v/>
      </c>
      <c r="IS40" s="14" t="str">
        <f ca="1">IF(IS$1="","",'Total Value'!IS52/'Total Value'!$D52-1)</f>
        <v/>
      </c>
      <c r="IT40" s="14" t="str">
        <f ca="1">IF(IT$1="","",'Total Value'!IT52/'Total Value'!$D52-1)</f>
        <v/>
      </c>
      <c r="IU40" s="14" t="str">
        <f ca="1">IF(IU$1="","",'Total Value'!IU52/'Total Value'!$D52-1)</f>
        <v/>
      </c>
      <c r="IV40" s="14" t="str">
        <f ca="1">IF(IV$1="","",'Total Value'!IV52/'Total Value'!$D52-1)</f>
        <v/>
      </c>
      <c r="IW40" s="14" t="str">
        <f ca="1">IF(IW$1="","",'Total Value'!IW52/'Total Value'!$D52-1)</f>
        <v/>
      </c>
      <c r="IX40" s="14" t="str">
        <f ca="1">IF(IX$1="","",'Total Value'!IX52/'Total Value'!$D52-1)</f>
        <v/>
      </c>
      <c r="IY40" s="14" t="str">
        <f ca="1">IF(IY$1="","",'Total Value'!IY52/'Total Value'!$D52-1)</f>
        <v/>
      </c>
      <c r="IZ40" s="14" t="str">
        <f ca="1">IF(IZ$1="","",'Total Value'!IZ52/'Total Value'!$D52-1)</f>
        <v/>
      </c>
      <c r="JA40" s="14" t="str">
        <f ca="1">IF(JA$1="","",'Total Value'!JA52/'Total Value'!$D52-1)</f>
        <v/>
      </c>
      <c r="JB40" s="14" t="str">
        <f ca="1">IF(JB$1="","",'Total Value'!JB52/'Total Value'!$D52-1)</f>
        <v/>
      </c>
      <c r="JC40" s="14" t="str">
        <f ca="1">IF(JC$1="","",'Total Value'!JC52/'Total Value'!$D52-1)</f>
        <v/>
      </c>
      <c r="JD40" s="14" t="str">
        <f ca="1">IF(JD$1="","",'Total Value'!JD52/'Total Value'!$D52-1)</f>
        <v/>
      </c>
      <c r="JE40" s="14" t="str">
        <f ca="1">IF(JE$1="","",'Total Value'!JE52/'Total Value'!$D52-1)</f>
        <v/>
      </c>
      <c r="JF40" s="14" t="str">
        <f ca="1">IF(JF$1="","",'Total Value'!JF52/'Total Value'!$D52-1)</f>
        <v/>
      </c>
      <c r="JG40" s="14" t="str">
        <f ca="1">IF(JG$1="","",'Total Value'!JG52/'Total Value'!$D52-1)</f>
        <v/>
      </c>
      <c r="JH40" s="14" t="str">
        <f ca="1">IF(JH$1="","",'Total Value'!JH52/'Total Value'!$D52-1)</f>
        <v/>
      </c>
      <c r="JI40" s="14" t="str">
        <f ca="1">IF(JI$1="","",'Total Value'!JI52/'Total Value'!$D52-1)</f>
        <v/>
      </c>
      <c r="JJ40" s="14" t="str">
        <f ca="1">IF(JJ$1="","",'Total Value'!JJ52/'Total Value'!$D52-1)</f>
        <v/>
      </c>
      <c r="JK40" s="14" t="str">
        <f ca="1">IF(JK$1="","",'Total Value'!JK52/'Total Value'!$D52-1)</f>
        <v/>
      </c>
      <c r="JL40" s="14" t="str">
        <f ca="1">IF(JL$1="","",'Total Value'!JL52/'Total Value'!$D52-1)</f>
        <v/>
      </c>
      <c r="JM40" s="14" t="str">
        <f ca="1">IF(JM$1="","",'Total Value'!JM52/'Total Value'!$D52-1)</f>
        <v/>
      </c>
      <c r="JN40" s="14" t="str">
        <f ca="1">IF(JN$1="","",'Total Value'!JN52/'Total Value'!$D52-1)</f>
        <v/>
      </c>
      <c r="JO40" s="14" t="str">
        <f ca="1">IF(JO$1="","",'Total Value'!JO52/'Total Value'!$D52-1)</f>
        <v/>
      </c>
      <c r="JP40" s="14" t="str">
        <f ca="1">IF(JP$1="","",'Total Value'!JP52/'Total Value'!$D52-1)</f>
        <v/>
      </c>
      <c r="JQ40" s="14" t="str">
        <f ca="1">IF(JQ$1="","",'Total Value'!JQ52/'Total Value'!$D52-1)</f>
        <v/>
      </c>
      <c r="JR40" s="14" t="str">
        <f ca="1">IF(JR$1="","",'Total Value'!JR52/'Total Value'!$D52-1)</f>
        <v/>
      </c>
      <c r="JS40" s="14" t="str">
        <f ca="1">IF(JS$1="","",'Total Value'!JS52/'Total Value'!$D52-1)</f>
        <v/>
      </c>
      <c r="JT40" s="14" t="str">
        <f ca="1">IF(JT$1="","",'Total Value'!JT52/'Total Value'!$D52-1)</f>
        <v/>
      </c>
      <c r="JU40" s="14" t="str">
        <f ca="1">IF(JU$1="","",'Total Value'!JU52/'Total Value'!$D52-1)</f>
        <v/>
      </c>
      <c r="JV40" s="14" t="str">
        <f ca="1">IF(JV$1="","",'Total Value'!JV52/'Total Value'!$D52-1)</f>
        <v/>
      </c>
      <c r="JW40" s="14" t="str">
        <f ca="1">IF(JW$1="","",'Total Value'!JW52/'Total Value'!$D52-1)</f>
        <v/>
      </c>
      <c r="JX40" s="14" t="str">
        <f ca="1">IF(JX$1="","",'Total Value'!JX52/'Total Value'!$D52-1)</f>
        <v/>
      </c>
      <c r="JY40" s="14" t="str">
        <f ca="1">IF(JY$1="","",'Total Value'!JY52/'Total Value'!$D52-1)</f>
        <v/>
      </c>
      <c r="JZ40" s="14" t="str">
        <f ca="1">IF(JZ$1="","",'Total Value'!JZ52/'Total Value'!$D52-1)</f>
        <v/>
      </c>
      <c r="KA40" s="14" t="str">
        <f ca="1">IF(KA$1="","",'Total Value'!KA52/'Total Value'!$D52-1)</f>
        <v/>
      </c>
      <c r="KB40" s="14" t="str">
        <f ca="1">IF(KB$1="","",'Total Value'!KB52/'Total Value'!$D52-1)</f>
        <v/>
      </c>
    </row>
    <row r="41" spans="1:288" ht="15.75" customHeight="1">
      <c r="A41" s="9" t="s">
        <v>30</v>
      </c>
      <c r="B41" s="6" t="s">
        <v>84</v>
      </c>
      <c r="C41" s="26">
        <v>39</v>
      </c>
      <c r="D41" s="13">
        <v>0</v>
      </c>
      <c r="E41" s="14">
        <f ca="1">IF(E$1="","",'Total Value'!E53/'Total Value'!$D53-1)</f>
        <v>0.1044487427466152</v>
      </c>
      <c r="F41" s="14">
        <f ca="1">IF(F$1="","",'Total Value'!F53/'Total Value'!$D53-1)</f>
        <v>0.10541586073500975</v>
      </c>
      <c r="G41" s="14">
        <f ca="1">IF(G$1="","",'Total Value'!G53/'Total Value'!$D53-1)</f>
        <v>6.8665377176015507E-2</v>
      </c>
      <c r="H41" s="14">
        <f ca="1">IF(H$1="","",'Total Value'!H53/'Total Value'!$D53-1)</f>
        <v>9.3810444874274701E-2</v>
      </c>
      <c r="I41" s="14">
        <f ca="1">IF(I$1="","",'Total Value'!I53/'Total Value'!$D53-1)</f>
        <v>7.0599613152804608E-2</v>
      </c>
      <c r="J41" s="14">
        <f ca="1">IF(J$1="","",'Total Value'!J53/'Total Value'!$D53-1)</f>
        <v>6.5764023210831635E-2</v>
      </c>
      <c r="K41" s="14">
        <f ca="1">IF(K$1="","",'Total Value'!K53/'Total Value'!$D53-1)</f>
        <v>-1.0638297872340385E-2</v>
      </c>
      <c r="L41" s="14">
        <f ca="1">IF(L$1="","",'Total Value'!L53/'Total Value'!$D53-1)</f>
        <v>-5.415860735009681E-2</v>
      </c>
      <c r="M41" s="14">
        <f ca="1">IF(M$1="","",'Total Value'!M53/'Total Value'!$D53-1)</f>
        <v>-2.030947775628611E-2</v>
      </c>
      <c r="N41" s="14">
        <f ca="1">IF(N$1="","",'Total Value'!N53/'Total Value'!$D53-1)</f>
        <v>1.2572533849129819E-2</v>
      </c>
      <c r="O41" s="14">
        <f ca="1">IF(O$1="","",'Total Value'!O53/'Total Value'!$D53-1)</f>
        <v>-1.4506769825918808E-2</v>
      </c>
      <c r="P41" s="14">
        <f ca="1">IF(P$1="","",'Total Value'!P53/'Total Value'!$D53-1)</f>
        <v>-9.6711798839458352E-3</v>
      </c>
      <c r="Q41" s="14">
        <f ca="1">IF(Q$1="","",'Total Value'!Q53/'Total Value'!$D53-1)</f>
        <v>-3.8684719535782008E-3</v>
      </c>
      <c r="R41" s="14">
        <f ca="1">IF(R$1="","",'Total Value'!R53/'Total Value'!$D53-1)</f>
        <v>2.9013539651837617E-2</v>
      </c>
      <c r="S41" s="14">
        <f ca="1">IF(S$1="","",'Total Value'!S53/'Total Value'!$D53-1)</f>
        <v>9.1876208897485379E-2</v>
      </c>
      <c r="T41" s="14">
        <f ca="1">IF(T$1="","",'Total Value'!T53/'Total Value'!$D53-1)</f>
        <v>9.7678916827852902E-2</v>
      </c>
      <c r="U41" s="14">
        <f ca="1">IF(U$1="","",'Total Value'!U53/'Total Value'!$D53-1)</f>
        <v>8.0270793036750554E-2</v>
      </c>
      <c r="V41" s="14">
        <f ca="1">IF(V$1="","",'Total Value'!V53/'Total Value'!$D53-1)</f>
        <v>0.12475822050290142</v>
      </c>
      <c r="W41" s="14">
        <f ca="1">IF(W$1="","",'Total Value'!W53/'Total Value'!$D53-1)</f>
        <v>0.12475822050290142</v>
      </c>
      <c r="X41" s="14">
        <f ca="1">IF(X$1="","",'Total Value'!X53/'Total Value'!$D53-1)</f>
        <v>5.512572533849136E-2</v>
      </c>
      <c r="Y41" s="14">
        <f ca="1">IF(Y$1="","",'Total Value'!Y53/'Total Value'!$D53-1)</f>
        <v>7.1566731141199158E-2</v>
      </c>
      <c r="Z41" s="14">
        <f ca="1">IF(Z$1="","",'Total Value'!Z53/'Total Value'!$D53-1)</f>
        <v>0.11508704061895547</v>
      </c>
      <c r="AA41" s="14">
        <f ca="1">IF(AA$1="","",'Total Value'!AA53/'Total Value'!$D53-1)</f>
        <v>0.23791102514506779</v>
      </c>
      <c r="AB41" s="14">
        <f ca="1">IF(AB$1="","",'Total Value'!AB53/'Total Value'!$D53-1)</f>
        <v>0.17504835589941981</v>
      </c>
      <c r="AC41" s="14">
        <f ca="1">IF(AC$1="","",'Total Value'!AC53/'Total Value'!$D53-1)</f>
        <v>0.14796905222437129</v>
      </c>
      <c r="AD41" s="14">
        <f ca="1">IF(AD$1="","",'Total Value'!AD53/'Total Value'!$D53-1)</f>
        <v>0.20502901353965197</v>
      </c>
      <c r="AE41" s="14">
        <f ca="1">IF(AE$1="","",'Total Value'!AE53/'Total Value'!$D53-1)</f>
        <v>0.2185686653771759</v>
      </c>
      <c r="AF41" s="14">
        <f ca="1">IF(AF$1="","",'Total Value'!AF53/'Total Value'!$D53-1)</f>
        <v>0.17601547388781436</v>
      </c>
      <c r="AG41" s="14">
        <f ca="1">IF(AG$1="","",'Total Value'!AG53/'Total Value'!$D53-1)</f>
        <v>0.18762088974854918</v>
      </c>
      <c r="AH41" s="14">
        <f ca="1">IF(AH$1="","",'Total Value'!AH53/'Total Value'!$D53-1)</f>
        <v>0.24564796905222441</v>
      </c>
      <c r="AI41" s="14">
        <f ca="1">IF(AI$1="","",'Total Value'!AI53/'Total Value'!$D53-1)</f>
        <v>0.27466150870406181</v>
      </c>
      <c r="AJ41" s="14">
        <f ca="1">IF(AJ$1="","",'Total Value'!AJ53/'Total Value'!$D53-1)</f>
        <v>0.36557059961315264</v>
      </c>
      <c r="AK41" s="14">
        <f ca="1">IF(AK$1="","",'Total Value'!AK53/'Total Value'!$D53-1)</f>
        <v>0.51934235976789189</v>
      </c>
      <c r="AL41" s="14">
        <f ca="1">IF(AL$1="","",'Total Value'!AL53/'Total Value'!$D53-1)</f>
        <v>0.65764023210831724</v>
      </c>
      <c r="AM41" s="14">
        <f ca="1">IF(AM$1="","",'Total Value'!AM53/'Total Value'!$D53-1)</f>
        <v>0.67891682785299801</v>
      </c>
      <c r="AN41" s="14">
        <f ca="1">IF(AN$1="","",'Total Value'!AN53/'Total Value'!$D53-1)</f>
        <v>0.67698259187620891</v>
      </c>
      <c r="AO41" s="14">
        <f ca="1">IF(AO$1="","",'Total Value'!AO53/'Total Value'!$D53-1)</f>
        <v>0.74951644100580261</v>
      </c>
      <c r="AP41" s="14">
        <f ca="1">IF(AP$1="","",'Total Value'!AP53/'Total Value'!$D53-1)</f>
        <v>0.79690522243713713</v>
      </c>
      <c r="AQ41" s="14">
        <f ca="1">IF(AQ$1="","",'Total Value'!AQ53/'Total Value'!$D53-1)</f>
        <v>0.68955512572533828</v>
      </c>
      <c r="AR41" s="14">
        <f ca="1">IF(AR$1="","",'Total Value'!AR53/'Total Value'!$D53-1)</f>
        <v>0.62088974854932322</v>
      </c>
      <c r="AS41" s="14">
        <f ca="1">IF(AS$1="","",'Total Value'!AS53/'Total Value'!$D53-1)</f>
        <v>0.61895551257253367</v>
      </c>
      <c r="AT41" s="14">
        <f ca="1">IF(AT$1="","",'Total Value'!AT53/'Total Value'!$D53-1)</f>
        <v>0.51740812379110257</v>
      </c>
      <c r="AU41" s="14">
        <f ca="1">IF(AU$1="","",'Total Value'!AU53/'Total Value'!$D53-1)</f>
        <v>0.44390715667311409</v>
      </c>
      <c r="AV41" s="14">
        <f ca="1">IF(AV$1="","",'Total Value'!AV53/'Total Value'!$D53-1)</f>
        <v>0.40715667311412007</v>
      </c>
      <c r="AW41" s="14">
        <f ca="1">IF(AW$1="","",'Total Value'!AW53/'Total Value'!$D53-1)</f>
        <v>0.37427466150870425</v>
      </c>
      <c r="AX41" s="14">
        <f ca="1">IF(AX$1="","",'Total Value'!AX53/'Total Value'!$D53-1)</f>
        <v>0.48162475822050288</v>
      </c>
      <c r="AY41" s="14">
        <f ca="1">IF(AY$1="","",'Total Value'!AY53/'Total Value'!$D53-1)</f>
        <v>0.46324951644100598</v>
      </c>
      <c r="AZ41" s="14">
        <f ca="1">IF(AZ$1="","",'Total Value'!AZ53/'Total Value'!$D53-1)</f>
        <v>0.49709864603481635</v>
      </c>
      <c r="BA41" s="14">
        <f ca="1">IF(BA$1="","",'Total Value'!BA53/'Total Value'!$D53-1)</f>
        <v>0.50290135396518365</v>
      </c>
      <c r="BB41" s="14">
        <f ca="1">IF(BB$1="","",'Total Value'!BB53/'Total Value'!$D53-1)</f>
        <v>0.52224371373307554</v>
      </c>
      <c r="BC41" s="14">
        <f ca="1">IF(BC$1="","",'Total Value'!BC53/'Total Value'!$D53-1)</f>
        <v>0.52611218568665374</v>
      </c>
      <c r="BD41" s="14">
        <f ca="1">IF(BD$1="","",'Total Value'!BD53/'Total Value'!$D53-1)</f>
        <v>0.60541586073500997</v>
      </c>
      <c r="BE41" s="14">
        <f ca="1">IF(BE$1="","",'Total Value'!BE53/'Total Value'!$D53-1)</f>
        <v>0.53868471953578334</v>
      </c>
      <c r="BF41" s="14">
        <f ca="1">IF(BF$1="","",'Total Value'!BF53/'Total Value'!$D53-1)</f>
        <v>0.53481624758220492</v>
      </c>
      <c r="BG41" s="14">
        <f ca="1">IF(BG$1="","",'Total Value'!BG53/'Total Value'!$D53-1)</f>
        <v>0.5967117988394588</v>
      </c>
      <c r="BH41" s="14">
        <f ca="1">IF(BH$1="","",'Total Value'!BH53/'Total Value'!$D53-1)</f>
        <v>0.52707930367504829</v>
      </c>
      <c r="BI41" s="14">
        <f ca="1">IF(BI$1="","",'Total Value'!BI53/'Total Value'!$D53-1)</f>
        <v>0.64893617021276606</v>
      </c>
      <c r="BJ41" s="14">
        <f ca="1">IF(BJ$1="","",'Total Value'!BJ53/'Total Value'!$D53-1)</f>
        <v>0.66441005802707953</v>
      </c>
      <c r="BK41" s="14">
        <f ca="1">IF(BK$1="","",'Total Value'!BK53/'Total Value'!$D53-1)</f>
        <v>0.62475822050290142</v>
      </c>
      <c r="BL41" s="14">
        <f ca="1">IF(BL$1="","",'Total Value'!BL53/'Total Value'!$D53-1)</f>
        <v>0.67988394584139278</v>
      </c>
      <c r="BM41" s="14">
        <f ca="1">IF(BM$1="","",'Total Value'!BM53/'Total Value'!$D53-1)</f>
        <v>0.72147001934235999</v>
      </c>
      <c r="BN41" s="14">
        <f ca="1">IF(BN$1="","",'Total Value'!BN53/'Total Value'!$D53-1)</f>
        <v>0.81141199226305627</v>
      </c>
      <c r="BO41" s="14">
        <f ca="1">IF(BO$1="","",'Total Value'!BO53/'Total Value'!$D53-1)</f>
        <v>0.75338491295938104</v>
      </c>
      <c r="BP41" s="14">
        <f ca="1">IF(BP$1="","",'Total Value'!BP53/'Total Value'!$D53-1)</f>
        <v>0.79883945841392667</v>
      </c>
      <c r="BQ41" s="14">
        <f ca="1">IF(BQ$1="","",'Total Value'!BQ53/'Total Value'!$D53-1)</f>
        <v>0.81431334622824014</v>
      </c>
      <c r="BR41" s="14">
        <f ca="1">IF(BR$1="","",'Total Value'!BR53/'Total Value'!$D53-1)</f>
        <v>0.92940038684719539</v>
      </c>
      <c r="BS41" s="14">
        <f ca="1">IF(BS$1="","",'Total Value'!BS53/'Total Value'!$D53-1)</f>
        <v>0.93423597678916837</v>
      </c>
      <c r="BT41" s="14">
        <f ca="1">IF(BT$1="","",'Total Value'!BT53/'Total Value'!$D53-1)</f>
        <v>0.89555125725338525</v>
      </c>
      <c r="BU41" s="14">
        <f ca="1">IF(BU$1="","",'Total Value'!BU53/'Total Value'!$D53-1)</f>
        <v>0.94874274661508684</v>
      </c>
      <c r="BV41" s="14">
        <f ca="1">IF(BV$1="","",'Total Value'!BV53/'Total Value'!$D53-1)</f>
        <v>0.82398452611218564</v>
      </c>
      <c r="BW41" s="14">
        <f ca="1">IF(BW$1="","",'Total Value'!BW53/'Total Value'!$D53-1)</f>
        <v>0.74274661508704054</v>
      </c>
      <c r="BX41" s="14">
        <f ca="1">IF(BX$1="","",'Total Value'!BX53/'Total Value'!$D53-1)</f>
        <v>0.73791102514506757</v>
      </c>
      <c r="BY41" s="14">
        <f ca="1">IF(BY$1="","",'Total Value'!BY53/'Total Value'!$D53-1)</f>
        <v>0.72727272727272729</v>
      </c>
      <c r="BZ41" s="14">
        <f ca="1">IF(BZ$1="","",'Total Value'!BZ53/'Total Value'!$D53-1)</f>
        <v>0.75822050290135401</v>
      </c>
      <c r="CA41" s="14">
        <f ca="1">IF(CA$1="","",'Total Value'!CA53/'Total Value'!$D53-1)</f>
        <v>0.82398452611218564</v>
      </c>
      <c r="CB41" s="14">
        <f ca="1">IF(CB$1="","",'Total Value'!CB53/'Total Value'!$D53-1)</f>
        <v>0.75725338491295968</v>
      </c>
      <c r="CC41" s="14">
        <f ca="1">IF(CC$1="","",'Total Value'!CC53/'Total Value'!$D53-1)</f>
        <v>0.75628626692456491</v>
      </c>
      <c r="CD41" s="14">
        <f ca="1">IF(CD$1="","",'Total Value'!CD53/'Total Value'!$D53-1)</f>
        <v>0.89071566731141205</v>
      </c>
      <c r="CE41" s="14">
        <f ca="1">IF(CE$1="","",'Total Value'!CE53/'Total Value'!$D53-1)</f>
        <v>1.011605415860735</v>
      </c>
      <c r="CF41" s="14" t="str">
        <f ca="1">IF(CF$1="","",'Total Value'!CF53/'Total Value'!$D53-1)</f>
        <v/>
      </c>
      <c r="CG41" s="14" t="str">
        <f ca="1">IF(CG$1="","",'Total Value'!CG53/'Total Value'!$D53-1)</f>
        <v/>
      </c>
      <c r="CH41" s="14" t="str">
        <f ca="1">IF(CH$1="","",'Total Value'!CH53/'Total Value'!$D53-1)</f>
        <v/>
      </c>
      <c r="CI41" s="14" t="str">
        <f ca="1">IF(CI$1="","",'Total Value'!CI53/'Total Value'!$D53-1)</f>
        <v/>
      </c>
      <c r="CJ41" s="14" t="str">
        <f ca="1">IF(CJ$1="","",'Total Value'!CJ53/'Total Value'!$D53-1)</f>
        <v/>
      </c>
      <c r="CK41" s="14" t="str">
        <f ca="1">IF(CK$1="","",'Total Value'!CK53/'Total Value'!$D53-1)</f>
        <v/>
      </c>
      <c r="CL41" s="14" t="str">
        <f ca="1">IF(CL$1="","",'Total Value'!CL53/'Total Value'!$D53-1)</f>
        <v/>
      </c>
      <c r="CM41" s="14" t="str">
        <f ca="1">IF(CM$1="","",'Total Value'!CM53/'Total Value'!$D53-1)</f>
        <v/>
      </c>
      <c r="CN41" s="14" t="str">
        <f ca="1">IF(CN$1="","",'Total Value'!CN53/'Total Value'!$D53-1)</f>
        <v/>
      </c>
      <c r="CO41" s="14" t="str">
        <f ca="1">IF(CO$1="","",'Total Value'!CO53/'Total Value'!$D53-1)</f>
        <v/>
      </c>
      <c r="CP41" s="14" t="str">
        <f ca="1">IF(CP$1="","",'Total Value'!CP53/'Total Value'!$D53-1)</f>
        <v/>
      </c>
      <c r="CQ41" s="14" t="str">
        <f ca="1">IF(CQ$1="","",'Total Value'!CQ53/'Total Value'!$D53-1)</f>
        <v/>
      </c>
      <c r="CR41" s="14" t="str">
        <f ca="1">IF(CR$1="","",'Total Value'!CR53/'Total Value'!$D53-1)</f>
        <v/>
      </c>
      <c r="CS41" s="14" t="str">
        <f ca="1">IF(CS$1="","",'Total Value'!CS53/'Total Value'!$D53-1)</f>
        <v/>
      </c>
      <c r="CT41" s="14" t="str">
        <f ca="1">IF(CT$1="","",'Total Value'!CT53/'Total Value'!$D53-1)</f>
        <v/>
      </c>
      <c r="CU41" s="14" t="str">
        <f ca="1">IF(CU$1="","",'Total Value'!CU53/'Total Value'!$D53-1)</f>
        <v/>
      </c>
      <c r="CV41" s="14" t="str">
        <f ca="1">IF(CV$1="","",'Total Value'!CV53/'Total Value'!$D53-1)</f>
        <v/>
      </c>
      <c r="CW41" s="14" t="str">
        <f ca="1">IF(CW$1="","",'Total Value'!CW53/'Total Value'!$D53-1)</f>
        <v/>
      </c>
      <c r="CX41" s="14" t="str">
        <f ca="1">IF(CX$1="","",'Total Value'!CX53/'Total Value'!$D53-1)</f>
        <v/>
      </c>
      <c r="CY41" s="14" t="str">
        <f ca="1">IF(CY$1="","",'Total Value'!CY53/'Total Value'!$D53-1)</f>
        <v/>
      </c>
      <c r="CZ41" s="14" t="str">
        <f ca="1">IF(CZ$1="","",'Total Value'!CZ53/'Total Value'!$D53-1)</f>
        <v/>
      </c>
      <c r="DA41" s="14" t="str">
        <f ca="1">IF(DA$1="","",'Total Value'!DA53/'Total Value'!$D53-1)</f>
        <v/>
      </c>
      <c r="DB41" s="14" t="str">
        <f ca="1">IF(DB$1="","",'Total Value'!DB53/'Total Value'!$D53-1)</f>
        <v/>
      </c>
      <c r="DC41" s="14" t="str">
        <f ca="1">IF(DC$1="","",'Total Value'!DC53/'Total Value'!$D53-1)</f>
        <v/>
      </c>
      <c r="DD41" s="14" t="str">
        <f ca="1">IF(DD$1="","",'Total Value'!DD53/'Total Value'!$D53-1)</f>
        <v/>
      </c>
      <c r="DE41" s="14" t="str">
        <f ca="1">IF(DE$1="","",'Total Value'!DE53/'Total Value'!$D53-1)</f>
        <v/>
      </c>
      <c r="DF41" s="14" t="str">
        <f ca="1">IF(DF$1="","",'Total Value'!DF53/'Total Value'!$D53-1)</f>
        <v/>
      </c>
      <c r="DG41" s="14" t="str">
        <f ca="1">IF(DG$1="","",'Total Value'!DG53/'Total Value'!$D53-1)</f>
        <v/>
      </c>
      <c r="DH41" s="14" t="str">
        <f ca="1">IF(DH$1="","",'Total Value'!DH53/'Total Value'!$D53-1)</f>
        <v/>
      </c>
      <c r="DI41" s="14" t="str">
        <f ca="1">IF(DI$1="","",'Total Value'!DI53/'Total Value'!$D53-1)</f>
        <v/>
      </c>
      <c r="DJ41" s="14" t="str">
        <f ca="1">IF(DJ$1="","",'Total Value'!DJ53/'Total Value'!$D53-1)</f>
        <v/>
      </c>
      <c r="DK41" s="14" t="str">
        <f ca="1">IF(DK$1="","",'Total Value'!DK53/'Total Value'!$D53-1)</f>
        <v/>
      </c>
      <c r="DL41" s="14" t="str">
        <f ca="1">IF(DL$1="","",'Total Value'!DL53/'Total Value'!$D53-1)</f>
        <v/>
      </c>
      <c r="DM41" s="14" t="str">
        <f ca="1">IF(DM$1="","",'Total Value'!DM53/'Total Value'!$D53-1)</f>
        <v/>
      </c>
      <c r="DN41" s="14" t="str">
        <f ca="1">IF(DN$1="","",'Total Value'!DN53/'Total Value'!$D53-1)</f>
        <v/>
      </c>
      <c r="DO41" s="14" t="str">
        <f ca="1">IF(DO$1="","",'Total Value'!DO53/'Total Value'!$D53-1)</f>
        <v/>
      </c>
      <c r="DP41" s="14" t="str">
        <f ca="1">IF(DP$1="","",'Total Value'!DP53/'Total Value'!$D53-1)</f>
        <v/>
      </c>
      <c r="DQ41" s="14" t="str">
        <f ca="1">IF(DQ$1="","",'Total Value'!DQ53/'Total Value'!$D53-1)</f>
        <v/>
      </c>
      <c r="DR41" s="14" t="str">
        <f ca="1">IF(DR$1="","",'Total Value'!DR53/'Total Value'!$D53-1)</f>
        <v/>
      </c>
      <c r="DS41" s="14" t="str">
        <f ca="1">IF(DS$1="","",'Total Value'!DS53/'Total Value'!$D53-1)</f>
        <v/>
      </c>
      <c r="DT41" s="14" t="str">
        <f ca="1">IF(DT$1="","",'Total Value'!DT53/'Total Value'!$D53-1)</f>
        <v/>
      </c>
      <c r="DU41" s="14" t="str">
        <f ca="1">IF(DU$1="","",'Total Value'!DU53/'Total Value'!$D53-1)</f>
        <v/>
      </c>
      <c r="DV41" s="14" t="str">
        <f ca="1">IF(DV$1="","",'Total Value'!DV53/'Total Value'!$D53-1)</f>
        <v/>
      </c>
      <c r="DW41" s="14" t="str">
        <f ca="1">IF(DW$1="","",'Total Value'!DW53/'Total Value'!$D53-1)</f>
        <v/>
      </c>
      <c r="DX41" s="14" t="str">
        <f ca="1">IF(DX$1="","",'Total Value'!DX53/'Total Value'!$D53-1)</f>
        <v/>
      </c>
      <c r="DY41" s="14" t="str">
        <f ca="1">IF(DY$1="","",'Total Value'!DY53/'Total Value'!$D53-1)</f>
        <v/>
      </c>
      <c r="DZ41" s="14" t="str">
        <f ca="1">IF(DZ$1="","",'Total Value'!DZ53/'Total Value'!$D53-1)</f>
        <v/>
      </c>
      <c r="EA41" s="14" t="str">
        <f ca="1">IF(EA$1="","",'Total Value'!EA53/'Total Value'!$D53-1)</f>
        <v/>
      </c>
      <c r="EB41" s="14" t="str">
        <f ca="1">IF(EB$1="","",'Total Value'!EB53/'Total Value'!$D53-1)</f>
        <v/>
      </c>
      <c r="EC41" s="14" t="str">
        <f ca="1">IF(EC$1="","",'Total Value'!EC53/'Total Value'!$D53-1)</f>
        <v/>
      </c>
      <c r="ED41" s="14" t="str">
        <f ca="1">IF(ED$1="","",'Total Value'!ED53/'Total Value'!$D53-1)</f>
        <v/>
      </c>
      <c r="EE41" s="14" t="str">
        <f ca="1">IF(EE$1="","",'Total Value'!EE53/'Total Value'!$D53-1)</f>
        <v/>
      </c>
      <c r="EF41" s="14" t="str">
        <f ca="1">IF(EF$1="","",'Total Value'!EF53/'Total Value'!$D53-1)</f>
        <v/>
      </c>
      <c r="EG41" s="14" t="str">
        <f ca="1">IF(EG$1="","",'Total Value'!EG53/'Total Value'!$D53-1)</f>
        <v/>
      </c>
      <c r="EH41" s="14" t="str">
        <f ca="1">IF(EH$1="","",'Total Value'!EH53/'Total Value'!$D53-1)</f>
        <v/>
      </c>
      <c r="EI41" s="14" t="str">
        <f ca="1">IF(EI$1="","",'Total Value'!EI53/'Total Value'!$D53-1)</f>
        <v/>
      </c>
      <c r="EJ41" s="14" t="str">
        <f ca="1">IF(EJ$1="","",'Total Value'!EJ53/'Total Value'!$D53-1)</f>
        <v/>
      </c>
      <c r="EK41" s="14" t="str">
        <f ca="1">IF(EK$1="","",'Total Value'!EK53/'Total Value'!$D53-1)</f>
        <v/>
      </c>
      <c r="EL41" s="14" t="str">
        <f ca="1">IF(EL$1="","",'Total Value'!EL53/'Total Value'!$D53-1)</f>
        <v/>
      </c>
      <c r="EM41" s="14" t="str">
        <f ca="1">IF(EM$1="","",'Total Value'!EM53/'Total Value'!$D53-1)</f>
        <v/>
      </c>
      <c r="EN41" s="14" t="str">
        <f ca="1">IF(EN$1="","",'Total Value'!EN53/'Total Value'!$D53-1)</f>
        <v/>
      </c>
      <c r="EO41" s="14" t="str">
        <f ca="1">IF(EO$1="","",'Total Value'!EO53/'Total Value'!$D53-1)</f>
        <v/>
      </c>
      <c r="EP41" s="14" t="str">
        <f ca="1">IF(EP$1="","",'Total Value'!EP53/'Total Value'!$D53-1)</f>
        <v/>
      </c>
      <c r="EQ41" s="14" t="str">
        <f ca="1">IF(EQ$1="","",'Total Value'!EQ53/'Total Value'!$D53-1)</f>
        <v/>
      </c>
      <c r="ER41" s="14" t="str">
        <f ca="1">IF(ER$1="","",'Total Value'!ER53/'Total Value'!$D53-1)</f>
        <v/>
      </c>
      <c r="ES41" s="14" t="str">
        <f ca="1">IF(ES$1="","",'Total Value'!ES53/'Total Value'!$D53-1)</f>
        <v/>
      </c>
      <c r="ET41" s="14" t="str">
        <f ca="1">IF(ET$1="","",'Total Value'!ET53/'Total Value'!$D53-1)</f>
        <v/>
      </c>
      <c r="EU41" s="14" t="str">
        <f ca="1">IF(EU$1="","",'Total Value'!EU53/'Total Value'!$D53-1)</f>
        <v/>
      </c>
      <c r="EV41" s="14" t="str">
        <f ca="1">IF(EV$1="","",'Total Value'!EV53/'Total Value'!$D53-1)</f>
        <v/>
      </c>
      <c r="EW41" s="14" t="str">
        <f ca="1">IF(EW$1="","",'Total Value'!EW53/'Total Value'!$D53-1)</f>
        <v/>
      </c>
      <c r="EX41" s="14" t="str">
        <f ca="1">IF(EX$1="","",'Total Value'!EX53/'Total Value'!$D53-1)</f>
        <v/>
      </c>
      <c r="EY41" s="14" t="str">
        <f ca="1">IF(EY$1="","",'Total Value'!EY53/'Total Value'!$D53-1)</f>
        <v/>
      </c>
      <c r="EZ41" s="14" t="str">
        <f ca="1">IF(EZ$1="","",'Total Value'!EZ53/'Total Value'!$D53-1)</f>
        <v/>
      </c>
      <c r="FA41" s="14" t="str">
        <f ca="1">IF(FA$1="","",'Total Value'!FA53/'Total Value'!$D53-1)</f>
        <v/>
      </c>
      <c r="FB41" s="14" t="str">
        <f ca="1">IF(FB$1="","",'Total Value'!FB53/'Total Value'!$D53-1)</f>
        <v/>
      </c>
      <c r="FC41" s="14" t="str">
        <f ca="1">IF(FC$1="","",'Total Value'!FC53/'Total Value'!$D53-1)</f>
        <v/>
      </c>
      <c r="FD41" s="14" t="str">
        <f ca="1">IF(FD$1="","",'Total Value'!FD53/'Total Value'!$D53-1)</f>
        <v/>
      </c>
      <c r="FE41" s="14" t="str">
        <f ca="1">IF(FE$1="","",'Total Value'!FE53/'Total Value'!$D53-1)</f>
        <v/>
      </c>
      <c r="FF41" s="14" t="str">
        <f ca="1">IF(FF$1="","",'Total Value'!FF53/'Total Value'!$D53-1)</f>
        <v/>
      </c>
      <c r="FG41" s="14" t="str">
        <f ca="1">IF(FG$1="","",'Total Value'!FG53/'Total Value'!$D53-1)</f>
        <v/>
      </c>
      <c r="FH41" s="14" t="str">
        <f ca="1">IF(FH$1="","",'Total Value'!FH53/'Total Value'!$D53-1)</f>
        <v/>
      </c>
      <c r="FI41" s="14" t="str">
        <f ca="1">IF(FI$1="","",'Total Value'!FI53/'Total Value'!$D53-1)</f>
        <v/>
      </c>
      <c r="FJ41" s="14" t="str">
        <f ca="1">IF(FJ$1="","",'Total Value'!FJ53/'Total Value'!$D53-1)</f>
        <v/>
      </c>
      <c r="FK41" s="14" t="str">
        <f ca="1">IF(FK$1="","",'Total Value'!FK53/'Total Value'!$D53-1)</f>
        <v/>
      </c>
      <c r="FL41" s="14" t="str">
        <f ca="1">IF(FL$1="","",'Total Value'!FL53/'Total Value'!$D53-1)</f>
        <v/>
      </c>
      <c r="FM41" s="14" t="str">
        <f ca="1">IF(FM$1="","",'Total Value'!FM53/'Total Value'!$D53-1)</f>
        <v/>
      </c>
      <c r="FN41" s="14" t="str">
        <f ca="1">IF(FN$1="","",'Total Value'!FN53/'Total Value'!$D53-1)</f>
        <v/>
      </c>
      <c r="FO41" s="14" t="str">
        <f ca="1">IF(FO$1="","",'Total Value'!FO53/'Total Value'!$D53-1)</f>
        <v/>
      </c>
      <c r="FP41" s="14" t="str">
        <f ca="1">IF(FP$1="","",'Total Value'!FP53/'Total Value'!$D53-1)</f>
        <v/>
      </c>
      <c r="FQ41" s="14" t="str">
        <f ca="1">IF(FQ$1="","",'Total Value'!FQ53/'Total Value'!$D53-1)</f>
        <v/>
      </c>
      <c r="FR41" s="14" t="str">
        <f ca="1">IF(FR$1="","",'Total Value'!FR53/'Total Value'!$D53-1)</f>
        <v/>
      </c>
      <c r="FS41" s="14" t="str">
        <f ca="1">IF(FS$1="","",'Total Value'!FS53/'Total Value'!$D53-1)</f>
        <v/>
      </c>
      <c r="FT41" s="14" t="str">
        <f ca="1">IF(FT$1="","",'Total Value'!FT53/'Total Value'!$D53-1)</f>
        <v/>
      </c>
      <c r="FU41" s="14" t="str">
        <f ca="1">IF(FU$1="","",'Total Value'!FU53/'Total Value'!$D53-1)</f>
        <v/>
      </c>
      <c r="FV41" s="14" t="str">
        <f ca="1">IF(FV$1="","",'Total Value'!FV53/'Total Value'!$D53-1)</f>
        <v/>
      </c>
      <c r="FW41" s="14" t="str">
        <f ca="1">IF(FW$1="","",'Total Value'!FW53/'Total Value'!$D53-1)</f>
        <v/>
      </c>
      <c r="FX41" s="14" t="str">
        <f ca="1">IF(FX$1="","",'Total Value'!FX53/'Total Value'!$D53-1)</f>
        <v/>
      </c>
      <c r="FY41" s="14" t="str">
        <f ca="1">IF(FY$1="","",'Total Value'!FY53/'Total Value'!$D53-1)</f>
        <v/>
      </c>
      <c r="FZ41" s="14" t="str">
        <f ca="1">IF(FZ$1="","",'Total Value'!FZ53/'Total Value'!$D53-1)</f>
        <v/>
      </c>
      <c r="GA41" s="14" t="str">
        <f ca="1">IF(GA$1="","",'Total Value'!GA53/'Total Value'!$D53-1)</f>
        <v/>
      </c>
      <c r="GB41" s="14" t="str">
        <f ca="1">IF(GB$1="","",'Total Value'!GB53/'Total Value'!$D53-1)</f>
        <v/>
      </c>
      <c r="GC41" s="14" t="str">
        <f ca="1">IF(GC$1="","",'Total Value'!GC53/'Total Value'!$D53-1)</f>
        <v/>
      </c>
      <c r="GD41" s="14" t="str">
        <f ca="1">IF(GD$1="","",'Total Value'!GD53/'Total Value'!$D53-1)</f>
        <v/>
      </c>
      <c r="GE41" s="14" t="str">
        <f ca="1">IF(GE$1="","",'Total Value'!GE53/'Total Value'!$D53-1)</f>
        <v/>
      </c>
      <c r="GF41" s="14" t="str">
        <f ca="1">IF(GF$1="","",'Total Value'!GF53/'Total Value'!$D53-1)</f>
        <v/>
      </c>
      <c r="GG41" s="14" t="str">
        <f ca="1">IF(GG$1="","",'Total Value'!GG53/'Total Value'!$D53-1)</f>
        <v/>
      </c>
      <c r="GH41" s="14" t="str">
        <f ca="1">IF(GH$1="","",'Total Value'!GH53/'Total Value'!$D53-1)</f>
        <v/>
      </c>
      <c r="GI41" s="14" t="str">
        <f ca="1">IF(GI$1="","",'Total Value'!GI53/'Total Value'!$D53-1)</f>
        <v/>
      </c>
      <c r="GJ41" s="14" t="str">
        <f ca="1">IF(GJ$1="","",'Total Value'!GJ53/'Total Value'!$D53-1)</f>
        <v/>
      </c>
      <c r="GK41" s="14" t="str">
        <f ca="1">IF(GK$1="","",'Total Value'!GK53/'Total Value'!$D53-1)</f>
        <v/>
      </c>
      <c r="GL41" s="14" t="str">
        <f ca="1">IF(GL$1="","",'Total Value'!GL53/'Total Value'!$D53-1)</f>
        <v/>
      </c>
      <c r="GM41" s="14" t="str">
        <f ca="1">IF(GM$1="","",'Total Value'!GM53/'Total Value'!$D53-1)</f>
        <v/>
      </c>
      <c r="GN41" s="14" t="str">
        <f ca="1">IF(GN$1="","",'Total Value'!GN53/'Total Value'!$D53-1)</f>
        <v/>
      </c>
      <c r="GO41" s="14" t="str">
        <f ca="1">IF(GO$1="","",'Total Value'!GO53/'Total Value'!$D53-1)</f>
        <v/>
      </c>
      <c r="GP41" s="14" t="str">
        <f ca="1">IF(GP$1="","",'Total Value'!GP53/'Total Value'!$D53-1)</f>
        <v/>
      </c>
      <c r="GQ41" s="14" t="str">
        <f ca="1">IF(GQ$1="","",'Total Value'!GQ53/'Total Value'!$D53-1)</f>
        <v/>
      </c>
      <c r="GR41" s="14" t="str">
        <f ca="1">IF(GR$1="","",'Total Value'!GR53/'Total Value'!$D53-1)</f>
        <v/>
      </c>
      <c r="GS41" s="14" t="str">
        <f ca="1">IF(GS$1="","",'Total Value'!GS53/'Total Value'!$D53-1)</f>
        <v/>
      </c>
      <c r="GT41" s="14" t="str">
        <f ca="1">IF(GT$1="","",'Total Value'!GT53/'Total Value'!$D53-1)</f>
        <v/>
      </c>
      <c r="GU41" s="14" t="str">
        <f ca="1">IF(GU$1="","",'Total Value'!GU53/'Total Value'!$D53-1)</f>
        <v/>
      </c>
      <c r="GV41" s="14" t="str">
        <f ca="1">IF(GV$1="","",'Total Value'!GV53/'Total Value'!$D53-1)</f>
        <v/>
      </c>
      <c r="GW41" s="14" t="str">
        <f ca="1">IF(GW$1="","",'Total Value'!GW53/'Total Value'!$D53-1)</f>
        <v/>
      </c>
      <c r="GX41" s="14" t="str">
        <f ca="1">IF(GX$1="","",'Total Value'!GX53/'Total Value'!$D53-1)</f>
        <v/>
      </c>
      <c r="GY41" s="14" t="str">
        <f ca="1">IF(GY$1="","",'Total Value'!GY53/'Total Value'!$D53-1)</f>
        <v/>
      </c>
      <c r="GZ41" s="14" t="str">
        <f ca="1">IF(GZ$1="","",'Total Value'!GZ53/'Total Value'!$D53-1)</f>
        <v/>
      </c>
      <c r="HA41" s="14" t="str">
        <f ca="1">IF(HA$1="","",'Total Value'!HA53/'Total Value'!$D53-1)</f>
        <v/>
      </c>
      <c r="HB41" s="14" t="str">
        <f ca="1">IF(HB$1="","",'Total Value'!HB53/'Total Value'!$D53-1)</f>
        <v/>
      </c>
      <c r="HC41" s="14" t="str">
        <f ca="1">IF(HC$1="","",'Total Value'!HC53/'Total Value'!$D53-1)</f>
        <v/>
      </c>
      <c r="HD41" s="14" t="str">
        <f ca="1">IF(HD$1="","",'Total Value'!HD53/'Total Value'!$D53-1)</f>
        <v/>
      </c>
      <c r="HE41" s="14" t="str">
        <f ca="1">IF(HE$1="","",'Total Value'!HE53/'Total Value'!$D53-1)</f>
        <v/>
      </c>
      <c r="HF41" s="14" t="str">
        <f ca="1">IF(HF$1="","",'Total Value'!HF53/'Total Value'!$D53-1)</f>
        <v/>
      </c>
      <c r="HG41" s="14" t="str">
        <f ca="1">IF(HG$1="","",'Total Value'!HG53/'Total Value'!$D53-1)</f>
        <v/>
      </c>
      <c r="HH41" s="14" t="str">
        <f ca="1">IF(HH$1="","",'Total Value'!HH53/'Total Value'!$D53-1)</f>
        <v/>
      </c>
      <c r="HI41" s="14" t="str">
        <f ca="1">IF(HI$1="","",'Total Value'!HI53/'Total Value'!$D53-1)</f>
        <v/>
      </c>
      <c r="HJ41" s="14" t="str">
        <f ca="1">IF(HJ$1="","",'Total Value'!HJ53/'Total Value'!$D53-1)</f>
        <v/>
      </c>
      <c r="HK41" s="14" t="str">
        <f ca="1">IF(HK$1="","",'Total Value'!HK53/'Total Value'!$D53-1)</f>
        <v/>
      </c>
      <c r="HL41" s="14" t="str">
        <f ca="1">IF(HL$1="","",'Total Value'!HL53/'Total Value'!$D53-1)</f>
        <v/>
      </c>
      <c r="HM41" s="14" t="str">
        <f ca="1">IF(HM$1="","",'Total Value'!HM53/'Total Value'!$D53-1)</f>
        <v/>
      </c>
      <c r="HN41" s="14" t="str">
        <f ca="1">IF(HN$1="","",'Total Value'!HN53/'Total Value'!$D53-1)</f>
        <v/>
      </c>
      <c r="HO41" s="14" t="str">
        <f ca="1">IF(HO$1="","",'Total Value'!HO53/'Total Value'!$D53-1)</f>
        <v/>
      </c>
      <c r="HP41" s="14" t="str">
        <f ca="1">IF(HP$1="","",'Total Value'!HP53/'Total Value'!$D53-1)</f>
        <v/>
      </c>
      <c r="HQ41" s="14" t="str">
        <f ca="1">IF(HQ$1="","",'Total Value'!HQ53/'Total Value'!$D53-1)</f>
        <v/>
      </c>
      <c r="HR41" s="14" t="str">
        <f ca="1">IF(HR$1="","",'Total Value'!HR53/'Total Value'!$D53-1)</f>
        <v/>
      </c>
      <c r="HS41" s="14" t="str">
        <f ca="1">IF(HS$1="","",'Total Value'!HS53/'Total Value'!$D53-1)</f>
        <v/>
      </c>
      <c r="HT41" s="14" t="str">
        <f ca="1">IF(HT$1="","",'Total Value'!HT53/'Total Value'!$D53-1)</f>
        <v/>
      </c>
      <c r="HU41" s="14" t="str">
        <f ca="1">IF(HU$1="","",'Total Value'!HU53/'Total Value'!$D53-1)</f>
        <v/>
      </c>
      <c r="HV41" s="14" t="str">
        <f ca="1">IF(HV$1="","",'Total Value'!HV53/'Total Value'!$D53-1)</f>
        <v/>
      </c>
      <c r="HW41" s="14" t="str">
        <f ca="1">IF(HW$1="","",'Total Value'!HW53/'Total Value'!$D53-1)</f>
        <v/>
      </c>
      <c r="HX41" s="14" t="str">
        <f ca="1">IF(HX$1="","",'Total Value'!HX53/'Total Value'!$D53-1)</f>
        <v/>
      </c>
      <c r="HY41" s="14" t="str">
        <f ca="1">IF(HY$1="","",'Total Value'!HY53/'Total Value'!$D53-1)</f>
        <v/>
      </c>
      <c r="HZ41" s="14" t="str">
        <f ca="1">IF(HZ$1="","",'Total Value'!HZ53/'Total Value'!$D53-1)</f>
        <v/>
      </c>
      <c r="IA41" s="14" t="str">
        <f ca="1">IF(IA$1="","",'Total Value'!IA53/'Total Value'!$D53-1)</f>
        <v/>
      </c>
      <c r="IB41" s="14" t="str">
        <f ca="1">IF(IB$1="","",'Total Value'!IB53/'Total Value'!$D53-1)</f>
        <v/>
      </c>
      <c r="IC41" s="14" t="str">
        <f ca="1">IF(IC$1="","",'Total Value'!IC53/'Total Value'!$D53-1)</f>
        <v/>
      </c>
      <c r="ID41" s="14" t="str">
        <f ca="1">IF(ID$1="","",'Total Value'!ID53/'Total Value'!$D53-1)</f>
        <v/>
      </c>
      <c r="IE41" s="14" t="str">
        <f ca="1">IF(IE$1="","",'Total Value'!IE53/'Total Value'!$D53-1)</f>
        <v/>
      </c>
      <c r="IF41" s="14" t="str">
        <f ca="1">IF(IF$1="","",'Total Value'!IF53/'Total Value'!$D53-1)</f>
        <v/>
      </c>
      <c r="IG41" s="14" t="str">
        <f ca="1">IF(IG$1="","",'Total Value'!IG53/'Total Value'!$D53-1)</f>
        <v/>
      </c>
      <c r="IH41" s="14" t="str">
        <f ca="1">IF(IH$1="","",'Total Value'!IH53/'Total Value'!$D53-1)</f>
        <v/>
      </c>
      <c r="II41" s="14" t="str">
        <f ca="1">IF(II$1="","",'Total Value'!II53/'Total Value'!$D53-1)</f>
        <v/>
      </c>
      <c r="IJ41" s="14" t="str">
        <f ca="1">IF(IJ$1="","",'Total Value'!IJ53/'Total Value'!$D53-1)</f>
        <v/>
      </c>
      <c r="IK41" s="14" t="str">
        <f ca="1">IF(IK$1="","",'Total Value'!IK53/'Total Value'!$D53-1)</f>
        <v/>
      </c>
      <c r="IL41" s="14" t="str">
        <f ca="1">IF(IL$1="","",'Total Value'!IL53/'Total Value'!$D53-1)</f>
        <v/>
      </c>
      <c r="IM41" s="14" t="str">
        <f ca="1">IF(IM$1="","",'Total Value'!IM53/'Total Value'!$D53-1)</f>
        <v/>
      </c>
      <c r="IN41" s="14" t="str">
        <f ca="1">IF(IN$1="","",'Total Value'!IN53/'Total Value'!$D53-1)</f>
        <v/>
      </c>
      <c r="IO41" s="14" t="str">
        <f ca="1">IF(IO$1="","",'Total Value'!IO53/'Total Value'!$D53-1)</f>
        <v/>
      </c>
      <c r="IP41" s="14" t="str">
        <f ca="1">IF(IP$1="","",'Total Value'!IP53/'Total Value'!$D53-1)</f>
        <v/>
      </c>
      <c r="IQ41" s="14" t="str">
        <f ca="1">IF(IQ$1="","",'Total Value'!IQ53/'Total Value'!$D53-1)</f>
        <v/>
      </c>
      <c r="IR41" s="14" t="str">
        <f ca="1">IF(IR$1="","",'Total Value'!IR53/'Total Value'!$D53-1)</f>
        <v/>
      </c>
      <c r="IS41" s="14" t="str">
        <f ca="1">IF(IS$1="","",'Total Value'!IS53/'Total Value'!$D53-1)</f>
        <v/>
      </c>
      <c r="IT41" s="14" t="str">
        <f ca="1">IF(IT$1="","",'Total Value'!IT53/'Total Value'!$D53-1)</f>
        <v/>
      </c>
      <c r="IU41" s="14" t="str">
        <f ca="1">IF(IU$1="","",'Total Value'!IU53/'Total Value'!$D53-1)</f>
        <v/>
      </c>
      <c r="IV41" s="14" t="str">
        <f ca="1">IF(IV$1="","",'Total Value'!IV53/'Total Value'!$D53-1)</f>
        <v/>
      </c>
      <c r="IW41" s="14" t="str">
        <f ca="1">IF(IW$1="","",'Total Value'!IW53/'Total Value'!$D53-1)</f>
        <v/>
      </c>
      <c r="IX41" s="14" t="str">
        <f ca="1">IF(IX$1="","",'Total Value'!IX53/'Total Value'!$D53-1)</f>
        <v/>
      </c>
      <c r="IY41" s="14" t="str">
        <f ca="1">IF(IY$1="","",'Total Value'!IY53/'Total Value'!$D53-1)</f>
        <v/>
      </c>
      <c r="IZ41" s="14" t="str">
        <f ca="1">IF(IZ$1="","",'Total Value'!IZ53/'Total Value'!$D53-1)</f>
        <v/>
      </c>
      <c r="JA41" s="14" t="str">
        <f ca="1">IF(JA$1="","",'Total Value'!JA53/'Total Value'!$D53-1)</f>
        <v/>
      </c>
      <c r="JB41" s="14" t="str">
        <f ca="1">IF(JB$1="","",'Total Value'!JB53/'Total Value'!$D53-1)</f>
        <v/>
      </c>
      <c r="JC41" s="14" t="str">
        <f ca="1">IF(JC$1="","",'Total Value'!JC53/'Total Value'!$D53-1)</f>
        <v/>
      </c>
      <c r="JD41" s="14" t="str">
        <f ca="1">IF(JD$1="","",'Total Value'!JD53/'Total Value'!$D53-1)</f>
        <v/>
      </c>
      <c r="JE41" s="14" t="str">
        <f ca="1">IF(JE$1="","",'Total Value'!JE53/'Total Value'!$D53-1)</f>
        <v/>
      </c>
      <c r="JF41" s="14" t="str">
        <f ca="1">IF(JF$1="","",'Total Value'!JF53/'Total Value'!$D53-1)</f>
        <v/>
      </c>
      <c r="JG41" s="14" t="str">
        <f ca="1">IF(JG$1="","",'Total Value'!JG53/'Total Value'!$D53-1)</f>
        <v/>
      </c>
      <c r="JH41" s="14" t="str">
        <f ca="1">IF(JH$1="","",'Total Value'!JH53/'Total Value'!$D53-1)</f>
        <v/>
      </c>
      <c r="JI41" s="14" t="str">
        <f ca="1">IF(JI$1="","",'Total Value'!JI53/'Total Value'!$D53-1)</f>
        <v/>
      </c>
      <c r="JJ41" s="14" t="str">
        <f ca="1">IF(JJ$1="","",'Total Value'!JJ53/'Total Value'!$D53-1)</f>
        <v/>
      </c>
      <c r="JK41" s="14" t="str">
        <f ca="1">IF(JK$1="","",'Total Value'!JK53/'Total Value'!$D53-1)</f>
        <v/>
      </c>
      <c r="JL41" s="14" t="str">
        <f ca="1">IF(JL$1="","",'Total Value'!JL53/'Total Value'!$D53-1)</f>
        <v/>
      </c>
      <c r="JM41" s="14" t="str">
        <f ca="1">IF(JM$1="","",'Total Value'!JM53/'Total Value'!$D53-1)</f>
        <v/>
      </c>
      <c r="JN41" s="14" t="str">
        <f ca="1">IF(JN$1="","",'Total Value'!JN53/'Total Value'!$D53-1)</f>
        <v/>
      </c>
      <c r="JO41" s="14" t="str">
        <f ca="1">IF(JO$1="","",'Total Value'!JO53/'Total Value'!$D53-1)</f>
        <v/>
      </c>
      <c r="JP41" s="14" t="str">
        <f ca="1">IF(JP$1="","",'Total Value'!JP53/'Total Value'!$D53-1)</f>
        <v/>
      </c>
      <c r="JQ41" s="14" t="str">
        <f ca="1">IF(JQ$1="","",'Total Value'!JQ53/'Total Value'!$D53-1)</f>
        <v/>
      </c>
      <c r="JR41" s="14" t="str">
        <f ca="1">IF(JR$1="","",'Total Value'!JR53/'Total Value'!$D53-1)</f>
        <v/>
      </c>
      <c r="JS41" s="14" t="str">
        <f ca="1">IF(JS$1="","",'Total Value'!JS53/'Total Value'!$D53-1)</f>
        <v/>
      </c>
      <c r="JT41" s="14" t="str">
        <f ca="1">IF(JT$1="","",'Total Value'!JT53/'Total Value'!$D53-1)</f>
        <v/>
      </c>
      <c r="JU41" s="14" t="str">
        <f ca="1">IF(JU$1="","",'Total Value'!JU53/'Total Value'!$D53-1)</f>
        <v/>
      </c>
      <c r="JV41" s="14" t="str">
        <f ca="1">IF(JV$1="","",'Total Value'!JV53/'Total Value'!$D53-1)</f>
        <v/>
      </c>
      <c r="JW41" s="14" t="str">
        <f ca="1">IF(JW$1="","",'Total Value'!JW53/'Total Value'!$D53-1)</f>
        <v/>
      </c>
      <c r="JX41" s="14" t="str">
        <f ca="1">IF(JX$1="","",'Total Value'!JX53/'Total Value'!$D53-1)</f>
        <v/>
      </c>
      <c r="JY41" s="14" t="str">
        <f ca="1">IF(JY$1="","",'Total Value'!JY53/'Total Value'!$D53-1)</f>
        <v/>
      </c>
      <c r="JZ41" s="14" t="str">
        <f ca="1">IF(JZ$1="","",'Total Value'!JZ53/'Total Value'!$D53-1)</f>
        <v/>
      </c>
      <c r="KA41" s="14" t="str">
        <f ca="1">IF(KA$1="","",'Total Value'!KA53/'Total Value'!$D53-1)</f>
        <v/>
      </c>
      <c r="KB41" s="14" t="str">
        <f ca="1">IF(KB$1="","",'Total Value'!KB53/'Total Value'!$D53-1)</f>
        <v/>
      </c>
    </row>
    <row r="42" spans="1:288" ht="15.75" customHeight="1">
      <c r="A42" s="9" t="s">
        <v>30</v>
      </c>
      <c r="B42" s="6" t="s">
        <v>85</v>
      </c>
      <c r="C42" s="26">
        <v>10</v>
      </c>
      <c r="D42" s="13">
        <v>0</v>
      </c>
      <c r="E42" s="14">
        <f ca="1">IF(E$1="","",'Total Value'!E54/'Total Value'!$D54-1)</f>
        <v>-1.2711864406779738E-2</v>
      </c>
      <c r="F42" s="14">
        <f ca="1">IF(F$1="","",'Total Value'!F54/'Total Value'!$D54-1)</f>
        <v>-1.5023112480739731E-2</v>
      </c>
      <c r="G42" s="14">
        <f ca="1">IF(G$1="","",'Total Value'!G54/'Total Value'!$D54-1)</f>
        <v>-1.2711864406779738E-2</v>
      </c>
      <c r="H42" s="14">
        <f ca="1">IF(H$1="","",'Total Value'!H54/'Total Value'!$D54-1)</f>
        <v>2.6964560862865472E-3</v>
      </c>
      <c r="I42" s="14">
        <f ca="1">IF(I$1="","",'Total Value'!I54/'Total Value'!$D54-1)</f>
        <v>-7.7041602465330872E-3</v>
      </c>
      <c r="J42" s="14">
        <f ca="1">IF(J$1="","",'Total Value'!J54/'Total Value'!$D54-1)</f>
        <v>-1.1941448382126407E-2</v>
      </c>
      <c r="K42" s="14">
        <f ca="1">IF(K$1="","",'Total Value'!K54/'Total Value'!$D54-1)</f>
        <v>-2.0801232665639491E-2</v>
      </c>
      <c r="L42" s="14">
        <f ca="1">IF(L$1="","",'Total Value'!L54/'Total Value'!$D54-1)</f>
        <v>-1.4637904468413065E-2</v>
      </c>
      <c r="M42" s="14">
        <f ca="1">IF(M$1="","",'Total Value'!M54/'Total Value'!$D54-1)</f>
        <v>9.4761171032357483E-2</v>
      </c>
      <c r="N42" s="14">
        <f ca="1">IF(N$1="","",'Total Value'!N54/'Total Value'!$D54-1)</f>
        <v>0.18027734976887499</v>
      </c>
      <c r="O42" s="14">
        <f ca="1">IF(O$1="","",'Total Value'!O54/'Total Value'!$D54-1)</f>
        <v>0.15369799691833586</v>
      </c>
      <c r="P42" s="14">
        <f ca="1">IF(P$1="","",'Total Value'!P54/'Total Value'!$D54-1)</f>
        <v>0.15832049306625562</v>
      </c>
      <c r="Q42" s="14">
        <f ca="1">IF(Q$1="","",'Total Value'!Q54/'Total Value'!$D54-1)</f>
        <v>0.15562403697996907</v>
      </c>
      <c r="R42" s="14">
        <f ca="1">IF(R$1="","",'Total Value'!R54/'Total Value'!$D54-1)</f>
        <v>9.9768875192603801E-2</v>
      </c>
      <c r="S42" s="14">
        <f ca="1">IF(S$1="","",'Total Value'!S54/'Total Value'!$D54-1)</f>
        <v>0.12750385208012305</v>
      </c>
      <c r="T42" s="14">
        <f ca="1">IF(T$1="","",'Total Value'!T54/'Total Value'!$D54-1)</f>
        <v>0.10554699537750367</v>
      </c>
      <c r="U42" s="14">
        <f ca="1">IF(U$1="","",'Total Value'!U54/'Total Value'!$D54-1)</f>
        <v>0.10323574730354368</v>
      </c>
      <c r="V42" s="14">
        <f ca="1">IF(V$1="","",'Total Value'!V54/'Total Value'!$D54-1)</f>
        <v>9.8228043143297361E-2</v>
      </c>
      <c r="W42" s="14">
        <f ca="1">IF(W$1="","",'Total Value'!W54/'Total Value'!$D54-1)</f>
        <v>6.1248073959938365E-2</v>
      </c>
      <c r="X42" s="14">
        <f ca="1">IF(X$1="","",'Total Value'!X54/'Total Value'!$D54-1)</f>
        <v>6.2788906009244805E-2</v>
      </c>
      <c r="Y42" s="14">
        <f ca="1">IF(Y$1="","",'Total Value'!Y54/'Total Value'!$D54-1)</f>
        <v>5.893682588597815E-2</v>
      </c>
      <c r="Z42" s="14">
        <f ca="1">IF(Z$1="","",'Total Value'!Z54/'Total Value'!$D54-1)</f>
        <v>5.9322033898304927E-2</v>
      </c>
      <c r="AA42" s="14">
        <f ca="1">IF(AA$1="","",'Total Value'!AA54/'Total Value'!$D54-1)</f>
        <v>4.3913713405238752E-2</v>
      </c>
      <c r="AB42" s="14">
        <f ca="1">IF(AB$1="","",'Total Value'!AB54/'Total Value'!$D54-1)</f>
        <v>2.4653312788905923E-2</v>
      </c>
      <c r="AC42" s="14">
        <f ca="1">IF(AC$1="","",'Total Value'!AC54/'Total Value'!$D54-1)</f>
        <v>5.893682588597815E-2</v>
      </c>
      <c r="AD42" s="14">
        <f ca="1">IF(AD$1="","",'Total Value'!AD54/'Total Value'!$D54-1)</f>
        <v>0.10169491525423724</v>
      </c>
      <c r="AE42" s="14">
        <f ca="1">IF(AE$1="","",'Total Value'!AE54/'Total Value'!$D54-1)</f>
        <v>0.10593220338983045</v>
      </c>
      <c r="AF42" s="14">
        <f ca="1">IF(AF$1="","",'Total Value'!AF54/'Total Value'!$D54-1)</f>
        <v>0.11209553158705687</v>
      </c>
      <c r="AG42" s="14">
        <f ca="1">IF(AG$1="","",'Total Value'!AG54/'Total Value'!$D54-1)</f>
        <v>7.5885978428351208E-2</v>
      </c>
      <c r="AH42" s="14">
        <f ca="1">IF(AH$1="","",'Total Value'!AH54/'Total Value'!$D54-1)</f>
        <v>7.7041602465331316E-2</v>
      </c>
      <c r="AI42" s="14">
        <f ca="1">IF(AI$1="","",'Total Value'!AI54/'Total Value'!$D54-1)</f>
        <v>7.7812018489984647E-2</v>
      </c>
      <c r="AJ42" s="14">
        <f ca="1">IF(AJ$1="","",'Total Value'!AJ54/'Total Value'!$D54-1)</f>
        <v>9.5531587057010814E-2</v>
      </c>
      <c r="AK42" s="14">
        <f ca="1">IF(AK$1="","",'Total Value'!AK54/'Total Value'!$D54-1)</f>
        <v>0.10593220338983045</v>
      </c>
      <c r="AL42" s="14">
        <f ca="1">IF(AL$1="","",'Total Value'!AL54/'Total Value'!$D54-1)</f>
        <v>8.1278890600924303E-2</v>
      </c>
      <c r="AM42" s="14">
        <f ca="1">IF(AM$1="","",'Total Value'!AM54/'Total Value'!$D54-1)</f>
        <v>0.14869029275808932</v>
      </c>
      <c r="AN42" s="14">
        <f ca="1">IF(AN$1="","",'Total Value'!AN54/'Total Value'!$D54-1)</f>
        <v>0.13674884437596302</v>
      </c>
      <c r="AO42" s="14">
        <f ca="1">IF(AO$1="","",'Total Value'!AO54/'Total Value'!$D54-1)</f>
        <v>0.14714946070878265</v>
      </c>
      <c r="AP42" s="14">
        <f ca="1">IF(AP$1="","",'Total Value'!AP54/'Total Value'!$D54-1)</f>
        <v>0.17411402157164857</v>
      </c>
      <c r="AQ42" s="14">
        <f ca="1">IF(AQ$1="","",'Total Value'!AQ54/'Total Value'!$D54-1)</f>
        <v>0.21147919876733434</v>
      </c>
      <c r="AR42" s="14">
        <f ca="1">IF(AR$1="","",'Total Value'!AR54/'Total Value'!$D54-1)</f>
        <v>0.19106317411402163</v>
      </c>
      <c r="AS42" s="14">
        <f ca="1">IF(AS$1="","",'Total Value'!AS54/'Total Value'!$D54-1)</f>
        <v>0.20261941448382115</v>
      </c>
      <c r="AT42" s="14">
        <f ca="1">IF(AT$1="","",'Total Value'!AT54/'Total Value'!$D54-1)</f>
        <v>0.1999229583975346</v>
      </c>
      <c r="AU42" s="14">
        <f ca="1">IF(AU$1="","",'Total Value'!AU54/'Total Value'!$D54-1)</f>
        <v>0.1964560862865945</v>
      </c>
      <c r="AV42" s="14">
        <f ca="1">IF(AV$1="","",'Total Value'!AV54/'Total Value'!$D54-1)</f>
        <v>0.15947611710323573</v>
      </c>
      <c r="AW42" s="14">
        <f ca="1">IF(AW$1="","",'Total Value'!AW54/'Total Value'!$D54-1)</f>
        <v>0.14753466872110921</v>
      </c>
      <c r="AX42" s="14">
        <f ca="1">IF(AX$1="","",'Total Value'!AX54/'Total Value'!$D54-1)</f>
        <v>0.20801232665639446</v>
      </c>
      <c r="AY42" s="14">
        <f ca="1">IF(AY$1="","",'Total Value'!AY54/'Total Value'!$D54-1)</f>
        <v>0.18335901386748832</v>
      </c>
      <c r="AZ42" s="14">
        <f ca="1">IF(AZ$1="","",'Total Value'!AZ54/'Total Value'!$D54-1)</f>
        <v>0.18875192604006163</v>
      </c>
      <c r="BA42" s="14">
        <f ca="1">IF(BA$1="","",'Total Value'!BA54/'Total Value'!$D54-1)</f>
        <v>0.15716486902927551</v>
      </c>
      <c r="BB42" s="14">
        <f ca="1">IF(BB$1="","",'Total Value'!BB54/'Total Value'!$D54-1)</f>
        <v>0.15947611710323573</v>
      </c>
      <c r="BC42" s="14">
        <f ca="1">IF(BC$1="","",'Total Value'!BC54/'Total Value'!$D54-1)</f>
        <v>0.20493066255778114</v>
      </c>
      <c r="BD42" s="14">
        <f ca="1">IF(BD$1="","",'Total Value'!BD54/'Total Value'!$D54-1)</f>
        <v>0.10362095531587046</v>
      </c>
      <c r="BE42" s="14">
        <f ca="1">IF(BE$1="","",'Total Value'!BE54/'Total Value'!$D54-1)</f>
        <v>4.4298921417565529E-2</v>
      </c>
      <c r="BF42" s="14">
        <f ca="1">IF(BF$1="","",'Total Value'!BF54/'Total Value'!$D54-1)</f>
        <v>7.8582434514637756E-2</v>
      </c>
      <c r="BG42" s="14">
        <f ca="1">IF(BG$1="","",'Total Value'!BG54/'Total Value'!$D54-1)</f>
        <v>5.238828967642517E-2</v>
      </c>
      <c r="BH42" s="14">
        <f ca="1">IF(BH$1="","",'Total Value'!BH54/'Total Value'!$D54-1)</f>
        <v>4.3528505392911976E-2</v>
      </c>
      <c r="BI42" s="14">
        <f ca="1">IF(BI$1="","",'Total Value'!BI54/'Total Value'!$D54-1)</f>
        <v>6.0477657935285034E-2</v>
      </c>
      <c r="BJ42" s="14">
        <f ca="1">IF(BJ$1="","",'Total Value'!BJ54/'Total Value'!$D54-1)</f>
        <v>4.7765793528505407E-2</v>
      </c>
      <c r="BK42" s="14">
        <f ca="1">IF(BK$1="","",'Total Value'!BK54/'Total Value'!$D54-1)</f>
        <v>3.0046224961479018E-2</v>
      </c>
      <c r="BL42" s="14">
        <f ca="1">IF(BL$1="","",'Total Value'!BL54/'Total Value'!$D54-1)</f>
        <v>3.8520801232655444E-4</v>
      </c>
      <c r="BM42" s="14">
        <f ca="1">IF(BM$1="","",'Total Value'!BM54/'Total Value'!$D54-1)</f>
        <v>-1.7719568567026278E-2</v>
      </c>
      <c r="BN42" s="14">
        <f ca="1">IF(BN$1="","",'Total Value'!BN54/'Total Value'!$D54-1)</f>
        <v>-3.428351309707256E-2</v>
      </c>
      <c r="BO42" s="14">
        <f ca="1">IF(BO$1="","",'Total Value'!BO54/'Total Value'!$D54-1)</f>
        <v>-5.4314329738058609E-2</v>
      </c>
      <c r="BP42" s="14">
        <f ca="1">IF(BP$1="","",'Total Value'!BP54/'Total Value'!$D54-1)</f>
        <v>-4.7765793528505518E-2</v>
      </c>
      <c r="BQ42" s="14">
        <f ca="1">IF(BQ$1="","",'Total Value'!BQ54/'Total Value'!$D54-1)</f>
        <v>-2.3112480739599484E-2</v>
      </c>
      <c r="BR42" s="14">
        <f ca="1">IF(BR$1="","",'Total Value'!BR54/'Total Value'!$D54-1)</f>
        <v>-3.1972265023112678E-2</v>
      </c>
      <c r="BS42" s="14">
        <f ca="1">IF(BS$1="","",'Total Value'!BS54/'Total Value'!$D54-1)</f>
        <v>5.3929121725730944E-3</v>
      </c>
      <c r="BT42" s="14">
        <f ca="1">IF(BT$1="","",'Total Value'!BT54/'Total Value'!$D54-1)</f>
        <v>3.0816640986131016E-3</v>
      </c>
      <c r="BU42" s="14">
        <f ca="1">IF(BU$1="","",'Total Value'!BU54/'Total Value'!$D54-1)</f>
        <v>7.7041602465333092E-4</v>
      </c>
      <c r="BV42" s="14">
        <f ca="1">IF(BV$1="","",'Total Value'!BV54/'Total Value'!$D54-1)</f>
        <v>-1.2711864406779738E-2</v>
      </c>
      <c r="BW42" s="14">
        <f ca="1">IF(BW$1="","",'Total Value'!BW54/'Total Value'!$D54-1)</f>
        <v>-3.6979969183359107E-2</v>
      </c>
      <c r="BX42" s="14">
        <f ca="1">IF(BX$1="","",'Total Value'!BX54/'Total Value'!$D54-1)</f>
        <v>-6.664098613251157E-2</v>
      </c>
      <c r="BY42" s="14">
        <f ca="1">IF(BY$1="","",'Total Value'!BY54/'Total Value'!$D54-1)</f>
        <v>-9.8228043143297472E-2</v>
      </c>
      <c r="BZ42" s="14">
        <f ca="1">IF(BZ$1="","",'Total Value'!BZ54/'Total Value'!$D54-1)</f>
        <v>-0.10785824345146389</v>
      </c>
      <c r="CA42" s="14">
        <f ca="1">IF(CA$1="","",'Total Value'!CA54/'Total Value'!$D54-1)</f>
        <v>-6.8952234206471563E-2</v>
      </c>
      <c r="CB42" s="14">
        <f ca="1">IF(CB$1="","",'Total Value'!CB54/'Total Value'!$D54-1)</f>
        <v>-8.9753466872111054E-2</v>
      </c>
      <c r="CC42" s="14">
        <f ca="1">IF(CC$1="","",'Total Value'!CC54/'Total Value'!$D54-1)</f>
        <v>-9.5531587057010814E-2</v>
      </c>
      <c r="CD42" s="14">
        <f ca="1">IF(CD$1="","",'Total Value'!CD54/'Total Value'!$D54-1)</f>
        <v>-8.8597842835131058E-2</v>
      </c>
      <c r="CE42" s="14">
        <f ca="1">IF(CE$1="","",'Total Value'!CE54/'Total Value'!$D54-1)</f>
        <v>-6.7411402157164901E-2</v>
      </c>
      <c r="CF42" s="14" t="str">
        <f ca="1">IF(CF$1="","",'Total Value'!CF54/'Total Value'!$D54-1)</f>
        <v/>
      </c>
      <c r="CG42" s="14" t="str">
        <f ca="1">IF(CG$1="","",'Total Value'!CG54/'Total Value'!$D54-1)</f>
        <v/>
      </c>
      <c r="CH42" s="14" t="str">
        <f ca="1">IF(CH$1="","",'Total Value'!CH54/'Total Value'!$D54-1)</f>
        <v/>
      </c>
      <c r="CI42" s="14" t="str">
        <f ca="1">IF(CI$1="","",'Total Value'!CI54/'Total Value'!$D54-1)</f>
        <v/>
      </c>
      <c r="CJ42" s="14" t="str">
        <f ca="1">IF(CJ$1="","",'Total Value'!CJ54/'Total Value'!$D54-1)</f>
        <v/>
      </c>
      <c r="CK42" s="14" t="str">
        <f ca="1">IF(CK$1="","",'Total Value'!CK54/'Total Value'!$D54-1)</f>
        <v/>
      </c>
      <c r="CL42" s="14" t="str">
        <f ca="1">IF(CL$1="","",'Total Value'!CL54/'Total Value'!$D54-1)</f>
        <v/>
      </c>
      <c r="CM42" s="14" t="str">
        <f ca="1">IF(CM$1="","",'Total Value'!CM54/'Total Value'!$D54-1)</f>
        <v/>
      </c>
      <c r="CN42" s="14" t="str">
        <f ca="1">IF(CN$1="","",'Total Value'!CN54/'Total Value'!$D54-1)</f>
        <v/>
      </c>
      <c r="CO42" s="14" t="str">
        <f ca="1">IF(CO$1="","",'Total Value'!CO54/'Total Value'!$D54-1)</f>
        <v/>
      </c>
      <c r="CP42" s="14" t="str">
        <f ca="1">IF(CP$1="","",'Total Value'!CP54/'Total Value'!$D54-1)</f>
        <v/>
      </c>
      <c r="CQ42" s="14" t="str">
        <f ca="1">IF(CQ$1="","",'Total Value'!CQ54/'Total Value'!$D54-1)</f>
        <v/>
      </c>
      <c r="CR42" s="14" t="str">
        <f ca="1">IF(CR$1="","",'Total Value'!CR54/'Total Value'!$D54-1)</f>
        <v/>
      </c>
      <c r="CS42" s="14" t="str">
        <f ca="1">IF(CS$1="","",'Total Value'!CS54/'Total Value'!$D54-1)</f>
        <v/>
      </c>
      <c r="CT42" s="14" t="str">
        <f ca="1">IF(CT$1="","",'Total Value'!CT54/'Total Value'!$D54-1)</f>
        <v/>
      </c>
      <c r="CU42" s="14" t="str">
        <f ca="1">IF(CU$1="","",'Total Value'!CU54/'Total Value'!$D54-1)</f>
        <v/>
      </c>
      <c r="CV42" s="14" t="str">
        <f ca="1">IF(CV$1="","",'Total Value'!CV54/'Total Value'!$D54-1)</f>
        <v/>
      </c>
      <c r="CW42" s="14" t="str">
        <f ca="1">IF(CW$1="","",'Total Value'!CW54/'Total Value'!$D54-1)</f>
        <v/>
      </c>
      <c r="CX42" s="14" t="str">
        <f ca="1">IF(CX$1="","",'Total Value'!CX54/'Total Value'!$D54-1)</f>
        <v/>
      </c>
      <c r="CY42" s="14" t="str">
        <f ca="1">IF(CY$1="","",'Total Value'!CY54/'Total Value'!$D54-1)</f>
        <v/>
      </c>
      <c r="CZ42" s="14" t="str">
        <f ca="1">IF(CZ$1="","",'Total Value'!CZ54/'Total Value'!$D54-1)</f>
        <v/>
      </c>
      <c r="DA42" s="14" t="str">
        <f ca="1">IF(DA$1="","",'Total Value'!DA54/'Total Value'!$D54-1)</f>
        <v/>
      </c>
      <c r="DB42" s="14" t="str">
        <f ca="1">IF(DB$1="","",'Total Value'!DB54/'Total Value'!$D54-1)</f>
        <v/>
      </c>
      <c r="DC42" s="14" t="str">
        <f ca="1">IF(DC$1="","",'Total Value'!DC54/'Total Value'!$D54-1)</f>
        <v/>
      </c>
      <c r="DD42" s="14" t="str">
        <f ca="1">IF(DD$1="","",'Total Value'!DD54/'Total Value'!$D54-1)</f>
        <v/>
      </c>
      <c r="DE42" s="14" t="str">
        <f ca="1">IF(DE$1="","",'Total Value'!DE54/'Total Value'!$D54-1)</f>
        <v/>
      </c>
      <c r="DF42" s="14" t="str">
        <f ca="1">IF(DF$1="","",'Total Value'!DF54/'Total Value'!$D54-1)</f>
        <v/>
      </c>
      <c r="DG42" s="14" t="str">
        <f ca="1">IF(DG$1="","",'Total Value'!DG54/'Total Value'!$D54-1)</f>
        <v/>
      </c>
      <c r="DH42" s="14" t="str">
        <f ca="1">IF(DH$1="","",'Total Value'!DH54/'Total Value'!$D54-1)</f>
        <v/>
      </c>
      <c r="DI42" s="14" t="str">
        <f ca="1">IF(DI$1="","",'Total Value'!DI54/'Total Value'!$D54-1)</f>
        <v/>
      </c>
      <c r="DJ42" s="14" t="str">
        <f ca="1">IF(DJ$1="","",'Total Value'!DJ54/'Total Value'!$D54-1)</f>
        <v/>
      </c>
      <c r="DK42" s="14" t="str">
        <f ca="1">IF(DK$1="","",'Total Value'!DK54/'Total Value'!$D54-1)</f>
        <v/>
      </c>
      <c r="DL42" s="14" t="str">
        <f ca="1">IF(DL$1="","",'Total Value'!DL54/'Total Value'!$D54-1)</f>
        <v/>
      </c>
      <c r="DM42" s="14" t="str">
        <f ca="1">IF(DM$1="","",'Total Value'!DM54/'Total Value'!$D54-1)</f>
        <v/>
      </c>
      <c r="DN42" s="14" t="str">
        <f ca="1">IF(DN$1="","",'Total Value'!DN54/'Total Value'!$D54-1)</f>
        <v/>
      </c>
      <c r="DO42" s="14" t="str">
        <f ca="1">IF(DO$1="","",'Total Value'!DO54/'Total Value'!$D54-1)</f>
        <v/>
      </c>
      <c r="DP42" s="14" t="str">
        <f ca="1">IF(DP$1="","",'Total Value'!DP54/'Total Value'!$D54-1)</f>
        <v/>
      </c>
      <c r="DQ42" s="14" t="str">
        <f ca="1">IF(DQ$1="","",'Total Value'!DQ54/'Total Value'!$D54-1)</f>
        <v/>
      </c>
      <c r="DR42" s="14" t="str">
        <f ca="1">IF(DR$1="","",'Total Value'!DR54/'Total Value'!$D54-1)</f>
        <v/>
      </c>
      <c r="DS42" s="14" t="str">
        <f ca="1">IF(DS$1="","",'Total Value'!DS54/'Total Value'!$D54-1)</f>
        <v/>
      </c>
      <c r="DT42" s="14" t="str">
        <f ca="1">IF(DT$1="","",'Total Value'!DT54/'Total Value'!$D54-1)</f>
        <v/>
      </c>
      <c r="DU42" s="14" t="str">
        <f ca="1">IF(DU$1="","",'Total Value'!DU54/'Total Value'!$D54-1)</f>
        <v/>
      </c>
      <c r="DV42" s="14" t="str">
        <f ca="1">IF(DV$1="","",'Total Value'!DV54/'Total Value'!$D54-1)</f>
        <v/>
      </c>
      <c r="DW42" s="14" t="str">
        <f ca="1">IF(DW$1="","",'Total Value'!DW54/'Total Value'!$D54-1)</f>
        <v/>
      </c>
      <c r="DX42" s="14" t="str">
        <f ca="1">IF(DX$1="","",'Total Value'!DX54/'Total Value'!$D54-1)</f>
        <v/>
      </c>
      <c r="DY42" s="14" t="str">
        <f ca="1">IF(DY$1="","",'Total Value'!DY54/'Total Value'!$D54-1)</f>
        <v/>
      </c>
      <c r="DZ42" s="14" t="str">
        <f ca="1">IF(DZ$1="","",'Total Value'!DZ54/'Total Value'!$D54-1)</f>
        <v/>
      </c>
      <c r="EA42" s="14" t="str">
        <f ca="1">IF(EA$1="","",'Total Value'!EA54/'Total Value'!$D54-1)</f>
        <v/>
      </c>
      <c r="EB42" s="14" t="str">
        <f ca="1">IF(EB$1="","",'Total Value'!EB54/'Total Value'!$D54-1)</f>
        <v/>
      </c>
      <c r="EC42" s="14" t="str">
        <f ca="1">IF(EC$1="","",'Total Value'!EC54/'Total Value'!$D54-1)</f>
        <v/>
      </c>
      <c r="ED42" s="14" t="str">
        <f ca="1">IF(ED$1="","",'Total Value'!ED54/'Total Value'!$D54-1)</f>
        <v/>
      </c>
      <c r="EE42" s="14" t="str">
        <f ca="1">IF(EE$1="","",'Total Value'!EE54/'Total Value'!$D54-1)</f>
        <v/>
      </c>
      <c r="EF42" s="14" t="str">
        <f ca="1">IF(EF$1="","",'Total Value'!EF54/'Total Value'!$D54-1)</f>
        <v/>
      </c>
      <c r="EG42" s="14" t="str">
        <f ca="1">IF(EG$1="","",'Total Value'!EG54/'Total Value'!$D54-1)</f>
        <v/>
      </c>
      <c r="EH42" s="14" t="str">
        <f ca="1">IF(EH$1="","",'Total Value'!EH54/'Total Value'!$D54-1)</f>
        <v/>
      </c>
      <c r="EI42" s="14" t="str">
        <f ca="1">IF(EI$1="","",'Total Value'!EI54/'Total Value'!$D54-1)</f>
        <v/>
      </c>
      <c r="EJ42" s="14" t="str">
        <f ca="1">IF(EJ$1="","",'Total Value'!EJ54/'Total Value'!$D54-1)</f>
        <v/>
      </c>
      <c r="EK42" s="14" t="str">
        <f ca="1">IF(EK$1="","",'Total Value'!EK54/'Total Value'!$D54-1)</f>
        <v/>
      </c>
      <c r="EL42" s="14" t="str">
        <f ca="1">IF(EL$1="","",'Total Value'!EL54/'Total Value'!$D54-1)</f>
        <v/>
      </c>
      <c r="EM42" s="14" t="str">
        <f ca="1">IF(EM$1="","",'Total Value'!EM54/'Total Value'!$D54-1)</f>
        <v/>
      </c>
      <c r="EN42" s="14" t="str">
        <f ca="1">IF(EN$1="","",'Total Value'!EN54/'Total Value'!$D54-1)</f>
        <v/>
      </c>
      <c r="EO42" s="14" t="str">
        <f ca="1">IF(EO$1="","",'Total Value'!EO54/'Total Value'!$D54-1)</f>
        <v/>
      </c>
      <c r="EP42" s="14" t="str">
        <f ca="1">IF(EP$1="","",'Total Value'!EP54/'Total Value'!$D54-1)</f>
        <v/>
      </c>
      <c r="EQ42" s="14" t="str">
        <f ca="1">IF(EQ$1="","",'Total Value'!EQ54/'Total Value'!$D54-1)</f>
        <v/>
      </c>
      <c r="ER42" s="14" t="str">
        <f ca="1">IF(ER$1="","",'Total Value'!ER54/'Total Value'!$D54-1)</f>
        <v/>
      </c>
      <c r="ES42" s="14" t="str">
        <f ca="1">IF(ES$1="","",'Total Value'!ES54/'Total Value'!$D54-1)</f>
        <v/>
      </c>
      <c r="ET42" s="14" t="str">
        <f ca="1">IF(ET$1="","",'Total Value'!ET54/'Total Value'!$D54-1)</f>
        <v/>
      </c>
      <c r="EU42" s="14" t="str">
        <f ca="1">IF(EU$1="","",'Total Value'!EU54/'Total Value'!$D54-1)</f>
        <v/>
      </c>
      <c r="EV42" s="14" t="str">
        <f ca="1">IF(EV$1="","",'Total Value'!EV54/'Total Value'!$D54-1)</f>
        <v/>
      </c>
      <c r="EW42" s="14" t="str">
        <f ca="1">IF(EW$1="","",'Total Value'!EW54/'Total Value'!$D54-1)</f>
        <v/>
      </c>
      <c r="EX42" s="14" t="str">
        <f ca="1">IF(EX$1="","",'Total Value'!EX54/'Total Value'!$D54-1)</f>
        <v/>
      </c>
      <c r="EY42" s="14" t="str">
        <f ca="1">IF(EY$1="","",'Total Value'!EY54/'Total Value'!$D54-1)</f>
        <v/>
      </c>
      <c r="EZ42" s="14" t="str">
        <f ca="1">IF(EZ$1="","",'Total Value'!EZ54/'Total Value'!$D54-1)</f>
        <v/>
      </c>
      <c r="FA42" s="14" t="str">
        <f ca="1">IF(FA$1="","",'Total Value'!FA54/'Total Value'!$D54-1)</f>
        <v/>
      </c>
      <c r="FB42" s="14" t="str">
        <f ca="1">IF(FB$1="","",'Total Value'!FB54/'Total Value'!$D54-1)</f>
        <v/>
      </c>
      <c r="FC42" s="14" t="str">
        <f ca="1">IF(FC$1="","",'Total Value'!FC54/'Total Value'!$D54-1)</f>
        <v/>
      </c>
      <c r="FD42" s="14" t="str">
        <f ca="1">IF(FD$1="","",'Total Value'!FD54/'Total Value'!$D54-1)</f>
        <v/>
      </c>
      <c r="FE42" s="14" t="str">
        <f ca="1">IF(FE$1="","",'Total Value'!FE54/'Total Value'!$D54-1)</f>
        <v/>
      </c>
      <c r="FF42" s="14" t="str">
        <f ca="1">IF(FF$1="","",'Total Value'!FF54/'Total Value'!$D54-1)</f>
        <v/>
      </c>
      <c r="FG42" s="14" t="str">
        <f ca="1">IF(FG$1="","",'Total Value'!FG54/'Total Value'!$D54-1)</f>
        <v/>
      </c>
      <c r="FH42" s="14" t="str">
        <f ca="1">IF(FH$1="","",'Total Value'!FH54/'Total Value'!$D54-1)</f>
        <v/>
      </c>
      <c r="FI42" s="14" t="str">
        <f ca="1">IF(FI$1="","",'Total Value'!FI54/'Total Value'!$D54-1)</f>
        <v/>
      </c>
      <c r="FJ42" s="14" t="str">
        <f ca="1">IF(FJ$1="","",'Total Value'!FJ54/'Total Value'!$D54-1)</f>
        <v/>
      </c>
      <c r="FK42" s="14" t="str">
        <f ca="1">IF(FK$1="","",'Total Value'!FK54/'Total Value'!$D54-1)</f>
        <v/>
      </c>
      <c r="FL42" s="14" t="str">
        <f ca="1">IF(FL$1="","",'Total Value'!FL54/'Total Value'!$D54-1)</f>
        <v/>
      </c>
      <c r="FM42" s="14" t="str">
        <f ca="1">IF(FM$1="","",'Total Value'!FM54/'Total Value'!$D54-1)</f>
        <v/>
      </c>
      <c r="FN42" s="14" t="str">
        <f ca="1">IF(FN$1="","",'Total Value'!FN54/'Total Value'!$D54-1)</f>
        <v/>
      </c>
      <c r="FO42" s="14" t="str">
        <f ca="1">IF(FO$1="","",'Total Value'!FO54/'Total Value'!$D54-1)</f>
        <v/>
      </c>
      <c r="FP42" s="14" t="str">
        <f ca="1">IF(FP$1="","",'Total Value'!FP54/'Total Value'!$D54-1)</f>
        <v/>
      </c>
      <c r="FQ42" s="14" t="str">
        <f ca="1">IF(FQ$1="","",'Total Value'!FQ54/'Total Value'!$D54-1)</f>
        <v/>
      </c>
      <c r="FR42" s="14" t="str">
        <f ca="1">IF(FR$1="","",'Total Value'!FR54/'Total Value'!$D54-1)</f>
        <v/>
      </c>
      <c r="FS42" s="14" t="str">
        <f ca="1">IF(FS$1="","",'Total Value'!FS54/'Total Value'!$D54-1)</f>
        <v/>
      </c>
      <c r="FT42" s="14" t="str">
        <f ca="1">IF(FT$1="","",'Total Value'!FT54/'Total Value'!$D54-1)</f>
        <v/>
      </c>
      <c r="FU42" s="14" t="str">
        <f ca="1">IF(FU$1="","",'Total Value'!FU54/'Total Value'!$D54-1)</f>
        <v/>
      </c>
      <c r="FV42" s="14" t="str">
        <f ca="1">IF(FV$1="","",'Total Value'!FV54/'Total Value'!$D54-1)</f>
        <v/>
      </c>
      <c r="FW42" s="14" t="str">
        <f ca="1">IF(FW$1="","",'Total Value'!FW54/'Total Value'!$D54-1)</f>
        <v/>
      </c>
      <c r="FX42" s="14" t="str">
        <f ca="1">IF(FX$1="","",'Total Value'!FX54/'Total Value'!$D54-1)</f>
        <v/>
      </c>
      <c r="FY42" s="14" t="str">
        <f ca="1">IF(FY$1="","",'Total Value'!FY54/'Total Value'!$D54-1)</f>
        <v/>
      </c>
      <c r="FZ42" s="14" t="str">
        <f ca="1">IF(FZ$1="","",'Total Value'!FZ54/'Total Value'!$D54-1)</f>
        <v/>
      </c>
      <c r="GA42" s="14" t="str">
        <f ca="1">IF(GA$1="","",'Total Value'!GA54/'Total Value'!$D54-1)</f>
        <v/>
      </c>
      <c r="GB42" s="14" t="str">
        <f ca="1">IF(GB$1="","",'Total Value'!GB54/'Total Value'!$D54-1)</f>
        <v/>
      </c>
      <c r="GC42" s="14" t="str">
        <f ca="1">IF(GC$1="","",'Total Value'!GC54/'Total Value'!$D54-1)</f>
        <v/>
      </c>
      <c r="GD42" s="14" t="str">
        <f ca="1">IF(GD$1="","",'Total Value'!GD54/'Total Value'!$D54-1)</f>
        <v/>
      </c>
      <c r="GE42" s="14" t="str">
        <f ca="1">IF(GE$1="","",'Total Value'!GE54/'Total Value'!$D54-1)</f>
        <v/>
      </c>
      <c r="GF42" s="14" t="str">
        <f ca="1">IF(GF$1="","",'Total Value'!GF54/'Total Value'!$D54-1)</f>
        <v/>
      </c>
      <c r="GG42" s="14" t="str">
        <f ca="1">IF(GG$1="","",'Total Value'!GG54/'Total Value'!$D54-1)</f>
        <v/>
      </c>
      <c r="GH42" s="14" t="str">
        <f ca="1">IF(GH$1="","",'Total Value'!GH54/'Total Value'!$D54-1)</f>
        <v/>
      </c>
      <c r="GI42" s="14" t="str">
        <f ca="1">IF(GI$1="","",'Total Value'!GI54/'Total Value'!$D54-1)</f>
        <v/>
      </c>
      <c r="GJ42" s="14" t="str">
        <f ca="1">IF(GJ$1="","",'Total Value'!GJ54/'Total Value'!$D54-1)</f>
        <v/>
      </c>
      <c r="GK42" s="14" t="str">
        <f ca="1">IF(GK$1="","",'Total Value'!GK54/'Total Value'!$D54-1)</f>
        <v/>
      </c>
      <c r="GL42" s="14" t="str">
        <f ca="1">IF(GL$1="","",'Total Value'!GL54/'Total Value'!$D54-1)</f>
        <v/>
      </c>
      <c r="GM42" s="14" t="str">
        <f ca="1">IF(GM$1="","",'Total Value'!GM54/'Total Value'!$D54-1)</f>
        <v/>
      </c>
      <c r="GN42" s="14" t="str">
        <f ca="1">IF(GN$1="","",'Total Value'!GN54/'Total Value'!$D54-1)</f>
        <v/>
      </c>
      <c r="GO42" s="14" t="str">
        <f ca="1">IF(GO$1="","",'Total Value'!GO54/'Total Value'!$D54-1)</f>
        <v/>
      </c>
      <c r="GP42" s="14" t="str">
        <f ca="1">IF(GP$1="","",'Total Value'!GP54/'Total Value'!$D54-1)</f>
        <v/>
      </c>
      <c r="GQ42" s="14" t="str">
        <f ca="1">IF(GQ$1="","",'Total Value'!GQ54/'Total Value'!$D54-1)</f>
        <v/>
      </c>
      <c r="GR42" s="14" t="str">
        <f ca="1">IF(GR$1="","",'Total Value'!GR54/'Total Value'!$D54-1)</f>
        <v/>
      </c>
      <c r="GS42" s="14" t="str">
        <f ca="1">IF(GS$1="","",'Total Value'!GS54/'Total Value'!$D54-1)</f>
        <v/>
      </c>
      <c r="GT42" s="14" t="str">
        <f ca="1">IF(GT$1="","",'Total Value'!GT54/'Total Value'!$D54-1)</f>
        <v/>
      </c>
      <c r="GU42" s="14" t="str">
        <f ca="1">IF(GU$1="","",'Total Value'!GU54/'Total Value'!$D54-1)</f>
        <v/>
      </c>
      <c r="GV42" s="14" t="str">
        <f ca="1">IF(GV$1="","",'Total Value'!GV54/'Total Value'!$D54-1)</f>
        <v/>
      </c>
      <c r="GW42" s="14" t="str">
        <f ca="1">IF(GW$1="","",'Total Value'!GW54/'Total Value'!$D54-1)</f>
        <v/>
      </c>
      <c r="GX42" s="14" t="str">
        <f ca="1">IF(GX$1="","",'Total Value'!GX54/'Total Value'!$D54-1)</f>
        <v/>
      </c>
      <c r="GY42" s="14" t="str">
        <f ca="1">IF(GY$1="","",'Total Value'!GY54/'Total Value'!$D54-1)</f>
        <v/>
      </c>
      <c r="GZ42" s="14" t="str">
        <f ca="1">IF(GZ$1="","",'Total Value'!GZ54/'Total Value'!$D54-1)</f>
        <v/>
      </c>
      <c r="HA42" s="14" t="str">
        <f ca="1">IF(HA$1="","",'Total Value'!HA54/'Total Value'!$D54-1)</f>
        <v/>
      </c>
      <c r="HB42" s="14" t="str">
        <f ca="1">IF(HB$1="","",'Total Value'!HB54/'Total Value'!$D54-1)</f>
        <v/>
      </c>
      <c r="HC42" s="14" t="str">
        <f ca="1">IF(HC$1="","",'Total Value'!HC54/'Total Value'!$D54-1)</f>
        <v/>
      </c>
      <c r="HD42" s="14" t="str">
        <f ca="1">IF(HD$1="","",'Total Value'!HD54/'Total Value'!$D54-1)</f>
        <v/>
      </c>
      <c r="HE42" s="14" t="str">
        <f ca="1">IF(HE$1="","",'Total Value'!HE54/'Total Value'!$D54-1)</f>
        <v/>
      </c>
      <c r="HF42" s="14" t="str">
        <f ca="1">IF(HF$1="","",'Total Value'!HF54/'Total Value'!$D54-1)</f>
        <v/>
      </c>
      <c r="HG42" s="14" t="str">
        <f ca="1">IF(HG$1="","",'Total Value'!HG54/'Total Value'!$D54-1)</f>
        <v/>
      </c>
      <c r="HH42" s="14" t="str">
        <f ca="1">IF(HH$1="","",'Total Value'!HH54/'Total Value'!$D54-1)</f>
        <v/>
      </c>
      <c r="HI42" s="14" t="str">
        <f ca="1">IF(HI$1="","",'Total Value'!HI54/'Total Value'!$D54-1)</f>
        <v/>
      </c>
      <c r="HJ42" s="14" t="str">
        <f ca="1">IF(HJ$1="","",'Total Value'!HJ54/'Total Value'!$D54-1)</f>
        <v/>
      </c>
      <c r="HK42" s="14" t="str">
        <f ca="1">IF(HK$1="","",'Total Value'!HK54/'Total Value'!$D54-1)</f>
        <v/>
      </c>
      <c r="HL42" s="14" t="str">
        <f ca="1">IF(HL$1="","",'Total Value'!HL54/'Total Value'!$D54-1)</f>
        <v/>
      </c>
      <c r="HM42" s="14" t="str">
        <f ca="1">IF(HM$1="","",'Total Value'!HM54/'Total Value'!$D54-1)</f>
        <v/>
      </c>
      <c r="HN42" s="14" t="str">
        <f ca="1">IF(HN$1="","",'Total Value'!HN54/'Total Value'!$D54-1)</f>
        <v/>
      </c>
      <c r="HO42" s="14" t="str">
        <f ca="1">IF(HO$1="","",'Total Value'!HO54/'Total Value'!$D54-1)</f>
        <v/>
      </c>
      <c r="HP42" s="14" t="str">
        <f ca="1">IF(HP$1="","",'Total Value'!HP54/'Total Value'!$D54-1)</f>
        <v/>
      </c>
      <c r="HQ42" s="14" t="str">
        <f ca="1">IF(HQ$1="","",'Total Value'!HQ54/'Total Value'!$D54-1)</f>
        <v/>
      </c>
      <c r="HR42" s="14" t="str">
        <f ca="1">IF(HR$1="","",'Total Value'!HR54/'Total Value'!$D54-1)</f>
        <v/>
      </c>
      <c r="HS42" s="14" t="str">
        <f ca="1">IF(HS$1="","",'Total Value'!HS54/'Total Value'!$D54-1)</f>
        <v/>
      </c>
      <c r="HT42" s="14" t="str">
        <f ca="1">IF(HT$1="","",'Total Value'!HT54/'Total Value'!$D54-1)</f>
        <v/>
      </c>
      <c r="HU42" s="14" t="str">
        <f ca="1">IF(HU$1="","",'Total Value'!HU54/'Total Value'!$D54-1)</f>
        <v/>
      </c>
      <c r="HV42" s="14" t="str">
        <f ca="1">IF(HV$1="","",'Total Value'!HV54/'Total Value'!$D54-1)</f>
        <v/>
      </c>
      <c r="HW42" s="14" t="str">
        <f ca="1">IF(HW$1="","",'Total Value'!HW54/'Total Value'!$D54-1)</f>
        <v/>
      </c>
      <c r="HX42" s="14" t="str">
        <f ca="1">IF(HX$1="","",'Total Value'!HX54/'Total Value'!$D54-1)</f>
        <v/>
      </c>
      <c r="HY42" s="14" t="str">
        <f ca="1">IF(HY$1="","",'Total Value'!HY54/'Total Value'!$D54-1)</f>
        <v/>
      </c>
      <c r="HZ42" s="14" t="str">
        <f ca="1">IF(HZ$1="","",'Total Value'!HZ54/'Total Value'!$D54-1)</f>
        <v/>
      </c>
      <c r="IA42" s="14" t="str">
        <f ca="1">IF(IA$1="","",'Total Value'!IA54/'Total Value'!$D54-1)</f>
        <v/>
      </c>
      <c r="IB42" s="14" t="str">
        <f ca="1">IF(IB$1="","",'Total Value'!IB54/'Total Value'!$D54-1)</f>
        <v/>
      </c>
      <c r="IC42" s="14" t="str">
        <f ca="1">IF(IC$1="","",'Total Value'!IC54/'Total Value'!$D54-1)</f>
        <v/>
      </c>
      <c r="ID42" s="14" t="str">
        <f ca="1">IF(ID$1="","",'Total Value'!ID54/'Total Value'!$D54-1)</f>
        <v/>
      </c>
      <c r="IE42" s="14" t="str">
        <f ca="1">IF(IE$1="","",'Total Value'!IE54/'Total Value'!$D54-1)</f>
        <v/>
      </c>
      <c r="IF42" s="14" t="str">
        <f ca="1">IF(IF$1="","",'Total Value'!IF54/'Total Value'!$D54-1)</f>
        <v/>
      </c>
      <c r="IG42" s="14" t="str">
        <f ca="1">IF(IG$1="","",'Total Value'!IG54/'Total Value'!$D54-1)</f>
        <v/>
      </c>
      <c r="IH42" s="14" t="str">
        <f ca="1">IF(IH$1="","",'Total Value'!IH54/'Total Value'!$D54-1)</f>
        <v/>
      </c>
      <c r="II42" s="14" t="str">
        <f ca="1">IF(II$1="","",'Total Value'!II54/'Total Value'!$D54-1)</f>
        <v/>
      </c>
      <c r="IJ42" s="14" t="str">
        <f ca="1">IF(IJ$1="","",'Total Value'!IJ54/'Total Value'!$D54-1)</f>
        <v/>
      </c>
      <c r="IK42" s="14" t="str">
        <f ca="1">IF(IK$1="","",'Total Value'!IK54/'Total Value'!$D54-1)</f>
        <v/>
      </c>
      <c r="IL42" s="14" t="str">
        <f ca="1">IF(IL$1="","",'Total Value'!IL54/'Total Value'!$D54-1)</f>
        <v/>
      </c>
      <c r="IM42" s="14" t="str">
        <f ca="1">IF(IM$1="","",'Total Value'!IM54/'Total Value'!$D54-1)</f>
        <v/>
      </c>
      <c r="IN42" s="14" t="str">
        <f ca="1">IF(IN$1="","",'Total Value'!IN54/'Total Value'!$D54-1)</f>
        <v/>
      </c>
      <c r="IO42" s="14" t="str">
        <f ca="1">IF(IO$1="","",'Total Value'!IO54/'Total Value'!$D54-1)</f>
        <v/>
      </c>
      <c r="IP42" s="14" t="str">
        <f ca="1">IF(IP$1="","",'Total Value'!IP54/'Total Value'!$D54-1)</f>
        <v/>
      </c>
      <c r="IQ42" s="14" t="str">
        <f ca="1">IF(IQ$1="","",'Total Value'!IQ54/'Total Value'!$D54-1)</f>
        <v/>
      </c>
      <c r="IR42" s="14" t="str">
        <f ca="1">IF(IR$1="","",'Total Value'!IR54/'Total Value'!$D54-1)</f>
        <v/>
      </c>
      <c r="IS42" s="14" t="str">
        <f ca="1">IF(IS$1="","",'Total Value'!IS54/'Total Value'!$D54-1)</f>
        <v/>
      </c>
      <c r="IT42" s="14" t="str">
        <f ca="1">IF(IT$1="","",'Total Value'!IT54/'Total Value'!$D54-1)</f>
        <v/>
      </c>
      <c r="IU42" s="14" t="str">
        <f ca="1">IF(IU$1="","",'Total Value'!IU54/'Total Value'!$D54-1)</f>
        <v/>
      </c>
      <c r="IV42" s="14" t="str">
        <f ca="1">IF(IV$1="","",'Total Value'!IV54/'Total Value'!$D54-1)</f>
        <v/>
      </c>
      <c r="IW42" s="14" t="str">
        <f ca="1">IF(IW$1="","",'Total Value'!IW54/'Total Value'!$D54-1)</f>
        <v/>
      </c>
      <c r="IX42" s="14" t="str">
        <f ca="1">IF(IX$1="","",'Total Value'!IX54/'Total Value'!$D54-1)</f>
        <v/>
      </c>
      <c r="IY42" s="14" t="str">
        <f ca="1">IF(IY$1="","",'Total Value'!IY54/'Total Value'!$D54-1)</f>
        <v/>
      </c>
      <c r="IZ42" s="14" t="str">
        <f ca="1">IF(IZ$1="","",'Total Value'!IZ54/'Total Value'!$D54-1)</f>
        <v/>
      </c>
      <c r="JA42" s="14" t="str">
        <f ca="1">IF(JA$1="","",'Total Value'!JA54/'Total Value'!$D54-1)</f>
        <v/>
      </c>
      <c r="JB42" s="14" t="str">
        <f ca="1">IF(JB$1="","",'Total Value'!JB54/'Total Value'!$D54-1)</f>
        <v/>
      </c>
      <c r="JC42" s="14" t="str">
        <f ca="1">IF(JC$1="","",'Total Value'!JC54/'Total Value'!$D54-1)</f>
        <v/>
      </c>
      <c r="JD42" s="14" t="str">
        <f ca="1">IF(JD$1="","",'Total Value'!JD54/'Total Value'!$D54-1)</f>
        <v/>
      </c>
      <c r="JE42" s="14" t="str">
        <f ca="1">IF(JE$1="","",'Total Value'!JE54/'Total Value'!$D54-1)</f>
        <v/>
      </c>
      <c r="JF42" s="14" t="str">
        <f ca="1">IF(JF$1="","",'Total Value'!JF54/'Total Value'!$D54-1)</f>
        <v/>
      </c>
      <c r="JG42" s="14" t="str">
        <f ca="1">IF(JG$1="","",'Total Value'!JG54/'Total Value'!$D54-1)</f>
        <v/>
      </c>
      <c r="JH42" s="14" t="str">
        <f ca="1">IF(JH$1="","",'Total Value'!JH54/'Total Value'!$D54-1)</f>
        <v/>
      </c>
      <c r="JI42" s="14" t="str">
        <f ca="1">IF(JI$1="","",'Total Value'!JI54/'Total Value'!$D54-1)</f>
        <v/>
      </c>
      <c r="JJ42" s="14" t="str">
        <f ca="1">IF(JJ$1="","",'Total Value'!JJ54/'Total Value'!$D54-1)</f>
        <v/>
      </c>
      <c r="JK42" s="14" t="str">
        <f ca="1">IF(JK$1="","",'Total Value'!JK54/'Total Value'!$D54-1)</f>
        <v/>
      </c>
      <c r="JL42" s="14" t="str">
        <f ca="1">IF(JL$1="","",'Total Value'!JL54/'Total Value'!$D54-1)</f>
        <v/>
      </c>
      <c r="JM42" s="14" t="str">
        <f ca="1">IF(JM$1="","",'Total Value'!JM54/'Total Value'!$D54-1)</f>
        <v/>
      </c>
      <c r="JN42" s="14" t="str">
        <f ca="1">IF(JN$1="","",'Total Value'!JN54/'Total Value'!$D54-1)</f>
        <v/>
      </c>
      <c r="JO42" s="14" t="str">
        <f ca="1">IF(JO$1="","",'Total Value'!JO54/'Total Value'!$D54-1)</f>
        <v/>
      </c>
      <c r="JP42" s="14" t="str">
        <f ca="1">IF(JP$1="","",'Total Value'!JP54/'Total Value'!$D54-1)</f>
        <v/>
      </c>
      <c r="JQ42" s="14" t="str">
        <f ca="1">IF(JQ$1="","",'Total Value'!JQ54/'Total Value'!$D54-1)</f>
        <v/>
      </c>
      <c r="JR42" s="14" t="str">
        <f ca="1">IF(JR$1="","",'Total Value'!JR54/'Total Value'!$D54-1)</f>
        <v/>
      </c>
      <c r="JS42" s="14" t="str">
        <f ca="1">IF(JS$1="","",'Total Value'!JS54/'Total Value'!$D54-1)</f>
        <v/>
      </c>
      <c r="JT42" s="14" t="str">
        <f ca="1">IF(JT$1="","",'Total Value'!JT54/'Total Value'!$D54-1)</f>
        <v/>
      </c>
      <c r="JU42" s="14" t="str">
        <f ca="1">IF(JU$1="","",'Total Value'!JU54/'Total Value'!$D54-1)</f>
        <v/>
      </c>
      <c r="JV42" s="14" t="str">
        <f ca="1">IF(JV$1="","",'Total Value'!JV54/'Total Value'!$D54-1)</f>
        <v/>
      </c>
      <c r="JW42" s="14" t="str">
        <f ca="1">IF(JW$1="","",'Total Value'!JW54/'Total Value'!$D54-1)</f>
        <v/>
      </c>
      <c r="JX42" s="14" t="str">
        <f ca="1">IF(JX$1="","",'Total Value'!JX54/'Total Value'!$D54-1)</f>
        <v/>
      </c>
      <c r="JY42" s="14" t="str">
        <f ca="1">IF(JY$1="","",'Total Value'!JY54/'Total Value'!$D54-1)</f>
        <v/>
      </c>
      <c r="JZ42" s="14" t="str">
        <f ca="1">IF(JZ$1="","",'Total Value'!JZ54/'Total Value'!$D54-1)</f>
        <v/>
      </c>
      <c r="KA42" s="14" t="str">
        <f ca="1">IF(KA$1="","",'Total Value'!KA54/'Total Value'!$D54-1)</f>
        <v/>
      </c>
      <c r="KB42" s="14" t="str">
        <f ca="1">IF(KB$1="","",'Total Value'!KB54/'Total Value'!$D54-1)</f>
        <v/>
      </c>
    </row>
    <row r="43" spans="1:288" ht="15.75" customHeight="1">
      <c r="A43" s="9" t="s">
        <v>30</v>
      </c>
      <c r="B43" s="6" t="s">
        <v>86</v>
      </c>
      <c r="C43" s="26">
        <v>77</v>
      </c>
      <c r="D43" s="13">
        <v>0</v>
      </c>
      <c r="E43" s="14">
        <f ca="1">IF(E$1="","",'Total Value'!E55/'Total Value'!$D55-1)</f>
        <v>1.1070110701107083E-2</v>
      </c>
      <c r="F43" s="14">
        <f ca="1">IF(F$1="","",'Total Value'!F55/'Total Value'!$D55-1)</f>
        <v>-3.3210332103320916E-2</v>
      </c>
      <c r="G43" s="14">
        <f ca="1">IF(G$1="","",'Total Value'!G55/'Total Value'!$D55-1)</f>
        <v>-4.4280442804428111E-2</v>
      </c>
      <c r="H43" s="14">
        <f ca="1">IF(H$1="","",'Total Value'!H55/'Total Value'!$D55-1)</f>
        <v>2.5830258302582898E-2</v>
      </c>
      <c r="I43" s="14">
        <f ca="1">IF(I$1="","",'Total Value'!I55/'Total Value'!$D55-1)</f>
        <v>-7.0110701107011009E-2</v>
      </c>
      <c r="J43" s="14">
        <f ca="1">IF(J$1="","",'Total Value'!J55/'Total Value'!$D55-1)</f>
        <v>-4.0590405904058935E-2</v>
      </c>
      <c r="K43" s="14">
        <f ca="1">IF(K$1="","",'Total Value'!K55/'Total Value'!$D55-1)</f>
        <v>-7.0110701107011009E-2</v>
      </c>
      <c r="L43" s="14">
        <f ca="1">IF(L$1="","",'Total Value'!L55/'Total Value'!$D55-1)</f>
        <v>-0.11439114391143912</v>
      </c>
      <c r="M43" s="14">
        <f ca="1">IF(M$1="","",'Total Value'!M55/'Total Value'!$D55-1)</f>
        <v>-0.10332103321033204</v>
      </c>
      <c r="N43" s="14">
        <f ca="1">IF(N$1="","",'Total Value'!N55/'Total Value'!$D55-1)</f>
        <v>-7.3800738007380073E-2</v>
      </c>
      <c r="O43" s="14">
        <f ca="1">IF(O$1="","",'Total Value'!O55/'Total Value'!$D55-1)</f>
        <v>-0.14022140221402213</v>
      </c>
      <c r="P43" s="14">
        <f ca="1">IF(P$1="","",'Total Value'!P55/'Total Value'!$D55-1)</f>
        <v>-0.16974169741697409</v>
      </c>
      <c r="Q43" s="14">
        <f ca="1">IF(Q$1="","",'Total Value'!Q55/'Total Value'!$D55-1)</f>
        <v>-0.15867158671586723</v>
      </c>
      <c r="R43" s="14">
        <f ca="1">IF(R$1="","",'Total Value'!R55/'Total Value'!$D55-1)</f>
        <v>-9.2250922509225064E-2</v>
      </c>
      <c r="S43" s="14">
        <f ca="1">IF(S$1="","",'Total Value'!S55/'Total Value'!$D55-1)</f>
        <v>-3.6900369003689981E-2</v>
      </c>
      <c r="T43" s="14">
        <f ca="1">IF(T$1="","",'Total Value'!T55/'Total Value'!$D55-1)</f>
        <v>-8.4870848708487046E-2</v>
      </c>
      <c r="U43" s="14">
        <f ca="1">IF(U$1="","",'Total Value'!U55/'Total Value'!$D55-1)</f>
        <v>-0.11439114391143912</v>
      </c>
      <c r="V43" s="14">
        <f ca="1">IF(V$1="","",'Total Value'!V55/'Total Value'!$D55-1)</f>
        <v>-0.10701107011070099</v>
      </c>
      <c r="W43" s="14">
        <f ca="1">IF(W$1="","",'Total Value'!W55/'Total Value'!$D55-1)</f>
        <v>-0.10332103321033204</v>
      </c>
      <c r="X43" s="14">
        <f ca="1">IF(X$1="","",'Total Value'!X55/'Total Value'!$D55-1)</f>
        <v>-0.12915129151291505</v>
      </c>
      <c r="Y43" s="14">
        <f ca="1">IF(Y$1="","",'Total Value'!Y55/'Total Value'!$D55-1)</f>
        <v>-9.9630996309963082E-2</v>
      </c>
      <c r="Z43" s="14">
        <f ca="1">IF(Z$1="","",'Total Value'!Z55/'Total Value'!$D55-1)</f>
        <v>-0.13653136531365317</v>
      </c>
      <c r="AA43" s="14">
        <f ca="1">IF(AA$1="","",'Total Value'!AA55/'Total Value'!$D55-1)</f>
        <v>-0.1955719557195571</v>
      </c>
      <c r="AB43" s="14">
        <f ca="1">IF(AB$1="","",'Total Value'!AB55/'Total Value'!$D55-1)</f>
        <v>-0.20664206642066429</v>
      </c>
      <c r="AC43" s="14">
        <f ca="1">IF(AC$1="","",'Total Value'!AC55/'Total Value'!$D55-1)</f>
        <v>-0.14760147601476004</v>
      </c>
      <c r="AD43" s="14">
        <f ca="1">IF(AD$1="","",'Total Value'!AD55/'Total Value'!$D55-1)</f>
        <v>-0.14760147601476004</v>
      </c>
      <c r="AE43" s="14">
        <f ca="1">IF(AE$1="","",'Total Value'!AE55/'Total Value'!$D55-1)</f>
        <v>-0.1955719557195571</v>
      </c>
      <c r="AF43" s="14">
        <f ca="1">IF(AF$1="","",'Total Value'!AF55/'Total Value'!$D55-1)</f>
        <v>-0.18819188191881908</v>
      </c>
      <c r="AG43" s="14">
        <f ca="1">IF(AG$1="","",'Total Value'!AG55/'Total Value'!$D55-1)</f>
        <v>-0.2140221402214022</v>
      </c>
      <c r="AH43" s="14">
        <f ca="1">IF(AH$1="","",'Total Value'!AH55/'Total Value'!$D55-1)</f>
        <v>-0.19926199261992616</v>
      </c>
      <c r="AI43" s="14">
        <f ca="1">IF(AI$1="","",'Total Value'!AI55/'Total Value'!$D55-1)</f>
        <v>-0.18819188191881908</v>
      </c>
      <c r="AJ43" s="14">
        <f ca="1">IF(AJ$1="","",'Total Value'!AJ55/'Total Value'!$D55-1)</f>
        <v>-0.16605166051660525</v>
      </c>
      <c r="AK43" s="14">
        <f ca="1">IF(AK$1="","",'Total Value'!AK55/'Total Value'!$D55-1)</f>
        <v>-0.1512915129151291</v>
      </c>
      <c r="AL43" s="14">
        <f ca="1">IF(AL$1="","",'Total Value'!AL55/'Total Value'!$D55-1)</f>
        <v>-0.132841328413284</v>
      </c>
      <c r="AM43" s="14">
        <f ca="1">IF(AM$1="","",'Total Value'!AM55/'Total Value'!$D55-1)</f>
        <v>-0.18081180811808095</v>
      </c>
      <c r="AN43" s="14">
        <f ca="1">IF(AN$1="","",'Total Value'!AN55/'Total Value'!$D55-1)</f>
        <v>-0.14022140221402213</v>
      </c>
      <c r="AO43" s="14">
        <f ca="1">IF(AO$1="","",'Total Value'!AO55/'Total Value'!$D55-1)</f>
        <v>-7.0110701107011009E-2</v>
      </c>
      <c r="AP43" s="14">
        <f ca="1">IF(AP$1="","",'Total Value'!AP55/'Total Value'!$D55-1)</f>
        <v>-0.10332103321033204</v>
      </c>
      <c r="AQ43" s="14">
        <f ca="1">IF(AQ$1="","",'Total Value'!AQ55/'Total Value'!$D55-1)</f>
        <v>2.9520295202952074E-2</v>
      </c>
      <c r="AR43" s="14">
        <f ca="1">IF(AR$1="","",'Total Value'!AR55/'Total Value'!$D55-1)</f>
        <v>9.5940959409594351E-2</v>
      </c>
      <c r="AS43" s="14">
        <f ca="1">IF(AS$1="","",'Total Value'!AS55/'Total Value'!$D55-1)</f>
        <v>7.0110701107011009E-2</v>
      </c>
      <c r="AT43" s="14">
        <f ca="1">IF(AT$1="","",'Total Value'!AT55/'Total Value'!$D55-1)</f>
        <v>-2.9520295202951963E-2</v>
      </c>
      <c r="AU43" s="14">
        <f ca="1">IF(AU$1="","",'Total Value'!AU55/'Total Value'!$D55-1)</f>
        <v>-9.2250922509225064E-2</v>
      </c>
      <c r="AV43" s="14">
        <f ca="1">IF(AV$1="","",'Total Value'!AV55/'Total Value'!$D55-1)</f>
        <v>3.6900369003691758E-3</v>
      </c>
      <c r="AW43" s="14">
        <f ca="1">IF(AW$1="","",'Total Value'!AW55/'Total Value'!$D55-1)</f>
        <v>9.5940959409594351E-2</v>
      </c>
      <c r="AX43" s="14">
        <f ca="1">IF(AX$1="","",'Total Value'!AX55/'Total Value'!$D55-1)</f>
        <v>0.17343173431734327</v>
      </c>
      <c r="AY43" s="14">
        <f ca="1">IF(AY$1="","",'Total Value'!AY55/'Total Value'!$D55-1)</f>
        <v>0.19557195571955743</v>
      </c>
      <c r="AZ43" s="14">
        <f ca="1">IF(AZ$1="","",'Total Value'!AZ55/'Total Value'!$D55-1)</f>
        <v>0.14022140221402202</v>
      </c>
      <c r="BA43" s="14">
        <f ca="1">IF(BA$1="","",'Total Value'!BA55/'Total Value'!$D55-1)</f>
        <v>0.16236162361623618</v>
      </c>
      <c r="BB43" s="14">
        <f ca="1">IF(BB$1="","",'Total Value'!BB55/'Total Value'!$D55-1)</f>
        <v>0.11439114391143912</v>
      </c>
      <c r="BC43" s="14">
        <f ca="1">IF(BC$1="","",'Total Value'!BC55/'Total Value'!$D55-1)</f>
        <v>7.3800738007380184E-2</v>
      </c>
      <c r="BD43" s="14">
        <f ca="1">IF(BD$1="","",'Total Value'!BD55/'Total Value'!$D55-1)</f>
        <v>3.3210332103321027E-2</v>
      </c>
      <c r="BE43" s="14">
        <f ca="1">IF(BE$1="","",'Total Value'!BE55/'Total Value'!$D55-1)</f>
        <v>7.3800738007381295E-3</v>
      </c>
      <c r="BF43" s="14">
        <f ca="1">IF(BF$1="","",'Total Value'!BF55/'Total Value'!$D55-1)</f>
        <v>7.7490774907749138E-2</v>
      </c>
      <c r="BG43" s="14">
        <f ca="1">IF(BG$1="","",'Total Value'!BG55/'Total Value'!$D55-1)</f>
        <v>5.166051660516624E-2</v>
      </c>
      <c r="BH43" s="14">
        <f ca="1">IF(BH$1="","",'Total Value'!BH55/'Total Value'!$D55-1)</f>
        <v>6.2730627306273101E-2</v>
      </c>
      <c r="BI43" s="14">
        <f ca="1">IF(BI$1="","",'Total Value'!BI55/'Total Value'!$D55-1)</f>
        <v>9.9630996309963304E-2</v>
      </c>
      <c r="BJ43" s="14">
        <f ca="1">IF(BJ$1="","",'Total Value'!BJ55/'Total Value'!$D55-1)</f>
        <v>0.17343173431734327</v>
      </c>
      <c r="BK43" s="14">
        <f ca="1">IF(BK$1="","",'Total Value'!BK55/'Total Value'!$D55-1)</f>
        <v>0.21771217712177116</v>
      </c>
      <c r="BL43" s="14">
        <f ca="1">IF(BL$1="","",'Total Value'!BL55/'Total Value'!$D55-1)</f>
        <v>0.18450184501845013</v>
      </c>
      <c r="BM43" s="14">
        <f ca="1">IF(BM$1="","",'Total Value'!BM55/'Total Value'!$D55-1)</f>
        <v>0.15129151291512932</v>
      </c>
      <c r="BN43" s="14">
        <f ca="1">IF(BN$1="","",'Total Value'!BN55/'Total Value'!$D55-1)</f>
        <v>0.11808118081180807</v>
      </c>
      <c r="BO43" s="14">
        <f ca="1">IF(BO$1="","",'Total Value'!BO55/'Total Value'!$D55-1)</f>
        <v>4.4280442804428111E-2</v>
      </c>
      <c r="BP43" s="14">
        <f ca="1">IF(BP$1="","",'Total Value'!BP55/'Total Value'!$D55-1)</f>
        <v>0</v>
      </c>
      <c r="BQ43" s="14">
        <f ca="1">IF(BQ$1="","",'Total Value'!BQ55/'Total Value'!$D55-1)</f>
        <v>6.2730627306273101E-2</v>
      </c>
      <c r="BR43" s="14">
        <f ca="1">IF(BR$1="","",'Total Value'!BR55/'Total Value'!$D55-1)</f>
        <v>4.4280442804428111E-2</v>
      </c>
      <c r="BS43" s="14">
        <f ca="1">IF(BS$1="","",'Total Value'!BS55/'Total Value'!$D55-1)</f>
        <v>3.3210332103321027E-2</v>
      </c>
      <c r="BT43" s="14">
        <f ca="1">IF(BT$1="","",'Total Value'!BT55/'Total Value'!$D55-1)</f>
        <v>3.3210332103321027E-2</v>
      </c>
      <c r="BU43" s="14">
        <f ca="1">IF(BU$1="","",'Total Value'!BU55/'Total Value'!$D55-1)</f>
        <v>2.2140221402213944E-2</v>
      </c>
      <c r="BV43" s="14">
        <f ca="1">IF(BV$1="","",'Total Value'!BV55/'Total Value'!$D55-1)</f>
        <v>3.6900369003691758E-3</v>
      </c>
      <c r="BW43" s="14">
        <f ca="1">IF(BW$1="","",'Total Value'!BW55/'Total Value'!$D55-1)</f>
        <v>3.6900369003691758E-3</v>
      </c>
      <c r="BX43" s="14">
        <f ca="1">IF(BX$1="","",'Total Value'!BX55/'Total Value'!$D55-1)</f>
        <v>3.3210332103321027E-2</v>
      </c>
      <c r="BY43" s="14">
        <f ca="1">IF(BY$1="","",'Total Value'!BY55/'Total Value'!$D55-1)</f>
        <v>-2.2140221402214055E-2</v>
      </c>
      <c r="BZ43" s="14">
        <f ca="1">IF(BZ$1="","",'Total Value'!BZ55/'Total Value'!$D55-1)</f>
        <v>-7.7490774907749027E-2</v>
      </c>
      <c r="CA43" s="14">
        <f ca="1">IF(CA$1="","",'Total Value'!CA55/'Total Value'!$D55-1)</f>
        <v>-7.3800738007380073E-2</v>
      </c>
      <c r="CB43" s="14">
        <f ca="1">IF(CB$1="","",'Total Value'!CB55/'Total Value'!$D55-1)</f>
        <v>-0.12915129151291505</v>
      </c>
      <c r="CC43" s="14">
        <f ca="1">IF(CC$1="","",'Total Value'!CC55/'Total Value'!$D55-1)</f>
        <v>-0.14760147601476004</v>
      </c>
      <c r="CD43" s="14">
        <f ca="1">IF(CD$1="","",'Total Value'!CD55/'Total Value'!$D55-1)</f>
        <v>-0.11439114391143912</v>
      </c>
      <c r="CE43" s="14">
        <f ca="1">IF(CE$1="","",'Total Value'!CE55/'Total Value'!$D55-1)</f>
        <v>-9.2250922509225064E-2</v>
      </c>
      <c r="CF43" s="14" t="str">
        <f ca="1">IF(CF$1="","",'Total Value'!CF55/'Total Value'!$D55-1)</f>
        <v/>
      </c>
      <c r="CG43" s="14" t="str">
        <f ca="1">IF(CG$1="","",'Total Value'!CG55/'Total Value'!$D55-1)</f>
        <v/>
      </c>
      <c r="CH43" s="14" t="str">
        <f ca="1">IF(CH$1="","",'Total Value'!CH55/'Total Value'!$D55-1)</f>
        <v/>
      </c>
      <c r="CI43" s="14" t="str">
        <f ca="1">IF(CI$1="","",'Total Value'!CI55/'Total Value'!$D55-1)</f>
        <v/>
      </c>
      <c r="CJ43" s="14" t="str">
        <f ca="1">IF(CJ$1="","",'Total Value'!CJ55/'Total Value'!$D55-1)</f>
        <v/>
      </c>
      <c r="CK43" s="14" t="str">
        <f ca="1">IF(CK$1="","",'Total Value'!CK55/'Total Value'!$D55-1)</f>
        <v/>
      </c>
      <c r="CL43" s="14" t="str">
        <f ca="1">IF(CL$1="","",'Total Value'!CL55/'Total Value'!$D55-1)</f>
        <v/>
      </c>
      <c r="CM43" s="14" t="str">
        <f ca="1">IF(CM$1="","",'Total Value'!CM55/'Total Value'!$D55-1)</f>
        <v/>
      </c>
      <c r="CN43" s="14" t="str">
        <f ca="1">IF(CN$1="","",'Total Value'!CN55/'Total Value'!$D55-1)</f>
        <v/>
      </c>
      <c r="CO43" s="14" t="str">
        <f ca="1">IF(CO$1="","",'Total Value'!CO55/'Total Value'!$D55-1)</f>
        <v/>
      </c>
      <c r="CP43" s="14" t="str">
        <f ca="1">IF(CP$1="","",'Total Value'!CP55/'Total Value'!$D55-1)</f>
        <v/>
      </c>
      <c r="CQ43" s="14" t="str">
        <f ca="1">IF(CQ$1="","",'Total Value'!CQ55/'Total Value'!$D55-1)</f>
        <v/>
      </c>
      <c r="CR43" s="14" t="str">
        <f ca="1">IF(CR$1="","",'Total Value'!CR55/'Total Value'!$D55-1)</f>
        <v/>
      </c>
      <c r="CS43" s="14" t="str">
        <f ca="1">IF(CS$1="","",'Total Value'!CS55/'Total Value'!$D55-1)</f>
        <v/>
      </c>
      <c r="CT43" s="14" t="str">
        <f ca="1">IF(CT$1="","",'Total Value'!CT55/'Total Value'!$D55-1)</f>
        <v/>
      </c>
      <c r="CU43" s="14" t="str">
        <f ca="1">IF(CU$1="","",'Total Value'!CU55/'Total Value'!$D55-1)</f>
        <v/>
      </c>
      <c r="CV43" s="14" t="str">
        <f ca="1">IF(CV$1="","",'Total Value'!CV55/'Total Value'!$D55-1)</f>
        <v/>
      </c>
      <c r="CW43" s="14" t="str">
        <f ca="1">IF(CW$1="","",'Total Value'!CW55/'Total Value'!$D55-1)</f>
        <v/>
      </c>
      <c r="CX43" s="14" t="str">
        <f ca="1">IF(CX$1="","",'Total Value'!CX55/'Total Value'!$D55-1)</f>
        <v/>
      </c>
      <c r="CY43" s="14" t="str">
        <f ca="1">IF(CY$1="","",'Total Value'!CY55/'Total Value'!$D55-1)</f>
        <v/>
      </c>
      <c r="CZ43" s="14" t="str">
        <f ca="1">IF(CZ$1="","",'Total Value'!CZ55/'Total Value'!$D55-1)</f>
        <v/>
      </c>
      <c r="DA43" s="14" t="str">
        <f ca="1">IF(DA$1="","",'Total Value'!DA55/'Total Value'!$D55-1)</f>
        <v/>
      </c>
      <c r="DB43" s="14" t="str">
        <f ca="1">IF(DB$1="","",'Total Value'!DB55/'Total Value'!$D55-1)</f>
        <v/>
      </c>
      <c r="DC43" s="14" t="str">
        <f ca="1">IF(DC$1="","",'Total Value'!DC55/'Total Value'!$D55-1)</f>
        <v/>
      </c>
      <c r="DD43" s="14" t="str">
        <f ca="1">IF(DD$1="","",'Total Value'!DD55/'Total Value'!$D55-1)</f>
        <v/>
      </c>
      <c r="DE43" s="14" t="str">
        <f ca="1">IF(DE$1="","",'Total Value'!DE55/'Total Value'!$D55-1)</f>
        <v/>
      </c>
      <c r="DF43" s="14" t="str">
        <f ca="1">IF(DF$1="","",'Total Value'!DF55/'Total Value'!$D55-1)</f>
        <v/>
      </c>
      <c r="DG43" s="14" t="str">
        <f ca="1">IF(DG$1="","",'Total Value'!DG55/'Total Value'!$D55-1)</f>
        <v/>
      </c>
      <c r="DH43" s="14" t="str">
        <f ca="1">IF(DH$1="","",'Total Value'!DH55/'Total Value'!$D55-1)</f>
        <v/>
      </c>
      <c r="DI43" s="14" t="str">
        <f ca="1">IF(DI$1="","",'Total Value'!DI55/'Total Value'!$D55-1)</f>
        <v/>
      </c>
      <c r="DJ43" s="14" t="str">
        <f ca="1">IF(DJ$1="","",'Total Value'!DJ55/'Total Value'!$D55-1)</f>
        <v/>
      </c>
      <c r="DK43" s="14" t="str">
        <f ca="1">IF(DK$1="","",'Total Value'!DK55/'Total Value'!$D55-1)</f>
        <v/>
      </c>
      <c r="DL43" s="14" t="str">
        <f ca="1">IF(DL$1="","",'Total Value'!DL55/'Total Value'!$D55-1)</f>
        <v/>
      </c>
      <c r="DM43" s="14" t="str">
        <f ca="1">IF(DM$1="","",'Total Value'!DM55/'Total Value'!$D55-1)</f>
        <v/>
      </c>
      <c r="DN43" s="14" t="str">
        <f ca="1">IF(DN$1="","",'Total Value'!DN55/'Total Value'!$D55-1)</f>
        <v/>
      </c>
      <c r="DO43" s="14" t="str">
        <f ca="1">IF(DO$1="","",'Total Value'!DO55/'Total Value'!$D55-1)</f>
        <v/>
      </c>
      <c r="DP43" s="14" t="str">
        <f ca="1">IF(DP$1="","",'Total Value'!DP55/'Total Value'!$D55-1)</f>
        <v/>
      </c>
      <c r="DQ43" s="14" t="str">
        <f ca="1">IF(DQ$1="","",'Total Value'!DQ55/'Total Value'!$D55-1)</f>
        <v/>
      </c>
      <c r="DR43" s="14" t="str">
        <f ca="1">IF(DR$1="","",'Total Value'!DR55/'Total Value'!$D55-1)</f>
        <v/>
      </c>
      <c r="DS43" s="14" t="str">
        <f ca="1">IF(DS$1="","",'Total Value'!DS55/'Total Value'!$D55-1)</f>
        <v/>
      </c>
      <c r="DT43" s="14" t="str">
        <f ca="1">IF(DT$1="","",'Total Value'!DT55/'Total Value'!$D55-1)</f>
        <v/>
      </c>
      <c r="DU43" s="14" t="str">
        <f ca="1">IF(DU$1="","",'Total Value'!DU55/'Total Value'!$D55-1)</f>
        <v/>
      </c>
      <c r="DV43" s="14" t="str">
        <f ca="1">IF(DV$1="","",'Total Value'!DV55/'Total Value'!$D55-1)</f>
        <v/>
      </c>
      <c r="DW43" s="14" t="str">
        <f ca="1">IF(DW$1="","",'Total Value'!DW55/'Total Value'!$D55-1)</f>
        <v/>
      </c>
      <c r="DX43" s="14" t="str">
        <f ca="1">IF(DX$1="","",'Total Value'!DX55/'Total Value'!$D55-1)</f>
        <v/>
      </c>
      <c r="DY43" s="14" t="str">
        <f ca="1">IF(DY$1="","",'Total Value'!DY55/'Total Value'!$D55-1)</f>
        <v/>
      </c>
      <c r="DZ43" s="14" t="str">
        <f ca="1">IF(DZ$1="","",'Total Value'!DZ55/'Total Value'!$D55-1)</f>
        <v/>
      </c>
      <c r="EA43" s="14" t="str">
        <f ca="1">IF(EA$1="","",'Total Value'!EA55/'Total Value'!$D55-1)</f>
        <v/>
      </c>
      <c r="EB43" s="14" t="str">
        <f ca="1">IF(EB$1="","",'Total Value'!EB55/'Total Value'!$D55-1)</f>
        <v/>
      </c>
      <c r="EC43" s="14" t="str">
        <f ca="1">IF(EC$1="","",'Total Value'!EC55/'Total Value'!$D55-1)</f>
        <v/>
      </c>
      <c r="ED43" s="14" t="str">
        <f ca="1">IF(ED$1="","",'Total Value'!ED55/'Total Value'!$D55-1)</f>
        <v/>
      </c>
      <c r="EE43" s="14" t="str">
        <f ca="1">IF(EE$1="","",'Total Value'!EE55/'Total Value'!$D55-1)</f>
        <v/>
      </c>
      <c r="EF43" s="14" t="str">
        <f ca="1">IF(EF$1="","",'Total Value'!EF55/'Total Value'!$D55-1)</f>
        <v/>
      </c>
      <c r="EG43" s="14" t="str">
        <f ca="1">IF(EG$1="","",'Total Value'!EG55/'Total Value'!$D55-1)</f>
        <v/>
      </c>
      <c r="EH43" s="14" t="str">
        <f ca="1">IF(EH$1="","",'Total Value'!EH55/'Total Value'!$D55-1)</f>
        <v/>
      </c>
      <c r="EI43" s="14" t="str">
        <f ca="1">IF(EI$1="","",'Total Value'!EI55/'Total Value'!$D55-1)</f>
        <v/>
      </c>
      <c r="EJ43" s="14" t="str">
        <f ca="1">IF(EJ$1="","",'Total Value'!EJ55/'Total Value'!$D55-1)</f>
        <v/>
      </c>
      <c r="EK43" s="14" t="str">
        <f ca="1">IF(EK$1="","",'Total Value'!EK55/'Total Value'!$D55-1)</f>
        <v/>
      </c>
      <c r="EL43" s="14" t="str">
        <f ca="1">IF(EL$1="","",'Total Value'!EL55/'Total Value'!$D55-1)</f>
        <v/>
      </c>
      <c r="EM43" s="14" t="str">
        <f ca="1">IF(EM$1="","",'Total Value'!EM55/'Total Value'!$D55-1)</f>
        <v/>
      </c>
      <c r="EN43" s="14" t="str">
        <f ca="1">IF(EN$1="","",'Total Value'!EN55/'Total Value'!$D55-1)</f>
        <v/>
      </c>
      <c r="EO43" s="14" t="str">
        <f ca="1">IF(EO$1="","",'Total Value'!EO55/'Total Value'!$D55-1)</f>
        <v/>
      </c>
      <c r="EP43" s="14" t="str">
        <f ca="1">IF(EP$1="","",'Total Value'!EP55/'Total Value'!$D55-1)</f>
        <v/>
      </c>
      <c r="EQ43" s="14" t="str">
        <f ca="1">IF(EQ$1="","",'Total Value'!EQ55/'Total Value'!$D55-1)</f>
        <v/>
      </c>
      <c r="ER43" s="14" t="str">
        <f ca="1">IF(ER$1="","",'Total Value'!ER55/'Total Value'!$D55-1)</f>
        <v/>
      </c>
      <c r="ES43" s="14" t="str">
        <f ca="1">IF(ES$1="","",'Total Value'!ES55/'Total Value'!$D55-1)</f>
        <v/>
      </c>
      <c r="ET43" s="14" t="str">
        <f ca="1">IF(ET$1="","",'Total Value'!ET55/'Total Value'!$D55-1)</f>
        <v/>
      </c>
      <c r="EU43" s="14" t="str">
        <f ca="1">IF(EU$1="","",'Total Value'!EU55/'Total Value'!$D55-1)</f>
        <v/>
      </c>
      <c r="EV43" s="14" t="str">
        <f ca="1">IF(EV$1="","",'Total Value'!EV55/'Total Value'!$D55-1)</f>
        <v/>
      </c>
      <c r="EW43" s="14" t="str">
        <f ca="1">IF(EW$1="","",'Total Value'!EW55/'Total Value'!$D55-1)</f>
        <v/>
      </c>
      <c r="EX43" s="14" t="str">
        <f ca="1">IF(EX$1="","",'Total Value'!EX55/'Total Value'!$D55-1)</f>
        <v/>
      </c>
      <c r="EY43" s="14" t="str">
        <f ca="1">IF(EY$1="","",'Total Value'!EY55/'Total Value'!$D55-1)</f>
        <v/>
      </c>
      <c r="EZ43" s="14" t="str">
        <f ca="1">IF(EZ$1="","",'Total Value'!EZ55/'Total Value'!$D55-1)</f>
        <v/>
      </c>
      <c r="FA43" s="14" t="str">
        <f ca="1">IF(FA$1="","",'Total Value'!FA55/'Total Value'!$D55-1)</f>
        <v/>
      </c>
      <c r="FB43" s="14" t="str">
        <f ca="1">IF(FB$1="","",'Total Value'!FB55/'Total Value'!$D55-1)</f>
        <v/>
      </c>
      <c r="FC43" s="14" t="str">
        <f ca="1">IF(FC$1="","",'Total Value'!FC55/'Total Value'!$D55-1)</f>
        <v/>
      </c>
      <c r="FD43" s="14" t="str">
        <f ca="1">IF(FD$1="","",'Total Value'!FD55/'Total Value'!$D55-1)</f>
        <v/>
      </c>
      <c r="FE43" s="14" t="str">
        <f ca="1">IF(FE$1="","",'Total Value'!FE55/'Total Value'!$D55-1)</f>
        <v/>
      </c>
      <c r="FF43" s="14" t="str">
        <f ca="1">IF(FF$1="","",'Total Value'!FF55/'Total Value'!$D55-1)</f>
        <v/>
      </c>
      <c r="FG43" s="14" t="str">
        <f ca="1">IF(FG$1="","",'Total Value'!FG55/'Total Value'!$D55-1)</f>
        <v/>
      </c>
      <c r="FH43" s="14" t="str">
        <f ca="1">IF(FH$1="","",'Total Value'!FH55/'Total Value'!$D55-1)</f>
        <v/>
      </c>
      <c r="FI43" s="14" t="str">
        <f ca="1">IF(FI$1="","",'Total Value'!FI55/'Total Value'!$D55-1)</f>
        <v/>
      </c>
      <c r="FJ43" s="14" t="str">
        <f ca="1">IF(FJ$1="","",'Total Value'!FJ55/'Total Value'!$D55-1)</f>
        <v/>
      </c>
      <c r="FK43" s="14" t="str">
        <f ca="1">IF(FK$1="","",'Total Value'!FK55/'Total Value'!$D55-1)</f>
        <v/>
      </c>
      <c r="FL43" s="14" t="str">
        <f ca="1">IF(FL$1="","",'Total Value'!FL55/'Total Value'!$D55-1)</f>
        <v/>
      </c>
      <c r="FM43" s="14" t="str">
        <f ca="1">IF(FM$1="","",'Total Value'!FM55/'Total Value'!$D55-1)</f>
        <v/>
      </c>
      <c r="FN43" s="14" t="str">
        <f ca="1">IF(FN$1="","",'Total Value'!FN55/'Total Value'!$D55-1)</f>
        <v/>
      </c>
      <c r="FO43" s="14" t="str">
        <f ca="1">IF(FO$1="","",'Total Value'!FO55/'Total Value'!$D55-1)</f>
        <v/>
      </c>
      <c r="FP43" s="14" t="str">
        <f ca="1">IF(FP$1="","",'Total Value'!FP55/'Total Value'!$D55-1)</f>
        <v/>
      </c>
      <c r="FQ43" s="14" t="str">
        <f ca="1">IF(FQ$1="","",'Total Value'!FQ55/'Total Value'!$D55-1)</f>
        <v/>
      </c>
      <c r="FR43" s="14" t="str">
        <f ca="1">IF(FR$1="","",'Total Value'!FR55/'Total Value'!$D55-1)</f>
        <v/>
      </c>
      <c r="FS43" s="14" t="str">
        <f ca="1">IF(FS$1="","",'Total Value'!FS55/'Total Value'!$D55-1)</f>
        <v/>
      </c>
      <c r="FT43" s="14" t="str">
        <f ca="1">IF(FT$1="","",'Total Value'!FT55/'Total Value'!$D55-1)</f>
        <v/>
      </c>
      <c r="FU43" s="14" t="str">
        <f ca="1">IF(FU$1="","",'Total Value'!FU55/'Total Value'!$D55-1)</f>
        <v/>
      </c>
      <c r="FV43" s="14" t="str">
        <f ca="1">IF(FV$1="","",'Total Value'!FV55/'Total Value'!$D55-1)</f>
        <v/>
      </c>
      <c r="FW43" s="14" t="str">
        <f ca="1">IF(FW$1="","",'Total Value'!FW55/'Total Value'!$D55-1)</f>
        <v/>
      </c>
      <c r="FX43" s="14" t="str">
        <f ca="1">IF(FX$1="","",'Total Value'!FX55/'Total Value'!$D55-1)</f>
        <v/>
      </c>
      <c r="FY43" s="14" t="str">
        <f ca="1">IF(FY$1="","",'Total Value'!FY55/'Total Value'!$D55-1)</f>
        <v/>
      </c>
      <c r="FZ43" s="14" t="str">
        <f ca="1">IF(FZ$1="","",'Total Value'!FZ55/'Total Value'!$D55-1)</f>
        <v/>
      </c>
      <c r="GA43" s="14" t="str">
        <f ca="1">IF(GA$1="","",'Total Value'!GA55/'Total Value'!$D55-1)</f>
        <v/>
      </c>
      <c r="GB43" s="14" t="str">
        <f ca="1">IF(GB$1="","",'Total Value'!GB55/'Total Value'!$D55-1)</f>
        <v/>
      </c>
      <c r="GC43" s="14" t="str">
        <f ca="1">IF(GC$1="","",'Total Value'!GC55/'Total Value'!$D55-1)</f>
        <v/>
      </c>
      <c r="GD43" s="14" t="str">
        <f ca="1">IF(GD$1="","",'Total Value'!GD55/'Total Value'!$D55-1)</f>
        <v/>
      </c>
      <c r="GE43" s="14" t="str">
        <f ca="1">IF(GE$1="","",'Total Value'!GE55/'Total Value'!$D55-1)</f>
        <v/>
      </c>
      <c r="GF43" s="14" t="str">
        <f ca="1">IF(GF$1="","",'Total Value'!GF55/'Total Value'!$D55-1)</f>
        <v/>
      </c>
      <c r="GG43" s="14" t="str">
        <f ca="1">IF(GG$1="","",'Total Value'!GG55/'Total Value'!$D55-1)</f>
        <v/>
      </c>
      <c r="GH43" s="14" t="str">
        <f ca="1">IF(GH$1="","",'Total Value'!GH55/'Total Value'!$D55-1)</f>
        <v/>
      </c>
      <c r="GI43" s="14" t="str">
        <f ca="1">IF(GI$1="","",'Total Value'!GI55/'Total Value'!$D55-1)</f>
        <v/>
      </c>
      <c r="GJ43" s="14" t="str">
        <f ca="1">IF(GJ$1="","",'Total Value'!GJ55/'Total Value'!$D55-1)</f>
        <v/>
      </c>
      <c r="GK43" s="14" t="str">
        <f ca="1">IF(GK$1="","",'Total Value'!GK55/'Total Value'!$D55-1)</f>
        <v/>
      </c>
      <c r="GL43" s="14" t="str">
        <f ca="1">IF(GL$1="","",'Total Value'!GL55/'Total Value'!$D55-1)</f>
        <v/>
      </c>
      <c r="GM43" s="14" t="str">
        <f ca="1">IF(GM$1="","",'Total Value'!GM55/'Total Value'!$D55-1)</f>
        <v/>
      </c>
      <c r="GN43" s="14" t="str">
        <f ca="1">IF(GN$1="","",'Total Value'!GN55/'Total Value'!$D55-1)</f>
        <v/>
      </c>
      <c r="GO43" s="14" t="str">
        <f ca="1">IF(GO$1="","",'Total Value'!GO55/'Total Value'!$D55-1)</f>
        <v/>
      </c>
      <c r="GP43" s="14" t="str">
        <f ca="1">IF(GP$1="","",'Total Value'!GP55/'Total Value'!$D55-1)</f>
        <v/>
      </c>
      <c r="GQ43" s="14" t="str">
        <f ca="1">IF(GQ$1="","",'Total Value'!GQ55/'Total Value'!$D55-1)</f>
        <v/>
      </c>
      <c r="GR43" s="14" t="str">
        <f ca="1">IF(GR$1="","",'Total Value'!GR55/'Total Value'!$D55-1)</f>
        <v/>
      </c>
      <c r="GS43" s="14" t="str">
        <f ca="1">IF(GS$1="","",'Total Value'!GS55/'Total Value'!$D55-1)</f>
        <v/>
      </c>
      <c r="GT43" s="14" t="str">
        <f ca="1">IF(GT$1="","",'Total Value'!GT55/'Total Value'!$D55-1)</f>
        <v/>
      </c>
      <c r="GU43" s="14" t="str">
        <f ca="1">IF(GU$1="","",'Total Value'!GU55/'Total Value'!$D55-1)</f>
        <v/>
      </c>
      <c r="GV43" s="14" t="str">
        <f ca="1">IF(GV$1="","",'Total Value'!GV55/'Total Value'!$D55-1)</f>
        <v/>
      </c>
      <c r="GW43" s="14" t="str">
        <f ca="1">IF(GW$1="","",'Total Value'!GW55/'Total Value'!$D55-1)</f>
        <v/>
      </c>
      <c r="GX43" s="14" t="str">
        <f ca="1">IF(GX$1="","",'Total Value'!GX55/'Total Value'!$D55-1)</f>
        <v/>
      </c>
      <c r="GY43" s="14" t="str">
        <f ca="1">IF(GY$1="","",'Total Value'!GY55/'Total Value'!$D55-1)</f>
        <v/>
      </c>
      <c r="GZ43" s="14" t="str">
        <f ca="1">IF(GZ$1="","",'Total Value'!GZ55/'Total Value'!$D55-1)</f>
        <v/>
      </c>
      <c r="HA43" s="14" t="str">
        <f ca="1">IF(HA$1="","",'Total Value'!HA55/'Total Value'!$D55-1)</f>
        <v/>
      </c>
      <c r="HB43" s="14" t="str">
        <f ca="1">IF(HB$1="","",'Total Value'!HB55/'Total Value'!$D55-1)</f>
        <v/>
      </c>
      <c r="HC43" s="14" t="str">
        <f ca="1">IF(HC$1="","",'Total Value'!HC55/'Total Value'!$D55-1)</f>
        <v/>
      </c>
      <c r="HD43" s="14" t="str">
        <f ca="1">IF(HD$1="","",'Total Value'!HD55/'Total Value'!$D55-1)</f>
        <v/>
      </c>
      <c r="HE43" s="14" t="str">
        <f ca="1">IF(HE$1="","",'Total Value'!HE55/'Total Value'!$D55-1)</f>
        <v/>
      </c>
      <c r="HF43" s="14" t="str">
        <f ca="1">IF(HF$1="","",'Total Value'!HF55/'Total Value'!$D55-1)</f>
        <v/>
      </c>
      <c r="HG43" s="14" t="str">
        <f ca="1">IF(HG$1="","",'Total Value'!HG55/'Total Value'!$D55-1)</f>
        <v/>
      </c>
      <c r="HH43" s="14" t="str">
        <f ca="1">IF(HH$1="","",'Total Value'!HH55/'Total Value'!$D55-1)</f>
        <v/>
      </c>
      <c r="HI43" s="14" t="str">
        <f ca="1">IF(HI$1="","",'Total Value'!HI55/'Total Value'!$D55-1)</f>
        <v/>
      </c>
      <c r="HJ43" s="14" t="str">
        <f ca="1">IF(HJ$1="","",'Total Value'!HJ55/'Total Value'!$D55-1)</f>
        <v/>
      </c>
      <c r="HK43" s="14" t="str">
        <f ca="1">IF(HK$1="","",'Total Value'!HK55/'Total Value'!$D55-1)</f>
        <v/>
      </c>
      <c r="HL43" s="14" t="str">
        <f ca="1">IF(HL$1="","",'Total Value'!HL55/'Total Value'!$D55-1)</f>
        <v/>
      </c>
      <c r="HM43" s="14" t="str">
        <f ca="1">IF(HM$1="","",'Total Value'!HM55/'Total Value'!$D55-1)</f>
        <v/>
      </c>
      <c r="HN43" s="14" t="str">
        <f ca="1">IF(HN$1="","",'Total Value'!HN55/'Total Value'!$D55-1)</f>
        <v/>
      </c>
      <c r="HO43" s="14" t="str">
        <f ca="1">IF(HO$1="","",'Total Value'!HO55/'Total Value'!$D55-1)</f>
        <v/>
      </c>
      <c r="HP43" s="14" t="str">
        <f ca="1">IF(HP$1="","",'Total Value'!HP55/'Total Value'!$D55-1)</f>
        <v/>
      </c>
      <c r="HQ43" s="14" t="str">
        <f ca="1">IF(HQ$1="","",'Total Value'!HQ55/'Total Value'!$D55-1)</f>
        <v/>
      </c>
      <c r="HR43" s="14" t="str">
        <f ca="1">IF(HR$1="","",'Total Value'!HR55/'Total Value'!$D55-1)</f>
        <v/>
      </c>
      <c r="HS43" s="14" t="str">
        <f ca="1">IF(HS$1="","",'Total Value'!HS55/'Total Value'!$D55-1)</f>
        <v/>
      </c>
      <c r="HT43" s="14" t="str">
        <f ca="1">IF(HT$1="","",'Total Value'!HT55/'Total Value'!$D55-1)</f>
        <v/>
      </c>
      <c r="HU43" s="14" t="str">
        <f ca="1">IF(HU$1="","",'Total Value'!HU55/'Total Value'!$D55-1)</f>
        <v/>
      </c>
      <c r="HV43" s="14" t="str">
        <f ca="1">IF(HV$1="","",'Total Value'!HV55/'Total Value'!$D55-1)</f>
        <v/>
      </c>
      <c r="HW43" s="14" t="str">
        <f ca="1">IF(HW$1="","",'Total Value'!HW55/'Total Value'!$D55-1)</f>
        <v/>
      </c>
      <c r="HX43" s="14" t="str">
        <f ca="1">IF(HX$1="","",'Total Value'!HX55/'Total Value'!$D55-1)</f>
        <v/>
      </c>
      <c r="HY43" s="14" t="str">
        <f ca="1">IF(HY$1="","",'Total Value'!HY55/'Total Value'!$D55-1)</f>
        <v/>
      </c>
      <c r="HZ43" s="14" t="str">
        <f ca="1">IF(HZ$1="","",'Total Value'!HZ55/'Total Value'!$D55-1)</f>
        <v/>
      </c>
      <c r="IA43" s="14" t="str">
        <f ca="1">IF(IA$1="","",'Total Value'!IA55/'Total Value'!$D55-1)</f>
        <v/>
      </c>
      <c r="IB43" s="14" t="str">
        <f ca="1">IF(IB$1="","",'Total Value'!IB55/'Total Value'!$D55-1)</f>
        <v/>
      </c>
      <c r="IC43" s="14" t="str">
        <f ca="1">IF(IC$1="","",'Total Value'!IC55/'Total Value'!$D55-1)</f>
        <v/>
      </c>
      <c r="ID43" s="14" t="str">
        <f ca="1">IF(ID$1="","",'Total Value'!ID55/'Total Value'!$D55-1)</f>
        <v/>
      </c>
      <c r="IE43" s="14" t="str">
        <f ca="1">IF(IE$1="","",'Total Value'!IE55/'Total Value'!$D55-1)</f>
        <v/>
      </c>
      <c r="IF43" s="14" t="str">
        <f ca="1">IF(IF$1="","",'Total Value'!IF55/'Total Value'!$D55-1)</f>
        <v/>
      </c>
      <c r="IG43" s="14" t="str">
        <f ca="1">IF(IG$1="","",'Total Value'!IG55/'Total Value'!$D55-1)</f>
        <v/>
      </c>
      <c r="IH43" s="14" t="str">
        <f ca="1">IF(IH$1="","",'Total Value'!IH55/'Total Value'!$D55-1)</f>
        <v/>
      </c>
      <c r="II43" s="14" t="str">
        <f ca="1">IF(II$1="","",'Total Value'!II55/'Total Value'!$D55-1)</f>
        <v/>
      </c>
      <c r="IJ43" s="14" t="str">
        <f ca="1">IF(IJ$1="","",'Total Value'!IJ55/'Total Value'!$D55-1)</f>
        <v/>
      </c>
      <c r="IK43" s="14" t="str">
        <f ca="1">IF(IK$1="","",'Total Value'!IK55/'Total Value'!$D55-1)</f>
        <v/>
      </c>
      <c r="IL43" s="14" t="str">
        <f ca="1">IF(IL$1="","",'Total Value'!IL55/'Total Value'!$D55-1)</f>
        <v/>
      </c>
      <c r="IM43" s="14" t="str">
        <f ca="1">IF(IM$1="","",'Total Value'!IM55/'Total Value'!$D55-1)</f>
        <v/>
      </c>
      <c r="IN43" s="14" t="str">
        <f ca="1">IF(IN$1="","",'Total Value'!IN55/'Total Value'!$D55-1)</f>
        <v/>
      </c>
      <c r="IO43" s="14" t="str">
        <f ca="1">IF(IO$1="","",'Total Value'!IO55/'Total Value'!$D55-1)</f>
        <v/>
      </c>
      <c r="IP43" s="14" t="str">
        <f ca="1">IF(IP$1="","",'Total Value'!IP55/'Total Value'!$D55-1)</f>
        <v/>
      </c>
      <c r="IQ43" s="14" t="str">
        <f ca="1">IF(IQ$1="","",'Total Value'!IQ55/'Total Value'!$D55-1)</f>
        <v/>
      </c>
      <c r="IR43" s="14" t="str">
        <f ca="1">IF(IR$1="","",'Total Value'!IR55/'Total Value'!$D55-1)</f>
        <v/>
      </c>
      <c r="IS43" s="14" t="str">
        <f ca="1">IF(IS$1="","",'Total Value'!IS55/'Total Value'!$D55-1)</f>
        <v/>
      </c>
      <c r="IT43" s="14" t="str">
        <f ca="1">IF(IT$1="","",'Total Value'!IT55/'Total Value'!$D55-1)</f>
        <v/>
      </c>
      <c r="IU43" s="14" t="str">
        <f ca="1">IF(IU$1="","",'Total Value'!IU55/'Total Value'!$D55-1)</f>
        <v/>
      </c>
      <c r="IV43" s="14" t="str">
        <f ca="1">IF(IV$1="","",'Total Value'!IV55/'Total Value'!$D55-1)</f>
        <v/>
      </c>
      <c r="IW43" s="14" t="str">
        <f ca="1">IF(IW$1="","",'Total Value'!IW55/'Total Value'!$D55-1)</f>
        <v/>
      </c>
      <c r="IX43" s="14" t="str">
        <f ca="1">IF(IX$1="","",'Total Value'!IX55/'Total Value'!$D55-1)</f>
        <v/>
      </c>
      <c r="IY43" s="14" t="str">
        <f ca="1">IF(IY$1="","",'Total Value'!IY55/'Total Value'!$D55-1)</f>
        <v/>
      </c>
      <c r="IZ43" s="14" t="str">
        <f ca="1">IF(IZ$1="","",'Total Value'!IZ55/'Total Value'!$D55-1)</f>
        <v/>
      </c>
      <c r="JA43" s="14" t="str">
        <f ca="1">IF(JA$1="","",'Total Value'!JA55/'Total Value'!$D55-1)</f>
        <v/>
      </c>
      <c r="JB43" s="14" t="str">
        <f ca="1">IF(JB$1="","",'Total Value'!JB55/'Total Value'!$D55-1)</f>
        <v/>
      </c>
      <c r="JC43" s="14" t="str">
        <f ca="1">IF(JC$1="","",'Total Value'!JC55/'Total Value'!$D55-1)</f>
        <v/>
      </c>
      <c r="JD43" s="14" t="str">
        <f ca="1">IF(JD$1="","",'Total Value'!JD55/'Total Value'!$D55-1)</f>
        <v/>
      </c>
      <c r="JE43" s="14" t="str">
        <f ca="1">IF(JE$1="","",'Total Value'!JE55/'Total Value'!$D55-1)</f>
        <v/>
      </c>
      <c r="JF43" s="14" t="str">
        <f ca="1">IF(JF$1="","",'Total Value'!JF55/'Total Value'!$D55-1)</f>
        <v/>
      </c>
      <c r="JG43" s="14" t="str">
        <f ca="1">IF(JG$1="","",'Total Value'!JG55/'Total Value'!$D55-1)</f>
        <v/>
      </c>
      <c r="JH43" s="14" t="str">
        <f ca="1">IF(JH$1="","",'Total Value'!JH55/'Total Value'!$D55-1)</f>
        <v/>
      </c>
      <c r="JI43" s="14" t="str">
        <f ca="1">IF(JI$1="","",'Total Value'!JI55/'Total Value'!$D55-1)</f>
        <v/>
      </c>
      <c r="JJ43" s="14" t="str">
        <f ca="1">IF(JJ$1="","",'Total Value'!JJ55/'Total Value'!$D55-1)</f>
        <v/>
      </c>
      <c r="JK43" s="14" t="str">
        <f ca="1">IF(JK$1="","",'Total Value'!JK55/'Total Value'!$D55-1)</f>
        <v/>
      </c>
      <c r="JL43" s="14" t="str">
        <f ca="1">IF(JL$1="","",'Total Value'!JL55/'Total Value'!$D55-1)</f>
        <v/>
      </c>
      <c r="JM43" s="14" t="str">
        <f ca="1">IF(JM$1="","",'Total Value'!JM55/'Total Value'!$D55-1)</f>
        <v/>
      </c>
      <c r="JN43" s="14" t="str">
        <f ca="1">IF(JN$1="","",'Total Value'!JN55/'Total Value'!$D55-1)</f>
        <v/>
      </c>
      <c r="JO43" s="14" t="str">
        <f ca="1">IF(JO$1="","",'Total Value'!JO55/'Total Value'!$D55-1)</f>
        <v/>
      </c>
      <c r="JP43" s="14" t="str">
        <f ca="1">IF(JP$1="","",'Total Value'!JP55/'Total Value'!$D55-1)</f>
        <v/>
      </c>
      <c r="JQ43" s="14" t="str">
        <f ca="1">IF(JQ$1="","",'Total Value'!JQ55/'Total Value'!$D55-1)</f>
        <v/>
      </c>
      <c r="JR43" s="14" t="str">
        <f ca="1">IF(JR$1="","",'Total Value'!JR55/'Total Value'!$D55-1)</f>
        <v/>
      </c>
      <c r="JS43" s="14" t="str">
        <f ca="1">IF(JS$1="","",'Total Value'!JS55/'Total Value'!$D55-1)</f>
        <v/>
      </c>
      <c r="JT43" s="14" t="str">
        <f ca="1">IF(JT$1="","",'Total Value'!JT55/'Total Value'!$D55-1)</f>
        <v/>
      </c>
      <c r="JU43" s="14" t="str">
        <f ca="1">IF(JU$1="","",'Total Value'!JU55/'Total Value'!$D55-1)</f>
        <v/>
      </c>
      <c r="JV43" s="14" t="str">
        <f ca="1">IF(JV$1="","",'Total Value'!JV55/'Total Value'!$D55-1)</f>
        <v/>
      </c>
      <c r="JW43" s="14" t="str">
        <f ca="1">IF(JW$1="","",'Total Value'!JW55/'Total Value'!$D55-1)</f>
        <v/>
      </c>
      <c r="JX43" s="14" t="str">
        <f ca="1">IF(JX$1="","",'Total Value'!JX55/'Total Value'!$D55-1)</f>
        <v/>
      </c>
      <c r="JY43" s="14" t="str">
        <f ca="1">IF(JY$1="","",'Total Value'!JY55/'Total Value'!$D55-1)</f>
        <v/>
      </c>
      <c r="JZ43" s="14" t="str">
        <f ca="1">IF(JZ$1="","",'Total Value'!JZ55/'Total Value'!$D55-1)</f>
        <v/>
      </c>
      <c r="KA43" s="14" t="str">
        <f ca="1">IF(KA$1="","",'Total Value'!KA55/'Total Value'!$D55-1)</f>
        <v/>
      </c>
      <c r="KB43" s="14" t="str">
        <f ca="1">IF(KB$1="","",'Total Value'!KB55/'Total Value'!$D55-1)</f>
        <v/>
      </c>
    </row>
    <row r="44" spans="1:288" ht="15.75" customHeight="1">
      <c r="A44" s="9" t="s">
        <v>30</v>
      </c>
      <c r="B44" s="6" t="s">
        <v>87</v>
      </c>
      <c r="C44" s="26">
        <v>116</v>
      </c>
      <c r="D44" s="13">
        <v>0</v>
      </c>
      <c r="E44" s="14">
        <f ca="1">IF(E$1="","",'Total Value'!E56/'Total Value'!$D56-1)</f>
        <v>5.2631578947368585E-3</v>
      </c>
      <c r="F44" s="14">
        <f ca="1">IF(F$1="","",'Total Value'!F56/'Total Value'!$D56-1)</f>
        <v>-1.0526315789473606E-2</v>
      </c>
      <c r="G44" s="14">
        <f ca="1">IF(G$1="","",'Total Value'!G56/'Total Value'!$D56-1)</f>
        <v>-2.6315789473683959E-2</v>
      </c>
      <c r="H44" s="14">
        <f ca="1">IF(H$1="","",'Total Value'!H56/'Total Value'!$D56-1)</f>
        <v>-2.1052631578947212E-2</v>
      </c>
      <c r="I44" s="14">
        <f ca="1">IF(I$1="","",'Total Value'!I56/'Total Value'!$D56-1)</f>
        <v>-7.3684210526315685E-2</v>
      </c>
      <c r="J44" s="14">
        <f ca="1">IF(J$1="","",'Total Value'!J56/'Total Value'!$D56-1)</f>
        <v>-0.11578947368421044</v>
      </c>
      <c r="K44" s="14">
        <f ca="1">IF(K$1="","",'Total Value'!K56/'Total Value'!$D56-1)</f>
        <v>-0.14210526315789473</v>
      </c>
      <c r="L44" s="14">
        <f ca="1">IF(L$1="","",'Total Value'!L56/'Total Value'!$D56-1)</f>
        <v>-0.20526315789473681</v>
      </c>
      <c r="M44" s="14">
        <f ca="1">IF(M$1="","",'Total Value'!M56/'Total Value'!$D56-1)</f>
        <v>-0.1947368421052631</v>
      </c>
      <c r="N44" s="14">
        <f ca="1">IF(N$1="","",'Total Value'!N56/'Total Value'!$D56-1)</f>
        <v>-0.17368421052631566</v>
      </c>
      <c r="O44" s="14">
        <f ca="1">IF(O$1="","",'Total Value'!O56/'Total Value'!$D56-1)</f>
        <v>-0.22105263157894728</v>
      </c>
      <c r="P44" s="14">
        <f ca="1">IF(P$1="","",'Total Value'!P56/'Total Value'!$D56-1)</f>
        <v>-0.231578947368421</v>
      </c>
      <c r="Q44" s="14">
        <f ca="1">IF(Q$1="","",'Total Value'!Q56/'Total Value'!$D56-1)</f>
        <v>-0.22631578947368414</v>
      </c>
      <c r="R44" s="14">
        <f ca="1">IF(R$1="","",'Total Value'!R56/'Total Value'!$D56-1)</f>
        <v>-0.15789473684210509</v>
      </c>
      <c r="S44" s="14">
        <f ca="1">IF(S$1="","",'Total Value'!S56/'Total Value'!$D56-1)</f>
        <v>-0.15263157894736823</v>
      </c>
      <c r="T44" s="14">
        <f ca="1">IF(T$1="","",'Total Value'!T56/'Total Value'!$D56-1)</f>
        <v>-0.18421052631578938</v>
      </c>
      <c r="U44" s="14">
        <f ca="1">IF(U$1="","",'Total Value'!U56/'Total Value'!$D56-1)</f>
        <v>-0.231578947368421</v>
      </c>
      <c r="V44" s="14">
        <f ca="1">IF(V$1="","",'Total Value'!V56/'Total Value'!$D56-1)</f>
        <v>-0.21052631578947356</v>
      </c>
      <c r="W44" s="14">
        <f ca="1">IF(W$1="","",'Total Value'!W56/'Total Value'!$D56-1)</f>
        <v>-0.21578947368421042</v>
      </c>
      <c r="X44" s="14">
        <f ca="1">IF(X$1="","",'Total Value'!X56/'Total Value'!$D56-1)</f>
        <v>-0.231578947368421</v>
      </c>
      <c r="Y44" s="14">
        <f ca="1">IF(Y$1="","",'Total Value'!Y56/'Total Value'!$D56-1)</f>
        <v>-0.24210526315789471</v>
      </c>
      <c r="Z44" s="14">
        <f ca="1">IF(Z$1="","",'Total Value'!Z56/'Total Value'!$D56-1)</f>
        <v>-0.28421052631578936</v>
      </c>
      <c r="AA44" s="14">
        <f ca="1">IF(AA$1="","",'Total Value'!AA56/'Total Value'!$D56-1)</f>
        <v>-0.30526315789473679</v>
      </c>
      <c r="AB44" s="14">
        <f ca="1">IF(AB$1="","",'Total Value'!AB56/'Total Value'!$D56-1)</f>
        <v>-0.3157894736842104</v>
      </c>
      <c r="AC44" s="14">
        <f ca="1">IF(AC$1="","",'Total Value'!AC56/'Total Value'!$D56-1)</f>
        <v>-0.24736842105263157</v>
      </c>
      <c r="AD44" s="14">
        <f ca="1">IF(AD$1="","",'Total Value'!AD56/'Total Value'!$D56-1)</f>
        <v>-0.22631578947368414</v>
      </c>
      <c r="AE44" s="14">
        <f ca="1">IF(AE$1="","",'Total Value'!AE56/'Total Value'!$D56-1)</f>
        <v>-0.26315789473684215</v>
      </c>
      <c r="AF44" s="14">
        <f ca="1">IF(AF$1="","",'Total Value'!AF56/'Total Value'!$D56-1)</f>
        <v>-0.268421052631579</v>
      </c>
      <c r="AG44" s="14">
        <f ca="1">IF(AG$1="","",'Total Value'!AG56/'Total Value'!$D56-1)</f>
        <v>-0.32105263157894726</v>
      </c>
      <c r="AH44" s="14">
        <f ca="1">IF(AH$1="","",'Total Value'!AH56/'Total Value'!$D56-1)</f>
        <v>-0.34210526315789469</v>
      </c>
      <c r="AI44" s="14">
        <f ca="1">IF(AI$1="","",'Total Value'!AI56/'Total Value'!$D56-1)</f>
        <v>-0.28947368421052611</v>
      </c>
      <c r="AJ44" s="14">
        <f ca="1">IF(AJ$1="","",'Total Value'!AJ56/'Total Value'!$D56-1)</f>
        <v>-0.29473684210526307</v>
      </c>
      <c r="AK44" s="14">
        <f ca="1">IF(AK$1="","",'Total Value'!AK56/'Total Value'!$D56-1)</f>
        <v>-0.25263157894736832</v>
      </c>
      <c r="AL44" s="14">
        <f ca="1">IF(AL$1="","",'Total Value'!AL56/'Total Value'!$D56-1)</f>
        <v>-0.268421052631579</v>
      </c>
      <c r="AM44" s="14">
        <f ca="1">IF(AM$1="","",'Total Value'!AM56/'Total Value'!$D56-1)</f>
        <v>-0.231578947368421</v>
      </c>
      <c r="AN44" s="14">
        <f ca="1">IF(AN$1="","",'Total Value'!AN56/'Total Value'!$D56-1)</f>
        <v>-0.18947368421052613</v>
      </c>
      <c r="AO44" s="14">
        <f ca="1">IF(AO$1="","",'Total Value'!AO56/'Total Value'!$D56-1)</f>
        <v>-0.25263157894736832</v>
      </c>
      <c r="AP44" s="14">
        <f ca="1">IF(AP$1="","",'Total Value'!AP56/'Total Value'!$D56-1)</f>
        <v>-0.20526315789473681</v>
      </c>
      <c r="AQ44" s="14">
        <f ca="1">IF(AQ$1="","",'Total Value'!AQ56/'Total Value'!$D56-1)</f>
        <v>-0.22105263157894728</v>
      </c>
      <c r="AR44" s="14">
        <f ca="1">IF(AR$1="","",'Total Value'!AR56/'Total Value'!$D56-1)</f>
        <v>-5.2631578947368252E-2</v>
      </c>
      <c r="AS44" s="14">
        <f ca="1">IF(AS$1="","",'Total Value'!AS56/'Total Value'!$D56-1)</f>
        <v>-2.6315789473683959E-2</v>
      </c>
      <c r="AT44" s="14">
        <f ca="1">IF(AT$1="","",'Total Value'!AT56/'Total Value'!$D56-1)</f>
        <v>-6.315789473684208E-2</v>
      </c>
      <c r="AU44" s="14">
        <f ca="1">IF(AU$1="","",'Total Value'!AU56/'Total Value'!$D56-1)</f>
        <v>-7.8947368421052544E-2</v>
      </c>
      <c r="AV44" s="14">
        <f ca="1">IF(AV$1="","",'Total Value'!AV56/'Total Value'!$D56-1)</f>
        <v>-4.7368421052631393E-2</v>
      </c>
      <c r="AW44" s="14">
        <f ca="1">IF(AW$1="","",'Total Value'!AW56/'Total Value'!$D56-1)</f>
        <v>9.473684210526323E-2</v>
      </c>
      <c r="AX44" s="14">
        <f ca="1">IF(AX$1="","",'Total Value'!AX56/'Total Value'!$D56-1)</f>
        <v>0.14736842105263182</v>
      </c>
      <c r="AY44" s="14">
        <f ca="1">IF(AY$1="","",'Total Value'!AY56/'Total Value'!$D56-1)</f>
        <v>0.20526315789473681</v>
      </c>
      <c r="AZ44" s="14">
        <f ca="1">IF(AZ$1="","",'Total Value'!AZ56/'Total Value'!$D56-1)</f>
        <v>0.16315789473684239</v>
      </c>
      <c r="BA44" s="14">
        <f ca="1">IF(BA$1="","",'Total Value'!BA56/'Total Value'!$D56-1)</f>
        <v>0.15789473684210553</v>
      </c>
      <c r="BB44" s="14">
        <f ca="1">IF(BB$1="","",'Total Value'!BB56/'Total Value'!$D56-1)</f>
        <v>8.9473684210526372E-2</v>
      </c>
      <c r="BC44" s="14">
        <f ca="1">IF(BC$1="","",'Total Value'!BC56/'Total Value'!$D56-1)</f>
        <v>6.8421052631578938E-2</v>
      </c>
      <c r="BD44" s="14">
        <f ca="1">IF(BD$1="","",'Total Value'!BD56/'Total Value'!$D56-1)</f>
        <v>8.4210526315789513E-2</v>
      </c>
      <c r="BE44" s="14">
        <f ca="1">IF(BE$1="","",'Total Value'!BE56/'Total Value'!$D56-1)</f>
        <v>0.13157894736842102</v>
      </c>
      <c r="BF44" s="14">
        <f ca="1">IF(BF$1="","",'Total Value'!BF56/'Total Value'!$D56-1)</f>
        <v>0.15263157894736845</v>
      </c>
      <c r="BG44" s="14">
        <f ca="1">IF(BG$1="","",'Total Value'!BG56/'Total Value'!$D56-1)</f>
        <v>0.10000000000000009</v>
      </c>
      <c r="BH44" s="14">
        <f ca="1">IF(BH$1="","",'Total Value'!BH56/'Total Value'!$D56-1)</f>
        <v>9.473684210526323E-2</v>
      </c>
      <c r="BI44" s="14">
        <f ca="1">IF(BI$1="","",'Total Value'!BI56/'Total Value'!$D56-1)</f>
        <v>5.7894736842105221E-2</v>
      </c>
      <c r="BJ44" s="14">
        <f ca="1">IF(BJ$1="","",'Total Value'!BJ56/'Total Value'!$D56-1)</f>
        <v>6.8421052631578938E-2</v>
      </c>
      <c r="BK44" s="14">
        <f ca="1">IF(BK$1="","",'Total Value'!BK56/'Total Value'!$D56-1)</f>
        <v>2.6315789473684292E-2</v>
      </c>
      <c r="BL44" s="14">
        <f ca="1">IF(BL$1="","",'Total Value'!BL56/'Total Value'!$D56-1)</f>
        <v>-6.315789473684208E-2</v>
      </c>
      <c r="BM44" s="14">
        <f ca="1">IF(BM$1="","",'Total Value'!BM56/'Total Value'!$D56-1)</f>
        <v>-0.14210526315789473</v>
      </c>
      <c r="BN44" s="14">
        <f ca="1">IF(BN$1="","",'Total Value'!BN56/'Total Value'!$D56-1)</f>
        <v>-9.4736842105263008E-2</v>
      </c>
      <c r="BO44" s="14">
        <f ca="1">IF(BO$1="","",'Total Value'!BO56/'Total Value'!$D56-1)</f>
        <v>-0.12631578947368416</v>
      </c>
      <c r="BP44" s="14">
        <f ca="1">IF(BP$1="","",'Total Value'!BP56/'Total Value'!$D56-1)</f>
        <v>-0.12631578947368416</v>
      </c>
      <c r="BQ44" s="14">
        <f ca="1">IF(BQ$1="","",'Total Value'!BQ56/'Total Value'!$D56-1)</f>
        <v>-9.4736842105263008E-2</v>
      </c>
      <c r="BR44" s="14">
        <f ca="1">IF(BR$1="","",'Total Value'!BR56/'Total Value'!$D56-1)</f>
        <v>-0.13684210526315788</v>
      </c>
      <c r="BS44" s="14">
        <f ca="1">IF(BS$1="","",'Total Value'!BS56/'Total Value'!$D56-1)</f>
        <v>-0.18421052631578938</v>
      </c>
      <c r="BT44" s="14">
        <f ca="1">IF(BT$1="","",'Total Value'!BT56/'Total Value'!$D56-1)</f>
        <v>-0.12631578947368416</v>
      </c>
      <c r="BU44" s="14">
        <f ca="1">IF(BU$1="","",'Total Value'!BU56/'Total Value'!$D56-1)</f>
        <v>-0.12631578947368416</v>
      </c>
      <c r="BV44" s="14">
        <f ca="1">IF(BV$1="","",'Total Value'!BV56/'Total Value'!$D56-1)</f>
        <v>-0.18421052631578938</v>
      </c>
      <c r="BW44" s="14">
        <f ca="1">IF(BW$1="","",'Total Value'!BW56/'Total Value'!$D56-1)</f>
        <v>-0.18421052631578938</v>
      </c>
      <c r="BX44" s="14">
        <f ca="1">IF(BX$1="","",'Total Value'!BX56/'Total Value'!$D56-1)</f>
        <v>-0.231578947368421</v>
      </c>
      <c r="BY44" s="14">
        <f ca="1">IF(BY$1="","",'Total Value'!BY56/'Total Value'!$D56-1)</f>
        <v>-0.2789473684210525</v>
      </c>
      <c r="BZ44" s="14">
        <f ca="1">IF(BZ$1="","",'Total Value'!BZ56/'Total Value'!$D56-1)</f>
        <v>-0.30526315789473679</v>
      </c>
      <c r="CA44" s="14">
        <f ca="1">IF(CA$1="","",'Total Value'!CA56/'Total Value'!$D56-1)</f>
        <v>-0.28947368421052611</v>
      </c>
      <c r="CB44" s="14">
        <f ca="1">IF(CB$1="","",'Total Value'!CB56/'Total Value'!$D56-1)</f>
        <v>-0.29473684210526307</v>
      </c>
      <c r="CC44" s="14">
        <f ca="1">IF(CC$1="","",'Total Value'!CC56/'Total Value'!$D56-1)</f>
        <v>-0.28421052631578936</v>
      </c>
      <c r="CD44" s="14">
        <f ca="1">IF(CD$1="","",'Total Value'!CD56/'Total Value'!$D56-1)</f>
        <v>-0.32105263157894726</v>
      </c>
      <c r="CE44" s="14">
        <f ca="1">IF(CE$1="","",'Total Value'!CE56/'Total Value'!$D56-1)</f>
        <v>-0.32631578947368423</v>
      </c>
      <c r="CF44" s="14" t="str">
        <f ca="1">IF(CF$1="","",'Total Value'!CF56/'Total Value'!$D56-1)</f>
        <v/>
      </c>
      <c r="CG44" s="14" t="str">
        <f ca="1">IF(CG$1="","",'Total Value'!CG56/'Total Value'!$D56-1)</f>
        <v/>
      </c>
      <c r="CH44" s="14" t="str">
        <f ca="1">IF(CH$1="","",'Total Value'!CH56/'Total Value'!$D56-1)</f>
        <v/>
      </c>
      <c r="CI44" s="14" t="str">
        <f ca="1">IF(CI$1="","",'Total Value'!CI56/'Total Value'!$D56-1)</f>
        <v/>
      </c>
      <c r="CJ44" s="14" t="str">
        <f ca="1">IF(CJ$1="","",'Total Value'!CJ56/'Total Value'!$D56-1)</f>
        <v/>
      </c>
      <c r="CK44" s="14" t="str">
        <f ca="1">IF(CK$1="","",'Total Value'!CK56/'Total Value'!$D56-1)</f>
        <v/>
      </c>
      <c r="CL44" s="14" t="str">
        <f ca="1">IF(CL$1="","",'Total Value'!CL56/'Total Value'!$D56-1)</f>
        <v/>
      </c>
      <c r="CM44" s="14" t="str">
        <f ca="1">IF(CM$1="","",'Total Value'!CM56/'Total Value'!$D56-1)</f>
        <v/>
      </c>
      <c r="CN44" s="14" t="str">
        <f ca="1">IF(CN$1="","",'Total Value'!CN56/'Total Value'!$D56-1)</f>
        <v/>
      </c>
      <c r="CO44" s="14" t="str">
        <f ca="1">IF(CO$1="","",'Total Value'!CO56/'Total Value'!$D56-1)</f>
        <v/>
      </c>
      <c r="CP44" s="14" t="str">
        <f ca="1">IF(CP$1="","",'Total Value'!CP56/'Total Value'!$D56-1)</f>
        <v/>
      </c>
      <c r="CQ44" s="14" t="str">
        <f ca="1">IF(CQ$1="","",'Total Value'!CQ56/'Total Value'!$D56-1)</f>
        <v/>
      </c>
      <c r="CR44" s="14" t="str">
        <f ca="1">IF(CR$1="","",'Total Value'!CR56/'Total Value'!$D56-1)</f>
        <v/>
      </c>
      <c r="CS44" s="14" t="str">
        <f ca="1">IF(CS$1="","",'Total Value'!CS56/'Total Value'!$D56-1)</f>
        <v/>
      </c>
      <c r="CT44" s="14" t="str">
        <f ca="1">IF(CT$1="","",'Total Value'!CT56/'Total Value'!$D56-1)</f>
        <v/>
      </c>
      <c r="CU44" s="14" t="str">
        <f ca="1">IF(CU$1="","",'Total Value'!CU56/'Total Value'!$D56-1)</f>
        <v/>
      </c>
      <c r="CV44" s="14" t="str">
        <f ca="1">IF(CV$1="","",'Total Value'!CV56/'Total Value'!$D56-1)</f>
        <v/>
      </c>
      <c r="CW44" s="14" t="str">
        <f ca="1">IF(CW$1="","",'Total Value'!CW56/'Total Value'!$D56-1)</f>
        <v/>
      </c>
      <c r="CX44" s="14" t="str">
        <f ca="1">IF(CX$1="","",'Total Value'!CX56/'Total Value'!$D56-1)</f>
        <v/>
      </c>
      <c r="CY44" s="14" t="str">
        <f ca="1">IF(CY$1="","",'Total Value'!CY56/'Total Value'!$D56-1)</f>
        <v/>
      </c>
      <c r="CZ44" s="14" t="str">
        <f ca="1">IF(CZ$1="","",'Total Value'!CZ56/'Total Value'!$D56-1)</f>
        <v/>
      </c>
      <c r="DA44" s="14" t="str">
        <f ca="1">IF(DA$1="","",'Total Value'!DA56/'Total Value'!$D56-1)</f>
        <v/>
      </c>
      <c r="DB44" s="14" t="str">
        <f ca="1">IF(DB$1="","",'Total Value'!DB56/'Total Value'!$D56-1)</f>
        <v/>
      </c>
      <c r="DC44" s="14" t="str">
        <f ca="1">IF(DC$1="","",'Total Value'!DC56/'Total Value'!$D56-1)</f>
        <v/>
      </c>
      <c r="DD44" s="14" t="str">
        <f ca="1">IF(DD$1="","",'Total Value'!DD56/'Total Value'!$D56-1)</f>
        <v/>
      </c>
      <c r="DE44" s="14" t="str">
        <f ca="1">IF(DE$1="","",'Total Value'!DE56/'Total Value'!$D56-1)</f>
        <v/>
      </c>
      <c r="DF44" s="14" t="str">
        <f ca="1">IF(DF$1="","",'Total Value'!DF56/'Total Value'!$D56-1)</f>
        <v/>
      </c>
      <c r="DG44" s="14" t="str">
        <f ca="1">IF(DG$1="","",'Total Value'!DG56/'Total Value'!$D56-1)</f>
        <v/>
      </c>
      <c r="DH44" s="14" t="str">
        <f ca="1">IF(DH$1="","",'Total Value'!DH56/'Total Value'!$D56-1)</f>
        <v/>
      </c>
      <c r="DI44" s="14" t="str">
        <f ca="1">IF(DI$1="","",'Total Value'!DI56/'Total Value'!$D56-1)</f>
        <v/>
      </c>
      <c r="DJ44" s="14" t="str">
        <f ca="1">IF(DJ$1="","",'Total Value'!DJ56/'Total Value'!$D56-1)</f>
        <v/>
      </c>
      <c r="DK44" s="14" t="str">
        <f ca="1">IF(DK$1="","",'Total Value'!DK56/'Total Value'!$D56-1)</f>
        <v/>
      </c>
      <c r="DL44" s="14" t="str">
        <f ca="1">IF(DL$1="","",'Total Value'!DL56/'Total Value'!$D56-1)</f>
        <v/>
      </c>
      <c r="DM44" s="14" t="str">
        <f ca="1">IF(DM$1="","",'Total Value'!DM56/'Total Value'!$D56-1)</f>
        <v/>
      </c>
      <c r="DN44" s="14" t="str">
        <f ca="1">IF(DN$1="","",'Total Value'!DN56/'Total Value'!$D56-1)</f>
        <v/>
      </c>
      <c r="DO44" s="14" t="str">
        <f ca="1">IF(DO$1="","",'Total Value'!DO56/'Total Value'!$D56-1)</f>
        <v/>
      </c>
      <c r="DP44" s="14" t="str">
        <f ca="1">IF(DP$1="","",'Total Value'!DP56/'Total Value'!$D56-1)</f>
        <v/>
      </c>
      <c r="DQ44" s="14" t="str">
        <f ca="1">IF(DQ$1="","",'Total Value'!DQ56/'Total Value'!$D56-1)</f>
        <v/>
      </c>
      <c r="DR44" s="14" t="str">
        <f ca="1">IF(DR$1="","",'Total Value'!DR56/'Total Value'!$D56-1)</f>
        <v/>
      </c>
      <c r="DS44" s="14" t="str">
        <f ca="1">IF(DS$1="","",'Total Value'!DS56/'Total Value'!$D56-1)</f>
        <v/>
      </c>
      <c r="DT44" s="14" t="str">
        <f ca="1">IF(DT$1="","",'Total Value'!DT56/'Total Value'!$D56-1)</f>
        <v/>
      </c>
      <c r="DU44" s="14" t="str">
        <f ca="1">IF(DU$1="","",'Total Value'!DU56/'Total Value'!$D56-1)</f>
        <v/>
      </c>
      <c r="DV44" s="14" t="str">
        <f ca="1">IF(DV$1="","",'Total Value'!DV56/'Total Value'!$D56-1)</f>
        <v/>
      </c>
      <c r="DW44" s="14" t="str">
        <f ca="1">IF(DW$1="","",'Total Value'!DW56/'Total Value'!$D56-1)</f>
        <v/>
      </c>
      <c r="DX44" s="14" t="str">
        <f ca="1">IF(DX$1="","",'Total Value'!DX56/'Total Value'!$D56-1)</f>
        <v/>
      </c>
      <c r="DY44" s="14" t="str">
        <f ca="1">IF(DY$1="","",'Total Value'!DY56/'Total Value'!$D56-1)</f>
        <v/>
      </c>
      <c r="DZ44" s="14" t="str">
        <f ca="1">IF(DZ$1="","",'Total Value'!DZ56/'Total Value'!$D56-1)</f>
        <v/>
      </c>
      <c r="EA44" s="14" t="str">
        <f ca="1">IF(EA$1="","",'Total Value'!EA56/'Total Value'!$D56-1)</f>
        <v/>
      </c>
      <c r="EB44" s="14" t="str">
        <f ca="1">IF(EB$1="","",'Total Value'!EB56/'Total Value'!$D56-1)</f>
        <v/>
      </c>
      <c r="EC44" s="14" t="str">
        <f ca="1">IF(EC$1="","",'Total Value'!EC56/'Total Value'!$D56-1)</f>
        <v/>
      </c>
      <c r="ED44" s="14" t="str">
        <f ca="1">IF(ED$1="","",'Total Value'!ED56/'Total Value'!$D56-1)</f>
        <v/>
      </c>
      <c r="EE44" s="14" t="str">
        <f ca="1">IF(EE$1="","",'Total Value'!EE56/'Total Value'!$D56-1)</f>
        <v/>
      </c>
      <c r="EF44" s="14" t="str">
        <f ca="1">IF(EF$1="","",'Total Value'!EF56/'Total Value'!$D56-1)</f>
        <v/>
      </c>
      <c r="EG44" s="14" t="str">
        <f ca="1">IF(EG$1="","",'Total Value'!EG56/'Total Value'!$D56-1)</f>
        <v/>
      </c>
      <c r="EH44" s="14" t="str">
        <f ca="1">IF(EH$1="","",'Total Value'!EH56/'Total Value'!$D56-1)</f>
        <v/>
      </c>
      <c r="EI44" s="14" t="str">
        <f ca="1">IF(EI$1="","",'Total Value'!EI56/'Total Value'!$D56-1)</f>
        <v/>
      </c>
      <c r="EJ44" s="14" t="str">
        <f ca="1">IF(EJ$1="","",'Total Value'!EJ56/'Total Value'!$D56-1)</f>
        <v/>
      </c>
      <c r="EK44" s="14" t="str">
        <f ca="1">IF(EK$1="","",'Total Value'!EK56/'Total Value'!$D56-1)</f>
        <v/>
      </c>
      <c r="EL44" s="14" t="str">
        <f ca="1">IF(EL$1="","",'Total Value'!EL56/'Total Value'!$D56-1)</f>
        <v/>
      </c>
      <c r="EM44" s="14" t="str">
        <f ca="1">IF(EM$1="","",'Total Value'!EM56/'Total Value'!$D56-1)</f>
        <v/>
      </c>
      <c r="EN44" s="14" t="str">
        <f ca="1">IF(EN$1="","",'Total Value'!EN56/'Total Value'!$D56-1)</f>
        <v/>
      </c>
      <c r="EO44" s="14" t="str">
        <f ca="1">IF(EO$1="","",'Total Value'!EO56/'Total Value'!$D56-1)</f>
        <v/>
      </c>
      <c r="EP44" s="14" t="str">
        <f ca="1">IF(EP$1="","",'Total Value'!EP56/'Total Value'!$D56-1)</f>
        <v/>
      </c>
      <c r="EQ44" s="14" t="str">
        <f ca="1">IF(EQ$1="","",'Total Value'!EQ56/'Total Value'!$D56-1)</f>
        <v/>
      </c>
      <c r="ER44" s="14" t="str">
        <f ca="1">IF(ER$1="","",'Total Value'!ER56/'Total Value'!$D56-1)</f>
        <v/>
      </c>
      <c r="ES44" s="14" t="str">
        <f ca="1">IF(ES$1="","",'Total Value'!ES56/'Total Value'!$D56-1)</f>
        <v/>
      </c>
      <c r="ET44" s="14" t="str">
        <f ca="1">IF(ET$1="","",'Total Value'!ET56/'Total Value'!$D56-1)</f>
        <v/>
      </c>
      <c r="EU44" s="14" t="str">
        <f ca="1">IF(EU$1="","",'Total Value'!EU56/'Total Value'!$D56-1)</f>
        <v/>
      </c>
      <c r="EV44" s="14" t="str">
        <f ca="1">IF(EV$1="","",'Total Value'!EV56/'Total Value'!$D56-1)</f>
        <v/>
      </c>
      <c r="EW44" s="14" t="str">
        <f ca="1">IF(EW$1="","",'Total Value'!EW56/'Total Value'!$D56-1)</f>
        <v/>
      </c>
      <c r="EX44" s="14" t="str">
        <f ca="1">IF(EX$1="","",'Total Value'!EX56/'Total Value'!$D56-1)</f>
        <v/>
      </c>
      <c r="EY44" s="14" t="str">
        <f ca="1">IF(EY$1="","",'Total Value'!EY56/'Total Value'!$D56-1)</f>
        <v/>
      </c>
      <c r="EZ44" s="14" t="str">
        <f ca="1">IF(EZ$1="","",'Total Value'!EZ56/'Total Value'!$D56-1)</f>
        <v/>
      </c>
      <c r="FA44" s="14" t="str">
        <f ca="1">IF(FA$1="","",'Total Value'!FA56/'Total Value'!$D56-1)</f>
        <v/>
      </c>
      <c r="FB44" s="14" t="str">
        <f ca="1">IF(FB$1="","",'Total Value'!FB56/'Total Value'!$D56-1)</f>
        <v/>
      </c>
      <c r="FC44" s="14" t="str">
        <f ca="1">IF(FC$1="","",'Total Value'!FC56/'Total Value'!$D56-1)</f>
        <v/>
      </c>
      <c r="FD44" s="14" t="str">
        <f ca="1">IF(FD$1="","",'Total Value'!FD56/'Total Value'!$D56-1)</f>
        <v/>
      </c>
      <c r="FE44" s="14" t="str">
        <f ca="1">IF(FE$1="","",'Total Value'!FE56/'Total Value'!$D56-1)</f>
        <v/>
      </c>
      <c r="FF44" s="14" t="str">
        <f ca="1">IF(FF$1="","",'Total Value'!FF56/'Total Value'!$D56-1)</f>
        <v/>
      </c>
      <c r="FG44" s="14" t="str">
        <f ca="1">IF(FG$1="","",'Total Value'!FG56/'Total Value'!$D56-1)</f>
        <v/>
      </c>
      <c r="FH44" s="14" t="str">
        <f ca="1">IF(FH$1="","",'Total Value'!FH56/'Total Value'!$D56-1)</f>
        <v/>
      </c>
      <c r="FI44" s="14" t="str">
        <f ca="1">IF(FI$1="","",'Total Value'!FI56/'Total Value'!$D56-1)</f>
        <v/>
      </c>
      <c r="FJ44" s="14" t="str">
        <f ca="1">IF(FJ$1="","",'Total Value'!FJ56/'Total Value'!$D56-1)</f>
        <v/>
      </c>
      <c r="FK44" s="14" t="str">
        <f ca="1">IF(FK$1="","",'Total Value'!FK56/'Total Value'!$D56-1)</f>
        <v/>
      </c>
      <c r="FL44" s="14" t="str">
        <f ca="1">IF(FL$1="","",'Total Value'!FL56/'Total Value'!$D56-1)</f>
        <v/>
      </c>
      <c r="FM44" s="14" t="str">
        <f ca="1">IF(FM$1="","",'Total Value'!FM56/'Total Value'!$D56-1)</f>
        <v/>
      </c>
      <c r="FN44" s="14" t="str">
        <f ca="1">IF(FN$1="","",'Total Value'!FN56/'Total Value'!$D56-1)</f>
        <v/>
      </c>
      <c r="FO44" s="14" t="str">
        <f ca="1">IF(FO$1="","",'Total Value'!FO56/'Total Value'!$D56-1)</f>
        <v/>
      </c>
      <c r="FP44" s="14" t="str">
        <f ca="1">IF(FP$1="","",'Total Value'!FP56/'Total Value'!$D56-1)</f>
        <v/>
      </c>
      <c r="FQ44" s="14" t="str">
        <f ca="1">IF(FQ$1="","",'Total Value'!FQ56/'Total Value'!$D56-1)</f>
        <v/>
      </c>
      <c r="FR44" s="14" t="str">
        <f ca="1">IF(FR$1="","",'Total Value'!FR56/'Total Value'!$D56-1)</f>
        <v/>
      </c>
      <c r="FS44" s="14" t="str">
        <f ca="1">IF(FS$1="","",'Total Value'!FS56/'Total Value'!$D56-1)</f>
        <v/>
      </c>
      <c r="FT44" s="14" t="str">
        <f ca="1">IF(FT$1="","",'Total Value'!FT56/'Total Value'!$D56-1)</f>
        <v/>
      </c>
      <c r="FU44" s="14" t="str">
        <f ca="1">IF(FU$1="","",'Total Value'!FU56/'Total Value'!$D56-1)</f>
        <v/>
      </c>
      <c r="FV44" s="14" t="str">
        <f ca="1">IF(FV$1="","",'Total Value'!FV56/'Total Value'!$D56-1)</f>
        <v/>
      </c>
      <c r="FW44" s="14" t="str">
        <f ca="1">IF(FW$1="","",'Total Value'!FW56/'Total Value'!$D56-1)</f>
        <v/>
      </c>
      <c r="FX44" s="14" t="str">
        <f ca="1">IF(FX$1="","",'Total Value'!FX56/'Total Value'!$D56-1)</f>
        <v/>
      </c>
      <c r="FY44" s="14" t="str">
        <f ca="1">IF(FY$1="","",'Total Value'!FY56/'Total Value'!$D56-1)</f>
        <v/>
      </c>
      <c r="FZ44" s="14" t="str">
        <f ca="1">IF(FZ$1="","",'Total Value'!FZ56/'Total Value'!$D56-1)</f>
        <v/>
      </c>
      <c r="GA44" s="14" t="str">
        <f ca="1">IF(GA$1="","",'Total Value'!GA56/'Total Value'!$D56-1)</f>
        <v/>
      </c>
      <c r="GB44" s="14" t="str">
        <f ca="1">IF(GB$1="","",'Total Value'!GB56/'Total Value'!$D56-1)</f>
        <v/>
      </c>
      <c r="GC44" s="14" t="str">
        <f ca="1">IF(GC$1="","",'Total Value'!GC56/'Total Value'!$D56-1)</f>
        <v/>
      </c>
      <c r="GD44" s="14" t="str">
        <f ca="1">IF(GD$1="","",'Total Value'!GD56/'Total Value'!$D56-1)</f>
        <v/>
      </c>
      <c r="GE44" s="14" t="str">
        <f ca="1">IF(GE$1="","",'Total Value'!GE56/'Total Value'!$D56-1)</f>
        <v/>
      </c>
      <c r="GF44" s="14" t="str">
        <f ca="1">IF(GF$1="","",'Total Value'!GF56/'Total Value'!$D56-1)</f>
        <v/>
      </c>
      <c r="GG44" s="14" t="str">
        <f ca="1">IF(GG$1="","",'Total Value'!GG56/'Total Value'!$D56-1)</f>
        <v/>
      </c>
      <c r="GH44" s="14" t="str">
        <f ca="1">IF(GH$1="","",'Total Value'!GH56/'Total Value'!$D56-1)</f>
        <v/>
      </c>
      <c r="GI44" s="14" t="str">
        <f ca="1">IF(GI$1="","",'Total Value'!GI56/'Total Value'!$D56-1)</f>
        <v/>
      </c>
      <c r="GJ44" s="14" t="str">
        <f ca="1">IF(GJ$1="","",'Total Value'!GJ56/'Total Value'!$D56-1)</f>
        <v/>
      </c>
      <c r="GK44" s="14" t="str">
        <f ca="1">IF(GK$1="","",'Total Value'!GK56/'Total Value'!$D56-1)</f>
        <v/>
      </c>
      <c r="GL44" s="14" t="str">
        <f ca="1">IF(GL$1="","",'Total Value'!GL56/'Total Value'!$D56-1)</f>
        <v/>
      </c>
      <c r="GM44" s="14" t="str">
        <f ca="1">IF(GM$1="","",'Total Value'!GM56/'Total Value'!$D56-1)</f>
        <v/>
      </c>
      <c r="GN44" s="14" t="str">
        <f ca="1">IF(GN$1="","",'Total Value'!GN56/'Total Value'!$D56-1)</f>
        <v/>
      </c>
      <c r="GO44" s="14" t="str">
        <f ca="1">IF(GO$1="","",'Total Value'!GO56/'Total Value'!$D56-1)</f>
        <v/>
      </c>
      <c r="GP44" s="14" t="str">
        <f ca="1">IF(GP$1="","",'Total Value'!GP56/'Total Value'!$D56-1)</f>
        <v/>
      </c>
      <c r="GQ44" s="14" t="str">
        <f ca="1">IF(GQ$1="","",'Total Value'!GQ56/'Total Value'!$D56-1)</f>
        <v/>
      </c>
      <c r="GR44" s="14" t="str">
        <f ca="1">IF(GR$1="","",'Total Value'!GR56/'Total Value'!$D56-1)</f>
        <v/>
      </c>
      <c r="GS44" s="14" t="str">
        <f ca="1">IF(GS$1="","",'Total Value'!GS56/'Total Value'!$D56-1)</f>
        <v/>
      </c>
      <c r="GT44" s="14" t="str">
        <f ca="1">IF(GT$1="","",'Total Value'!GT56/'Total Value'!$D56-1)</f>
        <v/>
      </c>
      <c r="GU44" s="14" t="str">
        <f ca="1">IF(GU$1="","",'Total Value'!GU56/'Total Value'!$D56-1)</f>
        <v/>
      </c>
      <c r="GV44" s="14" t="str">
        <f ca="1">IF(GV$1="","",'Total Value'!GV56/'Total Value'!$D56-1)</f>
        <v/>
      </c>
      <c r="GW44" s="14" t="str">
        <f ca="1">IF(GW$1="","",'Total Value'!GW56/'Total Value'!$D56-1)</f>
        <v/>
      </c>
      <c r="GX44" s="14" t="str">
        <f ca="1">IF(GX$1="","",'Total Value'!GX56/'Total Value'!$D56-1)</f>
        <v/>
      </c>
      <c r="GY44" s="14" t="str">
        <f ca="1">IF(GY$1="","",'Total Value'!GY56/'Total Value'!$D56-1)</f>
        <v/>
      </c>
      <c r="GZ44" s="14" t="str">
        <f ca="1">IF(GZ$1="","",'Total Value'!GZ56/'Total Value'!$D56-1)</f>
        <v/>
      </c>
      <c r="HA44" s="14" t="str">
        <f ca="1">IF(HA$1="","",'Total Value'!HA56/'Total Value'!$D56-1)</f>
        <v/>
      </c>
      <c r="HB44" s="14" t="str">
        <f ca="1">IF(HB$1="","",'Total Value'!HB56/'Total Value'!$D56-1)</f>
        <v/>
      </c>
      <c r="HC44" s="14" t="str">
        <f ca="1">IF(HC$1="","",'Total Value'!HC56/'Total Value'!$D56-1)</f>
        <v/>
      </c>
      <c r="HD44" s="14" t="str">
        <f ca="1">IF(HD$1="","",'Total Value'!HD56/'Total Value'!$D56-1)</f>
        <v/>
      </c>
      <c r="HE44" s="14" t="str">
        <f ca="1">IF(HE$1="","",'Total Value'!HE56/'Total Value'!$D56-1)</f>
        <v/>
      </c>
      <c r="HF44" s="14" t="str">
        <f ca="1">IF(HF$1="","",'Total Value'!HF56/'Total Value'!$D56-1)</f>
        <v/>
      </c>
      <c r="HG44" s="14" t="str">
        <f ca="1">IF(HG$1="","",'Total Value'!HG56/'Total Value'!$D56-1)</f>
        <v/>
      </c>
      <c r="HH44" s="14" t="str">
        <f ca="1">IF(HH$1="","",'Total Value'!HH56/'Total Value'!$D56-1)</f>
        <v/>
      </c>
      <c r="HI44" s="14" t="str">
        <f ca="1">IF(HI$1="","",'Total Value'!HI56/'Total Value'!$D56-1)</f>
        <v/>
      </c>
      <c r="HJ44" s="14" t="str">
        <f ca="1">IF(HJ$1="","",'Total Value'!HJ56/'Total Value'!$D56-1)</f>
        <v/>
      </c>
      <c r="HK44" s="14" t="str">
        <f ca="1">IF(HK$1="","",'Total Value'!HK56/'Total Value'!$D56-1)</f>
        <v/>
      </c>
      <c r="HL44" s="14" t="str">
        <f ca="1">IF(HL$1="","",'Total Value'!HL56/'Total Value'!$D56-1)</f>
        <v/>
      </c>
      <c r="HM44" s="14" t="str">
        <f ca="1">IF(HM$1="","",'Total Value'!HM56/'Total Value'!$D56-1)</f>
        <v/>
      </c>
      <c r="HN44" s="14" t="str">
        <f ca="1">IF(HN$1="","",'Total Value'!HN56/'Total Value'!$D56-1)</f>
        <v/>
      </c>
      <c r="HO44" s="14" t="str">
        <f ca="1">IF(HO$1="","",'Total Value'!HO56/'Total Value'!$D56-1)</f>
        <v/>
      </c>
      <c r="HP44" s="14" t="str">
        <f ca="1">IF(HP$1="","",'Total Value'!HP56/'Total Value'!$D56-1)</f>
        <v/>
      </c>
      <c r="HQ44" s="14" t="str">
        <f ca="1">IF(HQ$1="","",'Total Value'!HQ56/'Total Value'!$D56-1)</f>
        <v/>
      </c>
      <c r="HR44" s="14" t="str">
        <f ca="1">IF(HR$1="","",'Total Value'!HR56/'Total Value'!$D56-1)</f>
        <v/>
      </c>
      <c r="HS44" s="14" t="str">
        <f ca="1">IF(HS$1="","",'Total Value'!HS56/'Total Value'!$D56-1)</f>
        <v/>
      </c>
      <c r="HT44" s="14" t="str">
        <f ca="1">IF(HT$1="","",'Total Value'!HT56/'Total Value'!$D56-1)</f>
        <v/>
      </c>
      <c r="HU44" s="14" t="str">
        <f ca="1">IF(HU$1="","",'Total Value'!HU56/'Total Value'!$D56-1)</f>
        <v/>
      </c>
      <c r="HV44" s="14" t="str">
        <f ca="1">IF(HV$1="","",'Total Value'!HV56/'Total Value'!$D56-1)</f>
        <v/>
      </c>
      <c r="HW44" s="14" t="str">
        <f ca="1">IF(HW$1="","",'Total Value'!HW56/'Total Value'!$D56-1)</f>
        <v/>
      </c>
      <c r="HX44" s="14" t="str">
        <f ca="1">IF(HX$1="","",'Total Value'!HX56/'Total Value'!$D56-1)</f>
        <v/>
      </c>
      <c r="HY44" s="14" t="str">
        <f ca="1">IF(HY$1="","",'Total Value'!HY56/'Total Value'!$D56-1)</f>
        <v/>
      </c>
      <c r="HZ44" s="14" t="str">
        <f ca="1">IF(HZ$1="","",'Total Value'!HZ56/'Total Value'!$D56-1)</f>
        <v/>
      </c>
      <c r="IA44" s="14" t="str">
        <f ca="1">IF(IA$1="","",'Total Value'!IA56/'Total Value'!$D56-1)</f>
        <v/>
      </c>
      <c r="IB44" s="14" t="str">
        <f ca="1">IF(IB$1="","",'Total Value'!IB56/'Total Value'!$D56-1)</f>
        <v/>
      </c>
      <c r="IC44" s="14" t="str">
        <f ca="1">IF(IC$1="","",'Total Value'!IC56/'Total Value'!$D56-1)</f>
        <v/>
      </c>
      <c r="ID44" s="14" t="str">
        <f ca="1">IF(ID$1="","",'Total Value'!ID56/'Total Value'!$D56-1)</f>
        <v/>
      </c>
      <c r="IE44" s="14" t="str">
        <f ca="1">IF(IE$1="","",'Total Value'!IE56/'Total Value'!$D56-1)</f>
        <v/>
      </c>
      <c r="IF44" s="14" t="str">
        <f ca="1">IF(IF$1="","",'Total Value'!IF56/'Total Value'!$D56-1)</f>
        <v/>
      </c>
      <c r="IG44" s="14" t="str">
        <f ca="1">IF(IG$1="","",'Total Value'!IG56/'Total Value'!$D56-1)</f>
        <v/>
      </c>
      <c r="IH44" s="14" t="str">
        <f ca="1">IF(IH$1="","",'Total Value'!IH56/'Total Value'!$D56-1)</f>
        <v/>
      </c>
      <c r="II44" s="14" t="str">
        <f ca="1">IF(II$1="","",'Total Value'!II56/'Total Value'!$D56-1)</f>
        <v/>
      </c>
      <c r="IJ44" s="14" t="str">
        <f ca="1">IF(IJ$1="","",'Total Value'!IJ56/'Total Value'!$D56-1)</f>
        <v/>
      </c>
      <c r="IK44" s="14" t="str">
        <f ca="1">IF(IK$1="","",'Total Value'!IK56/'Total Value'!$D56-1)</f>
        <v/>
      </c>
      <c r="IL44" s="14" t="str">
        <f ca="1">IF(IL$1="","",'Total Value'!IL56/'Total Value'!$D56-1)</f>
        <v/>
      </c>
      <c r="IM44" s="14" t="str">
        <f ca="1">IF(IM$1="","",'Total Value'!IM56/'Total Value'!$D56-1)</f>
        <v/>
      </c>
      <c r="IN44" s="14" t="str">
        <f ca="1">IF(IN$1="","",'Total Value'!IN56/'Total Value'!$D56-1)</f>
        <v/>
      </c>
      <c r="IO44" s="14" t="str">
        <f ca="1">IF(IO$1="","",'Total Value'!IO56/'Total Value'!$D56-1)</f>
        <v/>
      </c>
      <c r="IP44" s="14" t="str">
        <f ca="1">IF(IP$1="","",'Total Value'!IP56/'Total Value'!$D56-1)</f>
        <v/>
      </c>
      <c r="IQ44" s="14" t="str">
        <f ca="1">IF(IQ$1="","",'Total Value'!IQ56/'Total Value'!$D56-1)</f>
        <v/>
      </c>
      <c r="IR44" s="14" t="str">
        <f ca="1">IF(IR$1="","",'Total Value'!IR56/'Total Value'!$D56-1)</f>
        <v/>
      </c>
      <c r="IS44" s="14" t="str">
        <f ca="1">IF(IS$1="","",'Total Value'!IS56/'Total Value'!$D56-1)</f>
        <v/>
      </c>
      <c r="IT44" s="14" t="str">
        <f ca="1">IF(IT$1="","",'Total Value'!IT56/'Total Value'!$D56-1)</f>
        <v/>
      </c>
      <c r="IU44" s="14" t="str">
        <f ca="1">IF(IU$1="","",'Total Value'!IU56/'Total Value'!$D56-1)</f>
        <v/>
      </c>
      <c r="IV44" s="14" t="str">
        <f ca="1">IF(IV$1="","",'Total Value'!IV56/'Total Value'!$D56-1)</f>
        <v/>
      </c>
      <c r="IW44" s="14" t="str">
        <f ca="1">IF(IW$1="","",'Total Value'!IW56/'Total Value'!$D56-1)</f>
        <v/>
      </c>
      <c r="IX44" s="14" t="str">
        <f ca="1">IF(IX$1="","",'Total Value'!IX56/'Total Value'!$D56-1)</f>
        <v/>
      </c>
      <c r="IY44" s="14" t="str">
        <f ca="1">IF(IY$1="","",'Total Value'!IY56/'Total Value'!$D56-1)</f>
        <v/>
      </c>
      <c r="IZ44" s="14" t="str">
        <f ca="1">IF(IZ$1="","",'Total Value'!IZ56/'Total Value'!$D56-1)</f>
        <v/>
      </c>
      <c r="JA44" s="14" t="str">
        <f ca="1">IF(JA$1="","",'Total Value'!JA56/'Total Value'!$D56-1)</f>
        <v/>
      </c>
      <c r="JB44" s="14" t="str">
        <f ca="1">IF(JB$1="","",'Total Value'!JB56/'Total Value'!$D56-1)</f>
        <v/>
      </c>
      <c r="JC44" s="14" t="str">
        <f ca="1">IF(JC$1="","",'Total Value'!JC56/'Total Value'!$D56-1)</f>
        <v/>
      </c>
      <c r="JD44" s="14" t="str">
        <f ca="1">IF(JD$1="","",'Total Value'!JD56/'Total Value'!$D56-1)</f>
        <v/>
      </c>
      <c r="JE44" s="14" t="str">
        <f ca="1">IF(JE$1="","",'Total Value'!JE56/'Total Value'!$D56-1)</f>
        <v/>
      </c>
      <c r="JF44" s="14" t="str">
        <f ca="1">IF(JF$1="","",'Total Value'!JF56/'Total Value'!$D56-1)</f>
        <v/>
      </c>
      <c r="JG44" s="14" t="str">
        <f ca="1">IF(JG$1="","",'Total Value'!JG56/'Total Value'!$D56-1)</f>
        <v/>
      </c>
      <c r="JH44" s="14" t="str">
        <f ca="1">IF(JH$1="","",'Total Value'!JH56/'Total Value'!$D56-1)</f>
        <v/>
      </c>
      <c r="JI44" s="14" t="str">
        <f ca="1">IF(JI$1="","",'Total Value'!JI56/'Total Value'!$D56-1)</f>
        <v/>
      </c>
      <c r="JJ44" s="14" t="str">
        <f ca="1">IF(JJ$1="","",'Total Value'!JJ56/'Total Value'!$D56-1)</f>
        <v/>
      </c>
      <c r="JK44" s="14" t="str">
        <f ca="1">IF(JK$1="","",'Total Value'!JK56/'Total Value'!$D56-1)</f>
        <v/>
      </c>
      <c r="JL44" s="14" t="str">
        <f ca="1">IF(JL$1="","",'Total Value'!JL56/'Total Value'!$D56-1)</f>
        <v/>
      </c>
      <c r="JM44" s="14" t="str">
        <f ca="1">IF(JM$1="","",'Total Value'!JM56/'Total Value'!$D56-1)</f>
        <v/>
      </c>
      <c r="JN44" s="14" t="str">
        <f ca="1">IF(JN$1="","",'Total Value'!JN56/'Total Value'!$D56-1)</f>
        <v/>
      </c>
      <c r="JO44" s="14" t="str">
        <f ca="1">IF(JO$1="","",'Total Value'!JO56/'Total Value'!$D56-1)</f>
        <v/>
      </c>
      <c r="JP44" s="14" t="str">
        <f ca="1">IF(JP$1="","",'Total Value'!JP56/'Total Value'!$D56-1)</f>
        <v/>
      </c>
      <c r="JQ44" s="14" t="str">
        <f ca="1">IF(JQ$1="","",'Total Value'!JQ56/'Total Value'!$D56-1)</f>
        <v/>
      </c>
      <c r="JR44" s="14" t="str">
        <f ca="1">IF(JR$1="","",'Total Value'!JR56/'Total Value'!$D56-1)</f>
        <v/>
      </c>
      <c r="JS44" s="14" t="str">
        <f ca="1">IF(JS$1="","",'Total Value'!JS56/'Total Value'!$D56-1)</f>
        <v/>
      </c>
      <c r="JT44" s="14" t="str">
        <f ca="1">IF(JT$1="","",'Total Value'!JT56/'Total Value'!$D56-1)</f>
        <v/>
      </c>
      <c r="JU44" s="14" t="str">
        <f ca="1">IF(JU$1="","",'Total Value'!JU56/'Total Value'!$D56-1)</f>
        <v/>
      </c>
      <c r="JV44" s="14" t="str">
        <f ca="1">IF(JV$1="","",'Total Value'!JV56/'Total Value'!$D56-1)</f>
        <v/>
      </c>
      <c r="JW44" s="14" t="str">
        <f ca="1">IF(JW$1="","",'Total Value'!JW56/'Total Value'!$D56-1)</f>
        <v/>
      </c>
      <c r="JX44" s="14" t="str">
        <f ca="1">IF(JX$1="","",'Total Value'!JX56/'Total Value'!$D56-1)</f>
        <v/>
      </c>
      <c r="JY44" s="14" t="str">
        <f ca="1">IF(JY$1="","",'Total Value'!JY56/'Total Value'!$D56-1)</f>
        <v/>
      </c>
      <c r="JZ44" s="14" t="str">
        <f ca="1">IF(JZ$1="","",'Total Value'!JZ56/'Total Value'!$D56-1)</f>
        <v/>
      </c>
      <c r="KA44" s="14" t="str">
        <f ca="1">IF(KA$1="","",'Total Value'!KA56/'Total Value'!$D56-1)</f>
        <v/>
      </c>
      <c r="KB44" s="14" t="str">
        <f ca="1">IF(KB$1="","",'Total Value'!KB56/'Total Value'!$D56-1)</f>
        <v/>
      </c>
    </row>
    <row r="45" spans="1:288" ht="15.75" customHeight="1">
      <c r="A45" s="9" t="s">
        <v>30</v>
      </c>
      <c r="B45" s="6" t="s">
        <v>88</v>
      </c>
      <c r="C45" s="26">
        <v>9</v>
      </c>
      <c r="D45" s="13">
        <v>0</v>
      </c>
      <c r="E45" s="14">
        <f ca="1">IF(E$1="","",'Total Value'!E57/'Total Value'!$D57-1)</f>
        <v>-7.5440067057838123E-3</v>
      </c>
      <c r="F45" s="14">
        <f ca="1">IF(F$1="","",'Total Value'!F57/'Total Value'!$D57-1)</f>
        <v>-4.1911148365469941E-4</v>
      </c>
      <c r="G45" s="14">
        <f ca="1">IF(G$1="","",'Total Value'!G57/'Total Value'!$D57-1)</f>
        <v>3.0595138306789504E-2</v>
      </c>
      <c r="H45" s="14">
        <f ca="1">IF(H$1="","",'Total Value'!H57/'Total Value'!$D57-1)</f>
        <v>-4.1492036881810579E-2</v>
      </c>
      <c r="I45" s="14">
        <f ca="1">IF(I$1="","",'Total Value'!I57/'Total Value'!$D57-1)</f>
        <v>-4.6940486169321116E-2</v>
      </c>
      <c r="J45" s="14">
        <f ca="1">IF(J$1="","",'Total Value'!J57/'Total Value'!$D57-1)</f>
        <v>-3.9396479463537193E-2</v>
      </c>
      <c r="K45" s="14">
        <f ca="1">IF(K$1="","",'Total Value'!K57/'Total Value'!$D57-1)</f>
        <v>-6.2447611064543107E-2</v>
      </c>
      <c r="L45" s="14">
        <f ca="1">IF(L$1="","",'Total Value'!L57/'Total Value'!$D57-1)</f>
        <v>-4.2749371332774566E-2</v>
      </c>
      <c r="M45" s="14">
        <f ca="1">IF(M$1="","",'Total Value'!M57/'Total Value'!$D57-1)</f>
        <v>6.7476948868398834E-2</v>
      </c>
      <c r="N45" s="14">
        <f ca="1">IF(N$1="","",'Total Value'!N57/'Total Value'!$D57-1)</f>
        <v>4.6521374685666306E-2</v>
      </c>
      <c r="O45" s="14">
        <f ca="1">IF(O$1="","",'Total Value'!O57/'Total Value'!$D57-1)</f>
        <v>-1.6764459346186866E-3</v>
      </c>
      <c r="P45" s="14">
        <f ca="1">IF(P$1="","",'Total Value'!P57/'Total Value'!$D57-1)</f>
        <v>-2.1374685666387228E-2</v>
      </c>
      <c r="Q45" s="14">
        <f ca="1">IF(Q$1="","",'Total Value'!Q57/'Total Value'!$D57-1)</f>
        <v>-4.1911148365469941E-4</v>
      </c>
      <c r="R45" s="14">
        <f ca="1">IF(R$1="","",'Total Value'!R57/'Total Value'!$D57-1)</f>
        <v>1.7183570829840678E-2</v>
      </c>
      <c r="S45" s="14">
        <f ca="1">IF(S$1="","",'Total Value'!S57/'Total Value'!$D57-1)</f>
        <v>2.7661357921207053E-2</v>
      </c>
      <c r="T45" s="14">
        <f ca="1">IF(T$1="","",'Total Value'!T57/'Total Value'!$D57-1)</f>
        <v>-2.9337803855826738E-3</v>
      </c>
      <c r="U45" s="14">
        <f ca="1">IF(U$1="","",'Total Value'!U57/'Total Value'!$D57-1)</f>
        <v>-3.1852472757753603E-2</v>
      </c>
      <c r="V45" s="14">
        <f ca="1">IF(V$1="","",'Total Value'!V57/'Total Value'!$D57-1)</f>
        <v>-5.2808046940486131E-2</v>
      </c>
      <c r="W45" s="14">
        <f ca="1">IF(W$1="","",'Total Value'!W57/'Total Value'!$D57-1)</f>
        <v>-3.7720033528918617E-2</v>
      </c>
      <c r="X45" s="14">
        <f ca="1">IF(X$1="","",'Total Value'!X57/'Total Value'!$D57-1)</f>
        <v>-3.3528918692372622E-3</v>
      </c>
      <c r="Y45" s="14">
        <f ca="1">IF(Y$1="","",'Total Value'!Y57/'Total Value'!$D57-1)</f>
        <v>1.299245599329435E-2</v>
      </c>
      <c r="Z45" s="14">
        <f ca="1">IF(Z$1="","",'Total Value'!Z57/'Total Value'!$D57-1)</f>
        <v>-2.053646269907794E-2</v>
      </c>
      <c r="AA45" s="14">
        <f ca="1">IF(AA$1="","",'Total Value'!AA57/'Total Value'!$D57-1)</f>
        <v>-5.322715842414083E-2</v>
      </c>
      <c r="AB45" s="14">
        <f ca="1">IF(AB$1="","",'Total Value'!AB57/'Total Value'!$D57-1)</f>
        <v>-5.1969823973176843E-2</v>
      </c>
      <c r="AC45" s="14">
        <f ca="1">IF(AC$1="","",'Total Value'!AC57/'Total Value'!$D57-1)</f>
        <v>-8.382229673092878E-4</v>
      </c>
      <c r="AD45" s="14">
        <f ca="1">IF(AD$1="","",'Total Value'!AD57/'Total Value'!$D57-1)</f>
        <v>-1.8440905280804554E-2</v>
      </c>
      <c r="AE45" s="14">
        <f ca="1">IF(AE$1="","",'Total Value'!AE57/'Total Value'!$D57-1)</f>
        <v>-4.4844928751047841E-2</v>
      </c>
      <c r="AF45" s="14">
        <f ca="1">IF(AF$1="","",'Total Value'!AF57/'Total Value'!$D57-1)</f>
        <v>-0.10184409052808052</v>
      </c>
      <c r="AG45" s="14">
        <f ca="1">IF(AG$1="","",'Total Value'!AG57/'Total Value'!$D57-1)</f>
        <v>-0.17937971500419125</v>
      </c>
      <c r="AH45" s="14">
        <f ca="1">IF(AH$1="","",'Total Value'!AH57/'Total Value'!$D57-1)</f>
        <v>-0.19782062028499592</v>
      </c>
      <c r="AI45" s="14">
        <f ca="1">IF(AI$1="","",'Total Value'!AI57/'Total Value'!$D57-1)</f>
        <v>-0.21877619446772845</v>
      </c>
      <c r="AJ45" s="14">
        <f ca="1">IF(AJ$1="","",'Total Value'!AJ57/'Total Value'!$D57-1)</f>
        <v>-0.20201173512154247</v>
      </c>
      <c r="AK45" s="14">
        <f ca="1">IF(AK$1="","",'Total Value'!AK57/'Total Value'!$D57-1)</f>
        <v>-0.23134953897736799</v>
      </c>
      <c r="AL45" s="14">
        <f ca="1">IF(AL$1="","",'Total Value'!AL57/'Total Value'!$D57-1)</f>
        <v>-0.2468566638725902</v>
      </c>
      <c r="AM45" s="14">
        <f ca="1">IF(AM$1="","",'Total Value'!AM57/'Total Value'!$D57-1)</f>
        <v>-0.18566638725901086</v>
      </c>
      <c r="AN45" s="14">
        <f ca="1">IF(AN$1="","",'Total Value'!AN57/'Total Value'!$D57-1)</f>
        <v>-0.20284995808885165</v>
      </c>
      <c r="AO45" s="14">
        <f ca="1">IF(AO$1="","",'Total Value'!AO57/'Total Value'!$D57-1)</f>
        <v>-0.20871751886001688</v>
      </c>
      <c r="AP45" s="14">
        <f ca="1">IF(AP$1="","",'Total Value'!AP57/'Total Value'!$D57-1)</f>
        <v>-0.26278290025146689</v>
      </c>
      <c r="AQ45" s="14">
        <f ca="1">IF(AQ$1="","",'Total Value'!AQ57/'Total Value'!$D57-1)</f>
        <v>-0.21751886001676435</v>
      </c>
      <c r="AR45" s="14">
        <f ca="1">IF(AR$1="","",'Total Value'!AR57/'Total Value'!$D57-1)</f>
        <v>-0.16806370494551548</v>
      </c>
      <c r="AS45" s="14">
        <f ca="1">IF(AS$1="","",'Total Value'!AS57/'Total Value'!$D57-1)</f>
        <v>-0.2062028499580888</v>
      </c>
      <c r="AT45" s="14">
        <f ca="1">IF(AT$1="","",'Total Value'!AT57/'Total Value'!$D57-1)</f>
        <v>-0.22380553227158428</v>
      </c>
      <c r="AU45" s="14">
        <f ca="1">IF(AU$1="","",'Total Value'!AU57/'Total Value'!$D57-1)</f>
        <v>-0.20075440067057848</v>
      </c>
      <c r="AV45" s="14">
        <f ca="1">IF(AV$1="","",'Total Value'!AV57/'Total Value'!$D57-1)</f>
        <v>-0.2066219614417435</v>
      </c>
      <c r="AW45" s="14">
        <f ca="1">IF(AW$1="","",'Total Value'!AW57/'Total Value'!$D57-1)</f>
        <v>-0.18021793797150054</v>
      </c>
      <c r="AX45" s="14">
        <f ca="1">IF(AX$1="","",'Total Value'!AX57/'Total Value'!$D57-1)</f>
        <v>-0.1668063704945516</v>
      </c>
      <c r="AY45" s="14">
        <f ca="1">IF(AY$1="","",'Total Value'!AY57/'Total Value'!$D57-1)</f>
        <v>-0.16764459346186089</v>
      </c>
      <c r="AZ45" s="14">
        <f ca="1">IF(AZ$1="","",'Total Value'!AZ57/'Total Value'!$D57-1)</f>
        <v>-0.17351215423302602</v>
      </c>
      <c r="BA45" s="14">
        <f ca="1">IF(BA$1="","",'Total Value'!BA57/'Total Value'!$D57-1)</f>
        <v>-0.11735121542330262</v>
      </c>
      <c r="BB45" s="14">
        <f ca="1">IF(BB$1="","",'Total Value'!BB57/'Total Value'!$D57-1)</f>
        <v>-0.15255658005029349</v>
      </c>
      <c r="BC45" s="14">
        <f ca="1">IF(BC$1="","",'Total Value'!BC57/'Total Value'!$D57-1)</f>
        <v>-0.15549036043587605</v>
      </c>
      <c r="BD45" s="14">
        <f ca="1">IF(BD$1="","",'Total Value'!BD57/'Total Value'!$D57-1)</f>
        <v>-0.18818105616093883</v>
      </c>
      <c r="BE45" s="14">
        <f ca="1">IF(BE$1="","",'Total Value'!BE57/'Total Value'!$D57-1)</f>
        <v>-0.14459346186085509</v>
      </c>
      <c r="BF45" s="14">
        <f ca="1">IF(BF$1="","",'Total Value'!BF57/'Total Value'!$D57-1)</f>
        <v>-0.20536462699077951</v>
      </c>
      <c r="BG45" s="14">
        <f ca="1">IF(BG$1="","",'Total Value'!BG57/'Total Value'!$D57-1)</f>
        <v>-0.28876781223805537</v>
      </c>
      <c r="BH45" s="14">
        <f ca="1">IF(BH$1="","",'Total Value'!BH57/'Total Value'!$D57-1)</f>
        <v>-0.35414920368818115</v>
      </c>
      <c r="BI45" s="14">
        <f ca="1">IF(BI$1="","",'Total Value'!BI57/'Total Value'!$D57-1)</f>
        <v>-0.36881810561609396</v>
      </c>
      <c r="BJ45" s="14">
        <f ca="1">IF(BJ$1="","",'Total Value'!BJ57/'Total Value'!$D57-1)</f>
        <v>-0.34660519698239733</v>
      </c>
      <c r="BK45" s="14">
        <f ca="1">IF(BK$1="","",'Total Value'!BK57/'Total Value'!$D57-1)</f>
        <v>-0.3663034367141661</v>
      </c>
      <c r="BL45" s="14">
        <f ca="1">IF(BL$1="","",'Total Value'!BL57/'Total Value'!$D57-1)</f>
        <v>-0.37133277451802182</v>
      </c>
      <c r="BM45" s="14">
        <f ca="1">IF(BM$1="","",'Total Value'!BM57/'Total Value'!$D57-1)</f>
        <v>-0.35373009220452645</v>
      </c>
      <c r="BN45" s="14">
        <f ca="1">IF(BN$1="","",'Total Value'!BN57/'Total Value'!$D57-1)</f>
        <v>-0.30637049455155063</v>
      </c>
      <c r="BO45" s="14">
        <f ca="1">IF(BO$1="","",'Total Value'!BO57/'Total Value'!$D57-1)</f>
        <v>-0.30637049455155063</v>
      </c>
      <c r="BP45" s="14">
        <f ca="1">IF(BP$1="","",'Total Value'!BP57/'Total Value'!$D57-1)</f>
        <v>-0.31517183570829843</v>
      </c>
      <c r="BQ45" s="14">
        <f ca="1">IF(BQ$1="","",'Total Value'!BQ57/'Total Value'!$D57-1)</f>
        <v>-0.30595138306789615</v>
      </c>
      <c r="BR45" s="14">
        <f ca="1">IF(BR$1="","",'Total Value'!BR57/'Total Value'!$D57-1)</f>
        <v>-0.32690695725062868</v>
      </c>
      <c r="BS45" s="14">
        <f ca="1">IF(BS$1="","",'Total Value'!BS57/'Total Value'!$D57-1)</f>
        <v>-0.33654652137468566</v>
      </c>
      <c r="BT45" s="14">
        <f ca="1">IF(BT$1="","",'Total Value'!BT57/'Total Value'!$D57-1)</f>
        <v>-0.3017602682313496</v>
      </c>
      <c r="BU45" s="14">
        <f ca="1">IF(BU$1="","",'Total Value'!BU57/'Total Value'!$D57-1)</f>
        <v>-0.30678960603520544</v>
      </c>
      <c r="BV45" s="14">
        <f ca="1">IF(BV$1="","",'Total Value'!BV57/'Total Value'!$D57-1)</f>
        <v>-0.30595138306789615</v>
      </c>
      <c r="BW45" s="14">
        <f ca="1">IF(BW$1="","",'Total Value'!BW57/'Total Value'!$D57-1)</f>
        <v>-0.33235540653813911</v>
      </c>
      <c r="BX45" s="14">
        <f ca="1">IF(BX$1="","",'Total Value'!BX57/'Total Value'!$D57-1)</f>
        <v>-0.31810561609388099</v>
      </c>
      <c r="BY45" s="14">
        <f ca="1">IF(BY$1="","",'Total Value'!BY57/'Total Value'!$D57-1)</f>
        <v>-0.34283319362950548</v>
      </c>
      <c r="BZ45" s="14">
        <f ca="1">IF(BZ$1="","",'Total Value'!BZ57/'Total Value'!$D57-1)</f>
        <v>-0.34450963956412417</v>
      </c>
      <c r="CA45" s="14">
        <f ca="1">IF(CA$1="","",'Total Value'!CA57/'Total Value'!$D57-1)</f>
        <v>-0.31391450125733444</v>
      </c>
      <c r="CB45" s="14">
        <f ca="1">IF(CB$1="","",'Total Value'!CB57/'Total Value'!$D57-1)</f>
        <v>-0.34409052808046947</v>
      </c>
      <c r="CC45" s="14">
        <f ca="1">IF(CC$1="","",'Total Value'!CC57/'Total Value'!$D57-1)</f>
        <v>-0.33864207879295904</v>
      </c>
      <c r="CD45" s="14">
        <f ca="1">IF(CD$1="","",'Total Value'!CD57/'Total Value'!$D57-1)</f>
        <v>-0.33319362950544851</v>
      </c>
      <c r="CE45" s="14">
        <f ca="1">IF(CE$1="","",'Total Value'!CE57/'Total Value'!$D57-1)</f>
        <v>-0.30050293378038562</v>
      </c>
      <c r="CF45" s="14" t="str">
        <f ca="1">IF(CF$1="","",'Total Value'!CF57/'Total Value'!$D57-1)</f>
        <v/>
      </c>
      <c r="CG45" s="14" t="str">
        <f ca="1">IF(CG$1="","",'Total Value'!CG57/'Total Value'!$D57-1)</f>
        <v/>
      </c>
      <c r="CH45" s="14" t="str">
        <f ca="1">IF(CH$1="","",'Total Value'!CH57/'Total Value'!$D57-1)</f>
        <v/>
      </c>
      <c r="CI45" s="14" t="str">
        <f ca="1">IF(CI$1="","",'Total Value'!CI57/'Total Value'!$D57-1)</f>
        <v/>
      </c>
      <c r="CJ45" s="14" t="str">
        <f ca="1">IF(CJ$1="","",'Total Value'!CJ57/'Total Value'!$D57-1)</f>
        <v/>
      </c>
      <c r="CK45" s="14" t="str">
        <f ca="1">IF(CK$1="","",'Total Value'!CK57/'Total Value'!$D57-1)</f>
        <v/>
      </c>
      <c r="CL45" s="14" t="str">
        <f ca="1">IF(CL$1="","",'Total Value'!CL57/'Total Value'!$D57-1)</f>
        <v/>
      </c>
      <c r="CM45" s="14" t="str">
        <f ca="1">IF(CM$1="","",'Total Value'!CM57/'Total Value'!$D57-1)</f>
        <v/>
      </c>
      <c r="CN45" s="14" t="str">
        <f ca="1">IF(CN$1="","",'Total Value'!CN57/'Total Value'!$D57-1)</f>
        <v/>
      </c>
      <c r="CO45" s="14" t="str">
        <f ca="1">IF(CO$1="","",'Total Value'!CO57/'Total Value'!$D57-1)</f>
        <v/>
      </c>
      <c r="CP45" s="14" t="str">
        <f ca="1">IF(CP$1="","",'Total Value'!CP57/'Total Value'!$D57-1)</f>
        <v/>
      </c>
      <c r="CQ45" s="14" t="str">
        <f ca="1">IF(CQ$1="","",'Total Value'!CQ57/'Total Value'!$D57-1)</f>
        <v/>
      </c>
      <c r="CR45" s="14" t="str">
        <f ca="1">IF(CR$1="","",'Total Value'!CR57/'Total Value'!$D57-1)</f>
        <v/>
      </c>
      <c r="CS45" s="14" t="str">
        <f ca="1">IF(CS$1="","",'Total Value'!CS57/'Total Value'!$D57-1)</f>
        <v/>
      </c>
      <c r="CT45" s="14" t="str">
        <f ca="1">IF(CT$1="","",'Total Value'!CT57/'Total Value'!$D57-1)</f>
        <v/>
      </c>
      <c r="CU45" s="14" t="str">
        <f ca="1">IF(CU$1="","",'Total Value'!CU57/'Total Value'!$D57-1)</f>
        <v/>
      </c>
      <c r="CV45" s="14" t="str">
        <f ca="1">IF(CV$1="","",'Total Value'!CV57/'Total Value'!$D57-1)</f>
        <v/>
      </c>
      <c r="CW45" s="14" t="str">
        <f ca="1">IF(CW$1="","",'Total Value'!CW57/'Total Value'!$D57-1)</f>
        <v/>
      </c>
      <c r="CX45" s="14" t="str">
        <f ca="1">IF(CX$1="","",'Total Value'!CX57/'Total Value'!$D57-1)</f>
        <v/>
      </c>
      <c r="CY45" s="14" t="str">
        <f ca="1">IF(CY$1="","",'Total Value'!CY57/'Total Value'!$D57-1)</f>
        <v/>
      </c>
      <c r="CZ45" s="14" t="str">
        <f ca="1">IF(CZ$1="","",'Total Value'!CZ57/'Total Value'!$D57-1)</f>
        <v/>
      </c>
      <c r="DA45" s="14" t="str">
        <f ca="1">IF(DA$1="","",'Total Value'!DA57/'Total Value'!$D57-1)</f>
        <v/>
      </c>
      <c r="DB45" s="14" t="str">
        <f ca="1">IF(DB$1="","",'Total Value'!DB57/'Total Value'!$D57-1)</f>
        <v/>
      </c>
      <c r="DC45" s="14" t="str">
        <f ca="1">IF(DC$1="","",'Total Value'!DC57/'Total Value'!$D57-1)</f>
        <v/>
      </c>
      <c r="DD45" s="14" t="str">
        <f ca="1">IF(DD$1="","",'Total Value'!DD57/'Total Value'!$D57-1)</f>
        <v/>
      </c>
      <c r="DE45" s="14" t="str">
        <f ca="1">IF(DE$1="","",'Total Value'!DE57/'Total Value'!$D57-1)</f>
        <v/>
      </c>
      <c r="DF45" s="14" t="str">
        <f ca="1">IF(DF$1="","",'Total Value'!DF57/'Total Value'!$D57-1)</f>
        <v/>
      </c>
      <c r="DG45" s="14" t="str">
        <f ca="1">IF(DG$1="","",'Total Value'!DG57/'Total Value'!$D57-1)</f>
        <v/>
      </c>
      <c r="DH45" s="14" t="str">
        <f ca="1">IF(DH$1="","",'Total Value'!DH57/'Total Value'!$D57-1)</f>
        <v/>
      </c>
      <c r="DI45" s="14" t="str">
        <f ca="1">IF(DI$1="","",'Total Value'!DI57/'Total Value'!$D57-1)</f>
        <v/>
      </c>
      <c r="DJ45" s="14" t="str">
        <f ca="1">IF(DJ$1="","",'Total Value'!DJ57/'Total Value'!$D57-1)</f>
        <v/>
      </c>
      <c r="DK45" s="14" t="str">
        <f ca="1">IF(DK$1="","",'Total Value'!DK57/'Total Value'!$D57-1)</f>
        <v/>
      </c>
      <c r="DL45" s="14" t="str">
        <f ca="1">IF(DL$1="","",'Total Value'!DL57/'Total Value'!$D57-1)</f>
        <v/>
      </c>
      <c r="DM45" s="14" t="str">
        <f ca="1">IF(DM$1="","",'Total Value'!DM57/'Total Value'!$D57-1)</f>
        <v/>
      </c>
      <c r="DN45" s="14" t="str">
        <f ca="1">IF(DN$1="","",'Total Value'!DN57/'Total Value'!$D57-1)</f>
        <v/>
      </c>
      <c r="DO45" s="14" t="str">
        <f ca="1">IF(DO$1="","",'Total Value'!DO57/'Total Value'!$D57-1)</f>
        <v/>
      </c>
      <c r="DP45" s="14" t="str">
        <f ca="1">IF(DP$1="","",'Total Value'!DP57/'Total Value'!$D57-1)</f>
        <v/>
      </c>
      <c r="DQ45" s="14" t="str">
        <f ca="1">IF(DQ$1="","",'Total Value'!DQ57/'Total Value'!$D57-1)</f>
        <v/>
      </c>
      <c r="DR45" s="14" t="str">
        <f ca="1">IF(DR$1="","",'Total Value'!DR57/'Total Value'!$D57-1)</f>
        <v/>
      </c>
      <c r="DS45" s="14" t="str">
        <f ca="1">IF(DS$1="","",'Total Value'!DS57/'Total Value'!$D57-1)</f>
        <v/>
      </c>
      <c r="DT45" s="14" t="str">
        <f ca="1">IF(DT$1="","",'Total Value'!DT57/'Total Value'!$D57-1)</f>
        <v/>
      </c>
      <c r="DU45" s="14" t="str">
        <f ca="1">IF(DU$1="","",'Total Value'!DU57/'Total Value'!$D57-1)</f>
        <v/>
      </c>
      <c r="DV45" s="14" t="str">
        <f ca="1">IF(DV$1="","",'Total Value'!DV57/'Total Value'!$D57-1)</f>
        <v/>
      </c>
      <c r="DW45" s="14" t="str">
        <f ca="1">IF(DW$1="","",'Total Value'!DW57/'Total Value'!$D57-1)</f>
        <v/>
      </c>
      <c r="DX45" s="14" t="str">
        <f ca="1">IF(DX$1="","",'Total Value'!DX57/'Total Value'!$D57-1)</f>
        <v/>
      </c>
      <c r="DY45" s="14" t="str">
        <f ca="1">IF(DY$1="","",'Total Value'!DY57/'Total Value'!$D57-1)</f>
        <v/>
      </c>
      <c r="DZ45" s="14" t="str">
        <f ca="1">IF(DZ$1="","",'Total Value'!DZ57/'Total Value'!$D57-1)</f>
        <v/>
      </c>
      <c r="EA45" s="14" t="str">
        <f ca="1">IF(EA$1="","",'Total Value'!EA57/'Total Value'!$D57-1)</f>
        <v/>
      </c>
      <c r="EB45" s="14" t="str">
        <f ca="1">IF(EB$1="","",'Total Value'!EB57/'Total Value'!$D57-1)</f>
        <v/>
      </c>
      <c r="EC45" s="14" t="str">
        <f ca="1">IF(EC$1="","",'Total Value'!EC57/'Total Value'!$D57-1)</f>
        <v/>
      </c>
      <c r="ED45" s="14" t="str">
        <f ca="1">IF(ED$1="","",'Total Value'!ED57/'Total Value'!$D57-1)</f>
        <v/>
      </c>
      <c r="EE45" s="14" t="str">
        <f ca="1">IF(EE$1="","",'Total Value'!EE57/'Total Value'!$D57-1)</f>
        <v/>
      </c>
      <c r="EF45" s="14" t="str">
        <f ca="1">IF(EF$1="","",'Total Value'!EF57/'Total Value'!$D57-1)</f>
        <v/>
      </c>
      <c r="EG45" s="14" t="str">
        <f ca="1">IF(EG$1="","",'Total Value'!EG57/'Total Value'!$D57-1)</f>
        <v/>
      </c>
      <c r="EH45" s="14" t="str">
        <f ca="1">IF(EH$1="","",'Total Value'!EH57/'Total Value'!$D57-1)</f>
        <v/>
      </c>
      <c r="EI45" s="14" t="str">
        <f ca="1">IF(EI$1="","",'Total Value'!EI57/'Total Value'!$D57-1)</f>
        <v/>
      </c>
      <c r="EJ45" s="14" t="str">
        <f ca="1">IF(EJ$1="","",'Total Value'!EJ57/'Total Value'!$D57-1)</f>
        <v/>
      </c>
      <c r="EK45" s="14" t="str">
        <f ca="1">IF(EK$1="","",'Total Value'!EK57/'Total Value'!$D57-1)</f>
        <v/>
      </c>
      <c r="EL45" s="14" t="str">
        <f ca="1">IF(EL$1="","",'Total Value'!EL57/'Total Value'!$D57-1)</f>
        <v/>
      </c>
      <c r="EM45" s="14" t="str">
        <f ca="1">IF(EM$1="","",'Total Value'!EM57/'Total Value'!$D57-1)</f>
        <v/>
      </c>
      <c r="EN45" s="14" t="str">
        <f ca="1">IF(EN$1="","",'Total Value'!EN57/'Total Value'!$D57-1)</f>
        <v/>
      </c>
      <c r="EO45" s="14" t="str">
        <f ca="1">IF(EO$1="","",'Total Value'!EO57/'Total Value'!$D57-1)</f>
        <v/>
      </c>
      <c r="EP45" s="14" t="str">
        <f ca="1">IF(EP$1="","",'Total Value'!EP57/'Total Value'!$D57-1)</f>
        <v/>
      </c>
      <c r="EQ45" s="14" t="str">
        <f ca="1">IF(EQ$1="","",'Total Value'!EQ57/'Total Value'!$D57-1)</f>
        <v/>
      </c>
      <c r="ER45" s="14" t="str">
        <f ca="1">IF(ER$1="","",'Total Value'!ER57/'Total Value'!$D57-1)</f>
        <v/>
      </c>
      <c r="ES45" s="14" t="str">
        <f ca="1">IF(ES$1="","",'Total Value'!ES57/'Total Value'!$D57-1)</f>
        <v/>
      </c>
      <c r="ET45" s="14" t="str">
        <f ca="1">IF(ET$1="","",'Total Value'!ET57/'Total Value'!$D57-1)</f>
        <v/>
      </c>
      <c r="EU45" s="14" t="str">
        <f ca="1">IF(EU$1="","",'Total Value'!EU57/'Total Value'!$D57-1)</f>
        <v/>
      </c>
      <c r="EV45" s="14" t="str">
        <f ca="1">IF(EV$1="","",'Total Value'!EV57/'Total Value'!$D57-1)</f>
        <v/>
      </c>
      <c r="EW45" s="14" t="str">
        <f ca="1">IF(EW$1="","",'Total Value'!EW57/'Total Value'!$D57-1)</f>
        <v/>
      </c>
      <c r="EX45" s="14" t="str">
        <f ca="1">IF(EX$1="","",'Total Value'!EX57/'Total Value'!$D57-1)</f>
        <v/>
      </c>
      <c r="EY45" s="14" t="str">
        <f ca="1">IF(EY$1="","",'Total Value'!EY57/'Total Value'!$D57-1)</f>
        <v/>
      </c>
      <c r="EZ45" s="14" t="str">
        <f ca="1">IF(EZ$1="","",'Total Value'!EZ57/'Total Value'!$D57-1)</f>
        <v/>
      </c>
      <c r="FA45" s="14" t="str">
        <f ca="1">IF(FA$1="","",'Total Value'!FA57/'Total Value'!$D57-1)</f>
        <v/>
      </c>
      <c r="FB45" s="14" t="str">
        <f ca="1">IF(FB$1="","",'Total Value'!FB57/'Total Value'!$D57-1)</f>
        <v/>
      </c>
      <c r="FC45" s="14" t="str">
        <f ca="1">IF(FC$1="","",'Total Value'!FC57/'Total Value'!$D57-1)</f>
        <v/>
      </c>
      <c r="FD45" s="14" t="str">
        <f ca="1">IF(FD$1="","",'Total Value'!FD57/'Total Value'!$D57-1)</f>
        <v/>
      </c>
      <c r="FE45" s="14" t="str">
        <f ca="1">IF(FE$1="","",'Total Value'!FE57/'Total Value'!$D57-1)</f>
        <v/>
      </c>
      <c r="FF45" s="14" t="str">
        <f ca="1">IF(FF$1="","",'Total Value'!FF57/'Total Value'!$D57-1)</f>
        <v/>
      </c>
      <c r="FG45" s="14" t="str">
        <f ca="1">IF(FG$1="","",'Total Value'!FG57/'Total Value'!$D57-1)</f>
        <v/>
      </c>
      <c r="FH45" s="14" t="str">
        <f ca="1">IF(FH$1="","",'Total Value'!FH57/'Total Value'!$D57-1)</f>
        <v/>
      </c>
      <c r="FI45" s="14" t="str">
        <f ca="1">IF(FI$1="","",'Total Value'!FI57/'Total Value'!$D57-1)</f>
        <v/>
      </c>
      <c r="FJ45" s="14" t="str">
        <f ca="1">IF(FJ$1="","",'Total Value'!FJ57/'Total Value'!$D57-1)</f>
        <v/>
      </c>
      <c r="FK45" s="14" t="str">
        <f ca="1">IF(FK$1="","",'Total Value'!FK57/'Total Value'!$D57-1)</f>
        <v/>
      </c>
      <c r="FL45" s="14" t="str">
        <f ca="1">IF(FL$1="","",'Total Value'!FL57/'Total Value'!$D57-1)</f>
        <v/>
      </c>
      <c r="FM45" s="14" t="str">
        <f ca="1">IF(FM$1="","",'Total Value'!FM57/'Total Value'!$D57-1)</f>
        <v/>
      </c>
      <c r="FN45" s="14" t="str">
        <f ca="1">IF(FN$1="","",'Total Value'!FN57/'Total Value'!$D57-1)</f>
        <v/>
      </c>
      <c r="FO45" s="14" t="str">
        <f ca="1">IF(FO$1="","",'Total Value'!FO57/'Total Value'!$D57-1)</f>
        <v/>
      </c>
      <c r="FP45" s="14" t="str">
        <f ca="1">IF(FP$1="","",'Total Value'!FP57/'Total Value'!$D57-1)</f>
        <v/>
      </c>
      <c r="FQ45" s="14" t="str">
        <f ca="1">IF(FQ$1="","",'Total Value'!FQ57/'Total Value'!$D57-1)</f>
        <v/>
      </c>
      <c r="FR45" s="14" t="str">
        <f ca="1">IF(FR$1="","",'Total Value'!FR57/'Total Value'!$D57-1)</f>
        <v/>
      </c>
      <c r="FS45" s="14" t="str">
        <f ca="1">IF(FS$1="","",'Total Value'!FS57/'Total Value'!$D57-1)</f>
        <v/>
      </c>
      <c r="FT45" s="14" t="str">
        <f ca="1">IF(FT$1="","",'Total Value'!FT57/'Total Value'!$D57-1)</f>
        <v/>
      </c>
      <c r="FU45" s="14" t="str">
        <f ca="1">IF(FU$1="","",'Total Value'!FU57/'Total Value'!$D57-1)</f>
        <v/>
      </c>
      <c r="FV45" s="14" t="str">
        <f ca="1">IF(FV$1="","",'Total Value'!FV57/'Total Value'!$D57-1)</f>
        <v/>
      </c>
      <c r="FW45" s="14" t="str">
        <f ca="1">IF(FW$1="","",'Total Value'!FW57/'Total Value'!$D57-1)</f>
        <v/>
      </c>
      <c r="FX45" s="14" t="str">
        <f ca="1">IF(FX$1="","",'Total Value'!FX57/'Total Value'!$D57-1)</f>
        <v/>
      </c>
      <c r="FY45" s="14" t="str">
        <f ca="1">IF(FY$1="","",'Total Value'!FY57/'Total Value'!$D57-1)</f>
        <v/>
      </c>
      <c r="FZ45" s="14" t="str">
        <f ca="1">IF(FZ$1="","",'Total Value'!FZ57/'Total Value'!$D57-1)</f>
        <v/>
      </c>
      <c r="GA45" s="14" t="str">
        <f ca="1">IF(GA$1="","",'Total Value'!GA57/'Total Value'!$D57-1)</f>
        <v/>
      </c>
      <c r="GB45" s="14" t="str">
        <f ca="1">IF(GB$1="","",'Total Value'!GB57/'Total Value'!$D57-1)</f>
        <v/>
      </c>
      <c r="GC45" s="14" t="str">
        <f ca="1">IF(GC$1="","",'Total Value'!GC57/'Total Value'!$D57-1)</f>
        <v/>
      </c>
      <c r="GD45" s="14" t="str">
        <f ca="1">IF(GD$1="","",'Total Value'!GD57/'Total Value'!$D57-1)</f>
        <v/>
      </c>
      <c r="GE45" s="14" t="str">
        <f ca="1">IF(GE$1="","",'Total Value'!GE57/'Total Value'!$D57-1)</f>
        <v/>
      </c>
      <c r="GF45" s="14" t="str">
        <f ca="1">IF(GF$1="","",'Total Value'!GF57/'Total Value'!$D57-1)</f>
        <v/>
      </c>
      <c r="GG45" s="14" t="str">
        <f ca="1">IF(GG$1="","",'Total Value'!GG57/'Total Value'!$D57-1)</f>
        <v/>
      </c>
      <c r="GH45" s="14" t="str">
        <f ca="1">IF(GH$1="","",'Total Value'!GH57/'Total Value'!$D57-1)</f>
        <v/>
      </c>
      <c r="GI45" s="14" t="str">
        <f ca="1">IF(GI$1="","",'Total Value'!GI57/'Total Value'!$D57-1)</f>
        <v/>
      </c>
      <c r="GJ45" s="14" t="str">
        <f ca="1">IF(GJ$1="","",'Total Value'!GJ57/'Total Value'!$D57-1)</f>
        <v/>
      </c>
      <c r="GK45" s="14" t="str">
        <f ca="1">IF(GK$1="","",'Total Value'!GK57/'Total Value'!$D57-1)</f>
        <v/>
      </c>
      <c r="GL45" s="14" t="str">
        <f ca="1">IF(GL$1="","",'Total Value'!GL57/'Total Value'!$D57-1)</f>
        <v/>
      </c>
      <c r="GM45" s="14" t="str">
        <f ca="1">IF(GM$1="","",'Total Value'!GM57/'Total Value'!$D57-1)</f>
        <v/>
      </c>
      <c r="GN45" s="14" t="str">
        <f ca="1">IF(GN$1="","",'Total Value'!GN57/'Total Value'!$D57-1)</f>
        <v/>
      </c>
      <c r="GO45" s="14" t="str">
        <f ca="1">IF(GO$1="","",'Total Value'!GO57/'Total Value'!$D57-1)</f>
        <v/>
      </c>
      <c r="GP45" s="14" t="str">
        <f ca="1">IF(GP$1="","",'Total Value'!GP57/'Total Value'!$D57-1)</f>
        <v/>
      </c>
      <c r="GQ45" s="14" t="str">
        <f ca="1">IF(GQ$1="","",'Total Value'!GQ57/'Total Value'!$D57-1)</f>
        <v/>
      </c>
      <c r="GR45" s="14" t="str">
        <f ca="1">IF(GR$1="","",'Total Value'!GR57/'Total Value'!$D57-1)</f>
        <v/>
      </c>
      <c r="GS45" s="14" t="str">
        <f ca="1">IF(GS$1="","",'Total Value'!GS57/'Total Value'!$D57-1)</f>
        <v/>
      </c>
      <c r="GT45" s="14" t="str">
        <f ca="1">IF(GT$1="","",'Total Value'!GT57/'Total Value'!$D57-1)</f>
        <v/>
      </c>
      <c r="GU45" s="14" t="str">
        <f ca="1">IF(GU$1="","",'Total Value'!GU57/'Total Value'!$D57-1)</f>
        <v/>
      </c>
      <c r="GV45" s="14" t="str">
        <f ca="1">IF(GV$1="","",'Total Value'!GV57/'Total Value'!$D57-1)</f>
        <v/>
      </c>
      <c r="GW45" s="14" t="str">
        <f ca="1">IF(GW$1="","",'Total Value'!GW57/'Total Value'!$D57-1)</f>
        <v/>
      </c>
      <c r="GX45" s="14" t="str">
        <f ca="1">IF(GX$1="","",'Total Value'!GX57/'Total Value'!$D57-1)</f>
        <v/>
      </c>
      <c r="GY45" s="14" t="str">
        <f ca="1">IF(GY$1="","",'Total Value'!GY57/'Total Value'!$D57-1)</f>
        <v/>
      </c>
      <c r="GZ45" s="14" t="str">
        <f ca="1">IF(GZ$1="","",'Total Value'!GZ57/'Total Value'!$D57-1)</f>
        <v/>
      </c>
      <c r="HA45" s="14" t="str">
        <f ca="1">IF(HA$1="","",'Total Value'!HA57/'Total Value'!$D57-1)</f>
        <v/>
      </c>
      <c r="HB45" s="14" t="str">
        <f ca="1">IF(HB$1="","",'Total Value'!HB57/'Total Value'!$D57-1)</f>
        <v/>
      </c>
      <c r="HC45" s="14" t="str">
        <f ca="1">IF(HC$1="","",'Total Value'!HC57/'Total Value'!$D57-1)</f>
        <v/>
      </c>
      <c r="HD45" s="14" t="str">
        <f ca="1">IF(HD$1="","",'Total Value'!HD57/'Total Value'!$D57-1)</f>
        <v/>
      </c>
      <c r="HE45" s="14" t="str">
        <f ca="1">IF(HE$1="","",'Total Value'!HE57/'Total Value'!$D57-1)</f>
        <v/>
      </c>
      <c r="HF45" s="14" t="str">
        <f ca="1">IF(HF$1="","",'Total Value'!HF57/'Total Value'!$D57-1)</f>
        <v/>
      </c>
      <c r="HG45" s="14" t="str">
        <f ca="1">IF(HG$1="","",'Total Value'!HG57/'Total Value'!$D57-1)</f>
        <v/>
      </c>
      <c r="HH45" s="14" t="str">
        <f ca="1">IF(HH$1="","",'Total Value'!HH57/'Total Value'!$D57-1)</f>
        <v/>
      </c>
      <c r="HI45" s="14" t="str">
        <f ca="1">IF(HI$1="","",'Total Value'!HI57/'Total Value'!$D57-1)</f>
        <v/>
      </c>
      <c r="HJ45" s="14" t="str">
        <f ca="1">IF(HJ$1="","",'Total Value'!HJ57/'Total Value'!$D57-1)</f>
        <v/>
      </c>
      <c r="HK45" s="14" t="str">
        <f ca="1">IF(HK$1="","",'Total Value'!HK57/'Total Value'!$D57-1)</f>
        <v/>
      </c>
      <c r="HL45" s="14" t="str">
        <f ca="1">IF(HL$1="","",'Total Value'!HL57/'Total Value'!$D57-1)</f>
        <v/>
      </c>
      <c r="HM45" s="14" t="str">
        <f ca="1">IF(HM$1="","",'Total Value'!HM57/'Total Value'!$D57-1)</f>
        <v/>
      </c>
      <c r="HN45" s="14" t="str">
        <f ca="1">IF(HN$1="","",'Total Value'!HN57/'Total Value'!$D57-1)</f>
        <v/>
      </c>
      <c r="HO45" s="14" t="str">
        <f ca="1">IF(HO$1="","",'Total Value'!HO57/'Total Value'!$D57-1)</f>
        <v/>
      </c>
      <c r="HP45" s="14" t="str">
        <f ca="1">IF(HP$1="","",'Total Value'!HP57/'Total Value'!$D57-1)</f>
        <v/>
      </c>
      <c r="HQ45" s="14" t="str">
        <f ca="1">IF(HQ$1="","",'Total Value'!HQ57/'Total Value'!$D57-1)</f>
        <v/>
      </c>
      <c r="HR45" s="14" t="str">
        <f ca="1">IF(HR$1="","",'Total Value'!HR57/'Total Value'!$D57-1)</f>
        <v/>
      </c>
      <c r="HS45" s="14" t="str">
        <f ca="1">IF(HS$1="","",'Total Value'!HS57/'Total Value'!$D57-1)</f>
        <v/>
      </c>
      <c r="HT45" s="14" t="str">
        <f ca="1">IF(HT$1="","",'Total Value'!HT57/'Total Value'!$D57-1)</f>
        <v/>
      </c>
      <c r="HU45" s="14" t="str">
        <f ca="1">IF(HU$1="","",'Total Value'!HU57/'Total Value'!$D57-1)</f>
        <v/>
      </c>
      <c r="HV45" s="14" t="str">
        <f ca="1">IF(HV$1="","",'Total Value'!HV57/'Total Value'!$D57-1)</f>
        <v/>
      </c>
      <c r="HW45" s="14" t="str">
        <f ca="1">IF(HW$1="","",'Total Value'!HW57/'Total Value'!$D57-1)</f>
        <v/>
      </c>
      <c r="HX45" s="14" t="str">
        <f ca="1">IF(HX$1="","",'Total Value'!HX57/'Total Value'!$D57-1)</f>
        <v/>
      </c>
      <c r="HY45" s="14" t="str">
        <f ca="1">IF(HY$1="","",'Total Value'!HY57/'Total Value'!$D57-1)</f>
        <v/>
      </c>
      <c r="HZ45" s="14" t="str">
        <f ca="1">IF(HZ$1="","",'Total Value'!HZ57/'Total Value'!$D57-1)</f>
        <v/>
      </c>
      <c r="IA45" s="14" t="str">
        <f ca="1">IF(IA$1="","",'Total Value'!IA57/'Total Value'!$D57-1)</f>
        <v/>
      </c>
      <c r="IB45" s="14" t="str">
        <f ca="1">IF(IB$1="","",'Total Value'!IB57/'Total Value'!$D57-1)</f>
        <v/>
      </c>
      <c r="IC45" s="14" t="str">
        <f ca="1">IF(IC$1="","",'Total Value'!IC57/'Total Value'!$D57-1)</f>
        <v/>
      </c>
      <c r="ID45" s="14" t="str">
        <f ca="1">IF(ID$1="","",'Total Value'!ID57/'Total Value'!$D57-1)</f>
        <v/>
      </c>
      <c r="IE45" s="14" t="str">
        <f ca="1">IF(IE$1="","",'Total Value'!IE57/'Total Value'!$D57-1)</f>
        <v/>
      </c>
      <c r="IF45" s="14" t="str">
        <f ca="1">IF(IF$1="","",'Total Value'!IF57/'Total Value'!$D57-1)</f>
        <v/>
      </c>
      <c r="IG45" s="14" t="str">
        <f ca="1">IF(IG$1="","",'Total Value'!IG57/'Total Value'!$D57-1)</f>
        <v/>
      </c>
      <c r="IH45" s="14" t="str">
        <f ca="1">IF(IH$1="","",'Total Value'!IH57/'Total Value'!$D57-1)</f>
        <v/>
      </c>
      <c r="II45" s="14" t="str">
        <f ca="1">IF(II$1="","",'Total Value'!II57/'Total Value'!$D57-1)</f>
        <v/>
      </c>
      <c r="IJ45" s="14" t="str">
        <f ca="1">IF(IJ$1="","",'Total Value'!IJ57/'Total Value'!$D57-1)</f>
        <v/>
      </c>
      <c r="IK45" s="14" t="str">
        <f ca="1">IF(IK$1="","",'Total Value'!IK57/'Total Value'!$D57-1)</f>
        <v/>
      </c>
      <c r="IL45" s="14" t="str">
        <f ca="1">IF(IL$1="","",'Total Value'!IL57/'Total Value'!$D57-1)</f>
        <v/>
      </c>
      <c r="IM45" s="14" t="str">
        <f ca="1">IF(IM$1="","",'Total Value'!IM57/'Total Value'!$D57-1)</f>
        <v/>
      </c>
      <c r="IN45" s="14" t="str">
        <f ca="1">IF(IN$1="","",'Total Value'!IN57/'Total Value'!$D57-1)</f>
        <v/>
      </c>
      <c r="IO45" s="14" t="str">
        <f ca="1">IF(IO$1="","",'Total Value'!IO57/'Total Value'!$D57-1)</f>
        <v/>
      </c>
      <c r="IP45" s="14" t="str">
        <f ca="1">IF(IP$1="","",'Total Value'!IP57/'Total Value'!$D57-1)</f>
        <v/>
      </c>
      <c r="IQ45" s="14" t="str">
        <f ca="1">IF(IQ$1="","",'Total Value'!IQ57/'Total Value'!$D57-1)</f>
        <v/>
      </c>
      <c r="IR45" s="14" t="str">
        <f ca="1">IF(IR$1="","",'Total Value'!IR57/'Total Value'!$D57-1)</f>
        <v/>
      </c>
      <c r="IS45" s="14" t="str">
        <f ca="1">IF(IS$1="","",'Total Value'!IS57/'Total Value'!$D57-1)</f>
        <v/>
      </c>
      <c r="IT45" s="14" t="str">
        <f ca="1">IF(IT$1="","",'Total Value'!IT57/'Total Value'!$D57-1)</f>
        <v/>
      </c>
      <c r="IU45" s="14" t="str">
        <f ca="1">IF(IU$1="","",'Total Value'!IU57/'Total Value'!$D57-1)</f>
        <v/>
      </c>
      <c r="IV45" s="14" t="str">
        <f ca="1">IF(IV$1="","",'Total Value'!IV57/'Total Value'!$D57-1)</f>
        <v/>
      </c>
      <c r="IW45" s="14" t="str">
        <f ca="1">IF(IW$1="","",'Total Value'!IW57/'Total Value'!$D57-1)</f>
        <v/>
      </c>
      <c r="IX45" s="14" t="str">
        <f ca="1">IF(IX$1="","",'Total Value'!IX57/'Total Value'!$D57-1)</f>
        <v/>
      </c>
      <c r="IY45" s="14" t="str">
        <f ca="1">IF(IY$1="","",'Total Value'!IY57/'Total Value'!$D57-1)</f>
        <v/>
      </c>
      <c r="IZ45" s="14" t="str">
        <f ca="1">IF(IZ$1="","",'Total Value'!IZ57/'Total Value'!$D57-1)</f>
        <v/>
      </c>
      <c r="JA45" s="14" t="str">
        <f ca="1">IF(JA$1="","",'Total Value'!JA57/'Total Value'!$D57-1)</f>
        <v/>
      </c>
      <c r="JB45" s="14" t="str">
        <f ca="1">IF(JB$1="","",'Total Value'!JB57/'Total Value'!$D57-1)</f>
        <v/>
      </c>
      <c r="JC45" s="14" t="str">
        <f ca="1">IF(JC$1="","",'Total Value'!JC57/'Total Value'!$D57-1)</f>
        <v/>
      </c>
      <c r="JD45" s="14" t="str">
        <f ca="1">IF(JD$1="","",'Total Value'!JD57/'Total Value'!$D57-1)</f>
        <v/>
      </c>
      <c r="JE45" s="14" t="str">
        <f ca="1">IF(JE$1="","",'Total Value'!JE57/'Total Value'!$D57-1)</f>
        <v/>
      </c>
      <c r="JF45" s="14" t="str">
        <f ca="1">IF(JF$1="","",'Total Value'!JF57/'Total Value'!$D57-1)</f>
        <v/>
      </c>
      <c r="JG45" s="14" t="str">
        <f ca="1">IF(JG$1="","",'Total Value'!JG57/'Total Value'!$D57-1)</f>
        <v/>
      </c>
      <c r="JH45" s="14" t="str">
        <f ca="1">IF(JH$1="","",'Total Value'!JH57/'Total Value'!$D57-1)</f>
        <v/>
      </c>
      <c r="JI45" s="14" t="str">
        <f ca="1">IF(JI$1="","",'Total Value'!JI57/'Total Value'!$D57-1)</f>
        <v/>
      </c>
      <c r="JJ45" s="14" t="str">
        <f ca="1">IF(JJ$1="","",'Total Value'!JJ57/'Total Value'!$D57-1)</f>
        <v/>
      </c>
      <c r="JK45" s="14" t="str">
        <f ca="1">IF(JK$1="","",'Total Value'!JK57/'Total Value'!$D57-1)</f>
        <v/>
      </c>
      <c r="JL45" s="14" t="str">
        <f ca="1">IF(JL$1="","",'Total Value'!JL57/'Total Value'!$D57-1)</f>
        <v/>
      </c>
      <c r="JM45" s="14" t="str">
        <f ca="1">IF(JM$1="","",'Total Value'!JM57/'Total Value'!$D57-1)</f>
        <v/>
      </c>
      <c r="JN45" s="14" t="str">
        <f ca="1">IF(JN$1="","",'Total Value'!JN57/'Total Value'!$D57-1)</f>
        <v/>
      </c>
      <c r="JO45" s="14" t="str">
        <f ca="1">IF(JO$1="","",'Total Value'!JO57/'Total Value'!$D57-1)</f>
        <v/>
      </c>
      <c r="JP45" s="14" t="str">
        <f ca="1">IF(JP$1="","",'Total Value'!JP57/'Total Value'!$D57-1)</f>
        <v/>
      </c>
      <c r="JQ45" s="14" t="str">
        <f ca="1">IF(JQ$1="","",'Total Value'!JQ57/'Total Value'!$D57-1)</f>
        <v/>
      </c>
      <c r="JR45" s="14" t="str">
        <f ca="1">IF(JR$1="","",'Total Value'!JR57/'Total Value'!$D57-1)</f>
        <v/>
      </c>
      <c r="JS45" s="14" t="str">
        <f ca="1">IF(JS$1="","",'Total Value'!JS57/'Total Value'!$D57-1)</f>
        <v/>
      </c>
      <c r="JT45" s="14" t="str">
        <f ca="1">IF(JT$1="","",'Total Value'!JT57/'Total Value'!$D57-1)</f>
        <v/>
      </c>
      <c r="JU45" s="14" t="str">
        <f ca="1">IF(JU$1="","",'Total Value'!JU57/'Total Value'!$D57-1)</f>
        <v/>
      </c>
      <c r="JV45" s="14" t="str">
        <f ca="1">IF(JV$1="","",'Total Value'!JV57/'Total Value'!$D57-1)</f>
        <v/>
      </c>
      <c r="JW45" s="14" t="str">
        <f ca="1">IF(JW$1="","",'Total Value'!JW57/'Total Value'!$D57-1)</f>
        <v/>
      </c>
      <c r="JX45" s="14" t="str">
        <f ca="1">IF(JX$1="","",'Total Value'!JX57/'Total Value'!$D57-1)</f>
        <v/>
      </c>
      <c r="JY45" s="14" t="str">
        <f ca="1">IF(JY$1="","",'Total Value'!JY57/'Total Value'!$D57-1)</f>
        <v/>
      </c>
      <c r="JZ45" s="14" t="str">
        <f ca="1">IF(JZ$1="","",'Total Value'!JZ57/'Total Value'!$D57-1)</f>
        <v/>
      </c>
      <c r="KA45" s="14" t="str">
        <f ca="1">IF(KA$1="","",'Total Value'!KA57/'Total Value'!$D57-1)</f>
        <v/>
      </c>
      <c r="KB45" s="14" t="str">
        <f ca="1">IF(KB$1="","",'Total Value'!KB57/'Total Value'!$D57-1)</f>
        <v/>
      </c>
    </row>
    <row r="46" spans="1:288" ht="15.75" customHeight="1">
      <c r="A46" s="9" t="s">
        <v>30</v>
      </c>
      <c r="B46" s="6" t="s">
        <v>89</v>
      </c>
      <c r="C46" s="26">
        <v>65</v>
      </c>
      <c r="D46" s="13">
        <v>0</v>
      </c>
      <c r="E46" s="14">
        <f ca="1">IF(E$1="","",'Total Value'!E58/'Total Value'!$D58-1)</f>
        <v>-1.4814814814814836E-2</v>
      </c>
      <c r="F46" s="14">
        <f ca="1">IF(F$1="","",'Total Value'!F58/'Total Value'!$D58-1)</f>
        <v>3.3333333333333215E-2</v>
      </c>
      <c r="G46" s="14">
        <f ca="1">IF(G$1="","",'Total Value'!G58/'Total Value'!$D58-1)</f>
        <v>4.4444444444444287E-2</v>
      </c>
      <c r="H46" s="14">
        <f ca="1">IF(H$1="","",'Total Value'!H58/'Total Value'!$D58-1)</f>
        <v>2.2222222222222143E-2</v>
      </c>
      <c r="I46" s="14">
        <f ca="1">IF(I$1="","",'Total Value'!I58/'Total Value'!$D58-1)</f>
        <v>1.4814814814814836E-2</v>
      </c>
      <c r="J46" s="14">
        <f ca="1">IF(J$1="","",'Total Value'!J58/'Total Value'!$D58-1)</f>
        <v>7.4074074074075291E-3</v>
      </c>
      <c r="K46" s="14">
        <f ca="1">IF(K$1="","",'Total Value'!K58/'Total Value'!$D58-1)</f>
        <v>-2.2222222222222254E-2</v>
      </c>
      <c r="L46" s="14">
        <f ca="1">IF(L$1="","",'Total Value'!L58/'Total Value'!$D58-1)</f>
        <v>-3.3333333333333326E-2</v>
      </c>
      <c r="M46" s="14">
        <f ca="1">IF(M$1="","",'Total Value'!M58/'Total Value'!$D58-1)</f>
        <v>-1.4814814814814836E-2</v>
      </c>
      <c r="N46" s="14">
        <f ca="1">IF(N$1="","",'Total Value'!N58/'Total Value'!$D58-1)</f>
        <v>-6.6666666666666652E-2</v>
      </c>
      <c r="O46" s="14">
        <f ca="1">IF(O$1="","",'Total Value'!O58/'Total Value'!$D58-1)</f>
        <v>-9.6296296296296324E-2</v>
      </c>
      <c r="P46" s="14">
        <f ca="1">IF(P$1="","",'Total Value'!P58/'Total Value'!$D58-1)</f>
        <v>-0.15555555555555567</v>
      </c>
      <c r="Q46" s="14">
        <f ca="1">IF(Q$1="","",'Total Value'!Q58/'Total Value'!$D58-1)</f>
        <v>-0.1777777777777777</v>
      </c>
      <c r="R46" s="14">
        <f ca="1">IF(R$1="","",'Total Value'!R58/'Total Value'!$D58-1)</f>
        <v>-0.16666666666666663</v>
      </c>
      <c r="S46" s="14">
        <f ca="1">IF(S$1="","",'Total Value'!S58/'Total Value'!$D58-1)</f>
        <v>-0.15555555555555567</v>
      </c>
      <c r="T46" s="14">
        <f ca="1">IF(T$1="","",'Total Value'!T58/'Total Value'!$D58-1)</f>
        <v>-0.19999999999999996</v>
      </c>
      <c r="U46" s="14">
        <f ca="1">IF(U$1="","",'Total Value'!U58/'Total Value'!$D58-1)</f>
        <v>-0.2407407407407407</v>
      </c>
      <c r="V46" s="14">
        <f ca="1">IF(V$1="","",'Total Value'!V58/'Total Value'!$D58-1)</f>
        <v>-0.20740740740740748</v>
      </c>
      <c r="W46" s="14">
        <f ca="1">IF(W$1="","",'Total Value'!W58/'Total Value'!$D58-1)</f>
        <v>-0.19999999999999996</v>
      </c>
      <c r="X46" s="14">
        <f ca="1">IF(X$1="","",'Total Value'!X58/'Total Value'!$D58-1)</f>
        <v>-0.15925925925925921</v>
      </c>
      <c r="Y46" s="14">
        <f ca="1">IF(Y$1="","",'Total Value'!Y58/'Total Value'!$D58-1)</f>
        <v>-0.11481481481481481</v>
      </c>
      <c r="Z46" s="14">
        <f ca="1">IF(Z$1="","",'Total Value'!Z58/'Total Value'!$D58-1)</f>
        <v>-0.17037037037037028</v>
      </c>
      <c r="AA46" s="14">
        <f ca="1">IF(AA$1="","",'Total Value'!AA58/'Total Value'!$D58-1)</f>
        <v>-0.21481481481481479</v>
      </c>
      <c r="AB46" s="14">
        <f ca="1">IF(AB$1="","",'Total Value'!AB58/'Total Value'!$D58-1)</f>
        <v>-0.23703703703703705</v>
      </c>
      <c r="AC46" s="14">
        <f ca="1">IF(AC$1="","",'Total Value'!AC58/'Total Value'!$D58-1)</f>
        <v>-0.1777777777777777</v>
      </c>
      <c r="AD46" s="14">
        <f ca="1">IF(AD$1="","",'Total Value'!AD58/'Total Value'!$D58-1)</f>
        <v>-0.19629629629629641</v>
      </c>
      <c r="AE46" s="14">
        <f ca="1">IF(AE$1="","",'Total Value'!AE58/'Total Value'!$D58-1)</f>
        <v>-0.22222222222222221</v>
      </c>
      <c r="AF46" s="14">
        <f ca="1">IF(AF$1="","",'Total Value'!AF58/'Total Value'!$D58-1)</f>
        <v>-0.21481481481481479</v>
      </c>
      <c r="AG46" s="14">
        <f ca="1">IF(AG$1="","",'Total Value'!AG58/'Total Value'!$D58-1)</f>
        <v>-0.2592592592592593</v>
      </c>
      <c r="AH46" s="14">
        <f ca="1">IF(AH$1="","",'Total Value'!AH58/'Total Value'!$D58-1)</f>
        <v>-0.2592592592592593</v>
      </c>
      <c r="AI46" s="14">
        <f ca="1">IF(AI$1="","",'Total Value'!AI58/'Total Value'!$D58-1)</f>
        <v>-0.2592592592592593</v>
      </c>
      <c r="AJ46" s="14">
        <f ca="1">IF(AJ$1="","",'Total Value'!AJ58/'Total Value'!$D58-1)</f>
        <v>-0.21851851851851845</v>
      </c>
      <c r="AK46" s="14">
        <f ca="1">IF(AK$1="","",'Total Value'!AK58/'Total Value'!$D58-1)</f>
        <v>-0.2407407407407407</v>
      </c>
      <c r="AL46" s="14">
        <f ca="1">IF(AL$1="","",'Total Value'!AL58/'Total Value'!$D58-1)</f>
        <v>-0.25185185185185177</v>
      </c>
      <c r="AM46" s="14">
        <f ca="1">IF(AM$1="","",'Total Value'!AM58/'Total Value'!$D58-1)</f>
        <v>-0.2592592592592593</v>
      </c>
      <c r="AN46" s="14">
        <f ca="1">IF(AN$1="","",'Total Value'!AN58/'Total Value'!$D58-1)</f>
        <v>-0.22592592592592597</v>
      </c>
      <c r="AO46" s="14">
        <f ca="1">IF(AO$1="","",'Total Value'!AO58/'Total Value'!$D58-1)</f>
        <v>-0.19629629629629641</v>
      </c>
      <c r="AP46" s="14">
        <f ca="1">IF(AP$1="","",'Total Value'!AP58/'Total Value'!$D58-1)</f>
        <v>-0.17407407407407416</v>
      </c>
      <c r="AQ46" s="14">
        <f ca="1">IF(AQ$1="","",'Total Value'!AQ58/'Total Value'!$D58-1)</f>
        <v>-0.13333333333333341</v>
      </c>
      <c r="AR46" s="14">
        <f ca="1">IF(AR$1="","",'Total Value'!AR58/'Total Value'!$D58-1)</f>
        <v>-0.40740740740740744</v>
      </c>
      <c r="AS46" s="14">
        <f ca="1">IF(AS$1="","",'Total Value'!AS58/'Total Value'!$D58-1)</f>
        <v>-0.437037037037037</v>
      </c>
      <c r="AT46" s="14">
        <f ca="1">IF(AT$1="","",'Total Value'!AT58/'Total Value'!$D58-1)</f>
        <v>-0.46296296296296291</v>
      </c>
      <c r="AU46" s="14">
        <f ca="1">IF(AU$1="","",'Total Value'!AU58/'Total Value'!$D58-1)</f>
        <v>-0.48518518518518516</v>
      </c>
      <c r="AV46" s="14">
        <f ca="1">IF(AV$1="","",'Total Value'!AV58/'Total Value'!$D58-1)</f>
        <v>-0.42222222222222217</v>
      </c>
      <c r="AW46" s="14">
        <f ca="1">IF(AW$1="","",'Total Value'!AW58/'Total Value'!$D58-1)</f>
        <v>-0.40740740740740744</v>
      </c>
      <c r="AX46" s="14">
        <f ca="1">IF(AX$1="","",'Total Value'!AX58/'Total Value'!$D58-1)</f>
        <v>-0.37407407407407411</v>
      </c>
      <c r="AY46" s="14">
        <f ca="1">IF(AY$1="","",'Total Value'!AY58/'Total Value'!$D58-1)</f>
        <v>-0.35925925925925928</v>
      </c>
      <c r="AZ46" s="14">
        <f ca="1">IF(AZ$1="","",'Total Value'!AZ58/'Total Value'!$D58-1)</f>
        <v>-0.41111111111111109</v>
      </c>
      <c r="BA46" s="14">
        <f ca="1">IF(BA$1="","",'Total Value'!BA58/'Total Value'!$D58-1)</f>
        <v>-0.40740740740740744</v>
      </c>
      <c r="BB46" s="14">
        <f ca="1">IF(BB$1="","",'Total Value'!BB58/'Total Value'!$D58-1)</f>
        <v>-0.40740740740740744</v>
      </c>
      <c r="BC46" s="14">
        <f ca="1">IF(BC$1="","",'Total Value'!BC58/'Total Value'!$D58-1)</f>
        <v>-0.41111111111111109</v>
      </c>
      <c r="BD46" s="14">
        <f ca="1">IF(BD$1="","",'Total Value'!BD58/'Total Value'!$D58-1)</f>
        <v>-0.41851851851851851</v>
      </c>
      <c r="BE46" s="14">
        <f ca="1">IF(BE$1="","",'Total Value'!BE58/'Total Value'!$D58-1)</f>
        <v>-0.45185185185185184</v>
      </c>
      <c r="BF46" s="14">
        <f ca="1">IF(BF$1="","",'Total Value'!BF58/'Total Value'!$D58-1)</f>
        <v>-0.4555555555555556</v>
      </c>
      <c r="BG46" s="14">
        <f ca="1">IF(BG$1="","",'Total Value'!BG58/'Total Value'!$D58-1)</f>
        <v>-0.45925925925925926</v>
      </c>
      <c r="BH46" s="14">
        <f ca="1">IF(BH$1="","",'Total Value'!BH58/'Total Value'!$D58-1)</f>
        <v>-0.47777777777777786</v>
      </c>
      <c r="BI46" s="14">
        <f ca="1">IF(BI$1="","",'Total Value'!BI58/'Total Value'!$D58-1)</f>
        <v>-0.45185185185185184</v>
      </c>
      <c r="BJ46" s="14">
        <f ca="1">IF(BJ$1="","",'Total Value'!BJ58/'Total Value'!$D58-1)</f>
        <v>-0.44444444444444442</v>
      </c>
      <c r="BK46" s="14">
        <f ca="1">IF(BK$1="","",'Total Value'!BK58/'Total Value'!$D58-1)</f>
        <v>-0.44814814814814818</v>
      </c>
      <c r="BL46" s="14">
        <f ca="1">IF(BL$1="","",'Total Value'!BL58/'Total Value'!$D58-1)</f>
        <v>-0.4555555555555556</v>
      </c>
      <c r="BM46" s="14">
        <f ca="1">IF(BM$1="","",'Total Value'!BM58/'Total Value'!$D58-1)</f>
        <v>-0.46666666666666667</v>
      </c>
      <c r="BN46" s="14">
        <f ca="1">IF(BN$1="","",'Total Value'!BN58/'Total Value'!$D58-1)</f>
        <v>-0.45925925925925926</v>
      </c>
      <c r="BO46" s="14">
        <f ca="1">IF(BO$1="","",'Total Value'!BO58/'Total Value'!$D58-1)</f>
        <v>-0.47777777777777786</v>
      </c>
      <c r="BP46" s="14">
        <f ca="1">IF(BP$1="","",'Total Value'!BP58/'Total Value'!$D58-1)</f>
        <v>-0.47407407407407409</v>
      </c>
      <c r="BQ46" s="14">
        <f ca="1">IF(BQ$1="","",'Total Value'!BQ58/'Total Value'!$D58-1)</f>
        <v>-0.44444444444444442</v>
      </c>
      <c r="BR46" s="14">
        <f ca="1">IF(BR$1="","",'Total Value'!BR58/'Total Value'!$D58-1)</f>
        <v>-0.45925925925925926</v>
      </c>
      <c r="BS46" s="14">
        <f ca="1">IF(BS$1="","",'Total Value'!BS58/'Total Value'!$D58-1)</f>
        <v>-0.46296296296296291</v>
      </c>
      <c r="BT46" s="14">
        <f ca="1">IF(BT$1="","",'Total Value'!BT58/'Total Value'!$D58-1)</f>
        <v>-0.44814814814814818</v>
      </c>
      <c r="BU46" s="14">
        <f ca="1">IF(BU$1="","",'Total Value'!BU58/'Total Value'!$D58-1)</f>
        <v>-0.42222222222222217</v>
      </c>
      <c r="BV46" s="14">
        <f ca="1">IF(BV$1="","",'Total Value'!BV58/'Total Value'!$D58-1)</f>
        <v>-0.43333333333333335</v>
      </c>
      <c r="BW46" s="14">
        <f ca="1">IF(BW$1="","",'Total Value'!BW58/'Total Value'!$D58-1)</f>
        <v>-0.46666666666666667</v>
      </c>
      <c r="BX46" s="14">
        <f ca="1">IF(BX$1="","",'Total Value'!BX58/'Total Value'!$D58-1)</f>
        <v>-0.44814814814814818</v>
      </c>
      <c r="BY46" s="14">
        <f ca="1">IF(BY$1="","",'Total Value'!BY58/'Total Value'!$D58-1)</f>
        <v>-0.44444444444444442</v>
      </c>
      <c r="BZ46" s="14">
        <f ca="1">IF(BZ$1="","",'Total Value'!BZ58/'Total Value'!$D58-1)</f>
        <v>-0.41481481481481475</v>
      </c>
      <c r="CA46" s="14">
        <f ca="1">IF(CA$1="","",'Total Value'!CA58/'Total Value'!$D58-1)</f>
        <v>-0.40370370370370368</v>
      </c>
      <c r="CB46" s="14">
        <f ca="1">IF(CB$1="","",'Total Value'!CB58/'Total Value'!$D58-1)</f>
        <v>-0.38518518518518519</v>
      </c>
      <c r="CC46" s="14">
        <f ca="1">IF(CC$1="","",'Total Value'!CC58/'Total Value'!$D58-1)</f>
        <v>-0.42592592592592593</v>
      </c>
      <c r="CD46" s="14">
        <f ca="1">IF(CD$1="","",'Total Value'!CD58/'Total Value'!$D58-1)</f>
        <v>-0.41851851851851851</v>
      </c>
      <c r="CE46" s="14">
        <f ca="1">IF(CE$1="","",'Total Value'!CE58/'Total Value'!$D58-1)</f>
        <v>-0.39629629629629637</v>
      </c>
      <c r="CF46" s="14" t="str">
        <f ca="1">IF(CF$1="","",'Total Value'!CF58/'Total Value'!$D58-1)</f>
        <v/>
      </c>
      <c r="CG46" s="14" t="str">
        <f ca="1">IF(CG$1="","",'Total Value'!CG58/'Total Value'!$D58-1)</f>
        <v/>
      </c>
      <c r="CH46" s="14" t="str">
        <f ca="1">IF(CH$1="","",'Total Value'!CH58/'Total Value'!$D58-1)</f>
        <v/>
      </c>
      <c r="CI46" s="14" t="str">
        <f ca="1">IF(CI$1="","",'Total Value'!CI58/'Total Value'!$D58-1)</f>
        <v/>
      </c>
      <c r="CJ46" s="14" t="str">
        <f ca="1">IF(CJ$1="","",'Total Value'!CJ58/'Total Value'!$D58-1)</f>
        <v/>
      </c>
      <c r="CK46" s="14" t="str">
        <f ca="1">IF(CK$1="","",'Total Value'!CK58/'Total Value'!$D58-1)</f>
        <v/>
      </c>
      <c r="CL46" s="14" t="str">
        <f ca="1">IF(CL$1="","",'Total Value'!CL58/'Total Value'!$D58-1)</f>
        <v/>
      </c>
      <c r="CM46" s="14" t="str">
        <f ca="1">IF(CM$1="","",'Total Value'!CM58/'Total Value'!$D58-1)</f>
        <v/>
      </c>
      <c r="CN46" s="14" t="str">
        <f ca="1">IF(CN$1="","",'Total Value'!CN58/'Total Value'!$D58-1)</f>
        <v/>
      </c>
      <c r="CO46" s="14" t="str">
        <f ca="1">IF(CO$1="","",'Total Value'!CO58/'Total Value'!$D58-1)</f>
        <v/>
      </c>
      <c r="CP46" s="14" t="str">
        <f ca="1">IF(CP$1="","",'Total Value'!CP58/'Total Value'!$D58-1)</f>
        <v/>
      </c>
      <c r="CQ46" s="14" t="str">
        <f ca="1">IF(CQ$1="","",'Total Value'!CQ58/'Total Value'!$D58-1)</f>
        <v/>
      </c>
      <c r="CR46" s="14" t="str">
        <f ca="1">IF(CR$1="","",'Total Value'!CR58/'Total Value'!$D58-1)</f>
        <v/>
      </c>
      <c r="CS46" s="14" t="str">
        <f ca="1">IF(CS$1="","",'Total Value'!CS58/'Total Value'!$D58-1)</f>
        <v/>
      </c>
      <c r="CT46" s="14" t="str">
        <f ca="1">IF(CT$1="","",'Total Value'!CT58/'Total Value'!$D58-1)</f>
        <v/>
      </c>
      <c r="CU46" s="14" t="str">
        <f ca="1">IF(CU$1="","",'Total Value'!CU58/'Total Value'!$D58-1)</f>
        <v/>
      </c>
      <c r="CV46" s="14" t="str">
        <f ca="1">IF(CV$1="","",'Total Value'!CV58/'Total Value'!$D58-1)</f>
        <v/>
      </c>
      <c r="CW46" s="14" t="str">
        <f ca="1">IF(CW$1="","",'Total Value'!CW58/'Total Value'!$D58-1)</f>
        <v/>
      </c>
      <c r="CX46" s="14" t="str">
        <f ca="1">IF(CX$1="","",'Total Value'!CX58/'Total Value'!$D58-1)</f>
        <v/>
      </c>
      <c r="CY46" s="14" t="str">
        <f ca="1">IF(CY$1="","",'Total Value'!CY58/'Total Value'!$D58-1)</f>
        <v/>
      </c>
      <c r="CZ46" s="14" t="str">
        <f ca="1">IF(CZ$1="","",'Total Value'!CZ58/'Total Value'!$D58-1)</f>
        <v/>
      </c>
      <c r="DA46" s="14" t="str">
        <f ca="1">IF(DA$1="","",'Total Value'!DA58/'Total Value'!$D58-1)</f>
        <v/>
      </c>
      <c r="DB46" s="14" t="str">
        <f ca="1">IF(DB$1="","",'Total Value'!DB58/'Total Value'!$D58-1)</f>
        <v/>
      </c>
      <c r="DC46" s="14" t="str">
        <f ca="1">IF(DC$1="","",'Total Value'!DC58/'Total Value'!$D58-1)</f>
        <v/>
      </c>
      <c r="DD46" s="14" t="str">
        <f ca="1">IF(DD$1="","",'Total Value'!DD58/'Total Value'!$D58-1)</f>
        <v/>
      </c>
      <c r="DE46" s="14" t="str">
        <f ca="1">IF(DE$1="","",'Total Value'!DE58/'Total Value'!$D58-1)</f>
        <v/>
      </c>
      <c r="DF46" s="14" t="str">
        <f ca="1">IF(DF$1="","",'Total Value'!DF58/'Total Value'!$D58-1)</f>
        <v/>
      </c>
      <c r="DG46" s="14" t="str">
        <f ca="1">IF(DG$1="","",'Total Value'!DG58/'Total Value'!$D58-1)</f>
        <v/>
      </c>
      <c r="DH46" s="14" t="str">
        <f ca="1">IF(DH$1="","",'Total Value'!DH58/'Total Value'!$D58-1)</f>
        <v/>
      </c>
      <c r="DI46" s="14" t="str">
        <f ca="1">IF(DI$1="","",'Total Value'!DI58/'Total Value'!$D58-1)</f>
        <v/>
      </c>
      <c r="DJ46" s="14" t="str">
        <f ca="1">IF(DJ$1="","",'Total Value'!DJ58/'Total Value'!$D58-1)</f>
        <v/>
      </c>
      <c r="DK46" s="14" t="str">
        <f ca="1">IF(DK$1="","",'Total Value'!DK58/'Total Value'!$D58-1)</f>
        <v/>
      </c>
      <c r="DL46" s="14" t="str">
        <f ca="1">IF(DL$1="","",'Total Value'!DL58/'Total Value'!$D58-1)</f>
        <v/>
      </c>
      <c r="DM46" s="14" t="str">
        <f ca="1">IF(DM$1="","",'Total Value'!DM58/'Total Value'!$D58-1)</f>
        <v/>
      </c>
      <c r="DN46" s="14" t="str">
        <f ca="1">IF(DN$1="","",'Total Value'!DN58/'Total Value'!$D58-1)</f>
        <v/>
      </c>
      <c r="DO46" s="14" t="str">
        <f ca="1">IF(DO$1="","",'Total Value'!DO58/'Total Value'!$D58-1)</f>
        <v/>
      </c>
      <c r="DP46" s="14" t="str">
        <f ca="1">IF(DP$1="","",'Total Value'!DP58/'Total Value'!$D58-1)</f>
        <v/>
      </c>
      <c r="DQ46" s="14" t="str">
        <f ca="1">IF(DQ$1="","",'Total Value'!DQ58/'Total Value'!$D58-1)</f>
        <v/>
      </c>
      <c r="DR46" s="14" t="str">
        <f ca="1">IF(DR$1="","",'Total Value'!DR58/'Total Value'!$D58-1)</f>
        <v/>
      </c>
      <c r="DS46" s="14" t="str">
        <f ca="1">IF(DS$1="","",'Total Value'!DS58/'Total Value'!$D58-1)</f>
        <v/>
      </c>
      <c r="DT46" s="14" t="str">
        <f ca="1">IF(DT$1="","",'Total Value'!DT58/'Total Value'!$D58-1)</f>
        <v/>
      </c>
      <c r="DU46" s="14" t="str">
        <f ca="1">IF(DU$1="","",'Total Value'!DU58/'Total Value'!$D58-1)</f>
        <v/>
      </c>
      <c r="DV46" s="14" t="str">
        <f ca="1">IF(DV$1="","",'Total Value'!DV58/'Total Value'!$D58-1)</f>
        <v/>
      </c>
      <c r="DW46" s="14" t="str">
        <f ca="1">IF(DW$1="","",'Total Value'!DW58/'Total Value'!$D58-1)</f>
        <v/>
      </c>
      <c r="DX46" s="14" t="str">
        <f ca="1">IF(DX$1="","",'Total Value'!DX58/'Total Value'!$D58-1)</f>
        <v/>
      </c>
      <c r="DY46" s="14" t="str">
        <f ca="1">IF(DY$1="","",'Total Value'!DY58/'Total Value'!$D58-1)</f>
        <v/>
      </c>
      <c r="DZ46" s="14" t="str">
        <f ca="1">IF(DZ$1="","",'Total Value'!DZ58/'Total Value'!$D58-1)</f>
        <v/>
      </c>
      <c r="EA46" s="14" t="str">
        <f ca="1">IF(EA$1="","",'Total Value'!EA58/'Total Value'!$D58-1)</f>
        <v/>
      </c>
      <c r="EB46" s="14" t="str">
        <f ca="1">IF(EB$1="","",'Total Value'!EB58/'Total Value'!$D58-1)</f>
        <v/>
      </c>
      <c r="EC46" s="14" t="str">
        <f ca="1">IF(EC$1="","",'Total Value'!EC58/'Total Value'!$D58-1)</f>
        <v/>
      </c>
      <c r="ED46" s="14" t="str">
        <f ca="1">IF(ED$1="","",'Total Value'!ED58/'Total Value'!$D58-1)</f>
        <v/>
      </c>
      <c r="EE46" s="14" t="str">
        <f ca="1">IF(EE$1="","",'Total Value'!EE58/'Total Value'!$D58-1)</f>
        <v/>
      </c>
      <c r="EF46" s="14" t="str">
        <f ca="1">IF(EF$1="","",'Total Value'!EF58/'Total Value'!$D58-1)</f>
        <v/>
      </c>
      <c r="EG46" s="14" t="str">
        <f ca="1">IF(EG$1="","",'Total Value'!EG58/'Total Value'!$D58-1)</f>
        <v/>
      </c>
      <c r="EH46" s="14" t="str">
        <f ca="1">IF(EH$1="","",'Total Value'!EH58/'Total Value'!$D58-1)</f>
        <v/>
      </c>
      <c r="EI46" s="14" t="str">
        <f ca="1">IF(EI$1="","",'Total Value'!EI58/'Total Value'!$D58-1)</f>
        <v/>
      </c>
      <c r="EJ46" s="14" t="str">
        <f ca="1">IF(EJ$1="","",'Total Value'!EJ58/'Total Value'!$D58-1)</f>
        <v/>
      </c>
      <c r="EK46" s="14" t="str">
        <f ca="1">IF(EK$1="","",'Total Value'!EK58/'Total Value'!$D58-1)</f>
        <v/>
      </c>
      <c r="EL46" s="14" t="str">
        <f ca="1">IF(EL$1="","",'Total Value'!EL58/'Total Value'!$D58-1)</f>
        <v/>
      </c>
      <c r="EM46" s="14" t="str">
        <f ca="1">IF(EM$1="","",'Total Value'!EM58/'Total Value'!$D58-1)</f>
        <v/>
      </c>
      <c r="EN46" s="14" t="str">
        <f ca="1">IF(EN$1="","",'Total Value'!EN58/'Total Value'!$D58-1)</f>
        <v/>
      </c>
      <c r="EO46" s="14" t="str">
        <f ca="1">IF(EO$1="","",'Total Value'!EO58/'Total Value'!$D58-1)</f>
        <v/>
      </c>
      <c r="EP46" s="14" t="str">
        <f ca="1">IF(EP$1="","",'Total Value'!EP58/'Total Value'!$D58-1)</f>
        <v/>
      </c>
      <c r="EQ46" s="14" t="str">
        <f ca="1">IF(EQ$1="","",'Total Value'!EQ58/'Total Value'!$D58-1)</f>
        <v/>
      </c>
      <c r="ER46" s="14" t="str">
        <f ca="1">IF(ER$1="","",'Total Value'!ER58/'Total Value'!$D58-1)</f>
        <v/>
      </c>
      <c r="ES46" s="14" t="str">
        <f ca="1">IF(ES$1="","",'Total Value'!ES58/'Total Value'!$D58-1)</f>
        <v/>
      </c>
      <c r="ET46" s="14" t="str">
        <f ca="1">IF(ET$1="","",'Total Value'!ET58/'Total Value'!$D58-1)</f>
        <v/>
      </c>
      <c r="EU46" s="14" t="str">
        <f ca="1">IF(EU$1="","",'Total Value'!EU58/'Total Value'!$D58-1)</f>
        <v/>
      </c>
      <c r="EV46" s="14" t="str">
        <f ca="1">IF(EV$1="","",'Total Value'!EV58/'Total Value'!$D58-1)</f>
        <v/>
      </c>
      <c r="EW46" s="14" t="str">
        <f ca="1">IF(EW$1="","",'Total Value'!EW58/'Total Value'!$D58-1)</f>
        <v/>
      </c>
      <c r="EX46" s="14" t="str">
        <f ca="1">IF(EX$1="","",'Total Value'!EX58/'Total Value'!$D58-1)</f>
        <v/>
      </c>
      <c r="EY46" s="14" t="str">
        <f ca="1">IF(EY$1="","",'Total Value'!EY58/'Total Value'!$D58-1)</f>
        <v/>
      </c>
      <c r="EZ46" s="14" t="str">
        <f ca="1">IF(EZ$1="","",'Total Value'!EZ58/'Total Value'!$D58-1)</f>
        <v/>
      </c>
      <c r="FA46" s="14" t="str">
        <f ca="1">IF(FA$1="","",'Total Value'!FA58/'Total Value'!$D58-1)</f>
        <v/>
      </c>
      <c r="FB46" s="14" t="str">
        <f ca="1">IF(FB$1="","",'Total Value'!FB58/'Total Value'!$D58-1)</f>
        <v/>
      </c>
      <c r="FC46" s="14" t="str">
        <f ca="1">IF(FC$1="","",'Total Value'!FC58/'Total Value'!$D58-1)</f>
        <v/>
      </c>
      <c r="FD46" s="14" t="str">
        <f ca="1">IF(FD$1="","",'Total Value'!FD58/'Total Value'!$D58-1)</f>
        <v/>
      </c>
      <c r="FE46" s="14" t="str">
        <f ca="1">IF(FE$1="","",'Total Value'!FE58/'Total Value'!$D58-1)</f>
        <v/>
      </c>
      <c r="FF46" s="14" t="str">
        <f ca="1">IF(FF$1="","",'Total Value'!FF58/'Total Value'!$D58-1)</f>
        <v/>
      </c>
      <c r="FG46" s="14" t="str">
        <f ca="1">IF(FG$1="","",'Total Value'!FG58/'Total Value'!$D58-1)</f>
        <v/>
      </c>
      <c r="FH46" s="14" t="str">
        <f ca="1">IF(FH$1="","",'Total Value'!FH58/'Total Value'!$D58-1)</f>
        <v/>
      </c>
      <c r="FI46" s="14" t="str">
        <f ca="1">IF(FI$1="","",'Total Value'!FI58/'Total Value'!$D58-1)</f>
        <v/>
      </c>
      <c r="FJ46" s="14" t="str">
        <f ca="1">IF(FJ$1="","",'Total Value'!FJ58/'Total Value'!$D58-1)</f>
        <v/>
      </c>
      <c r="FK46" s="14" t="str">
        <f ca="1">IF(FK$1="","",'Total Value'!FK58/'Total Value'!$D58-1)</f>
        <v/>
      </c>
      <c r="FL46" s="14" t="str">
        <f ca="1">IF(FL$1="","",'Total Value'!FL58/'Total Value'!$D58-1)</f>
        <v/>
      </c>
      <c r="FM46" s="14" t="str">
        <f ca="1">IF(FM$1="","",'Total Value'!FM58/'Total Value'!$D58-1)</f>
        <v/>
      </c>
      <c r="FN46" s="14" t="str">
        <f ca="1">IF(FN$1="","",'Total Value'!FN58/'Total Value'!$D58-1)</f>
        <v/>
      </c>
      <c r="FO46" s="14" t="str">
        <f ca="1">IF(FO$1="","",'Total Value'!FO58/'Total Value'!$D58-1)</f>
        <v/>
      </c>
      <c r="FP46" s="14" t="str">
        <f ca="1">IF(FP$1="","",'Total Value'!FP58/'Total Value'!$D58-1)</f>
        <v/>
      </c>
      <c r="FQ46" s="14" t="str">
        <f ca="1">IF(FQ$1="","",'Total Value'!FQ58/'Total Value'!$D58-1)</f>
        <v/>
      </c>
      <c r="FR46" s="14" t="str">
        <f ca="1">IF(FR$1="","",'Total Value'!FR58/'Total Value'!$D58-1)</f>
        <v/>
      </c>
      <c r="FS46" s="14" t="str">
        <f ca="1">IF(FS$1="","",'Total Value'!FS58/'Total Value'!$D58-1)</f>
        <v/>
      </c>
      <c r="FT46" s="14" t="str">
        <f ca="1">IF(FT$1="","",'Total Value'!FT58/'Total Value'!$D58-1)</f>
        <v/>
      </c>
      <c r="FU46" s="14" t="str">
        <f ca="1">IF(FU$1="","",'Total Value'!FU58/'Total Value'!$D58-1)</f>
        <v/>
      </c>
      <c r="FV46" s="14" t="str">
        <f ca="1">IF(FV$1="","",'Total Value'!FV58/'Total Value'!$D58-1)</f>
        <v/>
      </c>
      <c r="FW46" s="14" t="str">
        <f ca="1">IF(FW$1="","",'Total Value'!FW58/'Total Value'!$D58-1)</f>
        <v/>
      </c>
      <c r="FX46" s="14" t="str">
        <f ca="1">IF(FX$1="","",'Total Value'!FX58/'Total Value'!$D58-1)</f>
        <v/>
      </c>
      <c r="FY46" s="14" t="str">
        <f ca="1">IF(FY$1="","",'Total Value'!FY58/'Total Value'!$D58-1)</f>
        <v/>
      </c>
      <c r="FZ46" s="14" t="str">
        <f ca="1">IF(FZ$1="","",'Total Value'!FZ58/'Total Value'!$D58-1)</f>
        <v/>
      </c>
      <c r="GA46" s="14" t="str">
        <f ca="1">IF(GA$1="","",'Total Value'!GA58/'Total Value'!$D58-1)</f>
        <v/>
      </c>
      <c r="GB46" s="14" t="str">
        <f ca="1">IF(GB$1="","",'Total Value'!GB58/'Total Value'!$D58-1)</f>
        <v/>
      </c>
      <c r="GC46" s="14" t="str">
        <f ca="1">IF(GC$1="","",'Total Value'!GC58/'Total Value'!$D58-1)</f>
        <v/>
      </c>
      <c r="GD46" s="14" t="str">
        <f ca="1">IF(GD$1="","",'Total Value'!GD58/'Total Value'!$D58-1)</f>
        <v/>
      </c>
      <c r="GE46" s="14" t="str">
        <f ca="1">IF(GE$1="","",'Total Value'!GE58/'Total Value'!$D58-1)</f>
        <v/>
      </c>
      <c r="GF46" s="14" t="str">
        <f ca="1">IF(GF$1="","",'Total Value'!GF58/'Total Value'!$D58-1)</f>
        <v/>
      </c>
      <c r="GG46" s="14" t="str">
        <f ca="1">IF(GG$1="","",'Total Value'!GG58/'Total Value'!$D58-1)</f>
        <v/>
      </c>
      <c r="GH46" s="14" t="str">
        <f ca="1">IF(GH$1="","",'Total Value'!GH58/'Total Value'!$D58-1)</f>
        <v/>
      </c>
      <c r="GI46" s="14" t="str">
        <f ca="1">IF(GI$1="","",'Total Value'!GI58/'Total Value'!$D58-1)</f>
        <v/>
      </c>
      <c r="GJ46" s="14" t="str">
        <f ca="1">IF(GJ$1="","",'Total Value'!GJ58/'Total Value'!$D58-1)</f>
        <v/>
      </c>
      <c r="GK46" s="14" t="str">
        <f ca="1">IF(GK$1="","",'Total Value'!GK58/'Total Value'!$D58-1)</f>
        <v/>
      </c>
      <c r="GL46" s="14" t="str">
        <f ca="1">IF(GL$1="","",'Total Value'!GL58/'Total Value'!$D58-1)</f>
        <v/>
      </c>
      <c r="GM46" s="14" t="str">
        <f ca="1">IF(GM$1="","",'Total Value'!GM58/'Total Value'!$D58-1)</f>
        <v/>
      </c>
      <c r="GN46" s="14" t="str">
        <f ca="1">IF(GN$1="","",'Total Value'!GN58/'Total Value'!$D58-1)</f>
        <v/>
      </c>
      <c r="GO46" s="14" t="str">
        <f ca="1">IF(GO$1="","",'Total Value'!GO58/'Total Value'!$D58-1)</f>
        <v/>
      </c>
      <c r="GP46" s="14" t="str">
        <f ca="1">IF(GP$1="","",'Total Value'!GP58/'Total Value'!$D58-1)</f>
        <v/>
      </c>
      <c r="GQ46" s="14" t="str">
        <f ca="1">IF(GQ$1="","",'Total Value'!GQ58/'Total Value'!$D58-1)</f>
        <v/>
      </c>
      <c r="GR46" s="14" t="str">
        <f ca="1">IF(GR$1="","",'Total Value'!GR58/'Total Value'!$D58-1)</f>
        <v/>
      </c>
      <c r="GS46" s="14" t="str">
        <f ca="1">IF(GS$1="","",'Total Value'!GS58/'Total Value'!$D58-1)</f>
        <v/>
      </c>
      <c r="GT46" s="14" t="str">
        <f ca="1">IF(GT$1="","",'Total Value'!GT58/'Total Value'!$D58-1)</f>
        <v/>
      </c>
      <c r="GU46" s="14" t="str">
        <f ca="1">IF(GU$1="","",'Total Value'!GU58/'Total Value'!$D58-1)</f>
        <v/>
      </c>
      <c r="GV46" s="14" t="str">
        <f ca="1">IF(GV$1="","",'Total Value'!GV58/'Total Value'!$D58-1)</f>
        <v/>
      </c>
      <c r="GW46" s="14" t="str">
        <f ca="1">IF(GW$1="","",'Total Value'!GW58/'Total Value'!$D58-1)</f>
        <v/>
      </c>
      <c r="GX46" s="14" t="str">
        <f ca="1">IF(GX$1="","",'Total Value'!GX58/'Total Value'!$D58-1)</f>
        <v/>
      </c>
      <c r="GY46" s="14" t="str">
        <f ca="1">IF(GY$1="","",'Total Value'!GY58/'Total Value'!$D58-1)</f>
        <v/>
      </c>
      <c r="GZ46" s="14" t="str">
        <f ca="1">IF(GZ$1="","",'Total Value'!GZ58/'Total Value'!$D58-1)</f>
        <v/>
      </c>
      <c r="HA46" s="14" t="str">
        <f ca="1">IF(HA$1="","",'Total Value'!HA58/'Total Value'!$D58-1)</f>
        <v/>
      </c>
      <c r="HB46" s="14" t="str">
        <f ca="1">IF(HB$1="","",'Total Value'!HB58/'Total Value'!$D58-1)</f>
        <v/>
      </c>
      <c r="HC46" s="14" t="str">
        <f ca="1">IF(HC$1="","",'Total Value'!HC58/'Total Value'!$D58-1)</f>
        <v/>
      </c>
      <c r="HD46" s="14" t="str">
        <f ca="1">IF(HD$1="","",'Total Value'!HD58/'Total Value'!$D58-1)</f>
        <v/>
      </c>
      <c r="HE46" s="14" t="str">
        <f ca="1">IF(HE$1="","",'Total Value'!HE58/'Total Value'!$D58-1)</f>
        <v/>
      </c>
      <c r="HF46" s="14" t="str">
        <f ca="1">IF(HF$1="","",'Total Value'!HF58/'Total Value'!$D58-1)</f>
        <v/>
      </c>
      <c r="HG46" s="14" t="str">
        <f ca="1">IF(HG$1="","",'Total Value'!HG58/'Total Value'!$D58-1)</f>
        <v/>
      </c>
      <c r="HH46" s="14" t="str">
        <f ca="1">IF(HH$1="","",'Total Value'!HH58/'Total Value'!$D58-1)</f>
        <v/>
      </c>
      <c r="HI46" s="14" t="str">
        <f ca="1">IF(HI$1="","",'Total Value'!HI58/'Total Value'!$D58-1)</f>
        <v/>
      </c>
      <c r="HJ46" s="14" t="str">
        <f ca="1">IF(HJ$1="","",'Total Value'!HJ58/'Total Value'!$D58-1)</f>
        <v/>
      </c>
      <c r="HK46" s="14" t="str">
        <f ca="1">IF(HK$1="","",'Total Value'!HK58/'Total Value'!$D58-1)</f>
        <v/>
      </c>
      <c r="HL46" s="14" t="str">
        <f ca="1">IF(HL$1="","",'Total Value'!HL58/'Total Value'!$D58-1)</f>
        <v/>
      </c>
      <c r="HM46" s="14" t="str">
        <f ca="1">IF(HM$1="","",'Total Value'!HM58/'Total Value'!$D58-1)</f>
        <v/>
      </c>
      <c r="HN46" s="14" t="str">
        <f ca="1">IF(HN$1="","",'Total Value'!HN58/'Total Value'!$D58-1)</f>
        <v/>
      </c>
      <c r="HO46" s="14" t="str">
        <f ca="1">IF(HO$1="","",'Total Value'!HO58/'Total Value'!$D58-1)</f>
        <v/>
      </c>
      <c r="HP46" s="14" t="str">
        <f ca="1">IF(HP$1="","",'Total Value'!HP58/'Total Value'!$D58-1)</f>
        <v/>
      </c>
      <c r="HQ46" s="14" t="str">
        <f ca="1">IF(HQ$1="","",'Total Value'!HQ58/'Total Value'!$D58-1)</f>
        <v/>
      </c>
      <c r="HR46" s="14" t="str">
        <f ca="1">IF(HR$1="","",'Total Value'!HR58/'Total Value'!$D58-1)</f>
        <v/>
      </c>
      <c r="HS46" s="14" t="str">
        <f ca="1">IF(HS$1="","",'Total Value'!HS58/'Total Value'!$D58-1)</f>
        <v/>
      </c>
      <c r="HT46" s="14" t="str">
        <f ca="1">IF(HT$1="","",'Total Value'!HT58/'Total Value'!$D58-1)</f>
        <v/>
      </c>
      <c r="HU46" s="14" t="str">
        <f ca="1">IF(HU$1="","",'Total Value'!HU58/'Total Value'!$D58-1)</f>
        <v/>
      </c>
      <c r="HV46" s="14" t="str">
        <f ca="1">IF(HV$1="","",'Total Value'!HV58/'Total Value'!$D58-1)</f>
        <v/>
      </c>
      <c r="HW46" s="14" t="str">
        <f ca="1">IF(HW$1="","",'Total Value'!HW58/'Total Value'!$D58-1)</f>
        <v/>
      </c>
      <c r="HX46" s="14" t="str">
        <f ca="1">IF(HX$1="","",'Total Value'!HX58/'Total Value'!$D58-1)</f>
        <v/>
      </c>
      <c r="HY46" s="14" t="str">
        <f ca="1">IF(HY$1="","",'Total Value'!HY58/'Total Value'!$D58-1)</f>
        <v/>
      </c>
      <c r="HZ46" s="14" t="str">
        <f ca="1">IF(HZ$1="","",'Total Value'!HZ58/'Total Value'!$D58-1)</f>
        <v/>
      </c>
      <c r="IA46" s="14" t="str">
        <f ca="1">IF(IA$1="","",'Total Value'!IA58/'Total Value'!$D58-1)</f>
        <v/>
      </c>
      <c r="IB46" s="14" t="str">
        <f ca="1">IF(IB$1="","",'Total Value'!IB58/'Total Value'!$D58-1)</f>
        <v/>
      </c>
      <c r="IC46" s="14" t="str">
        <f ca="1">IF(IC$1="","",'Total Value'!IC58/'Total Value'!$D58-1)</f>
        <v/>
      </c>
      <c r="ID46" s="14" t="str">
        <f ca="1">IF(ID$1="","",'Total Value'!ID58/'Total Value'!$D58-1)</f>
        <v/>
      </c>
      <c r="IE46" s="14" t="str">
        <f ca="1">IF(IE$1="","",'Total Value'!IE58/'Total Value'!$D58-1)</f>
        <v/>
      </c>
      <c r="IF46" s="14" t="str">
        <f ca="1">IF(IF$1="","",'Total Value'!IF58/'Total Value'!$D58-1)</f>
        <v/>
      </c>
      <c r="IG46" s="14" t="str">
        <f ca="1">IF(IG$1="","",'Total Value'!IG58/'Total Value'!$D58-1)</f>
        <v/>
      </c>
      <c r="IH46" s="14" t="str">
        <f ca="1">IF(IH$1="","",'Total Value'!IH58/'Total Value'!$D58-1)</f>
        <v/>
      </c>
      <c r="II46" s="14" t="str">
        <f ca="1">IF(II$1="","",'Total Value'!II58/'Total Value'!$D58-1)</f>
        <v/>
      </c>
      <c r="IJ46" s="14" t="str">
        <f ca="1">IF(IJ$1="","",'Total Value'!IJ58/'Total Value'!$D58-1)</f>
        <v/>
      </c>
      <c r="IK46" s="14" t="str">
        <f ca="1">IF(IK$1="","",'Total Value'!IK58/'Total Value'!$D58-1)</f>
        <v/>
      </c>
      <c r="IL46" s="14" t="str">
        <f ca="1">IF(IL$1="","",'Total Value'!IL58/'Total Value'!$D58-1)</f>
        <v/>
      </c>
      <c r="IM46" s="14" t="str">
        <f ca="1">IF(IM$1="","",'Total Value'!IM58/'Total Value'!$D58-1)</f>
        <v/>
      </c>
      <c r="IN46" s="14" t="str">
        <f ca="1">IF(IN$1="","",'Total Value'!IN58/'Total Value'!$D58-1)</f>
        <v/>
      </c>
      <c r="IO46" s="14" t="str">
        <f ca="1">IF(IO$1="","",'Total Value'!IO58/'Total Value'!$D58-1)</f>
        <v/>
      </c>
      <c r="IP46" s="14" t="str">
        <f ca="1">IF(IP$1="","",'Total Value'!IP58/'Total Value'!$D58-1)</f>
        <v/>
      </c>
      <c r="IQ46" s="14" t="str">
        <f ca="1">IF(IQ$1="","",'Total Value'!IQ58/'Total Value'!$D58-1)</f>
        <v/>
      </c>
      <c r="IR46" s="14" t="str">
        <f ca="1">IF(IR$1="","",'Total Value'!IR58/'Total Value'!$D58-1)</f>
        <v/>
      </c>
      <c r="IS46" s="14" t="str">
        <f ca="1">IF(IS$1="","",'Total Value'!IS58/'Total Value'!$D58-1)</f>
        <v/>
      </c>
      <c r="IT46" s="14" t="str">
        <f ca="1">IF(IT$1="","",'Total Value'!IT58/'Total Value'!$D58-1)</f>
        <v/>
      </c>
      <c r="IU46" s="14" t="str">
        <f ca="1">IF(IU$1="","",'Total Value'!IU58/'Total Value'!$D58-1)</f>
        <v/>
      </c>
      <c r="IV46" s="14" t="str">
        <f ca="1">IF(IV$1="","",'Total Value'!IV58/'Total Value'!$D58-1)</f>
        <v/>
      </c>
      <c r="IW46" s="14" t="str">
        <f ca="1">IF(IW$1="","",'Total Value'!IW58/'Total Value'!$D58-1)</f>
        <v/>
      </c>
      <c r="IX46" s="14" t="str">
        <f ca="1">IF(IX$1="","",'Total Value'!IX58/'Total Value'!$D58-1)</f>
        <v/>
      </c>
      <c r="IY46" s="14" t="str">
        <f ca="1">IF(IY$1="","",'Total Value'!IY58/'Total Value'!$D58-1)</f>
        <v/>
      </c>
      <c r="IZ46" s="14" t="str">
        <f ca="1">IF(IZ$1="","",'Total Value'!IZ58/'Total Value'!$D58-1)</f>
        <v/>
      </c>
      <c r="JA46" s="14" t="str">
        <f ca="1">IF(JA$1="","",'Total Value'!JA58/'Total Value'!$D58-1)</f>
        <v/>
      </c>
      <c r="JB46" s="14" t="str">
        <f ca="1">IF(JB$1="","",'Total Value'!JB58/'Total Value'!$D58-1)</f>
        <v/>
      </c>
      <c r="JC46" s="14" t="str">
        <f ca="1">IF(JC$1="","",'Total Value'!JC58/'Total Value'!$D58-1)</f>
        <v/>
      </c>
      <c r="JD46" s="14" t="str">
        <f ca="1">IF(JD$1="","",'Total Value'!JD58/'Total Value'!$D58-1)</f>
        <v/>
      </c>
      <c r="JE46" s="14" t="str">
        <f ca="1">IF(JE$1="","",'Total Value'!JE58/'Total Value'!$D58-1)</f>
        <v/>
      </c>
      <c r="JF46" s="14" t="str">
        <f ca="1">IF(JF$1="","",'Total Value'!JF58/'Total Value'!$D58-1)</f>
        <v/>
      </c>
      <c r="JG46" s="14" t="str">
        <f ca="1">IF(JG$1="","",'Total Value'!JG58/'Total Value'!$D58-1)</f>
        <v/>
      </c>
      <c r="JH46" s="14" t="str">
        <f ca="1">IF(JH$1="","",'Total Value'!JH58/'Total Value'!$D58-1)</f>
        <v/>
      </c>
      <c r="JI46" s="14" t="str">
        <f ca="1">IF(JI$1="","",'Total Value'!JI58/'Total Value'!$D58-1)</f>
        <v/>
      </c>
      <c r="JJ46" s="14" t="str">
        <f ca="1">IF(JJ$1="","",'Total Value'!JJ58/'Total Value'!$D58-1)</f>
        <v/>
      </c>
      <c r="JK46" s="14" t="str">
        <f ca="1">IF(JK$1="","",'Total Value'!JK58/'Total Value'!$D58-1)</f>
        <v/>
      </c>
      <c r="JL46" s="14" t="str">
        <f ca="1">IF(JL$1="","",'Total Value'!JL58/'Total Value'!$D58-1)</f>
        <v/>
      </c>
      <c r="JM46" s="14" t="str">
        <f ca="1">IF(JM$1="","",'Total Value'!JM58/'Total Value'!$D58-1)</f>
        <v/>
      </c>
      <c r="JN46" s="14" t="str">
        <f ca="1">IF(JN$1="","",'Total Value'!JN58/'Total Value'!$D58-1)</f>
        <v/>
      </c>
      <c r="JO46" s="14" t="str">
        <f ca="1">IF(JO$1="","",'Total Value'!JO58/'Total Value'!$D58-1)</f>
        <v/>
      </c>
      <c r="JP46" s="14" t="str">
        <f ca="1">IF(JP$1="","",'Total Value'!JP58/'Total Value'!$D58-1)</f>
        <v/>
      </c>
      <c r="JQ46" s="14" t="str">
        <f ca="1">IF(JQ$1="","",'Total Value'!JQ58/'Total Value'!$D58-1)</f>
        <v/>
      </c>
      <c r="JR46" s="14" t="str">
        <f ca="1">IF(JR$1="","",'Total Value'!JR58/'Total Value'!$D58-1)</f>
        <v/>
      </c>
      <c r="JS46" s="14" t="str">
        <f ca="1">IF(JS$1="","",'Total Value'!JS58/'Total Value'!$D58-1)</f>
        <v/>
      </c>
      <c r="JT46" s="14" t="str">
        <f ca="1">IF(JT$1="","",'Total Value'!JT58/'Total Value'!$D58-1)</f>
        <v/>
      </c>
      <c r="JU46" s="14" t="str">
        <f ca="1">IF(JU$1="","",'Total Value'!JU58/'Total Value'!$D58-1)</f>
        <v/>
      </c>
      <c r="JV46" s="14" t="str">
        <f ca="1">IF(JV$1="","",'Total Value'!JV58/'Total Value'!$D58-1)</f>
        <v/>
      </c>
      <c r="JW46" s="14" t="str">
        <f ca="1">IF(JW$1="","",'Total Value'!JW58/'Total Value'!$D58-1)</f>
        <v/>
      </c>
      <c r="JX46" s="14" t="str">
        <f ca="1">IF(JX$1="","",'Total Value'!JX58/'Total Value'!$D58-1)</f>
        <v/>
      </c>
      <c r="JY46" s="14" t="str">
        <f ca="1">IF(JY$1="","",'Total Value'!JY58/'Total Value'!$D58-1)</f>
        <v/>
      </c>
      <c r="JZ46" s="14" t="str">
        <f ca="1">IF(JZ$1="","",'Total Value'!JZ58/'Total Value'!$D58-1)</f>
        <v/>
      </c>
      <c r="KA46" s="14" t="str">
        <f ca="1">IF(KA$1="","",'Total Value'!KA58/'Total Value'!$D58-1)</f>
        <v/>
      </c>
      <c r="KB46" s="14" t="str">
        <f ca="1">IF(KB$1="","",'Total Value'!KB58/'Total Value'!$D58-1)</f>
        <v/>
      </c>
    </row>
    <row r="47" spans="1:288" ht="15.75" customHeight="1">
      <c r="A47" s="9" t="s">
        <v>30</v>
      </c>
      <c r="B47" s="6" t="s">
        <v>90</v>
      </c>
      <c r="C47" s="26">
        <v>19</v>
      </c>
      <c r="D47" s="13">
        <v>0</v>
      </c>
      <c r="E47" s="14">
        <f ca="1">IF(E$1="","",'Total Value'!E59/'Total Value'!$D59-1)</f>
        <v>2.7624309392265234E-2</v>
      </c>
      <c r="F47" s="14">
        <f ca="1">IF(F$1="","",'Total Value'!F59/'Total Value'!$D59-1)</f>
        <v>-6.6298342541437627E-3</v>
      </c>
      <c r="G47" s="14">
        <f ca="1">IF(G$1="","",'Total Value'!G59/'Total Value'!$D59-1)</f>
        <v>-8.3977900552486329E-2</v>
      </c>
      <c r="H47" s="14">
        <f ca="1">IF(H$1="","",'Total Value'!H59/'Total Value'!$D59-1)</f>
        <v>-8.0662983425414336E-2</v>
      </c>
      <c r="I47" s="14">
        <f ca="1">IF(I$1="","",'Total Value'!I59/'Total Value'!$D59-1)</f>
        <v>-0.11491712707182333</v>
      </c>
      <c r="J47" s="14">
        <f ca="1">IF(J$1="","",'Total Value'!J59/'Total Value'!$D59-1)</f>
        <v>-0.1049723756906078</v>
      </c>
      <c r="K47" s="14">
        <f ca="1">IF(K$1="","",'Total Value'!K59/'Total Value'!$D59-1)</f>
        <v>-0.12375690607734824</v>
      </c>
      <c r="L47" s="14">
        <f ca="1">IF(L$1="","",'Total Value'!L59/'Total Value'!$D59-1)</f>
        <v>-0.14364640883977908</v>
      </c>
      <c r="M47" s="14">
        <f ca="1">IF(M$1="","",'Total Value'!M59/'Total Value'!$D59-1)</f>
        <v>-0.15911602209944753</v>
      </c>
      <c r="N47" s="14">
        <f ca="1">IF(N$1="","",'Total Value'!N59/'Total Value'!$D59-1)</f>
        <v>-0.14475138121546971</v>
      </c>
      <c r="O47" s="14">
        <f ca="1">IF(O$1="","",'Total Value'!O59/'Total Value'!$D59-1)</f>
        <v>-0.14364640883977908</v>
      </c>
      <c r="P47" s="14">
        <f ca="1">IF(P$1="","",'Total Value'!P59/'Total Value'!$D59-1)</f>
        <v>-0.16132596685082878</v>
      </c>
      <c r="Q47" s="14">
        <f ca="1">IF(Q$1="","",'Total Value'!Q59/'Total Value'!$D59-1)</f>
        <v>-0.15911602209944753</v>
      </c>
      <c r="R47" s="14">
        <f ca="1">IF(R$1="","",'Total Value'!R59/'Total Value'!$D59-1)</f>
        <v>-9.5027624309392489E-2</v>
      </c>
      <c r="S47" s="14">
        <f ca="1">IF(S$1="","",'Total Value'!S59/'Total Value'!$D59-1)</f>
        <v>-7.7348066298342566E-2</v>
      </c>
      <c r="T47" s="14">
        <f ca="1">IF(T$1="","",'Total Value'!T59/'Total Value'!$D59-1)</f>
        <v>-7.955801104972382E-2</v>
      </c>
      <c r="U47" s="14">
        <f ca="1">IF(U$1="","",'Total Value'!U59/'Total Value'!$D59-1)</f>
        <v>-0.12817679558011064</v>
      </c>
      <c r="V47" s="14">
        <f ca="1">IF(V$1="","",'Total Value'!V59/'Total Value'!$D59-1)</f>
        <v>-0.1359116022099448</v>
      </c>
      <c r="W47" s="14">
        <f ca="1">IF(W$1="","",'Total Value'!W59/'Total Value'!$D59-1)</f>
        <v>-0.13922651933701669</v>
      </c>
      <c r="X47" s="14">
        <f ca="1">IF(X$1="","",'Total Value'!X59/'Total Value'!$D59-1)</f>
        <v>-0.12486187845303887</v>
      </c>
      <c r="Y47" s="14">
        <f ca="1">IF(Y$1="","",'Total Value'!Y59/'Total Value'!$D59-1)</f>
        <v>-0.10607734806629843</v>
      </c>
      <c r="Z47" s="14">
        <f ca="1">IF(Z$1="","",'Total Value'!Z59/'Total Value'!$D59-1)</f>
        <v>-0.10055248618784529</v>
      </c>
      <c r="AA47" s="14">
        <f ca="1">IF(AA$1="","",'Total Value'!AA59/'Total Value'!$D59-1)</f>
        <v>-8.9502762430939353E-2</v>
      </c>
      <c r="AB47" s="14">
        <f ca="1">IF(AB$1="","",'Total Value'!AB59/'Total Value'!$D59-1)</f>
        <v>-8.9502762430939353E-2</v>
      </c>
      <c r="AC47" s="14">
        <f ca="1">IF(AC$1="","",'Total Value'!AC59/'Total Value'!$D59-1)</f>
        <v>-7.4033149171270685E-2</v>
      </c>
      <c r="AD47" s="14">
        <f ca="1">IF(AD$1="","",'Total Value'!AD59/'Total Value'!$D59-1)</f>
        <v>-7.0718232044199025E-2</v>
      </c>
      <c r="AE47" s="14">
        <f ca="1">IF(AE$1="","",'Total Value'!AE59/'Total Value'!$D59-1)</f>
        <v>-9.3922651933701862E-2</v>
      </c>
      <c r="AF47" s="14">
        <f ca="1">IF(AF$1="","",'Total Value'!AF59/'Total Value'!$D59-1)</f>
        <v>-0.12707182320442001</v>
      </c>
      <c r="AG47" s="14">
        <f ca="1">IF(AG$1="","",'Total Value'!AG59/'Total Value'!$D59-1)</f>
        <v>-0.10276243093922677</v>
      </c>
      <c r="AH47" s="14">
        <f ca="1">IF(AH$1="","",'Total Value'!AH59/'Total Value'!$D59-1)</f>
        <v>-0.10607734806629843</v>
      </c>
      <c r="AI47" s="14">
        <f ca="1">IF(AI$1="","",'Total Value'!AI59/'Total Value'!$D59-1)</f>
        <v>-0.11602209944751385</v>
      </c>
      <c r="AJ47" s="14">
        <f ca="1">IF(AJ$1="","",'Total Value'!AJ59/'Total Value'!$D59-1)</f>
        <v>-0.1093922651933702</v>
      </c>
      <c r="AK47" s="14">
        <f ca="1">IF(AK$1="","",'Total Value'!AK59/'Total Value'!$D59-1)</f>
        <v>-7.4033149171270685E-2</v>
      </c>
      <c r="AL47" s="14">
        <f ca="1">IF(AL$1="","",'Total Value'!AL59/'Total Value'!$D59-1)</f>
        <v>-8.0662983425414336E-2</v>
      </c>
      <c r="AM47" s="14">
        <f ca="1">IF(AM$1="","",'Total Value'!AM59/'Total Value'!$D59-1)</f>
        <v>-5.0828729281767959E-2</v>
      </c>
      <c r="AN47" s="14">
        <f ca="1">IF(AN$1="","",'Total Value'!AN59/'Total Value'!$D59-1)</f>
        <v>-6.8508287292817882E-2</v>
      </c>
      <c r="AO47" s="14">
        <f ca="1">IF(AO$1="","",'Total Value'!AO59/'Total Value'!$D59-1)</f>
        <v>-0.10055248618784529</v>
      </c>
      <c r="AP47" s="14">
        <f ca="1">IF(AP$1="","",'Total Value'!AP59/'Total Value'!$D59-1)</f>
        <v>-0.15138121546961336</v>
      </c>
      <c r="AQ47" s="14">
        <f ca="1">IF(AQ$1="","",'Total Value'!AQ59/'Total Value'!$D59-1)</f>
        <v>-0.14917127071823211</v>
      </c>
      <c r="AR47" s="14">
        <f ca="1">IF(AR$1="","",'Total Value'!AR59/'Total Value'!$D59-1)</f>
        <v>-0.12044198895027625</v>
      </c>
      <c r="AS47" s="14">
        <f ca="1">IF(AS$1="","",'Total Value'!AS59/'Total Value'!$D59-1)</f>
        <v>-0.11712707182320448</v>
      </c>
      <c r="AT47" s="14">
        <f ca="1">IF(AT$1="","",'Total Value'!AT59/'Total Value'!$D59-1)</f>
        <v>-0.12928176795580115</v>
      </c>
      <c r="AU47" s="14">
        <f ca="1">IF(AU$1="","",'Total Value'!AU59/'Total Value'!$D59-1)</f>
        <v>-0.15027624309392262</v>
      </c>
      <c r="AV47" s="14">
        <f ca="1">IF(AV$1="","",'Total Value'!AV59/'Total Value'!$D59-1)</f>
        <v>-0.11933701657458573</v>
      </c>
      <c r="AW47" s="14">
        <f ca="1">IF(AW$1="","",'Total Value'!AW59/'Total Value'!$D59-1)</f>
        <v>-0.11381215469613271</v>
      </c>
      <c r="AX47" s="14">
        <f ca="1">IF(AX$1="","",'Total Value'!AX59/'Total Value'!$D59-1)</f>
        <v>-7.1823204419889652E-2</v>
      </c>
      <c r="AY47" s="14">
        <f ca="1">IF(AY$1="","",'Total Value'!AY59/'Total Value'!$D59-1)</f>
        <v>-4.8618784530386927E-2</v>
      </c>
      <c r="AZ47" s="14">
        <f ca="1">IF(AZ$1="","",'Total Value'!AZ59/'Total Value'!$D59-1)</f>
        <v>-6.7403314917127255E-2</v>
      </c>
      <c r="BA47" s="14">
        <f ca="1">IF(BA$1="","",'Total Value'!BA59/'Total Value'!$D59-1)</f>
        <v>-7.1823204419889652E-2</v>
      </c>
      <c r="BB47" s="14">
        <f ca="1">IF(BB$1="","",'Total Value'!BB59/'Total Value'!$D59-1)</f>
        <v>-7.955801104972382E-2</v>
      </c>
      <c r="BC47" s="14">
        <f ca="1">IF(BC$1="","",'Total Value'!BC59/'Total Value'!$D59-1)</f>
        <v>-7.955801104972382E-2</v>
      </c>
      <c r="BD47" s="14">
        <f ca="1">IF(BD$1="","",'Total Value'!BD59/'Total Value'!$D59-1)</f>
        <v>-7.8453038674033193E-2</v>
      </c>
      <c r="BE47" s="14">
        <f ca="1">IF(BE$1="","",'Total Value'!BE59/'Total Value'!$D59-1)</f>
        <v>-8.1767955801104963E-2</v>
      </c>
      <c r="BF47" s="14">
        <f ca="1">IF(BF$1="","",'Total Value'!BF59/'Total Value'!$D59-1)</f>
        <v>-6.9613259668508398E-2</v>
      </c>
      <c r="BG47" s="14">
        <f ca="1">IF(BG$1="","",'Total Value'!BG59/'Total Value'!$D59-1)</f>
        <v>-9.6132596685083005E-2</v>
      </c>
      <c r="BH47" s="14">
        <f ca="1">IF(BH$1="","",'Total Value'!BH59/'Total Value'!$D59-1)</f>
        <v>-0.10386740331491739</v>
      </c>
      <c r="BI47" s="14">
        <f ca="1">IF(BI$1="","",'Total Value'!BI59/'Total Value'!$D59-1)</f>
        <v>-6.2983425414364747E-2</v>
      </c>
      <c r="BJ47" s="14">
        <f ca="1">IF(BJ$1="","",'Total Value'!BJ59/'Total Value'!$D59-1)</f>
        <v>-4.4198895027624419E-2</v>
      </c>
      <c r="BK47" s="14">
        <f ca="1">IF(BK$1="","",'Total Value'!BK59/'Total Value'!$D59-1)</f>
        <v>-2.8729281767955972E-2</v>
      </c>
      <c r="BL47" s="14">
        <f ca="1">IF(BL$1="","",'Total Value'!BL59/'Total Value'!$D59-1)</f>
        <v>-1.3259668508287414E-2</v>
      </c>
      <c r="BM47" s="14">
        <f ca="1">IF(BM$1="","",'Total Value'!BM59/'Total Value'!$D59-1)</f>
        <v>-2.7624309392265234E-2</v>
      </c>
      <c r="BN47" s="14">
        <f ca="1">IF(BN$1="","",'Total Value'!BN59/'Total Value'!$D59-1)</f>
        <v>-2.9834254143646599E-2</v>
      </c>
      <c r="BO47" s="14">
        <f ca="1">IF(BO$1="","",'Total Value'!BO59/'Total Value'!$D59-1)</f>
        <v>-0.1093922651933702</v>
      </c>
      <c r="BP47" s="14">
        <f ca="1">IF(BP$1="","",'Total Value'!BP59/'Total Value'!$D59-1)</f>
        <v>-0.13812154696132617</v>
      </c>
      <c r="BQ47" s="14">
        <f ca="1">IF(BQ$1="","",'Total Value'!BQ59/'Total Value'!$D59-1)</f>
        <v>-0.13370165745856355</v>
      </c>
      <c r="BR47" s="14">
        <f ca="1">IF(BR$1="","",'Total Value'!BR59/'Total Value'!$D59-1)</f>
        <v>-0.12486187845303887</v>
      </c>
      <c r="BS47" s="14">
        <f ca="1">IF(BS$1="","",'Total Value'!BS59/'Total Value'!$D59-1)</f>
        <v>-0.16353591160220993</v>
      </c>
      <c r="BT47" s="14">
        <f ca="1">IF(BT$1="","",'Total Value'!BT59/'Total Value'!$D59-1)</f>
        <v>-0.15801104972375701</v>
      </c>
      <c r="BU47" s="14">
        <f ca="1">IF(BU$1="","",'Total Value'!BU59/'Total Value'!$D59-1)</f>
        <v>-0.16132596685082878</v>
      </c>
      <c r="BV47" s="14">
        <f ca="1">IF(BV$1="","",'Total Value'!BV59/'Total Value'!$D59-1)</f>
        <v>-0.20000000000000007</v>
      </c>
      <c r="BW47" s="14">
        <f ca="1">IF(BW$1="","",'Total Value'!BW59/'Total Value'!$D59-1)</f>
        <v>-0.19337016574585653</v>
      </c>
      <c r="BX47" s="14">
        <f ca="1">IF(BX$1="","",'Total Value'!BX59/'Total Value'!$D59-1)</f>
        <v>-0.20000000000000007</v>
      </c>
      <c r="BY47" s="14">
        <f ca="1">IF(BY$1="","",'Total Value'!BY59/'Total Value'!$D59-1)</f>
        <v>-0.24530386740331489</v>
      </c>
      <c r="BZ47" s="14">
        <f ca="1">IF(BZ$1="","",'Total Value'!BZ59/'Total Value'!$D59-1)</f>
        <v>-0.2674033149171271</v>
      </c>
      <c r="CA47" s="14">
        <f ca="1">IF(CA$1="","",'Total Value'!CA59/'Total Value'!$D59-1)</f>
        <v>-0.2674033149171271</v>
      </c>
      <c r="CB47" s="14">
        <f ca="1">IF(CB$1="","",'Total Value'!CB59/'Total Value'!$D59-1)</f>
        <v>-0.27403314917127075</v>
      </c>
      <c r="CC47" s="14">
        <f ca="1">IF(CC$1="","",'Total Value'!CC59/'Total Value'!$D59-1)</f>
        <v>-0.27071823204419898</v>
      </c>
      <c r="CD47" s="14">
        <f ca="1">IF(CD$1="","",'Total Value'!CD59/'Total Value'!$D59-1)</f>
        <v>-0.2806629834254144</v>
      </c>
      <c r="CE47" s="14">
        <f ca="1">IF(CE$1="","",'Total Value'!CE59/'Total Value'!$D59-1)</f>
        <v>-0.27624309392265201</v>
      </c>
      <c r="CF47" s="14" t="str">
        <f ca="1">IF(CF$1="","",'Total Value'!CF59/'Total Value'!$D59-1)</f>
        <v/>
      </c>
      <c r="CG47" s="14" t="str">
        <f ca="1">IF(CG$1="","",'Total Value'!CG59/'Total Value'!$D59-1)</f>
        <v/>
      </c>
      <c r="CH47" s="14" t="str">
        <f ca="1">IF(CH$1="","",'Total Value'!CH59/'Total Value'!$D59-1)</f>
        <v/>
      </c>
      <c r="CI47" s="14" t="str">
        <f ca="1">IF(CI$1="","",'Total Value'!CI59/'Total Value'!$D59-1)</f>
        <v/>
      </c>
      <c r="CJ47" s="14" t="str">
        <f ca="1">IF(CJ$1="","",'Total Value'!CJ59/'Total Value'!$D59-1)</f>
        <v/>
      </c>
      <c r="CK47" s="14" t="str">
        <f ca="1">IF(CK$1="","",'Total Value'!CK59/'Total Value'!$D59-1)</f>
        <v/>
      </c>
      <c r="CL47" s="14" t="str">
        <f ca="1">IF(CL$1="","",'Total Value'!CL59/'Total Value'!$D59-1)</f>
        <v/>
      </c>
      <c r="CM47" s="14" t="str">
        <f ca="1">IF(CM$1="","",'Total Value'!CM59/'Total Value'!$D59-1)</f>
        <v/>
      </c>
      <c r="CN47" s="14" t="str">
        <f ca="1">IF(CN$1="","",'Total Value'!CN59/'Total Value'!$D59-1)</f>
        <v/>
      </c>
      <c r="CO47" s="14" t="str">
        <f ca="1">IF(CO$1="","",'Total Value'!CO59/'Total Value'!$D59-1)</f>
        <v/>
      </c>
      <c r="CP47" s="14" t="str">
        <f ca="1">IF(CP$1="","",'Total Value'!CP59/'Total Value'!$D59-1)</f>
        <v/>
      </c>
      <c r="CQ47" s="14" t="str">
        <f ca="1">IF(CQ$1="","",'Total Value'!CQ59/'Total Value'!$D59-1)</f>
        <v/>
      </c>
      <c r="CR47" s="14" t="str">
        <f ca="1">IF(CR$1="","",'Total Value'!CR59/'Total Value'!$D59-1)</f>
        <v/>
      </c>
      <c r="CS47" s="14" t="str">
        <f ca="1">IF(CS$1="","",'Total Value'!CS59/'Total Value'!$D59-1)</f>
        <v/>
      </c>
      <c r="CT47" s="14" t="str">
        <f ca="1">IF(CT$1="","",'Total Value'!CT59/'Total Value'!$D59-1)</f>
        <v/>
      </c>
      <c r="CU47" s="14" t="str">
        <f ca="1">IF(CU$1="","",'Total Value'!CU59/'Total Value'!$D59-1)</f>
        <v/>
      </c>
      <c r="CV47" s="14" t="str">
        <f ca="1">IF(CV$1="","",'Total Value'!CV59/'Total Value'!$D59-1)</f>
        <v/>
      </c>
      <c r="CW47" s="14" t="str">
        <f ca="1">IF(CW$1="","",'Total Value'!CW59/'Total Value'!$D59-1)</f>
        <v/>
      </c>
      <c r="CX47" s="14" t="str">
        <f ca="1">IF(CX$1="","",'Total Value'!CX59/'Total Value'!$D59-1)</f>
        <v/>
      </c>
      <c r="CY47" s="14" t="str">
        <f ca="1">IF(CY$1="","",'Total Value'!CY59/'Total Value'!$D59-1)</f>
        <v/>
      </c>
      <c r="CZ47" s="14" t="str">
        <f ca="1">IF(CZ$1="","",'Total Value'!CZ59/'Total Value'!$D59-1)</f>
        <v/>
      </c>
      <c r="DA47" s="14" t="str">
        <f ca="1">IF(DA$1="","",'Total Value'!DA59/'Total Value'!$D59-1)</f>
        <v/>
      </c>
      <c r="DB47" s="14" t="str">
        <f ca="1">IF(DB$1="","",'Total Value'!DB59/'Total Value'!$D59-1)</f>
        <v/>
      </c>
      <c r="DC47" s="14" t="str">
        <f ca="1">IF(DC$1="","",'Total Value'!DC59/'Total Value'!$D59-1)</f>
        <v/>
      </c>
      <c r="DD47" s="14" t="str">
        <f ca="1">IF(DD$1="","",'Total Value'!DD59/'Total Value'!$D59-1)</f>
        <v/>
      </c>
      <c r="DE47" s="14" t="str">
        <f ca="1">IF(DE$1="","",'Total Value'!DE59/'Total Value'!$D59-1)</f>
        <v/>
      </c>
      <c r="DF47" s="14" t="str">
        <f ca="1">IF(DF$1="","",'Total Value'!DF59/'Total Value'!$D59-1)</f>
        <v/>
      </c>
      <c r="DG47" s="14" t="str">
        <f ca="1">IF(DG$1="","",'Total Value'!DG59/'Total Value'!$D59-1)</f>
        <v/>
      </c>
      <c r="DH47" s="14" t="str">
        <f ca="1">IF(DH$1="","",'Total Value'!DH59/'Total Value'!$D59-1)</f>
        <v/>
      </c>
      <c r="DI47" s="14" t="str">
        <f ca="1">IF(DI$1="","",'Total Value'!DI59/'Total Value'!$D59-1)</f>
        <v/>
      </c>
      <c r="DJ47" s="14" t="str">
        <f ca="1">IF(DJ$1="","",'Total Value'!DJ59/'Total Value'!$D59-1)</f>
        <v/>
      </c>
      <c r="DK47" s="14" t="str">
        <f ca="1">IF(DK$1="","",'Total Value'!DK59/'Total Value'!$D59-1)</f>
        <v/>
      </c>
      <c r="DL47" s="14" t="str">
        <f ca="1">IF(DL$1="","",'Total Value'!DL59/'Total Value'!$D59-1)</f>
        <v/>
      </c>
      <c r="DM47" s="14" t="str">
        <f ca="1">IF(DM$1="","",'Total Value'!DM59/'Total Value'!$D59-1)</f>
        <v/>
      </c>
      <c r="DN47" s="14" t="str">
        <f ca="1">IF(DN$1="","",'Total Value'!DN59/'Total Value'!$D59-1)</f>
        <v/>
      </c>
      <c r="DO47" s="14" t="str">
        <f ca="1">IF(DO$1="","",'Total Value'!DO59/'Total Value'!$D59-1)</f>
        <v/>
      </c>
      <c r="DP47" s="14" t="str">
        <f ca="1">IF(DP$1="","",'Total Value'!DP59/'Total Value'!$D59-1)</f>
        <v/>
      </c>
      <c r="DQ47" s="14" t="str">
        <f ca="1">IF(DQ$1="","",'Total Value'!DQ59/'Total Value'!$D59-1)</f>
        <v/>
      </c>
      <c r="DR47" s="14" t="str">
        <f ca="1">IF(DR$1="","",'Total Value'!DR59/'Total Value'!$D59-1)</f>
        <v/>
      </c>
      <c r="DS47" s="14" t="str">
        <f ca="1">IF(DS$1="","",'Total Value'!DS59/'Total Value'!$D59-1)</f>
        <v/>
      </c>
      <c r="DT47" s="14" t="str">
        <f ca="1">IF(DT$1="","",'Total Value'!DT59/'Total Value'!$D59-1)</f>
        <v/>
      </c>
      <c r="DU47" s="14" t="str">
        <f ca="1">IF(DU$1="","",'Total Value'!DU59/'Total Value'!$D59-1)</f>
        <v/>
      </c>
      <c r="DV47" s="14" t="str">
        <f ca="1">IF(DV$1="","",'Total Value'!DV59/'Total Value'!$D59-1)</f>
        <v/>
      </c>
      <c r="DW47" s="14" t="str">
        <f ca="1">IF(DW$1="","",'Total Value'!DW59/'Total Value'!$D59-1)</f>
        <v/>
      </c>
      <c r="DX47" s="14" t="str">
        <f ca="1">IF(DX$1="","",'Total Value'!DX59/'Total Value'!$D59-1)</f>
        <v/>
      </c>
      <c r="DY47" s="14" t="str">
        <f ca="1">IF(DY$1="","",'Total Value'!DY59/'Total Value'!$D59-1)</f>
        <v/>
      </c>
      <c r="DZ47" s="14" t="str">
        <f ca="1">IF(DZ$1="","",'Total Value'!DZ59/'Total Value'!$D59-1)</f>
        <v/>
      </c>
      <c r="EA47" s="14" t="str">
        <f ca="1">IF(EA$1="","",'Total Value'!EA59/'Total Value'!$D59-1)</f>
        <v/>
      </c>
      <c r="EB47" s="14" t="str">
        <f ca="1">IF(EB$1="","",'Total Value'!EB59/'Total Value'!$D59-1)</f>
        <v/>
      </c>
      <c r="EC47" s="14" t="str">
        <f ca="1">IF(EC$1="","",'Total Value'!EC59/'Total Value'!$D59-1)</f>
        <v/>
      </c>
      <c r="ED47" s="14" t="str">
        <f ca="1">IF(ED$1="","",'Total Value'!ED59/'Total Value'!$D59-1)</f>
        <v/>
      </c>
      <c r="EE47" s="14" t="str">
        <f ca="1">IF(EE$1="","",'Total Value'!EE59/'Total Value'!$D59-1)</f>
        <v/>
      </c>
      <c r="EF47" s="14" t="str">
        <f ca="1">IF(EF$1="","",'Total Value'!EF59/'Total Value'!$D59-1)</f>
        <v/>
      </c>
      <c r="EG47" s="14" t="str">
        <f ca="1">IF(EG$1="","",'Total Value'!EG59/'Total Value'!$D59-1)</f>
        <v/>
      </c>
      <c r="EH47" s="14" t="str">
        <f ca="1">IF(EH$1="","",'Total Value'!EH59/'Total Value'!$D59-1)</f>
        <v/>
      </c>
      <c r="EI47" s="14" t="str">
        <f ca="1">IF(EI$1="","",'Total Value'!EI59/'Total Value'!$D59-1)</f>
        <v/>
      </c>
      <c r="EJ47" s="14" t="str">
        <f ca="1">IF(EJ$1="","",'Total Value'!EJ59/'Total Value'!$D59-1)</f>
        <v/>
      </c>
      <c r="EK47" s="14" t="str">
        <f ca="1">IF(EK$1="","",'Total Value'!EK59/'Total Value'!$D59-1)</f>
        <v/>
      </c>
      <c r="EL47" s="14" t="str">
        <f ca="1">IF(EL$1="","",'Total Value'!EL59/'Total Value'!$D59-1)</f>
        <v/>
      </c>
      <c r="EM47" s="14" t="str">
        <f ca="1">IF(EM$1="","",'Total Value'!EM59/'Total Value'!$D59-1)</f>
        <v/>
      </c>
      <c r="EN47" s="14" t="str">
        <f ca="1">IF(EN$1="","",'Total Value'!EN59/'Total Value'!$D59-1)</f>
        <v/>
      </c>
      <c r="EO47" s="14" t="str">
        <f ca="1">IF(EO$1="","",'Total Value'!EO59/'Total Value'!$D59-1)</f>
        <v/>
      </c>
      <c r="EP47" s="14" t="str">
        <f ca="1">IF(EP$1="","",'Total Value'!EP59/'Total Value'!$D59-1)</f>
        <v/>
      </c>
      <c r="EQ47" s="14" t="str">
        <f ca="1">IF(EQ$1="","",'Total Value'!EQ59/'Total Value'!$D59-1)</f>
        <v/>
      </c>
      <c r="ER47" s="14" t="str">
        <f ca="1">IF(ER$1="","",'Total Value'!ER59/'Total Value'!$D59-1)</f>
        <v/>
      </c>
      <c r="ES47" s="14" t="str">
        <f ca="1">IF(ES$1="","",'Total Value'!ES59/'Total Value'!$D59-1)</f>
        <v/>
      </c>
      <c r="ET47" s="14" t="str">
        <f ca="1">IF(ET$1="","",'Total Value'!ET59/'Total Value'!$D59-1)</f>
        <v/>
      </c>
      <c r="EU47" s="14" t="str">
        <f ca="1">IF(EU$1="","",'Total Value'!EU59/'Total Value'!$D59-1)</f>
        <v/>
      </c>
      <c r="EV47" s="14" t="str">
        <f ca="1">IF(EV$1="","",'Total Value'!EV59/'Total Value'!$D59-1)</f>
        <v/>
      </c>
      <c r="EW47" s="14" t="str">
        <f ca="1">IF(EW$1="","",'Total Value'!EW59/'Total Value'!$D59-1)</f>
        <v/>
      </c>
      <c r="EX47" s="14" t="str">
        <f ca="1">IF(EX$1="","",'Total Value'!EX59/'Total Value'!$D59-1)</f>
        <v/>
      </c>
      <c r="EY47" s="14" t="str">
        <f ca="1">IF(EY$1="","",'Total Value'!EY59/'Total Value'!$D59-1)</f>
        <v/>
      </c>
      <c r="EZ47" s="14" t="str">
        <f ca="1">IF(EZ$1="","",'Total Value'!EZ59/'Total Value'!$D59-1)</f>
        <v/>
      </c>
      <c r="FA47" s="14" t="str">
        <f ca="1">IF(FA$1="","",'Total Value'!FA59/'Total Value'!$D59-1)</f>
        <v/>
      </c>
      <c r="FB47" s="14" t="str">
        <f ca="1">IF(FB$1="","",'Total Value'!FB59/'Total Value'!$D59-1)</f>
        <v/>
      </c>
      <c r="FC47" s="14" t="str">
        <f ca="1">IF(FC$1="","",'Total Value'!FC59/'Total Value'!$D59-1)</f>
        <v/>
      </c>
      <c r="FD47" s="14" t="str">
        <f ca="1">IF(FD$1="","",'Total Value'!FD59/'Total Value'!$D59-1)</f>
        <v/>
      </c>
      <c r="FE47" s="14" t="str">
        <f ca="1">IF(FE$1="","",'Total Value'!FE59/'Total Value'!$D59-1)</f>
        <v/>
      </c>
      <c r="FF47" s="14" t="str">
        <f ca="1">IF(FF$1="","",'Total Value'!FF59/'Total Value'!$D59-1)</f>
        <v/>
      </c>
      <c r="FG47" s="14" t="str">
        <f ca="1">IF(FG$1="","",'Total Value'!FG59/'Total Value'!$D59-1)</f>
        <v/>
      </c>
      <c r="FH47" s="14" t="str">
        <f ca="1">IF(FH$1="","",'Total Value'!FH59/'Total Value'!$D59-1)</f>
        <v/>
      </c>
      <c r="FI47" s="14" t="str">
        <f ca="1">IF(FI$1="","",'Total Value'!FI59/'Total Value'!$D59-1)</f>
        <v/>
      </c>
      <c r="FJ47" s="14" t="str">
        <f ca="1">IF(FJ$1="","",'Total Value'!FJ59/'Total Value'!$D59-1)</f>
        <v/>
      </c>
      <c r="FK47" s="14" t="str">
        <f ca="1">IF(FK$1="","",'Total Value'!FK59/'Total Value'!$D59-1)</f>
        <v/>
      </c>
      <c r="FL47" s="14" t="str">
        <f ca="1">IF(FL$1="","",'Total Value'!FL59/'Total Value'!$D59-1)</f>
        <v/>
      </c>
      <c r="FM47" s="14" t="str">
        <f ca="1">IF(FM$1="","",'Total Value'!FM59/'Total Value'!$D59-1)</f>
        <v/>
      </c>
      <c r="FN47" s="14" t="str">
        <f ca="1">IF(FN$1="","",'Total Value'!FN59/'Total Value'!$D59-1)</f>
        <v/>
      </c>
      <c r="FO47" s="14" t="str">
        <f ca="1">IF(FO$1="","",'Total Value'!FO59/'Total Value'!$D59-1)</f>
        <v/>
      </c>
      <c r="FP47" s="14" t="str">
        <f ca="1">IF(FP$1="","",'Total Value'!FP59/'Total Value'!$D59-1)</f>
        <v/>
      </c>
      <c r="FQ47" s="14" t="str">
        <f ca="1">IF(FQ$1="","",'Total Value'!FQ59/'Total Value'!$D59-1)</f>
        <v/>
      </c>
      <c r="FR47" s="14" t="str">
        <f ca="1">IF(FR$1="","",'Total Value'!FR59/'Total Value'!$D59-1)</f>
        <v/>
      </c>
      <c r="FS47" s="14" t="str">
        <f ca="1">IF(FS$1="","",'Total Value'!FS59/'Total Value'!$D59-1)</f>
        <v/>
      </c>
      <c r="FT47" s="14" t="str">
        <f ca="1">IF(FT$1="","",'Total Value'!FT59/'Total Value'!$D59-1)</f>
        <v/>
      </c>
      <c r="FU47" s="14" t="str">
        <f ca="1">IF(FU$1="","",'Total Value'!FU59/'Total Value'!$D59-1)</f>
        <v/>
      </c>
      <c r="FV47" s="14" t="str">
        <f ca="1">IF(FV$1="","",'Total Value'!FV59/'Total Value'!$D59-1)</f>
        <v/>
      </c>
      <c r="FW47" s="14" t="str">
        <f ca="1">IF(FW$1="","",'Total Value'!FW59/'Total Value'!$D59-1)</f>
        <v/>
      </c>
      <c r="FX47" s="14" t="str">
        <f ca="1">IF(FX$1="","",'Total Value'!FX59/'Total Value'!$D59-1)</f>
        <v/>
      </c>
      <c r="FY47" s="14" t="str">
        <f ca="1">IF(FY$1="","",'Total Value'!FY59/'Total Value'!$D59-1)</f>
        <v/>
      </c>
      <c r="FZ47" s="14" t="str">
        <f ca="1">IF(FZ$1="","",'Total Value'!FZ59/'Total Value'!$D59-1)</f>
        <v/>
      </c>
      <c r="GA47" s="14" t="str">
        <f ca="1">IF(GA$1="","",'Total Value'!GA59/'Total Value'!$D59-1)</f>
        <v/>
      </c>
      <c r="GB47" s="14" t="str">
        <f ca="1">IF(GB$1="","",'Total Value'!GB59/'Total Value'!$D59-1)</f>
        <v/>
      </c>
      <c r="GC47" s="14" t="str">
        <f ca="1">IF(GC$1="","",'Total Value'!GC59/'Total Value'!$D59-1)</f>
        <v/>
      </c>
      <c r="GD47" s="14" t="str">
        <f ca="1">IF(GD$1="","",'Total Value'!GD59/'Total Value'!$D59-1)</f>
        <v/>
      </c>
      <c r="GE47" s="14" t="str">
        <f ca="1">IF(GE$1="","",'Total Value'!GE59/'Total Value'!$D59-1)</f>
        <v/>
      </c>
      <c r="GF47" s="14" t="str">
        <f ca="1">IF(GF$1="","",'Total Value'!GF59/'Total Value'!$D59-1)</f>
        <v/>
      </c>
      <c r="GG47" s="14" t="str">
        <f ca="1">IF(GG$1="","",'Total Value'!GG59/'Total Value'!$D59-1)</f>
        <v/>
      </c>
      <c r="GH47" s="14" t="str">
        <f ca="1">IF(GH$1="","",'Total Value'!GH59/'Total Value'!$D59-1)</f>
        <v/>
      </c>
      <c r="GI47" s="14" t="str">
        <f ca="1">IF(GI$1="","",'Total Value'!GI59/'Total Value'!$D59-1)</f>
        <v/>
      </c>
      <c r="GJ47" s="14" t="str">
        <f ca="1">IF(GJ$1="","",'Total Value'!GJ59/'Total Value'!$D59-1)</f>
        <v/>
      </c>
      <c r="GK47" s="14" t="str">
        <f ca="1">IF(GK$1="","",'Total Value'!GK59/'Total Value'!$D59-1)</f>
        <v/>
      </c>
      <c r="GL47" s="14" t="str">
        <f ca="1">IF(GL$1="","",'Total Value'!GL59/'Total Value'!$D59-1)</f>
        <v/>
      </c>
      <c r="GM47" s="14" t="str">
        <f ca="1">IF(GM$1="","",'Total Value'!GM59/'Total Value'!$D59-1)</f>
        <v/>
      </c>
      <c r="GN47" s="14" t="str">
        <f ca="1">IF(GN$1="","",'Total Value'!GN59/'Total Value'!$D59-1)</f>
        <v/>
      </c>
      <c r="GO47" s="14" t="str">
        <f ca="1">IF(GO$1="","",'Total Value'!GO59/'Total Value'!$D59-1)</f>
        <v/>
      </c>
      <c r="GP47" s="14" t="str">
        <f ca="1">IF(GP$1="","",'Total Value'!GP59/'Total Value'!$D59-1)</f>
        <v/>
      </c>
      <c r="GQ47" s="14" t="str">
        <f ca="1">IF(GQ$1="","",'Total Value'!GQ59/'Total Value'!$D59-1)</f>
        <v/>
      </c>
      <c r="GR47" s="14" t="str">
        <f ca="1">IF(GR$1="","",'Total Value'!GR59/'Total Value'!$D59-1)</f>
        <v/>
      </c>
      <c r="GS47" s="14" t="str">
        <f ca="1">IF(GS$1="","",'Total Value'!GS59/'Total Value'!$D59-1)</f>
        <v/>
      </c>
      <c r="GT47" s="14" t="str">
        <f ca="1">IF(GT$1="","",'Total Value'!GT59/'Total Value'!$D59-1)</f>
        <v/>
      </c>
      <c r="GU47" s="14" t="str">
        <f ca="1">IF(GU$1="","",'Total Value'!GU59/'Total Value'!$D59-1)</f>
        <v/>
      </c>
      <c r="GV47" s="14" t="str">
        <f ca="1">IF(GV$1="","",'Total Value'!GV59/'Total Value'!$D59-1)</f>
        <v/>
      </c>
      <c r="GW47" s="14" t="str">
        <f ca="1">IF(GW$1="","",'Total Value'!GW59/'Total Value'!$D59-1)</f>
        <v/>
      </c>
      <c r="GX47" s="14" t="str">
        <f ca="1">IF(GX$1="","",'Total Value'!GX59/'Total Value'!$D59-1)</f>
        <v/>
      </c>
      <c r="GY47" s="14" t="str">
        <f ca="1">IF(GY$1="","",'Total Value'!GY59/'Total Value'!$D59-1)</f>
        <v/>
      </c>
      <c r="GZ47" s="14" t="str">
        <f ca="1">IF(GZ$1="","",'Total Value'!GZ59/'Total Value'!$D59-1)</f>
        <v/>
      </c>
      <c r="HA47" s="14" t="str">
        <f ca="1">IF(HA$1="","",'Total Value'!HA59/'Total Value'!$D59-1)</f>
        <v/>
      </c>
      <c r="HB47" s="14" t="str">
        <f ca="1">IF(HB$1="","",'Total Value'!HB59/'Total Value'!$D59-1)</f>
        <v/>
      </c>
      <c r="HC47" s="14" t="str">
        <f ca="1">IF(HC$1="","",'Total Value'!HC59/'Total Value'!$D59-1)</f>
        <v/>
      </c>
      <c r="HD47" s="14" t="str">
        <f ca="1">IF(HD$1="","",'Total Value'!HD59/'Total Value'!$D59-1)</f>
        <v/>
      </c>
      <c r="HE47" s="14" t="str">
        <f ca="1">IF(HE$1="","",'Total Value'!HE59/'Total Value'!$D59-1)</f>
        <v/>
      </c>
      <c r="HF47" s="14" t="str">
        <f ca="1">IF(HF$1="","",'Total Value'!HF59/'Total Value'!$D59-1)</f>
        <v/>
      </c>
      <c r="HG47" s="14" t="str">
        <f ca="1">IF(HG$1="","",'Total Value'!HG59/'Total Value'!$D59-1)</f>
        <v/>
      </c>
      <c r="HH47" s="14" t="str">
        <f ca="1">IF(HH$1="","",'Total Value'!HH59/'Total Value'!$D59-1)</f>
        <v/>
      </c>
      <c r="HI47" s="14" t="str">
        <f ca="1">IF(HI$1="","",'Total Value'!HI59/'Total Value'!$D59-1)</f>
        <v/>
      </c>
      <c r="HJ47" s="14" t="str">
        <f ca="1">IF(HJ$1="","",'Total Value'!HJ59/'Total Value'!$D59-1)</f>
        <v/>
      </c>
      <c r="HK47" s="14" t="str">
        <f ca="1">IF(HK$1="","",'Total Value'!HK59/'Total Value'!$D59-1)</f>
        <v/>
      </c>
      <c r="HL47" s="14" t="str">
        <f ca="1">IF(HL$1="","",'Total Value'!HL59/'Total Value'!$D59-1)</f>
        <v/>
      </c>
      <c r="HM47" s="14" t="str">
        <f ca="1">IF(HM$1="","",'Total Value'!HM59/'Total Value'!$D59-1)</f>
        <v/>
      </c>
      <c r="HN47" s="14" t="str">
        <f ca="1">IF(HN$1="","",'Total Value'!HN59/'Total Value'!$D59-1)</f>
        <v/>
      </c>
      <c r="HO47" s="14" t="str">
        <f ca="1">IF(HO$1="","",'Total Value'!HO59/'Total Value'!$D59-1)</f>
        <v/>
      </c>
      <c r="HP47" s="14" t="str">
        <f ca="1">IF(HP$1="","",'Total Value'!HP59/'Total Value'!$D59-1)</f>
        <v/>
      </c>
      <c r="HQ47" s="14" t="str">
        <f ca="1">IF(HQ$1="","",'Total Value'!HQ59/'Total Value'!$D59-1)</f>
        <v/>
      </c>
      <c r="HR47" s="14" t="str">
        <f ca="1">IF(HR$1="","",'Total Value'!HR59/'Total Value'!$D59-1)</f>
        <v/>
      </c>
      <c r="HS47" s="14" t="str">
        <f ca="1">IF(HS$1="","",'Total Value'!HS59/'Total Value'!$D59-1)</f>
        <v/>
      </c>
      <c r="HT47" s="14" t="str">
        <f ca="1">IF(HT$1="","",'Total Value'!HT59/'Total Value'!$D59-1)</f>
        <v/>
      </c>
      <c r="HU47" s="14" t="str">
        <f ca="1">IF(HU$1="","",'Total Value'!HU59/'Total Value'!$D59-1)</f>
        <v/>
      </c>
      <c r="HV47" s="14" t="str">
        <f ca="1">IF(HV$1="","",'Total Value'!HV59/'Total Value'!$D59-1)</f>
        <v/>
      </c>
      <c r="HW47" s="14" t="str">
        <f ca="1">IF(HW$1="","",'Total Value'!HW59/'Total Value'!$D59-1)</f>
        <v/>
      </c>
      <c r="HX47" s="14" t="str">
        <f ca="1">IF(HX$1="","",'Total Value'!HX59/'Total Value'!$D59-1)</f>
        <v/>
      </c>
      <c r="HY47" s="14" t="str">
        <f ca="1">IF(HY$1="","",'Total Value'!HY59/'Total Value'!$D59-1)</f>
        <v/>
      </c>
      <c r="HZ47" s="14" t="str">
        <f ca="1">IF(HZ$1="","",'Total Value'!HZ59/'Total Value'!$D59-1)</f>
        <v/>
      </c>
      <c r="IA47" s="14" t="str">
        <f ca="1">IF(IA$1="","",'Total Value'!IA59/'Total Value'!$D59-1)</f>
        <v/>
      </c>
      <c r="IB47" s="14" t="str">
        <f ca="1">IF(IB$1="","",'Total Value'!IB59/'Total Value'!$D59-1)</f>
        <v/>
      </c>
      <c r="IC47" s="14" t="str">
        <f ca="1">IF(IC$1="","",'Total Value'!IC59/'Total Value'!$D59-1)</f>
        <v/>
      </c>
      <c r="ID47" s="14" t="str">
        <f ca="1">IF(ID$1="","",'Total Value'!ID59/'Total Value'!$D59-1)</f>
        <v/>
      </c>
      <c r="IE47" s="14" t="str">
        <f ca="1">IF(IE$1="","",'Total Value'!IE59/'Total Value'!$D59-1)</f>
        <v/>
      </c>
      <c r="IF47" s="14" t="str">
        <f ca="1">IF(IF$1="","",'Total Value'!IF59/'Total Value'!$D59-1)</f>
        <v/>
      </c>
      <c r="IG47" s="14" t="str">
        <f ca="1">IF(IG$1="","",'Total Value'!IG59/'Total Value'!$D59-1)</f>
        <v/>
      </c>
      <c r="IH47" s="14" t="str">
        <f ca="1">IF(IH$1="","",'Total Value'!IH59/'Total Value'!$D59-1)</f>
        <v/>
      </c>
      <c r="II47" s="14" t="str">
        <f ca="1">IF(II$1="","",'Total Value'!II59/'Total Value'!$D59-1)</f>
        <v/>
      </c>
      <c r="IJ47" s="14" t="str">
        <f ca="1">IF(IJ$1="","",'Total Value'!IJ59/'Total Value'!$D59-1)</f>
        <v/>
      </c>
      <c r="IK47" s="14" t="str">
        <f ca="1">IF(IK$1="","",'Total Value'!IK59/'Total Value'!$D59-1)</f>
        <v/>
      </c>
      <c r="IL47" s="14" t="str">
        <f ca="1">IF(IL$1="","",'Total Value'!IL59/'Total Value'!$D59-1)</f>
        <v/>
      </c>
      <c r="IM47" s="14" t="str">
        <f ca="1">IF(IM$1="","",'Total Value'!IM59/'Total Value'!$D59-1)</f>
        <v/>
      </c>
      <c r="IN47" s="14" t="str">
        <f ca="1">IF(IN$1="","",'Total Value'!IN59/'Total Value'!$D59-1)</f>
        <v/>
      </c>
      <c r="IO47" s="14" t="str">
        <f ca="1">IF(IO$1="","",'Total Value'!IO59/'Total Value'!$D59-1)</f>
        <v/>
      </c>
      <c r="IP47" s="14" t="str">
        <f ca="1">IF(IP$1="","",'Total Value'!IP59/'Total Value'!$D59-1)</f>
        <v/>
      </c>
      <c r="IQ47" s="14" t="str">
        <f ca="1">IF(IQ$1="","",'Total Value'!IQ59/'Total Value'!$D59-1)</f>
        <v/>
      </c>
      <c r="IR47" s="14" t="str">
        <f ca="1">IF(IR$1="","",'Total Value'!IR59/'Total Value'!$D59-1)</f>
        <v/>
      </c>
      <c r="IS47" s="14" t="str">
        <f ca="1">IF(IS$1="","",'Total Value'!IS59/'Total Value'!$D59-1)</f>
        <v/>
      </c>
      <c r="IT47" s="14" t="str">
        <f ca="1">IF(IT$1="","",'Total Value'!IT59/'Total Value'!$D59-1)</f>
        <v/>
      </c>
      <c r="IU47" s="14" t="str">
        <f ca="1">IF(IU$1="","",'Total Value'!IU59/'Total Value'!$D59-1)</f>
        <v/>
      </c>
      <c r="IV47" s="14" t="str">
        <f ca="1">IF(IV$1="","",'Total Value'!IV59/'Total Value'!$D59-1)</f>
        <v/>
      </c>
      <c r="IW47" s="14" t="str">
        <f ca="1">IF(IW$1="","",'Total Value'!IW59/'Total Value'!$D59-1)</f>
        <v/>
      </c>
      <c r="IX47" s="14" t="str">
        <f ca="1">IF(IX$1="","",'Total Value'!IX59/'Total Value'!$D59-1)</f>
        <v/>
      </c>
      <c r="IY47" s="14" t="str">
        <f ca="1">IF(IY$1="","",'Total Value'!IY59/'Total Value'!$D59-1)</f>
        <v/>
      </c>
      <c r="IZ47" s="14" t="str">
        <f ca="1">IF(IZ$1="","",'Total Value'!IZ59/'Total Value'!$D59-1)</f>
        <v/>
      </c>
      <c r="JA47" s="14" t="str">
        <f ca="1">IF(JA$1="","",'Total Value'!JA59/'Total Value'!$D59-1)</f>
        <v/>
      </c>
      <c r="JB47" s="14" t="str">
        <f ca="1">IF(JB$1="","",'Total Value'!JB59/'Total Value'!$D59-1)</f>
        <v/>
      </c>
      <c r="JC47" s="14" t="str">
        <f ca="1">IF(JC$1="","",'Total Value'!JC59/'Total Value'!$D59-1)</f>
        <v/>
      </c>
      <c r="JD47" s="14" t="str">
        <f ca="1">IF(JD$1="","",'Total Value'!JD59/'Total Value'!$D59-1)</f>
        <v/>
      </c>
      <c r="JE47" s="14" t="str">
        <f ca="1">IF(JE$1="","",'Total Value'!JE59/'Total Value'!$D59-1)</f>
        <v/>
      </c>
      <c r="JF47" s="14" t="str">
        <f ca="1">IF(JF$1="","",'Total Value'!JF59/'Total Value'!$D59-1)</f>
        <v/>
      </c>
      <c r="JG47" s="14" t="str">
        <f ca="1">IF(JG$1="","",'Total Value'!JG59/'Total Value'!$D59-1)</f>
        <v/>
      </c>
      <c r="JH47" s="14" t="str">
        <f ca="1">IF(JH$1="","",'Total Value'!JH59/'Total Value'!$D59-1)</f>
        <v/>
      </c>
      <c r="JI47" s="14" t="str">
        <f ca="1">IF(JI$1="","",'Total Value'!JI59/'Total Value'!$D59-1)</f>
        <v/>
      </c>
      <c r="JJ47" s="14" t="str">
        <f ca="1">IF(JJ$1="","",'Total Value'!JJ59/'Total Value'!$D59-1)</f>
        <v/>
      </c>
      <c r="JK47" s="14" t="str">
        <f ca="1">IF(JK$1="","",'Total Value'!JK59/'Total Value'!$D59-1)</f>
        <v/>
      </c>
      <c r="JL47" s="14" t="str">
        <f ca="1">IF(JL$1="","",'Total Value'!JL59/'Total Value'!$D59-1)</f>
        <v/>
      </c>
      <c r="JM47" s="14" t="str">
        <f ca="1">IF(JM$1="","",'Total Value'!JM59/'Total Value'!$D59-1)</f>
        <v/>
      </c>
      <c r="JN47" s="14" t="str">
        <f ca="1">IF(JN$1="","",'Total Value'!JN59/'Total Value'!$D59-1)</f>
        <v/>
      </c>
      <c r="JO47" s="14" t="str">
        <f ca="1">IF(JO$1="","",'Total Value'!JO59/'Total Value'!$D59-1)</f>
        <v/>
      </c>
      <c r="JP47" s="14" t="str">
        <f ca="1">IF(JP$1="","",'Total Value'!JP59/'Total Value'!$D59-1)</f>
        <v/>
      </c>
      <c r="JQ47" s="14" t="str">
        <f ca="1">IF(JQ$1="","",'Total Value'!JQ59/'Total Value'!$D59-1)</f>
        <v/>
      </c>
      <c r="JR47" s="14" t="str">
        <f ca="1">IF(JR$1="","",'Total Value'!JR59/'Total Value'!$D59-1)</f>
        <v/>
      </c>
      <c r="JS47" s="14" t="str">
        <f ca="1">IF(JS$1="","",'Total Value'!JS59/'Total Value'!$D59-1)</f>
        <v/>
      </c>
      <c r="JT47" s="14" t="str">
        <f ca="1">IF(JT$1="","",'Total Value'!JT59/'Total Value'!$D59-1)</f>
        <v/>
      </c>
      <c r="JU47" s="14" t="str">
        <f ca="1">IF(JU$1="","",'Total Value'!JU59/'Total Value'!$D59-1)</f>
        <v/>
      </c>
      <c r="JV47" s="14" t="str">
        <f ca="1">IF(JV$1="","",'Total Value'!JV59/'Total Value'!$D59-1)</f>
        <v/>
      </c>
      <c r="JW47" s="14" t="str">
        <f ca="1">IF(JW$1="","",'Total Value'!JW59/'Total Value'!$D59-1)</f>
        <v/>
      </c>
      <c r="JX47" s="14" t="str">
        <f ca="1">IF(JX$1="","",'Total Value'!JX59/'Total Value'!$D59-1)</f>
        <v/>
      </c>
      <c r="JY47" s="14" t="str">
        <f ca="1">IF(JY$1="","",'Total Value'!JY59/'Total Value'!$D59-1)</f>
        <v/>
      </c>
      <c r="JZ47" s="14" t="str">
        <f ca="1">IF(JZ$1="","",'Total Value'!JZ59/'Total Value'!$D59-1)</f>
        <v/>
      </c>
      <c r="KA47" s="14" t="str">
        <f ca="1">IF(KA$1="","",'Total Value'!KA59/'Total Value'!$D59-1)</f>
        <v/>
      </c>
      <c r="KB47" s="14" t="str">
        <f ca="1">IF(KB$1="","",'Total Value'!KB59/'Total Value'!$D59-1)</f>
        <v/>
      </c>
    </row>
    <row r="48" spans="1:288" ht="15.75" customHeight="1">
      <c r="A48" s="9" t="s">
        <v>30</v>
      </c>
      <c r="B48" s="6" t="s">
        <v>91</v>
      </c>
      <c r="C48" s="26">
        <v>5</v>
      </c>
      <c r="D48" s="13">
        <v>0</v>
      </c>
      <c r="E48" s="14">
        <f ca="1">IF(E$1="","",'Total Value'!E60/'Total Value'!$D60-1)</f>
        <v>2.5055928411633177E-2</v>
      </c>
      <c r="F48" s="14">
        <f ca="1">IF(F$1="","",'Total Value'!F60/'Total Value'!$D60-1)</f>
        <v>3.1319910514541416E-2</v>
      </c>
      <c r="G48" s="14">
        <f ca="1">IF(G$1="","",'Total Value'!G60/'Total Value'!$D60-1)</f>
        <v>4.429530201342291E-2</v>
      </c>
      <c r="H48" s="14">
        <f ca="1">IF(H$1="","",'Total Value'!H60/'Total Value'!$D60-1)</f>
        <v>3.6241610738255048E-2</v>
      </c>
      <c r="I48" s="14">
        <f ca="1">IF(I$1="","",'Total Value'!I60/'Total Value'!$D60-1)</f>
        <v>3.5346756152125236E-2</v>
      </c>
      <c r="J48" s="14">
        <f ca="1">IF(J$1="","",'Total Value'!J60/'Total Value'!$D60-1)</f>
        <v>2.147651006711393E-2</v>
      </c>
      <c r="K48" s="14">
        <f ca="1">IF(K$1="","",'Total Value'!K60/'Total Value'!$D60-1)</f>
        <v>8.0536912751678624E-3</v>
      </c>
      <c r="L48" s="14">
        <f ca="1">IF(L$1="","",'Total Value'!L60/'Total Value'!$D60-1)</f>
        <v>-1.2975391498881494E-2</v>
      </c>
      <c r="M48" s="14">
        <f ca="1">IF(M$1="","",'Total Value'!M60/'Total Value'!$D60-1)</f>
        <v>2.3713646532438348E-2</v>
      </c>
      <c r="N48" s="14">
        <f ca="1">IF(N$1="","",'Total Value'!N60/'Total Value'!$D60-1)</f>
        <v>-1.7897091722595126E-2</v>
      </c>
      <c r="O48" s="14">
        <f ca="1">IF(O$1="","",'Total Value'!O60/'Total Value'!$D60-1)</f>
        <v>-2.1476510067114041E-2</v>
      </c>
      <c r="P48" s="14">
        <f ca="1">IF(P$1="","",'Total Value'!P60/'Total Value'!$D60-1)</f>
        <v>-6.174496644295302E-2</v>
      </c>
      <c r="Q48" s="14">
        <f ca="1">IF(Q$1="","",'Total Value'!Q60/'Total Value'!$D60-1)</f>
        <v>-6.2192393736017815E-2</v>
      </c>
      <c r="R48" s="14">
        <f ca="1">IF(R$1="","",'Total Value'!R60/'Total Value'!$D60-1)</f>
        <v>-2.8187919463087296E-2</v>
      </c>
      <c r="S48" s="14">
        <f ca="1">IF(S$1="","",'Total Value'!S60/'Total Value'!$D60-1)</f>
        <v>-3.8031319910514561E-2</v>
      </c>
      <c r="T48" s="14">
        <f ca="1">IF(T$1="","",'Total Value'!T60/'Total Value'!$D60-1)</f>
        <v>-2.9082774049216997E-2</v>
      </c>
      <c r="U48" s="14">
        <f ca="1">IF(U$1="","",'Total Value'!U60/'Total Value'!$D60-1)</f>
        <v>-4.2058165548098492E-2</v>
      </c>
      <c r="V48" s="14">
        <f ca="1">IF(V$1="","",'Total Value'!V60/'Total Value'!$D60-1)</f>
        <v>-7.9194630872483351E-2</v>
      </c>
      <c r="W48" s="14">
        <f ca="1">IF(W$1="","",'Total Value'!W60/'Total Value'!$D60-1)</f>
        <v>-7.4720357941834403E-2</v>
      </c>
      <c r="X48" s="14">
        <f ca="1">IF(X$1="","",'Total Value'!X60/'Total Value'!$D60-1)</f>
        <v>-7.3825503355704702E-2</v>
      </c>
      <c r="Y48" s="14">
        <f ca="1">IF(Y$1="","",'Total Value'!Y60/'Total Value'!$D60-1)</f>
        <v>-4.51901565995525E-2</v>
      </c>
      <c r="Z48" s="14">
        <f ca="1">IF(Z$1="","",'Total Value'!Z60/'Total Value'!$D60-1)</f>
        <v>-3.2662192393735912E-2</v>
      </c>
      <c r="AA48" s="14">
        <f ca="1">IF(AA$1="","",'Total Value'!AA60/'Total Value'!$D60-1)</f>
        <v>-1.4765100671141007E-2</v>
      </c>
      <c r="AB48" s="14">
        <f ca="1">IF(AB$1="","",'Total Value'!AB60/'Total Value'!$D60-1)</f>
        <v>-3.713646532438486E-2</v>
      </c>
      <c r="AC48" s="14">
        <f ca="1">IF(AC$1="","",'Total Value'!AC60/'Total Value'!$D60-1)</f>
        <v>-3.4004474272930629E-2</v>
      </c>
      <c r="AD48" s="14">
        <f ca="1">IF(AD$1="","",'Total Value'!AD60/'Total Value'!$D60-1)</f>
        <v>-6.7114093959731447E-3</v>
      </c>
      <c r="AE48" s="14">
        <f ca="1">IF(AE$1="","",'Total Value'!AE60/'Total Value'!$D60-1)</f>
        <v>4.0268456375838202E-3</v>
      </c>
      <c r="AF48" s="14">
        <f ca="1">IF(AF$1="","",'Total Value'!AF60/'Total Value'!$D60-1)</f>
        <v>8.0536912751678624E-3</v>
      </c>
      <c r="AG48" s="14">
        <f ca="1">IF(AG$1="","",'Total Value'!AG60/'Total Value'!$D60-1)</f>
        <v>-4.4742729306487705E-2</v>
      </c>
      <c r="AH48" s="14">
        <f ca="1">IF(AH$1="","",'Total Value'!AH60/'Total Value'!$D60-1)</f>
        <v>-4.6532438478747218E-2</v>
      </c>
      <c r="AI48" s="14">
        <f ca="1">IF(AI$1="","",'Total Value'!AI60/'Total Value'!$D60-1)</f>
        <v>-2.863534675615198E-2</v>
      </c>
      <c r="AJ48" s="14">
        <f ca="1">IF(AJ$1="","",'Total Value'!AJ60/'Total Value'!$D60-1)</f>
        <v>4.9217002237138541E-3</v>
      </c>
      <c r="AK48" s="14">
        <f ca="1">IF(AK$1="","",'Total Value'!AK60/'Total Value'!$D60-1)</f>
        <v>7.1588366890380506E-3</v>
      </c>
      <c r="AL48" s="14">
        <f ca="1">IF(AL$1="","",'Total Value'!AL60/'Total Value'!$D60-1)</f>
        <v>-1.4765100671141007E-2</v>
      </c>
      <c r="AM48" s="14">
        <f ca="1">IF(AM$1="","",'Total Value'!AM60/'Total Value'!$D60-1)</f>
        <v>1.5659955257270708E-2</v>
      </c>
      <c r="AN48" s="14">
        <f ca="1">IF(AN$1="","",'Total Value'!AN60/'Total Value'!$D60-1)</f>
        <v>-3.5794183445190253E-3</v>
      </c>
      <c r="AO48" s="14">
        <f ca="1">IF(AO$1="","",'Total Value'!AO60/'Total Value'!$D60-1)</f>
        <v>-4.921700223713743E-3</v>
      </c>
      <c r="AP48" s="14">
        <f ca="1">IF(AP$1="","",'Total Value'!AP60/'Total Value'!$D60-1)</f>
        <v>-2.9082774049216997E-2</v>
      </c>
      <c r="AQ48" s="14">
        <f ca="1">IF(AQ$1="","",'Total Value'!AQ60/'Total Value'!$D60-1)</f>
        <v>-5.1006711409395833E-2</v>
      </c>
      <c r="AR48" s="14">
        <f ca="1">IF(AR$1="","",'Total Value'!AR60/'Total Value'!$D60-1)</f>
        <v>4.474272930647949E-4</v>
      </c>
      <c r="AS48" s="14">
        <f ca="1">IF(AS$1="","",'Total Value'!AS60/'Total Value'!$D60-1)</f>
        <v>-4.4742729306490592E-4</v>
      </c>
      <c r="AT48" s="14">
        <f ca="1">IF(AT$1="","",'Total Value'!AT60/'Total Value'!$D60-1)</f>
        <v>-1.9239373601789622E-2</v>
      </c>
      <c r="AU48" s="14">
        <f ca="1">IF(AU$1="","",'Total Value'!AU60/'Total Value'!$D60-1)</f>
        <v>-1.5212527964205691E-2</v>
      </c>
      <c r="AV48" s="14">
        <f ca="1">IF(AV$1="","",'Total Value'!AV60/'Total Value'!$D60-1)</f>
        <v>1.3422818791946289E-2</v>
      </c>
      <c r="AW48" s="14">
        <f ca="1">IF(AW$1="","",'Total Value'!AW60/'Total Value'!$D60-1)</f>
        <v>7.1140939597315489E-2</v>
      </c>
      <c r="AX48" s="14">
        <f ca="1">IF(AX$1="","",'Total Value'!AX60/'Total Value'!$D60-1)</f>
        <v>7.0246085011185677E-2</v>
      </c>
      <c r="AY48" s="14">
        <f ca="1">IF(AY$1="","",'Total Value'!AY60/'Total Value'!$D60-1)</f>
        <v>8.0089485458612941E-2</v>
      </c>
      <c r="AZ48" s="14">
        <f ca="1">IF(AZ$1="","",'Total Value'!AZ60/'Total Value'!$D60-1)</f>
        <v>8.143176733780777E-2</v>
      </c>
      <c r="BA48" s="14">
        <f ca="1">IF(BA$1="","",'Total Value'!BA60/'Total Value'!$D60-1)</f>
        <v>7.7852348993288523E-2</v>
      </c>
      <c r="BB48" s="14">
        <f ca="1">IF(BB$1="","",'Total Value'!BB60/'Total Value'!$D60-1)</f>
        <v>4.2505592841163287E-2</v>
      </c>
      <c r="BC48" s="14">
        <f ca="1">IF(BC$1="","",'Total Value'!BC60/'Total Value'!$D60-1)</f>
        <v>3.5346756152125236E-2</v>
      </c>
      <c r="BD48" s="14">
        <f ca="1">IF(BD$1="","",'Total Value'!BD60/'Total Value'!$D60-1)</f>
        <v>1.6107382550335725E-2</v>
      </c>
      <c r="BE48" s="14">
        <f ca="1">IF(BE$1="","",'Total Value'!BE60/'Total Value'!$D60-1)</f>
        <v>2.9082774049216997E-2</v>
      </c>
      <c r="BF48" s="14">
        <f ca="1">IF(BF$1="","",'Total Value'!BF60/'Total Value'!$D60-1)</f>
        <v>4.3847874720357893E-2</v>
      </c>
      <c r="BG48" s="14">
        <f ca="1">IF(BG$1="","",'Total Value'!BG60/'Total Value'!$D60-1)</f>
        <v>-9.3959731543623581E-3</v>
      </c>
      <c r="BH48" s="14">
        <f ca="1">IF(BH$1="","",'Total Value'!BH60/'Total Value'!$D60-1)</f>
        <v>-3.6689038031319843E-2</v>
      </c>
      <c r="BI48" s="14">
        <f ca="1">IF(BI$1="","",'Total Value'!BI60/'Total Value'!$D60-1)</f>
        <v>-8.0984340044742864E-2</v>
      </c>
      <c r="BJ48" s="14">
        <f ca="1">IF(BJ$1="","",'Total Value'!BJ60/'Total Value'!$D60-1)</f>
        <v>-9.7539149888143051E-2</v>
      </c>
      <c r="BK48" s="14">
        <f ca="1">IF(BK$1="","",'Total Value'!BK60/'Total Value'!$D60-1)</f>
        <v>-0.13736017897091712</v>
      </c>
      <c r="BL48" s="14">
        <f ca="1">IF(BL$1="","",'Total Value'!BL60/'Total Value'!$D60-1)</f>
        <v>-0.15391498881431764</v>
      </c>
      <c r="BM48" s="14">
        <f ca="1">IF(BM$1="","",'Total Value'!BM60/'Total Value'!$D60-1)</f>
        <v>-0.13467561521252791</v>
      </c>
      <c r="BN48" s="14">
        <f ca="1">IF(BN$1="","",'Total Value'!BN60/'Total Value'!$D60-1)</f>
        <v>-0.16778523489932884</v>
      </c>
      <c r="BO48" s="14">
        <f ca="1">IF(BO$1="","",'Total Value'!BO60/'Total Value'!$D60-1)</f>
        <v>-0.13914988814317686</v>
      </c>
      <c r="BP48" s="14">
        <f ca="1">IF(BP$1="","",'Total Value'!BP60/'Total Value'!$D60-1)</f>
        <v>-0.14854586129753911</v>
      </c>
      <c r="BQ48" s="14">
        <f ca="1">IF(BQ$1="","",'Total Value'!BQ60/'Total Value'!$D60-1)</f>
        <v>-0.12304250559284113</v>
      </c>
      <c r="BR48" s="14">
        <f ca="1">IF(BR$1="","",'Total Value'!BR60/'Total Value'!$D60-1)</f>
        <v>-0.19284116331096202</v>
      </c>
      <c r="BS48" s="14">
        <f ca="1">IF(BS$1="","",'Total Value'!BS60/'Total Value'!$D60-1)</f>
        <v>-0.15704697986577176</v>
      </c>
      <c r="BT48" s="14">
        <f ca="1">IF(BT$1="","",'Total Value'!BT60/'Total Value'!$D60-1)</f>
        <v>-0.14362416107382547</v>
      </c>
      <c r="BU48" s="14">
        <f ca="1">IF(BU$1="","",'Total Value'!BU60/'Total Value'!$D60-1)</f>
        <v>-0.13064876957494398</v>
      </c>
      <c r="BV48" s="14">
        <f ca="1">IF(BV$1="","",'Total Value'!BV60/'Total Value'!$D60-1)</f>
        <v>-0.12035794183445192</v>
      </c>
      <c r="BW48" s="14">
        <f ca="1">IF(BW$1="","",'Total Value'!BW60/'Total Value'!$D60-1)</f>
        <v>-0.13691275167785244</v>
      </c>
      <c r="BX48" s="14">
        <f ca="1">IF(BX$1="","",'Total Value'!BX60/'Total Value'!$D60-1)</f>
        <v>-0.1190156599552572</v>
      </c>
      <c r="BY48" s="14">
        <f ca="1">IF(BY$1="","",'Total Value'!BY60/'Total Value'!$D60-1)</f>
        <v>-0.16107382550335569</v>
      </c>
      <c r="BZ48" s="14">
        <f ca="1">IF(BZ$1="","",'Total Value'!BZ60/'Total Value'!$D60-1)</f>
        <v>-0.16868008948545865</v>
      </c>
      <c r="CA48" s="14">
        <f ca="1">IF(CA$1="","",'Total Value'!CA60/'Total Value'!$D60-1)</f>
        <v>-9.0380313199105222E-2</v>
      </c>
      <c r="CB48" s="14">
        <f ca="1">IF(CB$1="","",'Total Value'!CB60/'Total Value'!$D60-1)</f>
        <v>-8.0984340044742864E-2</v>
      </c>
      <c r="CC48" s="14">
        <f ca="1">IF(CC$1="","",'Total Value'!CC60/'Total Value'!$D60-1)</f>
        <v>-5.458612975391508E-2</v>
      </c>
      <c r="CD48" s="14">
        <f ca="1">IF(CD$1="","",'Total Value'!CD60/'Total Value'!$D60-1)</f>
        <v>-2.5950782997762878E-2</v>
      </c>
      <c r="CE48" s="14">
        <f ca="1">IF(CE$1="","",'Total Value'!CE60/'Total Value'!$D60-1)</f>
        <v>1.6554809843400298E-2</v>
      </c>
      <c r="CF48" s="14" t="str">
        <f ca="1">IF(CF$1="","",'Total Value'!CF60/'Total Value'!$D60-1)</f>
        <v/>
      </c>
      <c r="CG48" s="14" t="str">
        <f ca="1">IF(CG$1="","",'Total Value'!CG60/'Total Value'!$D60-1)</f>
        <v/>
      </c>
      <c r="CH48" s="14" t="str">
        <f ca="1">IF(CH$1="","",'Total Value'!CH60/'Total Value'!$D60-1)</f>
        <v/>
      </c>
      <c r="CI48" s="14" t="str">
        <f ca="1">IF(CI$1="","",'Total Value'!CI60/'Total Value'!$D60-1)</f>
        <v/>
      </c>
      <c r="CJ48" s="14" t="str">
        <f ca="1">IF(CJ$1="","",'Total Value'!CJ60/'Total Value'!$D60-1)</f>
        <v/>
      </c>
      <c r="CK48" s="14" t="str">
        <f ca="1">IF(CK$1="","",'Total Value'!CK60/'Total Value'!$D60-1)</f>
        <v/>
      </c>
      <c r="CL48" s="14" t="str">
        <f ca="1">IF(CL$1="","",'Total Value'!CL60/'Total Value'!$D60-1)</f>
        <v/>
      </c>
      <c r="CM48" s="14" t="str">
        <f ca="1">IF(CM$1="","",'Total Value'!CM60/'Total Value'!$D60-1)</f>
        <v/>
      </c>
      <c r="CN48" s="14" t="str">
        <f ca="1">IF(CN$1="","",'Total Value'!CN60/'Total Value'!$D60-1)</f>
        <v/>
      </c>
      <c r="CO48" s="14" t="str">
        <f ca="1">IF(CO$1="","",'Total Value'!CO60/'Total Value'!$D60-1)</f>
        <v/>
      </c>
      <c r="CP48" s="14" t="str">
        <f ca="1">IF(CP$1="","",'Total Value'!CP60/'Total Value'!$D60-1)</f>
        <v/>
      </c>
      <c r="CQ48" s="14" t="str">
        <f ca="1">IF(CQ$1="","",'Total Value'!CQ60/'Total Value'!$D60-1)</f>
        <v/>
      </c>
      <c r="CR48" s="14" t="str">
        <f ca="1">IF(CR$1="","",'Total Value'!CR60/'Total Value'!$D60-1)</f>
        <v/>
      </c>
      <c r="CS48" s="14" t="str">
        <f ca="1">IF(CS$1="","",'Total Value'!CS60/'Total Value'!$D60-1)</f>
        <v/>
      </c>
      <c r="CT48" s="14" t="str">
        <f ca="1">IF(CT$1="","",'Total Value'!CT60/'Total Value'!$D60-1)</f>
        <v/>
      </c>
      <c r="CU48" s="14" t="str">
        <f ca="1">IF(CU$1="","",'Total Value'!CU60/'Total Value'!$D60-1)</f>
        <v/>
      </c>
      <c r="CV48" s="14" t="str">
        <f ca="1">IF(CV$1="","",'Total Value'!CV60/'Total Value'!$D60-1)</f>
        <v/>
      </c>
      <c r="CW48" s="14" t="str">
        <f ca="1">IF(CW$1="","",'Total Value'!CW60/'Total Value'!$D60-1)</f>
        <v/>
      </c>
      <c r="CX48" s="14" t="str">
        <f ca="1">IF(CX$1="","",'Total Value'!CX60/'Total Value'!$D60-1)</f>
        <v/>
      </c>
      <c r="CY48" s="14" t="str">
        <f ca="1">IF(CY$1="","",'Total Value'!CY60/'Total Value'!$D60-1)</f>
        <v/>
      </c>
      <c r="CZ48" s="14" t="str">
        <f ca="1">IF(CZ$1="","",'Total Value'!CZ60/'Total Value'!$D60-1)</f>
        <v/>
      </c>
      <c r="DA48" s="14" t="str">
        <f ca="1">IF(DA$1="","",'Total Value'!DA60/'Total Value'!$D60-1)</f>
        <v/>
      </c>
      <c r="DB48" s="14" t="str">
        <f ca="1">IF(DB$1="","",'Total Value'!DB60/'Total Value'!$D60-1)</f>
        <v/>
      </c>
      <c r="DC48" s="14" t="str">
        <f ca="1">IF(DC$1="","",'Total Value'!DC60/'Total Value'!$D60-1)</f>
        <v/>
      </c>
      <c r="DD48" s="14" t="str">
        <f ca="1">IF(DD$1="","",'Total Value'!DD60/'Total Value'!$D60-1)</f>
        <v/>
      </c>
      <c r="DE48" s="14" t="str">
        <f ca="1">IF(DE$1="","",'Total Value'!DE60/'Total Value'!$D60-1)</f>
        <v/>
      </c>
      <c r="DF48" s="14" t="str">
        <f ca="1">IF(DF$1="","",'Total Value'!DF60/'Total Value'!$D60-1)</f>
        <v/>
      </c>
      <c r="DG48" s="14" t="str">
        <f ca="1">IF(DG$1="","",'Total Value'!DG60/'Total Value'!$D60-1)</f>
        <v/>
      </c>
      <c r="DH48" s="14" t="str">
        <f ca="1">IF(DH$1="","",'Total Value'!DH60/'Total Value'!$D60-1)</f>
        <v/>
      </c>
      <c r="DI48" s="14" t="str">
        <f ca="1">IF(DI$1="","",'Total Value'!DI60/'Total Value'!$D60-1)</f>
        <v/>
      </c>
      <c r="DJ48" s="14" t="str">
        <f ca="1">IF(DJ$1="","",'Total Value'!DJ60/'Total Value'!$D60-1)</f>
        <v/>
      </c>
      <c r="DK48" s="14" t="str">
        <f ca="1">IF(DK$1="","",'Total Value'!DK60/'Total Value'!$D60-1)</f>
        <v/>
      </c>
      <c r="DL48" s="14" t="str">
        <f ca="1">IF(DL$1="","",'Total Value'!DL60/'Total Value'!$D60-1)</f>
        <v/>
      </c>
      <c r="DM48" s="14" t="str">
        <f ca="1">IF(DM$1="","",'Total Value'!DM60/'Total Value'!$D60-1)</f>
        <v/>
      </c>
      <c r="DN48" s="14" t="str">
        <f ca="1">IF(DN$1="","",'Total Value'!DN60/'Total Value'!$D60-1)</f>
        <v/>
      </c>
      <c r="DO48" s="14" t="str">
        <f ca="1">IF(DO$1="","",'Total Value'!DO60/'Total Value'!$D60-1)</f>
        <v/>
      </c>
      <c r="DP48" s="14" t="str">
        <f ca="1">IF(DP$1="","",'Total Value'!DP60/'Total Value'!$D60-1)</f>
        <v/>
      </c>
      <c r="DQ48" s="14" t="str">
        <f ca="1">IF(DQ$1="","",'Total Value'!DQ60/'Total Value'!$D60-1)</f>
        <v/>
      </c>
      <c r="DR48" s="14" t="str">
        <f ca="1">IF(DR$1="","",'Total Value'!DR60/'Total Value'!$D60-1)</f>
        <v/>
      </c>
      <c r="DS48" s="14" t="str">
        <f ca="1">IF(DS$1="","",'Total Value'!DS60/'Total Value'!$D60-1)</f>
        <v/>
      </c>
      <c r="DT48" s="14" t="str">
        <f ca="1">IF(DT$1="","",'Total Value'!DT60/'Total Value'!$D60-1)</f>
        <v/>
      </c>
      <c r="DU48" s="14" t="str">
        <f ca="1">IF(DU$1="","",'Total Value'!DU60/'Total Value'!$D60-1)</f>
        <v/>
      </c>
      <c r="DV48" s="14" t="str">
        <f ca="1">IF(DV$1="","",'Total Value'!DV60/'Total Value'!$D60-1)</f>
        <v/>
      </c>
      <c r="DW48" s="14" t="str">
        <f ca="1">IF(DW$1="","",'Total Value'!DW60/'Total Value'!$D60-1)</f>
        <v/>
      </c>
      <c r="DX48" s="14" t="str">
        <f ca="1">IF(DX$1="","",'Total Value'!DX60/'Total Value'!$D60-1)</f>
        <v/>
      </c>
      <c r="DY48" s="14" t="str">
        <f ca="1">IF(DY$1="","",'Total Value'!DY60/'Total Value'!$D60-1)</f>
        <v/>
      </c>
      <c r="DZ48" s="14" t="str">
        <f ca="1">IF(DZ$1="","",'Total Value'!DZ60/'Total Value'!$D60-1)</f>
        <v/>
      </c>
      <c r="EA48" s="14" t="str">
        <f ca="1">IF(EA$1="","",'Total Value'!EA60/'Total Value'!$D60-1)</f>
        <v/>
      </c>
      <c r="EB48" s="14" t="str">
        <f ca="1">IF(EB$1="","",'Total Value'!EB60/'Total Value'!$D60-1)</f>
        <v/>
      </c>
      <c r="EC48" s="14" t="str">
        <f ca="1">IF(EC$1="","",'Total Value'!EC60/'Total Value'!$D60-1)</f>
        <v/>
      </c>
      <c r="ED48" s="14" t="str">
        <f ca="1">IF(ED$1="","",'Total Value'!ED60/'Total Value'!$D60-1)</f>
        <v/>
      </c>
      <c r="EE48" s="14" t="str">
        <f ca="1">IF(EE$1="","",'Total Value'!EE60/'Total Value'!$D60-1)</f>
        <v/>
      </c>
      <c r="EF48" s="14" t="str">
        <f ca="1">IF(EF$1="","",'Total Value'!EF60/'Total Value'!$D60-1)</f>
        <v/>
      </c>
      <c r="EG48" s="14" t="str">
        <f ca="1">IF(EG$1="","",'Total Value'!EG60/'Total Value'!$D60-1)</f>
        <v/>
      </c>
      <c r="EH48" s="14" t="str">
        <f ca="1">IF(EH$1="","",'Total Value'!EH60/'Total Value'!$D60-1)</f>
        <v/>
      </c>
      <c r="EI48" s="14" t="str">
        <f ca="1">IF(EI$1="","",'Total Value'!EI60/'Total Value'!$D60-1)</f>
        <v/>
      </c>
      <c r="EJ48" s="14" t="str">
        <f ca="1">IF(EJ$1="","",'Total Value'!EJ60/'Total Value'!$D60-1)</f>
        <v/>
      </c>
      <c r="EK48" s="14" t="str">
        <f ca="1">IF(EK$1="","",'Total Value'!EK60/'Total Value'!$D60-1)</f>
        <v/>
      </c>
      <c r="EL48" s="14" t="str">
        <f ca="1">IF(EL$1="","",'Total Value'!EL60/'Total Value'!$D60-1)</f>
        <v/>
      </c>
      <c r="EM48" s="14" t="str">
        <f ca="1">IF(EM$1="","",'Total Value'!EM60/'Total Value'!$D60-1)</f>
        <v/>
      </c>
      <c r="EN48" s="14" t="str">
        <f ca="1">IF(EN$1="","",'Total Value'!EN60/'Total Value'!$D60-1)</f>
        <v/>
      </c>
      <c r="EO48" s="14" t="str">
        <f ca="1">IF(EO$1="","",'Total Value'!EO60/'Total Value'!$D60-1)</f>
        <v/>
      </c>
      <c r="EP48" s="14" t="str">
        <f ca="1">IF(EP$1="","",'Total Value'!EP60/'Total Value'!$D60-1)</f>
        <v/>
      </c>
      <c r="EQ48" s="14" t="str">
        <f ca="1">IF(EQ$1="","",'Total Value'!EQ60/'Total Value'!$D60-1)</f>
        <v/>
      </c>
      <c r="ER48" s="14" t="str">
        <f ca="1">IF(ER$1="","",'Total Value'!ER60/'Total Value'!$D60-1)</f>
        <v/>
      </c>
      <c r="ES48" s="14" t="str">
        <f ca="1">IF(ES$1="","",'Total Value'!ES60/'Total Value'!$D60-1)</f>
        <v/>
      </c>
      <c r="ET48" s="14" t="str">
        <f ca="1">IF(ET$1="","",'Total Value'!ET60/'Total Value'!$D60-1)</f>
        <v/>
      </c>
      <c r="EU48" s="14" t="str">
        <f ca="1">IF(EU$1="","",'Total Value'!EU60/'Total Value'!$D60-1)</f>
        <v/>
      </c>
      <c r="EV48" s="14" t="str">
        <f ca="1">IF(EV$1="","",'Total Value'!EV60/'Total Value'!$D60-1)</f>
        <v/>
      </c>
      <c r="EW48" s="14" t="str">
        <f ca="1">IF(EW$1="","",'Total Value'!EW60/'Total Value'!$D60-1)</f>
        <v/>
      </c>
      <c r="EX48" s="14" t="str">
        <f ca="1">IF(EX$1="","",'Total Value'!EX60/'Total Value'!$D60-1)</f>
        <v/>
      </c>
      <c r="EY48" s="14" t="str">
        <f ca="1">IF(EY$1="","",'Total Value'!EY60/'Total Value'!$D60-1)</f>
        <v/>
      </c>
      <c r="EZ48" s="14" t="str">
        <f ca="1">IF(EZ$1="","",'Total Value'!EZ60/'Total Value'!$D60-1)</f>
        <v/>
      </c>
      <c r="FA48" s="14" t="str">
        <f ca="1">IF(FA$1="","",'Total Value'!FA60/'Total Value'!$D60-1)</f>
        <v/>
      </c>
      <c r="FB48" s="14" t="str">
        <f ca="1">IF(FB$1="","",'Total Value'!FB60/'Total Value'!$D60-1)</f>
        <v/>
      </c>
      <c r="FC48" s="14" t="str">
        <f ca="1">IF(FC$1="","",'Total Value'!FC60/'Total Value'!$D60-1)</f>
        <v/>
      </c>
      <c r="FD48" s="14" t="str">
        <f ca="1">IF(FD$1="","",'Total Value'!FD60/'Total Value'!$D60-1)</f>
        <v/>
      </c>
      <c r="FE48" s="14" t="str">
        <f ca="1">IF(FE$1="","",'Total Value'!FE60/'Total Value'!$D60-1)</f>
        <v/>
      </c>
      <c r="FF48" s="14" t="str">
        <f ca="1">IF(FF$1="","",'Total Value'!FF60/'Total Value'!$D60-1)</f>
        <v/>
      </c>
      <c r="FG48" s="14" t="str">
        <f ca="1">IF(FG$1="","",'Total Value'!FG60/'Total Value'!$D60-1)</f>
        <v/>
      </c>
      <c r="FH48" s="14" t="str">
        <f ca="1">IF(FH$1="","",'Total Value'!FH60/'Total Value'!$D60-1)</f>
        <v/>
      </c>
      <c r="FI48" s="14" t="str">
        <f ca="1">IF(FI$1="","",'Total Value'!FI60/'Total Value'!$D60-1)</f>
        <v/>
      </c>
      <c r="FJ48" s="14" t="str">
        <f ca="1">IF(FJ$1="","",'Total Value'!FJ60/'Total Value'!$D60-1)</f>
        <v/>
      </c>
      <c r="FK48" s="14" t="str">
        <f ca="1">IF(FK$1="","",'Total Value'!FK60/'Total Value'!$D60-1)</f>
        <v/>
      </c>
      <c r="FL48" s="14" t="str">
        <f ca="1">IF(FL$1="","",'Total Value'!FL60/'Total Value'!$D60-1)</f>
        <v/>
      </c>
      <c r="FM48" s="14" t="str">
        <f ca="1">IF(FM$1="","",'Total Value'!FM60/'Total Value'!$D60-1)</f>
        <v/>
      </c>
      <c r="FN48" s="14" t="str">
        <f ca="1">IF(FN$1="","",'Total Value'!FN60/'Total Value'!$D60-1)</f>
        <v/>
      </c>
      <c r="FO48" s="14" t="str">
        <f ca="1">IF(FO$1="","",'Total Value'!FO60/'Total Value'!$D60-1)</f>
        <v/>
      </c>
      <c r="FP48" s="14" t="str">
        <f ca="1">IF(FP$1="","",'Total Value'!FP60/'Total Value'!$D60-1)</f>
        <v/>
      </c>
      <c r="FQ48" s="14" t="str">
        <f ca="1">IF(FQ$1="","",'Total Value'!FQ60/'Total Value'!$D60-1)</f>
        <v/>
      </c>
      <c r="FR48" s="14" t="str">
        <f ca="1">IF(FR$1="","",'Total Value'!FR60/'Total Value'!$D60-1)</f>
        <v/>
      </c>
      <c r="FS48" s="14" t="str">
        <f ca="1">IF(FS$1="","",'Total Value'!FS60/'Total Value'!$D60-1)</f>
        <v/>
      </c>
      <c r="FT48" s="14" t="str">
        <f ca="1">IF(FT$1="","",'Total Value'!FT60/'Total Value'!$D60-1)</f>
        <v/>
      </c>
      <c r="FU48" s="14" t="str">
        <f ca="1">IF(FU$1="","",'Total Value'!FU60/'Total Value'!$D60-1)</f>
        <v/>
      </c>
      <c r="FV48" s="14" t="str">
        <f ca="1">IF(FV$1="","",'Total Value'!FV60/'Total Value'!$D60-1)</f>
        <v/>
      </c>
      <c r="FW48" s="14" t="str">
        <f ca="1">IF(FW$1="","",'Total Value'!FW60/'Total Value'!$D60-1)</f>
        <v/>
      </c>
      <c r="FX48" s="14" t="str">
        <f ca="1">IF(FX$1="","",'Total Value'!FX60/'Total Value'!$D60-1)</f>
        <v/>
      </c>
      <c r="FY48" s="14" t="str">
        <f ca="1">IF(FY$1="","",'Total Value'!FY60/'Total Value'!$D60-1)</f>
        <v/>
      </c>
      <c r="FZ48" s="14" t="str">
        <f ca="1">IF(FZ$1="","",'Total Value'!FZ60/'Total Value'!$D60-1)</f>
        <v/>
      </c>
      <c r="GA48" s="14" t="str">
        <f ca="1">IF(GA$1="","",'Total Value'!GA60/'Total Value'!$D60-1)</f>
        <v/>
      </c>
      <c r="GB48" s="14" t="str">
        <f ca="1">IF(GB$1="","",'Total Value'!GB60/'Total Value'!$D60-1)</f>
        <v/>
      </c>
      <c r="GC48" s="14" t="str">
        <f ca="1">IF(GC$1="","",'Total Value'!GC60/'Total Value'!$D60-1)</f>
        <v/>
      </c>
      <c r="GD48" s="14" t="str">
        <f ca="1">IF(GD$1="","",'Total Value'!GD60/'Total Value'!$D60-1)</f>
        <v/>
      </c>
      <c r="GE48" s="14" t="str">
        <f ca="1">IF(GE$1="","",'Total Value'!GE60/'Total Value'!$D60-1)</f>
        <v/>
      </c>
      <c r="GF48" s="14" t="str">
        <f ca="1">IF(GF$1="","",'Total Value'!GF60/'Total Value'!$D60-1)</f>
        <v/>
      </c>
      <c r="GG48" s="14" t="str">
        <f ca="1">IF(GG$1="","",'Total Value'!GG60/'Total Value'!$D60-1)</f>
        <v/>
      </c>
      <c r="GH48" s="14" t="str">
        <f ca="1">IF(GH$1="","",'Total Value'!GH60/'Total Value'!$D60-1)</f>
        <v/>
      </c>
      <c r="GI48" s="14" t="str">
        <f ca="1">IF(GI$1="","",'Total Value'!GI60/'Total Value'!$D60-1)</f>
        <v/>
      </c>
      <c r="GJ48" s="14" t="str">
        <f ca="1">IF(GJ$1="","",'Total Value'!GJ60/'Total Value'!$D60-1)</f>
        <v/>
      </c>
      <c r="GK48" s="14" t="str">
        <f ca="1">IF(GK$1="","",'Total Value'!GK60/'Total Value'!$D60-1)</f>
        <v/>
      </c>
      <c r="GL48" s="14" t="str">
        <f ca="1">IF(GL$1="","",'Total Value'!GL60/'Total Value'!$D60-1)</f>
        <v/>
      </c>
      <c r="GM48" s="14" t="str">
        <f ca="1">IF(GM$1="","",'Total Value'!GM60/'Total Value'!$D60-1)</f>
        <v/>
      </c>
      <c r="GN48" s="14" t="str">
        <f ca="1">IF(GN$1="","",'Total Value'!GN60/'Total Value'!$D60-1)</f>
        <v/>
      </c>
      <c r="GO48" s="14" t="str">
        <f ca="1">IF(GO$1="","",'Total Value'!GO60/'Total Value'!$D60-1)</f>
        <v/>
      </c>
      <c r="GP48" s="14" t="str">
        <f ca="1">IF(GP$1="","",'Total Value'!GP60/'Total Value'!$D60-1)</f>
        <v/>
      </c>
      <c r="GQ48" s="14" t="str">
        <f ca="1">IF(GQ$1="","",'Total Value'!GQ60/'Total Value'!$D60-1)</f>
        <v/>
      </c>
      <c r="GR48" s="14" t="str">
        <f ca="1">IF(GR$1="","",'Total Value'!GR60/'Total Value'!$D60-1)</f>
        <v/>
      </c>
      <c r="GS48" s="14" t="str">
        <f ca="1">IF(GS$1="","",'Total Value'!GS60/'Total Value'!$D60-1)</f>
        <v/>
      </c>
      <c r="GT48" s="14" t="str">
        <f ca="1">IF(GT$1="","",'Total Value'!GT60/'Total Value'!$D60-1)</f>
        <v/>
      </c>
      <c r="GU48" s="14" t="str">
        <f ca="1">IF(GU$1="","",'Total Value'!GU60/'Total Value'!$D60-1)</f>
        <v/>
      </c>
      <c r="GV48" s="14" t="str">
        <f ca="1">IF(GV$1="","",'Total Value'!GV60/'Total Value'!$D60-1)</f>
        <v/>
      </c>
      <c r="GW48" s="14" t="str">
        <f ca="1">IF(GW$1="","",'Total Value'!GW60/'Total Value'!$D60-1)</f>
        <v/>
      </c>
      <c r="GX48" s="14" t="str">
        <f ca="1">IF(GX$1="","",'Total Value'!GX60/'Total Value'!$D60-1)</f>
        <v/>
      </c>
      <c r="GY48" s="14" t="str">
        <f ca="1">IF(GY$1="","",'Total Value'!GY60/'Total Value'!$D60-1)</f>
        <v/>
      </c>
      <c r="GZ48" s="14" t="str">
        <f ca="1">IF(GZ$1="","",'Total Value'!GZ60/'Total Value'!$D60-1)</f>
        <v/>
      </c>
      <c r="HA48" s="14" t="str">
        <f ca="1">IF(HA$1="","",'Total Value'!HA60/'Total Value'!$D60-1)</f>
        <v/>
      </c>
      <c r="HB48" s="14" t="str">
        <f ca="1">IF(HB$1="","",'Total Value'!HB60/'Total Value'!$D60-1)</f>
        <v/>
      </c>
      <c r="HC48" s="14" t="str">
        <f ca="1">IF(HC$1="","",'Total Value'!HC60/'Total Value'!$D60-1)</f>
        <v/>
      </c>
      <c r="HD48" s="14" t="str">
        <f ca="1">IF(HD$1="","",'Total Value'!HD60/'Total Value'!$D60-1)</f>
        <v/>
      </c>
      <c r="HE48" s="14" t="str">
        <f ca="1">IF(HE$1="","",'Total Value'!HE60/'Total Value'!$D60-1)</f>
        <v/>
      </c>
      <c r="HF48" s="14" t="str">
        <f ca="1">IF(HF$1="","",'Total Value'!HF60/'Total Value'!$D60-1)</f>
        <v/>
      </c>
      <c r="HG48" s="14" t="str">
        <f ca="1">IF(HG$1="","",'Total Value'!HG60/'Total Value'!$D60-1)</f>
        <v/>
      </c>
      <c r="HH48" s="14" t="str">
        <f ca="1">IF(HH$1="","",'Total Value'!HH60/'Total Value'!$D60-1)</f>
        <v/>
      </c>
      <c r="HI48" s="14" t="str">
        <f ca="1">IF(HI$1="","",'Total Value'!HI60/'Total Value'!$D60-1)</f>
        <v/>
      </c>
      <c r="HJ48" s="14" t="str">
        <f ca="1">IF(HJ$1="","",'Total Value'!HJ60/'Total Value'!$D60-1)</f>
        <v/>
      </c>
      <c r="HK48" s="14" t="str">
        <f ca="1">IF(HK$1="","",'Total Value'!HK60/'Total Value'!$D60-1)</f>
        <v/>
      </c>
      <c r="HL48" s="14" t="str">
        <f ca="1">IF(HL$1="","",'Total Value'!HL60/'Total Value'!$D60-1)</f>
        <v/>
      </c>
      <c r="HM48" s="14" t="str">
        <f ca="1">IF(HM$1="","",'Total Value'!HM60/'Total Value'!$D60-1)</f>
        <v/>
      </c>
      <c r="HN48" s="14" t="str">
        <f ca="1">IF(HN$1="","",'Total Value'!HN60/'Total Value'!$D60-1)</f>
        <v/>
      </c>
      <c r="HO48" s="14" t="str">
        <f ca="1">IF(HO$1="","",'Total Value'!HO60/'Total Value'!$D60-1)</f>
        <v/>
      </c>
      <c r="HP48" s="14" t="str">
        <f ca="1">IF(HP$1="","",'Total Value'!HP60/'Total Value'!$D60-1)</f>
        <v/>
      </c>
      <c r="HQ48" s="14" t="str">
        <f ca="1">IF(HQ$1="","",'Total Value'!HQ60/'Total Value'!$D60-1)</f>
        <v/>
      </c>
      <c r="HR48" s="14" t="str">
        <f ca="1">IF(HR$1="","",'Total Value'!HR60/'Total Value'!$D60-1)</f>
        <v/>
      </c>
      <c r="HS48" s="14" t="str">
        <f ca="1">IF(HS$1="","",'Total Value'!HS60/'Total Value'!$D60-1)</f>
        <v/>
      </c>
      <c r="HT48" s="14" t="str">
        <f ca="1">IF(HT$1="","",'Total Value'!HT60/'Total Value'!$D60-1)</f>
        <v/>
      </c>
      <c r="HU48" s="14" t="str">
        <f ca="1">IF(HU$1="","",'Total Value'!HU60/'Total Value'!$D60-1)</f>
        <v/>
      </c>
      <c r="HV48" s="14" t="str">
        <f ca="1">IF(HV$1="","",'Total Value'!HV60/'Total Value'!$D60-1)</f>
        <v/>
      </c>
      <c r="HW48" s="14" t="str">
        <f ca="1">IF(HW$1="","",'Total Value'!HW60/'Total Value'!$D60-1)</f>
        <v/>
      </c>
      <c r="HX48" s="14" t="str">
        <f ca="1">IF(HX$1="","",'Total Value'!HX60/'Total Value'!$D60-1)</f>
        <v/>
      </c>
      <c r="HY48" s="14" t="str">
        <f ca="1">IF(HY$1="","",'Total Value'!HY60/'Total Value'!$D60-1)</f>
        <v/>
      </c>
      <c r="HZ48" s="14" t="str">
        <f ca="1">IF(HZ$1="","",'Total Value'!HZ60/'Total Value'!$D60-1)</f>
        <v/>
      </c>
      <c r="IA48" s="14" t="str">
        <f ca="1">IF(IA$1="","",'Total Value'!IA60/'Total Value'!$D60-1)</f>
        <v/>
      </c>
      <c r="IB48" s="14" t="str">
        <f ca="1">IF(IB$1="","",'Total Value'!IB60/'Total Value'!$D60-1)</f>
        <v/>
      </c>
      <c r="IC48" s="14" t="str">
        <f ca="1">IF(IC$1="","",'Total Value'!IC60/'Total Value'!$D60-1)</f>
        <v/>
      </c>
      <c r="ID48" s="14" t="str">
        <f ca="1">IF(ID$1="","",'Total Value'!ID60/'Total Value'!$D60-1)</f>
        <v/>
      </c>
      <c r="IE48" s="14" t="str">
        <f ca="1">IF(IE$1="","",'Total Value'!IE60/'Total Value'!$D60-1)</f>
        <v/>
      </c>
      <c r="IF48" s="14" t="str">
        <f ca="1">IF(IF$1="","",'Total Value'!IF60/'Total Value'!$D60-1)</f>
        <v/>
      </c>
      <c r="IG48" s="14" t="str">
        <f ca="1">IF(IG$1="","",'Total Value'!IG60/'Total Value'!$D60-1)</f>
        <v/>
      </c>
      <c r="IH48" s="14" t="str">
        <f ca="1">IF(IH$1="","",'Total Value'!IH60/'Total Value'!$D60-1)</f>
        <v/>
      </c>
      <c r="II48" s="14" t="str">
        <f ca="1">IF(II$1="","",'Total Value'!II60/'Total Value'!$D60-1)</f>
        <v/>
      </c>
      <c r="IJ48" s="14" t="str">
        <f ca="1">IF(IJ$1="","",'Total Value'!IJ60/'Total Value'!$D60-1)</f>
        <v/>
      </c>
      <c r="IK48" s="14" t="str">
        <f ca="1">IF(IK$1="","",'Total Value'!IK60/'Total Value'!$D60-1)</f>
        <v/>
      </c>
      <c r="IL48" s="14" t="str">
        <f ca="1">IF(IL$1="","",'Total Value'!IL60/'Total Value'!$D60-1)</f>
        <v/>
      </c>
      <c r="IM48" s="14" t="str">
        <f ca="1">IF(IM$1="","",'Total Value'!IM60/'Total Value'!$D60-1)</f>
        <v/>
      </c>
      <c r="IN48" s="14" t="str">
        <f ca="1">IF(IN$1="","",'Total Value'!IN60/'Total Value'!$D60-1)</f>
        <v/>
      </c>
      <c r="IO48" s="14" t="str">
        <f ca="1">IF(IO$1="","",'Total Value'!IO60/'Total Value'!$D60-1)</f>
        <v/>
      </c>
      <c r="IP48" s="14" t="str">
        <f ca="1">IF(IP$1="","",'Total Value'!IP60/'Total Value'!$D60-1)</f>
        <v/>
      </c>
      <c r="IQ48" s="14" t="str">
        <f ca="1">IF(IQ$1="","",'Total Value'!IQ60/'Total Value'!$D60-1)</f>
        <v/>
      </c>
      <c r="IR48" s="14" t="str">
        <f ca="1">IF(IR$1="","",'Total Value'!IR60/'Total Value'!$D60-1)</f>
        <v/>
      </c>
      <c r="IS48" s="14" t="str">
        <f ca="1">IF(IS$1="","",'Total Value'!IS60/'Total Value'!$D60-1)</f>
        <v/>
      </c>
      <c r="IT48" s="14" t="str">
        <f ca="1">IF(IT$1="","",'Total Value'!IT60/'Total Value'!$D60-1)</f>
        <v/>
      </c>
      <c r="IU48" s="14" t="str">
        <f ca="1">IF(IU$1="","",'Total Value'!IU60/'Total Value'!$D60-1)</f>
        <v/>
      </c>
      <c r="IV48" s="14" t="str">
        <f ca="1">IF(IV$1="","",'Total Value'!IV60/'Total Value'!$D60-1)</f>
        <v/>
      </c>
      <c r="IW48" s="14" t="str">
        <f ca="1">IF(IW$1="","",'Total Value'!IW60/'Total Value'!$D60-1)</f>
        <v/>
      </c>
      <c r="IX48" s="14" t="str">
        <f ca="1">IF(IX$1="","",'Total Value'!IX60/'Total Value'!$D60-1)</f>
        <v/>
      </c>
      <c r="IY48" s="14" t="str">
        <f ca="1">IF(IY$1="","",'Total Value'!IY60/'Total Value'!$D60-1)</f>
        <v/>
      </c>
      <c r="IZ48" s="14" t="str">
        <f ca="1">IF(IZ$1="","",'Total Value'!IZ60/'Total Value'!$D60-1)</f>
        <v/>
      </c>
      <c r="JA48" s="14" t="str">
        <f ca="1">IF(JA$1="","",'Total Value'!JA60/'Total Value'!$D60-1)</f>
        <v/>
      </c>
      <c r="JB48" s="14" t="str">
        <f ca="1">IF(JB$1="","",'Total Value'!JB60/'Total Value'!$D60-1)</f>
        <v/>
      </c>
      <c r="JC48" s="14" t="str">
        <f ca="1">IF(JC$1="","",'Total Value'!JC60/'Total Value'!$D60-1)</f>
        <v/>
      </c>
      <c r="JD48" s="14" t="str">
        <f ca="1">IF(JD$1="","",'Total Value'!JD60/'Total Value'!$D60-1)</f>
        <v/>
      </c>
      <c r="JE48" s="14" t="str">
        <f ca="1">IF(JE$1="","",'Total Value'!JE60/'Total Value'!$D60-1)</f>
        <v/>
      </c>
      <c r="JF48" s="14" t="str">
        <f ca="1">IF(JF$1="","",'Total Value'!JF60/'Total Value'!$D60-1)</f>
        <v/>
      </c>
      <c r="JG48" s="14" t="str">
        <f ca="1">IF(JG$1="","",'Total Value'!JG60/'Total Value'!$D60-1)</f>
        <v/>
      </c>
      <c r="JH48" s="14" t="str">
        <f ca="1">IF(JH$1="","",'Total Value'!JH60/'Total Value'!$D60-1)</f>
        <v/>
      </c>
      <c r="JI48" s="14" t="str">
        <f ca="1">IF(JI$1="","",'Total Value'!JI60/'Total Value'!$D60-1)</f>
        <v/>
      </c>
      <c r="JJ48" s="14" t="str">
        <f ca="1">IF(JJ$1="","",'Total Value'!JJ60/'Total Value'!$D60-1)</f>
        <v/>
      </c>
      <c r="JK48" s="14" t="str">
        <f ca="1">IF(JK$1="","",'Total Value'!JK60/'Total Value'!$D60-1)</f>
        <v/>
      </c>
      <c r="JL48" s="14" t="str">
        <f ca="1">IF(JL$1="","",'Total Value'!JL60/'Total Value'!$D60-1)</f>
        <v/>
      </c>
      <c r="JM48" s="14" t="str">
        <f ca="1">IF(JM$1="","",'Total Value'!JM60/'Total Value'!$D60-1)</f>
        <v/>
      </c>
      <c r="JN48" s="14" t="str">
        <f ca="1">IF(JN$1="","",'Total Value'!JN60/'Total Value'!$D60-1)</f>
        <v/>
      </c>
      <c r="JO48" s="14" t="str">
        <f ca="1">IF(JO$1="","",'Total Value'!JO60/'Total Value'!$D60-1)</f>
        <v/>
      </c>
      <c r="JP48" s="14" t="str">
        <f ca="1">IF(JP$1="","",'Total Value'!JP60/'Total Value'!$D60-1)</f>
        <v/>
      </c>
      <c r="JQ48" s="14" t="str">
        <f ca="1">IF(JQ$1="","",'Total Value'!JQ60/'Total Value'!$D60-1)</f>
        <v/>
      </c>
      <c r="JR48" s="14" t="str">
        <f ca="1">IF(JR$1="","",'Total Value'!JR60/'Total Value'!$D60-1)</f>
        <v/>
      </c>
      <c r="JS48" s="14" t="str">
        <f ca="1">IF(JS$1="","",'Total Value'!JS60/'Total Value'!$D60-1)</f>
        <v/>
      </c>
      <c r="JT48" s="14" t="str">
        <f ca="1">IF(JT$1="","",'Total Value'!JT60/'Total Value'!$D60-1)</f>
        <v/>
      </c>
      <c r="JU48" s="14" t="str">
        <f ca="1">IF(JU$1="","",'Total Value'!JU60/'Total Value'!$D60-1)</f>
        <v/>
      </c>
      <c r="JV48" s="14" t="str">
        <f ca="1">IF(JV$1="","",'Total Value'!JV60/'Total Value'!$D60-1)</f>
        <v/>
      </c>
      <c r="JW48" s="14" t="str">
        <f ca="1">IF(JW$1="","",'Total Value'!JW60/'Total Value'!$D60-1)</f>
        <v/>
      </c>
      <c r="JX48" s="14" t="str">
        <f ca="1">IF(JX$1="","",'Total Value'!JX60/'Total Value'!$D60-1)</f>
        <v/>
      </c>
      <c r="JY48" s="14" t="str">
        <f ca="1">IF(JY$1="","",'Total Value'!JY60/'Total Value'!$D60-1)</f>
        <v/>
      </c>
      <c r="JZ48" s="14" t="str">
        <f ca="1">IF(JZ$1="","",'Total Value'!JZ60/'Total Value'!$D60-1)</f>
        <v/>
      </c>
      <c r="KA48" s="14" t="str">
        <f ca="1">IF(KA$1="","",'Total Value'!KA60/'Total Value'!$D60-1)</f>
        <v/>
      </c>
      <c r="KB48" s="14" t="str">
        <f ca="1">IF(KB$1="","",'Total Value'!KB60/'Total Value'!$D60-1)</f>
        <v/>
      </c>
    </row>
    <row r="49" spans="1:288" ht="15.75" customHeight="1">
      <c r="A49" s="9" t="s">
        <v>30</v>
      </c>
      <c r="B49" s="6" t="s">
        <v>92</v>
      </c>
      <c r="C49" s="26">
        <v>100</v>
      </c>
      <c r="D49" s="13">
        <v>0</v>
      </c>
      <c r="E49" s="14">
        <f ca="1">IF(E$1="","",'Total Value'!E61/'Total Value'!$D61-1)</f>
        <v>7.5949367088607556E-2</v>
      </c>
      <c r="F49" s="14">
        <f ca="1">IF(F$1="","",'Total Value'!F61/'Total Value'!$D61-1)</f>
        <v>8.8607594936708889E-2</v>
      </c>
      <c r="G49" s="14">
        <f ca="1">IF(G$1="","",'Total Value'!G61/'Total Value'!$D61-1)</f>
        <v>6.3291139240506222E-2</v>
      </c>
      <c r="H49" s="14">
        <f ca="1">IF(H$1="","",'Total Value'!H61/'Total Value'!$D61-1)</f>
        <v>8.8607594936708889E-2</v>
      </c>
      <c r="I49" s="14">
        <f ca="1">IF(I$1="","",'Total Value'!I61/'Total Value'!$D61-1)</f>
        <v>0.12658227848101267</v>
      </c>
      <c r="J49" s="14">
        <f ca="1">IF(J$1="","",'Total Value'!J61/'Total Value'!$D61-1)</f>
        <v>0.16455696202531644</v>
      </c>
      <c r="K49" s="14">
        <f ca="1">IF(K$1="","",'Total Value'!K61/'Total Value'!$D61-1)</f>
        <v>0.139240506329114</v>
      </c>
      <c r="L49" s="14">
        <f ca="1">IF(L$1="","",'Total Value'!L61/'Total Value'!$D61-1)</f>
        <v>8.8607594936708889E-2</v>
      </c>
      <c r="M49" s="14">
        <f ca="1">IF(M$1="","",'Total Value'!M61/'Total Value'!$D61-1)</f>
        <v>5.0632911392405111E-2</v>
      </c>
      <c r="N49" s="14">
        <f ca="1">IF(N$1="","",'Total Value'!N61/'Total Value'!$D61-1)</f>
        <v>0.11392405063291133</v>
      </c>
      <c r="O49" s="14">
        <f ca="1">IF(O$1="","",'Total Value'!O61/'Total Value'!$D61-1)</f>
        <v>0.10126582278481022</v>
      </c>
      <c r="P49" s="14">
        <f ca="1">IF(P$1="","",'Total Value'!P61/'Total Value'!$D61-1)</f>
        <v>8.8607594936708889E-2</v>
      </c>
      <c r="Q49" s="14">
        <f ca="1">IF(Q$1="","",'Total Value'!Q61/'Total Value'!$D61-1)</f>
        <v>0.11392405063291133</v>
      </c>
      <c r="R49" s="14">
        <f ca="1">IF(R$1="","",'Total Value'!R61/'Total Value'!$D61-1)</f>
        <v>0.15189873417721511</v>
      </c>
      <c r="S49" s="14">
        <f ca="1">IF(S$1="","",'Total Value'!S61/'Total Value'!$D61-1)</f>
        <v>0.21518987341772156</v>
      </c>
      <c r="T49" s="14">
        <f ca="1">IF(T$1="","",'Total Value'!T61/'Total Value'!$D61-1)</f>
        <v>0.29113924050632911</v>
      </c>
      <c r="U49" s="14">
        <f ca="1">IF(U$1="","",'Total Value'!U61/'Total Value'!$D61-1)</f>
        <v>0.35443037974683533</v>
      </c>
      <c r="V49" s="14">
        <f ca="1">IF(V$1="","",'Total Value'!V61/'Total Value'!$D61-1)</f>
        <v>0.34177215189873422</v>
      </c>
      <c r="W49" s="14">
        <f ca="1">IF(W$1="","",'Total Value'!W61/'Total Value'!$D61-1)</f>
        <v>0.39240506329113933</v>
      </c>
      <c r="X49" s="14">
        <f ca="1">IF(X$1="","",'Total Value'!X61/'Total Value'!$D61-1)</f>
        <v>0.35443037974683533</v>
      </c>
      <c r="Y49" s="14">
        <f ca="1">IF(Y$1="","",'Total Value'!Y61/'Total Value'!$D61-1)</f>
        <v>0.35443037974683533</v>
      </c>
      <c r="Z49" s="14">
        <f ca="1">IF(Z$1="","",'Total Value'!Z61/'Total Value'!$D61-1)</f>
        <v>0.39240506329113933</v>
      </c>
      <c r="AA49" s="14">
        <f ca="1">IF(AA$1="","",'Total Value'!AA61/'Total Value'!$D61-1)</f>
        <v>0.59493670886075956</v>
      </c>
      <c r="AB49" s="14">
        <f ca="1">IF(AB$1="","",'Total Value'!AB61/'Total Value'!$D61-1)</f>
        <v>0.64556962025316467</v>
      </c>
      <c r="AC49" s="14">
        <f ca="1">IF(AC$1="","",'Total Value'!AC61/'Total Value'!$D61-1)</f>
        <v>0.63291139240506333</v>
      </c>
      <c r="AD49" s="14">
        <f ca="1">IF(AD$1="","",'Total Value'!AD61/'Total Value'!$D61-1)</f>
        <v>0.60759493670886067</v>
      </c>
      <c r="AE49" s="14">
        <f ca="1">IF(AE$1="","",'Total Value'!AE61/'Total Value'!$D61-1)</f>
        <v>0.65822784810126578</v>
      </c>
      <c r="AF49" s="14">
        <f ca="1">IF(AF$1="","",'Total Value'!AF61/'Total Value'!$D61-1)</f>
        <v>0.59493670886075956</v>
      </c>
      <c r="AG49" s="14">
        <f ca="1">IF(AG$1="","",'Total Value'!AG61/'Total Value'!$D61-1)</f>
        <v>0.63291139240506333</v>
      </c>
      <c r="AH49" s="14">
        <f ca="1">IF(AH$1="","",'Total Value'!AH61/'Total Value'!$D61-1)</f>
        <v>0.67088607594936711</v>
      </c>
      <c r="AI49" s="14">
        <f ca="1">IF(AI$1="","",'Total Value'!AI61/'Total Value'!$D61-1)</f>
        <v>0.79746835443037978</v>
      </c>
      <c r="AJ49" s="14">
        <f ca="1">IF(AJ$1="","",'Total Value'!AJ61/'Total Value'!$D61-1)</f>
        <v>0.74683544303797467</v>
      </c>
      <c r="AK49" s="14">
        <f ca="1">IF(AK$1="","",'Total Value'!AK61/'Total Value'!$D61-1)</f>
        <v>0.77215189873417711</v>
      </c>
      <c r="AL49" s="14">
        <f ca="1">IF(AL$1="","",'Total Value'!AL61/'Total Value'!$D61-1)</f>
        <v>0.82278481012658222</v>
      </c>
      <c r="AM49" s="14">
        <f ca="1">IF(AM$1="","",'Total Value'!AM61/'Total Value'!$D61-1)</f>
        <v>0.91139240506329111</v>
      </c>
      <c r="AN49" s="14">
        <f ca="1">IF(AN$1="","",'Total Value'!AN61/'Total Value'!$D61-1)</f>
        <v>0.78481012658227844</v>
      </c>
      <c r="AO49" s="14">
        <f ca="1">IF(AO$1="","",'Total Value'!AO61/'Total Value'!$D61-1)</f>
        <v>0.93670886075949378</v>
      </c>
      <c r="AP49" s="14">
        <f ca="1">IF(AP$1="","",'Total Value'!AP61/'Total Value'!$D61-1)</f>
        <v>1.2531645569620253</v>
      </c>
      <c r="AQ49" s="14">
        <f ca="1">IF(AQ$1="","",'Total Value'!AQ61/'Total Value'!$D61-1)</f>
        <v>1.278481012658228</v>
      </c>
      <c r="AR49" s="14">
        <f ca="1">IF(AR$1="","",'Total Value'!AR61/'Total Value'!$D61-1)</f>
        <v>1.0253164556962027</v>
      </c>
      <c r="AS49" s="14">
        <f ca="1">IF(AS$1="","",'Total Value'!AS61/'Total Value'!$D61-1)</f>
        <v>1.1012658227848102</v>
      </c>
      <c r="AT49" s="14">
        <f ca="1">IF(AT$1="","",'Total Value'!AT61/'Total Value'!$D61-1)</f>
        <v>1</v>
      </c>
      <c r="AU49" s="14">
        <f ca="1">IF(AU$1="","",'Total Value'!AU61/'Total Value'!$D61-1)</f>
        <v>0.77215189873417711</v>
      </c>
      <c r="AV49" s="14">
        <f ca="1">IF(AV$1="","",'Total Value'!AV61/'Total Value'!$D61-1)</f>
        <v>0.759493670886076</v>
      </c>
      <c r="AW49" s="14">
        <f ca="1">IF(AW$1="","",'Total Value'!AW61/'Total Value'!$D61-1)</f>
        <v>0.759493670886076</v>
      </c>
      <c r="AX49" s="14">
        <f ca="1">IF(AX$1="","",'Total Value'!AX61/'Total Value'!$D61-1)</f>
        <v>0.87341772151898733</v>
      </c>
      <c r="AY49" s="14">
        <f ca="1">IF(AY$1="","",'Total Value'!AY61/'Total Value'!$D61-1)</f>
        <v>0.91139240506329111</v>
      </c>
      <c r="AZ49" s="14">
        <f ca="1">IF(AZ$1="","",'Total Value'!AZ61/'Total Value'!$D61-1)</f>
        <v>1.037974683544304</v>
      </c>
      <c r="BA49" s="14">
        <f ca="1">IF(BA$1="","",'Total Value'!BA61/'Total Value'!$D61-1)</f>
        <v>0.97468354430379756</v>
      </c>
      <c r="BB49" s="14">
        <f ca="1">IF(BB$1="","",'Total Value'!BB61/'Total Value'!$D61-1)</f>
        <v>1.1265822784810124</v>
      </c>
      <c r="BC49" s="14">
        <f ca="1">IF(BC$1="","",'Total Value'!BC61/'Total Value'!$D61-1)</f>
        <v>1.0759493670886076</v>
      </c>
      <c r="BD49" s="14">
        <f ca="1">IF(BD$1="","",'Total Value'!BD61/'Total Value'!$D61-1)</f>
        <v>1.1518987341772151</v>
      </c>
      <c r="BE49" s="14">
        <f ca="1">IF(BE$1="","",'Total Value'!BE61/'Total Value'!$D61-1)</f>
        <v>1.037974683544304</v>
      </c>
      <c r="BF49" s="14">
        <f ca="1">IF(BF$1="","",'Total Value'!BF61/'Total Value'!$D61-1)</f>
        <v>1</v>
      </c>
      <c r="BG49" s="14">
        <f ca="1">IF(BG$1="","",'Total Value'!BG61/'Total Value'!$D61-1)</f>
        <v>1.0759493670886076</v>
      </c>
      <c r="BH49" s="14">
        <f ca="1">IF(BH$1="","",'Total Value'!BH61/'Total Value'!$D61-1)</f>
        <v>0.98734177215189867</v>
      </c>
      <c r="BI49" s="14">
        <f ca="1">IF(BI$1="","",'Total Value'!BI61/'Total Value'!$D61-1)</f>
        <v>0.98734177215189867</v>
      </c>
      <c r="BJ49" s="14">
        <f ca="1">IF(BJ$1="","",'Total Value'!BJ61/'Total Value'!$D61-1)</f>
        <v>1.0759493670886076</v>
      </c>
      <c r="BK49" s="14">
        <f ca="1">IF(BK$1="","",'Total Value'!BK61/'Total Value'!$D61-1)</f>
        <v>1.0126582278481013</v>
      </c>
      <c r="BL49" s="14">
        <f ca="1">IF(BL$1="","",'Total Value'!BL61/'Total Value'!$D61-1)</f>
        <v>0.97468354430379756</v>
      </c>
      <c r="BM49" s="14">
        <f ca="1">IF(BM$1="","",'Total Value'!BM61/'Total Value'!$D61-1)</f>
        <v>0.97468354430379756</v>
      </c>
      <c r="BN49" s="14">
        <f ca="1">IF(BN$1="","",'Total Value'!BN61/'Total Value'!$D61-1)</f>
        <v>1.0759493670886076</v>
      </c>
      <c r="BO49" s="14">
        <f ca="1">IF(BO$1="","",'Total Value'!BO61/'Total Value'!$D61-1)</f>
        <v>0.92405063291139244</v>
      </c>
      <c r="BP49" s="14">
        <f ca="1">IF(BP$1="","",'Total Value'!BP61/'Total Value'!$D61-1)</f>
        <v>0.98734177215189867</v>
      </c>
      <c r="BQ49" s="14">
        <f ca="1">IF(BQ$1="","",'Total Value'!BQ61/'Total Value'!$D61-1)</f>
        <v>1.0126582278481013</v>
      </c>
      <c r="BR49" s="14">
        <f ca="1">IF(BR$1="","",'Total Value'!BR61/'Total Value'!$D61-1)</f>
        <v>1.1772151898734178</v>
      </c>
      <c r="BS49" s="14">
        <f ca="1">IF(BS$1="","",'Total Value'!BS61/'Total Value'!$D61-1)</f>
        <v>1.2531645569620253</v>
      </c>
      <c r="BT49" s="14">
        <f ca="1">IF(BT$1="","",'Total Value'!BT61/'Total Value'!$D61-1)</f>
        <v>1.1518987341772151</v>
      </c>
      <c r="BU49" s="14">
        <f ca="1">IF(BU$1="","",'Total Value'!BU61/'Total Value'!$D61-1)</f>
        <v>1.3924050632911391</v>
      </c>
      <c r="BV49" s="14">
        <f ca="1">IF(BV$1="","",'Total Value'!BV61/'Total Value'!$D61-1)</f>
        <v>1.240506329113924</v>
      </c>
      <c r="BW49" s="14">
        <f ca="1">IF(BW$1="","",'Total Value'!BW61/'Total Value'!$D61-1)</f>
        <v>1.1518987341772151</v>
      </c>
      <c r="BX49" s="14">
        <f ca="1">IF(BX$1="","",'Total Value'!BX61/'Total Value'!$D61-1)</f>
        <v>1.037974683544304</v>
      </c>
      <c r="BY49" s="14">
        <f ca="1">IF(BY$1="","",'Total Value'!BY61/'Total Value'!$D61-1)</f>
        <v>1.0506329113924049</v>
      </c>
      <c r="BZ49" s="14">
        <f ca="1">IF(BZ$1="","",'Total Value'!BZ61/'Total Value'!$D61-1)</f>
        <v>1.037974683544304</v>
      </c>
      <c r="CA49" s="14">
        <f ca="1">IF(CA$1="","",'Total Value'!CA61/'Total Value'!$D61-1)</f>
        <v>1.1265822784810124</v>
      </c>
      <c r="CB49" s="14">
        <f ca="1">IF(CB$1="","",'Total Value'!CB61/'Total Value'!$D61-1)</f>
        <v>1.0506329113924049</v>
      </c>
      <c r="CC49" s="14">
        <f ca="1">IF(CC$1="","",'Total Value'!CC61/'Total Value'!$D61-1)</f>
        <v>1.0126582278481013</v>
      </c>
      <c r="CD49" s="14">
        <f ca="1">IF(CD$1="","",'Total Value'!CD61/'Total Value'!$D61-1)</f>
        <v>1.1898734177215191</v>
      </c>
      <c r="CE49" s="14">
        <f ca="1">IF(CE$1="","",'Total Value'!CE61/'Total Value'!$D61-1)</f>
        <v>1.1139240506329116</v>
      </c>
      <c r="CF49" s="14" t="str">
        <f ca="1">IF(CF$1="","",'Total Value'!CF61/'Total Value'!$D61-1)</f>
        <v/>
      </c>
      <c r="CG49" s="14" t="str">
        <f ca="1">IF(CG$1="","",'Total Value'!CG61/'Total Value'!$D61-1)</f>
        <v/>
      </c>
      <c r="CH49" s="14" t="str">
        <f ca="1">IF(CH$1="","",'Total Value'!CH61/'Total Value'!$D61-1)</f>
        <v/>
      </c>
      <c r="CI49" s="14" t="str">
        <f ca="1">IF(CI$1="","",'Total Value'!CI61/'Total Value'!$D61-1)</f>
        <v/>
      </c>
      <c r="CJ49" s="14" t="str">
        <f ca="1">IF(CJ$1="","",'Total Value'!CJ61/'Total Value'!$D61-1)</f>
        <v/>
      </c>
      <c r="CK49" s="14" t="str">
        <f ca="1">IF(CK$1="","",'Total Value'!CK61/'Total Value'!$D61-1)</f>
        <v/>
      </c>
      <c r="CL49" s="14" t="str">
        <f ca="1">IF(CL$1="","",'Total Value'!CL61/'Total Value'!$D61-1)</f>
        <v/>
      </c>
      <c r="CM49" s="14" t="str">
        <f ca="1">IF(CM$1="","",'Total Value'!CM61/'Total Value'!$D61-1)</f>
        <v/>
      </c>
      <c r="CN49" s="14" t="str">
        <f ca="1">IF(CN$1="","",'Total Value'!CN61/'Total Value'!$D61-1)</f>
        <v/>
      </c>
      <c r="CO49" s="14" t="str">
        <f ca="1">IF(CO$1="","",'Total Value'!CO61/'Total Value'!$D61-1)</f>
        <v/>
      </c>
      <c r="CP49" s="14" t="str">
        <f ca="1">IF(CP$1="","",'Total Value'!CP61/'Total Value'!$D61-1)</f>
        <v/>
      </c>
      <c r="CQ49" s="14" t="str">
        <f ca="1">IF(CQ$1="","",'Total Value'!CQ61/'Total Value'!$D61-1)</f>
        <v/>
      </c>
      <c r="CR49" s="14" t="str">
        <f ca="1">IF(CR$1="","",'Total Value'!CR61/'Total Value'!$D61-1)</f>
        <v/>
      </c>
      <c r="CS49" s="14" t="str">
        <f ca="1">IF(CS$1="","",'Total Value'!CS61/'Total Value'!$D61-1)</f>
        <v/>
      </c>
      <c r="CT49" s="14" t="str">
        <f ca="1">IF(CT$1="","",'Total Value'!CT61/'Total Value'!$D61-1)</f>
        <v/>
      </c>
      <c r="CU49" s="14" t="str">
        <f ca="1">IF(CU$1="","",'Total Value'!CU61/'Total Value'!$D61-1)</f>
        <v/>
      </c>
      <c r="CV49" s="14" t="str">
        <f ca="1">IF(CV$1="","",'Total Value'!CV61/'Total Value'!$D61-1)</f>
        <v/>
      </c>
      <c r="CW49" s="14" t="str">
        <f ca="1">IF(CW$1="","",'Total Value'!CW61/'Total Value'!$D61-1)</f>
        <v/>
      </c>
      <c r="CX49" s="14" t="str">
        <f ca="1">IF(CX$1="","",'Total Value'!CX61/'Total Value'!$D61-1)</f>
        <v/>
      </c>
      <c r="CY49" s="14" t="str">
        <f ca="1">IF(CY$1="","",'Total Value'!CY61/'Total Value'!$D61-1)</f>
        <v/>
      </c>
      <c r="CZ49" s="14" t="str">
        <f ca="1">IF(CZ$1="","",'Total Value'!CZ61/'Total Value'!$D61-1)</f>
        <v/>
      </c>
      <c r="DA49" s="14" t="str">
        <f ca="1">IF(DA$1="","",'Total Value'!DA61/'Total Value'!$D61-1)</f>
        <v/>
      </c>
      <c r="DB49" s="14" t="str">
        <f ca="1">IF(DB$1="","",'Total Value'!DB61/'Total Value'!$D61-1)</f>
        <v/>
      </c>
      <c r="DC49" s="14" t="str">
        <f ca="1">IF(DC$1="","",'Total Value'!DC61/'Total Value'!$D61-1)</f>
        <v/>
      </c>
      <c r="DD49" s="14" t="str">
        <f ca="1">IF(DD$1="","",'Total Value'!DD61/'Total Value'!$D61-1)</f>
        <v/>
      </c>
      <c r="DE49" s="14" t="str">
        <f ca="1">IF(DE$1="","",'Total Value'!DE61/'Total Value'!$D61-1)</f>
        <v/>
      </c>
      <c r="DF49" s="14" t="str">
        <f ca="1">IF(DF$1="","",'Total Value'!DF61/'Total Value'!$D61-1)</f>
        <v/>
      </c>
      <c r="DG49" s="14" t="str">
        <f ca="1">IF(DG$1="","",'Total Value'!DG61/'Total Value'!$D61-1)</f>
        <v/>
      </c>
      <c r="DH49" s="14" t="str">
        <f ca="1">IF(DH$1="","",'Total Value'!DH61/'Total Value'!$D61-1)</f>
        <v/>
      </c>
      <c r="DI49" s="14" t="str">
        <f ca="1">IF(DI$1="","",'Total Value'!DI61/'Total Value'!$D61-1)</f>
        <v/>
      </c>
      <c r="DJ49" s="14" t="str">
        <f ca="1">IF(DJ$1="","",'Total Value'!DJ61/'Total Value'!$D61-1)</f>
        <v/>
      </c>
      <c r="DK49" s="14" t="str">
        <f ca="1">IF(DK$1="","",'Total Value'!DK61/'Total Value'!$D61-1)</f>
        <v/>
      </c>
      <c r="DL49" s="14" t="str">
        <f ca="1">IF(DL$1="","",'Total Value'!DL61/'Total Value'!$D61-1)</f>
        <v/>
      </c>
      <c r="DM49" s="14" t="str">
        <f ca="1">IF(DM$1="","",'Total Value'!DM61/'Total Value'!$D61-1)</f>
        <v/>
      </c>
      <c r="DN49" s="14" t="str">
        <f ca="1">IF(DN$1="","",'Total Value'!DN61/'Total Value'!$D61-1)</f>
        <v/>
      </c>
      <c r="DO49" s="14" t="str">
        <f ca="1">IF(DO$1="","",'Total Value'!DO61/'Total Value'!$D61-1)</f>
        <v/>
      </c>
      <c r="DP49" s="14" t="str">
        <f ca="1">IF(DP$1="","",'Total Value'!DP61/'Total Value'!$D61-1)</f>
        <v/>
      </c>
      <c r="DQ49" s="14" t="str">
        <f ca="1">IF(DQ$1="","",'Total Value'!DQ61/'Total Value'!$D61-1)</f>
        <v/>
      </c>
      <c r="DR49" s="14" t="str">
        <f ca="1">IF(DR$1="","",'Total Value'!DR61/'Total Value'!$D61-1)</f>
        <v/>
      </c>
      <c r="DS49" s="14" t="str">
        <f ca="1">IF(DS$1="","",'Total Value'!DS61/'Total Value'!$D61-1)</f>
        <v/>
      </c>
      <c r="DT49" s="14" t="str">
        <f ca="1">IF(DT$1="","",'Total Value'!DT61/'Total Value'!$D61-1)</f>
        <v/>
      </c>
      <c r="DU49" s="14" t="str">
        <f ca="1">IF(DU$1="","",'Total Value'!DU61/'Total Value'!$D61-1)</f>
        <v/>
      </c>
      <c r="DV49" s="14" t="str">
        <f ca="1">IF(DV$1="","",'Total Value'!DV61/'Total Value'!$D61-1)</f>
        <v/>
      </c>
      <c r="DW49" s="14" t="str">
        <f ca="1">IF(DW$1="","",'Total Value'!DW61/'Total Value'!$D61-1)</f>
        <v/>
      </c>
      <c r="DX49" s="14" t="str">
        <f ca="1">IF(DX$1="","",'Total Value'!DX61/'Total Value'!$D61-1)</f>
        <v/>
      </c>
      <c r="DY49" s="14" t="str">
        <f ca="1">IF(DY$1="","",'Total Value'!DY61/'Total Value'!$D61-1)</f>
        <v/>
      </c>
      <c r="DZ49" s="14" t="str">
        <f ca="1">IF(DZ$1="","",'Total Value'!DZ61/'Total Value'!$D61-1)</f>
        <v/>
      </c>
      <c r="EA49" s="14" t="str">
        <f ca="1">IF(EA$1="","",'Total Value'!EA61/'Total Value'!$D61-1)</f>
        <v/>
      </c>
      <c r="EB49" s="14" t="str">
        <f ca="1">IF(EB$1="","",'Total Value'!EB61/'Total Value'!$D61-1)</f>
        <v/>
      </c>
      <c r="EC49" s="14" t="str">
        <f ca="1">IF(EC$1="","",'Total Value'!EC61/'Total Value'!$D61-1)</f>
        <v/>
      </c>
      <c r="ED49" s="14" t="str">
        <f ca="1">IF(ED$1="","",'Total Value'!ED61/'Total Value'!$D61-1)</f>
        <v/>
      </c>
      <c r="EE49" s="14" t="str">
        <f ca="1">IF(EE$1="","",'Total Value'!EE61/'Total Value'!$D61-1)</f>
        <v/>
      </c>
      <c r="EF49" s="14" t="str">
        <f ca="1">IF(EF$1="","",'Total Value'!EF61/'Total Value'!$D61-1)</f>
        <v/>
      </c>
      <c r="EG49" s="14" t="str">
        <f ca="1">IF(EG$1="","",'Total Value'!EG61/'Total Value'!$D61-1)</f>
        <v/>
      </c>
      <c r="EH49" s="14" t="str">
        <f ca="1">IF(EH$1="","",'Total Value'!EH61/'Total Value'!$D61-1)</f>
        <v/>
      </c>
      <c r="EI49" s="14" t="str">
        <f ca="1">IF(EI$1="","",'Total Value'!EI61/'Total Value'!$D61-1)</f>
        <v/>
      </c>
      <c r="EJ49" s="14" t="str">
        <f ca="1">IF(EJ$1="","",'Total Value'!EJ61/'Total Value'!$D61-1)</f>
        <v/>
      </c>
      <c r="EK49" s="14" t="str">
        <f ca="1">IF(EK$1="","",'Total Value'!EK61/'Total Value'!$D61-1)</f>
        <v/>
      </c>
      <c r="EL49" s="14" t="str">
        <f ca="1">IF(EL$1="","",'Total Value'!EL61/'Total Value'!$D61-1)</f>
        <v/>
      </c>
      <c r="EM49" s="14" t="str">
        <f ca="1">IF(EM$1="","",'Total Value'!EM61/'Total Value'!$D61-1)</f>
        <v/>
      </c>
      <c r="EN49" s="14" t="str">
        <f ca="1">IF(EN$1="","",'Total Value'!EN61/'Total Value'!$D61-1)</f>
        <v/>
      </c>
      <c r="EO49" s="14" t="str">
        <f ca="1">IF(EO$1="","",'Total Value'!EO61/'Total Value'!$D61-1)</f>
        <v/>
      </c>
      <c r="EP49" s="14" t="str">
        <f ca="1">IF(EP$1="","",'Total Value'!EP61/'Total Value'!$D61-1)</f>
        <v/>
      </c>
      <c r="EQ49" s="14" t="str">
        <f ca="1">IF(EQ$1="","",'Total Value'!EQ61/'Total Value'!$D61-1)</f>
        <v/>
      </c>
      <c r="ER49" s="14" t="str">
        <f ca="1">IF(ER$1="","",'Total Value'!ER61/'Total Value'!$D61-1)</f>
        <v/>
      </c>
      <c r="ES49" s="14" t="str">
        <f ca="1">IF(ES$1="","",'Total Value'!ES61/'Total Value'!$D61-1)</f>
        <v/>
      </c>
      <c r="ET49" s="14" t="str">
        <f ca="1">IF(ET$1="","",'Total Value'!ET61/'Total Value'!$D61-1)</f>
        <v/>
      </c>
      <c r="EU49" s="14" t="str">
        <f ca="1">IF(EU$1="","",'Total Value'!EU61/'Total Value'!$D61-1)</f>
        <v/>
      </c>
      <c r="EV49" s="14" t="str">
        <f ca="1">IF(EV$1="","",'Total Value'!EV61/'Total Value'!$D61-1)</f>
        <v/>
      </c>
      <c r="EW49" s="14" t="str">
        <f ca="1">IF(EW$1="","",'Total Value'!EW61/'Total Value'!$D61-1)</f>
        <v/>
      </c>
      <c r="EX49" s="14" t="str">
        <f ca="1">IF(EX$1="","",'Total Value'!EX61/'Total Value'!$D61-1)</f>
        <v/>
      </c>
      <c r="EY49" s="14" t="str">
        <f ca="1">IF(EY$1="","",'Total Value'!EY61/'Total Value'!$D61-1)</f>
        <v/>
      </c>
      <c r="EZ49" s="14" t="str">
        <f ca="1">IF(EZ$1="","",'Total Value'!EZ61/'Total Value'!$D61-1)</f>
        <v/>
      </c>
      <c r="FA49" s="14" t="str">
        <f ca="1">IF(FA$1="","",'Total Value'!FA61/'Total Value'!$D61-1)</f>
        <v/>
      </c>
      <c r="FB49" s="14" t="str">
        <f ca="1">IF(FB$1="","",'Total Value'!FB61/'Total Value'!$D61-1)</f>
        <v/>
      </c>
      <c r="FC49" s="14" t="str">
        <f ca="1">IF(FC$1="","",'Total Value'!FC61/'Total Value'!$D61-1)</f>
        <v/>
      </c>
      <c r="FD49" s="14" t="str">
        <f ca="1">IF(FD$1="","",'Total Value'!FD61/'Total Value'!$D61-1)</f>
        <v/>
      </c>
      <c r="FE49" s="14" t="str">
        <f ca="1">IF(FE$1="","",'Total Value'!FE61/'Total Value'!$D61-1)</f>
        <v/>
      </c>
      <c r="FF49" s="14" t="str">
        <f ca="1">IF(FF$1="","",'Total Value'!FF61/'Total Value'!$D61-1)</f>
        <v/>
      </c>
      <c r="FG49" s="14" t="str">
        <f ca="1">IF(FG$1="","",'Total Value'!FG61/'Total Value'!$D61-1)</f>
        <v/>
      </c>
      <c r="FH49" s="14" t="str">
        <f ca="1">IF(FH$1="","",'Total Value'!FH61/'Total Value'!$D61-1)</f>
        <v/>
      </c>
      <c r="FI49" s="14" t="str">
        <f ca="1">IF(FI$1="","",'Total Value'!FI61/'Total Value'!$D61-1)</f>
        <v/>
      </c>
      <c r="FJ49" s="14" t="str">
        <f ca="1">IF(FJ$1="","",'Total Value'!FJ61/'Total Value'!$D61-1)</f>
        <v/>
      </c>
      <c r="FK49" s="14" t="str">
        <f ca="1">IF(FK$1="","",'Total Value'!FK61/'Total Value'!$D61-1)</f>
        <v/>
      </c>
      <c r="FL49" s="14" t="str">
        <f ca="1">IF(FL$1="","",'Total Value'!FL61/'Total Value'!$D61-1)</f>
        <v/>
      </c>
      <c r="FM49" s="14" t="str">
        <f ca="1">IF(FM$1="","",'Total Value'!FM61/'Total Value'!$D61-1)</f>
        <v/>
      </c>
      <c r="FN49" s="14" t="str">
        <f ca="1">IF(FN$1="","",'Total Value'!FN61/'Total Value'!$D61-1)</f>
        <v/>
      </c>
      <c r="FO49" s="14" t="str">
        <f ca="1">IF(FO$1="","",'Total Value'!FO61/'Total Value'!$D61-1)</f>
        <v/>
      </c>
      <c r="FP49" s="14" t="str">
        <f ca="1">IF(FP$1="","",'Total Value'!FP61/'Total Value'!$D61-1)</f>
        <v/>
      </c>
      <c r="FQ49" s="14" t="str">
        <f ca="1">IF(FQ$1="","",'Total Value'!FQ61/'Total Value'!$D61-1)</f>
        <v/>
      </c>
      <c r="FR49" s="14" t="str">
        <f ca="1">IF(FR$1="","",'Total Value'!FR61/'Total Value'!$D61-1)</f>
        <v/>
      </c>
      <c r="FS49" s="14" t="str">
        <f ca="1">IF(FS$1="","",'Total Value'!FS61/'Total Value'!$D61-1)</f>
        <v/>
      </c>
      <c r="FT49" s="14" t="str">
        <f ca="1">IF(FT$1="","",'Total Value'!FT61/'Total Value'!$D61-1)</f>
        <v/>
      </c>
      <c r="FU49" s="14" t="str">
        <f ca="1">IF(FU$1="","",'Total Value'!FU61/'Total Value'!$D61-1)</f>
        <v/>
      </c>
      <c r="FV49" s="14" t="str">
        <f ca="1">IF(FV$1="","",'Total Value'!FV61/'Total Value'!$D61-1)</f>
        <v/>
      </c>
      <c r="FW49" s="14" t="str">
        <f ca="1">IF(FW$1="","",'Total Value'!FW61/'Total Value'!$D61-1)</f>
        <v/>
      </c>
      <c r="FX49" s="14" t="str">
        <f ca="1">IF(FX$1="","",'Total Value'!FX61/'Total Value'!$D61-1)</f>
        <v/>
      </c>
      <c r="FY49" s="14" t="str">
        <f ca="1">IF(FY$1="","",'Total Value'!FY61/'Total Value'!$D61-1)</f>
        <v/>
      </c>
      <c r="FZ49" s="14" t="str">
        <f ca="1">IF(FZ$1="","",'Total Value'!FZ61/'Total Value'!$D61-1)</f>
        <v/>
      </c>
      <c r="GA49" s="14" t="str">
        <f ca="1">IF(GA$1="","",'Total Value'!GA61/'Total Value'!$D61-1)</f>
        <v/>
      </c>
      <c r="GB49" s="14" t="str">
        <f ca="1">IF(GB$1="","",'Total Value'!GB61/'Total Value'!$D61-1)</f>
        <v/>
      </c>
      <c r="GC49" s="14" t="str">
        <f ca="1">IF(GC$1="","",'Total Value'!GC61/'Total Value'!$D61-1)</f>
        <v/>
      </c>
      <c r="GD49" s="14" t="str">
        <f ca="1">IF(GD$1="","",'Total Value'!GD61/'Total Value'!$D61-1)</f>
        <v/>
      </c>
      <c r="GE49" s="14" t="str">
        <f ca="1">IF(GE$1="","",'Total Value'!GE61/'Total Value'!$D61-1)</f>
        <v/>
      </c>
      <c r="GF49" s="14" t="str">
        <f ca="1">IF(GF$1="","",'Total Value'!GF61/'Total Value'!$D61-1)</f>
        <v/>
      </c>
      <c r="GG49" s="14" t="str">
        <f ca="1">IF(GG$1="","",'Total Value'!GG61/'Total Value'!$D61-1)</f>
        <v/>
      </c>
      <c r="GH49" s="14" t="str">
        <f ca="1">IF(GH$1="","",'Total Value'!GH61/'Total Value'!$D61-1)</f>
        <v/>
      </c>
      <c r="GI49" s="14" t="str">
        <f ca="1">IF(GI$1="","",'Total Value'!GI61/'Total Value'!$D61-1)</f>
        <v/>
      </c>
      <c r="GJ49" s="14" t="str">
        <f ca="1">IF(GJ$1="","",'Total Value'!GJ61/'Total Value'!$D61-1)</f>
        <v/>
      </c>
      <c r="GK49" s="14" t="str">
        <f ca="1">IF(GK$1="","",'Total Value'!GK61/'Total Value'!$D61-1)</f>
        <v/>
      </c>
      <c r="GL49" s="14" t="str">
        <f ca="1">IF(GL$1="","",'Total Value'!GL61/'Total Value'!$D61-1)</f>
        <v/>
      </c>
      <c r="GM49" s="14" t="str">
        <f ca="1">IF(GM$1="","",'Total Value'!GM61/'Total Value'!$D61-1)</f>
        <v/>
      </c>
      <c r="GN49" s="14" t="str">
        <f ca="1">IF(GN$1="","",'Total Value'!GN61/'Total Value'!$D61-1)</f>
        <v/>
      </c>
      <c r="GO49" s="14" t="str">
        <f ca="1">IF(GO$1="","",'Total Value'!GO61/'Total Value'!$D61-1)</f>
        <v/>
      </c>
      <c r="GP49" s="14" t="str">
        <f ca="1">IF(GP$1="","",'Total Value'!GP61/'Total Value'!$D61-1)</f>
        <v/>
      </c>
      <c r="GQ49" s="14" t="str">
        <f ca="1">IF(GQ$1="","",'Total Value'!GQ61/'Total Value'!$D61-1)</f>
        <v/>
      </c>
      <c r="GR49" s="14" t="str">
        <f ca="1">IF(GR$1="","",'Total Value'!GR61/'Total Value'!$D61-1)</f>
        <v/>
      </c>
      <c r="GS49" s="14" t="str">
        <f ca="1">IF(GS$1="","",'Total Value'!GS61/'Total Value'!$D61-1)</f>
        <v/>
      </c>
      <c r="GT49" s="14" t="str">
        <f ca="1">IF(GT$1="","",'Total Value'!GT61/'Total Value'!$D61-1)</f>
        <v/>
      </c>
      <c r="GU49" s="14" t="str">
        <f ca="1">IF(GU$1="","",'Total Value'!GU61/'Total Value'!$D61-1)</f>
        <v/>
      </c>
      <c r="GV49" s="14" t="str">
        <f ca="1">IF(GV$1="","",'Total Value'!GV61/'Total Value'!$D61-1)</f>
        <v/>
      </c>
      <c r="GW49" s="14" t="str">
        <f ca="1">IF(GW$1="","",'Total Value'!GW61/'Total Value'!$D61-1)</f>
        <v/>
      </c>
      <c r="GX49" s="14" t="str">
        <f ca="1">IF(GX$1="","",'Total Value'!GX61/'Total Value'!$D61-1)</f>
        <v/>
      </c>
      <c r="GY49" s="14" t="str">
        <f ca="1">IF(GY$1="","",'Total Value'!GY61/'Total Value'!$D61-1)</f>
        <v/>
      </c>
      <c r="GZ49" s="14" t="str">
        <f ca="1">IF(GZ$1="","",'Total Value'!GZ61/'Total Value'!$D61-1)</f>
        <v/>
      </c>
      <c r="HA49" s="14" t="str">
        <f ca="1">IF(HA$1="","",'Total Value'!HA61/'Total Value'!$D61-1)</f>
        <v/>
      </c>
      <c r="HB49" s="14" t="str">
        <f ca="1">IF(HB$1="","",'Total Value'!HB61/'Total Value'!$D61-1)</f>
        <v/>
      </c>
      <c r="HC49" s="14" t="str">
        <f ca="1">IF(HC$1="","",'Total Value'!HC61/'Total Value'!$D61-1)</f>
        <v/>
      </c>
      <c r="HD49" s="14" t="str">
        <f ca="1">IF(HD$1="","",'Total Value'!HD61/'Total Value'!$D61-1)</f>
        <v/>
      </c>
      <c r="HE49" s="14" t="str">
        <f ca="1">IF(HE$1="","",'Total Value'!HE61/'Total Value'!$D61-1)</f>
        <v/>
      </c>
      <c r="HF49" s="14" t="str">
        <f ca="1">IF(HF$1="","",'Total Value'!HF61/'Total Value'!$D61-1)</f>
        <v/>
      </c>
      <c r="HG49" s="14" t="str">
        <f ca="1">IF(HG$1="","",'Total Value'!HG61/'Total Value'!$D61-1)</f>
        <v/>
      </c>
      <c r="HH49" s="14" t="str">
        <f ca="1">IF(HH$1="","",'Total Value'!HH61/'Total Value'!$D61-1)</f>
        <v/>
      </c>
      <c r="HI49" s="14" t="str">
        <f ca="1">IF(HI$1="","",'Total Value'!HI61/'Total Value'!$D61-1)</f>
        <v/>
      </c>
      <c r="HJ49" s="14" t="str">
        <f ca="1">IF(HJ$1="","",'Total Value'!HJ61/'Total Value'!$D61-1)</f>
        <v/>
      </c>
      <c r="HK49" s="14" t="str">
        <f ca="1">IF(HK$1="","",'Total Value'!HK61/'Total Value'!$D61-1)</f>
        <v/>
      </c>
      <c r="HL49" s="14" t="str">
        <f ca="1">IF(HL$1="","",'Total Value'!HL61/'Total Value'!$D61-1)</f>
        <v/>
      </c>
      <c r="HM49" s="14" t="str">
        <f ca="1">IF(HM$1="","",'Total Value'!HM61/'Total Value'!$D61-1)</f>
        <v/>
      </c>
      <c r="HN49" s="14" t="str">
        <f ca="1">IF(HN$1="","",'Total Value'!HN61/'Total Value'!$D61-1)</f>
        <v/>
      </c>
      <c r="HO49" s="14" t="str">
        <f ca="1">IF(HO$1="","",'Total Value'!HO61/'Total Value'!$D61-1)</f>
        <v/>
      </c>
      <c r="HP49" s="14" t="str">
        <f ca="1">IF(HP$1="","",'Total Value'!HP61/'Total Value'!$D61-1)</f>
        <v/>
      </c>
      <c r="HQ49" s="14" t="str">
        <f ca="1">IF(HQ$1="","",'Total Value'!HQ61/'Total Value'!$D61-1)</f>
        <v/>
      </c>
      <c r="HR49" s="14" t="str">
        <f ca="1">IF(HR$1="","",'Total Value'!HR61/'Total Value'!$D61-1)</f>
        <v/>
      </c>
      <c r="HS49" s="14" t="str">
        <f ca="1">IF(HS$1="","",'Total Value'!HS61/'Total Value'!$D61-1)</f>
        <v/>
      </c>
      <c r="HT49" s="14" t="str">
        <f ca="1">IF(HT$1="","",'Total Value'!HT61/'Total Value'!$D61-1)</f>
        <v/>
      </c>
      <c r="HU49" s="14" t="str">
        <f ca="1">IF(HU$1="","",'Total Value'!HU61/'Total Value'!$D61-1)</f>
        <v/>
      </c>
      <c r="HV49" s="14" t="str">
        <f ca="1">IF(HV$1="","",'Total Value'!HV61/'Total Value'!$D61-1)</f>
        <v/>
      </c>
      <c r="HW49" s="14" t="str">
        <f ca="1">IF(HW$1="","",'Total Value'!HW61/'Total Value'!$D61-1)</f>
        <v/>
      </c>
      <c r="HX49" s="14" t="str">
        <f ca="1">IF(HX$1="","",'Total Value'!HX61/'Total Value'!$D61-1)</f>
        <v/>
      </c>
      <c r="HY49" s="14" t="str">
        <f ca="1">IF(HY$1="","",'Total Value'!HY61/'Total Value'!$D61-1)</f>
        <v/>
      </c>
      <c r="HZ49" s="14" t="str">
        <f ca="1">IF(HZ$1="","",'Total Value'!HZ61/'Total Value'!$D61-1)</f>
        <v/>
      </c>
      <c r="IA49" s="14" t="str">
        <f ca="1">IF(IA$1="","",'Total Value'!IA61/'Total Value'!$D61-1)</f>
        <v/>
      </c>
      <c r="IB49" s="14" t="str">
        <f ca="1">IF(IB$1="","",'Total Value'!IB61/'Total Value'!$D61-1)</f>
        <v/>
      </c>
      <c r="IC49" s="14" t="str">
        <f ca="1">IF(IC$1="","",'Total Value'!IC61/'Total Value'!$D61-1)</f>
        <v/>
      </c>
      <c r="ID49" s="14" t="str">
        <f ca="1">IF(ID$1="","",'Total Value'!ID61/'Total Value'!$D61-1)</f>
        <v/>
      </c>
      <c r="IE49" s="14" t="str">
        <f ca="1">IF(IE$1="","",'Total Value'!IE61/'Total Value'!$D61-1)</f>
        <v/>
      </c>
      <c r="IF49" s="14" t="str">
        <f ca="1">IF(IF$1="","",'Total Value'!IF61/'Total Value'!$D61-1)</f>
        <v/>
      </c>
      <c r="IG49" s="14" t="str">
        <f ca="1">IF(IG$1="","",'Total Value'!IG61/'Total Value'!$D61-1)</f>
        <v/>
      </c>
      <c r="IH49" s="14" t="str">
        <f ca="1">IF(IH$1="","",'Total Value'!IH61/'Total Value'!$D61-1)</f>
        <v/>
      </c>
      <c r="II49" s="14" t="str">
        <f ca="1">IF(II$1="","",'Total Value'!II61/'Total Value'!$D61-1)</f>
        <v/>
      </c>
      <c r="IJ49" s="14" t="str">
        <f ca="1">IF(IJ$1="","",'Total Value'!IJ61/'Total Value'!$D61-1)</f>
        <v/>
      </c>
      <c r="IK49" s="14" t="str">
        <f ca="1">IF(IK$1="","",'Total Value'!IK61/'Total Value'!$D61-1)</f>
        <v/>
      </c>
      <c r="IL49" s="14" t="str">
        <f ca="1">IF(IL$1="","",'Total Value'!IL61/'Total Value'!$D61-1)</f>
        <v/>
      </c>
      <c r="IM49" s="14" t="str">
        <f ca="1">IF(IM$1="","",'Total Value'!IM61/'Total Value'!$D61-1)</f>
        <v/>
      </c>
      <c r="IN49" s="14" t="str">
        <f ca="1">IF(IN$1="","",'Total Value'!IN61/'Total Value'!$D61-1)</f>
        <v/>
      </c>
      <c r="IO49" s="14" t="str">
        <f ca="1">IF(IO$1="","",'Total Value'!IO61/'Total Value'!$D61-1)</f>
        <v/>
      </c>
      <c r="IP49" s="14" t="str">
        <f ca="1">IF(IP$1="","",'Total Value'!IP61/'Total Value'!$D61-1)</f>
        <v/>
      </c>
      <c r="IQ49" s="14" t="str">
        <f ca="1">IF(IQ$1="","",'Total Value'!IQ61/'Total Value'!$D61-1)</f>
        <v/>
      </c>
      <c r="IR49" s="14" t="str">
        <f ca="1">IF(IR$1="","",'Total Value'!IR61/'Total Value'!$D61-1)</f>
        <v/>
      </c>
      <c r="IS49" s="14" t="str">
        <f ca="1">IF(IS$1="","",'Total Value'!IS61/'Total Value'!$D61-1)</f>
        <v/>
      </c>
      <c r="IT49" s="14" t="str">
        <f ca="1">IF(IT$1="","",'Total Value'!IT61/'Total Value'!$D61-1)</f>
        <v/>
      </c>
      <c r="IU49" s="14" t="str">
        <f ca="1">IF(IU$1="","",'Total Value'!IU61/'Total Value'!$D61-1)</f>
        <v/>
      </c>
      <c r="IV49" s="14" t="str">
        <f ca="1">IF(IV$1="","",'Total Value'!IV61/'Total Value'!$D61-1)</f>
        <v/>
      </c>
      <c r="IW49" s="14" t="str">
        <f ca="1">IF(IW$1="","",'Total Value'!IW61/'Total Value'!$D61-1)</f>
        <v/>
      </c>
      <c r="IX49" s="14" t="str">
        <f ca="1">IF(IX$1="","",'Total Value'!IX61/'Total Value'!$D61-1)</f>
        <v/>
      </c>
      <c r="IY49" s="14" t="str">
        <f ca="1">IF(IY$1="","",'Total Value'!IY61/'Total Value'!$D61-1)</f>
        <v/>
      </c>
      <c r="IZ49" s="14" t="str">
        <f ca="1">IF(IZ$1="","",'Total Value'!IZ61/'Total Value'!$D61-1)</f>
        <v/>
      </c>
      <c r="JA49" s="14" t="str">
        <f ca="1">IF(JA$1="","",'Total Value'!JA61/'Total Value'!$D61-1)</f>
        <v/>
      </c>
      <c r="JB49" s="14" t="str">
        <f ca="1">IF(JB$1="","",'Total Value'!JB61/'Total Value'!$D61-1)</f>
        <v/>
      </c>
      <c r="JC49" s="14" t="str">
        <f ca="1">IF(JC$1="","",'Total Value'!JC61/'Total Value'!$D61-1)</f>
        <v/>
      </c>
      <c r="JD49" s="14" t="str">
        <f ca="1">IF(JD$1="","",'Total Value'!JD61/'Total Value'!$D61-1)</f>
        <v/>
      </c>
      <c r="JE49" s="14" t="str">
        <f ca="1">IF(JE$1="","",'Total Value'!JE61/'Total Value'!$D61-1)</f>
        <v/>
      </c>
      <c r="JF49" s="14" t="str">
        <f ca="1">IF(JF$1="","",'Total Value'!JF61/'Total Value'!$D61-1)</f>
        <v/>
      </c>
      <c r="JG49" s="14" t="str">
        <f ca="1">IF(JG$1="","",'Total Value'!JG61/'Total Value'!$D61-1)</f>
        <v/>
      </c>
      <c r="JH49" s="14" t="str">
        <f ca="1">IF(JH$1="","",'Total Value'!JH61/'Total Value'!$D61-1)</f>
        <v/>
      </c>
      <c r="JI49" s="14" t="str">
        <f ca="1">IF(JI$1="","",'Total Value'!JI61/'Total Value'!$D61-1)</f>
        <v/>
      </c>
      <c r="JJ49" s="14" t="str">
        <f ca="1">IF(JJ$1="","",'Total Value'!JJ61/'Total Value'!$D61-1)</f>
        <v/>
      </c>
      <c r="JK49" s="14" t="str">
        <f ca="1">IF(JK$1="","",'Total Value'!JK61/'Total Value'!$D61-1)</f>
        <v/>
      </c>
      <c r="JL49" s="14" t="str">
        <f ca="1">IF(JL$1="","",'Total Value'!JL61/'Total Value'!$D61-1)</f>
        <v/>
      </c>
      <c r="JM49" s="14" t="str">
        <f ca="1">IF(JM$1="","",'Total Value'!JM61/'Total Value'!$D61-1)</f>
        <v/>
      </c>
      <c r="JN49" s="14" t="str">
        <f ca="1">IF(JN$1="","",'Total Value'!JN61/'Total Value'!$D61-1)</f>
        <v/>
      </c>
      <c r="JO49" s="14" t="str">
        <f ca="1">IF(JO$1="","",'Total Value'!JO61/'Total Value'!$D61-1)</f>
        <v/>
      </c>
      <c r="JP49" s="14" t="str">
        <f ca="1">IF(JP$1="","",'Total Value'!JP61/'Total Value'!$D61-1)</f>
        <v/>
      </c>
      <c r="JQ49" s="14" t="str">
        <f ca="1">IF(JQ$1="","",'Total Value'!JQ61/'Total Value'!$D61-1)</f>
        <v/>
      </c>
      <c r="JR49" s="14" t="str">
        <f ca="1">IF(JR$1="","",'Total Value'!JR61/'Total Value'!$D61-1)</f>
        <v/>
      </c>
      <c r="JS49" s="14" t="str">
        <f ca="1">IF(JS$1="","",'Total Value'!JS61/'Total Value'!$D61-1)</f>
        <v/>
      </c>
      <c r="JT49" s="14" t="str">
        <f ca="1">IF(JT$1="","",'Total Value'!JT61/'Total Value'!$D61-1)</f>
        <v/>
      </c>
      <c r="JU49" s="14" t="str">
        <f ca="1">IF(JU$1="","",'Total Value'!JU61/'Total Value'!$D61-1)</f>
        <v/>
      </c>
      <c r="JV49" s="14" t="str">
        <f ca="1">IF(JV$1="","",'Total Value'!JV61/'Total Value'!$D61-1)</f>
        <v/>
      </c>
      <c r="JW49" s="14" t="str">
        <f ca="1">IF(JW$1="","",'Total Value'!JW61/'Total Value'!$D61-1)</f>
        <v/>
      </c>
      <c r="JX49" s="14" t="str">
        <f ca="1">IF(JX$1="","",'Total Value'!JX61/'Total Value'!$D61-1)</f>
        <v/>
      </c>
      <c r="JY49" s="14" t="str">
        <f ca="1">IF(JY$1="","",'Total Value'!JY61/'Total Value'!$D61-1)</f>
        <v/>
      </c>
      <c r="JZ49" s="14" t="str">
        <f ca="1">IF(JZ$1="","",'Total Value'!JZ61/'Total Value'!$D61-1)</f>
        <v/>
      </c>
      <c r="KA49" s="14" t="str">
        <f ca="1">IF(KA$1="","",'Total Value'!KA61/'Total Value'!$D61-1)</f>
        <v/>
      </c>
      <c r="KB49" s="14" t="str">
        <f ca="1">IF(KB$1="","",'Total Value'!KB61/'Total Value'!$D61-1)</f>
        <v/>
      </c>
    </row>
    <row r="52" spans="1:288">
      <c r="A52" s="37" t="s">
        <v>194</v>
      </c>
      <c r="B52" s="19"/>
      <c r="C52" s="19"/>
      <c r="D52" s="38">
        <v>44571</v>
      </c>
      <c r="E52" s="38">
        <f ca="1">IF(History!I2="","",History!I2)</f>
        <v>44572.666666666599</v>
      </c>
      <c r="F52" s="38">
        <f ca="1">IF(History!J2="","",History!J2)</f>
        <v>44573.666666666599</v>
      </c>
      <c r="G52" s="38">
        <f ca="1">IF(History!K2="","",History!K2)</f>
        <v>44574.666666666599</v>
      </c>
      <c r="H52" s="38">
        <f ca="1">IF(History!L2="","",History!L2)</f>
        <v>44575.666666666599</v>
      </c>
      <c r="I52" s="38">
        <f ca="1">IF(History!M2="","",History!M2)</f>
        <v>44579.666666666599</v>
      </c>
      <c r="J52" s="38">
        <f ca="1">IF(History!N2="","",History!N2)</f>
        <v>44580.666666666599</v>
      </c>
      <c r="K52" s="38">
        <f ca="1">IF(History!O2="","",History!O2)</f>
        <v>44581.666666666599</v>
      </c>
      <c r="L52" s="38">
        <f ca="1">IF(History!P2="","",History!P2)</f>
        <v>44582.666666666599</v>
      </c>
      <c r="M52" s="38">
        <f ca="1">IF(History!Q2="","",History!Q2)</f>
        <v>44585.666666666599</v>
      </c>
      <c r="N52" s="38">
        <f ca="1">IF(History!R2="","",History!R2)</f>
        <v>44586.666666666599</v>
      </c>
      <c r="O52" s="38">
        <f ca="1">IF(History!S2="","",History!S2)</f>
        <v>44587.666666666599</v>
      </c>
      <c r="P52" s="38">
        <f ca="1">IF(History!T2="","",History!T2)</f>
        <v>44588.666666666599</v>
      </c>
      <c r="Q52" s="38">
        <f ca="1">IF(History!U2="","",History!U2)</f>
        <v>44589.666666666599</v>
      </c>
      <c r="R52" s="38">
        <f ca="1">IF(History!V2="","",History!V2)</f>
        <v>44592.666666666599</v>
      </c>
      <c r="S52" s="38">
        <f ca="1">IF(History!W2="","",History!W2)</f>
        <v>44593.666666666599</v>
      </c>
      <c r="T52" s="38">
        <f ca="1">IF(History!X2="","",History!X2)</f>
        <v>44594.666666666599</v>
      </c>
      <c r="U52" s="38">
        <f ca="1">IF(History!Y2="","",History!Y2)</f>
        <v>44595.666666666599</v>
      </c>
      <c r="V52" s="38">
        <f ca="1">IF(History!Z2="","",History!Z2)</f>
        <v>44596.666666666599</v>
      </c>
      <c r="W52" s="38">
        <f ca="1">IF(History!AA2="","",History!AA2)</f>
        <v>44599.666666666599</v>
      </c>
      <c r="X52" s="38">
        <f ca="1">IF(History!AB2="","",History!AB2)</f>
        <v>44600.666666666599</v>
      </c>
      <c r="Y52" s="38">
        <f ca="1">IF(History!AC2="","",History!AC2)</f>
        <v>44601.666666666599</v>
      </c>
      <c r="Z52" s="38">
        <f ca="1">IF(History!AD2="","",History!AD2)</f>
        <v>44602.666666666599</v>
      </c>
      <c r="AA52" s="38">
        <f ca="1">IF(History!AE2="","",History!AE2)</f>
        <v>44603.666666666599</v>
      </c>
      <c r="AB52" s="38">
        <f ca="1">IF(History!AF2="","",History!AF2)</f>
        <v>44606.666666666599</v>
      </c>
      <c r="AC52" s="38">
        <f ca="1">IF(History!AG2="","",History!AG2)</f>
        <v>44607.666666666599</v>
      </c>
      <c r="AD52" s="38">
        <f ca="1">IF(History!AH2="","",History!AH2)</f>
        <v>44608.666666666599</v>
      </c>
      <c r="AE52" s="38">
        <f ca="1">IF(History!AI2="","",History!AI2)</f>
        <v>44609.666666666599</v>
      </c>
      <c r="AF52" s="38">
        <f ca="1">IF(History!AJ2="","",History!AJ2)</f>
        <v>44610.666666666599</v>
      </c>
      <c r="AG52" s="38">
        <f ca="1">IF(History!AK2="","",History!AK2)</f>
        <v>44614.666666666599</v>
      </c>
      <c r="AH52" s="38">
        <f ca="1">IF(History!AL2="","",History!AL2)</f>
        <v>44615.666666666599</v>
      </c>
      <c r="AI52" s="38">
        <f ca="1">IF(History!AM2="","",History!AM2)</f>
        <v>44616.666666666599</v>
      </c>
      <c r="AJ52" s="38">
        <f ca="1">IF(History!AN2="","",History!AN2)</f>
        <v>44617.666666666599</v>
      </c>
      <c r="AK52" s="38">
        <f ca="1">IF(History!AO2="","",History!AO2)</f>
        <v>44620.666666666599</v>
      </c>
      <c r="AL52" s="38">
        <f ca="1">IF(History!AP2="","",History!AP2)</f>
        <v>44621.666666666599</v>
      </c>
      <c r="AM52" s="38">
        <f ca="1">IF(History!AQ2="","",History!AQ2)</f>
        <v>44622.666666666599</v>
      </c>
      <c r="AN52" s="38">
        <f ca="1">IF(History!AR2="","",History!AR2)</f>
        <v>44623.666666666599</v>
      </c>
      <c r="AO52" s="38">
        <f ca="1">IF(History!AS2="","",History!AS2)</f>
        <v>44624.666666666599</v>
      </c>
      <c r="AP52" s="38">
        <f ca="1">IF(History!AT2="","",History!AT2)</f>
        <v>44627.666666666599</v>
      </c>
      <c r="AQ52" s="38">
        <f ca="1">IF(History!AU2="","",History!AU2)</f>
        <v>44628.666666666599</v>
      </c>
      <c r="AR52" s="38">
        <f ca="1">IF(History!AV2="","",History!AV2)</f>
        <v>44629.666666666599</v>
      </c>
      <c r="AS52" s="38">
        <f ca="1">IF(History!AW2="","",History!AW2)</f>
        <v>44630.666666666599</v>
      </c>
      <c r="AT52" s="38">
        <f ca="1">IF(History!AX2="","",History!AX2)</f>
        <v>44631.666666666599</v>
      </c>
      <c r="AU52" s="38">
        <f ca="1">IF(History!AY2="","",History!AY2)</f>
        <v>44634.666666666599</v>
      </c>
      <c r="AV52" s="38">
        <f ca="1">IF(History!AZ2="","",History!AZ2)</f>
        <v>44635.666666666599</v>
      </c>
      <c r="AW52" s="38">
        <f ca="1">IF(History!BA2="","",History!BA2)</f>
        <v>44636.666666666599</v>
      </c>
      <c r="AX52" s="38">
        <f ca="1">IF(History!BB2="","",History!BB2)</f>
        <v>44637.666666666599</v>
      </c>
      <c r="AY52" s="38">
        <f ca="1">IF(History!BC2="","",History!BC2)</f>
        <v>44638.666666666599</v>
      </c>
      <c r="AZ52" s="38">
        <f ca="1">IF(History!BD2="","",History!BD2)</f>
        <v>44641.666666666599</v>
      </c>
      <c r="BA52" s="38">
        <f ca="1">IF(History!BE2="","",History!BE2)</f>
        <v>44642.666666666599</v>
      </c>
      <c r="BB52" s="38">
        <f ca="1">IF(History!BF2="","",History!BF2)</f>
        <v>44643.666666666599</v>
      </c>
      <c r="BC52" s="38">
        <f ca="1">IF(History!BG2="","",History!BG2)</f>
        <v>44644.666666666599</v>
      </c>
      <c r="BD52" s="38">
        <f ca="1">IF(History!BH2="","",History!BH2)</f>
        <v>44645.666666666599</v>
      </c>
      <c r="BE52" s="38">
        <f ca="1">IF(History!BI2="","",History!BI2)</f>
        <v>44648.666666666599</v>
      </c>
      <c r="BF52" s="38">
        <f ca="1">IF(History!BJ2="","",History!BJ2)</f>
        <v>44649.666666666599</v>
      </c>
      <c r="BG52" s="38">
        <f ca="1">IF(History!BK2="","",History!BK2)</f>
        <v>44650.666666666599</v>
      </c>
      <c r="BH52" s="38">
        <f ca="1">IF(History!BL2="","",History!BL2)</f>
        <v>44651.666666666599</v>
      </c>
      <c r="BI52" s="38">
        <f ca="1">IF(History!BM2="","",History!BM2)</f>
        <v>44652.666666666599</v>
      </c>
      <c r="BJ52" s="38">
        <f ca="1">IF(History!BN2="","",History!BN2)</f>
        <v>44655.666666666599</v>
      </c>
      <c r="BK52" s="38">
        <f ca="1">IF(History!BO2="","",History!BO2)</f>
        <v>44656.666666666599</v>
      </c>
      <c r="BL52" s="38">
        <f ca="1">IF(History!BP2="","",History!BP2)</f>
        <v>44657.666666666599</v>
      </c>
      <c r="BM52" s="38">
        <f ca="1">IF(History!BQ2="","",History!BQ2)</f>
        <v>44658.666666666599</v>
      </c>
      <c r="BN52" s="38">
        <f ca="1">IF(History!BR2="","",History!BR2)</f>
        <v>44659.666666666599</v>
      </c>
      <c r="BO52" s="38">
        <f ca="1">IF(History!BS2="","",History!BS2)</f>
        <v>44662.666666666599</v>
      </c>
      <c r="BP52" s="38">
        <f ca="1">IF(History!BT2="","",History!BT2)</f>
        <v>44663.666666666599</v>
      </c>
      <c r="BQ52" s="38">
        <f ca="1">IF(History!BU2="","",History!BU2)</f>
        <v>44664.666666666599</v>
      </c>
      <c r="BR52" s="38">
        <f ca="1">IF(History!BV2="","",History!BV2)</f>
        <v>44665.666666666599</v>
      </c>
      <c r="BS52" s="38">
        <f ca="1">IF(History!BW2="","",History!BW2)</f>
        <v>44669.666666666599</v>
      </c>
      <c r="BT52" s="38">
        <f ca="1">IF(History!BX2="","",History!BX2)</f>
        <v>44670.666666666599</v>
      </c>
      <c r="BU52" s="38">
        <f ca="1">IF(History!BY2="","",History!BY2)</f>
        <v>44671.666666666599</v>
      </c>
      <c r="BV52" s="38">
        <f ca="1">IF(History!BZ2="","",History!BZ2)</f>
        <v>44672.666666666599</v>
      </c>
      <c r="BW52" s="38">
        <f ca="1">IF(History!CA2="","",History!CA2)</f>
        <v>44673.666666666599</v>
      </c>
      <c r="BX52" s="38">
        <f ca="1">IF(History!CB2="","",History!CB2)</f>
        <v>44676.666666666599</v>
      </c>
      <c r="BY52" s="38">
        <f ca="1">IF(History!CC2="","",History!CC2)</f>
        <v>44677.666666666599</v>
      </c>
      <c r="BZ52" s="38">
        <f ca="1">IF(History!CD2="","",History!CD2)</f>
        <v>44678.666666666599</v>
      </c>
      <c r="CA52" s="38">
        <f ca="1">IF(History!CE2="","",History!CE2)</f>
        <v>44679.666666666599</v>
      </c>
      <c r="CB52" s="38">
        <f ca="1">IF(History!CF2="","",History!CF2)</f>
        <v>44680.666666666599</v>
      </c>
      <c r="CC52" s="38">
        <f ca="1">IF(History!CG2="","",History!CG2)</f>
        <v>44683.666666666599</v>
      </c>
      <c r="CD52" s="38">
        <f ca="1">IF(History!CH2="","",History!CH2)</f>
        <v>44684.666666666599</v>
      </c>
      <c r="CE52" s="38">
        <f ca="1">IF(History!CI2="","",History!CI2)</f>
        <v>44685.666666666599</v>
      </c>
      <c r="CF52" s="38" t="str">
        <f ca="1">IF(History!CJ2="","",History!CJ2)</f>
        <v/>
      </c>
      <c r="CG52" s="38" t="str">
        <f ca="1">IF(History!CK2="","",History!CK2)</f>
        <v/>
      </c>
      <c r="CH52" s="38" t="str">
        <f ca="1">IF(History!CL2="","",History!CL2)</f>
        <v/>
      </c>
      <c r="CI52" s="38" t="str">
        <f ca="1">IF(History!CM2="","",History!CM2)</f>
        <v/>
      </c>
      <c r="CJ52" s="38" t="str">
        <f ca="1">IF(History!CN2="","",History!CN2)</f>
        <v/>
      </c>
      <c r="CK52" s="38" t="str">
        <f ca="1">IF(History!CO2="","",History!CO2)</f>
        <v/>
      </c>
      <c r="CL52" s="38" t="str">
        <f ca="1">IF(History!CP2="","",History!CP2)</f>
        <v/>
      </c>
      <c r="CM52" s="38" t="str">
        <f ca="1">IF(History!CQ2="","",History!CQ2)</f>
        <v/>
      </c>
      <c r="CN52" s="38" t="str">
        <f ca="1">IF(History!CR2="","",History!CR2)</f>
        <v/>
      </c>
      <c r="CO52" s="38" t="str">
        <f ca="1">IF(History!CS2="","",History!CS2)</f>
        <v/>
      </c>
      <c r="CP52" s="38" t="str">
        <f ca="1">IF(History!CT2="","",History!CT2)</f>
        <v/>
      </c>
      <c r="CQ52" s="38" t="str">
        <f ca="1">IF(History!CU2="","",History!CU2)</f>
        <v/>
      </c>
      <c r="CR52" s="38" t="str">
        <f ca="1">IF(History!CV2="","",History!CV2)</f>
        <v/>
      </c>
      <c r="CS52" s="38" t="str">
        <f ca="1">IF(History!CW2="","",History!CW2)</f>
        <v/>
      </c>
      <c r="CT52" s="38" t="str">
        <f ca="1">IF(History!CX2="","",History!CX2)</f>
        <v/>
      </c>
      <c r="CU52" s="38" t="str">
        <f ca="1">IF(History!CY2="","",History!CY2)</f>
        <v/>
      </c>
      <c r="CV52" s="38" t="str">
        <f ca="1">IF(History!CZ2="","",History!CZ2)</f>
        <v/>
      </c>
      <c r="CW52" s="38" t="str">
        <f ca="1">IF(History!DA2="","",History!DA2)</f>
        <v/>
      </c>
      <c r="CX52" s="38" t="str">
        <f ca="1">IF(History!DB2="","",History!DB2)</f>
        <v/>
      </c>
      <c r="CY52" s="38" t="str">
        <f ca="1">IF(History!DC2="","",History!DC2)</f>
        <v/>
      </c>
      <c r="CZ52" s="38" t="str">
        <f ca="1">IF(History!DD2="","",History!DD2)</f>
        <v/>
      </c>
      <c r="DA52" s="38" t="str">
        <f ca="1">IF(History!DE2="","",History!DE2)</f>
        <v/>
      </c>
      <c r="DB52" s="38" t="str">
        <f ca="1">IF(History!DF2="","",History!DF2)</f>
        <v/>
      </c>
      <c r="DC52" s="38" t="str">
        <f ca="1">IF(History!DG2="","",History!DG2)</f>
        <v/>
      </c>
      <c r="DD52" s="38" t="str">
        <f ca="1">IF(History!DH2="","",History!DH2)</f>
        <v/>
      </c>
      <c r="DE52" s="38" t="str">
        <f ca="1">IF(History!DI2="","",History!DI2)</f>
        <v/>
      </c>
      <c r="DF52" s="38" t="str">
        <f ca="1">IF(History!DJ2="","",History!DJ2)</f>
        <v/>
      </c>
      <c r="DG52" s="38" t="str">
        <f ca="1">IF(History!DK2="","",History!DK2)</f>
        <v/>
      </c>
      <c r="DH52" s="38" t="str">
        <f ca="1">IF(History!DL2="","",History!DL2)</f>
        <v/>
      </c>
      <c r="DI52" s="38" t="str">
        <f ca="1">IF(History!DM2="","",History!DM2)</f>
        <v/>
      </c>
      <c r="DJ52" s="38" t="str">
        <f ca="1">IF(History!DN2="","",History!DN2)</f>
        <v/>
      </c>
      <c r="DK52" s="38" t="str">
        <f ca="1">IF(History!DO2="","",History!DO2)</f>
        <v/>
      </c>
      <c r="DL52" s="38" t="str">
        <f ca="1">IF(History!DP2="","",History!DP2)</f>
        <v/>
      </c>
      <c r="DM52" s="38" t="str">
        <f ca="1">IF(History!DQ2="","",History!DQ2)</f>
        <v/>
      </c>
      <c r="DN52" s="38" t="str">
        <f ca="1">IF(History!DR2="","",History!DR2)</f>
        <v/>
      </c>
      <c r="DO52" s="38" t="str">
        <f ca="1">IF(History!DS2="","",History!DS2)</f>
        <v/>
      </c>
      <c r="DP52" s="38" t="str">
        <f ca="1">IF(History!DT2="","",History!DT2)</f>
        <v/>
      </c>
      <c r="DQ52" s="38" t="str">
        <f ca="1">IF(History!DU2="","",History!DU2)</f>
        <v/>
      </c>
      <c r="DR52" s="38" t="str">
        <f ca="1">IF(History!DV2="","",History!DV2)</f>
        <v/>
      </c>
      <c r="DS52" s="38" t="str">
        <f ca="1">IF(History!DW2="","",History!DW2)</f>
        <v/>
      </c>
      <c r="DT52" s="38" t="str">
        <f ca="1">IF(History!DX2="","",History!DX2)</f>
        <v/>
      </c>
      <c r="DU52" s="38" t="str">
        <f ca="1">IF(History!DY2="","",History!DY2)</f>
        <v/>
      </c>
      <c r="DV52" s="38" t="str">
        <f ca="1">IF(History!DZ2="","",History!DZ2)</f>
        <v/>
      </c>
      <c r="DW52" s="38" t="str">
        <f ca="1">IF(History!EA2="","",History!EA2)</f>
        <v/>
      </c>
      <c r="DX52" s="38" t="str">
        <f ca="1">IF(History!EB2="","",History!EB2)</f>
        <v/>
      </c>
      <c r="DY52" s="38" t="str">
        <f ca="1">IF(History!EC2="","",History!EC2)</f>
        <v/>
      </c>
      <c r="DZ52" s="38" t="str">
        <f ca="1">IF(History!ED2="","",History!ED2)</f>
        <v/>
      </c>
      <c r="EA52" s="38" t="str">
        <f ca="1">IF(History!EE2="","",History!EE2)</f>
        <v/>
      </c>
      <c r="EB52" s="38" t="str">
        <f ca="1">IF(History!EF2="","",History!EF2)</f>
        <v/>
      </c>
      <c r="EC52" s="38" t="str">
        <f ca="1">IF(History!EG2="","",History!EG2)</f>
        <v/>
      </c>
      <c r="ED52" s="38" t="str">
        <f ca="1">IF(History!EH2="","",History!EH2)</f>
        <v/>
      </c>
      <c r="EE52" s="38" t="str">
        <f ca="1">IF(History!EI2="","",History!EI2)</f>
        <v/>
      </c>
      <c r="EF52" s="38" t="str">
        <f ca="1">IF(History!EJ2="","",History!EJ2)</f>
        <v/>
      </c>
      <c r="EG52" s="38" t="str">
        <f ca="1">IF(History!EK2="","",History!EK2)</f>
        <v/>
      </c>
      <c r="EH52" s="38" t="str">
        <f ca="1">IF(History!EL2="","",History!EL2)</f>
        <v/>
      </c>
      <c r="EI52" s="38" t="str">
        <f ca="1">IF(History!EM2="","",History!EM2)</f>
        <v/>
      </c>
      <c r="EJ52" s="38" t="str">
        <f ca="1">IF(History!EN2="","",History!EN2)</f>
        <v/>
      </c>
      <c r="EK52" s="38" t="str">
        <f ca="1">IF(History!EO2="","",History!EO2)</f>
        <v/>
      </c>
      <c r="EL52" s="38" t="str">
        <f ca="1">IF(History!EP2="","",History!EP2)</f>
        <v/>
      </c>
      <c r="EM52" s="38" t="str">
        <f ca="1">IF(History!EQ2="","",History!EQ2)</f>
        <v/>
      </c>
      <c r="EN52" s="38" t="str">
        <f ca="1">IF(History!ER2="","",History!ER2)</f>
        <v/>
      </c>
      <c r="EO52" s="38" t="str">
        <f ca="1">IF(History!ES2="","",History!ES2)</f>
        <v/>
      </c>
      <c r="EP52" s="38" t="str">
        <f ca="1">IF(History!ET2="","",History!ET2)</f>
        <v/>
      </c>
      <c r="EQ52" s="38" t="str">
        <f ca="1">IF(History!EU2="","",History!EU2)</f>
        <v/>
      </c>
      <c r="ER52" s="38" t="str">
        <f ca="1">IF(History!EV2="","",History!EV2)</f>
        <v/>
      </c>
      <c r="ES52" s="38" t="str">
        <f ca="1">IF(History!EW2="","",History!EW2)</f>
        <v/>
      </c>
      <c r="ET52" s="38" t="str">
        <f ca="1">IF(History!EX2="","",History!EX2)</f>
        <v/>
      </c>
      <c r="EU52" s="38" t="str">
        <f ca="1">IF(History!EY2="","",History!EY2)</f>
        <v/>
      </c>
      <c r="EV52" s="38" t="str">
        <f ca="1">IF(History!EZ2="","",History!EZ2)</f>
        <v/>
      </c>
      <c r="EW52" s="38" t="str">
        <f ca="1">IF(History!FA2="","",History!FA2)</f>
        <v/>
      </c>
      <c r="EX52" s="38" t="str">
        <f ca="1">IF(History!FB2="","",History!FB2)</f>
        <v/>
      </c>
      <c r="EY52" s="38" t="str">
        <f ca="1">IF(History!FC2="","",History!FC2)</f>
        <v/>
      </c>
      <c r="EZ52" s="38" t="str">
        <f ca="1">IF(History!FD2="","",History!FD2)</f>
        <v/>
      </c>
      <c r="FA52" s="38" t="str">
        <f ca="1">IF(History!FE2="","",History!FE2)</f>
        <v/>
      </c>
      <c r="FB52" s="38" t="str">
        <f ca="1">IF(History!FF2="","",History!FF2)</f>
        <v/>
      </c>
      <c r="FC52" s="38" t="str">
        <f ca="1">IF(History!FG2="","",History!FG2)</f>
        <v/>
      </c>
      <c r="FD52" s="38" t="str">
        <f ca="1">IF(History!FH2="","",History!FH2)</f>
        <v/>
      </c>
      <c r="FE52" s="38" t="str">
        <f ca="1">IF(History!FI2="","",History!FI2)</f>
        <v/>
      </c>
      <c r="FF52" s="38" t="str">
        <f ca="1">IF(History!FJ2="","",History!FJ2)</f>
        <v/>
      </c>
      <c r="FG52" s="38" t="str">
        <f ca="1">IF(History!FK2="","",History!FK2)</f>
        <v/>
      </c>
      <c r="FH52" s="38" t="str">
        <f ca="1">IF(History!FL2="","",History!FL2)</f>
        <v/>
      </c>
      <c r="FI52" s="38" t="str">
        <f ca="1">IF(History!FM2="","",History!FM2)</f>
        <v/>
      </c>
      <c r="FJ52" s="38" t="str">
        <f ca="1">IF(History!FN2="","",History!FN2)</f>
        <v/>
      </c>
      <c r="FK52" s="38" t="str">
        <f ca="1">IF(History!FO2="","",History!FO2)</f>
        <v/>
      </c>
      <c r="FL52" s="38" t="str">
        <f ca="1">IF(History!FP2="","",History!FP2)</f>
        <v/>
      </c>
      <c r="FM52" s="38" t="str">
        <f ca="1">IF(History!FQ2="","",History!FQ2)</f>
        <v/>
      </c>
      <c r="FN52" s="38" t="str">
        <f ca="1">IF(History!FR2="","",History!FR2)</f>
        <v/>
      </c>
      <c r="FO52" s="38" t="str">
        <f ca="1">IF(History!FS2="","",History!FS2)</f>
        <v/>
      </c>
      <c r="FP52" s="38" t="str">
        <f ca="1">IF(History!FT2="","",History!FT2)</f>
        <v/>
      </c>
      <c r="FQ52" s="38" t="str">
        <f ca="1">IF(History!FU2="","",History!FU2)</f>
        <v/>
      </c>
      <c r="FR52" s="38" t="str">
        <f ca="1">IF(History!FV2="","",History!FV2)</f>
        <v/>
      </c>
      <c r="FS52" s="38" t="str">
        <f ca="1">IF(History!FW2="","",History!FW2)</f>
        <v/>
      </c>
      <c r="FT52" s="38" t="str">
        <f ca="1">IF(History!FX2="","",History!FX2)</f>
        <v/>
      </c>
      <c r="FU52" s="38" t="str">
        <f ca="1">IF(History!FY2="","",History!FY2)</f>
        <v/>
      </c>
      <c r="FV52" s="38" t="str">
        <f ca="1">IF(History!FZ2="","",History!FZ2)</f>
        <v/>
      </c>
      <c r="FW52" s="38" t="str">
        <f ca="1">IF(History!GA2="","",History!GA2)</f>
        <v/>
      </c>
      <c r="FX52" s="38" t="str">
        <f ca="1">IF(History!GB2="","",History!GB2)</f>
        <v/>
      </c>
      <c r="FY52" s="38" t="str">
        <f ca="1">IF(History!GC2="","",History!GC2)</f>
        <v/>
      </c>
      <c r="FZ52" s="38" t="str">
        <f ca="1">IF(History!GD2="","",History!GD2)</f>
        <v/>
      </c>
      <c r="GA52" s="38" t="str">
        <f ca="1">IF(History!GE2="","",History!GE2)</f>
        <v/>
      </c>
      <c r="GB52" s="38" t="str">
        <f ca="1">IF(History!GF2="","",History!GF2)</f>
        <v/>
      </c>
      <c r="GC52" s="38" t="str">
        <f ca="1">IF(History!GG2="","",History!GG2)</f>
        <v/>
      </c>
      <c r="GD52" s="38" t="str">
        <f ca="1">IF(History!GH2="","",History!GH2)</f>
        <v/>
      </c>
      <c r="GE52" s="38" t="str">
        <f ca="1">IF(History!GI2="","",History!GI2)</f>
        <v/>
      </c>
      <c r="GF52" s="38" t="str">
        <f ca="1">IF(History!GJ2="","",History!GJ2)</f>
        <v/>
      </c>
      <c r="GG52" s="38" t="str">
        <f ca="1">IF(History!GK2="","",History!GK2)</f>
        <v/>
      </c>
      <c r="GH52" s="38" t="str">
        <f ca="1">IF(History!GL2="","",History!GL2)</f>
        <v/>
      </c>
      <c r="GI52" s="38" t="str">
        <f ca="1">IF(History!GM2="","",History!GM2)</f>
        <v/>
      </c>
      <c r="GJ52" s="38" t="str">
        <f ca="1">IF(History!GN2="","",History!GN2)</f>
        <v/>
      </c>
      <c r="GK52" s="38" t="str">
        <f ca="1">IF(History!GO2="","",History!GO2)</f>
        <v/>
      </c>
      <c r="GL52" s="38" t="str">
        <f ca="1">IF(History!GP2="","",History!GP2)</f>
        <v/>
      </c>
      <c r="GM52" s="38" t="str">
        <f ca="1">IF(History!GQ2="","",History!GQ2)</f>
        <v/>
      </c>
      <c r="GN52" s="38" t="str">
        <f ca="1">IF(History!GR2="","",History!GR2)</f>
        <v/>
      </c>
      <c r="GO52" s="38" t="str">
        <f ca="1">IF(History!GS2="","",History!GS2)</f>
        <v/>
      </c>
      <c r="GP52" s="38" t="str">
        <f ca="1">IF(History!GT2="","",History!GT2)</f>
        <v/>
      </c>
      <c r="GQ52" s="38" t="str">
        <f ca="1">IF(History!GU2="","",History!GU2)</f>
        <v/>
      </c>
      <c r="GR52" s="38" t="str">
        <f ca="1">IF(History!GV2="","",History!GV2)</f>
        <v/>
      </c>
      <c r="GS52" s="38" t="str">
        <f ca="1">IF(History!GW2="","",History!GW2)</f>
        <v/>
      </c>
      <c r="GT52" s="38" t="str">
        <f ca="1">IF(History!GX2="","",History!GX2)</f>
        <v/>
      </c>
      <c r="GU52" s="38" t="str">
        <f ca="1">IF(History!GY2="","",History!GY2)</f>
        <v/>
      </c>
      <c r="GV52" s="38" t="str">
        <f ca="1">IF(History!GZ2="","",History!GZ2)</f>
        <v/>
      </c>
      <c r="GW52" s="38" t="str">
        <f ca="1">IF(History!HA2="","",History!HA2)</f>
        <v/>
      </c>
      <c r="GX52" s="38" t="str">
        <f ca="1">IF(History!HB2="","",History!HB2)</f>
        <v/>
      </c>
      <c r="GY52" s="38" t="str">
        <f ca="1">IF(History!HC2="","",History!HC2)</f>
        <v/>
      </c>
      <c r="GZ52" s="38" t="str">
        <f ca="1">IF(History!HD2="","",History!HD2)</f>
        <v/>
      </c>
      <c r="HA52" s="38" t="str">
        <f ca="1">IF(History!HE2="","",History!HE2)</f>
        <v/>
      </c>
      <c r="HB52" s="38" t="str">
        <f ca="1">IF(History!HF2="","",History!HF2)</f>
        <v/>
      </c>
      <c r="HC52" s="38" t="str">
        <f ca="1">IF(History!HG2="","",History!HG2)</f>
        <v/>
      </c>
      <c r="HD52" s="38" t="str">
        <f ca="1">IF(History!HH2="","",History!HH2)</f>
        <v/>
      </c>
      <c r="HE52" s="38" t="str">
        <f ca="1">IF(History!HI2="","",History!HI2)</f>
        <v/>
      </c>
      <c r="HF52" s="38" t="str">
        <f ca="1">IF(History!HJ2="","",History!HJ2)</f>
        <v/>
      </c>
      <c r="HG52" s="38" t="str">
        <f ca="1">IF(History!HK2="","",History!HK2)</f>
        <v/>
      </c>
      <c r="HH52" s="38" t="str">
        <f ca="1">IF(History!HL2="","",History!HL2)</f>
        <v/>
      </c>
      <c r="HI52" s="38" t="str">
        <f ca="1">IF(History!HM2="","",History!HM2)</f>
        <v/>
      </c>
      <c r="HJ52" s="38" t="str">
        <f ca="1">IF(History!HN2="","",History!HN2)</f>
        <v/>
      </c>
      <c r="HK52" s="38" t="str">
        <f ca="1">IF(History!HO2="","",History!HO2)</f>
        <v/>
      </c>
      <c r="HL52" s="38" t="str">
        <f ca="1">IF(History!HP2="","",History!HP2)</f>
        <v/>
      </c>
      <c r="HM52" s="38" t="str">
        <f ca="1">IF(History!HQ2="","",History!HQ2)</f>
        <v/>
      </c>
      <c r="HN52" s="38" t="str">
        <f ca="1">IF(History!HR2="","",History!HR2)</f>
        <v/>
      </c>
      <c r="HO52" s="38" t="str">
        <f ca="1">IF(History!HS2="","",History!HS2)</f>
        <v/>
      </c>
      <c r="HP52" s="38" t="str">
        <f ca="1">IF(History!HT2="","",History!HT2)</f>
        <v/>
      </c>
      <c r="HQ52" s="38" t="str">
        <f ca="1">IF(History!HU2="","",History!HU2)</f>
        <v/>
      </c>
      <c r="HR52" s="38" t="str">
        <f ca="1">IF(History!HV2="","",History!HV2)</f>
        <v/>
      </c>
      <c r="HS52" s="38" t="str">
        <f ca="1">IF(History!HW2="","",History!HW2)</f>
        <v/>
      </c>
      <c r="HT52" s="38" t="str">
        <f ca="1">IF(History!HX2="","",History!HX2)</f>
        <v/>
      </c>
      <c r="HU52" s="38" t="str">
        <f ca="1">IF(History!HY2="","",History!HY2)</f>
        <v/>
      </c>
      <c r="HV52" s="38" t="str">
        <f ca="1">IF(History!HZ2="","",History!HZ2)</f>
        <v/>
      </c>
      <c r="HW52" s="38" t="str">
        <f ca="1">IF(History!IA2="","",History!IA2)</f>
        <v/>
      </c>
      <c r="HX52" s="38" t="str">
        <f ca="1">IF(History!IB2="","",History!IB2)</f>
        <v/>
      </c>
      <c r="HY52" s="38" t="str">
        <f ca="1">IF(History!IC2="","",History!IC2)</f>
        <v/>
      </c>
      <c r="HZ52" s="38" t="str">
        <f ca="1">IF(History!ID2="","",History!ID2)</f>
        <v/>
      </c>
      <c r="IA52" s="38" t="str">
        <f ca="1">IF(History!IE2="","",History!IE2)</f>
        <v/>
      </c>
      <c r="IB52" s="38" t="str">
        <f ca="1">IF(History!IF2="","",History!IF2)</f>
        <v/>
      </c>
      <c r="IC52" s="38" t="str">
        <f ca="1">IF(History!IG2="","",History!IG2)</f>
        <v/>
      </c>
      <c r="ID52" s="38" t="str">
        <f ca="1">IF(History!IH2="","",History!IH2)</f>
        <v/>
      </c>
      <c r="IE52" s="38" t="str">
        <f ca="1">IF(History!II2="","",History!II2)</f>
        <v/>
      </c>
      <c r="IF52" s="38" t="str">
        <f ca="1">IF(History!IJ2="","",History!IJ2)</f>
        <v/>
      </c>
      <c r="IG52" s="38" t="str">
        <f ca="1">IF(History!IK2="","",History!IK2)</f>
        <v/>
      </c>
      <c r="IH52" s="38" t="str">
        <f ca="1">IF(History!IL2="","",History!IL2)</f>
        <v/>
      </c>
      <c r="II52" s="38" t="str">
        <f ca="1">IF(History!IM2="","",History!IM2)</f>
        <v/>
      </c>
      <c r="IJ52" s="38" t="str">
        <f ca="1">IF(History!IN2="","",History!IN2)</f>
        <v/>
      </c>
      <c r="IK52" s="38" t="str">
        <f ca="1">IF(History!IO2="","",History!IO2)</f>
        <v/>
      </c>
      <c r="IL52" s="38" t="str">
        <f ca="1">IF(History!IP2="","",History!IP2)</f>
        <v/>
      </c>
      <c r="IM52" s="38" t="str">
        <f ca="1">IF(History!IQ2="","",History!IQ2)</f>
        <v/>
      </c>
      <c r="IN52" s="38" t="str">
        <f ca="1">IF(History!IR2="","",History!IR2)</f>
        <v/>
      </c>
      <c r="IO52" s="38" t="str">
        <f ca="1">IF(History!IS2="","",History!IS2)</f>
        <v/>
      </c>
      <c r="IP52" s="38" t="str">
        <f ca="1">IF(History!IT2="","",History!IT2)</f>
        <v/>
      </c>
      <c r="IQ52" s="38" t="str">
        <f ca="1">IF(History!IU2="","",History!IU2)</f>
        <v/>
      </c>
      <c r="IR52" s="38" t="str">
        <f ca="1">IF(History!IV2="","",History!IV2)</f>
        <v/>
      </c>
      <c r="IS52" s="38" t="str">
        <f ca="1">IF(History!IW2="","",History!IW2)</f>
        <v/>
      </c>
      <c r="IT52" s="38" t="str">
        <f ca="1">IF(History!IX2="","",History!IX2)</f>
        <v/>
      </c>
      <c r="IU52" s="38" t="str">
        <f ca="1">IF(History!IY2="","",History!IY2)</f>
        <v/>
      </c>
      <c r="IV52" s="38" t="str">
        <f ca="1">IF(History!IZ2="","",History!IZ2)</f>
        <v/>
      </c>
      <c r="IW52" s="38" t="str">
        <f ca="1">IF(History!JA2="","",History!JA2)</f>
        <v/>
      </c>
      <c r="IX52" s="38" t="str">
        <f ca="1">IF(History!JB2="","",History!JB2)</f>
        <v/>
      </c>
      <c r="IY52" s="38" t="str">
        <f ca="1">IF(History!JC2="","",History!JC2)</f>
        <v/>
      </c>
      <c r="IZ52" s="38" t="str">
        <f ca="1">IF(History!JD2="","",History!JD2)</f>
        <v/>
      </c>
      <c r="JA52" s="38" t="str">
        <f ca="1">IF(History!JE2="","",History!JE2)</f>
        <v/>
      </c>
      <c r="JB52" s="38" t="str">
        <f ca="1">IF(History!JF2="","",History!JF2)</f>
        <v/>
      </c>
      <c r="JC52" s="38" t="str">
        <f ca="1">IF(History!JG2="","",History!JG2)</f>
        <v/>
      </c>
      <c r="JD52" s="38" t="str">
        <f ca="1">IF(History!JH2="","",History!JH2)</f>
        <v/>
      </c>
      <c r="JE52" s="38" t="str">
        <f ca="1">IF(History!JI2="","",History!JI2)</f>
        <v/>
      </c>
      <c r="JF52" s="38" t="str">
        <f ca="1">IF(History!JJ2="","",History!JJ2)</f>
        <v/>
      </c>
      <c r="JG52" s="38" t="str">
        <f ca="1">IF(History!JK2="","",History!JK2)</f>
        <v/>
      </c>
      <c r="JH52" s="38" t="str">
        <f ca="1">IF(History!JL2="","",History!JL2)</f>
        <v/>
      </c>
      <c r="JI52" s="38" t="str">
        <f ca="1">IF(History!JM2="","",History!JM2)</f>
        <v/>
      </c>
      <c r="JJ52" s="38" t="str">
        <f ca="1">IF(History!JN2="","",History!JN2)</f>
        <v/>
      </c>
      <c r="JK52" s="38" t="str">
        <f ca="1">IF(History!JO2="","",History!JO2)</f>
        <v/>
      </c>
      <c r="JL52" s="38" t="str">
        <f ca="1">IF(History!JP2="","",History!JP2)</f>
        <v/>
      </c>
      <c r="JM52" s="38" t="str">
        <f ca="1">IF(History!JQ2="","",History!JQ2)</f>
        <v/>
      </c>
      <c r="JN52" s="38" t="str">
        <f ca="1">IF(History!JR2="","",History!JR2)</f>
        <v/>
      </c>
      <c r="JO52" s="38" t="str">
        <f ca="1">IF(History!JS2="","",History!JS2)</f>
        <v/>
      </c>
      <c r="JP52" s="38" t="str">
        <f ca="1">IF(History!JT2="","",History!JT2)</f>
        <v/>
      </c>
      <c r="JQ52" s="38" t="str">
        <f ca="1">IF(History!JU2="","",History!JU2)</f>
        <v/>
      </c>
      <c r="JR52" s="38" t="str">
        <f ca="1">IF(History!JV2="","",History!JV2)</f>
        <v/>
      </c>
      <c r="JS52" s="38" t="str">
        <f ca="1">IF(History!JW2="","",History!JW2)</f>
        <v/>
      </c>
      <c r="JT52" s="38" t="str">
        <f ca="1">IF(History!JX2="","",History!JX2)</f>
        <v/>
      </c>
      <c r="JU52" s="38" t="str">
        <f ca="1">IF(History!JY2="","",History!JY2)</f>
        <v/>
      </c>
      <c r="JV52" s="38" t="str">
        <f ca="1">IF(History!JZ2="","",History!JZ2)</f>
        <v/>
      </c>
      <c r="JW52" s="38" t="str">
        <f ca="1">IF(History!KA2="","",History!KA2)</f>
        <v/>
      </c>
      <c r="JX52" s="38" t="str">
        <f ca="1">IF(History!KB2="","",History!KB2)</f>
        <v/>
      </c>
      <c r="JY52" s="38" t="str">
        <f ca="1">IF(History!KC2="","",History!KC2)</f>
        <v/>
      </c>
      <c r="JZ52" s="38" t="str">
        <f ca="1">IF(History!KD2="","",History!KD2)</f>
        <v/>
      </c>
      <c r="KA52" s="38" t="str">
        <f ca="1">IF(History!KE2="","",History!KE2)</f>
        <v/>
      </c>
      <c r="KB52" s="38" t="str">
        <f ca="1">IF(History!KF2="","",History!KF2)</f>
        <v/>
      </c>
    </row>
    <row r="53" spans="1:288" ht="15.75" customHeight="1">
      <c r="A53" s="9" t="s">
        <v>30</v>
      </c>
      <c r="D53" s="13">
        <v>0</v>
      </c>
      <c r="E53" s="14">
        <f ca="1">IF(E$1="","",'Total Value'!E149/'Total Value'!$D149-1)</f>
        <v>1.2627299077323517E-2</v>
      </c>
      <c r="F53" s="14">
        <f ca="1">IF(F$1="","",'Total Value'!F149/'Total Value'!$D149-1)</f>
        <v>8.8298552640158068E-3</v>
      </c>
      <c r="G53" s="14">
        <f ca="1">IF(G$1="","",'Total Value'!G149/'Total Value'!$D149-1)</f>
        <v>-1.2723412161022685E-2</v>
      </c>
      <c r="H53" s="14">
        <f ca="1">IF(H$1="","",'Total Value'!H149/'Total Value'!$D149-1)</f>
        <v>-1.1134584726904317E-2</v>
      </c>
      <c r="I53" s="14">
        <f ca="1">IF(I$1="","",'Total Value'!I149/'Total Value'!$D149-1)</f>
        <v>-3.3235098312113909E-2</v>
      </c>
      <c r="J53" s="14">
        <f ca="1">IF(J$1="","",'Total Value'!J149/'Total Value'!$D149-1)</f>
        <v>-3.9622801943694719E-2</v>
      </c>
      <c r="K53" s="14">
        <f ca="1">IF(K$1="","",'Total Value'!K149/'Total Value'!$D149-1)</f>
        <v>-4.7877841125500309E-2</v>
      </c>
      <c r="L53" s="14">
        <f ca="1">IF(L$1="","",'Total Value'!L149/'Total Value'!$D149-1)</f>
        <v>-6.6587254299862342E-2</v>
      </c>
      <c r="M53" s="14">
        <f ca="1">IF(M$1="","",'Total Value'!M149/'Total Value'!$D149-1)</f>
        <v>-5.800507036207414E-2</v>
      </c>
      <c r="N53" s="14">
        <f ca="1">IF(N$1="","",'Total Value'!N149/'Total Value'!$D149-1)</f>
        <v>-7.0930203979258977E-2</v>
      </c>
      <c r="O53" s="14">
        <f ca="1">IF(O$1="","",'Total Value'!O149/'Total Value'!$D149-1)</f>
        <v>-7.7343767770272853E-2</v>
      </c>
      <c r="P53" s="14">
        <f ca="1">IF(P$1="","",'Total Value'!P149/'Total Value'!$D149-1)</f>
        <v>-6.5507294961680951E-2</v>
      </c>
      <c r="Q53" s="14">
        <f ca="1">IF(Q$1="","",'Total Value'!Q149/'Total Value'!$D149-1)</f>
        <v>-4.3862372048312337E-2</v>
      </c>
      <c r="R53" s="14">
        <f ca="1">IF(R$1="","",'Total Value'!R149/'Total Value'!$D149-1)</f>
        <v>-2.0665137345078022E-2</v>
      </c>
      <c r="S53" s="14">
        <f ca="1">IF(S$1="","",'Total Value'!S149/'Total Value'!$D149-1)</f>
        <v>-7.9699362670725415E-3</v>
      </c>
      <c r="T53" s="14">
        <f ca="1">IF(T$1="","",'Total Value'!T149/'Total Value'!$D149-1)</f>
        <v>-1.0066074691895244E-2</v>
      </c>
      <c r="U53" s="14">
        <f ca="1">IF(U$1="","",'Total Value'!U149/'Total Value'!$D149-1)</f>
        <v>-3.3243891376950274E-2</v>
      </c>
      <c r="V53" s="14">
        <f ca="1">IF(V$1="","",'Total Value'!V149/'Total Value'!$D149-1)</f>
        <v>-2.4240342550937877E-2</v>
      </c>
      <c r="W53" s="14">
        <f ca="1">IF(W$1="","",'Total Value'!W149/'Total Value'!$D149-1)</f>
        <v>-2.251238318466775E-2</v>
      </c>
      <c r="X53" s="14">
        <f ca="1">IF(X$1="","",'Total Value'!X149/'Total Value'!$D149-1)</f>
        <v>-5.2555049394582554E-3</v>
      </c>
      <c r="Y53" s="14">
        <f ca="1">IF(Y$1="","",'Total Value'!Y149/'Total Value'!$D149-1)</f>
        <v>1.8231320805353279E-2</v>
      </c>
      <c r="Z53" s="14">
        <f ca="1">IF(Z$1="","",'Total Value'!Z149/'Total Value'!$D149-1)</f>
        <v>1.2686194292842456E-2</v>
      </c>
      <c r="AA53" s="14">
        <f ca="1">IF(AA$1="","",'Total Value'!AA149/'Total Value'!$D149-1)</f>
        <v>-9.017532241619608E-3</v>
      </c>
      <c r="AB53" s="14">
        <f ca="1">IF(AB$1="","",'Total Value'!AB149/'Total Value'!$D149-1)</f>
        <v>-1.5454544205530829E-2</v>
      </c>
      <c r="AC53" s="14">
        <f ca="1">IF(AC$1="","",'Total Value'!AC149/'Total Value'!$D149-1)</f>
        <v>4.1908724017905019E-3</v>
      </c>
      <c r="AD53" s="14">
        <f ca="1">IF(AD$1="","",'Total Value'!AD149/'Total Value'!$D149-1)</f>
        <v>4.8965158549187926E-3</v>
      </c>
      <c r="AE53" s="14">
        <f ca="1">IF(AE$1="","",'Total Value'!AE149/'Total Value'!$D149-1)</f>
        <v>-2.7362094288217564E-2</v>
      </c>
      <c r="AF53" s="14">
        <f ca="1">IF(AF$1="","",'Total Value'!AF149/'Total Value'!$D149-1)</f>
        <v>-4.0184672680451561E-2</v>
      </c>
      <c r="AG53" s="14">
        <f ca="1">IF(AG$1="","",'Total Value'!AG149/'Total Value'!$D149-1)</f>
        <v>-4.7249075926741213E-2</v>
      </c>
      <c r="AH53" s="14">
        <f ca="1">IF(AH$1="","",'Total Value'!AH149/'Total Value'!$D149-1)</f>
        <v>-6.4941424601682729E-2</v>
      </c>
      <c r="AI53" s="14">
        <f ca="1">IF(AI$1="","",'Total Value'!AI149/'Total Value'!$D149-1)</f>
        <v>-5.0301276963681363E-2</v>
      </c>
      <c r="AJ53" s="14">
        <f ca="1">IF(AJ$1="","",'Total Value'!AJ149/'Total Value'!$D149-1)</f>
        <v>-3.3193697631841323E-2</v>
      </c>
      <c r="AK53" s="14">
        <f ca="1">IF(AK$1="","",'Total Value'!AK149/'Total Value'!$D149-1)</f>
        <v>-4.3856571068038641E-2</v>
      </c>
      <c r="AL53" s="14">
        <f ca="1">IF(AL$1="","",'Total Value'!AL149/'Total Value'!$D149-1)</f>
        <v>-5.7471990806362339E-2</v>
      </c>
      <c r="AM53" s="14">
        <f ca="1">IF(AM$1="","",'Total Value'!AM149/'Total Value'!$D149-1)</f>
        <v>-3.6320120684815271E-2</v>
      </c>
      <c r="AN53" s="14">
        <f ca="1">IF(AN$1="","",'Total Value'!AN149/'Total Value'!$D149-1)</f>
        <v>-6.8502707454886402E-2</v>
      </c>
      <c r="AO53" s="14">
        <f ca="1">IF(AO$1="","",'Total Value'!AO149/'Total Value'!$D149-1)</f>
        <v>-9.0872203335960799E-2</v>
      </c>
      <c r="AP53" s="14">
        <f ca="1">IF(AP$1="","",'Total Value'!AP149/'Total Value'!$D149-1)</f>
        <v>-0.1239026186388249</v>
      </c>
      <c r="AQ53" s="14">
        <f ca="1">IF(AQ$1="","",'Total Value'!AQ149/'Total Value'!$D149-1)</f>
        <v>-0.12768672019750194</v>
      </c>
      <c r="AR53" s="14">
        <f ca="1">IF(AR$1="","",'Total Value'!AR149/'Total Value'!$D149-1)</f>
        <v>-9.1121279110044195E-2</v>
      </c>
      <c r="AS53" s="14">
        <f ca="1">IF(AS$1="","",'Total Value'!AS149/'Total Value'!$D149-1)</f>
        <v>-0.10493591672357006</v>
      </c>
      <c r="AT53" s="14">
        <f ca="1">IF(AT$1="","",'Total Value'!AT149/'Total Value'!$D149-1)</f>
        <v>-0.12663936847475632</v>
      </c>
      <c r="AU53" s="14">
        <f ca="1">IF(AU$1="","",'Total Value'!AU149/'Total Value'!$D149-1)</f>
        <v>-0.14274517957621402</v>
      </c>
      <c r="AV53" s="14">
        <f ca="1">IF(AV$1="","",'Total Value'!AV149/'Total Value'!$D149-1)</f>
        <v>-0.12796513671918219</v>
      </c>
      <c r="AW53" s="14">
        <f ca="1">IF(AW$1="","",'Total Value'!AW149/'Total Value'!$D149-1)</f>
        <v>-9.2791717177175492E-2</v>
      </c>
      <c r="AX53" s="14">
        <f ca="1">IF(AX$1="","",'Total Value'!AX149/'Total Value'!$D149-1)</f>
        <v>-7.2924153556833904E-2</v>
      </c>
      <c r="AY53" s="14">
        <f ca="1">IF(AY$1="","",'Total Value'!AY149/'Total Value'!$D149-1)</f>
        <v>-6.0850512249456701E-2</v>
      </c>
      <c r="AZ53" s="14">
        <f ca="1">IF(AZ$1="","",'Total Value'!AZ149/'Total Value'!$D149-1)</f>
        <v>-6.6354146487270782E-2</v>
      </c>
      <c r="BA53" s="14">
        <f ca="1">IF(BA$1="","",'Total Value'!BA149/'Total Value'!$D149-1)</f>
        <v>-4.9750916593047534E-2</v>
      </c>
      <c r="BB53" s="14">
        <f ca="1">IF(BB$1="","",'Total Value'!BB149/'Total Value'!$D149-1)</f>
        <v>-6.817864637789095E-2</v>
      </c>
      <c r="BC53" s="14">
        <f ca="1">IF(BC$1="","",'Total Value'!BC149/'Total Value'!$D149-1)</f>
        <v>-5.7233387328247454E-2</v>
      </c>
      <c r="BD53" s="14">
        <f ca="1">IF(BD$1="","",'Total Value'!BD149/'Total Value'!$D149-1)</f>
        <v>-6.3278314088581755E-2</v>
      </c>
      <c r="BE53" s="14">
        <f ca="1">IF(BE$1="","",'Total Value'!BE149/'Total Value'!$D149-1)</f>
        <v>-5.8982352349404743E-2</v>
      </c>
      <c r="BF53" s="14">
        <f ca="1">IF(BF$1="","",'Total Value'!BF149/'Total Value'!$D149-1)</f>
        <v>-3.8735893122739506E-2</v>
      </c>
      <c r="BG53" s="14">
        <f ca="1">IF(BG$1="","",'Total Value'!BG149/'Total Value'!$D149-1)</f>
        <v>-5.7616862655838319E-2</v>
      </c>
      <c r="BH53" s="14">
        <f ca="1">IF(BH$1="","",'Total Value'!BH149/'Total Value'!$D149-1)</f>
        <v>-7.5078759756523339E-2</v>
      </c>
      <c r="BI53" s="14">
        <f ca="1">IF(BI$1="","",'Total Value'!BI149/'Total Value'!$D149-1)</f>
        <v>-7.5093140081308407E-2</v>
      </c>
      <c r="BJ53" s="14">
        <f ca="1">IF(BJ$1="","",'Total Value'!BJ149/'Total Value'!$D149-1)</f>
        <v>-6.419300655190241E-2</v>
      </c>
      <c r="BK53" s="14">
        <f ca="1">IF(BK$1="","",'Total Value'!BK149/'Total Value'!$D149-1)</f>
        <v>-8.152282449118875E-2</v>
      </c>
      <c r="BL53" s="14">
        <f ca="1">IF(BL$1="","",'Total Value'!BL149/'Total Value'!$D149-1)</f>
        <v>-0.1015917737214681</v>
      </c>
      <c r="BM53" s="14">
        <f ca="1">IF(BM$1="","",'Total Value'!BM149/'Total Value'!$D149-1)</f>
        <v>-0.10323824458062503</v>
      </c>
      <c r="BN53" s="14">
        <f ca="1">IF(BN$1="","",'Total Value'!BN149/'Total Value'!$D149-1)</f>
        <v>-0.10806496548340383</v>
      </c>
      <c r="BO53" s="14">
        <f ca="1">IF(BO$1="","",'Total Value'!BO149/'Total Value'!$D149-1)</f>
        <v>-0.11365744631383556</v>
      </c>
      <c r="BP53" s="14">
        <f ca="1">IF(BP$1="","",'Total Value'!BP149/'Total Value'!$D149-1)</f>
        <v>-0.11697808008008981</v>
      </c>
      <c r="BQ53" s="14">
        <f ca="1">IF(BQ$1="","",'Total Value'!BQ149/'Total Value'!$D149-1)</f>
        <v>-0.1022335453286306</v>
      </c>
      <c r="BR53" s="14">
        <f ca="1">IF(BR$1="","",'Total Value'!BR149/'Total Value'!$D149-1)</f>
        <v>-0.1090682602875428</v>
      </c>
      <c r="BS53" s="14">
        <f ca="1">IF(BS$1="","",'Total Value'!BS149/'Total Value'!$D149-1)</f>
        <v>-0.11136587591672698</v>
      </c>
      <c r="BT53" s="14">
        <f ca="1">IF(BT$1="","",'Total Value'!BT149/'Total Value'!$D149-1)</f>
        <v>-8.8353814610134918E-2</v>
      </c>
      <c r="BU53" s="14">
        <f ca="1">IF(BU$1="","",'Total Value'!BU149/'Total Value'!$D149-1)</f>
        <v>-8.9403150878764603E-2</v>
      </c>
      <c r="BV53" s="14">
        <f ca="1">IF(BV$1="","",'Total Value'!BV149/'Total Value'!$D149-1)</f>
        <v>-0.1064265854651556</v>
      </c>
      <c r="BW53" s="14">
        <f ca="1">IF(BW$1="","",'Total Value'!BW149/'Total Value'!$D149-1)</f>
        <v>-0.13089063213434693</v>
      </c>
      <c r="BX53" s="14">
        <f ca="1">IF(BX$1="","",'Total Value'!BX149/'Total Value'!$D149-1)</f>
        <v>-0.12843199350534495</v>
      </c>
      <c r="BY53" s="14">
        <f ca="1">IF(BY$1="","",'Total Value'!BY149/'Total Value'!$D149-1)</f>
        <v>-0.14843594122507875</v>
      </c>
      <c r="BZ53" s="14">
        <f ca="1">IF(BZ$1="","",'Total Value'!BZ149/'Total Value'!$D149-1)</f>
        <v>-0.14515347180273275</v>
      </c>
      <c r="CA53" s="14">
        <f ca="1">IF(CA$1="","",'Total Value'!CA149/'Total Value'!$D149-1)</f>
        <v>-0.13021503165274373</v>
      </c>
      <c r="CB53" s="14">
        <f ca="1">IF(CB$1="","",'Total Value'!CB149/'Total Value'!$D149-1)</f>
        <v>-0.15475623135958017</v>
      </c>
      <c r="CC53" s="14">
        <f ca="1">IF(CC$1="","",'Total Value'!CC149/'Total Value'!$D149-1)</f>
        <v>-0.14317057461915395</v>
      </c>
      <c r="CD53" s="14">
        <f ca="1">IF(CD$1="","",'Total Value'!CD149/'Total Value'!$D149-1)</f>
        <v>-0.13655989962472237</v>
      </c>
      <c r="CE53" s="14">
        <f ca="1">IF(CE$1="","",'Total Value'!CE149/'Total Value'!$D149-1)</f>
        <v>-0.11084256643305523</v>
      </c>
      <c r="CF53" s="14" t="str">
        <f ca="1">IF(CF$1="","",'Total Value'!CF149/'Total Value'!$D149-1)</f>
        <v/>
      </c>
      <c r="CG53" s="14" t="str">
        <f ca="1">IF(CG$1="","",'Total Value'!CG149/'Total Value'!$D149-1)</f>
        <v/>
      </c>
      <c r="CH53" s="14" t="str">
        <f ca="1">IF(CH$1="","",'Total Value'!CH149/'Total Value'!$D149-1)</f>
        <v/>
      </c>
      <c r="CI53" s="14" t="str">
        <f ca="1">IF(CI$1="","",'Total Value'!CI149/'Total Value'!$D149-1)</f>
        <v/>
      </c>
      <c r="CJ53" s="14" t="str">
        <f ca="1">IF(CJ$1="","",'Total Value'!CJ149/'Total Value'!$D149-1)</f>
        <v/>
      </c>
      <c r="CK53" s="14" t="str">
        <f ca="1">IF(CK$1="","",'Total Value'!CK149/'Total Value'!$D149-1)</f>
        <v/>
      </c>
      <c r="CL53" s="14" t="str">
        <f ca="1">IF(CL$1="","",'Total Value'!CL149/'Total Value'!$D149-1)</f>
        <v/>
      </c>
      <c r="CM53" s="14" t="str">
        <f ca="1">IF(CM$1="","",'Total Value'!CM149/'Total Value'!$D149-1)</f>
        <v/>
      </c>
      <c r="CN53" s="14" t="str">
        <f ca="1">IF(CN$1="","",'Total Value'!CN149/'Total Value'!$D149-1)</f>
        <v/>
      </c>
      <c r="CO53" s="14" t="str">
        <f ca="1">IF(CO$1="","",'Total Value'!CO149/'Total Value'!$D149-1)</f>
        <v/>
      </c>
      <c r="CP53" s="14" t="str">
        <f ca="1">IF(CP$1="","",'Total Value'!CP149/'Total Value'!$D149-1)</f>
        <v/>
      </c>
      <c r="CQ53" s="14" t="str">
        <f ca="1">IF(CQ$1="","",'Total Value'!CQ149/'Total Value'!$D149-1)</f>
        <v/>
      </c>
      <c r="CR53" s="14" t="str">
        <f ca="1">IF(CR$1="","",'Total Value'!CR149/'Total Value'!$D149-1)</f>
        <v/>
      </c>
      <c r="CS53" s="14" t="str">
        <f ca="1">IF(CS$1="","",'Total Value'!CS149/'Total Value'!$D149-1)</f>
        <v/>
      </c>
      <c r="CT53" s="14" t="str">
        <f ca="1">IF(CT$1="","",'Total Value'!CT149/'Total Value'!$D149-1)</f>
        <v/>
      </c>
      <c r="CU53" s="14" t="str">
        <f ca="1">IF(CU$1="","",'Total Value'!CU149/'Total Value'!$D149-1)</f>
        <v/>
      </c>
      <c r="CV53" s="14" t="str">
        <f ca="1">IF(CV$1="","",'Total Value'!CV149/'Total Value'!$D149-1)</f>
        <v/>
      </c>
      <c r="CW53" s="14" t="str">
        <f ca="1">IF(CW$1="","",'Total Value'!CW149/'Total Value'!$D149-1)</f>
        <v/>
      </c>
      <c r="CX53" s="14" t="str">
        <f ca="1">IF(CX$1="","",'Total Value'!CX149/'Total Value'!$D149-1)</f>
        <v/>
      </c>
      <c r="CY53" s="14" t="str">
        <f ca="1">IF(CY$1="","",'Total Value'!CY149/'Total Value'!$D149-1)</f>
        <v/>
      </c>
      <c r="CZ53" s="14" t="str">
        <f ca="1">IF(CZ$1="","",'Total Value'!CZ149/'Total Value'!$D149-1)</f>
        <v/>
      </c>
      <c r="DA53" s="14" t="str">
        <f ca="1">IF(DA$1="","",'Total Value'!DA149/'Total Value'!$D149-1)</f>
        <v/>
      </c>
      <c r="DB53" s="14" t="str">
        <f ca="1">IF(DB$1="","",'Total Value'!DB149/'Total Value'!$D149-1)</f>
        <v/>
      </c>
      <c r="DC53" s="14" t="str">
        <f ca="1">IF(DC$1="","",'Total Value'!DC149/'Total Value'!$D149-1)</f>
        <v/>
      </c>
      <c r="DD53" s="14" t="str">
        <f ca="1">IF(DD$1="","",'Total Value'!DD149/'Total Value'!$D149-1)</f>
        <v/>
      </c>
      <c r="DE53" s="14" t="str">
        <f ca="1">IF(DE$1="","",'Total Value'!DE149/'Total Value'!$D149-1)</f>
        <v/>
      </c>
      <c r="DF53" s="14" t="str">
        <f ca="1">IF(DF$1="","",'Total Value'!DF149/'Total Value'!$D149-1)</f>
        <v/>
      </c>
      <c r="DG53" s="14" t="str">
        <f ca="1">IF(DG$1="","",'Total Value'!DG149/'Total Value'!$D149-1)</f>
        <v/>
      </c>
      <c r="DH53" s="14" t="str">
        <f ca="1">IF(DH$1="","",'Total Value'!DH149/'Total Value'!$D149-1)</f>
        <v/>
      </c>
      <c r="DI53" s="14" t="str">
        <f ca="1">IF(DI$1="","",'Total Value'!DI149/'Total Value'!$D149-1)</f>
        <v/>
      </c>
      <c r="DJ53" s="14" t="str">
        <f ca="1">IF(DJ$1="","",'Total Value'!DJ149/'Total Value'!$D149-1)</f>
        <v/>
      </c>
      <c r="DK53" s="14" t="str">
        <f ca="1">IF(DK$1="","",'Total Value'!DK149/'Total Value'!$D149-1)</f>
        <v/>
      </c>
      <c r="DL53" s="14" t="str">
        <f ca="1">IF(DL$1="","",'Total Value'!DL149/'Total Value'!$D149-1)</f>
        <v/>
      </c>
      <c r="DM53" s="14" t="str">
        <f ca="1">IF(DM$1="","",'Total Value'!DM149/'Total Value'!$D149-1)</f>
        <v/>
      </c>
      <c r="DN53" s="14" t="str">
        <f ca="1">IF(DN$1="","",'Total Value'!DN149/'Total Value'!$D149-1)</f>
        <v/>
      </c>
      <c r="DO53" s="14" t="str">
        <f ca="1">IF(DO$1="","",'Total Value'!DO149/'Total Value'!$D149-1)</f>
        <v/>
      </c>
      <c r="DP53" s="14" t="str">
        <f ca="1">IF(DP$1="","",'Total Value'!DP149/'Total Value'!$D149-1)</f>
        <v/>
      </c>
      <c r="DQ53" s="14" t="str">
        <f ca="1">IF(DQ$1="","",'Total Value'!DQ149/'Total Value'!$D149-1)</f>
        <v/>
      </c>
      <c r="DR53" s="14" t="str">
        <f ca="1">IF(DR$1="","",'Total Value'!DR149/'Total Value'!$D149-1)</f>
        <v/>
      </c>
      <c r="DS53" s="14" t="str">
        <f ca="1">IF(DS$1="","",'Total Value'!DS149/'Total Value'!$D149-1)</f>
        <v/>
      </c>
      <c r="DT53" s="14" t="str">
        <f ca="1">IF(DT$1="","",'Total Value'!DT149/'Total Value'!$D149-1)</f>
        <v/>
      </c>
      <c r="DU53" s="14" t="str">
        <f ca="1">IF(DU$1="","",'Total Value'!DU149/'Total Value'!$D149-1)</f>
        <v/>
      </c>
      <c r="DV53" s="14" t="str">
        <f ca="1">IF(DV$1="","",'Total Value'!DV149/'Total Value'!$D149-1)</f>
        <v/>
      </c>
      <c r="DW53" s="14" t="str">
        <f ca="1">IF(DW$1="","",'Total Value'!DW149/'Total Value'!$D149-1)</f>
        <v/>
      </c>
      <c r="DX53" s="14" t="str">
        <f ca="1">IF(DX$1="","",'Total Value'!DX149/'Total Value'!$D149-1)</f>
        <v/>
      </c>
      <c r="DY53" s="14" t="str">
        <f ca="1">IF(DY$1="","",'Total Value'!DY149/'Total Value'!$D149-1)</f>
        <v/>
      </c>
      <c r="DZ53" s="14" t="str">
        <f ca="1">IF(DZ$1="","",'Total Value'!DZ149/'Total Value'!$D149-1)</f>
        <v/>
      </c>
      <c r="EA53" s="14" t="str">
        <f ca="1">IF(EA$1="","",'Total Value'!EA149/'Total Value'!$D149-1)</f>
        <v/>
      </c>
      <c r="EB53" s="14" t="str">
        <f ca="1">IF(EB$1="","",'Total Value'!EB149/'Total Value'!$D149-1)</f>
        <v/>
      </c>
      <c r="EC53" s="14" t="str">
        <f ca="1">IF(EC$1="","",'Total Value'!EC149/'Total Value'!$D149-1)</f>
        <v/>
      </c>
      <c r="ED53" s="14" t="str">
        <f ca="1">IF(ED$1="","",'Total Value'!ED149/'Total Value'!$D149-1)</f>
        <v/>
      </c>
      <c r="EE53" s="14" t="str">
        <f ca="1">IF(EE$1="","",'Total Value'!EE149/'Total Value'!$D149-1)</f>
        <v/>
      </c>
      <c r="EF53" s="14" t="str">
        <f ca="1">IF(EF$1="","",'Total Value'!EF149/'Total Value'!$D149-1)</f>
        <v/>
      </c>
      <c r="EG53" s="14" t="str">
        <f ca="1">IF(EG$1="","",'Total Value'!EG149/'Total Value'!$D149-1)</f>
        <v/>
      </c>
      <c r="EH53" s="14" t="str">
        <f ca="1">IF(EH$1="","",'Total Value'!EH149/'Total Value'!$D149-1)</f>
        <v/>
      </c>
      <c r="EI53" s="14" t="str">
        <f ca="1">IF(EI$1="","",'Total Value'!EI149/'Total Value'!$D149-1)</f>
        <v/>
      </c>
      <c r="EJ53" s="14" t="str">
        <f ca="1">IF(EJ$1="","",'Total Value'!EJ149/'Total Value'!$D149-1)</f>
        <v/>
      </c>
      <c r="EK53" s="14" t="str">
        <f ca="1">IF(EK$1="","",'Total Value'!EK149/'Total Value'!$D149-1)</f>
        <v/>
      </c>
      <c r="EL53" s="14" t="str">
        <f ca="1">IF(EL$1="","",'Total Value'!EL149/'Total Value'!$D149-1)</f>
        <v/>
      </c>
      <c r="EM53" s="14" t="str">
        <f ca="1">IF(EM$1="","",'Total Value'!EM149/'Total Value'!$D149-1)</f>
        <v/>
      </c>
      <c r="EN53" s="14" t="str">
        <f ca="1">IF(EN$1="","",'Total Value'!EN149/'Total Value'!$D149-1)</f>
        <v/>
      </c>
      <c r="EO53" s="14" t="str">
        <f ca="1">IF(EO$1="","",'Total Value'!EO149/'Total Value'!$D149-1)</f>
        <v/>
      </c>
      <c r="EP53" s="14" t="str">
        <f ca="1">IF(EP$1="","",'Total Value'!EP149/'Total Value'!$D149-1)</f>
        <v/>
      </c>
      <c r="EQ53" s="14" t="str">
        <f ca="1">IF(EQ$1="","",'Total Value'!EQ149/'Total Value'!$D149-1)</f>
        <v/>
      </c>
      <c r="ER53" s="14" t="str">
        <f ca="1">IF(ER$1="","",'Total Value'!ER149/'Total Value'!$D149-1)</f>
        <v/>
      </c>
      <c r="ES53" s="14" t="str">
        <f ca="1">IF(ES$1="","",'Total Value'!ES149/'Total Value'!$D149-1)</f>
        <v/>
      </c>
      <c r="ET53" s="14" t="str">
        <f ca="1">IF(ET$1="","",'Total Value'!ET149/'Total Value'!$D149-1)</f>
        <v/>
      </c>
      <c r="EU53" s="14" t="str">
        <f ca="1">IF(EU$1="","",'Total Value'!EU149/'Total Value'!$D149-1)</f>
        <v/>
      </c>
      <c r="EV53" s="14" t="str">
        <f ca="1">IF(EV$1="","",'Total Value'!EV149/'Total Value'!$D149-1)</f>
        <v/>
      </c>
      <c r="EW53" s="14" t="str">
        <f ca="1">IF(EW$1="","",'Total Value'!EW149/'Total Value'!$D149-1)</f>
        <v/>
      </c>
      <c r="EX53" s="14" t="str">
        <f ca="1">IF(EX$1="","",'Total Value'!EX149/'Total Value'!$D149-1)</f>
        <v/>
      </c>
      <c r="EY53" s="14" t="str">
        <f ca="1">IF(EY$1="","",'Total Value'!EY149/'Total Value'!$D149-1)</f>
        <v/>
      </c>
      <c r="EZ53" s="14" t="str">
        <f ca="1">IF(EZ$1="","",'Total Value'!EZ149/'Total Value'!$D149-1)</f>
        <v/>
      </c>
      <c r="FA53" s="14" t="str">
        <f ca="1">IF(FA$1="","",'Total Value'!FA149/'Total Value'!$D149-1)</f>
        <v/>
      </c>
      <c r="FB53" s="14" t="str">
        <f ca="1">IF(FB$1="","",'Total Value'!FB149/'Total Value'!$D149-1)</f>
        <v/>
      </c>
      <c r="FC53" s="14" t="str">
        <f ca="1">IF(FC$1="","",'Total Value'!FC149/'Total Value'!$D149-1)</f>
        <v/>
      </c>
      <c r="FD53" s="14" t="str">
        <f ca="1">IF(FD$1="","",'Total Value'!FD149/'Total Value'!$D149-1)</f>
        <v/>
      </c>
      <c r="FE53" s="14" t="str">
        <f ca="1">IF(FE$1="","",'Total Value'!FE149/'Total Value'!$D149-1)</f>
        <v/>
      </c>
      <c r="FF53" s="14" t="str">
        <f ca="1">IF(FF$1="","",'Total Value'!FF149/'Total Value'!$D149-1)</f>
        <v/>
      </c>
      <c r="FG53" s="14" t="str">
        <f ca="1">IF(FG$1="","",'Total Value'!FG149/'Total Value'!$D149-1)</f>
        <v/>
      </c>
      <c r="FH53" s="14" t="str">
        <f ca="1">IF(FH$1="","",'Total Value'!FH149/'Total Value'!$D149-1)</f>
        <v/>
      </c>
      <c r="FI53" s="14" t="str">
        <f ca="1">IF(FI$1="","",'Total Value'!FI149/'Total Value'!$D149-1)</f>
        <v/>
      </c>
      <c r="FJ53" s="14" t="str">
        <f ca="1">IF(FJ$1="","",'Total Value'!FJ149/'Total Value'!$D149-1)</f>
        <v/>
      </c>
      <c r="FK53" s="14" t="str">
        <f ca="1">IF(FK$1="","",'Total Value'!FK149/'Total Value'!$D149-1)</f>
        <v/>
      </c>
      <c r="FL53" s="14" t="str">
        <f ca="1">IF(FL$1="","",'Total Value'!FL149/'Total Value'!$D149-1)</f>
        <v/>
      </c>
      <c r="FM53" s="14" t="str">
        <f ca="1">IF(FM$1="","",'Total Value'!FM149/'Total Value'!$D149-1)</f>
        <v/>
      </c>
      <c r="FN53" s="14" t="str">
        <f ca="1">IF(FN$1="","",'Total Value'!FN149/'Total Value'!$D149-1)</f>
        <v/>
      </c>
      <c r="FO53" s="14" t="str">
        <f ca="1">IF(FO$1="","",'Total Value'!FO149/'Total Value'!$D149-1)</f>
        <v/>
      </c>
      <c r="FP53" s="14" t="str">
        <f ca="1">IF(FP$1="","",'Total Value'!FP149/'Total Value'!$D149-1)</f>
        <v/>
      </c>
      <c r="FQ53" s="14" t="str">
        <f ca="1">IF(FQ$1="","",'Total Value'!FQ149/'Total Value'!$D149-1)</f>
        <v/>
      </c>
      <c r="FR53" s="14" t="str">
        <f ca="1">IF(FR$1="","",'Total Value'!FR149/'Total Value'!$D149-1)</f>
        <v/>
      </c>
      <c r="FS53" s="14" t="str">
        <f ca="1">IF(FS$1="","",'Total Value'!FS149/'Total Value'!$D149-1)</f>
        <v/>
      </c>
      <c r="FT53" s="14" t="str">
        <f ca="1">IF(FT$1="","",'Total Value'!FT149/'Total Value'!$D149-1)</f>
        <v/>
      </c>
      <c r="FU53" s="14" t="str">
        <f ca="1">IF(FU$1="","",'Total Value'!FU149/'Total Value'!$D149-1)</f>
        <v/>
      </c>
      <c r="FV53" s="14" t="str">
        <f ca="1">IF(FV$1="","",'Total Value'!FV149/'Total Value'!$D149-1)</f>
        <v/>
      </c>
      <c r="FW53" s="14" t="str">
        <f ca="1">IF(FW$1="","",'Total Value'!FW149/'Total Value'!$D149-1)</f>
        <v/>
      </c>
      <c r="FX53" s="14" t="str">
        <f ca="1">IF(FX$1="","",'Total Value'!FX149/'Total Value'!$D149-1)</f>
        <v/>
      </c>
      <c r="FY53" s="14" t="str">
        <f ca="1">IF(FY$1="","",'Total Value'!FY149/'Total Value'!$D149-1)</f>
        <v/>
      </c>
      <c r="FZ53" s="14" t="str">
        <f ca="1">IF(FZ$1="","",'Total Value'!FZ149/'Total Value'!$D149-1)</f>
        <v/>
      </c>
      <c r="GA53" s="14" t="str">
        <f ca="1">IF(GA$1="","",'Total Value'!GA149/'Total Value'!$D149-1)</f>
        <v/>
      </c>
      <c r="GB53" s="14" t="str">
        <f ca="1">IF(GB$1="","",'Total Value'!GB149/'Total Value'!$D149-1)</f>
        <v/>
      </c>
      <c r="GC53" s="14" t="str">
        <f ca="1">IF(GC$1="","",'Total Value'!GC149/'Total Value'!$D149-1)</f>
        <v/>
      </c>
      <c r="GD53" s="14" t="str">
        <f ca="1">IF(GD$1="","",'Total Value'!GD149/'Total Value'!$D149-1)</f>
        <v/>
      </c>
      <c r="GE53" s="14" t="str">
        <f ca="1">IF(GE$1="","",'Total Value'!GE149/'Total Value'!$D149-1)</f>
        <v/>
      </c>
      <c r="GF53" s="14" t="str">
        <f ca="1">IF(GF$1="","",'Total Value'!GF149/'Total Value'!$D149-1)</f>
        <v/>
      </c>
      <c r="GG53" s="14" t="str">
        <f ca="1">IF(GG$1="","",'Total Value'!GG149/'Total Value'!$D149-1)</f>
        <v/>
      </c>
      <c r="GH53" s="14" t="str">
        <f ca="1">IF(GH$1="","",'Total Value'!GH149/'Total Value'!$D149-1)</f>
        <v/>
      </c>
      <c r="GI53" s="14" t="str">
        <f ca="1">IF(GI$1="","",'Total Value'!GI149/'Total Value'!$D149-1)</f>
        <v/>
      </c>
      <c r="GJ53" s="14" t="str">
        <f ca="1">IF(GJ$1="","",'Total Value'!GJ149/'Total Value'!$D149-1)</f>
        <v/>
      </c>
      <c r="GK53" s="14" t="str">
        <f ca="1">IF(GK$1="","",'Total Value'!GK149/'Total Value'!$D149-1)</f>
        <v/>
      </c>
      <c r="GL53" s="14" t="str">
        <f ca="1">IF(GL$1="","",'Total Value'!GL149/'Total Value'!$D149-1)</f>
        <v/>
      </c>
      <c r="GM53" s="14" t="str">
        <f ca="1">IF(GM$1="","",'Total Value'!GM149/'Total Value'!$D149-1)</f>
        <v/>
      </c>
      <c r="GN53" s="14" t="str">
        <f ca="1">IF(GN$1="","",'Total Value'!GN149/'Total Value'!$D149-1)</f>
        <v/>
      </c>
      <c r="GO53" s="14" t="str">
        <f ca="1">IF(GO$1="","",'Total Value'!GO149/'Total Value'!$D149-1)</f>
        <v/>
      </c>
      <c r="GP53" s="14" t="str">
        <f ca="1">IF(GP$1="","",'Total Value'!GP149/'Total Value'!$D149-1)</f>
        <v/>
      </c>
      <c r="GQ53" s="14" t="str">
        <f ca="1">IF(GQ$1="","",'Total Value'!GQ149/'Total Value'!$D149-1)</f>
        <v/>
      </c>
      <c r="GR53" s="14" t="str">
        <f ca="1">IF(GR$1="","",'Total Value'!GR149/'Total Value'!$D149-1)</f>
        <v/>
      </c>
      <c r="GS53" s="14" t="str">
        <f ca="1">IF(GS$1="","",'Total Value'!GS149/'Total Value'!$D149-1)</f>
        <v/>
      </c>
      <c r="GT53" s="14" t="str">
        <f ca="1">IF(GT$1="","",'Total Value'!GT149/'Total Value'!$D149-1)</f>
        <v/>
      </c>
      <c r="GU53" s="14" t="str">
        <f ca="1">IF(GU$1="","",'Total Value'!GU149/'Total Value'!$D149-1)</f>
        <v/>
      </c>
      <c r="GV53" s="14" t="str">
        <f ca="1">IF(GV$1="","",'Total Value'!GV149/'Total Value'!$D149-1)</f>
        <v/>
      </c>
      <c r="GW53" s="14" t="str">
        <f ca="1">IF(GW$1="","",'Total Value'!GW149/'Total Value'!$D149-1)</f>
        <v/>
      </c>
      <c r="GX53" s="14" t="str">
        <f ca="1">IF(GX$1="","",'Total Value'!GX149/'Total Value'!$D149-1)</f>
        <v/>
      </c>
      <c r="GY53" s="14" t="str">
        <f ca="1">IF(GY$1="","",'Total Value'!GY149/'Total Value'!$D149-1)</f>
        <v/>
      </c>
      <c r="GZ53" s="14" t="str">
        <f ca="1">IF(GZ$1="","",'Total Value'!GZ149/'Total Value'!$D149-1)</f>
        <v/>
      </c>
      <c r="HA53" s="14" t="str">
        <f ca="1">IF(HA$1="","",'Total Value'!HA149/'Total Value'!$D149-1)</f>
        <v/>
      </c>
      <c r="HB53" s="14" t="str">
        <f ca="1">IF(HB$1="","",'Total Value'!HB149/'Total Value'!$D149-1)</f>
        <v/>
      </c>
      <c r="HC53" s="14" t="str">
        <f ca="1">IF(HC$1="","",'Total Value'!HC149/'Total Value'!$D149-1)</f>
        <v/>
      </c>
      <c r="HD53" s="14" t="str">
        <f ca="1">IF(HD$1="","",'Total Value'!HD149/'Total Value'!$D149-1)</f>
        <v/>
      </c>
      <c r="HE53" s="14" t="str">
        <f ca="1">IF(HE$1="","",'Total Value'!HE149/'Total Value'!$D149-1)</f>
        <v/>
      </c>
      <c r="HF53" s="14" t="str">
        <f ca="1">IF(HF$1="","",'Total Value'!HF149/'Total Value'!$D149-1)</f>
        <v/>
      </c>
      <c r="HG53" s="14" t="str">
        <f ca="1">IF(HG$1="","",'Total Value'!HG149/'Total Value'!$D149-1)</f>
        <v/>
      </c>
      <c r="HH53" s="14" t="str">
        <f ca="1">IF(HH$1="","",'Total Value'!HH149/'Total Value'!$D149-1)</f>
        <v/>
      </c>
      <c r="HI53" s="14" t="str">
        <f ca="1">IF(HI$1="","",'Total Value'!HI149/'Total Value'!$D149-1)</f>
        <v/>
      </c>
      <c r="HJ53" s="14" t="str">
        <f ca="1">IF(HJ$1="","",'Total Value'!HJ149/'Total Value'!$D149-1)</f>
        <v/>
      </c>
      <c r="HK53" s="14" t="str">
        <f ca="1">IF(HK$1="","",'Total Value'!HK149/'Total Value'!$D149-1)</f>
        <v/>
      </c>
      <c r="HL53" s="14" t="str">
        <f ca="1">IF(HL$1="","",'Total Value'!HL149/'Total Value'!$D149-1)</f>
        <v/>
      </c>
      <c r="HM53" s="14" t="str">
        <f ca="1">IF(HM$1="","",'Total Value'!HM149/'Total Value'!$D149-1)</f>
        <v/>
      </c>
      <c r="HN53" s="14" t="str">
        <f ca="1">IF(HN$1="","",'Total Value'!HN149/'Total Value'!$D149-1)</f>
        <v/>
      </c>
      <c r="HO53" s="14" t="str">
        <f ca="1">IF(HO$1="","",'Total Value'!HO149/'Total Value'!$D149-1)</f>
        <v/>
      </c>
      <c r="HP53" s="14" t="str">
        <f ca="1">IF(HP$1="","",'Total Value'!HP149/'Total Value'!$D149-1)</f>
        <v/>
      </c>
      <c r="HQ53" s="14" t="str">
        <f ca="1">IF(HQ$1="","",'Total Value'!HQ149/'Total Value'!$D149-1)</f>
        <v/>
      </c>
      <c r="HR53" s="14" t="str">
        <f ca="1">IF(HR$1="","",'Total Value'!HR149/'Total Value'!$D149-1)</f>
        <v/>
      </c>
      <c r="HS53" s="14" t="str">
        <f ca="1">IF(HS$1="","",'Total Value'!HS149/'Total Value'!$D149-1)</f>
        <v/>
      </c>
      <c r="HT53" s="14" t="str">
        <f ca="1">IF(HT$1="","",'Total Value'!HT149/'Total Value'!$D149-1)</f>
        <v/>
      </c>
      <c r="HU53" s="14" t="str">
        <f ca="1">IF(HU$1="","",'Total Value'!HU149/'Total Value'!$D149-1)</f>
        <v/>
      </c>
      <c r="HV53" s="14" t="str">
        <f ca="1">IF(HV$1="","",'Total Value'!HV149/'Total Value'!$D149-1)</f>
        <v/>
      </c>
      <c r="HW53" s="14" t="str">
        <f ca="1">IF(HW$1="","",'Total Value'!HW149/'Total Value'!$D149-1)</f>
        <v/>
      </c>
      <c r="HX53" s="14" t="str">
        <f ca="1">IF(HX$1="","",'Total Value'!HX149/'Total Value'!$D149-1)</f>
        <v/>
      </c>
      <c r="HY53" s="14" t="str">
        <f ca="1">IF(HY$1="","",'Total Value'!HY149/'Total Value'!$D149-1)</f>
        <v/>
      </c>
      <c r="HZ53" s="14" t="str">
        <f ca="1">IF(HZ$1="","",'Total Value'!HZ149/'Total Value'!$D149-1)</f>
        <v/>
      </c>
      <c r="IA53" s="14" t="str">
        <f ca="1">IF(IA$1="","",'Total Value'!IA149/'Total Value'!$D149-1)</f>
        <v/>
      </c>
      <c r="IB53" s="14" t="str">
        <f ca="1">IF(IB$1="","",'Total Value'!IB149/'Total Value'!$D149-1)</f>
        <v/>
      </c>
      <c r="IC53" s="14" t="str">
        <f ca="1">IF(IC$1="","",'Total Value'!IC149/'Total Value'!$D149-1)</f>
        <v/>
      </c>
      <c r="ID53" s="14" t="str">
        <f ca="1">IF(ID$1="","",'Total Value'!ID149/'Total Value'!$D149-1)</f>
        <v/>
      </c>
      <c r="IE53" s="14" t="str">
        <f ca="1">IF(IE$1="","",'Total Value'!IE149/'Total Value'!$D149-1)</f>
        <v/>
      </c>
      <c r="IF53" s="14" t="str">
        <f ca="1">IF(IF$1="","",'Total Value'!IF149/'Total Value'!$D149-1)</f>
        <v/>
      </c>
      <c r="IG53" s="14" t="str">
        <f ca="1">IF(IG$1="","",'Total Value'!IG149/'Total Value'!$D149-1)</f>
        <v/>
      </c>
      <c r="IH53" s="14" t="str">
        <f ca="1">IF(IH$1="","",'Total Value'!IH149/'Total Value'!$D149-1)</f>
        <v/>
      </c>
      <c r="II53" s="14" t="str">
        <f ca="1">IF(II$1="","",'Total Value'!II149/'Total Value'!$D149-1)</f>
        <v/>
      </c>
      <c r="IJ53" s="14" t="str">
        <f ca="1">IF(IJ$1="","",'Total Value'!IJ149/'Total Value'!$D149-1)</f>
        <v/>
      </c>
      <c r="IK53" s="14" t="str">
        <f ca="1">IF(IK$1="","",'Total Value'!IK149/'Total Value'!$D149-1)</f>
        <v/>
      </c>
      <c r="IL53" s="14" t="str">
        <f ca="1">IF(IL$1="","",'Total Value'!IL149/'Total Value'!$D149-1)</f>
        <v/>
      </c>
      <c r="IM53" s="14" t="str">
        <f ca="1">IF(IM$1="","",'Total Value'!IM149/'Total Value'!$D149-1)</f>
        <v/>
      </c>
      <c r="IN53" s="14" t="str">
        <f ca="1">IF(IN$1="","",'Total Value'!IN149/'Total Value'!$D149-1)</f>
        <v/>
      </c>
      <c r="IO53" s="14" t="str">
        <f ca="1">IF(IO$1="","",'Total Value'!IO149/'Total Value'!$D149-1)</f>
        <v/>
      </c>
      <c r="IP53" s="14" t="str">
        <f ca="1">IF(IP$1="","",'Total Value'!IP149/'Total Value'!$D149-1)</f>
        <v/>
      </c>
      <c r="IQ53" s="14" t="str">
        <f ca="1">IF(IQ$1="","",'Total Value'!IQ149/'Total Value'!$D149-1)</f>
        <v/>
      </c>
      <c r="IR53" s="14" t="str">
        <f ca="1">IF(IR$1="","",'Total Value'!IR149/'Total Value'!$D149-1)</f>
        <v/>
      </c>
      <c r="IS53" s="14" t="str">
        <f ca="1">IF(IS$1="","",'Total Value'!IS149/'Total Value'!$D149-1)</f>
        <v/>
      </c>
      <c r="IT53" s="14" t="str">
        <f ca="1">IF(IT$1="","",'Total Value'!IT149/'Total Value'!$D149-1)</f>
        <v/>
      </c>
      <c r="IU53" s="14" t="str">
        <f ca="1">IF(IU$1="","",'Total Value'!IU149/'Total Value'!$D149-1)</f>
        <v/>
      </c>
      <c r="IV53" s="14" t="str">
        <f ca="1">IF(IV$1="","",'Total Value'!IV149/'Total Value'!$D149-1)</f>
        <v/>
      </c>
      <c r="IW53" s="14" t="str">
        <f ca="1">IF(IW$1="","",'Total Value'!IW149/'Total Value'!$D149-1)</f>
        <v/>
      </c>
      <c r="IX53" s="14" t="str">
        <f ca="1">IF(IX$1="","",'Total Value'!IX149/'Total Value'!$D149-1)</f>
        <v/>
      </c>
      <c r="IY53" s="14" t="str">
        <f ca="1">IF(IY$1="","",'Total Value'!IY149/'Total Value'!$D149-1)</f>
        <v/>
      </c>
      <c r="IZ53" s="14" t="str">
        <f ca="1">IF(IZ$1="","",'Total Value'!IZ149/'Total Value'!$D149-1)</f>
        <v/>
      </c>
      <c r="JA53" s="14" t="str">
        <f ca="1">IF(JA$1="","",'Total Value'!JA149/'Total Value'!$D149-1)</f>
        <v/>
      </c>
      <c r="JB53" s="14" t="str">
        <f ca="1">IF(JB$1="","",'Total Value'!JB149/'Total Value'!$D149-1)</f>
        <v/>
      </c>
      <c r="JC53" s="14" t="str">
        <f ca="1">IF(JC$1="","",'Total Value'!JC149/'Total Value'!$D149-1)</f>
        <v/>
      </c>
      <c r="JD53" s="14" t="str">
        <f ca="1">IF(JD$1="","",'Total Value'!JD149/'Total Value'!$D149-1)</f>
        <v/>
      </c>
      <c r="JE53" s="14" t="str">
        <f ca="1">IF(JE$1="","",'Total Value'!JE149/'Total Value'!$D149-1)</f>
        <v/>
      </c>
      <c r="JF53" s="14" t="str">
        <f ca="1">IF(JF$1="","",'Total Value'!JF149/'Total Value'!$D149-1)</f>
        <v/>
      </c>
      <c r="JG53" s="14" t="str">
        <f ca="1">IF(JG$1="","",'Total Value'!JG149/'Total Value'!$D149-1)</f>
        <v/>
      </c>
      <c r="JH53" s="14" t="str">
        <f ca="1">IF(JH$1="","",'Total Value'!JH149/'Total Value'!$D149-1)</f>
        <v/>
      </c>
      <c r="JI53" s="14" t="str">
        <f ca="1">IF(JI$1="","",'Total Value'!JI149/'Total Value'!$D149-1)</f>
        <v/>
      </c>
      <c r="JJ53" s="14" t="str">
        <f ca="1">IF(JJ$1="","",'Total Value'!JJ149/'Total Value'!$D149-1)</f>
        <v/>
      </c>
      <c r="JK53" s="14" t="str">
        <f ca="1">IF(JK$1="","",'Total Value'!JK149/'Total Value'!$D149-1)</f>
        <v/>
      </c>
      <c r="JL53" s="14" t="str">
        <f ca="1">IF(JL$1="","",'Total Value'!JL149/'Total Value'!$D149-1)</f>
        <v/>
      </c>
      <c r="JM53" s="14" t="str">
        <f ca="1">IF(JM$1="","",'Total Value'!JM149/'Total Value'!$D149-1)</f>
        <v/>
      </c>
      <c r="JN53" s="14" t="str">
        <f ca="1">IF(JN$1="","",'Total Value'!JN149/'Total Value'!$D149-1)</f>
        <v/>
      </c>
      <c r="JO53" s="14" t="str">
        <f ca="1">IF(JO$1="","",'Total Value'!JO149/'Total Value'!$D149-1)</f>
        <v/>
      </c>
      <c r="JP53" s="14" t="str">
        <f ca="1">IF(JP$1="","",'Total Value'!JP149/'Total Value'!$D149-1)</f>
        <v/>
      </c>
      <c r="JQ53" s="14" t="str">
        <f ca="1">IF(JQ$1="","",'Total Value'!JQ149/'Total Value'!$D149-1)</f>
        <v/>
      </c>
      <c r="JR53" s="14" t="str">
        <f ca="1">IF(JR$1="","",'Total Value'!JR149/'Total Value'!$D149-1)</f>
        <v/>
      </c>
      <c r="JS53" s="14" t="str">
        <f ca="1">IF(JS$1="","",'Total Value'!JS149/'Total Value'!$D149-1)</f>
        <v/>
      </c>
      <c r="JT53" s="14" t="str">
        <f ca="1">IF(JT$1="","",'Total Value'!JT149/'Total Value'!$D149-1)</f>
        <v/>
      </c>
      <c r="JU53" s="14" t="str">
        <f ca="1">IF(JU$1="","",'Total Value'!JU149/'Total Value'!$D149-1)</f>
        <v/>
      </c>
      <c r="JV53" s="14" t="str">
        <f ca="1">IF(JV$1="","",'Total Value'!JV149/'Total Value'!$D149-1)</f>
        <v/>
      </c>
      <c r="JW53" s="14" t="str">
        <f ca="1">IF(JW$1="","",'Total Value'!JW149/'Total Value'!$D149-1)</f>
        <v/>
      </c>
      <c r="JX53" s="14" t="str">
        <f ca="1">IF(JX$1="","",'Total Value'!JX149/'Total Value'!$D149-1)</f>
        <v/>
      </c>
      <c r="JY53" s="14" t="str">
        <f ca="1">IF(JY$1="","",'Total Value'!JY149/'Total Value'!$D149-1)</f>
        <v/>
      </c>
      <c r="JZ53" s="14" t="str">
        <f ca="1">IF(JZ$1="","",'Total Value'!JZ149/'Total Value'!$D149-1)</f>
        <v/>
      </c>
      <c r="KA53" s="14" t="str">
        <f ca="1">IF(KA$1="","",'Total Value'!KA149/'Total Value'!$D149-1)</f>
        <v/>
      </c>
      <c r="KB53" s="14" t="str">
        <f ca="1">IF(KB$1="","",'Total Value'!KB149/'Total Value'!$D149-1)</f>
        <v/>
      </c>
    </row>
    <row r="54" spans="1:288" ht="15.75" customHeight="1">
      <c r="A54" s="2" t="s">
        <v>192</v>
      </c>
      <c r="D54" s="13">
        <v>0</v>
      </c>
      <c r="E54" s="14">
        <f ca="1">IF(E$1="","",'Total Value'!E150/'Total Value'!$D150-1)</f>
        <v>2.6115912747409098E-2</v>
      </c>
      <c r="F54" s="14">
        <f ca="1">IF(F$1="","",'Total Value'!F150/'Total Value'!$D150-1)</f>
        <v>1.7725521008717715E-2</v>
      </c>
      <c r="G54" s="14">
        <f ca="1">IF(G$1="","",'Total Value'!G150/'Total Value'!$D150-1)</f>
        <v>9.9524825083250335E-3</v>
      </c>
      <c r="H54" s="14">
        <f ca="1">IF(H$1="","",'Total Value'!H150/'Total Value'!$D150-1)</f>
        <v>1.1364911886856177E-2</v>
      </c>
      <c r="I54" s="14">
        <f ca="1">IF(I$1="","",'Total Value'!I150/'Total Value'!$D150-1)</f>
        <v>-1.9610319152916444E-2</v>
      </c>
      <c r="J54" s="14">
        <f ca="1">IF(J$1="","",'Total Value'!J150/'Total Value'!$D150-1)</f>
        <v>-3.5254611441613237E-2</v>
      </c>
      <c r="K54" s="14">
        <f ca="1">IF(K$1="","",'Total Value'!K150/'Total Value'!$D150-1)</f>
        <v>-5.3372993601975449E-2</v>
      </c>
      <c r="L54" s="14">
        <f ca="1">IF(L$1="","",'Total Value'!L150/'Total Value'!$D150-1)</f>
        <v>-7.0266023122684818E-2</v>
      </c>
      <c r="M54" s="14">
        <f ca="1">IF(M$1="","",'Total Value'!M150/'Total Value'!$D150-1)</f>
        <v>-4.8943951809031994E-2</v>
      </c>
      <c r="N54" s="14">
        <f ca="1">IF(N$1="","",'Total Value'!N150/'Total Value'!$D150-1)</f>
        <v>-6.2731507464361846E-2</v>
      </c>
      <c r="O54" s="14">
        <f ca="1">IF(O$1="","",'Total Value'!O150/'Total Value'!$D150-1)</f>
        <v>-7.5625771691547827E-2</v>
      </c>
      <c r="P54" s="14">
        <f ca="1">IF(P$1="","",'Total Value'!P150/'Total Value'!$D150-1)</f>
        <v>-9.6751412429378458E-2</v>
      </c>
      <c r="Q54" s="14">
        <f ca="1">IF(Q$1="","",'Total Value'!Q150/'Total Value'!$D150-1)</f>
        <v>-7.9343921876753765E-2</v>
      </c>
      <c r="R54" s="14">
        <f ca="1">IF(R$1="","",'Total Value'!R150/'Total Value'!$D150-1)</f>
        <v>-5.1310472555842312E-2</v>
      </c>
      <c r="S54" s="14">
        <f ca="1">IF(S$1="","",'Total Value'!S150/'Total Value'!$D150-1)</f>
        <v>-4.0885621281849804E-2</v>
      </c>
      <c r="T54" s="14">
        <f ca="1">IF(T$1="","",'Total Value'!T150/'Total Value'!$D150-1)</f>
        <v>-5.0810042279342937E-2</v>
      </c>
      <c r="U54" s="14">
        <f ca="1">IF(U$1="","",'Total Value'!U150/'Total Value'!$D150-1)</f>
        <v>-6.8811501477906156E-2</v>
      </c>
      <c r="V54" s="14">
        <f ca="1">IF(V$1="","",'Total Value'!V150/'Total Value'!$D150-1)</f>
        <v>-6.3512552849178672E-2</v>
      </c>
      <c r="W54" s="14">
        <f ca="1">IF(W$1="","",'Total Value'!W150/'Total Value'!$D150-1)</f>
        <v>-5.8723388333894566E-2</v>
      </c>
      <c r="X54" s="14">
        <f ca="1">IF(X$1="","",'Total Value'!X150/'Total Value'!$D150-1)</f>
        <v>-4.3397126501290795E-2</v>
      </c>
      <c r="Y54" s="14">
        <f ca="1">IF(Y$1="","",'Total Value'!Y150/'Total Value'!$D150-1)</f>
        <v>-2.5564036367717979E-2</v>
      </c>
      <c r="Z54" s="14">
        <f ca="1">IF(Z$1="","",'Total Value'!Z150/'Total Value'!$D150-1)</f>
        <v>-4.0689190706027611E-2</v>
      </c>
      <c r="AA54" s="14">
        <f ca="1">IF(AA$1="","",'Total Value'!AA150/'Total Value'!$D150-1)</f>
        <v>-5.0515396415609537E-2</v>
      </c>
      <c r="AB54" s="14">
        <f ca="1">IF(AB$1="","",'Total Value'!AB150/'Total Value'!$D150-1)</f>
        <v>-5.4892992105361582E-2</v>
      </c>
      <c r="AC54" s="14">
        <f ca="1">IF(AC$1="","",'Total Value'!AC150/'Total Value'!$D150-1)</f>
        <v>-2.8856586971975795E-2</v>
      </c>
      <c r="AD54" s="14">
        <f ca="1">IF(AD$1="","",'Total Value'!AD150/'Total Value'!$D150-1)</f>
        <v>-2.7523665207468073E-2</v>
      </c>
      <c r="AE54" s="14">
        <f ca="1">IF(AE$1="","",'Total Value'!AE150/'Total Value'!$D150-1)</f>
        <v>-5.1478841620832827E-2</v>
      </c>
      <c r="AF54" s="14">
        <f ca="1">IF(AF$1="","",'Total Value'!AF150/'Total Value'!$D150-1)</f>
        <v>-6.0252740674224592E-2</v>
      </c>
      <c r="AG54" s="14">
        <f ca="1">IF(AG$1="","",'Total Value'!AG150/'Total Value'!$D150-1)</f>
        <v>-7.3890634938451605E-2</v>
      </c>
      <c r="AH54" s="14">
        <f ca="1">IF(AH$1="","",'Total Value'!AH150/'Total Value'!$D150-1)</f>
        <v>-9.0764956785273299E-2</v>
      </c>
      <c r="AI54" s="14">
        <f ca="1">IF(AI$1="","",'Total Value'!AI150/'Total Value'!$D150-1)</f>
        <v>-6.6487072997343466E-2</v>
      </c>
      <c r="AJ54" s="14">
        <f ca="1">IF(AJ$1="","",'Total Value'!AJ150/'Total Value'!$D150-1)</f>
        <v>-4.5473678302839771E-2</v>
      </c>
      <c r="AK54" s="14">
        <f ca="1">IF(AK$1="","",'Total Value'!AK150/'Total Value'!$D150-1)</f>
        <v>-4.2125004676918376E-2</v>
      </c>
      <c r="AL54" s="14">
        <f ca="1">IF(AL$1="","",'Total Value'!AL150/'Total Value'!$D150-1)</f>
        <v>-6.0636247988924974E-2</v>
      </c>
      <c r="AM54" s="14">
        <f ca="1">IF(AM$1="","",'Total Value'!AM150/'Total Value'!$D150-1)</f>
        <v>-3.708328656414861E-2</v>
      </c>
      <c r="AN54" s="14">
        <f ca="1">IF(AN$1="","",'Total Value'!AN150/'Total Value'!$D150-1)</f>
        <v>-4.9458412840947208E-2</v>
      </c>
      <c r="AO54" s="14">
        <f ca="1">IF(AO$1="","",'Total Value'!AO150/'Total Value'!$D150-1)</f>
        <v>-6.4195382946084401E-2</v>
      </c>
      <c r="AP54" s="14">
        <f ca="1">IF(AP$1="","",'Total Value'!AP150/'Total Value'!$D150-1)</f>
        <v>-8.7378867811576333E-2</v>
      </c>
      <c r="AQ54" s="14">
        <f ca="1">IF(AQ$1="","",'Total Value'!AQ150/'Total Value'!$D150-1)</f>
        <v>-8.191622703633028E-2</v>
      </c>
      <c r="AR54" s="14">
        <f ca="1">IF(AR$1="","",'Total Value'!AR150/'Total Value'!$D150-1)</f>
        <v>-5.6997605417742347E-2</v>
      </c>
      <c r="AS54" s="14">
        <f ca="1">IF(AS$1="","",'Total Value'!AS150/'Total Value'!$D150-1)</f>
        <v>-5.915834175178647E-2</v>
      </c>
      <c r="AT54" s="14">
        <f ca="1">IF(AT$1="","",'Total Value'!AT150/'Total Value'!$D150-1)</f>
        <v>-7.412448086204948E-2</v>
      </c>
      <c r="AU54" s="14">
        <f ca="1">IF(AU$1="","",'Total Value'!AU150/'Total Value'!$D150-1)</f>
        <v>-9.1873386463127149E-2</v>
      </c>
      <c r="AV54" s="14">
        <f ca="1">IF(AV$1="","",'Total Value'!AV150/'Total Value'!$D150-1)</f>
        <v>-7.9128783627043786E-2</v>
      </c>
      <c r="AW54" s="14">
        <f ca="1">IF(AW$1="","",'Total Value'!AW150/'Total Value'!$D150-1)</f>
        <v>-5.0248812062708037E-2</v>
      </c>
      <c r="AX54" s="14">
        <f ca="1">IF(AX$1="","",'Total Value'!AX150/'Total Value'!$D150-1)</f>
        <v>-3.4206981703894912E-2</v>
      </c>
      <c r="AY54" s="14">
        <f ca="1">IF(AY$1="","",'Total Value'!AY150/'Total Value'!$D150-1)</f>
        <v>-2.4329329891121354E-2</v>
      </c>
      <c r="AZ54" s="14">
        <f ca="1">IF(AZ$1="","",'Total Value'!AZ150/'Total Value'!$D150-1)</f>
        <v>-3.3776705204474733E-2</v>
      </c>
      <c r="BA54" s="14">
        <f ca="1">IF(BA$1="","",'Total Value'!BA150/'Total Value'!$D150-1)</f>
        <v>-2.3300407827290592E-2</v>
      </c>
      <c r="BB54" s="14">
        <f ca="1">IF(BB$1="","",'Total Value'!BB150/'Total Value'!$D150-1)</f>
        <v>-4.0198114266472018E-2</v>
      </c>
      <c r="BC54" s="14">
        <f ca="1">IF(BC$1="","",'Total Value'!BC150/'Total Value'!$D150-1)</f>
        <v>-2.9333632656115438E-2</v>
      </c>
      <c r="BD54" s="14">
        <f ca="1">IF(BD$1="","",'Total Value'!BD150/'Total Value'!$D150-1)</f>
        <v>-2.8145695364238388E-2</v>
      </c>
      <c r="BE54" s="14">
        <f ca="1">IF(BE$1="","",'Total Value'!BE150/'Total Value'!$D150-1)</f>
        <v>-2.8108280016462706E-2</v>
      </c>
      <c r="BF54" s="14">
        <f ca="1">IF(BF$1="","",'Total Value'!BF150/'Total Value'!$D150-1)</f>
        <v>-2.3665207468103189E-3</v>
      </c>
      <c r="BG54" s="14">
        <f ca="1">IF(BG$1="","",'Total Value'!BG150/'Total Value'!$D150-1)</f>
        <v>-2.2023609084446338E-2</v>
      </c>
      <c r="BH54" s="14">
        <f ca="1">IF(BH$1="","",'Total Value'!BH150/'Total Value'!$D150-1)</f>
        <v>-3.1817076364724639E-2</v>
      </c>
      <c r="BI54" s="14">
        <f ca="1">IF(BI$1="","",'Total Value'!BI150/'Total Value'!$D150-1)</f>
        <v>-2.2004901410558442E-2</v>
      </c>
      <c r="BJ54" s="14">
        <f ca="1">IF(BJ$1="","",'Total Value'!BJ150/'Total Value'!$D150-1)</f>
        <v>-1.9979795712201098E-2</v>
      </c>
      <c r="BK54" s="14">
        <f ca="1">IF(BK$1="","",'Total Value'!BK150/'Total Value'!$D150-1)</f>
        <v>-4.3083772963669609E-2</v>
      </c>
      <c r="BL54" s="14">
        <f ca="1">IF(BL$1="","",'Total Value'!BL150/'Total Value'!$D150-1)</f>
        <v>-5.6693605717065054E-2</v>
      </c>
      <c r="BM54" s="14">
        <f ca="1">IF(BM$1="","",'Total Value'!BM150/'Total Value'!$D150-1)</f>
        <v>-6.0032925506042556E-2</v>
      </c>
      <c r="BN54" s="14">
        <f ca="1">IF(BN$1="","",'Total Value'!BN150/'Total Value'!$D150-1)</f>
        <v>-6.7160549257305302E-2</v>
      </c>
      <c r="BO54" s="14">
        <f ca="1">IF(BO$1="","",'Total Value'!BO150/'Total Value'!$D150-1)</f>
        <v>-7.3820481161372409E-2</v>
      </c>
      <c r="BP54" s="14">
        <f ca="1">IF(BP$1="","",'Total Value'!BP150/'Total Value'!$D150-1)</f>
        <v>-7.0724361132936675E-2</v>
      </c>
      <c r="BQ54" s="14">
        <f ca="1">IF(BQ$1="","",'Total Value'!BQ150/'Total Value'!$D150-1)</f>
        <v>-5.287724024394802E-2</v>
      </c>
      <c r="BR54" s="14">
        <f ca="1">IF(BR$1="","",'Total Value'!BR150/'Total Value'!$D150-1)</f>
        <v>-6.2287200209525828E-2</v>
      </c>
      <c r="BS54" s="14">
        <f ca="1">IF(BS$1="","",'Total Value'!BS150/'Total Value'!$D150-1)</f>
        <v>-6.923242414038222E-2</v>
      </c>
      <c r="BT54" s="14">
        <f ca="1">IF(BT$1="","",'Total Value'!BT150/'Total Value'!$D150-1)</f>
        <v>-5.0225427470348305E-2</v>
      </c>
      <c r="BU54" s="14">
        <f ca="1">IF(BU$1="","",'Total Value'!BU150/'Total Value'!$D150-1)</f>
        <v>-4.6755153964155971E-2</v>
      </c>
      <c r="BV54" s="14">
        <f ca="1">IF(BV$1="","",'Total Value'!BV150/'Total Value'!$D150-1)</f>
        <v>-6.8610393983612017E-2</v>
      </c>
      <c r="BW54" s="14">
        <f ca="1">IF(BW$1="","",'Total Value'!BW150/'Total Value'!$D150-1)</f>
        <v>-9.2369139821154578E-2</v>
      </c>
      <c r="BX54" s="14">
        <f ca="1">IF(BX$1="","",'Total Value'!BX150/'Total Value'!$D150-1)</f>
        <v>-8.6036592210124496E-2</v>
      </c>
      <c r="BY54" s="14">
        <f ca="1">IF(BY$1="","",'Total Value'!BY150/'Total Value'!$D150-1)</f>
        <v>-0.11584259363190774</v>
      </c>
      <c r="BZ54" s="14">
        <f ca="1">IF(BZ$1="","",'Total Value'!BZ150/'Total Value'!$D150-1)</f>
        <v>-0.11884985220937627</v>
      </c>
      <c r="CA54" s="14">
        <f ca="1">IF(CA$1="","",'Total Value'!CA150/'Total Value'!$D150-1)</f>
        <v>-0.10299509858944134</v>
      </c>
      <c r="CB54" s="14">
        <f ca="1">IF(CB$1="","",'Total Value'!CB150/'Total Value'!$D150-1)</f>
        <v>-0.12817562764245893</v>
      </c>
      <c r="CC54" s="14">
        <f ca="1">IF(CC$1="","",'Total Value'!CC150/'Total Value'!$D150-1)</f>
        <v>-0.11937834399670733</v>
      </c>
      <c r="CD54" s="14">
        <f ca="1">IF(CD$1="","",'Total Value'!CD150/'Total Value'!$D150-1)</f>
        <v>-0.11191865903393572</v>
      </c>
      <c r="CE54" s="14">
        <f ca="1">IF(CE$1="","",'Total Value'!CE150/'Total Value'!$D150-1)</f>
        <v>-8.8038313316122219E-2</v>
      </c>
      <c r="CF54" s="14" t="str">
        <f ca="1">IF(CF$1="","",'Total Value'!CF150/'Total Value'!$D150-1)</f>
        <v/>
      </c>
      <c r="CG54" s="14" t="str">
        <f ca="1">IF(CG$1="","",'Total Value'!CG150/'Total Value'!$D150-1)</f>
        <v/>
      </c>
      <c r="CH54" s="14" t="str">
        <f ca="1">IF(CH$1="","",'Total Value'!CH150/'Total Value'!$D150-1)</f>
        <v/>
      </c>
      <c r="CI54" s="14" t="str">
        <f ca="1">IF(CI$1="","",'Total Value'!CI150/'Total Value'!$D150-1)</f>
        <v/>
      </c>
      <c r="CJ54" s="14" t="str">
        <f ca="1">IF(CJ$1="","",'Total Value'!CJ150/'Total Value'!$D150-1)</f>
        <v/>
      </c>
      <c r="CK54" s="14" t="str">
        <f ca="1">IF(CK$1="","",'Total Value'!CK150/'Total Value'!$D150-1)</f>
        <v/>
      </c>
      <c r="CL54" s="14" t="str">
        <f ca="1">IF(CL$1="","",'Total Value'!CL150/'Total Value'!$D150-1)</f>
        <v/>
      </c>
      <c r="CM54" s="14" t="str">
        <f ca="1">IF(CM$1="","",'Total Value'!CM150/'Total Value'!$D150-1)</f>
        <v/>
      </c>
      <c r="CN54" s="14" t="str">
        <f ca="1">IF(CN$1="","",'Total Value'!CN150/'Total Value'!$D150-1)</f>
        <v/>
      </c>
      <c r="CO54" s="14" t="str">
        <f ca="1">IF(CO$1="","",'Total Value'!CO150/'Total Value'!$D150-1)</f>
        <v/>
      </c>
      <c r="CP54" s="14" t="str">
        <f ca="1">IF(CP$1="","",'Total Value'!CP150/'Total Value'!$D150-1)</f>
        <v/>
      </c>
      <c r="CQ54" s="14" t="str">
        <f ca="1">IF(CQ$1="","",'Total Value'!CQ150/'Total Value'!$D150-1)</f>
        <v/>
      </c>
      <c r="CR54" s="14" t="str">
        <f ca="1">IF(CR$1="","",'Total Value'!CR150/'Total Value'!$D150-1)</f>
        <v/>
      </c>
      <c r="CS54" s="14" t="str">
        <f ca="1">IF(CS$1="","",'Total Value'!CS150/'Total Value'!$D150-1)</f>
        <v/>
      </c>
      <c r="CT54" s="14" t="str">
        <f ca="1">IF(CT$1="","",'Total Value'!CT150/'Total Value'!$D150-1)</f>
        <v/>
      </c>
      <c r="CU54" s="14" t="str">
        <f ca="1">IF(CU$1="","",'Total Value'!CU150/'Total Value'!$D150-1)</f>
        <v/>
      </c>
      <c r="CV54" s="14" t="str">
        <f ca="1">IF(CV$1="","",'Total Value'!CV150/'Total Value'!$D150-1)</f>
        <v/>
      </c>
      <c r="CW54" s="14" t="str">
        <f ca="1">IF(CW$1="","",'Total Value'!CW150/'Total Value'!$D150-1)</f>
        <v/>
      </c>
      <c r="CX54" s="14" t="str">
        <f ca="1">IF(CX$1="","",'Total Value'!CX150/'Total Value'!$D150-1)</f>
        <v/>
      </c>
      <c r="CY54" s="14" t="str">
        <f ca="1">IF(CY$1="","",'Total Value'!CY150/'Total Value'!$D150-1)</f>
        <v/>
      </c>
      <c r="CZ54" s="14" t="str">
        <f ca="1">IF(CZ$1="","",'Total Value'!CZ150/'Total Value'!$D150-1)</f>
        <v/>
      </c>
      <c r="DA54" s="14" t="str">
        <f ca="1">IF(DA$1="","",'Total Value'!DA150/'Total Value'!$D150-1)</f>
        <v/>
      </c>
      <c r="DB54" s="14" t="str">
        <f ca="1">IF(DB$1="","",'Total Value'!DB150/'Total Value'!$D150-1)</f>
        <v/>
      </c>
      <c r="DC54" s="14" t="str">
        <f ca="1">IF(DC$1="","",'Total Value'!DC150/'Total Value'!$D150-1)</f>
        <v/>
      </c>
      <c r="DD54" s="14" t="str">
        <f ca="1">IF(DD$1="","",'Total Value'!DD150/'Total Value'!$D150-1)</f>
        <v/>
      </c>
      <c r="DE54" s="14" t="str">
        <f ca="1">IF(DE$1="","",'Total Value'!DE150/'Total Value'!$D150-1)</f>
        <v/>
      </c>
      <c r="DF54" s="14" t="str">
        <f ca="1">IF(DF$1="","",'Total Value'!DF150/'Total Value'!$D150-1)</f>
        <v/>
      </c>
      <c r="DG54" s="14" t="str">
        <f ca="1">IF(DG$1="","",'Total Value'!DG150/'Total Value'!$D150-1)</f>
        <v/>
      </c>
      <c r="DH54" s="14" t="str">
        <f ca="1">IF(DH$1="","",'Total Value'!DH150/'Total Value'!$D150-1)</f>
        <v/>
      </c>
      <c r="DI54" s="14" t="str">
        <f ca="1">IF(DI$1="","",'Total Value'!DI150/'Total Value'!$D150-1)</f>
        <v/>
      </c>
      <c r="DJ54" s="14" t="str">
        <f ca="1">IF(DJ$1="","",'Total Value'!DJ150/'Total Value'!$D150-1)</f>
        <v/>
      </c>
      <c r="DK54" s="14" t="str">
        <f ca="1">IF(DK$1="","",'Total Value'!DK150/'Total Value'!$D150-1)</f>
        <v/>
      </c>
      <c r="DL54" s="14" t="str">
        <f ca="1">IF(DL$1="","",'Total Value'!DL150/'Total Value'!$D150-1)</f>
        <v/>
      </c>
      <c r="DM54" s="14" t="str">
        <f ca="1">IF(DM$1="","",'Total Value'!DM150/'Total Value'!$D150-1)</f>
        <v/>
      </c>
      <c r="DN54" s="14" t="str">
        <f ca="1">IF(DN$1="","",'Total Value'!DN150/'Total Value'!$D150-1)</f>
        <v/>
      </c>
      <c r="DO54" s="14" t="str">
        <f ca="1">IF(DO$1="","",'Total Value'!DO150/'Total Value'!$D150-1)</f>
        <v/>
      </c>
      <c r="DP54" s="14" t="str">
        <f ca="1">IF(DP$1="","",'Total Value'!DP150/'Total Value'!$D150-1)</f>
        <v/>
      </c>
      <c r="DQ54" s="14" t="str">
        <f ca="1">IF(DQ$1="","",'Total Value'!DQ150/'Total Value'!$D150-1)</f>
        <v/>
      </c>
      <c r="DR54" s="14" t="str">
        <f ca="1">IF(DR$1="","",'Total Value'!DR150/'Total Value'!$D150-1)</f>
        <v/>
      </c>
      <c r="DS54" s="14" t="str">
        <f ca="1">IF(DS$1="","",'Total Value'!DS150/'Total Value'!$D150-1)</f>
        <v/>
      </c>
      <c r="DT54" s="14" t="str">
        <f ca="1">IF(DT$1="","",'Total Value'!DT150/'Total Value'!$D150-1)</f>
        <v/>
      </c>
      <c r="DU54" s="14" t="str">
        <f ca="1">IF(DU$1="","",'Total Value'!DU150/'Total Value'!$D150-1)</f>
        <v/>
      </c>
      <c r="DV54" s="14" t="str">
        <f ca="1">IF(DV$1="","",'Total Value'!DV150/'Total Value'!$D150-1)</f>
        <v/>
      </c>
      <c r="DW54" s="14" t="str">
        <f ca="1">IF(DW$1="","",'Total Value'!DW150/'Total Value'!$D150-1)</f>
        <v/>
      </c>
      <c r="DX54" s="14" t="str">
        <f ca="1">IF(DX$1="","",'Total Value'!DX150/'Total Value'!$D150-1)</f>
        <v/>
      </c>
      <c r="DY54" s="14" t="str">
        <f ca="1">IF(DY$1="","",'Total Value'!DY150/'Total Value'!$D150-1)</f>
        <v/>
      </c>
      <c r="DZ54" s="14" t="str">
        <f ca="1">IF(DZ$1="","",'Total Value'!DZ150/'Total Value'!$D150-1)</f>
        <v/>
      </c>
      <c r="EA54" s="14" t="str">
        <f ca="1">IF(EA$1="","",'Total Value'!EA150/'Total Value'!$D150-1)</f>
        <v/>
      </c>
      <c r="EB54" s="14" t="str">
        <f ca="1">IF(EB$1="","",'Total Value'!EB150/'Total Value'!$D150-1)</f>
        <v/>
      </c>
      <c r="EC54" s="14" t="str">
        <f ca="1">IF(EC$1="","",'Total Value'!EC150/'Total Value'!$D150-1)</f>
        <v/>
      </c>
      <c r="ED54" s="14" t="str">
        <f ca="1">IF(ED$1="","",'Total Value'!ED150/'Total Value'!$D150-1)</f>
        <v/>
      </c>
      <c r="EE54" s="14" t="str">
        <f ca="1">IF(EE$1="","",'Total Value'!EE150/'Total Value'!$D150-1)</f>
        <v/>
      </c>
      <c r="EF54" s="14" t="str">
        <f ca="1">IF(EF$1="","",'Total Value'!EF150/'Total Value'!$D150-1)</f>
        <v/>
      </c>
      <c r="EG54" s="14" t="str">
        <f ca="1">IF(EG$1="","",'Total Value'!EG150/'Total Value'!$D150-1)</f>
        <v/>
      </c>
      <c r="EH54" s="14" t="str">
        <f ca="1">IF(EH$1="","",'Total Value'!EH150/'Total Value'!$D150-1)</f>
        <v/>
      </c>
      <c r="EI54" s="14" t="str">
        <f ca="1">IF(EI$1="","",'Total Value'!EI150/'Total Value'!$D150-1)</f>
        <v/>
      </c>
      <c r="EJ54" s="14" t="str">
        <f ca="1">IF(EJ$1="","",'Total Value'!EJ150/'Total Value'!$D150-1)</f>
        <v/>
      </c>
      <c r="EK54" s="14" t="str">
        <f ca="1">IF(EK$1="","",'Total Value'!EK150/'Total Value'!$D150-1)</f>
        <v/>
      </c>
      <c r="EL54" s="14" t="str">
        <f ca="1">IF(EL$1="","",'Total Value'!EL150/'Total Value'!$D150-1)</f>
        <v/>
      </c>
      <c r="EM54" s="14" t="str">
        <f ca="1">IF(EM$1="","",'Total Value'!EM150/'Total Value'!$D150-1)</f>
        <v/>
      </c>
      <c r="EN54" s="14" t="str">
        <f ca="1">IF(EN$1="","",'Total Value'!EN150/'Total Value'!$D150-1)</f>
        <v/>
      </c>
      <c r="EO54" s="14" t="str">
        <f ca="1">IF(EO$1="","",'Total Value'!EO150/'Total Value'!$D150-1)</f>
        <v/>
      </c>
      <c r="EP54" s="14" t="str">
        <f ca="1">IF(EP$1="","",'Total Value'!EP150/'Total Value'!$D150-1)</f>
        <v/>
      </c>
      <c r="EQ54" s="14" t="str">
        <f ca="1">IF(EQ$1="","",'Total Value'!EQ150/'Total Value'!$D150-1)</f>
        <v/>
      </c>
      <c r="ER54" s="14" t="str">
        <f ca="1">IF(ER$1="","",'Total Value'!ER150/'Total Value'!$D150-1)</f>
        <v/>
      </c>
      <c r="ES54" s="14" t="str">
        <f ca="1">IF(ES$1="","",'Total Value'!ES150/'Total Value'!$D150-1)</f>
        <v/>
      </c>
      <c r="ET54" s="14" t="str">
        <f ca="1">IF(ET$1="","",'Total Value'!ET150/'Total Value'!$D150-1)</f>
        <v/>
      </c>
      <c r="EU54" s="14" t="str">
        <f ca="1">IF(EU$1="","",'Total Value'!EU150/'Total Value'!$D150-1)</f>
        <v/>
      </c>
      <c r="EV54" s="14" t="str">
        <f ca="1">IF(EV$1="","",'Total Value'!EV150/'Total Value'!$D150-1)</f>
        <v/>
      </c>
      <c r="EW54" s="14" t="str">
        <f ca="1">IF(EW$1="","",'Total Value'!EW150/'Total Value'!$D150-1)</f>
        <v/>
      </c>
      <c r="EX54" s="14" t="str">
        <f ca="1">IF(EX$1="","",'Total Value'!EX150/'Total Value'!$D150-1)</f>
        <v/>
      </c>
      <c r="EY54" s="14" t="str">
        <f ca="1">IF(EY$1="","",'Total Value'!EY150/'Total Value'!$D150-1)</f>
        <v/>
      </c>
      <c r="EZ54" s="14" t="str">
        <f ca="1">IF(EZ$1="","",'Total Value'!EZ150/'Total Value'!$D150-1)</f>
        <v/>
      </c>
      <c r="FA54" s="14" t="str">
        <f ca="1">IF(FA$1="","",'Total Value'!FA150/'Total Value'!$D150-1)</f>
        <v/>
      </c>
      <c r="FB54" s="14" t="str">
        <f ca="1">IF(FB$1="","",'Total Value'!FB150/'Total Value'!$D150-1)</f>
        <v/>
      </c>
      <c r="FC54" s="14" t="str">
        <f ca="1">IF(FC$1="","",'Total Value'!FC150/'Total Value'!$D150-1)</f>
        <v/>
      </c>
      <c r="FD54" s="14" t="str">
        <f ca="1">IF(FD$1="","",'Total Value'!FD150/'Total Value'!$D150-1)</f>
        <v/>
      </c>
      <c r="FE54" s="14" t="str">
        <f ca="1">IF(FE$1="","",'Total Value'!FE150/'Total Value'!$D150-1)</f>
        <v/>
      </c>
      <c r="FF54" s="14" t="str">
        <f ca="1">IF(FF$1="","",'Total Value'!FF150/'Total Value'!$D150-1)</f>
        <v/>
      </c>
      <c r="FG54" s="14" t="str">
        <f ca="1">IF(FG$1="","",'Total Value'!FG150/'Total Value'!$D150-1)</f>
        <v/>
      </c>
      <c r="FH54" s="14" t="str">
        <f ca="1">IF(FH$1="","",'Total Value'!FH150/'Total Value'!$D150-1)</f>
        <v/>
      </c>
      <c r="FI54" s="14" t="str">
        <f ca="1">IF(FI$1="","",'Total Value'!FI150/'Total Value'!$D150-1)</f>
        <v/>
      </c>
      <c r="FJ54" s="14" t="str">
        <f ca="1">IF(FJ$1="","",'Total Value'!FJ150/'Total Value'!$D150-1)</f>
        <v/>
      </c>
      <c r="FK54" s="14" t="str">
        <f ca="1">IF(FK$1="","",'Total Value'!FK150/'Total Value'!$D150-1)</f>
        <v/>
      </c>
      <c r="FL54" s="14" t="str">
        <f ca="1">IF(FL$1="","",'Total Value'!FL150/'Total Value'!$D150-1)</f>
        <v/>
      </c>
      <c r="FM54" s="14" t="str">
        <f ca="1">IF(FM$1="","",'Total Value'!FM150/'Total Value'!$D150-1)</f>
        <v/>
      </c>
      <c r="FN54" s="14" t="str">
        <f ca="1">IF(FN$1="","",'Total Value'!FN150/'Total Value'!$D150-1)</f>
        <v/>
      </c>
      <c r="FO54" s="14" t="str">
        <f ca="1">IF(FO$1="","",'Total Value'!FO150/'Total Value'!$D150-1)</f>
        <v/>
      </c>
      <c r="FP54" s="14" t="str">
        <f ca="1">IF(FP$1="","",'Total Value'!FP150/'Total Value'!$D150-1)</f>
        <v/>
      </c>
      <c r="FQ54" s="14" t="str">
        <f ca="1">IF(FQ$1="","",'Total Value'!FQ150/'Total Value'!$D150-1)</f>
        <v/>
      </c>
      <c r="FR54" s="14" t="str">
        <f ca="1">IF(FR$1="","",'Total Value'!FR150/'Total Value'!$D150-1)</f>
        <v/>
      </c>
      <c r="FS54" s="14" t="str">
        <f ca="1">IF(FS$1="","",'Total Value'!FS150/'Total Value'!$D150-1)</f>
        <v/>
      </c>
      <c r="FT54" s="14" t="str">
        <f ca="1">IF(FT$1="","",'Total Value'!FT150/'Total Value'!$D150-1)</f>
        <v/>
      </c>
      <c r="FU54" s="14" t="str">
        <f ca="1">IF(FU$1="","",'Total Value'!FU150/'Total Value'!$D150-1)</f>
        <v/>
      </c>
      <c r="FV54" s="14" t="str">
        <f ca="1">IF(FV$1="","",'Total Value'!FV150/'Total Value'!$D150-1)</f>
        <v/>
      </c>
      <c r="FW54" s="14" t="str">
        <f ca="1">IF(FW$1="","",'Total Value'!FW150/'Total Value'!$D150-1)</f>
        <v/>
      </c>
      <c r="FX54" s="14" t="str">
        <f ca="1">IF(FX$1="","",'Total Value'!FX150/'Total Value'!$D150-1)</f>
        <v/>
      </c>
      <c r="FY54" s="14" t="str">
        <f ca="1">IF(FY$1="","",'Total Value'!FY150/'Total Value'!$D150-1)</f>
        <v/>
      </c>
      <c r="FZ54" s="14" t="str">
        <f ca="1">IF(FZ$1="","",'Total Value'!FZ150/'Total Value'!$D150-1)</f>
        <v/>
      </c>
      <c r="GA54" s="14" t="str">
        <f ca="1">IF(GA$1="","",'Total Value'!GA150/'Total Value'!$D150-1)</f>
        <v/>
      </c>
      <c r="GB54" s="14" t="str">
        <f ca="1">IF(GB$1="","",'Total Value'!GB150/'Total Value'!$D150-1)</f>
        <v/>
      </c>
      <c r="GC54" s="14" t="str">
        <f ca="1">IF(GC$1="","",'Total Value'!GC150/'Total Value'!$D150-1)</f>
        <v/>
      </c>
      <c r="GD54" s="14" t="str">
        <f ca="1">IF(GD$1="","",'Total Value'!GD150/'Total Value'!$D150-1)</f>
        <v/>
      </c>
      <c r="GE54" s="14" t="str">
        <f ca="1">IF(GE$1="","",'Total Value'!GE150/'Total Value'!$D150-1)</f>
        <v/>
      </c>
      <c r="GF54" s="14" t="str">
        <f ca="1">IF(GF$1="","",'Total Value'!GF150/'Total Value'!$D150-1)</f>
        <v/>
      </c>
      <c r="GG54" s="14" t="str">
        <f ca="1">IF(GG$1="","",'Total Value'!GG150/'Total Value'!$D150-1)</f>
        <v/>
      </c>
      <c r="GH54" s="14" t="str">
        <f ca="1">IF(GH$1="","",'Total Value'!GH150/'Total Value'!$D150-1)</f>
        <v/>
      </c>
      <c r="GI54" s="14" t="str">
        <f ca="1">IF(GI$1="","",'Total Value'!GI150/'Total Value'!$D150-1)</f>
        <v/>
      </c>
      <c r="GJ54" s="14" t="str">
        <f ca="1">IF(GJ$1="","",'Total Value'!GJ150/'Total Value'!$D150-1)</f>
        <v/>
      </c>
      <c r="GK54" s="14" t="str">
        <f ca="1">IF(GK$1="","",'Total Value'!GK150/'Total Value'!$D150-1)</f>
        <v/>
      </c>
      <c r="GL54" s="14" t="str">
        <f ca="1">IF(GL$1="","",'Total Value'!GL150/'Total Value'!$D150-1)</f>
        <v/>
      </c>
      <c r="GM54" s="14" t="str">
        <f ca="1">IF(GM$1="","",'Total Value'!GM150/'Total Value'!$D150-1)</f>
        <v/>
      </c>
      <c r="GN54" s="14" t="str">
        <f ca="1">IF(GN$1="","",'Total Value'!GN150/'Total Value'!$D150-1)</f>
        <v/>
      </c>
      <c r="GO54" s="14" t="str">
        <f ca="1">IF(GO$1="","",'Total Value'!GO150/'Total Value'!$D150-1)</f>
        <v/>
      </c>
      <c r="GP54" s="14" t="str">
        <f ca="1">IF(GP$1="","",'Total Value'!GP150/'Total Value'!$D150-1)</f>
        <v/>
      </c>
      <c r="GQ54" s="14" t="str">
        <f ca="1">IF(GQ$1="","",'Total Value'!GQ150/'Total Value'!$D150-1)</f>
        <v/>
      </c>
      <c r="GR54" s="14" t="str">
        <f ca="1">IF(GR$1="","",'Total Value'!GR150/'Total Value'!$D150-1)</f>
        <v/>
      </c>
      <c r="GS54" s="14" t="str">
        <f ca="1">IF(GS$1="","",'Total Value'!GS150/'Total Value'!$D150-1)</f>
        <v/>
      </c>
      <c r="GT54" s="14" t="str">
        <f ca="1">IF(GT$1="","",'Total Value'!GT150/'Total Value'!$D150-1)</f>
        <v/>
      </c>
      <c r="GU54" s="14" t="str">
        <f ca="1">IF(GU$1="","",'Total Value'!GU150/'Total Value'!$D150-1)</f>
        <v/>
      </c>
      <c r="GV54" s="14" t="str">
        <f ca="1">IF(GV$1="","",'Total Value'!GV150/'Total Value'!$D150-1)</f>
        <v/>
      </c>
      <c r="GW54" s="14" t="str">
        <f ca="1">IF(GW$1="","",'Total Value'!GW150/'Total Value'!$D150-1)</f>
        <v/>
      </c>
      <c r="GX54" s="14" t="str">
        <f ca="1">IF(GX$1="","",'Total Value'!GX150/'Total Value'!$D150-1)</f>
        <v/>
      </c>
      <c r="GY54" s="14" t="str">
        <f ca="1">IF(GY$1="","",'Total Value'!GY150/'Total Value'!$D150-1)</f>
        <v/>
      </c>
      <c r="GZ54" s="14" t="str">
        <f ca="1">IF(GZ$1="","",'Total Value'!GZ150/'Total Value'!$D150-1)</f>
        <v/>
      </c>
      <c r="HA54" s="14" t="str">
        <f ca="1">IF(HA$1="","",'Total Value'!HA150/'Total Value'!$D150-1)</f>
        <v/>
      </c>
      <c r="HB54" s="14" t="str">
        <f ca="1">IF(HB$1="","",'Total Value'!HB150/'Total Value'!$D150-1)</f>
        <v/>
      </c>
      <c r="HC54" s="14" t="str">
        <f ca="1">IF(HC$1="","",'Total Value'!HC150/'Total Value'!$D150-1)</f>
        <v/>
      </c>
      <c r="HD54" s="14" t="str">
        <f ca="1">IF(HD$1="","",'Total Value'!HD150/'Total Value'!$D150-1)</f>
        <v/>
      </c>
      <c r="HE54" s="14" t="str">
        <f ca="1">IF(HE$1="","",'Total Value'!HE150/'Total Value'!$D150-1)</f>
        <v/>
      </c>
      <c r="HF54" s="14" t="str">
        <f ca="1">IF(HF$1="","",'Total Value'!HF150/'Total Value'!$D150-1)</f>
        <v/>
      </c>
      <c r="HG54" s="14" t="str">
        <f ca="1">IF(HG$1="","",'Total Value'!HG150/'Total Value'!$D150-1)</f>
        <v/>
      </c>
      <c r="HH54" s="14" t="str">
        <f ca="1">IF(HH$1="","",'Total Value'!HH150/'Total Value'!$D150-1)</f>
        <v/>
      </c>
      <c r="HI54" s="14" t="str">
        <f ca="1">IF(HI$1="","",'Total Value'!HI150/'Total Value'!$D150-1)</f>
        <v/>
      </c>
      <c r="HJ54" s="14" t="str">
        <f ca="1">IF(HJ$1="","",'Total Value'!HJ150/'Total Value'!$D150-1)</f>
        <v/>
      </c>
      <c r="HK54" s="14" t="str">
        <f ca="1">IF(HK$1="","",'Total Value'!HK150/'Total Value'!$D150-1)</f>
        <v/>
      </c>
      <c r="HL54" s="14" t="str">
        <f ca="1">IF(HL$1="","",'Total Value'!HL150/'Total Value'!$D150-1)</f>
        <v/>
      </c>
      <c r="HM54" s="14" t="str">
        <f ca="1">IF(HM$1="","",'Total Value'!HM150/'Total Value'!$D150-1)</f>
        <v/>
      </c>
      <c r="HN54" s="14" t="str">
        <f ca="1">IF(HN$1="","",'Total Value'!HN150/'Total Value'!$D150-1)</f>
        <v/>
      </c>
      <c r="HO54" s="14" t="str">
        <f ca="1">IF(HO$1="","",'Total Value'!HO150/'Total Value'!$D150-1)</f>
        <v/>
      </c>
      <c r="HP54" s="14" t="str">
        <f ca="1">IF(HP$1="","",'Total Value'!HP150/'Total Value'!$D150-1)</f>
        <v/>
      </c>
      <c r="HQ54" s="14" t="str">
        <f ca="1">IF(HQ$1="","",'Total Value'!HQ150/'Total Value'!$D150-1)</f>
        <v/>
      </c>
      <c r="HR54" s="14" t="str">
        <f ca="1">IF(HR$1="","",'Total Value'!HR150/'Total Value'!$D150-1)</f>
        <v/>
      </c>
      <c r="HS54" s="14" t="str">
        <f ca="1">IF(HS$1="","",'Total Value'!HS150/'Total Value'!$D150-1)</f>
        <v/>
      </c>
      <c r="HT54" s="14" t="str">
        <f ca="1">IF(HT$1="","",'Total Value'!HT150/'Total Value'!$D150-1)</f>
        <v/>
      </c>
      <c r="HU54" s="14" t="str">
        <f ca="1">IF(HU$1="","",'Total Value'!HU150/'Total Value'!$D150-1)</f>
        <v/>
      </c>
      <c r="HV54" s="14" t="str">
        <f ca="1">IF(HV$1="","",'Total Value'!HV150/'Total Value'!$D150-1)</f>
        <v/>
      </c>
      <c r="HW54" s="14" t="str">
        <f ca="1">IF(HW$1="","",'Total Value'!HW150/'Total Value'!$D150-1)</f>
        <v/>
      </c>
      <c r="HX54" s="14" t="str">
        <f ca="1">IF(HX$1="","",'Total Value'!HX150/'Total Value'!$D150-1)</f>
        <v/>
      </c>
      <c r="HY54" s="14" t="str">
        <f ca="1">IF(HY$1="","",'Total Value'!HY150/'Total Value'!$D150-1)</f>
        <v/>
      </c>
      <c r="HZ54" s="14" t="str">
        <f ca="1">IF(HZ$1="","",'Total Value'!HZ150/'Total Value'!$D150-1)</f>
        <v/>
      </c>
      <c r="IA54" s="14" t="str">
        <f ca="1">IF(IA$1="","",'Total Value'!IA150/'Total Value'!$D150-1)</f>
        <v/>
      </c>
      <c r="IB54" s="14" t="str">
        <f ca="1">IF(IB$1="","",'Total Value'!IB150/'Total Value'!$D150-1)</f>
        <v/>
      </c>
      <c r="IC54" s="14" t="str">
        <f ca="1">IF(IC$1="","",'Total Value'!IC150/'Total Value'!$D150-1)</f>
        <v/>
      </c>
      <c r="ID54" s="14" t="str">
        <f ca="1">IF(ID$1="","",'Total Value'!ID150/'Total Value'!$D150-1)</f>
        <v/>
      </c>
      <c r="IE54" s="14" t="str">
        <f ca="1">IF(IE$1="","",'Total Value'!IE150/'Total Value'!$D150-1)</f>
        <v/>
      </c>
      <c r="IF54" s="14" t="str">
        <f ca="1">IF(IF$1="","",'Total Value'!IF150/'Total Value'!$D150-1)</f>
        <v/>
      </c>
      <c r="IG54" s="14" t="str">
        <f ca="1">IF(IG$1="","",'Total Value'!IG150/'Total Value'!$D150-1)</f>
        <v/>
      </c>
      <c r="IH54" s="14" t="str">
        <f ca="1">IF(IH$1="","",'Total Value'!IH150/'Total Value'!$D150-1)</f>
        <v/>
      </c>
      <c r="II54" s="14" t="str">
        <f ca="1">IF(II$1="","",'Total Value'!II150/'Total Value'!$D150-1)</f>
        <v/>
      </c>
      <c r="IJ54" s="14" t="str">
        <f ca="1">IF(IJ$1="","",'Total Value'!IJ150/'Total Value'!$D150-1)</f>
        <v/>
      </c>
      <c r="IK54" s="14" t="str">
        <f ca="1">IF(IK$1="","",'Total Value'!IK150/'Total Value'!$D150-1)</f>
        <v/>
      </c>
      <c r="IL54" s="14" t="str">
        <f ca="1">IF(IL$1="","",'Total Value'!IL150/'Total Value'!$D150-1)</f>
        <v/>
      </c>
      <c r="IM54" s="14" t="str">
        <f ca="1">IF(IM$1="","",'Total Value'!IM150/'Total Value'!$D150-1)</f>
        <v/>
      </c>
      <c r="IN54" s="14" t="str">
        <f ca="1">IF(IN$1="","",'Total Value'!IN150/'Total Value'!$D150-1)</f>
        <v/>
      </c>
      <c r="IO54" s="14" t="str">
        <f ca="1">IF(IO$1="","",'Total Value'!IO150/'Total Value'!$D150-1)</f>
        <v/>
      </c>
      <c r="IP54" s="14" t="str">
        <f ca="1">IF(IP$1="","",'Total Value'!IP150/'Total Value'!$D150-1)</f>
        <v/>
      </c>
      <c r="IQ54" s="14" t="str">
        <f ca="1">IF(IQ$1="","",'Total Value'!IQ150/'Total Value'!$D150-1)</f>
        <v/>
      </c>
      <c r="IR54" s="14" t="str">
        <f ca="1">IF(IR$1="","",'Total Value'!IR150/'Total Value'!$D150-1)</f>
        <v/>
      </c>
      <c r="IS54" s="14" t="str">
        <f ca="1">IF(IS$1="","",'Total Value'!IS150/'Total Value'!$D150-1)</f>
        <v/>
      </c>
      <c r="IT54" s="14" t="str">
        <f ca="1">IF(IT$1="","",'Total Value'!IT150/'Total Value'!$D150-1)</f>
        <v/>
      </c>
      <c r="IU54" s="14" t="str">
        <f ca="1">IF(IU$1="","",'Total Value'!IU150/'Total Value'!$D150-1)</f>
        <v/>
      </c>
      <c r="IV54" s="14" t="str">
        <f ca="1">IF(IV$1="","",'Total Value'!IV150/'Total Value'!$D150-1)</f>
        <v/>
      </c>
      <c r="IW54" s="14" t="str">
        <f ca="1">IF(IW$1="","",'Total Value'!IW150/'Total Value'!$D150-1)</f>
        <v/>
      </c>
      <c r="IX54" s="14" t="str">
        <f ca="1">IF(IX$1="","",'Total Value'!IX150/'Total Value'!$D150-1)</f>
        <v/>
      </c>
      <c r="IY54" s="14" t="str">
        <f ca="1">IF(IY$1="","",'Total Value'!IY150/'Total Value'!$D150-1)</f>
        <v/>
      </c>
      <c r="IZ54" s="14" t="str">
        <f ca="1">IF(IZ$1="","",'Total Value'!IZ150/'Total Value'!$D150-1)</f>
        <v/>
      </c>
      <c r="JA54" s="14" t="str">
        <f ca="1">IF(JA$1="","",'Total Value'!JA150/'Total Value'!$D150-1)</f>
        <v/>
      </c>
      <c r="JB54" s="14" t="str">
        <f ca="1">IF(JB$1="","",'Total Value'!JB150/'Total Value'!$D150-1)</f>
        <v/>
      </c>
      <c r="JC54" s="14" t="str">
        <f ca="1">IF(JC$1="","",'Total Value'!JC150/'Total Value'!$D150-1)</f>
        <v/>
      </c>
      <c r="JD54" s="14" t="str">
        <f ca="1">IF(JD$1="","",'Total Value'!JD150/'Total Value'!$D150-1)</f>
        <v/>
      </c>
      <c r="JE54" s="14" t="str">
        <f ca="1">IF(JE$1="","",'Total Value'!JE150/'Total Value'!$D150-1)</f>
        <v/>
      </c>
      <c r="JF54" s="14" t="str">
        <f ca="1">IF(JF$1="","",'Total Value'!JF150/'Total Value'!$D150-1)</f>
        <v/>
      </c>
      <c r="JG54" s="14" t="str">
        <f ca="1">IF(JG$1="","",'Total Value'!JG150/'Total Value'!$D150-1)</f>
        <v/>
      </c>
      <c r="JH54" s="14" t="str">
        <f ca="1">IF(JH$1="","",'Total Value'!JH150/'Total Value'!$D150-1)</f>
        <v/>
      </c>
      <c r="JI54" s="14" t="str">
        <f ca="1">IF(JI$1="","",'Total Value'!JI150/'Total Value'!$D150-1)</f>
        <v/>
      </c>
      <c r="JJ54" s="14" t="str">
        <f ca="1">IF(JJ$1="","",'Total Value'!JJ150/'Total Value'!$D150-1)</f>
        <v/>
      </c>
      <c r="JK54" s="14" t="str">
        <f ca="1">IF(JK$1="","",'Total Value'!JK150/'Total Value'!$D150-1)</f>
        <v/>
      </c>
      <c r="JL54" s="14" t="str">
        <f ca="1">IF(JL$1="","",'Total Value'!JL150/'Total Value'!$D150-1)</f>
        <v/>
      </c>
      <c r="JM54" s="14" t="str">
        <f ca="1">IF(JM$1="","",'Total Value'!JM150/'Total Value'!$D150-1)</f>
        <v/>
      </c>
      <c r="JN54" s="14" t="str">
        <f ca="1">IF(JN$1="","",'Total Value'!JN150/'Total Value'!$D150-1)</f>
        <v/>
      </c>
      <c r="JO54" s="14" t="str">
        <f ca="1">IF(JO$1="","",'Total Value'!JO150/'Total Value'!$D150-1)</f>
        <v/>
      </c>
      <c r="JP54" s="14" t="str">
        <f ca="1">IF(JP$1="","",'Total Value'!JP150/'Total Value'!$D150-1)</f>
        <v/>
      </c>
      <c r="JQ54" s="14" t="str">
        <f ca="1">IF(JQ$1="","",'Total Value'!JQ150/'Total Value'!$D150-1)</f>
        <v/>
      </c>
      <c r="JR54" s="14" t="str">
        <f ca="1">IF(JR$1="","",'Total Value'!JR150/'Total Value'!$D150-1)</f>
        <v/>
      </c>
      <c r="JS54" s="14" t="str">
        <f ca="1">IF(JS$1="","",'Total Value'!JS150/'Total Value'!$D150-1)</f>
        <v/>
      </c>
      <c r="JT54" s="14" t="str">
        <f ca="1">IF(JT$1="","",'Total Value'!JT150/'Total Value'!$D150-1)</f>
        <v/>
      </c>
      <c r="JU54" s="14" t="str">
        <f ca="1">IF(JU$1="","",'Total Value'!JU150/'Total Value'!$D150-1)</f>
        <v/>
      </c>
      <c r="JV54" s="14" t="str">
        <f ca="1">IF(JV$1="","",'Total Value'!JV150/'Total Value'!$D150-1)</f>
        <v/>
      </c>
      <c r="JW54" s="14" t="str">
        <f ca="1">IF(JW$1="","",'Total Value'!JW150/'Total Value'!$D150-1)</f>
        <v/>
      </c>
      <c r="JX54" s="14" t="str">
        <f ca="1">IF(JX$1="","",'Total Value'!JX150/'Total Value'!$D150-1)</f>
        <v/>
      </c>
      <c r="JY54" s="14" t="str">
        <f ca="1">IF(JY$1="","",'Total Value'!JY150/'Total Value'!$D150-1)</f>
        <v/>
      </c>
      <c r="JZ54" s="14" t="str">
        <f ca="1">IF(JZ$1="","",'Total Value'!JZ150/'Total Value'!$D150-1)</f>
        <v/>
      </c>
      <c r="KA54" s="14" t="str">
        <f ca="1">IF(KA$1="","",'Total Value'!KA150/'Total Value'!$D150-1)</f>
        <v/>
      </c>
      <c r="KB54" s="14" t="str">
        <f ca="1">IF(KB$1="","",'Total Value'!KB150/'Total Value'!$D150-1)</f>
        <v/>
      </c>
    </row>
    <row r="55" spans="1:288" ht="15.75" customHeight="1">
      <c r="A55" s="2" t="s">
        <v>193</v>
      </c>
      <c r="D55" s="13">
        <v>0</v>
      </c>
      <c r="E55" s="14">
        <f ca="1">IF(E$1="","",'Total Value'!E151/'Total Value'!$D151-1)</f>
        <v>9.1600307475552256E-3</v>
      </c>
      <c r="F55" s="14">
        <f ca="1">IF(F$1="","",'Total Value'!F151/'Total Value'!$D151-1)</f>
        <v>1.2003537253575391E-2</v>
      </c>
      <c r="G55" s="14">
        <f ca="1">IF(G$1="","",'Total Value'!G151/'Total Value'!$D151-1)</f>
        <v>-2.4109851850742103E-3</v>
      </c>
      <c r="H55" s="14">
        <f ca="1">IF(H$1="","",'Total Value'!H151/'Total Value'!$D151-1)</f>
        <v>-1.5930488256616915E-3</v>
      </c>
      <c r="I55" s="14">
        <f ca="1">IF(I$1="","",'Total Value'!I151/'Total Value'!$D151-1)</f>
        <v>-1.995165182461911E-2</v>
      </c>
      <c r="J55" s="14">
        <f ca="1">IF(J$1="","",'Total Value'!J151/'Total Value'!$D151-1)</f>
        <v>-2.9447850133503484E-2</v>
      </c>
      <c r="K55" s="14">
        <f ca="1">IF(K$1="","",'Total Value'!K151/'Total Value'!$D151-1)</f>
        <v>-4.0160247008215855E-2</v>
      </c>
      <c r="L55" s="14">
        <f ca="1">IF(L$1="","",'Total Value'!L151/'Total Value'!$D151-1)</f>
        <v>-5.8315436514649099E-2</v>
      </c>
      <c r="M55" s="14">
        <f ca="1">IF(M$1="","",'Total Value'!M151/'Total Value'!$D151-1)</f>
        <v>-5.5705320226367094E-2</v>
      </c>
      <c r="N55" s="14">
        <f ca="1">IF(N$1="","",'Total Value'!N151/'Total Value'!$D151-1)</f>
        <v>-6.7199253151303262E-2</v>
      </c>
      <c r="O55" s="14">
        <f ca="1">IF(O$1="","",'Total Value'!O151/'Total Value'!$D151-1)</f>
        <v>-6.8595312068415404E-2</v>
      </c>
      <c r="P55" s="14">
        <f ca="1">IF(P$1="","",'Total Value'!P151/'Total Value'!$D151-1)</f>
        <v>-7.3609989957796995E-2</v>
      </c>
      <c r="Q55" s="14">
        <f ca="1">IF(Q$1="","",'Total Value'!Q151/'Total Value'!$D151-1)</f>
        <v>-5.1054645428870504E-2</v>
      </c>
      <c r="R55" s="14">
        <f ca="1">IF(R$1="","",'Total Value'!R151/'Total Value'!$D151-1)</f>
        <v>-3.313284614017542E-2</v>
      </c>
      <c r="S55" s="14">
        <f ca="1">IF(S$1="","",'Total Value'!S151/'Total Value'!$D151-1)</f>
        <v>-2.6497283894576174E-2</v>
      </c>
      <c r="T55" s="14">
        <f ca="1">IF(T$1="","",'Total Value'!T151/'Total Value'!$D151-1)</f>
        <v>-1.7324405979071922E-2</v>
      </c>
      <c r="U55" s="14">
        <f ca="1">IF(U$1="","",'Total Value'!U151/'Total Value'!$D151-1)</f>
        <v>-4.129293898237596E-2</v>
      </c>
      <c r="V55" s="14">
        <f ca="1">IF(V$1="","",'Total Value'!V151/'Total Value'!$D151-1)</f>
        <v>-3.6348920516713124E-2</v>
      </c>
      <c r="W55" s="14">
        <f ca="1">IF(W$1="","",'Total Value'!W151/'Total Value'!$D151-1)</f>
        <v>-3.9916150817186913E-2</v>
      </c>
      <c r="X55" s="14">
        <f ca="1">IF(X$1="","",'Total Value'!X151/'Total Value'!$D151-1)</f>
        <v>-3.1850270539945047E-2</v>
      </c>
      <c r="Y55" s="14">
        <f ca="1">IF(Y$1="","",'Total Value'!Y151/'Total Value'!$D151-1)</f>
        <v>-1.77954688038644E-2</v>
      </c>
      <c r="Z55" s="14">
        <f ca="1">IF(Z$1="","",'Total Value'!Z151/'Total Value'!$D151-1)</f>
        <v>-3.5588796413070667E-2</v>
      </c>
      <c r="AA55" s="14">
        <f ca="1">IF(AA$1="","",'Total Value'!AA151/'Total Value'!$D151-1)</f>
        <v>-5.3883163572283399E-2</v>
      </c>
      <c r="AB55" s="14">
        <f ca="1">IF(AB$1="","",'Total Value'!AB151/'Total Value'!$D151-1)</f>
        <v>-5.7516770907159898E-2</v>
      </c>
      <c r="AC55" s="14">
        <f ca="1">IF(AC$1="","",'Total Value'!AC151/'Total Value'!$D151-1)</f>
        <v>-4.2656879979615869E-2</v>
      </c>
      <c r="AD55" s="14">
        <f ca="1">IF(AD$1="","",'Total Value'!AD151/'Total Value'!$D151-1)</f>
        <v>-4.1813249284305631E-2</v>
      </c>
      <c r="AE55" s="14">
        <f ca="1">IF(AE$1="","",'Total Value'!AE151/'Total Value'!$D151-1)</f>
        <v>-6.2101068670253778E-2</v>
      </c>
      <c r="AF55" s="14">
        <f ca="1">IF(AF$1="","",'Total Value'!AF151/'Total Value'!$D151-1)</f>
        <v>-6.8822278702179163E-2</v>
      </c>
      <c r="AG55" s="14">
        <f ca="1">IF(AG$1="","",'Total Value'!AG151/'Total Value'!$D151-1)</f>
        <v>-7.8267088339267987E-2</v>
      </c>
      <c r="AH55" s="14">
        <f ca="1">IF(AH$1="","",'Total Value'!AH151/'Total Value'!$D151-1)</f>
        <v>-9.5238197199745578E-2</v>
      </c>
      <c r="AI55" s="14">
        <f ca="1">IF(AI$1="","",'Total Value'!AI151/'Total Value'!$D151-1)</f>
        <v>-8.170584696025307E-2</v>
      </c>
      <c r="AJ55" s="14">
        <f ca="1">IF(AJ$1="","",'Total Value'!AJ151/'Total Value'!$D151-1)</f>
        <v>-6.1161084215327177E-2</v>
      </c>
      <c r="AK55" s="14">
        <f ca="1">IF(AK$1="","",'Total Value'!AK151/'Total Value'!$D151-1)</f>
        <v>-6.345430369420324E-2</v>
      </c>
      <c r="AL55" s="14">
        <f ca="1">IF(AL$1="","",'Total Value'!AL151/'Total Value'!$D151-1)</f>
        <v>-7.7945909140545777E-2</v>
      </c>
      <c r="AM55" s="14">
        <f ca="1">IF(AM$1="","",'Total Value'!AM151/'Total Value'!$D151-1)</f>
        <v>-6.0756398424937186E-2</v>
      </c>
      <c r="AN55" s="14">
        <f ca="1">IF(AN$1="","",'Total Value'!AN151/'Total Value'!$D151-1)</f>
        <v>-6.5691852111967375E-2</v>
      </c>
      <c r="AO55" s="14">
        <f ca="1">IF(AO$1="","",'Total Value'!AO151/'Total Value'!$D151-1)</f>
        <v>-7.3104668018474261E-2</v>
      </c>
      <c r="AP55" s="14">
        <f ca="1">IF(AP$1="","",'Total Value'!AP151/'Total Value'!$D151-1)</f>
        <v>-0.10046485336028377</v>
      </c>
      <c r="AQ55" s="14">
        <f ca="1">IF(AQ$1="","",'Total Value'!AQ151/'Total Value'!$D151-1)</f>
        <v>-0.10697194392639431</v>
      </c>
      <c r="AR55" s="14">
        <f ca="1">IF(AR$1="","",'Total Value'!AR151/'Total Value'!$D151-1)</f>
        <v>-8.4022619580368607E-2</v>
      </c>
      <c r="AS55" s="14">
        <f ca="1">IF(AS$1="","",'Total Value'!AS151/'Total Value'!$D151-1)</f>
        <v>-8.7953852972727509E-2</v>
      </c>
      <c r="AT55" s="14">
        <f ca="1">IF(AT$1="","",'Total Value'!AT151/'Total Value'!$D151-1)</f>
        <v>-9.9775388680360177E-2</v>
      </c>
      <c r="AU55" s="14">
        <f ca="1">IF(AU$1="","",'Total Value'!AU151/'Total Value'!$D151-1)</f>
        <v>-0.10645591601378079</v>
      </c>
      <c r="AV55" s="14">
        <f ca="1">IF(AV$1="","",'Total Value'!AV151/'Total Value'!$D151-1)</f>
        <v>-8.732648293789036E-2</v>
      </c>
      <c r="AW55" s="14">
        <f ca="1">IF(AW$1="","",'Total Value'!AW151/'Total Value'!$D151-1)</f>
        <v>-6.689734470450448E-2</v>
      </c>
      <c r="AX55" s="14">
        <f ca="1">IF(AX$1="","",'Total Value'!AX151/'Total Value'!$D151-1)</f>
        <v>-5.5375576249012348E-2</v>
      </c>
      <c r="AY55" s="14">
        <f ca="1">IF(AY$1="","",'Total Value'!AY151/'Total Value'!$D151-1)</f>
        <v>-4.4359129732843172E-2</v>
      </c>
      <c r="AZ55" s="14">
        <f ca="1">IF(AZ$1="","",'Total Value'!AZ151/'Total Value'!$D151-1)</f>
        <v>-4.4774521496523723E-2</v>
      </c>
      <c r="BA55" s="14">
        <f ca="1">IF(BA$1="","",'Total Value'!BA151/'Total Value'!$D151-1)</f>
        <v>-3.3976476835485658E-2</v>
      </c>
      <c r="BB55" s="14">
        <f ca="1">IF(BB$1="","",'Total Value'!BB151/'Total Value'!$D151-1)</f>
        <v>-4.5832271657648693E-2</v>
      </c>
      <c r="BC55" s="14">
        <f ca="1">IF(BC$1="","",'Total Value'!BC151/'Total Value'!$D151-1)</f>
        <v>-3.2145755402769427E-2</v>
      </c>
      <c r="BD55" s="14">
        <f ca="1">IF(BD$1="","",'Total Value'!BD151/'Total Value'!$D151-1)</f>
        <v>-2.7242419635611359E-2</v>
      </c>
      <c r="BE55" s="14">
        <f ca="1">IF(BE$1="","",'Total Value'!BE151/'Total Value'!$D151-1)</f>
        <v>-2.0292101775264415E-2</v>
      </c>
      <c r="BF55" s="14">
        <f ca="1">IF(BF$1="","",'Total Value'!BF151/'Total Value'!$D151-1)</f>
        <v>-8.2842821323728666E-3</v>
      </c>
      <c r="BG55" s="14">
        <f ca="1">IF(BG$1="","",'Total Value'!BG151/'Total Value'!$D151-1)</f>
        <v>-1.4525864560873125E-2</v>
      </c>
      <c r="BH55" s="14">
        <f ca="1">IF(BH$1="","",'Total Value'!BH151/'Total Value'!$D151-1)</f>
        <v>-2.9951030878168194E-2</v>
      </c>
      <c r="BI55" s="14">
        <f ca="1">IF(BI$1="","",'Total Value'!BI151/'Total Value'!$D151-1)</f>
        <v>-2.6642885131330285E-2</v>
      </c>
      <c r="BJ55" s="14">
        <f ca="1">IF(BJ$1="","",'Total Value'!BJ151/'Total Value'!$D151-1)</f>
        <v>-1.8767571178663345E-2</v>
      </c>
      <c r="BK55" s="14">
        <f ca="1">IF(BK$1="","",'Total Value'!BK151/'Total Value'!$D151-1)</f>
        <v>-3.1083722852328188E-2</v>
      </c>
      <c r="BL55" s="14">
        <f ca="1">IF(BL$1="","",'Total Value'!BL151/'Total Value'!$D151-1)</f>
        <v>-4.0498555764203137E-2</v>
      </c>
      <c r="BM55" s="14">
        <f ca="1">IF(BM$1="","",'Total Value'!BM151/'Total Value'!$D151-1)</f>
        <v>-3.6417438745773856E-2</v>
      </c>
      <c r="BN55" s="14">
        <f ca="1">IF(BN$1="","",'Total Value'!BN151/'Total Value'!$D151-1)</f>
        <v>-3.8971883972943933E-2</v>
      </c>
      <c r="BO55" s="14">
        <f ca="1">IF(BO$1="","",'Total Value'!BO151/'Total Value'!$D151-1)</f>
        <v>-5.5191433508411714E-2</v>
      </c>
      <c r="BP55" s="14">
        <f ca="1">IF(BP$1="","",'Total Value'!BP151/'Total Value'!$D151-1)</f>
        <v>-5.8420355052898221E-2</v>
      </c>
      <c r="BQ55" s="14">
        <f ca="1">IF(BQ$1="","",'Total Value'!BQ151/'Total Value'!$D151-1)</f>
        <v>-4.7898524502760997E-2</v>
      </c>
      <c r="BR55" s="14">
        <f ca="1">IF(BR$1="","",'Total Value'!BR151/'Total Value'!$D151-1)</f>
        <v>-5.9460975656757897E-2</v>
      </c>
      <c r="BS55" s="14">
        <f ca="1">IF(BS$1="","",'Total Value'!BS151/'Total Value'!$D151-1)</f>
        <v>-5.965368317599129E-2</v>
      </c>
      <c r="BT55" s="14">
        <f ca="1">IF(BT$1="","",'Total Value'!BT151/'Total Value'!$D151-1)</f>
        <v>-4.4553978446734588E-2</v>
      </c>
      <c r="BU55" s="14">
        <f ca="1">IF(BU$1="","",'Total Value'!BU151/'Total Value'!$D151-1)</f>
        <v>-4.5144948172383348E-2</v>
      </c>
      <c r="BV55" s="14">
        <f ca="1">IF(BV$1="","",'Total Value'!BV151/'Total Value'!$D151-1)</f>
        <v>-5.9231867828336116E-2</v>
      </c>
      <c r="BW55" s="14">
        <f ca="1">IF(BW$1="","",'Total Value'!BW151/'Total Value'!$D151-1)</f>
        <v>-8.5328748321838788E-2</v>
      </c>
      <c r="BX55" s="14">
        <f ca="1">IF(BX$1="","",'Total Value'!BX151/'Total Value'!$D151-1)</f>
        <v>-8.0117080523907536E-2</v>
      </c>
      <c r="BY55" s="14">
        <f ca="1">IF(BY$1="","",'Total Value'!BY151/'Total Value'!$D151-1)</f>
        <v>-0.1060084063302279</v>
      </c>
      <c r="BZ55" s="14">
        <f ca="1">IF(BZ$1="","",'Total Value'!BZ151/'Total Value'!$D151-1)</f>
        <v>-0.10413271980969063</v>
      </c>
      <c r="CA55" s="14">
        <f ca="1">IF(CA$1="","",'Total Value'!CA151/'Total Value'!$D151-1)</f>
        <v>-8.1962790319230705E-2</v>
      </c>
      <c r="CB55" s="14">
        <f ca="1">IF(CB$1="","",'Total Value'!CB151/'Total Value'!$D151-1)</f>
        <v>-0.11527335561603236</v>
      </c>
      <c r="CC55" s="14">
        <f ca="1">IF(CC$1="","",'Total Value'!CC151/'Total Value'!$D151-1)</f>
        <v>-0.11025225414267636</v>
      </c>
      <c r="CD55" s="14">
        <f ca="1">IF(CD$1="","",'Total Value'!CD151/'Total Value'!$D151-1)</f>
        <v>-0.10594845287979981</v>
      </c>
      <c r="CE55" s="14">
        <f ca="1">IF(CE$1="","",'Total Value'!CE151/'Total Value'!$D151-1)</f>
        <v>-7.9249896687357713E-2</v>
      </c>
      <c r="CF55" s="14" t="str">
        <f ca="1">IF(CF$1="","",'Total Value'!CF151/'Total Value'!$D151-1)</f>
        <v/>
      </c>
      <c r="CG55" s="14" t="str">
        <f ca="1">IF(CG$1="","",'Total Value'!CG151/'Total Value'!$D151-1)</f>
        <v/>
      </c>
      <c r="CH55" s="14" t="str">
        <f ca="1">IF(CH$1="","",'Total Value'!CH151/'Total Value'!$D151-1)</f>
        <v/>
      </c>
      <c r="CI55" s="14" t="str">
        <f ca="1">IF(CI$1="","",'Total Value'!CI151/'Total Value'!$D151-1)</f>
        <v/>
      </c>
      <c r="CJ55" s="14" t="str">
        <f ca="1">IF(CJ$1="","",'Total Value'!CJ151/'Total Value'!$D151-1)</f>
        <v/>
      </c>
      <c r="CK55" s="14" t="str">
        <f ca="1">IF(CK$1="","",'Total Value'!CK151/'Total Value'!$D151-1)</f>
        <v/>
      </c>
      <c r="CL55" s="14" t="str">
        <f ca="1">IF(CL$1="","",'Total Value'!CL151/'Total Value'!$D151-1)</f>
        <v/>
      </c>
      <c r="CM55" s="14" t="str">
        <f ca="1">IF(CM$1="","",'Total Value'!CM151/'Total Value'!$D151-1)</f>
        <v/>
      </c>
      <c r="CN55" s="14" t="str">
        <f ca="1">IF(CN$1="","",'Total Value'!CN151/'Total Value'!$D151-1)</f>
        <v/>
      </c>
      <c r="CO55" s="14" t="str">
        <f ca="1">IF(CO$1="","",'Total Value'!CO151/'Total Value'!$D151-1)</f>
        <v/>
      </c>
      <c r="CP55" s="14" t="str">
        <f ca="1">IF(CP$1="","",'Total Value'!CP151/'Total Value'!$D151-1)</f>
        <v/>
      </c>
      <c r="CQ55" s="14" t="str">
        <f ca="1">IF(CQ$1="","",'Total Value'!CQ151/'Total Value'!$D151-1)</f>
        <v/>
      </c>
      <c r="CR55" s="14" t="str">
        <f ca="1">IF(CR$1="","",'Total Value'!CR151/'Total Value'!$D151-1)</f>
        <v/>
      </c>
      <c r="CS55" s="14" t="str">
        <f ca="1">IF(CS$1="","",'Total Value'!CS151/'Total Value'!$D151-1)</f>
        <v/>
      </c>
      <c r="CT55" s="14" t="str">
        <f ca="1">IF(CT$1="","",'Total Value'!CT151/'Total Value'!$D151-1)</f>
        <v/>
      </c>
      <c r="CU55" s="14" t="str">
        <f ca="1">IF(CU$1="","",'Total Value'!CU151/'Total Value'!$D151-1)</f>
        <v/>
      </c>
      <c r="CV55" s="14" t="str">
        <f ca="1">IF(CV$1="","",'Total Value'!CV151/'Total Value'!$D151-1)</f>
        <v/>
      </c>
      <c r="CW55" s="14" t="str">
        <f ca="1">IF(CW$1="","",'Total Value'!CW151/'Total Value'!$D151-1)</f>
        <v/>
      </c>
      <c r="CX55" s="14" t="str">
        <f ca="1">IF(CX$1="","",'Total Value'!CX151/'Total Value'!$D151-1)</f>
        <v/>
      </c>
      <c r="CY55" s="14" t="str">
        <f ca="1">IF(CY$1="","",'Total Value'!CY151/'Total Value'!$D151-1)</f>
        <v/>
      </c>
      <c r="CZ55" s="14" t="str">
        <f ca="1">IF(CZ$1="","",'Total Value'!CZ151/'Total Value'!$D151-1)</f>
        <v/>
      </c>
      <c r="DA55" s="14" t="str">
        <f ca="1">IF(DA$1="","",'Total Value'!DA151/'Total Value'!$D151-1)</f>
        <v/>
      </c>
      <c r="DB55" s="14" t="str">
        <f ca="1">IF(DB$1="","",'Total Value'!DB151/'Total Value'!$D151-1)</f>
        <v/>
      </c>
      <c r="DC55" s="14" t="str">
        <f ca="1">IF(DC$1="","",'Total Value'!DC151/'Total Value'!$D151-1)</f>
        <v/>
      </c>
      <c r="DD55" s="14" t="str">
        <f ca="1">IF(DD$1="","",'Total Value'!DD151/'Total Value'!$D151-1)</f>
        <v/>
      </c>
      <c r="DE55" s="14" t="str">
        <f ca="1">IF(DE$1="","",'Total Value'!DE151/'Total Value'!$D151-1)</f>
        <v/>
      </c>
      <c r="DF55" s="14" t="str">
        <f ca="1">IF(DF$1="","",'Total Value'!DF151/'Total Value'!$D151-1)</f>
        <v/>
      </c>
      <c r="DG55" s="14" t="str">
        <f ca="1">IF(DG$1="","",'Total Value'!DG151/'Total Value'!$D151-1)</f>
        <v/>
      </c>
      <c r="DH55" s="14" t="str">
        <f ca="1">IF(DH$1="","",'Total Value'!DH151/'Total Value'!$D151-1)</f>
        <v/>
      </c>
      <c r="DI55" s="14" t="str">
        <f ca="1">IF(DI$1="","",'Total Value'!DI151/'Total Value'!$D151-1)</f>
        <v/>
      </c>
      <c r="DJ55" s="14" t="str">
        <f ca="1">IF(DJ$1="","",'Total Value'!DJ151/'Total Value'!$D151-1)</f>
        <v/>
      </c>
      <c r="DK55" s="14" t="str">
        <f ca="1">IF(DK$1="","",'Total Value'!DK151/'Total Value'!$D151-1)</f>
        <v/>
      </c>
      <c r="DL55" s="14" t="str">
        <f ca="1">IF(DL$1="","",'Total Value'!DL151/'Total Value'!$D151-1)</f>
        <v/>
      </c>
      <c r="DM55" s="14" t="str">
        <f ca="1">IF(DM$1="","",'Total Value'!DM151/'Total Value'!$D151-1)</f>
        <v/>
      </c>
      <c r="DN55" s="14" t="str">
        <f ca="1">IF(DN$1="","",'Total Value'!DN151/'Total Value'!$D151-1)</f>
        <v/>
      </c>
      <c r="DO55" s="14" t="str">
        <f ca="1">IF(DO$1="","",'Total Value'!DO151/'Total Value'!$D151-1)</f>
        <v/>
      </c>
      <c r="DP55" s="14" t="str">
        <f ca="1">IF(DP$1="","",'Total Value'!DP151/'Total Value'!$D151-1)</f>
        <v/>
      </c>
      <c r="DQ55" s="14" t="str">
        <f ca="1">IF(DQ$1="","",'Total Value'!DQ151/'Total Value'!$D151-1)</f>
        <v/>
      </c>
      <c r="DR55" s="14" t="str">
        <f ca="1">IF(DR$1="","",'Total Value'!DR151/'Total Value'!$D151-1)</f>
        <v/>
      </c>
      <c r="DS55" s="14" t="str">
        <f ca="1">IF(DS$1="","",'Total Value'!DS151/'Total Value'!$D151-1)</f>
        <v/>
      </c>
      <c r="DT55" s="14" t="str">
        <f ca="1">IF(DT$1="","",'Total Value'!DT151/'Total Value'!$D151-1)</f>
        <v/>
      </c>
      <c r="DU55" s="14" t="str">
        <f ca="1">IF(DU$1="","",'Total Value'!DU151/'Total Value'!$D151-1)</f>
        <v/>
      </c>
      <c r="DV55" s="14" t="str">
        <f ca="1">IF(DV$1="","",'Total Value'!DV151/'Total Value'!$D151-1)</f>
        <v/>
      </c>
      <c r="DW55" s="14" t="str">
        <f ca="1">IF(DW$1="","",'Total Value'!DW151/'Total Value'!$D151-1)</f>
        <v/>
      </c>
      <c r="DX55" s="14" t="str">
        <f ca="1">IF(DX$1="","",'Total Value'!DX151/'Total Value'!$D151-1)</f>
        <v/>
      </c>
      <c r="DY55" s="14" t="str">
        <f ca="1">IF(DY$1="","",'Total Value'!DY151/'Total Value'!$D151-1)</f>
        <v/>
      </c>
      <c r="DZ55" s="14" t="str">
        <f ca="1">IF(DZ$1="","",'Total Value'!DZ151/'Total Value'!$D151-1)</f>
        <v/>
      </c>
      <c r="EA55" s="14" t="str">
        <f ca="1">IF(EA$1="","",'Total Value'!EA151/'Total Value'!$D151-1)</f>
        <v/>
      </c>
      <c r="EB55" s="14" t="str">
        <f ca="1">IF(EB$1="","",'Total Value'!EB151/'Total Value'!$D151-1)</f>
        <v/>
      </c>
      <c r="EC55" s="14" t="str">
        <f ca="1">IF(EC$1="","",'Total Value'!EC151/'Total Value'!$D151-1)</f>
        <v/>
      </c>
      <c r="ED55" s="14" t="str">
        <f ca="1">IF(ED$1="","",'Total Value'!ED151/'Total Value'!$D151-1)</f>
        <v/>
      </c>
      <c r="EE55" s="14" t="str">
        <f ca="1">IF(EE$1="","",'Total Value'!EE151/'Total Value'!$D151-1)</f>
        <v/>
      </c>
      <c r="EF55" s="14" t="str">
        <f ca="1">IF(EF$1="","",'Total Value'!EF151/'Total Value'!$D151-1)</f>
        <v/>
      </c>
      <c r="EG55" s="14" t="str">
        <f ca="1">IF(EG$1="","",'Total Value'!EG151/'Total Value'!$D151-1)</f>
        <v/>
      </c>
      <c r="EH55" s="14" t="str">
        <f ca="1">IF(EH$1="","",'Total Value'!EH151/'Total Value'!$D151-1)</f>
        <v/>
      </c>
      <c r="EI55" s="14" t="str">
        <f ca="1">IF(EI$1="","",'Total Value'!EI151/'Total Value'!$D151-1)</f>
        <v/>
      </c>
      <c r="EJ55" s="14" t="str">
        <f ca="1">IF(EJ$1="","",'Total Value'!EJ151/'Total Value'!$D151-1)</f>
        <v/>
      </c>
      <c r="EK55" s="14" t="str">
        <f ca="1">IF(EK$1="","",'Total Value'!EK151/'Total Value'!$D151-1)</f>
        <v/>
      </c>
      <c r="EL55" s="14" t="str">
        <f ca="1">IF(EL$1="","",'Total Value'!EL151/'Total Value'!$D151-1)</f>
        <v/>
      </c>
      <c r="EM55" s="14" t="str">
        <f ca="1">IF(EM$1="","",'Total Value'!EM151/'Total Value'!$D151-1)</f>
        <v/>
      </c>
      <c r="EN55" s="14" t="str">
        <f ca="1">IF(EN$1="","",'Total Value'!EN151/'Total Value'!$D151-1)</f>
        <v/>
      </c>
      <c r="EO55" s="14" t="str">
        <f ca="1">IF(EO$1="","",'Total Value'!EO151/'Total Value'!$D151-1)</f>
        <v/>
      </c>
      <c r="EP55" s="14" t="str">
        <f ca="1">IF(EP$1="","",'Total Value'!EP151/'Total Value'!$D151-1)</f>
        <v/>
      </c>
      <c r="EQ55" s="14" t="str">
        <f ca="1">IF(EQ$1="","",'Total Value'!EQ151/'Total Value'!$D151-1)</f>
        <v/>
      </c>
      <c r="ER55" s="14" t="str">
        <f ca="1">IF(ER$1="","",'Total Value'!ER151/'Total Value'!$D151-1)</f>
        <v/>
      </c>
      <c r="ES55" s="14" t="str">
        <f ca="1">IF(ES$1="","",'Total Value'!ES151/'Total Value'!$D151-1)</f>
        <v/>
      </c>
      <c r="ET55" s="14" t="str">
        <f ca="1">IF(ET$1="","",'Total Value'!ET151/'Total Value'!$D151-1)</f>
        <v/>
      </c>
      <c r="EU55" s="14" t="str">
        <f ca="1">IF(EU$1="","",'Total Value'!EU151/'Total Value'!$D151-1)</f>
        <v/>
      </c>
      <c r="EV55" s="14" t="str">
        <f ca="1">IF(EV$1="","",'Total Value'!EV151/'Total Value'!$D151-1)</f>
        <v/>
      </c>
      <c r="EW55" s="14" t="str">
        <f ca="1">IF(EW$1="","",'Total Value'!EW151/'Total Value'!$D151-1)</f>
        <v/>
      </c>
      <c r="EX55" s="14" t="str">
        <f ca="1">IF(EX$1="","",'Total Value'!EX151/'Total Value'!$D151-1)</f>
        <v/>
      </c>
      <c r="EY55" s="14" t="str">
        <f ca="1">IF(EY$1="","",'Total Value'!EY151/'Total Value'!$D151-1)</f>
        <v/>
      </c>
      <c r="EZ55" s="14" t="str">
        <f ca="1">IF(EZ$1="","",'Total Value'!EZ151/'Total Value'!$D151-1)</f>
        <v/>
      </c>
      <c r="FA55" s="14" t="str">
        <f ca="1">IF(FA$1="","",'Total Value'!FA151/'Total Value'!$D151-1)</f>
        <v/>
      </c>
      <c r="FB55" s="14" t="str">
        <f ca="1">IF(FB$1="","",'Total Value'!FB151/'Total Value'!$D151-1)</f>
        <v/>
      </c>
      <c r="FC55" s="14" t="str">
        <f ca="1">IF(FC$1="","",'Total Value'!FC151/'Total Value'!$D151-1)</f>
        <v/>
      </c>
      <c r="FD55" s="14" t="str">
        <f ca="1">IF(FD$1="","",'Total Value'!FD151/'Total Value'!$D151-1)</f>
        <v/>
      </c>
      <c r="FE55" s="14" t="str">
        <f ca="1">IF(FE$1="","",'Total Value'!FE151/'Total Value'!$D151-1)</f>
        <v/>
      </c>
      <c r="FF55" s="14" t="str">
        <f ca="1">IF(FF$1="","",'Total Value'!FF151/'Total Value'!$D151-1)</f>
        <v/>
      </c>
      <c r="FG55" s="14" t="str">
        <f ca="1">IF(FG$1="","",'Total Value'!FG151/'Total Value'!$D151-1)</f>
        <v/>
      </c>
      <c r="FH55" s="14" t="str">
        <f ca="1">IF(FH$1="","",'Total Value'!FH151/'Total Value'!$D151-1)</f>
        <v/>
      </c>
      <c r="FI55" s="14" t="str">
        <f ca="1">IF(FI$1="","",'Total Value'!FI151/'Total Value'!$D151-1)</f>
        <v/>
      </c>
      <c r="FJ55" s="14" t="str">
        <f ca="1">IF(FJ$1="","",'Total Value'!FJ151/'Total Value'!$D151-1)</f>
        <v/>
      </c>
      <c r="FK55" s="14" t="str">
        <f ca="1">IF(FK$1="","",'Total Value'!FK151/'Total Value'!$D151-1)</f>
        <v/>
      </c>
      <c r="FL55" s="14" t="str">
        <f ca="1">IF(FL$1="","",'Total Value'!FL151/'Total Value'!$D151-1)</f>
        <v/>
      </c>
      <c r="FM55" s="14" t="str">
        <f ca="1">IF(FM$1="","",'Total Value'!FM151/'Total Value'!$D151-1)</f>
        <v/>
      </c>
      <c r="FN55" s="14" t="str">
        <f ca="1">IF(FN$1="","",'Total Value'!FN151/'Total Value'!$D151-1)</f>
        <v/>
      </c>
      <c r="FO55" s="14" t="str">
        <f ca="1">IF(FO$1="","",'Total Value'!FO151/'Total Value'!$D151-1)</f>
        <v/>
      </c>
      <c r="FP55" s="14" t="str">
        <f ca="1">IF(FP$1="","",'Total Value'!FP151/'Total Value'!$D151-1)</f>
        <v/>
      </c>
      <c r="FQ55" s="14" t="str">
        <f ca="1">IF(FQ$1="","",'Total Value'!FQ151/'Total Value'!$D151-1)</f>
        <v/>
      </c>
      <c r="FR55" s="14" t="str">
        <f ca="1">IF(FR$1="","",'Total Value'!FR151/'Total Value'!$D151-1)</f>
        <v/>
      </c>
      <c r="FS55" s="14" t="str">
        <f ca="1">IF(FS$1="","",'Total Value'!FS151/'Total Value'!$D151-1)</f>
        <v/>
      </c>
      <c r="FT55" s="14" t="str">
        <f ca="1">IF(FT$1="","",'Total Value'!FT151/'Total Value'!$D151-1)</f>
        <v/>
      </c>
      <c r="FU55" s="14" t="str">
        <f ca="1">IF(FU$1="","",'Total Value'!FU151/'Total Value'!$D151-1)</f>
        <v/>
      </c>
      <c r="FV55" s="14" t="str">
        <f ca="1">IF(FV$1="","",'Total Value'!FV151/'Total Value'!$D151-1)</f>
        <v/>
      </c>
      <c r="FW55" s="14" t="str">
        <f ca="1">IF(FW$1="","",'Total Value'!FW151/'Total Value'!$D151-1)</f>
        <v/>
      </c>
      <c r="FX55" s="14" t="str">
        <f ca="1">IF(FX$1="","",'Total Value'!FX151/'Total Value'!$D151-1)</f>
        <v/>
      </c>
      <c r="FY55" s="14" t="str">
        <f ca="1">IF(FY$1="","",'Total Value'!FY151/'Total Value'!$D151-1)</f>
        <v/>
      </c>
      <c r="FZ55" s="14" t="str">
        <f ca="1">IF(FZ$1="","",'Total Value'!FZ151/'Total Value'!$D151-1)</f>
        <v/>
      </c>
      <c r="GA55" s="14" t="str">
        <f ca="1">IF(GA$1="","",'Total Value'!GA151/'Total Value'!$D151-1)</f>
        <v/>
      </c>
      <c r="GB55" s="14" t="str">
        <f ca="1">IF(GB$1="","",'Total Value'!GB151/'Total Value'!$D151-1)</f>
        <v/>
      </c>
      <c r="GC55" s="14" t="str">
        <f ca="1">IF(GC$1="","",'Total Value'!GC151/'Total Value'!$D151-1)</f>
        <v/>
      </c>
      <c r="GD55" s="14" t="str">
        <f ca="1">IF(GD$1="","",'Total Value'!GD151/'Total Value'!$D151-1)</f>
        <v/>
      </c>
      <c r="GE55" s="14" t="str">
        <f ca="1">IF(GE$1="","",'Total Value'!GE151/'Total Value'!$D151-1)</f>
        <v/>
      </c>
      <c r="GF55" s="14" t="str">
        <f ca="1">IF(GF$1="","",'Total Value'!GF151/'Total Value'!$D151-1)</f>
        <v/>
      </c>
      <c r="GG55" s="14" t="str">
        <f ca="1">IF(GG$1="","",'Total Value'!GG151/'Total Value'!$D151-1)</f>
        <v/>
      </c>
      <c r="GH55" s="14" t="str">
        <f ca="1">IF(GH$1="","",'Total Value'!GH151/'Total Value'!$D151-1)</f>
        <v/>
      </c>
      <c r="GI55" s="14" t="str">
        <f ca="1">IF(GI$1="","",'Total Value'!GI151/'Total Value'!$D151-1)</f>
        <v/>
      </c>
      <c r="GJ55" s="14" t="str">
        <f ca="1">IF(GJ$1="","",'Total Value'!GJ151/'Total Value'!$D151-1)</f>
        <v/>
      </c>
      <c r="GK55" s="14" t="str">
        <f ca="1">IF(GK$1="","",'Total Value'!GK151/'Total Value'!$D151-1)</f>
        <v/>
      </c>
      <c r="GL55" s="14" t="str">
        <f ca="1">IF(GL$1="","",'Total Value'!GL151/'Total Value'!$D151-1)</f>
        <v/>
      </c>
      <c r="GM55" s="14" t="str">
        <f ca="1">IF(GM$1="","",'Total Value'!GM151/'Total Value'!$D151-1)</f>
        <v/>
      </c>
      <c r="GN55" s="14" t="str">
        <f ca="1">IF(GN$1="","",'Total Value'!GN151/'Total Value'!$D151-1)</f>
        <v/>
      </c>
      <c r="GO55" s="14" t="str">
        <f ca="1">IF(GO$1="","",'Total Value'!GO151/'Total Value'!$D151-1)</f>
        <v/>
      </c>
      <c r="GP55" s="14" t="str">
        <f ca="1">IF(GP$1="","",'Total Value'!GP151/'Total Value'!$D151-1)</f>
        <v/>
      </c>
      <c r="GQ55" s="14" t="str">
        <f ca="1">IF(GQ$1="","",'Total Value'!GQ151/'Total Value'!$D151-1)</f>
        <v/>
      </c>
      <c r="GR55" s="14" t="str">
        <f ca="1">IF(GR$1="","",'Total Value'!GR151/'Total Value'!$D151-1)</f>
        <v/>
      </c>
      <c r="GS55" s="14" t="str">
        <f ca="1">IF(GS$1="","",'Total Value'!GS151/'Total Value'!$D151-1)</f>
        <v/>
      </c>
      <c r="GT55" s="14" t="str">
        <f ca="1">IF(GT$1="","",'Total Value'!GT151/'Total Value'!$D151-1)</f>
        <v/>
      </c>
      <c r="GU55" s="14" t="str">
        <f ca="1">IF(GU$1="","",'Total Value'!GU151/'Total Value'!$D151-1)</f>
        <v/>
      </c>
      <c r="GV55" s="14" t="str">
        <f ca="1">IF(GV$1="","",'Total Value'!GV151/'Total Value'!$D151-1)</f>
        <v/>
      </c>
      <c r="GW55" s="14" t="str">
        <f ca="1">IF(GW$1="","",'Total Value'!GW151/'Total Value'!$D151-1)</f>
        <v/>
      </c>
      <c r="GX55" s="14" t="str">
        <f ca="1">IF(GX$1="","",'Total Value'!GX151/'Total Value'!$D151-1)</f>
        <v/>
      </c>
      <c r="GY55" s="14" t="str">
        <f ca="1">IF(GY$1="","",'Total Value'!GY151/'Total Value'!$D151-1)</f>
        <v/>
      </c>
      <c r="GZ55" s="14" t="str">
        <f ca="1">IF(GZ$1="","",'Total Value'!GZ151/'Total Value'!$D151-1)</f>
        <v/>
      </c>
      <c r="HA55" s="14" t="str">
        <f ca="1">IF(HA$1="","",'Total Value'!HA151/'Total Value'!$D151-1)</f>
        <v/>
      </c>
      <c r="HB55" s="14" t="str">
        <f ca="1">IF(HB$1="","",'Total Value'!HB151/'Total Value'!$D151-1)</f>
        <v/>
      </c>
      <c r="HC55" s="14" t="str">
        <f ca="1">IF(HC$1="","",'Total Value'!HC151/'Total Value'!$D151-1)</f>
        <v/>
      </c>
      <c r="HD55" s="14" t="str">
        <f ca="1">IF(HD$1="","",'Total Value'!HD151/'Total Value'!$D151-1)</f>
        <v/>
      </c>
      <c r="HE55" s="14" t="str">
        <f ca="1">IF(HE$1="","",'Total Value'!HE151/'Total Value'!$D151-1)</f>
        <v/>
      </c>
      <c r="HF55" s="14" t="str">
        <f ca="1">IF(HF$1="","",'Total Value'!HF151/'Total Value'!$D151-1)</f>
        <v/>
      </c>
      <c r="HG55" s="14" t="str">
        <f ca="1">IF(HG$1="","",'Total Value'!HG151/'Total Value'!$D151-1)</f>
        <v/>
      </c>
      <c r="HH55" s="14" t="str">
        <f ca="1">IF(HH$1="","",'Total Value'!HH151/'Total Value'!$D151-1)</f>
        <v/>
      </c>
      <c r="HI55" s="14" t="str">
        <f ca="1">IF(HI$1="","",'Total Value'!HI151/'Total Value'!$D151-1)</f>
        <v/>
      </c>
      <c r="HJ55" s="14" t="str">
        <f ca="1">IF(HJ$1="","",'Total Value'!HJ151/'Total Value'!$D151-1)</f>
        <v/>
      </c>
      <c r="HK55" s="14" t="str">
        <f ca="1">IF(HK$1="","",'Total Value'!HK151/'Total Value'!$D151-1)</f>
        <v/>
      </c>
      <c r="HL55" s="14" t="str">
        <f ca="1">IF(HL$1="","",'Total Value'!HL151/'Total Value'!$D151-1)</f>
        <v/>
      </c>
      <c r="HM55" s="14" t="str">
        <f ca="1">IF(HM$1="","",'Total Value'!HM151/'Total Value'!$D151-1)</f>
        <v/>
      </c>
      <c r="HN55" s="14" t="str">
        <f ca="1">IF(HN$1="","",'Total Value'!HN151/'Total Value'!$D151-1)</f>
        <v/>
      </c>
      <c r="HO55" s="14" t="str">
        <f ca="1">IF(HO$1="","",'Total Value'!HO151/'Total Value'!$D151-1)</f>
        <v/>
      </c>
      <c r="HP55" s="14" t="str">
        <f ca="1">IF(HP$1="","",'Total Value'!HP151/'Total Value'!$D151-1)</f>
        <v/>
      </c>
      <c r="HQ55" s="14" t="str">
        <f ca="1">IF(HQ$1="","",'Total Value'!HQ151/'Total Value'!$D151-1)</f>
        <v/>
      </c>
      <c r="HR55" s="14" t="str">
        <f ca="1">IF(HR$1="","",'Total Value'!HR151/'Total Value'!$D151-1)</f>
        <v/>
      </c>
      <c r="HS55" s="14" t="str">
        <f ca="1">IF(HS$1="","",'Total Value'!HS151/'Total Value'!$D151-1)</f>
        <v/>
      </c>
      <c r="HT55" s="14" t="str">
        <f ca="1">IF(HT$1="","",'Total Value'!HT151/'Total Value'!$D151-1)</f>
        <v/>
      </c>
      <c r="HU55" s="14" t="str">
        <f ca="1">IF(HU$1="","",'Total Value'!HU151/'Total Value'!$D151-1)</f>
        <v/>
      </c>
      <c r="HV55" s="14" t="str">
        <f ca="1">IF(HV$1="","",'Total Value'!HV151/'Total Value'!$D151-1)</f>
        <v/>
      </c>
      <c r="HW55" s="14" t="str">
        <f ca="1">IF(HW$1="","",'Total Value'!HW151/'Total Value'!$D151-1)</f>
        <v/>
      </c>
      <c r="HX55" s="14" t="str">
        <f ca="1">IF(HX$1="","",'Total Value'!HX151/'Total Value'!$D151-1)</f>
        <v/>
      </c>
      <c r="HY55" s="14" t="str">
        <f ca="1">IF(HY$1="","",'Total Value'!HY151/'Total Value'!$D151-1)</f>
        <v/>
      </c>
      <c r="HZ55" s="14" t="str">
        <f ca="1">IF(HZ$1="","",'Total Value'!HZ151/'Total Value'!$D151-1)</f>
        <v/>
      </c>
      <c r="IA55" s="14" t="str">
        <f ca="1">IF(IA$1="","",'Total Value'!IA151/'Total Value'!$D151-1)</f>
        <v/>
      </c>
      <c r="IB55" s="14" t="str">
        <f ca="1">IF(IB$1="","",'Total Value'!IB151/'Total Value'!$D151-1)</f>
        <v/>
      </c>
      <c r="IC55" s="14" t="str">
        <f ca="1">IF(IC$1="","",'Total Value'!IC151/'Total Value'!$D151-1)</f>
        <v/>
      </c>
      <c r="ID55" s="14" t="str">
        <f ca="1">IF(ID$1="","",'Total Value'!ID151/'Total Value'!$D151-1)</f>
        <v/>
      </c>
      <c r="IE55" s="14" t="str">
        <f ca="1">IF(IE$1="","",'Total Value'!IE151/'Total Value'!$D151-1)</f>
        <v/>
      </c>
      <c r="IF55" s="14" t="str">
        <f ca="1">IF(IF$1="","",'Total Value'!IF151/'Total Value'!$D151-1)</f>
        <v/>
      </c>
      <c r="IG55" s="14" t="str">
        <f ca="1">IF(IG$1="","",'Total Value'!IG151/'Total Value'!$D151-1)</f>
        <v/>
      </c>
      <c r="IH55" s="14" t="str">
        <f ca="1">IF(IH$1="","",'Total Value'!IH151/'Total Value'!$D151-1)</f>
        <v/>
      </c>
      <c r="II55" s="14" t="str">
        <f ca="1">IF(II$1="","",'Total Value'!II151/'Total Value'!$D151-1)</f>
        <v/>
      </c>
      <c r="IJ55" s="14" t="str">
        <f ca="1">IF(IJ$1="","",'Total Value'!IJ151/'Total Value'!$D151-1)</f>
        <v/>
      </c>
      <c r="IK55" s="14" t="str">
        <f ca="1">IF(IK$1="","",'Total Value'!IK151/'Total Value'!$D151-1)</f>
        <v/>
      </c>
      <c r="IL55" s="14" t="str">
        <f ca="1">IF(IL$1="","",'Total Value'!IL151/'Total Value'!$D151-1)</f>
        <v/>
      </c>
      <c r="IM55" s="14" t="str">
        <f ca="1">IF(IM$1="","",'Total Value'!IM151/'Total Value'!$D151-1)</f>
        <v/>
      </c>
      <c r="IN55" s="14" t="str">
        <f ca="1">IF(IN$1="","",'Total Value'!IN151/'Total Value'!$D151-1)</f>
        <v/>
      </c>
      <c r="IO55" s="14" t="str">
        <f ca="1">IF(IO$1="","",'Total Value'!IO151/'Total Value'!$D151-1)</f>
        <v/>
      </c>
      <c r="IP55" s="14" t="str">
        <f ca="1">IF(IP$1="","",'Total Value'!IP151/'Total Value'!$D151-1)</f>
        <v/>
      </c>
      <c r="IQ55" s="14" t="str">
        <f ca="1">IF(IQ$1="","",'Total Value'!IQ151/'Total Value'!$D151-1)</f>
        <v/>
      </c>
      <c r="IR55" s="14" t="str">
        <f ca="1">IF(IR$1="","",'Total Value'!IR151/'Total Value'!$D151-1)</f>
        <v/>
      </c>
      <c r="IS55" s="14" t="str">
        <f ca="1">IF(IS$1="","",'Total Value'!IS151/'Total Value'!$D151-1)</f>
        <v/>
      </c>
      <c r="IT55" s="14" t="str">
        <f ca="1">IF(IT$1="","",'Total Value'!IT151/'Total Value'!$D151-1)</f>
        <v/>
      </c>
      <c r="IU55" s="14" t="str">
        <f ca="1">IF(IU$1="","",'Total Value'!IU151/'Total Value'!$D151-1)</f>
        <v/>
      </c>
      <c r="IV55" s="14" t="str">
        <f ca="1">IF(IV$1="","",'Total Value'!IV151/'Total Value'!$D151-1)</f>
        <v/>
      </c>
      <c r="IW55" s="14" t="str">
        <f ca="1">IF(IW$1="","",'Total Value'!IW151/'Total Value'!$D151-1)</f>
        <v/>
      </c>
      <c r="IX55" s="14" t="str">
        <f ca="1">IF(IX$1="","",'Total Value'!IX151/'Total Value'!$D151-1)</f>
        <v/>
      </c>
      <c r="IY55" s="14" t="str">
        <f ca="1">IF(IY$1="","",'Total Value'!IY151/'Total Value'!$D151-1)</f>
        <v/>
      </c>
      <c r="IZ55" s="14" t="str">
        <f ca="1">IF(IZ$1="","",'Total Value'!IZ151/'Total Value'!$D151-1)</f>
        <v/>
      </c>
      <c r="JA55" s="14" t="str">
        <f ca="1">IF(JA$1="","",'Total Value'!JA151/'Total Value'!$D151-1)</f>
        <v/>
      </c>
      <c r="JB55" s="14" t="str">
        <f ca="1">IF(JB$1="","",'Total Value'!JB151/'Total Value'!$D151-1)</f>
        <v/>
      </c>
      <c r="JC55" s="14" t="str">
        <f ca="1">IF(JC$1="","",'Total Value'!JC151/'Total Value'!$D151-1)</f>
        <v/>
      </c>
      <c r="JD55" s="14" t="str">
        <f ca="1">IF(JD$1="","",'Total Value'!JD151/'Total Value'!$D151-1)</f>
        <v/>
      </c>
      <c r="JE55" s="14" t="str">
        <f ca="1">IF(JE$1="","",'Total Value'!JE151/'Total Value'!$D151-1)</f>
        <v/>
      </c>
      <c r="JF55" s="14" t="str">
        <f ca="1">IF(JF$1="","",'Total Value'!JF151/'Total Value'!$D151-1)</f>
        <v/>
      </c>
      <c r="JG55" s="14" t="str">
        <f ca="1">IF(JG$1="","",'Total Value'!JG151/'Total Value'!$D151-1)</f>
        <v/>
      </c>
      <c r="JH55" s="14" t="str">
        <f ca="1">IF(JH$1="","",'Total Value'!JH151/'Total Value'!$D151-1)</f>
        <v/>
      </c>
      <c r="JI55" s="14" t="str">
        <f ca="1">IF(JI$1="","",'Total Value'!JI151/'Total Value'!$D151-1)</f>
        <v/>
      </c>
      <c r="JJ55" s="14" t="str">
        <f ca="1">IF(JJ$1="","",'Total Value'!JJ151/'Total Value'!$D151-1)</f>
        <v/>
      </c>
      <c r="JK55" s="14" t="str">
        <f ca="1">IF(JK$1="","",'Total Value'!JK151/'Total Value'!$D151-1)</f>
        <v/>
      </c>
      <c r="JL55" s="14" t="str">
        <f ca="1">IF(JL$1="","",'Total Value'!JL151/'Total Value'!$D151-1)</f>
        <v/>
      </c>
      <c r="JM55" s="14" t="str">
        <f ca="1">IF(JM$1="","",'Total Value'!JM151/'Total Value'!$D151-1)</f>
        <v/>
      </c>
      <c r="JN55" s="14" t="str">
        <f ca="1">IF(JN$1="","",'Total Value'!JN151/'Total Value'!$D151-1)</f>
        <v/>
      </c>
      <c r="JO55" s="14" t="str">
        <f ca="1">IF(JO$1="","",'Total Value'!JO151/'Total Value'!$D151-1)</f>
        <v/>
      </c>
      <c r="JP55" s="14" t="str">
        <f ca="1">IF(JP$1="","",'Total Value'!JP151/'Total Value'!$D151-1)</f>
        <v/>
      </c>
      <c r="JQ55" s="14" t="str">
        <f ca="1">IF(JQ$1="","",'Total Value'!JQ151/'Total Value'!$D151-1)</f>
        <v/>
      </c>
      <c r="JR55" s="14" t="str">
        <f ca="1">IF(JR$1="","",'Total Value'!JR151/'Total Value'!$D151-1)</f>
        <v/>
      </c>
      <c r="JS55" s="14" t="str">
        <f ca="1">IF(JS$1="","",'Total Value'!JS151/'Total Value'!$D151-1)</f>
        <v/>
      </c>
      <c r="JT55" s="14" t="str">
        <f ca="1">IF(JT$1="","",'Total Value'!JT151/'Total Value'!$D151-1)</f>
        <v/>
      </c>
      <c r="JU55" s="14" t="str">
        <f ca="1">IF(JU$1="","",'Total Value'!JU151/'Total Value'!$D151-1)</f>
        <v/>
      </c>
      <c r="JV55" s="14" t="str">
        <f ca="1">IF(JV$1="","",'Total Value'!JV151/'Total Value'!$D151-1)</f>
        <v/>
      </c>
      <c r="JW55" s="14" t="str">
        <f ca="1">IF(JW$1="","",'Total Value'!JW151/'Total Value'!$D151-1)</f>
        <v/>
      </c>
      <c r="JX55" s="14" t="str">
        <f ca="1">IF(JX$1="","",'Total Value'!JX151/'Total Value'!$D151-1)</f>
        <v/>
      </c>
      <c r="JY55" s="14" t="str">
        <f ca="1">IF(JY$1="","",'Total Value'!JY151/'Total Value'!$D151-1)</f>
        <v/>
      </c>
      <c r="JZ55" s="14" t="str">
        <f ca="1">IF(JZ$1="","",'Total Value'!JZ151/'Total Value'!$D151-1)</f>
        <v/>
      </c>
      <c r="KA55" s="14" t="str">
        <f ca="1">IF(KA$1="","",'Total Value'!KA151/'Total Value'!$D151-1)</f>
        <v/>
      </c>
      <c r="KB55" s="14" t="str">
        <f ca="1">IF(KB$1="","",'Total Value'!KB151/'Total Value'!$D151-1)</f>
        <v/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KB55"/>
  <sheetViews>
    <sheetView topLeftCell="A25" workbookViewId="0">
      <selection activeCell="A52" sqref="A52:CE55"/>
    </sheetView>
  </sheetViews>
  <sheetFormatPr baseColWidth="10" defaultColWidth="12.6640625" defaultRowHeight="15.75" customHeight="1"/>
  <cols>
    <col min="1" max="1" width="22.6640625" customWidth="1"/>
  </cols>
  <sheetData>
    <row r="1" spans="1:288">
      <c r="A1" s="19" t="s">
        <v>45</v>
      </c>
      <c r="B1" s="19" t="s">
        <v>93</v>
      </c>
      <c r="C1" s="19" t="s">
        <v>98</v>
      </c>
      <c r="D1" s="38">
        <v>44571</v>
      </c>
      <c r="E1" s="38">
        <f ca="1">IF(History!I2="","",History!I2)</f>
        <v>44572.666666666599</v>
      </c>
      <c r="F1" s="38">
        <f ca="1">IF(History!J2="","",History!J2)</f>
        <v>44573.666666666599</v>
      </c>
      <c r="G1" s="38">
        <f ca="1">IF(History!K2="","",History!K2)</f>
        <v>44574.666666666599</v>
      </c>
      <c r="H1" s="38">
        <f ca="1">IF(History!L2="","",History!L2)</f>
        <v>44575.666666666599</v>
      </c>
      <c r="I1" s="38">
        <f ca="1">IF(History!M2="","",History!M2)</f>
        <v>44579.666666666599</v>
      </c>
      <c r="J1" s="38">
        <f ca="1">IF(History!N2="","",History!N2)</f>
        <v>44580.666666666599</v>
      </c>
      <c r="K1" s="38">
        <f ca="1">IF(History!O2="","",History!O2)</f>
        <v>44581.666666666599</v>
      </c>
      <c r="L1" s="38">
        <f ca="1">IF(History!P2="","",History!P2)</f>
        <v>44582.666666666599</v>
      </c>
      <c r="M1" s="38">
        <f ca="1">IF(History!Q2="","",History!Q2)</f>
        <v>44585.666666666599</v>
      </c>
      <c r="N1" s="38">
        <f ca="1">IF(History!R2="","",History!R2)</f>
        <v>44586.666666666599</v>
      </c>
      <c r="O1" s="38">
        <f ca="1">IF(History!S2="","",History!S2)</f>
        <v>44587.666666666599</v>
      </c>
      <c r="P1" s="38">
        <f ca="1">IF(History!T2="","",History!T2)</f>
        <v>44588.666666666599</v>
      </c>
      <c r="Q1" s="38">
        <f ca="1">IF(History!U2="","",History!U2)</f>
        <v>44589.666666666599</v>
      </c>
      <c r="R1" s="38">
        <f ca="1">IF(History!V2="","",History!V2)</f>
        <v>44592.666666666599</v>
      </c>
      <c r="S1" s="38">
        <f ca="1">IF(History!W2="","",History!W2)</f>
        <v>44593.666666666599</v>
      </c>
      <c r="T1" s="38">
        <f ca="1">IF(History!X2="","",History!X2)</f>
        <v>44594.666666666599</v>
      </c>
      <c r="U1" s="38">
        <f ca="1">IF(History!Y2="","",History!Y2)</f>
        <v>44595.666666666599</v>
      </c>
      <c r="V1" s="38">
        <f ca="1">IF(History!Z2="","",History!Z2)</f>
        <v>44596.666666666599</v>
      </c>
      <c r="W1" s="38">
        <f ca="1">IF(History!AA2="","",History!AA2)</f>
        <v>44599.666666666599</v>
      </c>
      <c r="X1" s="38">
        <f ca="1">IF(History!AB2="","",History!AB2)</f>
        <v>44600.666666666599</v>
      </c>
      <c r="Y1" s="38">
        <f ca="1">IF(History!AC2="","",History!AC2)</f>
        <v>44601.666666666599</v>
      </c>
      <c r="Z1" s="38">
        <f ca="1">IF(History!AD2="","",History!AD2)</f>
        <v>44602.666666666599</v>
      </c>
      <c r="AA1" s="38">
        <f ca="1">IF(History!AE2="","",History!AE2)</f>
        <v>44603.666666666599</v>
      </c>
      <c r="AB1" s="38">
        <f ca="1">IF(History!AF2="","",History!AF2)</f>
        <v>44606.666666666599</v>
      </c>
      <c r="AC1" s="38">
        <f ca="1">IF(History!AG2="","",History!AG2)</f>
        <v>44607.666666666599</v>
      </c>
      <c r="AD1" s="38">
        <f ca="1">IF(History!AH2="","",History!AH2)</f>
        <v>44608.666666666599</v>
      </c>
      <c r="AE1" s="38">
        <f ca="1">IF(History!AI2="","",History!AI2)</f>
        <v>44609.666666666599</v>
      </c>
      <c r="AF1" s="38">
        <f ca="1">IF(History!AJ2="","",History!AJ2)</f>
        <v>44610.666666666599</v>
      </c>
      <c r="AG1" s="38">
        <f ca="1">IF(History!AK2="","",History!AK2)</f>
        <v>44614.666666666599</v>
      </c>
      <c r="AH1" s="38">
        <f ca="1">IF(History!AL2="","",History!AL2)</f>
        <v>44615.666666666599</v>
      </c>
      <c r="AI1" s="38">
        <f ca="1">IF(History!AM2="","",History!AM2)</f>
        <v>44616.666666666599</v>
      </c>
      <c r="AJ1" s="38">
        <f ca="1">IF(History!AN2="","",History!AN2)</f>
        <v>44617.666666666599</v>
      </c>
      <c r="AK1" s="38">
        <f ca="1">IF(History!AO2="","",History!AO2)</f>
        <v>44620.666666666599</v>
      </c>
      <c r="AL1" s="38">
        <f ca="1">IF(History!AP2="","",History!AP2)</f>
        <v>44621.666666666599</v>
      </c>
      <c r="AM1" s="38">
        <f ca="1">IF(History!AQ2="","",History!AQ2)</f>
        <v>44622.666666666599</v>
      </c>
      <c r="AN1" s="38">
        <f ca="1">IF(History!AR2="","",History!AR2)</f>
        <v>44623.666666666599</v>
      </c>
      <c r="AO1" s="38">
        <f ca="1">IF(History!AS2="","",History!AS2)</f>
        <v>44624.666666666599</v>
      </c>
      <c r="AP1" s="38">
        <f ca="1">IF(History!AT2="","",History!AT2)</f>
        <v>44627.666666666599</v>
      </c>
      <c r="AQ1" s="38">
        <f ca="1">IF(History!AU2="","",History!AU2)</f>
        <v>44628.666666666599</v>
      </c>
      <c r="AR1" s="38">
        <f ca="1">IF(History!AV2="","",History!AV2)</f>
        <v>44629.666666666599</v>
      </c>
      <c r="AS1" s="38">
        <f ca="1">IF(History!AW2="","",History!AW2)</f>
        <v>44630.666666666599</v>
      </c>
      <c r="AT1" s="38">
        <f ca="1">IF(History!AX2="","",History!AX2)</f>
        <v>44631.666666666599</v>
      </c>
      <c r="AU1" s="38">
        <f ca="1">IF(History!AY2="","",History!AY2)</f>
        <v>44634.666666666599</v>
      </c>
      <c r="AV1" s="38">
        <f ca="1">IF(History!AZ2="","",History!AZ2)</f>
        <v>44635.666666666599</v>
      </c>
      <c r="AW1" s="38">
        <f ca="1">IF(History!BA2="","",History!BA2)</f>
        <v>44636.666666666599</v>
      </c>
      <c r="AX1" s="38">
        <f ca="1">IF(History!BB2="","",History!BB2)</f>
        <v>44637.666666666599</v>
      </c>
      <c r="AY1" s="38">
        <f ca="1">IF(History!BC2="","",History!BC2)</f>
        <v>44638.666666666599</v>
      </c>
      <c r="AZ1" s="38">
        <f ca="1">IF(History!BD2="","",History!BD2)</f>
        <v>44641.666666666599</v>
      </c>
      <c r="BA1" s="38">
        <f ca="1">IF(History!BE2="","",History!BE2)</f>
        <v>44642.666666666599</v>
      </c>
      <c r="BB1" s="38">
        <f ca="1">IF(History!BF2="","",History!BF2)</f>
        <v>44643.666666666599</v>
      </c>
      <c r="BC1" s="38">
        <f ca="1">IF(History!BG2="","",History!BG2)</f>
        <v>44644.666666666599</v>
      </c>
      <c r="BD1" s="38">
        <f ca="1">IF(History!BH2="","",History!BH2)</f>
        <v>44645.666666666599</v>
      </c>
      <c r="BE1" s="38">
        <f ca="1">IF(History!BI2="","",History!BI2)</f>
        <v>44648.666666666599</v>
      </c>
      <c r="BF1" s="38">
        <f ca="1">IF(History!BJ2="","",History!BJ2)</f>
        <v>44649.666666666599</v>
      </c>
      <c r="BG1" s="38">
        <f ca="1">IF(History!BK2="","",History!BK2)</f>
        <v>44650.666666666599</v>
      </c>
      <c r="BH1" s="38">
        <f ca="1">IF(History!BL2="","",History!BL2)</f>
        <v>44651.666666666599</v>
      </c>
      <c r="BI1" s="38">
        <f ca="1">IF(History!BM2="","",History!BM2)</f>
        <v>44652.666666666599</v>
      </c>
      <c r="BJ1" s="38">
        <f ca="1">IF(History!BN2="","",History!BN2)</f>
        <v>44655.666666666599</v>
      </c>
      <c r="BK1" s="38">
        <f ca="1">IF(History!BO2="","",History!BO2)</f>
        <v>44656.666666666599</v>
      </c>
      <c r="BL1" s="38">
        <f ca="1">IF(History!BP2="","",History!BP2)</f>
        <v>44657.666666666599</v>
      </c>
      <c r="BM1" s="38">
        <f ca="1">IF(History!BQ2="","",History!BQ2)</f>
        <v>44658.666666666599</v>
      </c>
      <c r="BN1" s="38">
        <f ca="1">IF(History!BR2="","",History!BR2)</f>
        <v>44659.666666666599</v>
      </c>
      <c r="BO1" s="38">
        <f ca="1">IF(History!BS2="","",History!BS2)</f>
        <v>44662.666666666599</v>
      </c>
      <c r="BP1" s="38">
        <f ca="1">IF(History!BT2="","",History!BT2)</f>
        <v>44663.666666666599</v>
      </c>
      <c r="BQ1" s="38">
        <f ca="1">IF(History!BU2="","",History!BU2)</f>
        <v>44664.666666666599</v>
      </c>
      <c r="BR1" s="38">
        <f ca="1">IF(History!BV2="","",History!BV2)</f>
        <v>44665.666666666599</v>
      </c>
      <c r="BS1" s="38">
        <f ca="1">IF(History!BW2="","",History!BW2)</f>
        <v>44669.666666666599</v>
      </c>
      <c r="BT1" s="38">
        <f ca="1">IF(History!BX2="","",History!BX2)</f>
        <v>44670.666666666599</v>
      </c>
      <c r="BU1" s="38">
        <f ca="1">IF(History!BY2="","",History!BY2)</f>
        <v>44671.666666666599</v>
      </c>
      <c r="BV1" s="38">
        <f ca="1">IF(History!BZ2="","",History!BZ2)</f>
        <v>44672.666666666599</v>
      </c>
      <c r="BW1" s="38">
        <f ca="1">IF(History!CA2="","",History!CA2)</f>
        <v>44673.666666666599</v>
      </c>
      <c r="BX1" s="38">
        <f ca="1">IF(History!CB2="","",History!CB2)</f>
        <v>44676.666666666599</v>
      </c>
      <c r="BY1" s="38">
        <f ca="1">IF(History!CC2="","",History!CC2)</f>
        <v>44677.666666666599</v>
      </c>
      <c r="BZ1" s="38">
        <f ca="1">IF(History!CD2="","",History!CD2)</f>
        <v>44678.666666666599</v>
      </c>
      <c r="CA1" s="38">
        <f ca="1">IF(History!CE2="","",History!CE2)</f>
        <v>44679.666666666599</v>
      </c>
      <c r="CB1" s="38">
        <f ca="1">IF(History!CF2="","",History!CF2)</f>
        <v>44680.666666666599</v>
      </c>
      <c r="CC1" s="38">
        <f ca="1">IF(History!CG2="","",History!CG2)</f>
        <v>44683.666666666599</v>
      </c>
      <c r="CD1" s="38">
        <f ca="1">IF(History!CH2="","",History!CH2)</f>
        <v>44684.666666666599</v>
      </c>
      <c r="CE1" s="38">
        <f ca="1">IF(History!CI2="","",History!CI2)</f>
        <v>44685.666666666599</v>
      </c>
      <c r="CF1" s="38" t="str">
        <f ca="1">IF(History!CJ2="","",History!CJ2)</f>
        <v/>
      </c>
      <c r="CG1" s="38" t="str">
        <f ca="1">IF(History!CK2="","",History!CK2)</f>
        <v/>
      </c>
      <c r="CH1" s="38" t="str">
        <f ca="1">IF(History!CL2="","",History!CL2)</f>
        <v/>
      </c>
      <c r="CI1" s="38" t="str">
        <f ca="1">IF(History!CM2="","",History!CM2)</f>
        <v/>
      </c>
      <c r="CJ1" s="38" t="str">
        <f ca="1">IF(History!CN2="","",History!CN2)</f>
        <v/>
      </c>
      <c r="CK1" s="38" t="str">
        <f ca="1">IF(History!CO2="","",History!CO2)</f>
        <v/>
      </c>
      <c r="CL1" s="38" t="str">
        <f ca="1">IF(History!CP2="","",History!CP2)</f>
        <v/>
      </c>
      <c r="CM1" s="38" t="str">
        <f ca="1">IF(History!CQ2="","",History!CQ2)</f>
        <v/>
      </c>
      <c r="CN1" s="38" t="str">
        <f ca="1">IF(History!CR2="","",History!CR2)</f>
        <v/>
      </c>
      <c r="CO1" s="38" t="str">
        <f ca="1">IF(History!CS2="","",History!CS2)</f>
        <v/>
      </c>
      <c r="CP1" s="38" t="str">
        <f ca="1">IF(History!CT2="","",History!CT2)</f>
        <v/>
      </c>
      <c r="CQ1" s="38" t="str">
        <f ca="1">IF(History!CU2="","",History!CU2)</f>
        <v/>
      </c>
      <c r="CR1" s="38" t="str">
        <f ca="1">IF(History!CV2="","",History!CV2)</f>
        <v/>
      </c>
      <c r="CS1" s="38" t="str">
        <f ca="1">IF(History!CW2="","",History!CW2)</f>
        <v/>
      </c>
      <c r="CT1" s="38" t="str">
        <f ca="1">IF(History!CX2="","",History!CX2)</f>
        <v/>
      </c>
      <c r="CU1" s="38" t="str">
        <f ca="1">IF(History!CY2="","",History!CY2)</f>
        <v/>
      </c>
      <c r="CV1" s="38" t="str">
        <f ca="1">IF(History!CZ2="","",History!CZ2)</f>
        <v/>
      </c>
      <c r="CW1" s="38" t="str">
        <f ca="1">IF(History!DA2="","",History!DA2)</f>
        <v/>
      </c>
      <c r="CX1" s="38" t="str">
        <f ca="1">IF(History!DB2="","",History!DB2)</f>
        <v/>
      </c>
      <c r="CY1" s="38" t="str">
        <f ca="1">IF(History!DC2="","",History!DC2)</f>
        <v/>
      </c>
      <c r="CZ1" s="38" t="str">
        <f ca="1">IF(History!DD2="","",History!DD2)</f>
        <v/>
      </c>
      <c r="DA1" s="38" t="str">
        <f ca="1">IF(History!DE2="","",History!DE2)</f>
        <v/>
      </c>
      <c r="DB1" s="38" t="str">
        <f ca="1">IF(History!DF2="","",History!DF2)</f>
        <v/>
      </c>
      <c r="DC1" s="38" t="str">
        <f ca="1">IF(History!DG2="","",History!DG2)</f>
        <v/>
      </c>
      <c r="DD1" s="38" t="str">
        <f ca="1">IF(History!DH2="","",History!DH2)</f>
        <v/>
      </c>
      <c r="DE1" s="38" t="str">
        <f ca="1">IF(History!DI2="","",History!DI2)</f>
        <v/>
      </c>
      <c r="DF1" s="38" t="str">
        <f ca="1">IF(History!DJ2="","",History!DJ2)</f>
        <v/>
      </c>
      <c r="DG1" s="38" t="str">
        <f ca="1">IF(History!DK2="","",History!DK2)</f>
        <v/>
      </c>
      <c r="DH1" s="38" t="str">
        <f ca="1">IF(History!DL2="","",History!DL2)</f>
        <v/>
      </c>
      <c r="DI1" s="38" t="str">
        <f ca="1">IF(History!DM2="","",History!DM2)</f>
        <v/>
      </c>
      <c r="DJ1" s="38" t="str">
        <f ca="1">IF(History!DN2="","",History!DN2)</f>
        <v/>
      </c>
      <c r="DK1" s="38" t="str">
        <f ca="1">IF(History!DO2="","",History!DO2)</f>
        <v/>
      </c>
      <c r="DL1" s="38" t="str">
        <f ca="1">IF(History!DP2="","",History!DP2)</f>
        <v/>
      </c>
      <c r="DM1" s="38" t="str">
        <f ca="1">IF(History!DQ2="","",History!DQ2)</f>
        <v/>
      </c>
      <c r="DN1" s="38" t="str">
        <f ca="1">IF(History!DR2="","",History!DR2)</f>
        <v/>
      </c>
      <c r="DO1" s="38" t="str">
        <f ca="1">IF(History!DS2="","",History!DS2)</f>
        <v/>
      </c>
      <c r="DP1" s="38" t="str">
        <f ca="1">IF(History!DT2="","",History!DT2)</f>
        <v/>
      </c>
      <c r="DQ1" s="38" t="str">
        <f ca="1">IF(History!DU2="","",History!DU2)</f>
        <v/>
      </c>
      <c r="DR1" s="38" t="str">
        <f ca="1">IF(History!DV2="","",History!DV2)</f>
        <v/>
      </c>
      <c r="DS1" s="38" t="str">
        <f ca="1">IF(History!DW2="","",History!DW2)</f>
        <v/>
      </c>
      <c r="DT1" s="38" t="str">
        <f ca="1">IF(History!DX2="","",History!DX2)</f>
        <v/>
      </c>
      <c r="DU1" s="38" t="str">
        <f ca="1">IF(History!DY2="","",History!DY2)</f>
        <v/>
      </c>
      <c r="DV1" s="38" t="str">
        <f ca="1">IF(History!DZ2="","",History!DZ2)</f>
        <v/>
      </c>
      <c r="DW1" s="38" t="str">
        <f ca="1">IF(History!EA2="","",History!EA2)</f>
        <v/>
      </c>
      <c r="DX1" s="38" t="str">
        <f ca="1">IF(History!EB2="","",History!EB2)</f>
        <v/>
      </c>
      <c r="DY1" s="38" t="str">
        <f ca="1">IF(History!EC2="","",History!EC2)</f>
        <v/>
      </c>
      <c r="DZ1" s="38" t="str">
        <f ca="1">IF(History!ED2="","",History!ED2)</f>
        <v/>
      </c>
      <c r="EA1" s="38" t="str">
        <f ca="1">IF(History!EE2="","",History!EE2)</f>
        <v/>
      </c>
      <c r="EB1" s="38" t="str">
        <f ca="1">IF(History!EF2="","",History!EF2)</f>
        <v/>
      </c>
      <c r="EC1" s="38" t="str">
        <f ca="1">IF(History!EG2="","",History!EG2)</f>
        <v/>
      </c>
      <c r="ED1" s="38" t="str">
        <f ca="1">IF(History!EH2="","",History!EH2)</f>
        <v/>
      </c>
      <c r="EE1" s="38" t="str">
        <f ca="1">IF(History!EI2="","",History!EI2)</f>
        <v/>
      </c>
      <c r="EF1" s="38" t="str">
        <f ca="1">IF(History!EJ2="","",History!EJ2)</f>
        <v/>
      </c>
      <c r="EG1" s="38" t="str">
        <f ca="1">IF(History!EK2="","",History!EK2)</f>
        <v/>
      </c>
      <c r="EH1" s="38" t="str">
        <f ca="1">IF(History!EL2="","",History!EL2)</f>
        <v/>
      </c>
      <c r="EI1" s="38" t="str">
        <f ca="1">IF(History!EM2="","",History!EM2)</f>
        <v/>
      </c>
      <c r="EJ1" s="38" t="str">
        <f ca="1">IF(History!EN2="","",History!EN2)</f>
        <v/>
      </c>
      <c r="EK1" s="38" t="str">
        <f ca="1">IF(History!EO2="","",History!EO2)</f>
        <v/>
      </c>
      <c r="EL1" s="38" t="str">
        <f ca="1">IF(History!EP2="","",History!EP2)</f>
        <v/>
      </c>
      <c r="EM1" s="38" t="str">
        <f ca="1">IF(History!EQ2="","",History!EQ2)</f>
        <v/>
      </c>
      <c r="EN1" s="38" t="str">
        <f ca="1">IF(History!ER2="","",History!ER2)</f>
        <v/>
      </c>
      <c r="EO1" s="38" t="str">
        <f ca="1">IF(History!ES2="","",History!ES2)</f>
        <v/>
      </c>
      <c r="EP1" s="38" t="str">
        <f ca="1">IF(History!ET2="","",History!ET2)</f>
        <v/>
      </c>
      <c r="EQ1" s="38" t="str">
        <f ca="1">IF(History!EU2="","",History!EU2)</f>
        <v/>
      </c>
      <c r="ER1" s="38" t="str">
        <f ca="1">IF(History!EV2="","",History!EV2)</f>
        <v/>
      </c>
      <c r="ES1" s="38" t="str">
        <f ca="1">IF(History!EW2="","",History!EW2)</f>
        <v/>
      </c>
      <c r="ET1" s="38" t="str">
        <f ca="1">IF(History!EX2="","",History!EX2)</f>
        <v/>
      </c>
      <c r="EU1" s="38" t="str">
        <f ca="1">IF(History!EY2="","",History!EY2)</f>
        <v/>
      </c>
      <c r="EV1" s="38" t="str">
        <f ca="1">IF(History!EZ2="","",History!EZ2)</f>
        <v/>
      </c>
      <c r="EW1" s="38" t="str">
        <f ca="1">IF(History!FA2="","",History!FA2)</f>
        <v/>
      </c>
      <c r="EX1" s="38" t="str">
        <f ca="1">IF(History!FB2="","",History!FB2)</f>
        <v/>
      </c>
      <c r="EY1" s="38" t="str">
        <f ca="1">IF(History!FC2="","",History!FC2)</f>
        <v/>
      </c>
      <c r="EZ1" s="38" t="str">
        <f ca="1">IF(History!FD2="","",History!FD2)</f>
        <v/>
      </c>
      <c r="FA1" s="38" t="str">
        <f ca="1">IF(History!FE2="","",History!FE2)</f>
        <v/>
      </c>
      <c r="FB1" s="38" t="str">
        <f ca="1">IF(History!FF2="","",History!FF2)</f>
        <v/>
      </c>
      <c r="FC1" s="38" t="str">
        <f ca="1">IF(History!FG2="","",History!FG2)</f>
        <v/>
      </c>
      <c r="FD1" s="38" t="str">
        <f ca="1">IF(History!FH2="","",History!FH2)</f>
        <v/>
      </c>
      <c r="FE1" s="38" t="str">
        <f ca="1">IF(History!FI2="","",History!FI2)</f>
        <v/>
      </c>
      <c r="FF1" s="38" t="str">
        <f ca="1">IF(History!FJ2="","",History!FJ2)</f>
        <v/>
      </c>
      <c r="FG1" s="38" t="str">
        <f ca="1">IF(History!FK2="","",History!FK2)</f>
        <v/>
      </c>
      <c r="FH1" s="38" t="str">
        <f ca="1">IF(History!FL2="","",History!FL2)</f>
        <v/>
      </c>
      <c r="FI1" s="38" t="str">
        <f ca="1">IF(History!FM2="","",History!FM2)</f>
        <v/>
      </c>
      <c r="FJ1" s="38" t="str">
        <f ca="1">IF(History!FN2="","",History!FN2)</f>
        <v/>
      </c>
      <c r="FK1" s="38" t="str">
        <f ca="1">IF(History!FO2="","",History!FO2)</f>
        <v/>
      </c>
      <c r="FL1" s="38" t="str">
        <f ca="1">IF(History!FP2="","",History!FP2)</f>
        <v/>
      </c>
      <c r="FM1" s="38" t="str">
        <f ca="1">IF(History!FQ2="","",History!FQ2)</f>
        <v/>
      </c>
      <c r="FN1" s="38" t="str">
        <f ca="1">IF(History!FR2="","",History!FR2)</f>
        <v/>
      </c>
      <c r="FO1" s="38" t="str">
        <f ca="1">IF(History!FS2="","",History!FS2)</f>
        <v/>
      </c>
      <c r="FP1" s="38" t="str">
        <f ca="1">IF(History!FT2="","",History!FT2)</f>
        <v/>
      </c>
      <c r="FQ1" s="38" t="str">
        <f ca="1">IF(History!FU2="","",History!FU2)</f>
        <v/>
      </c>
      <c r="FR1" s="38" t="str">
        <f ca="1">IF(History!FV2="","",History!FV2)</f>
        <v/>
      </c>
      <c r="FS1" s="38" t="str">
        <f ca="1">IF(History!FW2="","",History!FW2)</f>
        <v/>
      </c>
      <c r="FT1" s="38" t="str">
        <f ca="1">IF(History!FX2="","",History!FX2)</f>
        <v/>
      </c>
      <c r="FU1" s="38" t="str">
        <f ca="1">IF(History!FY2="","",History!FY2)</f>
        <v/>
      </c>
      <c r="FV1" s="38" t="str">
        <f ca="1">IF(History!FZ2="","",History!FZ2)</f>
        <v/>
      </c>
      <c r="FW1" s="38" t="str">
        <f ca="1">IF(History!GA2="","",History!GA2)</f>
        <v/>
      </c>
      <c r="FX1" s="38" t="str">
        <f ca="1">IF(History!GB2="","",History!GB2)</f>
        <v/>
      </c>
      <c r="FY1" s="38" t="str">
        <f ca="1">IF(History!GC2="","",History!GC2)</f>
        <v/>
      </c>
      <c r="FZ1" s="38" t="str">
        <f ca="1">IF(History!GD2="","",History!GD2)</f>
        <v/>
      </c>
      <c r="GA1" s="38" t="str">
        <f ca="1">IF(History!GE2="","",History!GE2)</f>
        <v/>
      </c>
      <c r="GB1" s="38" t="str">
        <f ca="1">IF(History!GF2="","",History!GF2)</f>
        <v/>
      </c>
      <c r="GC1" s="38" t="str">
        <f ca="1">IF(History!GG2="","",History!GG2)</f>
        <v/>
      </c>
      <c r="GD1" s="38" t="str">
        <f ca="1">IF(History!GH2="","",History!GH2)</f>
        <v/>
      </c>
      <c r="GE1" s="38" t="str">
        <f ca="1">IF(History!GI2="","",History!GI2)</f>
        <v/>
      </c>
      <c r="GF1" s="38" t="str">
        <f ca="1">IF(History!GJ2="","",History!GJ2)</f>
        <v/>
      </c>
      <c r="GG1" s="38" t="str">
        <f ca="1">IF(History!GK2="","",History!GK2)</f>
        <v/>
      </c>
      <c r="GH1" s="38" t="str">
        <f ca="1">IF(History!GL2="","",History!GL2)</f>
        <v/>
      </c>
      <c r="GI1" s="38" t="str">
        <f ca="1">IF(History!GM2="","",History!GM2)</f>
        <v/>
      </c>
      <c r="GJ1" s="38" t="str">
        <f ca="1">IF(History!GN2="","",History!GN2)</f>
        <v/>
      </c>
      <c r="GK1" s="38" t="str">
        <f ca="1">IF(History!GO2="","",History!GO2)</f>
        <v/>
      </c>
      <c r="GL1" s="38" t="str">
        <f ca="1">IF(History!GP2="","",History!GP2)</f>
        <v/>
      </c>
      <c r="GM1" s="38" t="str">
        <f ca="1">IF(History!GQ2="","",History!GQ2)</f>
        <v/>
      </c>
      <c r="GN1" s="38" t="str">
        <f ca="1">IF(History!GR2="","",History!GR2)</f>
        <v/>
      </c>
      <c r="GO1" s="38" t="str">
        <f ca="1">IF(History!GS2="","",History!GS2)</f>
        <v/>
      </c>
      <c r="GP1" s="38" t="str">
        <f ca="1">IF(History!GT2="","",History!GT2)</f>
        <v/>
      </c>
      <c r="GQ1" s="38" t="str">
        <f ca="1">IF(History!GU2="","",History!GU2)</f>
        <v/>
      </c>
      <c r="GR1" s="38" t="str">
        <f ca="1">IF(History!GV2="","",History!GV2)</f>
        <v/>
      </c>
      <c r="GS1" s="38" t="str">
        <f ca="1">IF(History!GW2="","",History!GW2)</f>
        <v/>
      </c>
      <c r="GT1" s="38" t="str">
        <f ca="1">IF(History!GX2="","",History!GX2)</f>
        <v/>
      </c>
      <c r="GU1" s="38" t="str">
        <f ca="1">IF(History!GY2="","",History!GY2)</f>
        <v/>
      </c>
      <c r="GV1" s="38" t="str">
        <f ca="1">IF(History!GZ2="","",History!GZ2)</f>
        <v/>
      </c>
      <c r="GW1" s="38" t="str">
        <f ca="1">IF(History!HA2="","",History!HA2)</f>
        <v/>
      </c>
      <c r="GX1" s="38" t="str">
        <f ca="1">IF(History!HB2="","",History!HB2)</f>
        <v/>
      </c>
      <c r="GY1" s="38" t="str">
        <f ca="1">IF(History!HC2="","",History!HC2)</f>
        <v/>
      </c>
      <c r="GZ1" s="38" t="str">
        <f ca="1">IF(History!HD2="","",History!HD2)</f>
        <v/>
      </c>
      <c r="HA1" s="38" t="str">
        <f ca="1">IF(History!HE2="","",History!HE2)</f>
        <v/>
      </c>
      <c r="HB1" s="38" t="str">
        <f ca="1">IF(History!HF2="","",History!HF2)</f>
        <v/>
      </c>
      <c r="HC1" s="38" t="str">
        <f ca="1">IF(History!HG2="","",History!HG2)</f>
        <v/>
      </c>
      <c r="HD1" s="38" t="str">
        <f ca="1">IF(History!HH2="","",History!HH2)</f>
        <v/>
      </c>
      <c r="HE1" s="38" t="str">
        <f ca="1">IF(History!HI2="","",History!HI2)</f>
        <v/>
      </c>
      <c r="HF1" s="38" t="str">
        <f ca="1">IF(History!HJ2="","",History!HJ2)</f>
        <v/>
      </c>
      <c r="HG1" s="38" t="str">
        <f ca="1">IF(History!HK2="","",History!HK2)</f>
        <v/>
      </c>
      <c r="HH1" s="38" t="str">
        <f ca="1">IF(History!HL2="","",History!HL2)</f>
        <v/>
      </c>
      <c r="HI1" s="38" t="str">
        <f ca="1">IF(History!HM2="","",History!HM2)</f>
        <v/>
      </c>
      <c r="HJ1" s="38" t="str">
        <f ca="1">IF(History!HN2="","",History!HN2)</f>
        <v/>
      </c>
      <c r="HK1" s="38" t="str">
        <f ca="1">IF(History!HO2="","",History!HO2)</f>
        <v/>
      </c>
      <c r="HL1" s="38" t="str">
        <f ca="1">IF(History!HP2="","",History!HP2)</f>
        <v/>
      </c>
      <c r="HM1" s="38" t="str">
        <f ca="1">IF(History!HQ2="","",History!HQ2)</f>
        <v/>
      </c>
      <c r="HN1" s="38" t="str">
        <f ca="1">IF(History!HR2="","",History!HR2)</f>
        <v/>
      </c>
      <c r="HO1" s="38" t="str">
        <f ca="1">IF(History!HS2="","",History!HS2)</f>
        <v/>
      </c>
      <c r="HP1" s="38" t="str">
        <f ca="1">IF(History!HT2="","",History!HT2)</f>
        <v/>
      </c>
      <c r="HQ1" s="38" t="str">
        <f ca="1">IF(History!HU2="","",History!HU2)</f>
        <v/>
      </c>
      <c r="HR1" s="38" t="str">
        <f ca="1">IF(History!HV2="","",History!HV2)</f>
        <v/>
      </c>
      <c r="HS1" s="38" t="str">
        <f ca="1">IF(History!HW2="","",History!HW2)</f>
        <v/>
      </c>
      <c r="HT1" s="38" t="str">
        <f ca="1">IF(History!HX2="","",History!HX2)</f>
        <v/>
      </c>
      <c r="HU1" s="38" t="str">
        <f ca="1">IF(History!HY2="","",History!HY2)</f>
        <v/>
      </c>
      <c r="HV1" s="38" t="str">
        <f ca="1">IF(History!HZ2="","",History!HZ2)</f>
        <v/>
      </c>
      <c r="HW1" s="38" t="str">
        <f ca="1">IF(History!IA2="","",History!IA2)</f>
        <v/>
      </c>
      <c r="HX1" s="38" t="str">
        <f ca="1">IF(History!IB2="","",History!IB2)</f>
        <v/>
      </c>
      <c r="HY1" s="38" t="str">
        <f ca="1">IF(History!IC2="","",History!IC2)</f>
        <v/>
      </c>
      <c r="HZ1" s="38" t="str">
        <f ca="1">IF(History!ID2="","",History!ID2)</f>
        <v/>
      </c>
      <c r="IA1" s="38" t="str">
        <f ca="1">IF(History!IE2="","",History!IE2)</f>
        <v/>
      </c>
      <c r="IB1" s="38" t="str">
        <f ca="1">IF(History!IF2="","",History!IF2)</f>
        <v/>
      </c>
      <c r="IC1" s="38" t="str">
        <f ca="1">IF(History!IG2="","",History!IG2)</f>
        <v/>
      </c>
      <c r="ID1" s="38" t="str">
        <f ca="1">IF(History!IH2="","",History!IH2)</f>
        <v/>
      </c>
      <c r="IE1" s="38" t="str">
        <f ca="1">IF(History!II2="","",History!II2)</f>
        <v/>
      </c>
      <c r="IF1" s="38" t="str">
        <f ca="1">IF(History!IJ2="","",History!IJ2)</f>
        <v/>
      </c>
      <c r="IG1" s="38" t="str">
        <f ca="1">IF(History!IK2="","",History!IK2)</f>
        <v/>
      </c>
      <c r="IH1" s="38" t="str">
        <f ca="1">IF(History!IL2="","",History!IL2)</f>
        <v/>
      </c>
      <c r="II1" s="38" t="str">
        <f ca="1">IF(History!IM2="","",History!IM2)</f>
        <v/>
      </c>
      <c r="IJ1" s="38" t="str">
        <f ca="1">IF(History!IN2="","",History!IN2)</f>
        <v/>
      </c>
      <c r="IK1" s="38" t="str">
        <f ca="1">IF(History!IO2="","",History!IO2)</f>
        <v/>
      </c>
      <c r="IL1" s="38" t="str">
        <f ca="1">IF(History!IP2="","",History!IP2)</f>
        <v/>
      </c>
      <c r="IM1" s="38" t="str">
        <f ca="1">IF(History!IQ2="","",History!IQ2)</f>
        <v/>
      </c>
      <c r="IN1" s="38" t="str">
        <f ca="1">IF(History!IR2="","",History!IR2)</f>
        <v/>
      </c>
      <c r="IO1" s="38" t="str">
        <f ca="1">IF(History!IS2="","",History!IS2)</f>
        <v/>
      </c>
      <c r="IP1" s="38" t="str">
        <f ca="1">IF(History!IT2="","",History!IT2)</f>
        <v/>
      </c>
      <c r="IQ1" s="38" t="str">
        <f ca="1">IF(History!IU2="","",History!IU2)</f>
        <v/>
      </c>
      <c r="IR1" s="38" t="str">
        <f ca="1">IF(History!IV2="","",History!IV2)</f>
        <v/>
      </c>
      <c r="IS1" s="38" t="str">
        <f ca="1">IF(History!IW2="","",History!IW2)</f>
        <v/>
      </c>
      <c r="IT1" s="38" t="str">
        <f ca="1">IF(History!IX2="","",History!IX2)</f>
        <v/>
      </c>
      <c r="IU1" s="38" t="str">
        <f ca="1">IF(History!IY2="","",History!IY2)</f>
        <v/>
      </c>
      <c r="IV1" s="38" t="str">
        <f ca="1">IF(History!IZ2="","",History!IZ2)</f>
        <v/>
      </c>
      <c r="IW1" s="38" t="str">
        <f ca="1">IF(History!JA2="","",History!JA2)</f>
        <v/>
      </c>
      <c r="IX1" s="38" t="str">
        <f ca="1">IF(History!JB2="","",History!JB2)</f>
        <v/>
      </c>
      <c r="IY1" s="38" t="str">
        <f ca="1">IF(History!JC2="","",History!JC2)</f>
        <v/>
      </c>
      <c r="IZ1" s="38" t="str">
        <f ca="1">IF(History!JD2="","",History!JD2)</f>
        <v/>
      </c>
      <c r="JA1" s="38" t="str">
        <f ca="1">IF(History!JE2="","",History!JE2)</f>
        <v/>
      </c>
      <c r="JB1" s="38" t="str">
        <f ca="1">IF(History!JF2="","",History!JF2)</f>
        <v/>
      </c>
      <c r="JC1" s="38" t="str">
        <f ca="1">IF(History!JG2="","",History!JG2)</f>
        <v/>
      </c>
      <c r="JD1" s="38" t="str">
        <f ca="1">IF(History!JH2="","",History!JH2)</f>
        <v/>
      </c>
      <c r="JE1" s="38" t="str">
        <f ca="1">IF(History!JI2="","",History!JI2)</f>
        <v/>
      </c>
      <c r="JF1" s="38" t="str">
        <f ca="1">IF(History!JJ2="","",History!JJ2)</f>
        <v/>
      </c>
      <c r="JG1" s="38" t="str">
        <f ca="1">IF(History!JK2="","",History!JK2)</f>
        <v/>
      </c>
      <c r="JH1" s="38" t="str">
        <f ca="1">IF(History!JL2="","",History!JL2)</f>
        <v/>
      </c>
      <c r="JI1" s="38" t="str">
        <f ca="1">IF(History!JM2="","",History!JM2)</f>
        <v/>
      </c>
      <c r="JJ1" s="38" t="str">
        <f ca="1">IF(History!JN2="","",History!JN2)</f>
        <v/>
      </c>
      <c r="JK1" s="38" t="str">
        <f ca="1">IF(History!JO2="","",History!JO2)</f>
        <v/>
      </c>
      <c r="JL1" s="38" t="str">
        <f ca="1">IF(History!JP2="","",History!JP2)</f>
        <v/>
      </c>
      <c r="JM1" s="38" t="str">
        <f ca="1">IF(History!JQ2="","",History!JQ2)</f>
        <v/>
      </c>
      <c r="JN1" s="38" t="str">
        <f ca="1">IF(History!JR2="","",History!JR2)</f>
        <v/>
      </c>
      <c r="JO1" s="38" t="str">
        <f ca="1">IF(History!JS2="","",History!JS2)</f>
        <v/>
      </c>
      <c r="JP1" s="38" t="str">
        <f ca="1">IF(History!JT2="","",History!JT2)</f>
        <v/>
      </c>
      <c r="JQ1" s="38" t="str">
        <f ca="1">IF(History!JU2="","",History!JU2)</f>
        <v/>
      </c>
      <c r="JR1" s="38" t="str">
        <f ca="1">IF(History!JV2="","",History!JV2)</f>
        <v/>
      </c>
      <c r="JS1" s="38" t="str">
        <f ca="1">IF(History!JW2="","",History!JW2)</f>
        <v/>
      </c>
      <c r="JT1" s="38" t="str">
        <f ca="1">IF(History!JX2="","",History!JX2)</f>
        <v/>
      </c>
      <c r="JU1" s="38" t="str">
        <f ca="1">IF(History!JY2="","",History!JY2)</f>
        <v/>
      </c>
      <c r="JV1" s="38" t="str">
        <f ca="1">IF(History!JZ2="","",History!JZ2)</f>
        <v/>
      </c>
      <c r="JW1" s="38" t="str">
        <f ca="1">IF(History!KA2="","",History!KA2)</f>
        <v/>
      </c>
      <c r="JX1" s="38" t="str">
        <f ca="1">IF(History!KB2="","",History!KB2)</f>
        <v/>
      </c>
      <c r="JY1" s="38" t="str">
        <f ca="1">IF(History!KC2="","",History!KC2)</f>
        <v/>
      </c>
      <c r="JZ1" s="38" t="str">
        <f ca="1">IF(History!KD2="","",History!KD2)</f>
        <v/>
      </c>
      <c r="KA1" s="38" t="str">
        <f ca="1">IF(History!KE2="","",History!KE2)</f>
        <v/>
      </c>
      <c r="KB1" s="38" t="str">
        <f ca="1">IF(History!KF2="","",History!KF2)</f>
        <v/>
      </c>
    </row>
    <row r="2" spans="1:288" ht="15.75" customHeight="1">
      <c r="A2" s="22" t="s">
        <v>30</v>
      </c>
      <c r="B2" s="6" t="s">
        <v>47</v>
      </c>
      <c r="C2" s="26">
        <v>1202</v>
      </c>
      <c r="D2" s="13">
        <v>0</v>
      </c>
      <c r="E2" s="14">
        <f ca="1">IF(E$1="","",'Total Value'!E14/'Total Value'!D14-1)</f>
        <v>1.6356201726487996E-2</v>
      </c>
      <c r="F2" s="14">
        <f ca="1">IF(F$1="","",'Total Value'!F14/'Total Value'!E14-1)</f>
        <v>2.5331545224258623E-3</v>
      </c>
      <c r="G2" s="14">
        <f ca="1">IF(G$1="","",'Total Value'!G14/'Total Value'!F14-1)</f>
        <v>7.4316290130795881E-3</v>
      </c>
      <c r="H2" s="14">
        <f ca="1">IF(H$1="","",'Total Value'!H14/'Total Value'!G14-1)</f>
        <v>-1.2540572440247644E-2</v>
      </c>
      <c r="I2" s="14">
        <f ca="1">IF(I$1="","",'Total Value'!I14/'Total Value'!H14-1)</f>
        <v>-2.4353802480203468E-2</v>
      </c>
      <c r="J2" s="14">
        <f ca="1">IF(J$1="","",'Total Value'!J14/'Total Value'!I14-1)</f>
        <v>-1.6232771822358272E-2</v>
      </c>
      <c r="K2" s="14">
        <f ca="1">IF(K$1="","",'Total Value'!K14/'Total Value'!J14-1)</f>
        <v>3.4246575342467001E-3</v>
      </c>
      <c r="L2" s="14">
        <f ca="1">IF(L$1="","",'Total Value'!L14/'Total Value'!K14-1)</f>
        <v>-1.8461061123177025E-2</v>
      </c>
      <c r="M2" s="14">
        <f ca="1">IF(M$1="","",'Total Value'!M14/'Total Value'!L14-1)</f>
        <v>-9.009009009009028E-3</v>
      </c>
      <c r="N2" s="14">
        <f ca="1">IF(N$1="","",'Total Value'!N14/'Total Value'!M14-1)</f>
        <v>2.248803827751189E-2</v>
      </c>
      <c r="O2" s="14">
        <f ca="1">IF(O$1="","",'Total Value'!O14/'Total Value'!N14-1)</f>
        <v>9.9828419903291721E-3</v>
      </c>
      <c r="P2" s="14">
        <f ca="1">IF(P$1="","",'Total Value'!P14/'Total Value'!O14-1)</f>
        <v>-9.2664092664092035E-3</v>
      </c>
      <c r="Q2" s="14">
        <f ca="1">IF(Q$1="","",'Total Value'!Q14/'Total Value'!P14-1)</f>
        <v>8.4177708495711823E-3</v>
      </c>
      <c r="R2" s="14">
        <f ca="1">IF(R$1="","",'Total Value'!R14/'Total Value'!Q14-1)</f>
        <v>6.6470861029528372E-3</v>
      </c>
      <c r="S2" s="14">
        <f ca="1">IF(S$1="","",'Total Value'!S14/'Total Value'!R14-1)</f>
        <v>2.2113022113022129E-2</v>
      </c>
      <c r="T2" s="14">
        <f ca="1">IF(T$1="","",'Total Value'!T14/'Total Value'!S14-1)</f>
        <v>-4.9579326923077094E-3</v>
      </c>
      <c r="U2" s="14">
        <f ca="1">IF(U$1="","",'Total Value'!U14/'Total Value'!T14-1)</f>
        <v>-1.4645930847048239E-2</v>
      </c>
      <c r="V2" s="14">
        <f ca="1">IF(V$1="","",'Total Value'!V14/'Total Value'!U14-1)</f>
        <v>1.2565124118908866E-2</v>
      </c>
      <c r="W2" s="14">
        <f ca="1">IF(W$1="","",'Total Value'!W14/'Total Value'!V14-1)</f>
        <v>4.237288135593209E-3</v>
      </c>
      <c r="X2" s="14">
        <f ca="1">IF(X$1="","",'Total Value'!X14/'Total Value'!W14-1)</f>
        <v>1.1452682338758402E-2</v>
      </c>
      <c r="Y2" s="14">
        <f ca="1">IF(Y$1="","",'Total Value'!Y14/'Total Value'!X14-1)</f>
        <v>1.0727056019070424E-2</v>
      </c>
      <c r="Z2" s="14">
        <f ca="1">IF(Z$1="","",'Total Value'!Z14/'Total Value'!Y14-1)</f>
        <v>-5.0117924528302327E-3</v>
      </c>
      <c r="AA2" s="14">
        <f ca="1">IF(AA$1="","",'Total Value'!AA14/'Total Value'!Z14-1)</f>
        <v>-5.1851851851851816E-3</v>
      </c>
      <c r="AB2" s="14">
        <f ca="1">IF(AB$1="","",'Total Value'!AB14/'Total Value'!AA14-1)</f>
        <v>-1.0275502606105769E-2</v>
      </c>
      <c r="AC2" s="14">
        <f ca="1">IF(AC$1="","",'Total Value'!AC14/'Total Value'!AB14-1)</f>
        <v>8.1251880830575107E-3</v>
      </c>
      <c r="AD2" s="14">
        <f ca="1">IF(AD$1="","",'Total Value'!AD14/'Total Value'!AC14-1)</f>
        <v>-7.4626865671634235E-4</v>
      </c>
      <c r="AE2" s="14">
        <f ca="1">IF(AE$1="","",'Total Value'!AE14/'Total Value'!AD14-1)</f>
        <v>-3.3457804331590846E-2</v>
      </c>
      <c r="AF2" s="14">
        <f ca="1">IF(AF$1="","",'Total Value'!AF14/'Total Value'!AE14-1)</f>
        <v>-8.8085303662494008E-3</v>
      </c>
      <c r="AG2" s="14">
        <f ca="1">IF(AG$1="","",'Total Value'!AG14/'Total Value'!AF14-1)</f>
        <v>-3.8977237293420508E-3</v>
      </c>
      <c r="AH2" s="14">
        <f ca="1">IF(AH$1="","",'Total Value'!AH14/'Total Value'!AG14-1)</f>
        <v>-1.0486774143058319E-2</v>
      </c>
      <c r="AI2" s="14">
        <f ca="1">IF(AI$1="","",'Total Value'!AI14/'Total Value'!AH14-1)</f>
        <v>-4.0335336918696729E-2</v>
      </c>
      <c r="AJ2" s="14">
        <f ca="1">IF(AJ$1="","",'Total Value'!AJ14/'Total Value'!AI14-1)</f>
        <v>2.1592220207680812E-2</v>
      </c>
      <c r="AK2" s="14">
        <f ca="1">IF(AK$1="","",'Total Value'!AK14/'Total Value'!AJ14-1)</f>
        <v>-4.4369151339141655E-2</v>
      </c>
      <c r="AL2" s="14">
        <f ca="1">IF(AL$1="","",'Total Value'!AL14/'Total Value'!AK14-1)</f>
        <v>-1.0805335134222327E-2</v>
      </c>
      <c r="AM2" s="14">
        <f ca="1">IF(AM$1="","",'Total Value'!AM14/'Total Value'!AL14-1)</f>
        <v>1.6555726233145718E-2</v>
      </c>
      <c r="AN2" s="14">
        <f ca="1">IF(AN$1="","",'Total Value'!AN14/'Total Value'!AM14-1)</f>
        <v>-3.257219610476858E-2</v>
      </c>
      <c r="AO2" s="14">
        <f ca="1">IF(AO$1="","",'Total Value'!AO14/'Total Value'!AN14-1)</f>
        <v>-1.7875737591113938E-2</v>
      </c>
      <c r="AP2" s="14">
        <f ca="1">IF(AP$1="","",'Total Value'!AP14/'Total Value'!AO14-1)</f>
        <v>-1.8377805265948233E-2</v>
      </c>
      <c r="AQ2" s="14">
        <f ca="1">IF(AQ$1="","",'Total Value'!AQ14/'Total Value'!AP14-1)</f>
        <v>-1.2241224122412242E-2</v>
      </c>
      <c r="AR2" s="14">
        <f ca="1">IF(AR$1="","",'Total Value'!AR14/'Total Value'!AQ14-1)</f>
        <v>1.9682886823401136E-2</v>
      </c>
      <c r="AS2" s="14">
        <f ca="1">IF(AS$1="","",'Total Value'!AS14/'Total Value'!AR14-1)</f>
        <v>-1.9124218051831954E-2</v>
      </c>
      <c r="AT2" s="14">
        <f ca="1">IF(AT$1="","",'Total Value'!AT14/'Total Value'!AS14-1)</f>
        <v>-1.3119533527697014E-2</v>
      </c>
      <c r="AU2" s="14">
        <f ca="1">IF(AU$1="","",'Total Value'!AU14/'Total Value'!AT14-1)</f>
        <v>1.2924667651403876E-3</v>
      </c>
      <c r="AV2" s="14">
        <f ca="1">IF(AV$1="","",'Total Value'!AV14/'Total Value'!AU14-1)</f>
        <v>1.6227180527383478E-2</v>
      </c>
      <c r="AW2" s="14">
        <f ca="1">IF(AW$1="","",'Total Value'!AW14/'Total Value'!AV14-1)</f>
        <v>3.0665940845581385E-2</v>
      </c>
      <c r="AX2" s="14">
        <f ca="1">IF(AX$1="","",'Total Value'!AX14/'Total Value'!AW14-1)</f>
        <v>8.62676056338052E-3</v>
      </c>
      <c r="AY2" s="14">
        <f ca="1">IF(AY$1="","",'Total Value'!AY14/'Total Value'!AX14-1)</f>
        <v>1.0473031942745958E-3</v>
      </c>
      <c r="AZ2" s="14">
        <f ca="1">IF(AZ$1="","",'Total Value'!AZ14/'Total Value'!AY14-1)</f>
        <v>-6.4516129032259339E-3</v>
      </c>
      <c r="BA2" s="14">
        <f ca="1">IF(BA$1="","",'Total Value'!BA14/'Total Value'!AZ14-1)</f>
        <v>9.1260091260092491E-3</v>
      </c>
      <c r="BB2" s="14">
        <f ca="1">IF(BB$1="","",'Total Value'!BB14/'Total Value'!BA14-1)</f>
        <v>-2.0000000000000018E-2</v>
      </c>
      <c r="BC2" s="14">
        <f ca="1">IF(BC$1="","",'Total Value'!BC14/'Total Value'!BB14-1)</f>
        <v>1.242236024844745E-3</v>
      </c>
      <c r="BD2" s="14">
        <f ca="1">IF(BD$1="","",'Total Value'!BD14/'Total Value'!BC14-1)</f>
        <v>5.6717476072314366E-3</v>
      </c>
      <c r="BE2" s="14">
        <f ca="1">IF(BE$1="","",'Total Value'!BE14/'Total Value'!BD14-1)</f>
        <v>-1.4451885794853681E-2</v>
      </c>
      <c r="BF2" s="14">
        <f ca="1">IF(BF$1="","",'Total Value'!BF14/'Total Value'!BE14-1)</f>
        <v>9.8354792560801929E-3</v>
      </c>
      <c r="BG2" s="14">
        <f ca="1">IF(BG$1="","",'Total Value'!BG14/'Total Value'!BF14-1)</f>
        <v>-2.6562776695590595E-2</v>
      </c>
      <c r="BH2" s="14">
        <f ca="1">IF(BH$1="","",'Total Value'!BH14/'Total Value'!BG14-1)</f>
        <v>-2.8561033290885995E-2</v>
      </c>
      <c r="BI2" s="14">
        <f ca="1">IF(BI$1="","",'Total Value'!BI14/'Total Value'!BH14-1)</f>
        <v>-2.003745318352057E-2</v>
      </c>
      <c r="BJ2" s="14">
        <f ca="1">IF(BJ$1="","",'Total Value'!BJ14/'Total Value'!BI14-1)</f>
        <v>8.9814637875025305E-3</v>
      </c>
      <c r="BK2" s="14">
        <f ca="1">IF(BK$1="","",'Total Value'!BK14/'Total Value'!BJ14-1)</f>
        <v>-2.3106060606060685E-2</v>
      </c>
      <c r="BL2" s="14">
        <f ca="1">IF(BL$1="","",'Total Value'!BL14/'Total Value'!BK14-1)</f>
        <v>-2.0356727413726072E-2</v>
      </c>
      <c r="BM2" s="14">
        <f ca="1">IF(BM$1="","",'Total Value'!BM14/'Total Value'!BL14-1)</f>
        <v>-9.8951118147635464E-3</v>
      </c>
      <c r="BN2" s="14">
        <f ca="1">IF(BN$1="","",'Total Value'!BN14/'Total Value'!BM14-1)</f>
        <v>1.6989806116330053E-2</v>
      </c>
      <c r="BO2" s="14">
        <f ca="1">IF(BO$1="","",'Total Value'!BO14/'Total Value'!BN14-1)</f>
        <v>-6.4858490566038762E-3</v>
      </c>
      <c r="BP2" s="14">
        <f ca="1">IF(BP$1="","",'Total Value'!BP14/'Total Value'!BO14-1)</f>
        <v>-4.1543026706230002E-3</v>
      </c>
      <c r="BQ2" s="14">
        <f ca="1">IF(BQ$1="","",'Total Value'!BQ14/'Total Value'!BP14-1)</f>
        <v>-3.7743345252286842E-3</v>
      </c>
      <c r="BR2" s="14">
        <f ca="1">IF(BR$1="","",'Total Value'!BR14/'Total Value'!BQ14-1)</f>
        <v>1.555333998005981E-2</v>
      </c>
      <c r="BS2" s="14">
        <f ca="1">IF(BS$1="","",'Total Value'!BS14/'Total Value'!BR14-1)</f>
        <v>2.7096014137050872E-2</v>
      </c>
      <c r="BT2" s="14">
        <f ca="1">IF(BT$1="","",'Total Value'!BT14/'Total Value'!BS14-1)</f>
        <v>1.1661250238960141E-2</v>
      </c>
      <c r="BU2" s="14">
        <f ca="1">IF(BU$1="","",'Total Value'!BU14/'Total Value'!BT14-1)</f>
        <v>3.4013605442178019E-3</v>
      </c>
      <c r="BV2" s="14">
        <f ca="1">IF(BV$1="","",'Total Value'!BV14/'Total Value'!BU14-1)</f>
        <v>-8.8512241054614638E-3</v>
      </c>
      <c r="BW2" s="14">
        <f ca="1">IF(BW$1="","",'Total Value'!BW14/'Total Value'!BV14-1)</f>
        <v>-2.6600798023940775E-2</v>
      </c>
      <c r="BX2" s="14">
        <f ca="1">IF(BX$1="","",'Total Value'!BX14/'Total Value'!BW14-1)</f>
        <v>-1.9519812609798404E-3</v>
      </c>
      <c r="BY2" s="14">
        <f ca="1">IF(BY$1="","",'Total Value'!BY14/'Total Value'!BX14-1)</f>
        <v>-1.7602190494817149E-2</v>
      </c>
      <c r="BZ2" s="14">
        <f ca="1">IF(BZ$1="","",'Total Value'!BZ14/'Total Value'!BY14-1)</f>
        <v>-1.2542305395182085E-2</v>
      </c>
      <c r="CA2" s="14">
        <f ca="1">IF(CA$1="","",'Total Value'!CA14/'Total Value'!BZ14-1)</f>
        <v>8.4677419354837191E-3</v>
      </c>
      <c r="CB2" s="14">
        <f ca="1">IF(CB$1="","",'Total Value'!CB14/'Total Value'!CA14-1)</f>
        <v>-3.6185525789684148E-2</v>
      </c>
      <c r="CC2" s="14">
        <f ca="1">IF(CC$1="","",'Total Value'!CC14/'Total Value'!CB14-1)</f>
        <v>1.0371292263015919E-2</v>
      </c>
      <c r="CD2" s="14">
        <f ca="1">IF(CD$1="","",'Total Value'!CD14/'Total Value'!CC14-1)</f>
        <v>2.8536234859371845E-2</v>
      </c>
      <c r="CE2" s="14">
        <f ca="1">IF(CE$1="","",'Total Value'!CE14/'Total Value'!CD14-1)</f>
        <v>4.2514970059880142E-2</v>
      </c>
      <c r="CF2" s="14" t="str">
        <f ca="1">IF(CF$1="","",'Total Value'!CF14/'Total Value'!CE14-1)</f>
        <v/>
      </c>
      <c r="CG2" s="14" t="str">
        <f ca="1">IF(CG$1="","",'Total Value'!CG14/'Total Value'!CF14-1)</f>
        <v/>
      </c>
      <c r="CH2" s="14" t="str">
        <f ca="1">IF(CH$1="","",'Total Value'!CH14/'Total Value'!CG14-1)</f>
        <v/>
      </c>
      <c r="CI2" s="14" t="str">
        <f ca="1">IF(CI$1="","",'Total Value'!CI14/'Total Value'!CH14-1)</f>
        <v/>
      </c>
      <c r="CJ2" s="14" t="str">
        <f ca="1">IF(CJ$1="","",'Total Value'!CJ14/'Total Value'!CI14-1)</f>
        <v/>
      </c>
      <c r="CK2" s="14" t="str">
        <f ca="1">IF(CK$1="","",'Total Value'!CK14/'Total Value'!CJ14-1)</f>
        <v/>
      </c>
      <c r="CL2" s="14" t="str">
        <f ca="1">IF(CL$1="","",'Total Value'!CL14/'Total Value'!CK14-1)</f>
        <v/>
      </c>
      <c r="CM2" s="14" t="str">
        <f ca="1">IF(CM$1="","",'Total Value'!CM14/'Total Value'!CL14-1)</f>
        <v/>
      </c>
      <c r="CN2" s="14" t="str">
        <f ca="1">IF(CN$1="","",'Total Value'!CN14/'Total Value'!CM14-1)</f>
        <v/>
      </c>
      <c r="CO2" s="14" t="str">
        <f ca="1">IF(CO$1="","",'Total Value'!CO14/'Total Value'!CN14-1)</f>
        <v/>
      </c>
      <c r="CP2" s="14" t="str">
        <f ca="1">IF(CP$1="","",'Total Value'!CP14/'Total Value'!CO14-1)</f>
        <v/>
      </c>
      <c r="CQ2" s="14" t="str">
        <f ca="1">IF(CQ$1="","",'Total Value'!CQ14/'Total Value'!CP14-1)</f>
        <v/>
      </c>
      <c r="CR2" s="14" t="str">
        <f ca="1">IF(CR$1="","",'Total Value'!CR14/'Total Value'!CQ14-1)</f>
        <v/>
      </c>
      <c r="CS2" s="14" t="str">
        <f ca="1">IF(CS$1="","",'Total Value'!CS14/'Total Value'!CR14-1)</f>
        <v/>
      </c>
      <c r="CT2" s="14" t="str">
        <f ca="1">IF(CT$1="","",'Total Value'!CT14/'Total Value'!CS14-1)</f>
        <v/>
      </c>
      <c r="CU2" s="14" t="str">
        <f ca="1">IF(CU$1="","",'Total Value'!CU14/'Total Value'!CT14-1)</f>
        <v/>
      </c>
      <c r="CV2" s="14" t="str">
        <f ca="1">IF(CV$1="","",'Total Value'!CV14/'Total Value'!CU14-1)</f>
        <v/>
      </c>
      <c r="CW2" s="14" t="str">
        <f ca="1">IF(CW$1="","",'Total Value'!CW14/'Total Value'!CV14-1)</f>
        <v/>
      </c>
      <c r="CX2" s="14" t="str">
        <f ca="1">IF(CX$1="","",'Total Value'!CX14/'Total Value'!CW14-1)</f>
        <v/>
      </c>
      <c r="CY2" s="14" t="str">
        <f ca="1">IF(CY$1="","",'Total Value'!CY14/'Total Value'!CX14-1)</f>
        <v/>
      </c>
      <c r="CZ2" s="14" t="str">
        <f ca="1">IF(CZ$1="","",'Total Value'!CZ14/'Total Value'!CY14-1)</f>
        <v/>
      </c>
      <c r="DA2" s="14" t="str">
        <f ca="1">IF(DA$1="","",'Total Value'!DA14/'Total Value'!CZ14-1)</f>
        <v/>
      </c>
      <c r="DB2" s="14" t="str">
        <f ca="1">IF(DB$1="","",'Total Value'!DB14/'Total Value'!DA14-1)</f>
        <v/>
      </c>
      <c r="DC2" s="14" t="str">
        <f ca="1">IF(DC$1="","",'Total Value'!DC14/'Total Value'!DB14-1)</f>
        <v/>
      </c>
      <c r="DD2" s="14" t="str">
        <f ca="1">IF(DD$1="","",'Total Value'!DD14/'Total Value'!DC14-1)</f>
        <v/>
      </c>
      <c r="DE2" s="14" t="str">
        <f ca="1">IF(DE$1="","",'Total Value'!DE14/'Total Value'!DD14-1)</f>
        <v/>
      </c>
      <c r="DF2" s="14" t="str">
        <f ca="1">IF(DF$1="","",'Total Value'!DF14/'Total Value'!DE14-1)</f>
        <v/>
      </c>
      <c r="DG2" s="14" t="str">
        <f ca="1">IF(DG$1="","",'Total Value'!DG14/'Total Value'!DF14-1)</f>
        <v/>
      </c>
      <c r="DH2" s="14" t="str">
        <f ca="1">IF(DH$1="","",'Total Value'!DH14/'Total Value'!DG14-1)</f>
        <v/>
      </c>
      <c r="DI2" s="14" t="str">
        <f ca="1">IF(DI$1="","",'Total Value'!DI14/'Total Value'!DH14-1)</f>
        <v/>
      </c>
      <c r="DJ2" s="14" t="str">
        <f ca="1">IF(DJ$1="","",'Total Value'!DJ14/'Total Value'!DI14-1)</f>
        <v/>
      </c>
      <c r="DK2" s="14" t="str">
        <f ca="1">IF(DK$1="","",'Total Value'!DK14/'Total Value'!DJ14-1)</f>
        <v/>
      </c>
      <c r="DL2" s="14" t="str">
        <f ca="1">IF(DL$1="","",'Total Value'!DL14/'Total Value'!DK14-1)</f>
        <v/>
      </c>
      <c r="DM2" s="14" t="str">
        <f ca="1">IF(DM$1="","",'Total Value'!DM14/'Total Value'!DL14-1)</f>
        <v/>
      </c>
      <c r="DN2" s="14" t="str">
        <f ca="1">IF(DN$1="","",'Total Value'!DN14/'Total Value'!DM14-1)</f>
        <v/>
      </c>
      <c r="DO2" s="14" t="str">
        <f ca="1">IF(DO$1="","",'Total Value'!DO14/'Total Value'!DN14-1)</f>
        <v/>
      </c>
      <c r="DP2" s="14" t="str">
        <f ca="1">IF(DP$1="","",'Total Value'!DP14/'Total Value'!DO14-1)</f>
        <v/>
      </c>
      <c r="DQ2" s="14" t="str">
        <f ca="1">IF(DQ$1="","",'Total Value'!DQ14/'Total Value'!DP14-1)</f>
        <v/>
      </c>
      <c r="DR2" s="14" t="str">
        <f ca="1">IF(DR$1="","",'Total Value'!DR14/'Total Value'!DQ14-1)</f>
        <v/>
      </c>
      <c r="DS2" s="14" t="str">
        <f ca="1">IF(DS$1="","",'Total Value'!DS14/'Total Value'!DR14-1)</f>
        <v/>
      </c>
      <c r="DT2" s="14" t="str">
        <f ca="1">IF(DT$1="","",'Total Value'!DT14/'Total Value'!DS14-1)</f>
        <v/>
      </c>
      <c r="DU2" s="14" t="str">
        <f ca="1">IF(DU$1="","",'Total Value'!DU14/'Total Value'!DT14-1)</f>
        <v/>
      </c>
      <c r="DV2" s="14" t="str">
        <f ca="1">IF(DV$1="","",'Total Value'!DV14/'Total Value'!DU14-1)</f>
        <v/>
      </c>
      <c r="DW2" s="14" t="str">
        <f ca="1">IF(DW$1="","",'Total Value'!DW14/'Total Value'!DV14-1)</f>
        <v/>
      </c>
      <c r="DX2" s="14" t="str">
        <f ca="1">IF(DX$1="","",'Total Value'!DX14/'Total Value'!DW14-1)</f>
        <v/>
      </c>
      <c r="DY2" s="14" t="str">
        <f ca="1">IF(DY$1="","",'Total Value'!DY14/'Total Value'!DX14-1)</f>
        <v/>
      </c>
      <c r="DZ2" s="14" t="str">
        <f ca="1">IF(DZ$1="","",'Total Value'!DZ14/'Total Value'!DY14-1)</f>
        <v/>
      </c>
      <c r="EA2" s="14" t="str">
        <f ca="1">IF(EA$1="","",'Total Value'!EA14/'Total Value'!DZ14-1)</f>
        <v/>
      </c>
      <c r="EB2" s="14" t="str">
        <f ca="1">IF(EB$1="","",'Total Value'!EB14/'Total Value'!EA14-1)</f>
        <v/>
      </c>
      <c r="EC2" s="14" t="str">
        <f ca="1">IF(EC$1="","",'Total Value'!EC14/'Total Value'!EB14-1)</f>
        <v/>
      </c>
      <c r="ED2" s="14" t="str">
        <f ca="1">IF(ED$1="","",'Total Value'!ED14/'Total Value'!EC14-1)</f>
        <v/>
      </c>
      <c r="EE2" s="14" t="str">
        <f ca="1">IF(EE$1="","",'Total Value'!EE14/'Total Value'!ED14-1)</f>
        <v/>
      </c>
      <c r="EF2" s="14" t="str">
        <f ca="1">IF(EF$1="","",'Total Value'!EF14/'Total Value'!EE14-1)</f>
        <v/>
      </c>
      <c r="EG2" s="14" t="str">
        <f ca="1">IF(EG$1="","",'Total Value'!EG14/'Total Value'!EF14-1)</f>
        <v/>
      </c>
      <c r="EH2" s="14" t="str">
        <f ca="1">IF(EH$1="","",'Total Value'!EH14/'Total Value'!EG14-1)</f>
        <v/>
      </c>
      <c r="EI2" s="14" t="str">
        <f ca="1">IF(EI$1="","",'Total Value'!EI14/'Total Value'!EH14-1)</f>
        <v/>
      </c>
      <c r="EJ2" s="14" t="str">
        <f ca="1">IF(EJ$1="","",'Total Value'!EJ14/'Total Value'!EI14-1)</f>
        <v/>
      </c>
      <c r="EK2" s="14" t="str">
        <f ca="1">IF(EK$1="","",'Total Value'!EK14/'Total Value'!EJ14-1)</f>
        <v/>
      </c>
      <c r="EL2" s="14" t="str">
        <f ca="1">IF(EL$1="","",'Total Value'!EL14/'Total Value'!EK14-1)</f>
        <v/>
      </c>
      <c r="EM2" s="14" t="str">
        <f ca="1">IF(EM$1="","",'Total Value'!EM14/'Total Value'!EL14-1)</f>
        <v/>
      </c>
      <c r="EN2" s="14" t="str">
        <f ca="1">IF(EN$1="","",'Total Value'!EN14/'Total Value'!EM14-1)</f>
        <v/>
      </c>
      <c r="EO2" s="14" t="str">
        <f ca="1">IF(EO$1="","",'Total Value'!EO14/'Total Value'!EN14-1)</f>
        <v/>
      </c>
      <c r="EP2" s="14" t="str">
        <f ca="1">IF(EP$1="","",'Total Value'!EP14/'Total Value'!EO14-1)</f>
        <v/>
      </c>
      <c r="EQ2" s="14" t="str">
        <f ca="1">IF(EQ$1="","",'Total Value'!EQ14/'Total Value'!EP14-1)</f>
        <v/>
      </c>
      <c r="ER2" s="14" t="str">
        <f ca="1">IF(ER$1="","",'Total Value'!ER14/'Total Value'!EQ14-1)</f>
        <v/>
      </c>
      <c r="ES2" s="14" t="str">
        <f ca="1">IF(ES$1="","",'Total Value'!ES14/'Total Value'!ER14-1)</f>
        <v/>
      </c>
      <c r="ET2" s="14" t="str">
        <f ca="1">IF(ET$1="","",'Total Value'!ET14/'Total Value'!ES14-1)</f>
        <v/>
      </c>
      <c r="EU2" s="14" t="str">
        <f ca="1">IF(EU$1="","",'Total Value'!EU14/'Total Value'!ET14-1)</f>
        <v/>
      </c>
      <c r="EV2" s="14" t="str">
        <f ca="1">IF(EV$1="","",'Total Value'!EV14/'Total Value'!EU14-1)</f>
        <v/>
      </c>
      <c r="EW2" s="14" t="str">
        <f ca="1">IF(EW$1="","",'Total Value'!EW14/'Total Value'!EV14-1)</f>
        <v/>
      </c>
      <c r="EX2" s="14" t="str">
        <f ca="1">IF(EX$1="","",'Total Value'!EX14/'Total Value'!EW14-1)</f>
        <v/>
      </c>
      <c r="EY2" s="14" t="str">
        <f ca="1">IF(EY$1="","",'Total Value'!EY14/'Total Value'!EX14-1)</f>
        <v/>
      </c>
      <c r="EZ2" s="14" t="str">
        <f ca="1">IF(EZ$1="","",'Total Value'!EZ14/'Total Value'!EY14-1)</f>
        <v/>
      </c>
      <c r="FA2" s="14" t="str">
        <f ca="1">IF(FA$1="","",'Total Value'!FA14/'Total Value'!EZ14-1)</f>
        <v/>
      </c>
      <c r="FB2" s="14" t="str">
        <f ca="1">IF(FB$1="","",'Total Value'!FB14/'Total Value'!FA14-1)</f>
        <v/>
      </c>
      <c r="FC2" s="14" t="str">
        <f ca="1">IF(FC$1="","",'Total Value'!FC14/'Total Value'!FB14-1)</f>
        <v/>
      </c>
      <c r="FD2" s="14" t="str">
        <f ca="1">IF(FD$1="","",'Total Value'!FD14/'Total Value'!FC14-1)</f>
        <v/>
      </c>
      <c r="FE2" s="14" t="str">
        <f ca="1">IF(FE$1="","",'Total Value'!FE14/'Total Value'!FD14-1)</f>
        <v/>
      </c>
      <c r="FF2" s="14" t="str">
        <f ca="1">IF(FF$1="","",'Total Value'!FF14/'Total Value'!FE14-1)</f>
        <v/>
      </c>
      <c r="FG2" s="14" t="str">
        <f ca="1">IF(FG$1="","",'Total Value'!FG14/'Total Value'!FF14-1)</f>
        <v/>
      </c>
      <c r="FH2" s="14" t="str">
        <f ca="1">IF(FH$1="","",'Total Value'!FH14/'Total Value'!FG14-1)</f>
        <v/>
      </c>
      <c r="FI2" s="14" t="str">
        <f ca="1">IF(FI$1="","",'Total Value'!FI14/'Total Value'!FH14-1)</f>
        <v/>
      </c>
      <c r="FJ2" s="14" t="str">
        <f ca="1">IF(FJ$1="","",'Total Value'!FJ14/'Total Value'!FI14-1)</f>
        <v/>
      </c>
      <c r="FK2" s="14" t="str">
        <f ca="1">IF(FK$1="","",'Total Value'!FK14/'Total Value'!FJ14-1)</f>
        <v/>
      </c>
      <c r="FL2" s="14" t="str">
        <f ca="1">IF(FL$1="","",'Total Value'!FL14/'Total Value'!FK14-1)</f>
        <v/>
      </c>
      <c r="FM2" s="14" t="str">
        <f ca="1">IF(FM$1="","",'Total Value'!FM14/'Total Value'!FL14-1)</f>
        <v/>
      </c>
      <c r="FN2" s="14" t="str">
        <f ca="1">IF(FN$1="","",'Total Value'!FN14/'Total Value'!FM14-1)</f>
        <v/>
      </c>
      <c r="FO2" s="14" t="str">
        <f ca="1">IF(FO$1="","",'Total Value'!FO14/'Total Value'!FN14-1)</f>
        <v/>
      </c>
      <c r="FP2" s="14" t="str">
        <f ca="1">IF(FP$1="","",'Total Value'!FP14/'Total Value'!FO14-1)</f>
        <v/>
      </c>
      <c r="FQ2" s="14" t="str">
        <f ca="1">IF(FQ$1="","",'Total Value'!FQ14/'Total Value'!FP14-1)</f>
        <v/>
      </c>
      <c r="FR2" s="14" t="str">
        <f ca="1">IF(FR$1="","",'Total Value'!FR14/'Total Value'!FQ14-1)</f>
        <v/>
      </c>
      <c r="FS2" s="14" t="str">
        <f ca="1">IF(FS$1="","",'Total Value'!FS14/'Total Value'!FR14-1)</f>
        <v/>
      </c>
      <c r="FT2" s="14" t="str">
        <f ca="1">IF(FT$1="","",'Total Value'!FT14/'Total Value'!FS14-1)</f>
        <v/>
      </c>
      <c r="FU2" s="14" t="str">
        <f ca="1">IF(FU$1="","",'Total Value'!FU14/'Total Value'!FT14-1)</f>
        <v/>
      </c>
      <c r="FV2" s="14" t="str">
        <f ca="1">IF(FV$1="","",'Total Value'!FV14/'Total Value'!FU14-1)</f>
        <v/>
      </c>
      <c r="FW2" s="14" t="str">
        <f ca="1">IF(FW$1="","",'Total Value'!FW14/'Total Value'!FV14-1)</f>
        <v/>
      </c>
      <c r="FX2" s="14" t="str">
        <f ca="1">IF(FX$1="","",'Total Value'!FX14/'Total Value'!FW14-1)</f>
        <v/>
      </c>
      <c r="FY2" s="14" t="str">
        <f ca="1">IF(FY$1="","",'Total Value'!FY14/'Total Value'!FX14-1)</f>
        <v/>
      </c>
      <c r="FZ2" s="14" t="str">
        <f ca="1">IF(FZ$1="","",'Total Value'!FZ14/'Total Value'!FY14-1)</f>
        <v/>
      </c>
      <c r="GA2" s="14" t="str">
        <f ca="1">IF(GA$1="","",'Total Value'!GA14/'Total Value'!FZ14-1)</f>
        <v/>
      </c>
      <c r="GB2" s="14" t="str">
        <f ca="1">IF(GB$1="","",'Total Value'!GB14/'Total Value'!GA14-1)</f>
        <v/>
      </c>
      <c r="GC2" s="14" t="str">
        <f ca="1">IF(GC$1="","",'Total Value'!GC14/'Total Value'!GB14-1)</f>
        <v/>
      </c>
      <c r="GD2" s="14" t="str">
        <f ca="1">IF(GD$1="","",'Total Value'!GD14/'Total Value'!GC14-1)</f>
        <v/>
      </c>
      <c r="GE2" s="14" t="str">
        <f ca="1">IF(GE$1="","",'Total Value'!GE14/'Total Value'!GD14-1)</f>
        <v/>
      </c>
      <c r="GF2" s="14" t="str">
        <f ca="1">IF(GF$1="","",'Total Value'!GF14/'Total Value'!GE14-1)</f>
        <v/>
      </c>
      <c r="GG2" s="14" t="str">
        <f ca="1">IF(GG$1="","",'Total Value'!GG14/'Total Value'!GF14-1)</f>
        <v/>
      </c>
      <c r="GH2" s="14" t="str">
        <f ca="1">IF(GH$1="","",'Total Value'!GH14/'Total Value'!GG14-1)</f>
        <v/>
      </c>
      <c r="GI2" s="14" t="str">
        <f ca="1">IF(GI$1="","",'Total Value'!GI14/'Total Value'!GH14-1)</f>
        <v/>
      </c>
      <c r="GJ2" s="14" t="str">
        <f ca="1">IF(GJ$1="","",'Total Value'!GJ14/'Total Value'!GI14-1)</f>
        <v/>
      </c>
      <c r="GK2" s="14" t="str">
        <f ca="1">IF(GK$1="","",'Total Value'!GK14/'Total Value'!GJ14-1)</f>
        <v/>
      </c>
      <c r="GL2" s="14" t="str">
        <f ca="1">IF(GL$1="","",'Total Value'!GL14/'Total Value'!GK14-1)</f>
        <v/>
      </c>
      <c r="GM2" s="14" t="str">
        <f ca="1">IF(GM$1="","",'Total Value'!GM14/'Total Value'!GL14-1)</f>
        <v/>
      </c>
      <c r="GN2" s="14" t="str">
        <f ca="1">IF(GN$1="","",'Total Value'!GN14/'Total Value'!GM14-1)</f>
        <v/>
      </c>
      <c r="GO2" s="14" t="str">
        <f ca="1">IF(GO$1="","",'Total Value'!GO14/'Total Value'!GN14-1)</f>
        <v/>
      </c>
      <c r="GP2" s="14" t="str">
        <f ca="1">IF(GP$1="","",'Total Value'!GP14/'Total Value'!GO14-1)</f>
        <v/>
      </c>
      <c r="GQ2" s="14" t="str">
        <f ca="1">IF(GQ$1="","",'Total Value'!GQ14/'Total Value'!GP14-1)</f>
        <v/>
      </c>
      <c r="GR2" s="14" t="str">
        <f ca="1">IF(GR$1="","",'Total Value'!GR14/'Total Value'!GQ14-1)</f>
        <v/>
      </c>
      <c r="GS2" s="14" t="str">
        <f ca="1">IF(GS$1="","",'Total Value'!GS14/'Total Value'!GR14-1)</f>
        <v/>
      </c>
      <c r="GT2" s="14" t="str">
        <f ca="1">IF(GT$1="","",'Total Value'!GT14/'Total Value'!GS14-1)</f>
        <v/>
      </c>
      <c r="GU2" s="14" t="str">
        <f ca="1">IF(GU$1="","",'Total Value'!GU14/'Total Value'!GT14-1)</f>
        <v/>
      </c>
      <c r="GV2" s="14" t="str">
        <f ca="1">IF(GV$1="","",'Total Value'!GV14/'Total Value'!GU14-1)</f>
        <v/>
      </c>
      <c r="GW2" s="14" t="str">
        <f ca="1">IF(GW$1="","",'Total Value'!GW14/'Total Value'!GV14-1)</f>
        <v/>
      </c>
      <c r="GX2" s="14" t="str">
        <f ca="1">IF(GX$1="","",'Total Value'!GX14/'Total Value'!GW14-1)</f>
        <v/>
      </c>
      <c r="GY2" s="14" t="str">
        <f ca="1">IF(GY$1="","",'Total Value'!GY14/'Total Value'!GX14-1)</f>
        <v/>
      </c>
      <c r="GZ2" s="14" t="str">
        <f ca="1">IF(GZ$1="","",'Total Value'!GZ14/'Total Value'!GY14-1)</f>
        <v/>
      </c>
      <c r="HA2" s="14" t="str">
        <f ca="1">IF(HA$1="","",'Total Value'!HA14/'Total Value'!GZ14-1)</f>
        <v/>
      </c>
      <c r="HB2" s="14" t="str">
        <f ca="1">IF(HB$1="","",'Total Value'!HB14/'Total Value'!HA14-1)</f>
        <v/>
      </c>
      <c r="HC2" s="14" t="str">
        <f ca="1">IF(HC$1="","",'Total Value'!HC14/'Total Value'!HB14-1)</f>
        <v/>
      </c>
      <c r="HD2" s="14" t="str">
        <f ca="1">IF(HD$1="","",'Total Value'!HD14/'Total Value'!HC14-1)</f>
        <v/>
      </c>
      <c r="HE2" s="14" t="str">
        <f ca="1">IF(HE$1="","",'Total Value'!HE14/'Total Value'!HD14-1)</f>
        <v/>
      </c>
      <c r="HF2" s="14" t="str">
        <f ca="1">IF(HF$1="","",'Total Value'!HF14/'Total Value'!HE14-1)</f>
        <v/>
      </c>
      <c r="HG2" s="14" t="str">
        <f ca="1">IF(HG$1="","",'Total Value'!HG14/'Total Value'!HF14-1)</f>
        <v/>
      </c>
      <c r="HH2" s="14" t="str">
        <f ca="1">IF(HH$1="","",'Total Value'!HH14/'Total Value'!HG14-1)</f>
        <v/>
      </c>
      <c r="HI2" s="14" t="str">
        <f ca="1">IF(HI$1="","",'Total Value'!HI14/'Total Value'!HH14-1)</f>
        <v/>
      </c>
      <c r="HJ2" s="14" t="str">
        <f ca="1">IF(HJ$1="","",'Total Value'!HJ14/'Total Value'!HI14-1)</f>
        <v/>
      </c>
      <c r="HK2" s="14" t="str">
        <f ca="1">IF(HK$1="","",'Total Value'!HK14/'Total Value'!HJ14-1)</f>
        <v/>
      </c>
      <c r="HL2" s="14" t="str">
        <f ca="1">IF(HL$1="","",'Total Value'!HL14/'Total Value'!HK14-1)</f>
        <v/>
      </c>
      <c r="HM2" s="14" t="str">
        <f ca="1">IF(HM$1="","",'Total Value'!HM14/'Total Value'!HL14-1)</f>
        <v/>
      </c>
      <c r="HN2" s="14" t="str">
        <f ca="1">IF(HN$1="","",'Total Value'!HN14/'Total Value'!HM14-1)</f>
        <v/>
      </c>
      <c r="HO2" s="14" t="str">
        <f ca="1">IF(HO$1="","",'Total Value'!HO14/'Total Value'!HN14-1)</f>
        <v/>
      </c>
      <c r="HP2" s="14" t="str">
        <f ca="1">IF(HP$1="","",'Total Value'!HP14/'Total Value'!HO14-1)</f>
        <v/>
      </c>
      <c r="HQ2" s="14" t="str">
        <f ca="1">IF(HQ$1="","",'Total Value'!HQ14/'Total Value'!HP14-1)</f>
        <v/>
      </c>
      <c r="HR2" s="14" t="str">
        <f ca="1">IF(HR$1="","",'Total Value'!HR14/'Total Value'!HQ14-1)</f>
        <v/>
      </c>
      <c r="HS2" s="14" t="str">
        <f ca="1">IF(HS$1="","",'Total Value'!HS14/'Total Value'!HR14-1)</f>
        <v/>
      </c>
      <c r="HT2" s="14" t="str">
        <f ca="1">IF(HT$1="","",'Total Value'!HT14/'Total Value'!HS14-1)</f>
        <v/>
      </c>
      <c r="HU2" s="14" t="str">
        <f ca="1">IF(HU$1="","",'Total Value'!HU14/'Total Value'!HT14-1)</f>
        <v/>
      </c>
      <c r="HV2" s="14" t="str">
        <f ca="1">IF(HV$1="","",'Total Value'!HV14/'Total Value'!HU14-1)</f>
        <v/>
      </c>
      <c r="HW2" s="14" t="str">
        <f ca="1">IF(HW$1="","",'Total Value'!HW14/'Total Value'!HV14-1)</f>
        <v/>
      </c>
      <c r="HX2" s="14" t="str">
        <f ca="1">IF(HX$1="","",'Total Value'!HX14/'Total Value'!HW14-1)</f>
        <v/>
      </c>
      <c r="HY2" s="14" t="str">
        <f ca="1">IF(HY$1="","",'Total Value'!HY14/'Total Value'!HX14-1)</f>
        <v/>
      </c>
      <c r="HZ2" s="14" t="str">
        <f ca="1">IF(HZ$1="","",'Total Value'!HZ14/'Total Value'!HY14-1)</f>
        <v/>
      </c>
      <c r="IA2" s="14" t="str">
        <f ca="1">IF(IA$1="","",'Total Value'!IA14/'Total Value'!HZ14-1)</f>
        <v/>
      </c>
      <c r="IB2" s="14" t="str">
        <f ca="1">IF(IB$1="","",'Total Value'!IB14/'Total Value'!IA14-1)</f>
        <v/>
      </c>
      <c r="IC2" s="14" t="str">
        <f ca="1">IF(IC$1="","",'Total Value'!IC14/'Total Value'!IB14-1)</f>
        <v/>
      </c>
      <c r="ID2" s="14" t="str">
        <f ca="1">IF(ID$1="","",'Total Value'!ID14/'Total Value'!IC14-1)</f>
        <v/>
      </c>
      <c r="IE2" s="14" t="str">
        <f ca="1">IF(IE$1="","",'Total Value'!IE14/'Total Value'!ID14-1)</f>
        <v/>
      </c>
      <c r="IF2" s="14" t="str">
        <f ca="1">IF(IF$1="","",'Total Value'!IF14/'Total Value'!IE14-1)</f>
        <v/>
      </c>
      <c r="IG2" s="14" t="str">
        <f ca="1">IF(IG$1="","",'Total Value'!IG14/'Total Value'!IF14-1)</f>
        <v/>
      </c>
      <c r="IH2" s="14" t="str">
        <f ca="1">IF(IH$1="","",'Total Value'!IH14/'Total Value'!IG14-1)</f>
        <v/>
      </c>
      <c r="II2" s="14" t="str">
        <f ca="1">IF(II$1="","",'Total Value'!II14/'Total Value'!IH14-1)</f>
        <v/>
      </c>
      <c r="IJ2" s="14" t="str">
        <f ca="1">IF(IJ$1="","",'Total Value'!IJ14/'Total Value'!II14-1)</f>
        <v/>
      </c>
      <c r="IK2" s="14" t="str">
        <f ca="1">IF(IK$1="","",'Total Value'!IK14/'Total Value'!IJ14-1)</f>
        <v/>
      </c>
      <c r="IL2" s="14" t="str">
        <f ca="1">IF(IL$1="","",'Total Value'!IL14/'Total Value'!IK14-1)</f>
        <v/>
      </c>
      <c r="IM2" s="14" t="str">
        <f ca="1">IF(IM$1="","",'Total Value'!IM14/'Total Value'!IL14-1)</f>
        <v/>
      </c>
      <c r="IN2" s="14" t="str">
        <f ca="1">IF(IN$1="","",'Total Value'!IN14/'Total Value'!IM14-1)</f>
        <v/>
      </c>
      <c r="IO2" s="14" t="str">
        <f ca="1">IF(IO$1="","",'Total Value'!IO14/'Total Value'!IN14-1)</f>
        <v/>
      </c>
      <c r="IP2" s="14" t="str">
        <f ca="1">IF(IP$1="","",'Total Value'!IP14/'Total Value'!IO14-1)</f>
        <v/>
      </c>
      <c r="IQ2" s="14" t="str">
        <f ca="1">IF(IQ$1="","",'Total Value'!IQ14/'Total Value'!IP14-1)</f>
        <v/>
      </c>
      <c r="IR2" s="14" t="str">
        <f ca="1">IF(IR$1="","",'Total Value'!IR14/'Total Value'!IQ14-1)</f>
        <v/>
      </c>
      <c r="IS2" s="14" t="str">
        <f ca="1">IF(IS$1="","",'Total Value'!IS14/'Total Value'!IR14-1)</f>
        <v/>
      </c>
      <c r="IT2" s="14" t="str">
        <f ca="1">IF(IT$1="","",'Total Value'!IT14/'Total Value'!IS14-1)</f>
        <v/>
      </c>
      <c r="IU2" s="14" t="str">
        <f ca="1">IF(IU$1="","",'Total Value'!IU14/'Total Value'!IT14-1)</f>
        <v/>
      </c>
      <c r="IV2" s="14" t="str">
        <f ca="1">IF(IV$1="","",'Total Value'!IV14/'Total Value'!IU14-1)</f>
        <v/>
      </c>
      <c r="IW2" s="14" t="str">
        <f ca="1">IF(IW$1="","",'Total Value'!IW14/'Total Value'!IV14-1)</f>
        <v/>
      </c>
      <c r="IX2" s="14" t="str">
        <f ca="1">IF(IX$1="","",'Total Value'!IX14/'Total Value'!IW14-1)</f>
        <v/>
      </c>
      <c r="IY2" s="14" t="str">
        <f ca="1">IF(IY$1="","",'Total Value'!IY14/'Total Value'!IX14-1)</f>
        <v/>
      </c>
      <c r="IZ2" s="14" t="str">
        <f ca="1">IF(IZ$1="","",'Total Value'!IZ14/'Total Value'!IY14-1)</f>
        <v/>
      </c>
      <c r="JA2" s="14" t="str">
        <f ca="1">IF(JA$1="","",'Total Value'!JA14/'Total Value'!IZ14-1)</f>
        <v/>
      </c>
      <c r="JB2" s="14" t="str">
        <f ca="1">IF(JB$1="","",'Total Value'!JB14/'Total Value'!JA14-1)</f>
        <v/>
      </c>
      <c r="JC2" s="14" t="str">
        <f ca="1">IF(JC$1="","",'Total Value'!JC14/'Total Value'!JB14-1)</f>
        <v/>
      </c>
      <c r="JD2" s="14" t="str">
        <f ca="1">IF(JD$1="","",'Total Value'!JD14/'Total Value'!JC14-1)</f>
        <v/>
      </c>
      <c r="JE2" s="14" t="str">
        <f ca="1">IF(JE$1="","",'Total Value'!JE14/'Total Value'!JD14-1)</f>
        <v/>
      </c>
      <c r="JF2" s="14" t="str">
        <f ca="1">IF(JF$1="","",'Total Value'!JF14/'Total Value'!JE14-1)</f>
        <v/>
      </c>
      <c r="JG2" s="14" t="str">
        <f ca="1">IF(JG$1="","",'Total Value'!JG14/'Total Value'!JF14-1)</f>
        <v/>
      </c>
      <c r="JH2" s="14" t="str">
        <f ca="1">IF(JH$1="","",'Total Value'!JH14/'Total Value'!JG14-1)</f>
        <v/>
      </c>
      <c r="JI2" s="14" t="str">
        <f ca="1">IF(JI$1="","",'Total Value'!JI14/'Total Value'!JH14-1)</f>
        <v/>
      </c>
      <c r="JJ2" s="14" t="str">
        <f ca="1">IF(JJ$1="","",'Total Value'!JJ14/'Total Value'!JI14-1)</f>
        <v/>
      </c>
      <c r="JK2" s="14" t="str">
        <f ca="1">IF(JK$1="","",'Total Value'!JK14/'Total Value'!JJ14-1)</f>
        <v/>
      </c>
      <c r="JL2" s="14" t="str">
        <f ca="1">IF(JL$1="","",'Total Value'!JL14/'Total Value'!JK14-1)</f>
        <v/>
      </c>
      <c r="JM2" s="14" t="str">
        <f ca="1">IF(JM$1="","",'Total Value'!JM14/'Total Value'!JL14-1)</f>
        <v/>
      </c>
      <c r="JN2" s="14" t="str">
        <f ca="1">IF(JN$1="","",'Total Value'!JN14/'Total Value'!JM14-1)</f>
        <v/>
      </c>
      <c r="JO2" s="14" t="str">
        <f ca="1">IF(JO$1="","",'Total Value'!JO14/'Total Value'!JN14-1)</f>
        <v/>
      </c>
      <c r="JP2" s="14" t="str">
        <f ca="1">IF(JP$1="","",'Total Value'!JP14/'Total Value'!JO14-1)</f>
        <v/>
      </c>
      <c r="JQ2" s="14" t="str">
        <f ca="1">IF(JQ$1="","",'Total Value'!JQ14/'Total Value'!JP14-1)</f>
        <v/>
      </c>
      <c r="JR2" s="14" t="str">
        <f ca="1">IF(JR$1="","",'Total Value'!JR14/'Total Value'!JQ14-1)</f>
        <v/>
      </c>
      <c r="JS2" s="14" t="str">
        <f ca="1">IF(JS$1="","",'Total Value'!JS14/'Total Value'!JR14-1)</f>
        <v/>
      </c>
      <c r="JT2" s="14" t="str">
        <f ca="1">IF(JT$1="","",'Total Value'!JT14/'Total Value'!JS14-1)</f>
        <v/>
      </c>
      <c r="JU2" s="14" t="str">
        <f ca="1">IF(JU$1="","",'Total Value'!JU14/'Total Value'!JT14-1)</f>
        <v/>
      </c>
      <c r="JV2" s="14" t="str">
        <f ca="1">IF(JV$1="","",'Total Value'!JV14/'Total Value'!JU14-1)</f>
        <v/>
      </c>
      <c r="JW2" s="14" t="str">
        <f ca="1">IF(JW$1="","",'Total Value'!JW14/'Total Value'!JV14-1)</f>
        <v/>
      </c>
      <c r="JX2" s="14" t="str">
        <f ca="1">IF(JX$1="","",'Total Value'!JX14/'Total Value'!JW14-1)</f>
        <v/>
      </c>
      <c r="JY2" s="14" t="str">
        <f ca="1">IF(JY$1="","",'Total Value'!JY14/'Total Value'!JX14-1)</f>
        <v/>
      </c>
      <c r="JZ2" s="14" t="str">
        <f ca="1">IF(JZ$1="","",'Total Value'!JZ14/'Total Value'!JY14-1)</f>
        <v/>
      </c>
      <c r="KA2" s="14" t="str">
        <f ca="1">IF(KA$1="","",'Total Value'!KA14/'Total Value'!JZ14-1)</f>
        <v/>
      </c>
      <c r="KB2" s="14" t="str">
        <f ca="1">IF(KB$1="","",'Total Value'!KB14/'Total Value'!KA14-1)</f>
        <v/>
      </c>
    </row>
    <row r="3" spans="1:288" ht="15.75" customHeight="1">
      <c r="A3" s="22" t="s">
        <v>30</v>
      </c>
      <c r="B3" s="6" t="s">
        <v>48</v>
      </c>
      <c r="C3" s="26">
        <v>93</v>
      </c>
      <c r="D3" s="13">
        <v>0</v>
      </c>
      <c r="E3" s="14">
        <f ca="1">IF(E$1="","",'Total Value'!E15/'Total Value'!D15-1)</f>
        <v>1.1258741258741267E-2</v>
      </c>
      <c r="F3" s="14">
        <f ca="1">IF(F$1="","",'Total Value'!F15/'Total Value'!E15-1)</f>
        <v>-8.7303782587651035E-3</v>
      </c>
      <c r="G3" s="14">
        <f ca="1">IF(G$1="","",'Total Value'!G15/'Total Value'!F15-1)</f>
        <v>-9.0915432776992877E-2</v>
      </c>
      <c r="H3" s="14">
        <f ca="1">IF(H$1="","",'Total Value'!H15/'Total Value'!G15-1)</f>
        <v>1.8723861412730747E-2</v>
      </c>
      <c r="I3" s="14">
        <f ca="1">IF(I$1="","",'Total Value'!I15/'Total Value'!H15-1)</f>
        <v>-1.634590034273653E-2</v>
      </c>
      <c r="J3" s="14">
        <f ca="1">IF(J$1="","",'Total Value'!J15/'Total Value'!I15-1)</f>
        <v>-2.0101849370144365E-3</v>
      </c>
      <c r="K3" s="14">
        <f ca="1">IF(K$1="","",'Total Value'!K15/'Total Value'!J15-1)</f>
        <v>-1.2066220338007527E-2</v>
      </c>
      <c r="L3" s="14">
        <f ca="1">IF(L$1="","",'Total Value'!L15/'Total Value'!K15-1)</f>
        <v>-1.4097087378640794E-2</v>
      </c>
      <c r="M3" s="14">
        <f ca="1">IF(M$1="","",'Total Value'!M15/'Total Value'!L15-1)</f>
        <v>3.5648166384369961E-2</v>
      </c>
      <c r="N3" s="14">
        <f ca="1">IF(N$1="","",'Total Value'!N15/'Total Value'!M15-1)</f>
        <v>-5.8496881180587379E-2</v>
      </c>
      <c r="O3" s="14">
        <f ca="1">IF(O$1="","",'Total Value'!O15/'Total Value'!N15-1)</f>
        <v>-2.153187363658382E-2</v>
      </c>
      <c r="P3" s="14">
        <f ca="1">IF(P$1="","",'Total Value'!P15/'Total Value'!O15-1)</f>
        <v>9.1387638825812356E-2</v>
      </c>
      <c r="Q3" s="14">
        <f ca="1">IF(Q$1="","",'Total Value'!Q15/'Total Value'!P15-1)</f>
        <v>6.1264635230475317E-2</v>
      </c>
      <c r="R3" s="14">
        <f ca="1">IF(R$1="","",'Total Value'!R15/'Total Value'!Q15-1)</f>
        <v>4.4022242817423507E-2</v>
      </c>
      <c r="S3" s="14">
        <f ca="1">IF(S$1="","",'Total Value'!S15/'Total Value'!R15-1)</f>
        <v>1.2974154119291814E-3</v>
      </c>
      <c r="T3" s="14">
        <f ca="1">IF(T$1="","",'Total Value'!T15/'Total Value'!S15-1)</f>
        <v>-9.1894840931564525E-3</v>
      </c>
      <c r="U3" s="14">
        <f ca="1">IF(U$1="","",'Total Value'!U15/'Total Value'!T15-1)</f>
        <v>-3.4930740772605939E-2</v>
      </c>
      <c r="V3" s="14">
        <f ca="1">IF(V$1="","",'Total Value'!V15/'Total Value'!U15-1)</f>
        <v>2.9722742266202973E-2</v>
      </c>
      <c r="W3" s="14">
        <f ca="1">IF(W$1="","",'Total Value'!W15/'Total Value'!V15-1)</f>
        <v>-7.4802604238812798E-3</v>
      </c>
      <c r="X3" s="14">
        <f ca="1">IF(X$1="","",'Total Value'!X15/'Total Value'!W15-1)</f>
        <v>3.1524773203070344E-2</v>
      </c>
      <c r="Y3" s="14">
        <f ca="1">IF(Y$1="","",'Total Value'!Y15/'Total Value'!X15-1)</f>
        <v>3.8391936002164728E-2</v>
      </c>
      <c r="Z3" s="14">
        <f ca="1">IF(Z$1="","",'Total Value'!Z15/'Total Value'!Y15-1)</f>
        <v>-5.7168917048062706E-3</v>
      </c>
      <c r="AA3" s="14">
        <f ca="1">IF(AA$1="","",'Total Value'!AA15/'Total Value'!Z15-1)</f>
        <v>-4.3803033777807032E-2</v>
      </c>
      <c r="AB3" s="14">
        <f ca="1">IF(AB$1="","",'Total Value'!AB15/'Total Value'!AA15-1)</f>
        <v>-7.0924415815801778E-3</v>
      </c>
      <c r="AC3" s="14">
        <f ca="1">IF(AC$1="","",'Total Value'!AC15/'Total Value'!AB15-1)</f>
        <v>2.0842679181476198E-2</v>
      </c>
      <c r="AD3" s="14">
        <f ca="1">IF(AD$1="","",'Total Value'!AD15/'Total Value'!AC15-1)</f>
        <v>-1.3014231146266653E-3</v>
      </c>
      <c r="AE3" s="14">
        <f ca="1">IF(AE$1="","",'Total Value'!AE15/'Total Value'!AD15-1)</f>
        <v>-4.2545989947367469E-2</v>
      </c>
      <c r="AF3" s="14">
        <f ca="1">IF(AF$1="","",'Total Value'!AF15/'Total Value'!AE15-1)</f>
        <v>-1.7216084843128532E-2</v>
      </c>
      <c r="AG3" s="14">
        <f ca="1">IF(AG$1="","",'Total Value'!AG15/'Total Value'!AF15-1)</f>
        <v>-1.0539378788151366E-2</v>
      </c>
      <c r="AH3" s="14">
        <f ca="1">IF(AH$1="","",'Total Value'!AH15/'Total Value'!AG15-1)</f>
        <v>-4.6260110878851068E-2</v>
      </c>
      <c r="AI3" s="14">
        <f ca="1">IF(AI$1="","",'Total Value'!AI15/'Total Value'!AH15-1)</f>
        <v>9.3863159900895665E-2</v>
      </c>
      <c r="AJ3" s="14">
        <f ca="1">IF(AJ$1="","",'Total Value'!AJ15/'Total Value'!AI15-1)</f>
        <v>1.0941719661991423E-2</v>
      </c>
      <c r="AK3" s="14">
        <f ca="1">IF(AK$1="","",'Total Value'!AK15/'Total Value'!AJ15-1)</f>
        <v>-5.3427089257707117E-4</v>
      </c>
      <c r="AL3" s="14">
        <f ca="1">IF(AL$1="","",'Total Value'!AL15/'Total Value'!AK15-1)</f>
        <v>-1.5260725617326498E-2</v>
      </c>
      <c r="AM3" s="14">
        <f ca="1">IF(AM$1="","",'Total Value'!AM15/'Total Value'!AL15-1)</f>
        <v>2.8000070043952441E-2</v>
      </c>
      <c r="AN3" s="14">
        <f ca="1">IF(AN$1="","",'Total Value'!AN15/'Total Value'!AM15-1)</f>
        <v>-4.2159234149831359E-2</v>
      </c>
      <c r="AO3" s="14">
        <f ca="1">IF(AO$1="","",'Total Value'!AO15/'Total Value'!AN15-1)</f>
        <v>-2.7102487951485732E-2</v>
      </c>
      <c r="AP3" s="14">
        <f ca="1">IF(AP$1="","",'Total Value'!AP15/'Total Value'!AO15-1)</f>
        <v>-5.0176394245708966E-2</v>
      </c>
      <c r="AQ3" s="14">
        <f ca="1">IF(AQ$1="","",'Total Value'!AQ15/'Total Value'!AP15-1)</f>
        <v>-2.732766252261265E-3</v>
      </c>
      <c r="AR3" s="14">
        <f ca="1">IF(AR$1="","",'Total Value'!AR15/'Total Value'!AQ15-1)</f>
        <v>7.985333847935161E-2</v>
      </c>
      <c r="AS3" s="14">
        <f ca="1">IF(AS$1="","",'Total Value'!AS15/'Total Value'!AR15-1)</f>
        <v>-4.6445548447049512E-2</v>
      </c>
      <c r="AT3" s="14">
        <f ca="1">IF(AT$1="","",'Total Value'!AT15/'Total Value'!AS15-1)</f>
        <v>-4.0180663055904509E-2</v>
      </c>
      <c r="AU3" s="14">
        <f ca="1">IF(AU$1="","",'Total Value'!AU15/'Total Value'!AT15-1)</f>
        <v>-3.3291028019134861E-2</v>
      </c>
      <c r="AV3" s="14">
        <f ca="1">IF(AV$1="","",'Total Value'!AV15/'Total Value'!AU15-1)</f>
        <v>3.8618460916986397E-2</v>
      </c>
      <c r="AW3" s="14">
        <f ca="1">IF(AW$1="","",'Total Value'!AW15/'Total Value'!AV15-1)</f>
        <v>6.4524911516471439E-2</v>
      </c>
      <c r="AX3" s="14">
        <f ca="1">IF(AX$1="","",'Total Value'!AX15/'Total Value'!AW15-1)</f>
        <v>3.5221044939715007E-2</v>
      </c>
      <c r="AY3" s="14">
        <f ca="1">IF(AY$1="","",'Total Value'!AY15/'Total Value'!AX15-1)</f>
        <v>2.3293569563069161E-2</v>
      </c>
      <c r="AZ3" s="14">
        <f ca="1">IF(AZ$1="","",'Total Value'!AZ15/'Total Value'!AY15-1)</f>
        <v>-1.7382906808305232E-2</v>
      </c>
      <c r="BA3" s="14">
        <f ca="1">IF(BA$1="","",'Total Value'!BA15/'Total Value'!AZ15-1)</f>
        <v>3.3099333099333217E-2</v>
      </c>
      <c r="BB3" s="14">
        <f ca="1">IF(BB$1="","",'Total Value'!BB15/'Total Value'!BA15-1)</f>
        <v>-3.5164611150748981E-2</v>
      </c>
      <c r="BC3" s="14">
        <f ca="1">IF(BC$1="","",'Total Value'!BC15/'Total Value'!BB15-1)</f>
        <v>2.3117825198957664E-2</v>
      </c>
      <c r="BD3" s="14">
        <f ca="1">IF(BD$1="","",'Total Value'!BD15/'Total Value'!BC15-1)</f>
        <v>-3.3075771395136733E-2</v>
      </c>
      <c r="BE3" s="14">
        <f ca="1">IF(BE$1="","",'Total Value'!BE15/'Total Value'!BD15-1)</f>
        <v>3.7179418726751567E-2</v>
      </c>
      <c r="BF3" s="14">
        <f ca="1">IF(BF$1="","",'Total Value'!BF15/'Total Value'!BE15-1)</f>
        <v>2.5722424325622884E-2</v>
      </c>
      <c r="BG3" s="14">
        <f ca="1">IF(BG$1="","",'Total Value'!BG15/'Total Value'!BF15-1)</f>
        <v>-3.9749058971141782E-2</v>
      </c>
      <c r="BH3" s="14">
        <f ca="1">IF(BH$1="","",'Total Value'!BH15/'Total Value'!BG15-1)</f>
        <v>-2.9791459781529306E-2</v>
      </c>
      <c r="BI3" s="14">
        <f ca="1">IF(BI$1="","",'Total Value'!BI15/'Total Value'!BH15-1)</f>
        <v>-1.4724631435292235E-2</v>
      </c>
      <c r="BJ3" s="14">
        <f ca="1">IF(BJ$1="","",'Total Value'!BJ15/'Total Value'!BI15-1)</f>
        <v>4.762251909092563E-2</v>
      </c>
      <c r="BK3" s="14">
        <f ca="1">IF(BK$1="","",'Total Value'!BK15/'Total Value'!BJ15-1)</f>
        <v>-3.7576980620020239E-2</v>
      </c>
      <c r="BL3" s="14">
        <f ca="1">IF(BL$1="","",'Total Value'!BL15/'Total Value'!BK15-1)</f>
        <v>-4.5678030439969541E-2</v>
      </c>
      <c r="BM3" s="14">
        <f ca="1">IF(BM$1="","",'Total Value'!BM15/'Total Value'!BL15-1)</f>
        <v>3.4662373330807128E-3</v>
      </c>
      <c r="BN3" s="14">
        <f ca="1">IF(BN$1="","",'Total Value'!BN15/'Total Value'!BM15-1)</f>
        <v>-2.6765827324549796E-2</v>
      </c>
      <c r="BO3" s="14">
        <f ca="1">IF(BO$1="","",'Total Value'!BO15/'Total Value'!BN15-1)</f>
        <v>-8.1070597362296049E-3</v>
      </c>
      <c r="BP3" s="14">
        <f ca="1">IF(BP$1="","",'Total Value'!BP15/'Total Value'!BO15-1)</f>
        <v>-2.365961440694675E-3</v>
      </c>
      <c r="BQ3" s="14">
        <f ca="1">IF(BQ$1="","",'Total Value'!BQ15/'Total Value'!BP15-1)</f>
        <v>3.1085239411222876E-2</v>
      </c>
      <c r="BR3" s="14">
        <f ca="1">IF(BR$1="","",'Total Value'!BR15/'Total Value'!BQ15-1)</f>
        <v>-3.5622635770905187E-2</v>
      </c>
      <c r="BS3" s="14">
        <f ca="1">IF(BS$1="","",'Total Value'!BS15/'Total Value'!BR15-1)</f>
        <v>-1.931681548498998E-2</v>
      </c>
      <c r="BT3" s="14">
        <f ca="1">IF(BT$1="","",'Total Value'!BT15/'Total Value'!BS15-1)</f>
        <v>3.3907503065141675E-2</v>
      </c>
      <c r="BU3" s="14">
        <f ca="1">IF(BU$1="","",'Total Value'!BU15/'Total Value'!BT15-1)</f>
        <v>-1.7846034214618944E-2</v>
      </c>
      <c r="BV3" s="14">
        <f ca="1">IF(BV$1="","",'Total Value'!BV15/'Total Value'!BU15-1)</f>
        <v>-2.681999920826561E-2</v>
      </c>
      <c r="BW3" s="14">
        <f ca="1">IF(BW$1="","",'Total Value'!BW15/'Total Value'!BV15-1)</f>
        <v>-4.1226839140073746E-2</v>
      </c>
      <c r="BX3" s="14">
        <f ca="1">IF(BX$1="","",'Total Value'!BX15/'Total Value'!BW15-1)</f>
        <v>1.8455663979635162E-3</v>
      </c>
      <c r="BY3" s="14">
        <f ca="1">IF(BY$1="","",'Total Value'!BY15/'Total Value'!BX15-1)</f>
        <v>-3.4450632053698138E-2</v>
      </c>
      <c r="BZ3" s="14">
        <f ca="1">IF(BZ$1="","",'Total Value'!BZ15/'Total Value'!BY15-1)</f>
        <v>2.256578947368415E-2</v>
      </c>
      <c r="CA3" s="14">
        <f ca="1">IF(CA$1="","",'Total Value'!CA15/'Total Value'!BZ15-1)</f>
        <v>8.0915310214673353E-2</v>
      </c>
      <c r="CB3" s="14">
        <f ca="1">IF(CB$1="","",'Total Value'!CB15/'Total Value'!CA15-1)</f>
        <v>-5.1426530693226447E-2</v>
      </c>
      <c r="CC3" s="14">
        <f ca="1">IF(CC$1="","",'Total Value'!CC15/'Total Value'!CB15-1)</f>
        <v>1.3386320853377986E-2</v>
      </c>
      <c r="CD3" s="14">
        <f ca="1">IF(CD$1="","",'Total Value'!CD15/'Total Value'!CC15-1)</f>
        <v>-5.4489164086686248E-3</v>
      </c>
      <c r="CE3" s="14">
        <f ca="1">IF(CE$1="","",'Total Value'!CE15/'Total Value'!CD15-1)</f>
        <v>3.652513178101513E-2</v>
      </c>
      <c r="CF3" s="14" t="str">
        <f ca="1">IF(CF$1="","",'Total Value'!CF15/'Total Value'!CE15-1)</f>
        <v/>
      </c>
      <c r="CG3" s="14" t="str">
        <f ca="1">IF(CG$1="","",'Total Value'!CG15/'Total Value'!CF15-1)</f>
        <v/>
      </c>
      <c r="CH3" s="14" t="str">
        <f ca="1">IF(CH$1="","",'Total Value'!CH15/'Total Value'!CG15-1)</f>
        <v/>
      </c>
      <c r="CI3" s="14" t="str">
        <f ca="1">IF(CI$1="","",'Total Value'!CI15/'Total Value'!CH15-1)</f>
        <v/>
      </c>
      <c r="CJ3" s="14" t="str">
        <f ca="1">IF(CJ$1="","",'Total Value'!CJ15/'Total Value'!CI15-1)</f>
        <v/>
      </c>
      <c r="CK3" s="14" t="str">
        <f ca="1">IF(CK$1="","",'Total Value'!CK15/'Total Value'!CJ15-1)</f>
        <v/>
      </c>
      <c r="CL3" s="14" t="str">
        <f ca="1">IF(CL$1="","",'Total Value'!CL15/'Total Value'!CK15-1)</f>
        <v/>
      </c>
      <c r="CM3" s="14" t="str">
        <f ca="1">IF(CM$1="","",'Total Value'!CM15/'Total Value'!CL15-1)</f>
        <v/>
      </c>
      <c r="CN3" s="14" t="str">
        <f ca="1">IF(CN$1="","",'Total Value'!CN15/'Total Value'!CM15-1)</f>
        <v/>
      </c>
      <c r="CO3" s="14" t="str">
        <f ca="1">IF(CO$1="","",'Total Value'!CO15/'Total Value'!CN15-1)</f>
        <v/>
      </c>
      <c r="CP3" s="14" t="str">
        <f ca="1">IF(CP$1="","",'Total Value'!CP15/'Total Value'!CO15-1)</f>
        <v/>
      </c>
      <c r="CQ3" s="14" t="str">
        <f ca="1">IF(CQ$1="","",'Total Value'!CQ15/'Total Value'!CP15-1)</f>
        <v/>
      </c>
      <c r="CR3" s="14" t="str">
        <f ca="1">IF(CR$1="","",'Total Value'!CR15/'Total Value'!CQ15-1)</f>
        <v/>
      </c>
      <c r="CS3" s="14" t="str">
        <f ca="1">IF(CS$1="","",'Total Value'!CS15/'Total Value'!CR15-1)</f>
        <v/>
      </c>
      <c r="CT3" s="14" t="str">
        <f ca="1">IF(CT$1="","",'Total Value'!CT15/'Total Value'!CS15-1)</f>
        <v/>
      </c>
      <c r="CU3" s="14" t="str">
        <f ca="1">IF(CU$1="","",'Total Value'!CU15/'Total Value'!CT15-1)</f>
        <v/>
      </c>
      <c r="CV3" s="14" t="str">
        <f ca="1">IF(CV$1="","",'Total Value'!CV15/'Total Value'!CU15-1)</f>
        <v/>
      </c>
      <c r="CW3" s="14" t="str">
        <f ca="1">IF(CW$1="","",'Total Value'!CW15/'Total Value'!CV15-1)</f>
        <v/>
      </c>
      <c r="CX3" s="14" t="str">
        <f ca="1">IF(CX$1="","",'Total Value'!CX15/'Total Value'!CW15-1)</f>
        <v/>
      </c>
      <c r="CY3" s="14" t="str">
        <f ca="1">IF(CY$1="","",'Total Value'!CY15/'Total Value'!CX15-1)</f>
        <v/>
      </c>
      <c r="CZ3" s="14" t="str">
        <f ca="1">IF(CZ$1="","",'Total Value'!CZ15/'Total Value'!CY15-1)</f>
        <v/>
      </c>
      <c r="DA3" s="14" t="str">
        <f ca="1">IF(DA$1="","",'Total Value'!DA15/'Total Value'!CZ15-1)</f>
        <v/>
      </c>
      <c r="DB3" s="14" t="str">
        <f ca="1">IF(DB$1="","",'Total Value'!DB15/'Total Value'!DA15-1)</f>
        <v/>
      </c>
      <c r="DC3" s="14" t="str">
        <f ca="1">IF(DC$1="","",'Total Value'!DC15/'Total Value'!DB15-1)</f>
        <v/>
      </c>
      <c r="DD3" s="14" t="str">
        <f ca="1">IF(DD$1="","",'Total Value'!DD15/'Total Value'!DC15-1)</f>
        <v/>
      </c>
      <c r="DE3" s="14" t="str">
        <f ca="1">IF(DE$1="","",'Total Value'!DE15/'Total Value'!DD15-1)</f>
        <v/>
      </c>
      <c r="DF3" s="14" t="str">
        <f ca="1">IF(DF$1="","",'Total Value'!DF15/'Total Value'!DE15-1)</f>
        <v/>
      </c>
      <c r="DG3" s="14" t="str">
        <f ca="1">IF(DG$1="","",'Total Value'!DG15/'Total Value'!DF15-1)</f>
        <v/>
      </c>
      <c r="DH3" s="14" t="str">
        <f ca="1">IF(DH$1="","",'Total Value'!DH15/'Total Value'!DG15-1)</f>
        <v/>
      </c>
      <c r="DI3" s="14" t="str">
        <f ca="1">IF(DI$1="","",'Total Value'!DI15/'Total Value'!DH15-1)</f>
        <v/>
      </c>
      <c r="DJ3" s="14" t="str">
        <f ca="1">IF(DJ$1="","",'Total Value'!DJ15/'Total Value'!DI15-1)</f>
        <v/>
      </c>
      <c r="DK3" s="14" t="str">
        <f ca="1">IF(DK$1="","",'Total Value'!DK15/'Total Value'!DJ15-1)</f>
        <v/>
      </c>
      <c r="DL3" s="14" t="str">
        <f ca="1">IF(DL$1="","",'Total Value'!DL15/'Total Value'!DK15-1)</f>
        <v/>
      </c>
      <c r="DM3" s="14" t="str">
        <f ca="1">IF(DM$1="","",'Total Value'!DM15/'Total Value'!DL15-1)</f>
        <v/>
      </c>
      <c r="DN3" s="14" t="str">
        <f ca="1">IF(DN$1="","",'Total Value'!DN15/'Total Value'!DM15-1)</f>
        <v/>
      </c>
      <c r="DO3" s="14" t="str">
        <f ca="1">IF(DO$1="","",'Total Value'!DO15/'Total Value'!DN15-1)</f>
        <v/>
      </c>
      <c r="DP3" s="14" t="str">
        <f ca="1">IF(DP$1="","",'Total Value'!DP15/'Total Value'!DO15-1)</f>
        <v/>
      </c>
      <c r="DQ3" s="14" t="str">
        <f ca="1">IF(DQ$1="","",'Total Value'!DQ15/'Total Value'!DP15-1)</f>
        <v/>
      </c>
      <c r="DR3" s="14" t="str">
        <f ca="1">IF(DR$1="","",'Total Value'!DR15/'Total Value'!DQ15-1)</f>
        <v/>
      </c>
      <c r="DS3" s="14" t="str">
        <f ca="1">IF(DS$1="","",'Total Value'!DS15/'Total Value'!DR15-1)</f>
        <v/>
      </c>
      <c r="DT3" s="14" t="str">
        <f ca="1">IF(DT$1="","",'Total Value'!DT15/'Total Value'!DS15-1)</f>
        <v/>
      </c>
      <c r="DU3" s="14" t="str">
        <f ca="1">IF(DU$1="","",'Total Value'!DU15/'Total Value'!DT15-1)</f>
        <v/>
      </c>
      <c r="DV3" s="14" t="str">
        <f ca="1">IF(DV$1="","",'Total Value'!DV15/'Total Value'!DU15-1)</f>
        <v/>
      </c>
      <c r="DW3" s="14" t="str">
        <f ca="1">IF(DW$1="","",'Total Value'!DW15/'Total Value'!DV15-1)</f>
        <v/>
      </c>
      <c r="DX3" s="14" t="str">
        <f ca="1">IF(DX$1="","",'Total Value'!DX15/'Total Value'!DW15-1)</f>
        <v/>
      </c>
      <c r="DY3" s="14" t="str">
        <f ca="1">IF(DY$1="","",'Total Value'!DY15/'Total Value'!DX15-1)</f>
        <v/>
      </c>
      <c r="DZ3" s="14" t="str">
        <f ca="1">IF(DZ$1="","",'Total Value'!DZ15/'Total Value'!DY15-1)</f>
        <v/>
      </c>
      <c r="EA3" s="14" t="str">
        <f ca="1">IF(EA$1="","",'Total Value'!EA15/'Total Value'!DZ15-1)</f>
        <v/>
      </c>
      <c r="EB3" s="14" t="str">
        <f ca="1">IF(EB$1="","",'Total Value'!EB15/'Total Value'!EA15-1)</f>
        <v/>
      </c>
      <c r="EC3" s="14" t="str">
        <f ca="1">IF(EC$1="","",'Total Value'!EC15/'Total Value'!EB15-1)</f>
        <v/>
      </c>
      <c r="ED3" s="14" t="str">
        <f ca="1">IF(ED$1="","",'Total Value'!ED15/'Total Value'!EC15-1)</f>
        <v/>
      </c>
      <c r="EE3" s="14" t="str">
        <f ca="1">IF(EE$1="","",'Total Value'!EE15/'Total Value'!ED15-1)</f>
        <v/>
      </c>
      <c r="EF3" s="14" t="str">
        <f ca="1">IF(EF$1="","",'Total Value'!EF15/'Total Value'!EE15-1)</f>
        <v/>
      </c>
      <c r="EG3" s="14" t="str">
        <f ca="1">IF(EG$1="","",'Total Value'!EG15/'Total Value'!EF15-1)</f>
        <v/>
      </c>
      <c r="EH3" s="14" t="str">
        <f ca="1">IF(EH$1="","",'Total Value'!EH15/'Total Value'!EG15-1)</f>
        <v/>
      </c>
      <c r="EI3" s="14" t="str">
        <f ca="1">IF(EI$1="","",'Total Value'!EI15/'Total Value'!EH15-1)</f>
        <v/>
      </c>
      <c r="EJ3" s="14" t="str">
        <f ca="1">IF(EJ$1="","",'Total Value'!EJ15/'Total Value'!EI15-1)</f>
        <v/>
      </c>
      <c r="EK3" s="14" t="str">
        <f ca="1">IF(EK$1="","",'Total Value'!EK15/'Total Value'!EJ15-1)</f>
        <v/>
      </c>
      <c r="EL3" s="14" t="str">
        <f ca="1">IF(EL$1="","",'Total Value'!EL15/'Total Value'!EK15-1)</f>
        <v/>
      </c>
      <c r="EM3" s="14" t="str">
        <f ca="1">IF(EM$1="","",'Total Value'!EM15/'Total Value'!EL15-1)</f>
        <v/>
      </c>
      <c r="EN3" s="14" t="str">
        <f ca="1">IF(EN$1="","",'Total Value'!EN15/'Total Value'!EM15-1)</f>
        <v/>
      </c>
      <c r="EO3" s="14" t="str">
        <f ca="1">IF(EO$1="","",'Total Value'!EO15/'Total Value'!EN15-1)</f>
        <v/>
      </c>
      <c r="EP3" s="14" t="str">
        <f ca="1">IF(EP$1="","",'Total Value'!EP15/'Total Value'!EO15-1)</f>
        <v/>
      </c>
      <c r="EQ3" s="14" t="str">
        <f ca="1">IF(EQ$1="","",'Total Value'!EQ15/'Total Value'!EP15-1)</f>
        <v/>
      </c>
      <c r="ER3" s="14" t="str">
        <f ca="1">IF(ER$1="","",'Total Value'!ER15/'Total Value'!EQ15-1)</f>
        <v/>
      </c>
      <c r="ES3" s="14" t="str">
        <f ca="1">IF(ES$1="","",'Total Value'!ES15/'Total Value'!ER15-1)</f>
        <v/>
      </c>
      <c r="ET3" s="14" t="str">
        <f ca="1">IF(ET$1="","",'Total Value'!ET15/'Total Value'!ES15-1)</f>
        <v/>
      </c>
      <c r="EU3" s="14" t="str">
        <f ca="1">IF(EU$1="","",'Total Value'!EU15/'Total Value'!ET15-1)</f>
        <v/>
      </c>
      <c r="EV3" s="14" t="str">
        <f ca="1">IF(EV$1="","",'Total Value'!EV15/'Total Value'!EU15-1)</f>
        <v/>
      </c>
      <c r="EW3" s="14" t="str">
        <f ca="1">IF(EW$1="","",'Total Value'!EW15/'Total Value'!EV15-1)</f>
        <v/>
      </c>
      <c r="EX3" s="14" t="str">
        <f ca="1">IF(EX$1="","",'Total Value'!EX15/'Total Value'!EW15-1)</f>
        <v/>
      </c>
      <c r="EY3" s="14" t="str">
        <f ca="1">IF(EY$1="","",'Total Value'!EY15/'Total Value'!EX15-1)</f>
        <v/>
      </c>
      <c r="EZ3" s="14" t="str">
        <f ca="1">IF(EZ$1="","",'Total Value'!EZ15/'Total Value'!EY15-1)</f>
        <v/>
      </c>
      <c r="FA3" s="14" t="str">
        <f ca="1">IF(FA$1="","",'Total Value'!FA15/'Total Value'!EZ15-1)</f>
        <v/>
      </c>
      <c r="FB3" s="14" t="str">
        <f ca="1">IF(FB$1="","",'Total Value'!FB15/'Total Value'!FA15-1)</f>
        <v/>
      </c>
      <c r="FC3" s="14" t="str">
        <f ca="1">IF(FC$1="","",'Total Value'!FC15/'Total Value'!FB15-1)</f>
        <v/>
      </c>
      <c r="FD3" s="14" t="str">
        <f ca="1">IF(FD$1="","",'Total Value'!FD15/'Total Value'!FC15-1)</f>
        <v/>
      </c>
      <c r="FE3" s="14" t="str">
        <f ca="1">IF(FE$1="","",'Total Value'!FE15/'Total Value'!FD15-1)</f>
        <v/>
      </c>
      <c r="FF3" s="14" t="str">
        <f ca="1">IF(FF$1="","",'Total Value'!FF15/'Total Value'!FE15-1)</f>
        <v/>
      </c>
      <c r="FG3" s="14" t="str">
        <f ca="1">IF(FG$1="","",'Total Value'!FG15/'Total Value'!FF15-1)</f>
        <v/>
      </c>
      <c r="FH3" s="14" t="str">
        <f ca="1">IF(FH$1="","",'Total Value'!FH15/'Total Value'!FG15-1)</f>
        <v/>
      </c>
      <c r="FI3" s="14" t="str">
        <f ca="1">IF(FI$1="","",'Total Value'!FI15/'Total Value'!FH15-1)</f>
        <v/>
      </c>
      <c r="FJ3" s="14" t="str">
        <f ca="1">IF(FJ$1="","",'Total Value'!FJ15/'Total Value'!FI15-1)</f>
        <v/>
      </c>
      <c r="FK3" s="14" t="str">
        <f ca="1">IF(FK$1="","",'Total Value'!FK15/'Total Value'!FJ15-1)</f>
        <v/>
      </c>
      <c r="FL3" s="14" t="str">
        <f ca="1">IF(FL$1="","",'Total Value'!FL15/'Total Value'!FK15-1)</f>
        <v/>
      </c>
      <c r="FM3" s="14" t="str">
        <f ca="1">IF(FM$1="","",'Total Value'!FM15/'Total Value'!FL15-1)</f>
        <v/>
      </c>
      <c r="FN3" s="14" t="str">
        <f ca="1">IF(FN$1="","",'Total Value'!FN15/'Total Value'!FM15-1)</f>
        <v/>
      </c>
      <c r="FO3" s="14" t="str">
        <f ca="1">IF(FO$1="","",'Total Value'!FO15/'Total Value'!FN15-1)</f>
        <v/>
      </c>
      <c r="FP3" s="14" t="str">
        <f ca="1">IF(FP$1="","",'Total Value'!FP15/'Total Value'!FO15-1)</f>
        <v/>
      </c>
      <c r="FQ3" s="14" t="str">
        <f ca="1">IF(FQ$1="","",'Total Value'!FQ15/'Total Value'!FP15-1)</f>
        <v/>
      </c>
      <c r="FR3" s="14" t="str">
        <f ca="1">IF(FR$1="","",'Total Value'!FR15/'Total Value'!FQ15-1)</f>
        <v/>
      </c>
      <c r="FS3" s="14" t="str">
        <f ca="1">IF(FS$1="","",'Total Value'!FS15/'Total Value'!FR15-1)</f>
        <v/>
      </c>
      <c r="FT3" s="14" t="str">
        <f ca="1">IF(FT$1="","",'Total Value'!FT15/'Total Value'!FS15-1)</f>
        <v/>
      </c>
      <c r="FU3" s="14" t="str">
        <f ca="1">IF(FU$1="","",'Total Value'!FU15/'Total Value'!FT15-1)</f>
        <v/>
      </c>
      <c r="FV3" s="14" t="str">
        <f ca="1">IF(FV$1="","",'Total Value'!FV15/'Total Value'!FU15-1)</f>
        <v/>
      </c>
      <c r="FW3" s="14" t="str">
        <f ca="1">IF(FW$1="","",'Total Value'!FW15/'Total Value'!FV15-1)</f>
        <v/>
      </c>
      <c r="FX3" s="14" t="str">
        <f ca="1">IF(FX$1="","",'Total Value'!FX15/'Total Value'!FW15-1)</f>
        <v/>
      </c>
      <c r="FY3" s="14" t="str">
        <f ca="1">IF(FY$1="","",'Total Value'!FY15/'Total Value'!FX15-1)</f>
        <v/>
      </c>
      <c r="FZ3" s="14" t="str">
        <f ca="1">IF(FZ$1="","",'Total Value'!FZ15/'Total Value'!FY15-1)</f>
        <v/>
      </c>
      <c r="GA3" s="14" t="str">
        <f ca="1">IF(GA$1="","",'Total Value'!GA15/'Total Value'!FZ15-1)</f>
        <v/>
      </c>
      <c r="GB3" s="14" t="str">
        <f ca="1">IF(GB$1="","",'Total Value'!GB15/'Total Value'!GA15-1)</f>
        <v/>
      </c>
      <c r="GC3" s="14" t="str">
        <f ca="1">IF(GC$1="","",'Total Value'!GC15/'Total Value'!GB15-1)</f>
        <v/>
      </c>
      <c r="GD3" s="14" t="str">
        <f ca="1">IF(GD$1="","",'Total Value'!GD15/'Total Value'!GC15-1)</f>
        <v/>
      </c>
      <c r="GE3" s="14" t="str">
        <f ca="1">IF(GE$1="","",'Total Value'!GE15/'Total Value'!GD15-1)</f>
        <v/>
      </c>
      <c r="GF3" s="14" t="str">
        <f ca="1">IF(GF$1="","",'Total Value'!GF15/'Total Value'!GE15-1)</f>
        <v/>
      </c>
      <c r="GG3" s="14" t="str">
        <f ca="1">IF(GG$1="","",'Total Value'!GG15/'Total Value'!GF15-1)</f>
        <v/>
      </c>
      <c r="GH3" s="14" t="str">
        <f ca="1">IF(GH$1="","",'Total Value'!GH15/'Total Value'!GG15-1)</f>
        <v/>
      </c>
      <c r="GI3" s="14" t="str">
        <f ca="1">IF(GI$1="","",'Total Value'!GI15/'Total Value'!GH15-1)</f>
        <v/>
      </c>
      <c r="GJ3" s="14" t="str">
        <f ca="1">IF(GJ$1="","",'Total Value'!GJ15/'Total Value'!GI15-1)</f>
        <v/>
      </c>
      <c r="GK3" s="14" t="str">
        <f ca="1">IF(GK$1="","",'Total Value'!GK15/'Total Value'!GJ15-1)</f>
        <v/>
      </c>
      <c r="GL3" s="14" t="str">
        <f ca="1">IF(GL$1="","",'Total Value'!GL15/'Total Value'!GK15-1)</f>
        <v/>
      </c>
      <c r="GM3" s="14" t="str">
        <f ca="1">IF(GM$1="","",'Total Value'!GM15/'Total Value'!GL15-1)</f>
        <v/>
      </c>
      <c r="GN3" s="14" t="str">
        <f ca="1">IF(GN$1="","",'Total Value'!GN15/'Total Value'!GM15-1)</f>
        <v/>
      </c>
      <c r="GO3" s="14" t="str">
        <f ca="1">IF(GO$1="","",'Total Value'!GO15/'Total Value'!GN15-1)</f>
        <v/>
      </c>
      <c r="GP3" s="14" t="str">
        <f ca="1">IF(GP$1="","",'Total Value'!GP15/'Total Value'!GO15-1)</f>
        <v/>
      </c>
      <c r="GQ3" s="14" t="str">
        <f ca="1">IF(GQ$1="","",'Total Value'!GQ15/'Total Value'!GP15-1)</f>
        <v/>
      </c>
      <c r="GR3" s="14" t="str">
        <f ca="1">IF(GR$1="","",'Total Value'!GR15/'Total Value'!GQ15-1)</f>
        <v/>
      </c>
      <c r="GS3" s="14" t="str">
        <f ca="1">IF(GS$1="","",'Total Value'!GS15/'Total Value'!GR15-1)</f>
        <v/>
      </c>
      <c r="GT3" s="14" t="str">
        <f ca="1">IF(GT$1="","",'Total Value'!GT15/'Total Value'!GS15-1)</f>
        <v/>
      </c>
      <c r="GU3" s="14" t="str">
        <f ca="1">IF(GU$1="","",'Total Value'!GU15/'Total Value'!GT15-1)</f>
        <v/>
      </c>
      <c r="GV3" s="14" t="str">
        <f ca="1">IF(GV$1="","",'Total Value'!GV15/'Total Value'!GU15-1)</f>
        <v/>
      </c>
      <c r="GW3" s="14" t="str">
        <f ca="1">IF(GW$1="","",'Total Value'!GW15/'Total Value'!GV15-1)</f>
        <v/>
      </c>
      <c r="GX3" s="14" t="str">
        <f ca="1">IF(GX$1="","",'Total Value'!GX15/'Total Value'!GW15-1)</f>
        <v/>
      </c>
      <c r="GY3" s="14" t="str">
        <f ca="1">IF(GY$1="","",'Total Value'!GY15/'Total Value'!GX15-1)</f>
        <v/>
      </c>
      <c r="GZ3" s="14" t="str">
        <f ca="1">IF(GZ$1="","",'Total Value'!GZ15/'Total Value'!GY15-1)</f>
        <v/>
      </c>
      <c r="HA3" s="14" t="str">
        <f ca="1">IF(HA$1="","",'Total Value'!HA15/'Total Value'!GZ15-1)</f>
        <v/>
      </c>
      <c r="HB3" s="14" t="str">
        <f ca="1">IF(HB$1="","",'Total Value'!HB15/'Total Value'!HA15-1)</f>
        <v/>
      </c>
      <c r="HC3" s="14" t="str">
        <f ca="1">IF(HC$1="","",'Total Value'!HC15/'Total Value'!HB15-1)</f>
        <v/>
      </c>
      <c r="HD3" s="14" t="str">
        <f ca="1">IF(HD$1="","",'Total Value'!HD15/'Total Value'!HC15-1)</f>
        <v/>
      </c>
      <c r="HE3" s="14" t="str">
        <f ca="1">IF(HE$1="","",'Total Value'!HE15/'Total Value'!HD15-1)</f>
        <v/>
      </c>
      <c r="HF3" s="14" t="str">
        <f ca="1">IF(HF$1="","",'Total Value'!HF15/'Total Value'!HE15-1)</f>
        <v/>
      </c>
      <c r="HG3" s="14" t="str">
        <f ca="1">IF(HG$1="","",'Total Value'!HG15/'Total Value'!HF15-1)</f>
        <v/>
      </c>
      <c r="HH3" s="14" t="str">
        <f ca="1">IF(HH$1="","",'Total Value'!HH15/'Total Value'!HG15-1)</f>
        <v/>
      </c>
      <c r="HI3" s="14" t="str">
        <f ca="1">IF(HI$1="","",'Total Value'!HI15/'Total Value'!HH15-1)</f>
        <v/>
      </c>
      <c r="HJ3" s="14" t="str">
        <f ca="1">IF(HJ$1="","",'Total Value'!HJ15/'Total Value'!HI15-1)</f>
        <v/>
      </c>
      <c r="HK3" s="14" t="str">
        <f ca="1">IF(HK$1="","",'Total Value'!HK15/'Total Value'!HJ15-1)</f>
        <v/>
      </c>
      <c r="HL3" s="14" t="str">
        <f ca="1">IF(HL$1="","",'Total Value'!HL15/'Total Value'!HK15-1)</f>
        <v/>
      </c>
      <c r="HM3" s="14" t="str">
        <f ca="1">IF(HM$1="","",'Total Value'!HM15/'Total Value'!HL15-1)</f>
        <v/>
      </c>
      <c r="HN3" s="14" t="str">
        <f ca="1">IF(HN$1="","",'Total Value'!HN15/'Total Value'!HM15-1)</f>
        <v/>
      </c>
      <c r="HO3" s="14" t="str">
        <f ca="1">IF(HO$1="","",'Total Value'!HO15/'Total Value'!HN15-1)</f>
        <v/>
      </c>
      <c r="HP3" s="14" t="str">
        <f ca="1">IF(HP$1="","",'Total Value'!HP15/'Total Value'!HO15-1)</f>
        <v/>
      </c>
      <c r="HQ3" s="14" t="str">
        <f ca="1">IF(HQ$1="","",'Total Value'!HQ15/'Total Value'!HP15-1)</f>
        <v/>
      </c>
      <c r="HR3" s="14" t="str">
        <f ca="1">IF(HR$1="","",'Total Value'!HR15/'Total Value'!HQ15-1)</f>
        <v/>
      </c>
      <c r="HS3" s="14" t="str">
        <f ca="1">IF(HS$1="","",'Total Value'!HS15/'Total Value'!HR15-1)</f>
        <v/>
      </c>
      <c r="HT3" s="14" t="str">
        <f ca="1">IF(HT$1="","",'Total Value'!HT15/'Total Value'!HS15-1)</f>
        <v/>
      </c>
      <c r="HU3" s="14" t="str">
        <f ca="1">IF(HU$1="","",'Total Value'!HU15/'Total Value'!HT15-1)</f>
        <v/>
      </c>
      <c r="HV3" s="14" t="str">
        <f ca="1">IF(HV$1="","",'Total Value'!HV15/'Total Value'!HU15-1)</f>
        <v/>
      </c>
      <c r="HW3" s="14" t="str">
        <f ca="1">IF(HW$1="","",'Total Value'!HW15/'Total Value'!HV15-1)</f>
        <v/>
      </c>
      <c r="HX3" s="14" t="str">
        <f ca="1">IF(HX$1="","",'Total Value'!HX15/'Total Value'!HW15-1)</f>
        <v/>
      </c>
      <c r="HY3" s="14" t="str">
        <f ca="1">IF(HY$1="","",'Total Value'!HY15/'Total Value'!HX15-1)</f>
        <v/>
      </c>
      <c r="HZ3" s="14" t="str">
        <f ca="1">IF(HZ$1="","",'Total Value'!HZ15/'Total Value'!HY15-1)</f>
        <v/>
      </c>
      <c r="IA3" s="14" t="str">
        <f ca="1">IF(IA$1="","",'Total Value'!IA15/'Total Value'!HZ15-1)</f>
        <v/>
      </c>
      <c r="IB3" s="14" t="str">
        <f ca="1">IF(IB$1="","",'Total Value'!IB15/'Total Value'!IA15-1)</f>
        <v/>
      </c>
      <c r="IC3" s="14" t="str">
        <f ca="1">IF(IC$1="","",'Total Value'!IC15/'Total Value'!IB15-1)</f>
        <v/>
      </c>
      <c r="ID3" s="14" t="str">
        <f ca="1">IF(ID$1="","",'Total Value'!ID15/'Total Value'!IC15-1)</f>
        <v/>
      </c>
      <c r="IE3" s="14" t="str">
        <f ca="1">IF(IE$1="","",'Total Value'!IE15/'Total Value'!ID15-1)</f>
        <v/>
      </c>
      <c r="IF3" s="14" t="str">
        <f ca="1">IF(IF$1="","",'Total Value'!IF15/'Total Value'!IE15-1)</f>
        <v/>
      </c>
      <c r="IG3" s="14" t="str">
        <f ca="1">IF(IG$1="","",'Total Value'!IG15/'Total Value'!IF15-1)</f>
        <v/>
      </c>
      <c r="IH3" s="14" t="str">
        <f ca="1">IF(IH$1="","",'Total Value'!IH15/'Total Value'!IG15-1)</f>
        <v/>
      </c>
      <c r="II3" s="14" t="str">
        <f ca="1">IF(II$1="","",'Total Value'!II15/'Total Value'!IH15-1)</f>
        <v/>
      </c>
      <c r="IJ3" s="14" t="str">
        <f ca="1">IF(IJ$1="","",'Total Value'!IJ15/'Total Value'!II15-1)</f>
        <v/>
      </c>
      <c r="IK3" s="14" t="str">
        <f ca="1">IF(IK$1="","",'Total Value'!IK15/'Total Value'!IJ15-1)</f>
        <v/>
      </c>
      <c r="IL3" s="14" t="str">
        <f ca="1">IF(IL$1="","",'Total Value'!IL15/'Total Value'!IK15-1)</f>
        <v/>
      </c>
      <c r="IM3" s="14" t="str">
        <f ca="1">IF(IM$1="","",'Total Value'!IM15/'Total Value'!IL15-1)</f>
        <v/>
      </c>
      <c r="IN3" s="14" t="str">
        <f ca="1">IF(IN$1="","",'Total Value'!IN15/'Total Value'!IM15-1)</f>
        <v/>
      </c>
      <c r="IO3" s="14" t="str">
        <f ca="1">IF(IO$1="","",'Total Value'!IO15/'Total Value'!IN15-1)</f>
        <v/>
      </c>
      <c r="IP3" s="14" t="str">
        <f ca="1">IF(IP$1="","",'Total Value'!IP15/'Total Value'!IO15-1)</f>
        <v/>
      </c>
      <c r="IQ3" s="14" t="str">
        <f ca="1">IF(IQ$1="","",'Total Value'!IQ15/'Total Value'!IP15-1)</f>
        <v/>
      </c>
      <c r="IR3" s="14" t="str">
        <f ca="1">IF(IR$1="","",'Total Value'!IR15/'Total Value'!IQ15-1)</f>
        <v/>
      </c>
      <c r="IS3" s="14" t="str">
        <f ca="1">IF(IS$1="","",'Total Value'!IS15/'Total Value'!IR15-1)</f>
        <v/>
      </c>
      <c r="IT3" s="14" t="str">
        <f ca="1">IF(IT$1="","",'Total Value'!IT15/'Total Value'!IS15-1)</f>
        <v/>
      </c>
      <c r="IU3" s="14" t="str">
        <f ca="1">IF(IU$1="","",'Total Value'!IU15/'Total Value'!IT15-1)</f>
        <v/>
      </c>
      <c r="IV3" s="14" t="str">
        <f ca="1">IF(IV$1="","",'Total Value'!IV15/'Total Value'!IU15-1)</f>
        <v/>
      </c>
      <c r="IW3" s="14" t="str">
        <f ca="1">IF(IW$1="","",'Total Value'!IW15/'Total Value'!IV15-1)</f>
        <v/>
      </c>
      <c r="IX3" s="14" t="str">
        <f ca="1">IF(IX$1="","",'Total Value'!IX15/'Total Value'!IW15-1)</f>
        <v/>
      </c>
      <c r="IY3" s="14" t="str">
        <f ca="1">IF(IY$1="","",'Total Value'!IY15/'Total Value'!IX15-1)</f>
        <v/>
      </c>
      <c r="IZ3" s="14" t="str">
        <f ca="1">IF(IZ$1="","",'Total Value'!IZ15/'Total Value'!IY15-1)</f>
        <v/>
      </c>
      <c r="JA3" s="14" t="str">
        <f ca="1">IF(JA$1="","",'Total Value'!JA15/'Total Value'!IZ15-1)</f>
        <v/>
      </c>
      <c r="JB3" s="14" t="str">
        <f ca="1">IF(JB$1="","",'Total Value'!JB15/'Total Value'!JA15-1)</f>
        <v/>
      </c>
      <c r="JC3" s="14" t="str">
        <f ca="1">IF(JC$1="","",'Total Value'!JC15/'Total Value'!JB15-1)</f>
        <v/>
      </c>
      <c r="JD3" s="14" t="str">
        <f ca="1">IF(JD$1="","",'Total Value'!JD15/'Total Value'!JC15-1)</f>
        <v/>
      </c>
      <c r="JE3" s="14" t="str">
        <f ca="1">IF(JE$1="","",'Total Value'!JE15/'Total Value'!JD15-1)</f>
        <v/>
      </c>
      <c r="JF3" s="14" t="str">
        <f ca="1">IF(JF$1="","",'Total Value'!JF15/'Total Value'!JE15-1)</f>
        <v/>
      </c>
      <c r="JG3" s="14" t="str">
        <f ca="1">IF(JG$1="","",'Total Value'!JG15/'Total Value'!JF15-1)</f>
        <v/>
      </c>
      <c r="JH3" s="14" t="str">
        <f ca="1">IF(JH$1="","",'Total Value'!JH15/'Total Value'!JG15-1)</f>
        <v/>
      </c>
      <c r="JI3" s="14" t="str">
        <f ca="1">IF(JI$1="","",'Total Value'!JI15/'Total Value'!JH15-1)</f>
        <v/>
      </c>
      <c r="JJ3" s="14" t="str">
        <f ca="1">IF(JJ$1="","",'Total Value'!JJ15/'Total Value'!JI15-1)</f>
        <v/>
      </c>
      <c r="JK3" s="14" t="str">
        <f ca="1">IF(JK$1="","",'Total Value'!JK15/'Total Value'!JJ15-1)</f>
        <v/>
      </c>
      <c r="JL3" s="14" t="str">
        <f ca="1">IF(JL$1="","",'Total Value'!JL15/'Total Value'!JK15-1)</f>
        <v/>
      </c>
      <c r="JM3" s="14" t="str">
        <f ca="1">IF(JM$1="","",'Total Value'!JM15/'Total Value'!JL15-1)</f>
        <v/>
      </c>
      <c r="JN3" s="14" t="str">
        <f ca="1">IF(JN$1="","",'Total Value'!JN15/'Total Value'!JM15-1)</f>
        <v/>
      </c>
      <c r="JO3" s="14" t="str">
        <f ca="1">IF(JO$1="","",'Total Value'!JO15/'Total Value'!JN15-1)</f>
        <v/>
      </c>
      <c r="JP3" s="14" t="str">
        <f ca="1">IF(JP$1="","",'Total Value'!JP15/'Total Value'!JO15-1)</f>
        <v/>
      </c>
      <c r="JQ3" s="14" t="str">
        <f ca="1">IF(JQ$1="","",'Total Value'!JQ15/'Total Value'!JP15-1)</f>
        <v/>
      </c>
      <c r="JR3" s="14" t="str">
        <f ca="1">IF(JR$1="","",'Total Value'!JR15/'Total Value'!JQ15-1)</f>
        <v/>
      </c>
      <c r="JS3" s="14" t="str">
        <f ca="1">IF(JS$1="","",'Total Value'!JS15/'Total Value'!JR15-1)</f>
        <v/>
      </c>
      <c r="JT3" s="14" t="str">
        <f ca="1">IF(JT$1="","",'Total Value'!JT15/'Total Value'!JS15-1)</f>
        <v/>
      </c>
      <c r="JU3" s="14" t="str">
        <f ca="1">IF(JU$1="","",'Total Value'!JU15/'Total Value'!JT15-1)</f>
        <v/>
      </c>
      <c r="JV3" s="14" t="str">
        <f ca="1">IF(JV$1="","",'Total Value'!JV15/'Total Value'!JU15-1)</f>
        <v/>
      </c>
      <c r="JW3" s="14" t="str">
        <f ca="1">IF(JW$1="","",'Total Value'!JW15/'Total Value'!JV15-1)</f>
        <v/>
      </c>
      <c r="JX3" s="14" t="str">
        <f ca="1">IF(JX$1="","",'Total Value'!JX15/'Total Value'!JW15-1)</f>
        <v/>
      </c>
      <c r="JY3" s="14" t="str">
        <f ca="1">IF(JY$1="","",'Total Value'!JY15/'Total Value'!JX15-1)</f>
        <v/>
      </c>
      <c r="JZ3" s="14" t="str">
        <f ca="1">IF(JZ$1="","",'Total Value'!JZ15/'Total Value'!JY15-1)</f>
        <v/>
      </c>
      <c r="KA3" s="14" t="str">
        <f ca="1">IF(KA$1="","",'Total Value'!KA15/'Total Value'!JZ15-1)</f>
        <v/>
      </c>
      <c r="KB3" s="14" t="str">
        <f ca="1">IF(KB$1="","",'Total Value'!KB15/'Total Value'!KA15-1)</f>
        <v/>
      </c>
    </row>
    <row r="4" spans="1:288" ht="15.75" customHeight="1">
      <c r="A4" s="22" t="s">
        <v>30</v>
      </c>
      <c r="B4" s="6" t="s">
        <v>49</v>
      </c>
      <c r="C4" s="26">
        <v>36</v>
      </c>
      <c r="D4" s="13">
        <v>0</v>
      </c>
      <c r="E4" s="14">
        <f ca="1">IF(E$1="","",'Total Value'!E16/'Total Value'!D16-1)</f>
        <v>1.9547831156291773E-2</v>
      </c>
      <c r="F4" s="14">
        <f ca="1">IF(F$1="","",'Total Value'!F16/'Total Value'!E16-1)</f>
        <v>-3.6041026374097562E-2</v>
      </c>
      <c r="G4" s="14">
        <f ca="1">IF(G$1="","",'Total Value'!G16/'Total Value'!F16-1)</f>
        <v>-2.7230429866350492E-2</v>
      </c>
      <c r="H4" s="14">
        <f ca="1">IF(H$1="","",'Total Value'!H16/'Total Value'!G16-1)</f>
        <v>-2.8583406379800724E-4</v>
      </c>
      <c r="I4" s="14">
        <f ca="1">IF(I$1="","",'Total Value'!I16/'Total Value'!H16-1)</f>
        <v>-6.6847111297485884E-2</v>
      </c>
      <c r="J4" s="14">
        <f ca="1">IF(J$1="","",'Total Value'!J16/'Total Value'!I16-1)</f>
        <v>1.6402483863060535E-2</v>
      </c>
      <c r="K4" s="14">
        <f ca="1">IF(K$1="","",'Total Value'!K16/'Total Value'!J16-1)</f>
        <v>-1.3826644426134016E-2</v>
      </c>
      <c r="L4" s="14">
        <f ca="1">IF(L$1="","",'Total Value'!L16/'Total Value'!K16-1)</f>
        <v>-5.6917527663997047E-2</v>
      </c>
      <c r="M4" s="14">
        <f ca="1">IF(M$1="","",'Total Value'!M16/'Total Value'!L16-1)</f>
        <v>2.5173948744543928E-2</v>
      </c>
      <c r="N4" s="14">
        <f ca="1">IF(N$1="","",'Total Value'!N16/'Total Value'!M16-1)</f>
        <v>-1.3574183757350977E-2</v>
      </c>
      <c r="O4" s="14">
        <f ca="1">IF(O$1="","",'Total Value'!O16/'Total Value'!N16-1)</f>
        <v>-2.271416055898634E-2</v>
      </c>
      <c r="P4" s="14">
        <f ca="1">IF(P$1="","",'Total Value'!P16/'Total Value'!O16-1)</f>
        <v>-3.8044428896274463E-3</v>
      </c>
      <c r="Q4" s="14">
        <f ca="1">IF(Q$1="","",'Total Value'!Q16/'Total Value'!P16-1)</f>
        <v>1.830472762389701E-2</v>
      </c>
      <c r="R4" s="14">
        <f ca="1">IF(R$1="","",'Total Value'!R16/'Total Value'!Q16-1)</f>
        <v>6.6816104836623813E-2</v>
      </c>
      <c r="S4" s="14">
        <f ca="1">IF(S$1="","",'Total Value'!S16/'Total Value'!R16-1)</f>
        <v>2.7476967835784905E-2</v>
      </c>
      <c r="T4" s="14">
        <f ca="1">IF(T$1="","",'Total Value'!T16/'Total Value'!S16-1)</f>
        <v>-5.7810287871638E-3</v>
      </c>
      <c r="U4" s="14">
        <f ca="1">IF(U$1="","",'Total Value'!U16/'Total Value'!T16-1)</f>
        <v>-4.5686483920730492E-3</v>
      </c>
      <c r="V4" s="14">
        <f ca="1">IF(V$1="","",'Total Value'!V16/'Total Value'!U16-1)</f>
        <v>-2.6723093123522279E-2</v>
      </c>
      <c r="W4" s="14">
        <f ca="1">IF(W$1="","",'Total Value'!W16/'Total Value'!V16-1)</f>
        <v>2.1148899685624611E-2</v>
      </c>
      <c r="X4" s="14">
        <f ca="1">IF(X$1="","",'Total Value'!X16/'Total Value'!W16-1)</f>
        <v>3.052656830994338E-2</v>
      </c>
      <c r="Y4" s="14">
        <f ca="1">IF(Y$1="","",'Total Value'!Y16/'Total Value'!X16-1)</f>
        <v>5.9070011057440697E-2</v>
      </c>
      <c r="Z4" s="14">
        <f ca="1">IF(Z$1="","",'Total Value'!Z16/'Total Value'!Y16-1)</f>
        <v>-2.4874528336447432E-2</v>
      </c>
      <c r="AA4" s="14">
        <f ca="1">IF(AA$1="","",'Total Value'!AA16/'Total Value'!Z16-1)</f>
        <v>-4.3692238334961164E-2</v>
      </c>
      <c r="AB4" s="14">
        <f ca="1">IF(AB$1="","",'Total Value'!AB16/'Total Value'!AA16-1)</f>
        <v>-6.7373796896486038E-3</v>
      </c>
      <c r="AC4" s="14">
        <f ca="1">IF(AC$1="","",'Total Value'!AC16/'Total Value'!AB16-1)</f>
        <v>4.4633852116993333E-2</v>
      </c>
      <c r="AD4" s="14">
        <f ca="1">IF(AD$1="","",'Total Value'!AD16/'Total Value'!AC16-1)</f>
        <v>-3.5211267605633756E-3</v>
      </c>
      <c r="AE4" s="14">
        <f ca="1">IF(AE$1="","",'Total Value'!AE16/'Total Value'!AD16-1)</f>
        <v>-4.6772293780158791E-2</v>
      </c>
      <c r="AF4" s="14">
        <f ca="1">IF(AF$1="","",'Total Value'!AF16/'Total Value'!AE16-1)</f>
        <v>-6.1981823979593287E-3</v>
      </c>
      <c r="AG4" s="14">
        <f ca="1">IF(AG$1="","",'Total Value'!AG16/'Total Value'!AF16-1)</f>
        <v>-9.104582372405412E-3</v>
      </c>
      <c r="AH4" s="14">
        <f ca="1">IF(AH$1="","",'Total Value'!AH16/'Total Value'!AG16-1)</f>
        <v>-2.31729776770353E-2</v>
      </c>
      <c r="AI4" s="14">
        <f ca="1">IF(AI$1="","",'Total Value'!AI16/'Total Value'!AH16-1)</f>
        <v>5.4883354742468526E-2</v>
      </c>
      <c r="AJ4" s="14">
        <f ca="1">IF(AJ$1="","",'Total Value'!AJ16/'Total Value'!AI16-1)</f>
        <v>6.6974369046448601E-3</v>
      </c>
      <c r="AK4" s="14">
        <f ca="1">IF(AK$1="","",'Total Value'!AK16/'Total Value'!AJ16-1)</f>
        <v>-2.1460902138284998E-3</v>
      </c>
      <c r="AL4" s="14">
        <f ca="1">IF(AL$1="","",'Total Value'!AL16/'Total Value'!AK16-1)</f>
        <v>-2.050991279865455E-2</v>
      </c>
      <c r="AM4" s="14">
        <f ca="1">IF(AM$1="","",'Total Value'!AM16/'Total Value'!AL16-1)</f>
        <v>-9.6412958859812825E-3</v>
      </c>
      <c r="AN4" s="14">
        <f ca="1">IF(AN$1="","",'Total Value'!AN16/'Total Value'!AM16-1)</f>
        <v>-3.767081872052247E-2</v>
      </c>
      <c r="AO4" s="14">
        <f ca="1">IF(AO$1="","",'Total Value'!AO16/'Total Value'!AN16-1)</f>
        <v>-2.7165148183055932E-2</v>
      </c>
      <c r="AP4" s="14">
        <f ca="1">IF(AP$1="","",'Total Value'!AP16/'Total Value'!AO16-1)</f>
        <v>-6.2241646572511078E-2</v>
      </c>
      <c r="AQ4" s="14">
        <f ca="1">IF(AQ$1="","",'Total Value'!AQ16/'Total Value'!AP16-1)</f>
        <v>-4.7202516243083803E-2</v>
      </c>
      <c r="AR4" s="14">
        <f ca="1">IF(AR$1="","",'Total Value'!AR16/'Total Value'!AQ16-1)</f>
        <v>6.5155056504662578E-2</v>
      </c>
      <c r="AS4" s="14">
        <f ca="1">IF(AS$1="","",'Total Value'!AS16/'Total Value'!AR16-1)</f>
        <v>-2.7055762922746363E-2</v>
      </c>
      <c r="AT4" s="14">
        <f ca="1">IF(AT$1="","",'Total Value'!AT16/'Total Value'!AS16-1)</f>
        <v>-6.8404287474714498E-2</v>
      </c>
      <c r="AU4" s="14">
        <f ca="1">IF(AU$1="","",'Total Value'!AU16/'Total Value'!AT16-1)</f>
        <v>-5.6355604362692602E-2</v>
      </c>
      <c r="AV4" s="14">
        <f ca="1">IF(AV$1="","",'Total Value'!AV16/'Total Value'!AU16-1)</f>
        <v>3.3431193631145995E-2</v>
      </c>
      <c r="AW4" s="14">
        <f ca="1">IF(AW$1="","",'Total Value'!AW16/'Total Value'!AV16-1)</f>
        <v>7.6574616743019464E-2</v>
      </c>
      <c r="AX4" s="14">
        <f ca="1">IF(AX$1="","",'Total Value'!AX16/'Total Value'!AW16-1)</f>
        <v>1.1482229882324946E-2</v>
      </c>
      <c r="AY4" s="14">
        <f ca="1">IF(AY$1="","",'Total Value'!AY16/'Total Value'!AX16-1)</f>
        <v>4.0871486321331085E-2</v>
      </c>
      <c r="AZ4" s="14">
        <f ca="1">IF(AZ$1="","",'Total Value'!AZ16/'Total Value'!AY16-1)</f>
        <v>-2.3483189197732846E-2</v>
      </c>
      <c r="BA4" s="14">
        <f ca="1">IF(BA$1="","",'Total Value'!BA16/'Total Value'!AZ16-1)</f>
        <v>5.6790066362984559E-2</v>
      </c>
      <c r="BB4" s="14">
        <f ca="1">IF(BB$1="","",'Total Value'!BB16/'Total Value'!BA16-1)</f>
        <v>-4.3695162243178709E-2</v>
      </c>
      <c r="BC4" s="14">
        <f ca="1">IF(BC$1="","",'Total Value'!BC16/'Total Value'!BB16-1)</f>
        <v>-1.8304123003706207E-3</v>
      </c>
      <c r="BD4" s="14">
        <f ca="1">IF(BD$1="","",'Total Value'!BD16/'Total Value'!BC16-1)</f>
        <v>-1.3340668408747147E-2</v>
      </c>
      <c r="BE4" s="14">
        <f ca="1">IF(BE$1="","",'Total Value'!BE16/'Total Value'!BD16-1)</f>
        <v>8.2706068209275063E-3</v>
      </c>
      <c r="BF4" s="14">
        <f ca="1">IF(BF$1="","",'Total Value'!BF16/'Total Value'!BE16-1)</f>
        <v>4.3640552995391824E-2</v>
      </c>
      <c r="BG4" s="14">
        <f ca="1">IF(BG$1="","",'Total Value'!BG16/'Total Value'!BF16-1)</f>
        <v>-2.3777983838919048E-2</v>
      </c>
      <c r="BH4" s="14">
        <f ca="1">IF(BH$1="","",'Total Value'!BH16/'Total Value'!BG16-1)</f>
        <v>-1.395390912997263E-2</v>
      </c>
      <c r="BI4" s="14">
        <f ca="1">IF(BI$1="","",'Total Value'!BI16/'Total Value'!BH16-1)</f>
        <v>2.3876146788990749E-2</v>
      </c>
      <c r="BJ4" s="14">
        <f ca="1">IF(BJ$1="","",'Total Value'!BJ16/'Total Value'!BI16-1)</f>
        <v>-2.2848950516342059E-3</v>
      </c>
      <c r="BK4" s="14">
        <f ca="1">IF(BK$1="","",'Total Value'!BK16/'Total Value'!BJ16-1)</f>
        <v>-1.9286468039246385E-2</v>
      </c>
      <c r="BL4" s="14">
        <f ca="1">IF(BL$1="","",'Total Value'!BL16/'Total Value'!BK16-1)</f>
        <v>-3.4478021978022078E-2</v>
      </c>
      <c r="BM4" s="14">
        <f ca="1">IF(BM$1="","",'Total Value'!BM16/'Total Value'!BL16-1)</f>
        <v>1.0432968179447943E-3</v>
      </c>
      <c r="BN4" s="14">
        <f ca="1">IF(BN$1="","",'Total Value'!BN16/'Total Value'!BM16-1)</f>
        <v>-3.8372258278459581E-3</v>
      </c>
      <c r="BO4" s="14">
        <f ca="1">IF(BO$1="","",'Total Value'!BO16/'Total Value'!BN16-1)</f>
        <v>-2.5846490393760635E-2</v>
      </c>
      <c r="BP4" s="14">
        <f ca="1">IF(BP$1="","",'Total Value'!BP16/'Total Value'!BO16-1)</f>
        <v>-8.445409944104032E-3</v>
      </c>
      <c r="BQ4" s="14">
        <f ca="1">IF(BQ$1="","",'Total Value'!BQ16/'Total Value'!BP16-1)</f>
        <v>2.6290525072003579E-2</v>
      </c>
      <c r="BR4" s="14">
        <f ca="1">IF(BR$1="","",'Total Value'!BR16/'Total Value'!BQ16-1)</f>
        <v>-1.7006068456021706E-2</v>
      </c>
      <c r="BS4" s="14">
        <f ca="1">IF(BS$1="","",'Total Value'!BS16/'Total Value'!BR16-1)</f>
        <v>-9.6139768678932258E-3</v>
      </c>
      <c r="BT4" s="14">
        <f ca="1">IF(BT$1="","",'Total Value'!BT16/'Total Value'!BS16-1)</f>
        <v>4.5974179560461126E-2</v>
      </c>
      <c r="BU4" s="14">
        <f ca="1">IF(BU$1="","",'Total Value'!BU16/'Total Value'!BT16-1)</f>
        <v>-1.2625429877043404E-2</v>
      </c>
      <c r="BV4" s="14">
        <f ca="1">IF(BV$1="","",'Total Value'!BV16/'Total Value'!BU16-1)</f>
        <v>-8.48084355169616E-2</v>
      </c>
      <c r="BW4" s="14">
        <f ca="1">IF(BW$1="","",'Total Value'!BW16/'Total Value'!BV16-1)</f>
        <v>-6.0110001824674852E-2</v>
      </c>
      <c r="BX4" s="14">
        <f ca="1">IF(BX$1="","",'Total Value'!BX16/'Total Value'!BW16-1)</f>
        <v>2.2991374767728834E-2</v>
      </c>
      <c r="BY4" s="14">
        <f ca="1">IF(BY$1="","",'Total Value'!BY16/'Total Value'!BX16-1)</f>
        <v>-2.0495580979233319E-2</v>
      </c>
      <c r="BZ4" s="14">
        <f ca="1">IF(BZ$1="","",'Total Value'!BZ16/'Total Value'!BY16-1)</f>
        <v>-2.40797121505687E-3</v>
      </c>
      <c r="CA4" s="14">
        <f ca="1">IF(CA$1="","",'Total Value'!CA16/'Total Value'!BZ16-1)</f>
        <v>-0.15473184807036033</v>
      </c>
      <c r="CB4" s="14">
        <f ca="1">IF(CB$1="","",'Total Value'!CB16/'Total Value'!CA16-1)</f>
        <v>-4.8414626140615757E-2</v>
      </c>
      <c r="CC4" s="14">
        <f ca="1">IF(CC$1="","",'Total Value'!CC16/'Total Value'!CB16-1)</f>
        <v>6.5434100238005E-2</v>
      </c>
      <c r="CD4" s="14">
        <f ca="1">IF(CD$1="","",'Total Value'!CD16/'Total Value'!CC16-1)</f>
        <v>-2.5446775446775538E-2</v>
      </c>
      <c r="CE4" s="14">
        <f ca="1">IF(CE$1="","",'Total Value'!CE16/'Total Value'!CD16-1)</f>
        <v>3.2788519035280128E-2</v>
      </c>
      <c r="CF4" s="14" t="str">
        <f ca="1">IF(CF$1="","",'Total Value'!CF16/'Total Value'!CE16-1)</f>
        <v/>
      </c>
      <c r="CG4" s="14" t="str">
        <f ca="1">IF(CG$1="","",'Total Value'!CG16/'Total Value'!CF16-1)</f>
        <v/>
      </c>
      <c r="CH4" s="14" t="str">
        <f ca="1">IF(CH$1="","",'Total Value'!CH16/'Total Value'!CG16-1)</f>
        <v/>
      </c>
      <c r="CI4" s="14" t="str">
        <f ca="1">IF(CI$1="","",'Total Value'!CI16/'Total Value'!CH16-1)</f>
        <v/>
      </c>
      <c r="CJ4" s="14" t="str">
        <f ca="1">IF(CJ$1="","",'Total Value'!CJ16/'Total Value'!CI16-1)</f>
        <v/>
      </c>
      <c r="CK4" s="14" t="str">
        <f ca="1">IF(CK$1="","",'Total Value'!CK16/'Total Value'!CJ16-1)</f>
        <v/>
      </c>
      <c r="CL4" s="14" t="str">
        <f ca="1">IF(CL$1="","",'Total Value'!CL16/'Total Value'!CK16-1)</f>
        <v/>
      </c>
      <c r="CM4" s="14" t="str">
        <f ca="1">IF(CM$1="","",'Total Value'!CM16/'Total Value'!CL16-1)</f>
        <v/>
      </c>
      <c r="CN4" s="14" t="str">
        <f ca="1">IF(CN$1="","",'Total Value'!CN16/'Total Value'!CM16-1)</f>
        <v/>
      </c>
      <c r="CO4" s="14" t="str">
        <f ca="1">IF(CO$1="","",'Total Value'!CO16/'Total Value'!CN16-1)</f>
        <v/>
      </c>
      <c r="CP4" s="14" t="str">
        <f ca="1">IF(CP$1="","",'Total Value'!CP16/'Total Value'!CO16-1)</f>
        <v/>
      </c>
      <c r="CQ4" s="14" t="str">
        <f ca="1">IF(CQ$1="","",'Total Value'!CQ16/'Total Value'!CP16-1)</f>
        <v/>
      </c>
      <c r="CR4" s="14" t="str">
        <f ca="1">IF(CR$1="","",'Total Value'!CR16/'Total Value'!CQ16-1)</f>
        <v/>
      </c>
      <c r="CS4" s="14" t="str">
        <f ca="1">IF(CS$1="","",'Total Value'!CS16/'Total Value'!CR16-1)</f>
        <v/>
      </c>
      <c r="CT4" s="14" t="str">
        <f ca="1">IF(CT$1="","",'Total Value'!CT16/'Total Value'!CS16-1)</f>
        <v/>
      </c>
      <c r="CU4" s="14" t="str">
        <f ca="1">IF(CU$1="","",'Total Value'!CU16/'Total Value'!CT16-1)</f>
        <v/>
      </c>
      <c r="CV4" s="14" t="str">
        <f ca="1">IF(CV$1="","",'Total Value'!CV16/'Total Value'!CU16-1)</f>
        <v/>
      </c>
      <c r="CW4" s="14" t="str">
        <f ca="1">IF(CW$1="","",'Total Value'!CW16/'Total Value'!CV16-1)</f>
        <v/>
      </c>
      <c r="CX4" s="14" t="str">
        <f ca="1">IF(CX$1="","",'Total Value'!CX16/'Total Value'!CW16-1)</f>
        <v/>
      </c>
      <c r="CY4" s="14" t="str">
        <f ca="1">IF(CY$1="","",'Total Value'!CY16/'Total Value'!CX16-1)</f>
        <v/>
      </c>
      <c r="CZ4" s="14" t="str">
        <f ca="1">IF(CZ$1="","",'Total Value'!CZ16/'Total Value'!CY16-1)</f>
        <v/>
      </c>
      <c r="DA4" s="14" t="str">
        <f ca="1">IF(DA$1="","",'Total Value'!DA16/'Total Value'!CZ16-1)</f>
        <v/>
      </c>
      <c r="DB4" s="14" t="str">
        <f ca="1">IF(DB$1="","",'Total Value'!DB16/'Total Value'!DA16-1)</f>
        <v/>
      </c>
      <c r="DC4" s="14" t="str">
        <f ca="1">IF(DC$1="","",'Total Value'!DC16/'Total Value'!DB16-1)</f>
        <v/>
      </c>
      <c r="DD4" s="14" t="str">
        <f ca="1">IF(DD$1="","",'Total Value'!DD16/'Total Value'!DC16-1)</f>
        <v/>
      </c>
      <c r="DE4" s="14" t="str">
        <f ca="1">IF(DE$1="","",'Total Value'!DE16/'Total Value'!DD16-1)</f>
        <v/>
      </c>
      <c r="DF4" s="14" t="str">
        <f ca="1">IF(DF$1="","",'Total Value'!DF16/'Total Value'!DE16-1)</f>
        <v/>
      </c>
      <c r="DG4" s="14" t="str">
        <f ca="1">IF(DG$1="","",'Total Value'!DG16/'Total Value'!DF16-1)</f>
        <v/>
      </c>
      <c r="DH4" s="14" t="str">
        <f ca="1">IF(DH$1="","",'Total Value'!DH16/'Total Value'!DG16-1)</f>
        <v/>
      </c>
      <c r="DI4" s="14" t="str">
        <f ca="1">IF(DI$1="","",'Total Value'!DI16/'Total Value'!DH16-1)</f>
        <v/>
      </c>
      <c r="DJ4" s="14" t="str">
        <f ca="1">IF(DJ$1="","",'Total Value'!DJ16/'Total Value'!DI16-1)</f>
        <v/>
      </c>
      <c r="DK4" s="14" t="str">
        <f ca="1">IF(DK$1="","",'Total Value'!DK16/'Total Value'!DJ16-1)</f>
        <v/>
      </c>
      <c r="DL4" s="14" t="str">
        <f ca="1">IF(DL$1="","",'Total Value'!DL16/'Total Value'!DK16-1)</f>
        <v/>
      </c>
      <c r="DM4" s="14" t="str">
        <f ca="1">IF(DM$1="","",'Total Value'!DM16/'Total Value'!DL16-1)</f>
        <v/>
      </c>
      <c r="DN4" s="14" t="str">
        <f ca="1">IF(DN$1="","",'Total Value'!DN16/'Total Value'!DM16-1)</f>
        <v/>
      </c>
      <c r="DO4" s="14" t="str">
        <f ca="1">IF(DO$1="","",'Total Value'!DO16/'Total Value'!DN16-1)</f>
        <v/>
      </c>
      <c r="DP4" s="14" t="str">
        <f ca="1">IF(DP$1="","",'Total Value'!DP16/'Total Value'!DO16-1)</f>
        <v/>
      </c>
      <c r="DQ4" s="14" t="str">
        <f ca="1">IF(DQ$1="","",'Total Value'!DQ16/'Total Value'!DP16-1)</f>
        <v/>
      </c>
      <c r="DR4" s="14" t="str">
        <f ca="1">IF(DR$1="","",'Total Value'!DR16/'Total Value'!DQ16-1)</f>
        <v/>
      </c>
      <c r="DS4" s="14" t="str">
        <f ca="1">IF(DS$1="","",'Total Value'!DS16/'Total Value'!DR16-1)</f>
        <v/>
      </c>
      <c r="DT4" s="14" t="str">
        <f ca="1">IF(DT$1="","",'Total Value'!DT16/'Total Value'!DS16-1)</f>
        <v/>
      </c>
      <c r="DU4" s="14" t="str">
        <f ca="1">IF(DU$1="","",'Total Value'!DU16/'Total Value'!DT16-1)</f>
        <v/>
      </c>
      <c r="DV4" s="14" t="str">
        <f ca="1">IF(DV$1="","",'Total Value'!DV16/'Total Value'!DU16-1)</f>
        <v/>
      </c>
      <c r="DW4" s="14" t="str">
        <f ca="1">IF(DW$1="","",'Total Value'!DW16/'Total Value'!DV16-1)</f>
        <v/>
      </c>
      <c r="DX4" s="14" t="str">
        <f ca="1">IF(DX$1="","",'Total Value'!DX16/'Total Value'!DW16-1)</f>
        <v/>
      </c>
      <c r="DY4" s="14" t="str">
        <f ca="1">IF(DY$1="","",'Total Value'!DY16/'Total Value'!DX16-1)</f>
        <v/>
      </c>
      <c r="DZ4" s="14" t="str">
        <f ca="1">IF(DZ$1="","",'Total Value'!DZ16/'Total Value'!DY16-1)</f>
        <v/>
      </c>
      <c r="EA4" s="14" t="str">
        <f ca="1">IF(EA$1="","",'Total Value'!EA16/'Total Value'!DZ16-1)</f>
        <v/>
      </c>
      <c r="EB4" s="14" t="str">
        <f ca="1">IF(EB$1="","",'Total Value'!EB16/'Total Value'!EA16-1)</f>
        <v/>
      </c>
      <c r="EC4" s="14" t="str">
        <f ca="1">IF(EC$1="","",'Total Value'!EC16/'Total Value'!EB16-1)</f>
        <v/>
      </c>
      <c r="ED4" s="14" t="str">
        <f ca="1">IF(ED$1="","",'Total Value'!ED16/'Total Value'!EC16-1)</f>
        <v/>
      </c>
      <c r="EE4" s="14" t="str">
        <f ca="1">IF(EE$1="","",'Total Value'!EE16/'Total Value'!ED16-1)</f>
        <v/>
      </c>
      <c r="EF4" s="14" t="str">
        <f ca="1">IF(EF$1="","",'Total Value'!EF16/'Total Value'!EE16-1)</f>
        <v/>
      </c>
      <c r="EG4" s="14" t="str">
        <f ca="1">IF(EG$1="","",'Total Value'!EG16/'Total Value'!EF16-1)</f>
        <v/>
      </c>
      <c r="EH4" s="14" t="str">
        <f ca="1">IF(EH$1="","",'Total Value'!EH16/'Total Value'!EG16-1)</f>
        <v/>
      </c>
      <c r="EI4" s="14" t="str">
        <f ca="1">IF(EI$1="","",'Total Value'!EI16/'Total Value'!EH16-1)</f>
        <v/>
      </c>
      <c r="EJ4" s="14" t="str">
        <f ca="1">IF(EJ$1="","",'Total Value'!EJ16/'Total Value'!EI16-1)</f>
        <v/>
      </c>
      <c r="EK4" s="14" t="str">
        <f ca="1">IF(EK$1="","",'Total Value'!EK16/'Total Value'!EJ16-1)</f>
        <v/>
      </c>
      <c r="EL4" s="14" t="str">
        <f ca="1">IF(EL$1="","",'Total Value'!EL16/'Total Value'!EK16-1)</f>
        <v/>
      </c>
      <c r="EM4" s="14" t="str">
        <f ca="1">IF(EM$1="","",'Total Value'!EM16/'Total Value'!EL16-1)</f>
        <v/>
      </c>
      <c r="EN4" s="14" t="str">
        <f ca="1">IF(EN$1="","",'Total Value'!EN16/'Total Value'!EM16-1)</f>
        <v/>
      </c>
      <c r="EO4" s="14" t="str">
        <f ca="1">IF(EO$1="","",'Total Value'!EO16/'Total Value'!EN16-1)</f>
        <v/>
      </c>
      <c r="EP4" s="14" t="str">
        <f ca="1">IF(EP$1="","",'Total Value'!EP16/'Total Value'!EO16-1)</f>
        <v/>
      </c>
      <c r="EQ4" s="14" t="str">
        <f ca="1">IF(EQ$1="","",'Total Value'!EQ16/'Total Value'!EP16-1)</f>
        <v/>
      </c>
      <c r="ER4" s="14" t="str">
        <f ca="1">IF(ER$1="","",'Total Value'!ER16/'Total Value'!EQ16-1)</f>
        <v/>
      </c>
      <c r="ES4" s="14" t="str">
        <f ca="1">IF(ES$1="","",'Total Value'!ES16/'Total Value'!ER16-1)</f>
        <v/>
      </c>
      <c r="ET4" s="14" t="str">
        <f ca="1">IF(ET$1="","",'Total Value'!ET16/'Total Value'!ES16-1)</f>
        <v/>
      </c>
      <c r="EU4" s="14" t="str">
        <f ca="1">IF(EU$1="","",'Total Value'!EU16/'Total Value'!ET16-1)</f>
        <v/>
      </c>
      <c r="EV4" s="14" t="str">
        <f ca="1">IF(EV$1="","",'Total Value'!EV16/'Total Value'!EU16-1)</f>
        <v/>
      </c>
      <c r="EW4" s="14" t="str">
        <f ca="1">IF(EW$1="","",'Total Value'!EW16/'Total Value'!EV16-1)</f>
        <v/>
      </c>
      <c r="EX4" s="14" t="str">
        <f ca="1">IF(EX$1="","",'Total Value'!EX16/'Total Value'!EW16-1)</f>
        <v/>
      </c>
      <c r="EY4" s="14" t="str">
        <f ca="1">IF(EY$1="","",'Total Value'!EY16/'Total Value'!EX16-1)</f>
        <v/>
      </c>
      <c r="EZ4" s="14" t="str">
        <f ca="1">IF(EZ$1="","",'Total Value'!EZ16/'Total Value'!EY16-1)</f>
        <v/>
      </c>
      <c r="FA4" s="14" t="str">
        <f ca="1">IF(FA$1="","",'Total Value'!FA16/'Total Value'!EZ16-1)</f>
        <v/>
      </c>
      <c r="FB4" s="14" t="str">
        <f ca="1">IF(FB$1="","",'Total Value'!FB16/'Total Value'!FA16-1)</f>
        <v/>
      </c>
      <c r="FC4" s="14" t="str">
        <f ca="1">IF(FC$1="","",'Total Value'!FC16/'Total Value'!FB16-1)</f>
        <v/>
      </c>
      <c r="FD4" s="14" t="str">
        <f ca="1">IF(FD$1="","",'Total Value'!FD16/'Total Value'!FC16-1)</f>
        <v/>
      </c>
      <c r="FE4" s="14" t="str">
        <f ca="1">IF(FE$1="","",'Total Value'!FE16/'Total Value'!FD16-1)</f>
        <v/>
      </c>
      <c r="FF4" s="14" t="str">
        <f ca="1">IF(FF$1="","",'Total Value'!FF16/'Total Value'!FE16-1)</f>
        <v/>
      </c>
      <c r="FG4" s="14" t="str">
        <f ca="1">IF(FG$1="","",'Total Value'!FG16/'Total Value'!FF16-1)</f>
        <v/>
      </c>
      <c r="FH4" s="14" t="str">
        <f ca="1">IF(FH$1="","",'Total Value'!FH16/'Total Value'!FG16-1)</f>
        <v/>
      </c>
      <c r="FI4" s="14" t="str">
        <f ca="1">IF(FI$1="","",'Total Value'!FI16/'Total Value'!FH16-1)</f>
        <v/>
      </c>
      <c r="FJ4" s="14" t="str">
        <f ca="1">IF(FJ$1="","",'Total Value'!FJ16/'Total Value'!FI16-1)</f>
        <v/>
      </c>
      <c r="FK4" s="14" t="str">
        <f ca="1">IF(FK$1="","",'Total Value'!FK16/'Total Value'!FJ16-1)</f>
        <v/>
      </c>
      <c r="FL4" s="14" t="str">
        <f ca="1">IF(FL$1="","",'Total Value'!FL16/'Total Value'!FK16-1)</f>
        <v/>
      </c>
      <c r="FM4" s="14" t="str">
        <f ca="1">IF(FM$1="","",'Total Value'!FM16/'Total Value'!FL16-1)</f>
        <v/>
      </c>
      <c r="FN4" s="14" t="str">
        <f ca="1">IF(FN$1="","",'Total Value'!FN16/'Total Value'!FM16-1)</f>
        <v/>
      </c>
      <c r="FO4" s="14" t="str">
        <f ca="1">IF(FO$1="","",'Total Value'!FO16/'Total Value'!FN16-1)</f>
        <v/>
      </c>
      <c r="FP4" s="14" t="str">
        <f ca="1">IF(FP$1="","",'Total Value'!FP16/'Total Value'!FO16-1)</f>
        <v/>
      </c>
      <c r="FQ4" s="14" t="str">
        <f ca="1">IF(FQ$1="","",'Total Value'!FQ16/'Total Value'!FP16-1)</f>
        <v/>
      </c>
      <c r="FR4" s="14" t="str">
        <f ca="1">IF(FR$1="","",'Total Value'!FR16/'Total Value'!FQ16-1)</f>
        <v/>
      </c>
      <c r="FS4" s="14" t="str">
        <f ca="1">IF(FS$1="","",'Total Value'!FS16/'Total Value'!FR16-1)</f>
        <v/>
      </c>
      <c r="FT4" s="14" t="str">
        <f ca="1">IF(FT$1="","",'Total Value'!FT16/'Total Value'!FS16-1)</f>
        <v/>
      </c>
      <c r="FU4" s="14" t="str">
        <f ca="1">IF(FU$1="","",'Total Value'!FU16/'Total Value'!FT16-1)</f>
        <v/>
      </c>
      <c r="FV4" s="14" t="str">
        <f ca="1">IF(FV$1="","",'Total Value'!FV16/'Total Value'!FU16-1)</f>
        <v/>
      </c>
      <c r="FW4" s="14" t="str">
        <f ca="1">IF(FW$1="","",'Total Value'!FW16/'Total Value'!FV16-1)</f>
        <v/>
      </c>
      <c r="FX4" s="14" t="str">
        <f ca="1">IF(FX$1="","",'Total Value'!FX16/'Total Value'!FW16-1)</f>
        <v/>
      </c>
      <c r="FY4" s="14" t="str">
        <f ca="1">IF(FY$1="","",'Total Value'!FY16/'Total Value'!FX16-1)</f>
        <v/>
      </c>
      <c r="FZ4" s="14" t="str">
        <f ca="1">IF(FZ$1="","",'Total Value'!FZ16/'Total Value'!FY16-1)</f>
        <v/>
      </c>
      <c r="GA4" s="14" t="str">
        <f ca="1">IF(GA$1="","",'Total Value'!GA16/'Total Value'!FZ16-1)</f>
        <v/>
      </c>
      <c r="GB4" s="14" t="str">
        <f ca="1">IF(GB$1="","",'Total Value'!GB16/'Total Value'!GA16-1)</f>
        <v/>
      </c>
      <c r="GC4" s="14" t="str">
        <f ca="1">IF(GC$1="","",'Total Value'!GC16/'Total Value'!GB16-1)</f>
        <v/>
      </c>
      <c r="GD4" s="14" t="str">
        <f ca="1">IF(GD$1="","",'Total Value'!GD16/'Total Value'!GC16-1)</f>
        <v/>
      </c>
      <c r="GE4" s="14" t="str">
        <f ca="1">IF(GE$1="","",'Total Value'!GE16/'Total Value'!GD16-1)</f>
        <v/>
      </c>
      <c r="GF4" s="14" t="str">
        <f ca="1">IF(GF$1="","",'Total Value'!GF16/'Total Value'!GE16-1)</f>
        <v/>
      </c>
      <c r="GG4" s="14" t="str">
        <f ca="1">IF(GG$1="","",'Total Value'!GG16/'Total Value'!GF16-1)</f>
        <v/>
      </c>
      <c r="GH4" s="14" t="str">
        <f ca="1">IF(GH$1="","",'Total Value'!GH16/'Total Value'!GG16-1)</f>
        <v/>
      </c>
      <c r="GI4" s="14" t="str">
        <f ca="1">IF(GI$1="","",'Total Value'!GI16/'Total Value'!GH16-1)</f>
        <v/>
      </c>
      <c r="GJ4" s="14" t="str">
        <f ca="1">IF(GJ$1="","",'Total Value'!GJ16/'Total Value'!GI16-1)</f>
        <v/>
      </c>
      <c r="GK4" s="14" t="str">
        <f ca="1">IF(GK$1="","",'Total Value'!GK16/'Total Value'!GJ16-1)</f>
        <v/>
      </c>
      <c r="GL4" s="14" t="str">
        <f ca="1">IF(GL$1="","",'Total Value'!GL16/'Total Value'!GK16-1)</f>
        <v/>
      </c>
      <c r="GM4" s="14" t="str">
        <f ca="1">IF(GM$1="","",'Total Value'!GM16/'Total Value'!GL16-1)</f>
        <v/>
      </c>
      <c r="GN4" s="14" t="str">
        <f ca="1">IF(GN$1="","",'Total Value'!GN16/'Total Value'!GM16-1)</f>
        <v/>
      </c>
      <c r="GO4" s="14" t="str">
        <f ca="1">IF(GO$1="","",'Total Value'!GO16/'Total Value'!GN16-1)</f>
        <v/>
      </c>
      <c r="GP4" s="14" t="str">
        <f ca="1">IF(GP$1="","",'Total Value'!GP16/'Total Value'!GO16-1)</f>
        <v/>
      </c>
      <c r="GQ4" s="14" t="str">
        <f ca="1">IF(GQ$1="","",'Total Value'!GQ16/'Total Value'!GP16-1)</f>
        <v/>
      </c>
      <c r="GR4" s="14" t="str">
        <f ca="1">IF(GR$1="","",'Total Value'!GR16/'Total Value'!GQ16-1)</f>
        <v/>
      </c>
      <c r="GS4" s="14" t="str">
        <f ca="1">IF(GS$1="","",'Total Value'!GS16/'Total Value'!GR16-1)</f>
        <v/>
      </c>
      <c r="GT4" s="14" t="str">
        <f ca="1">IF(GT$1="","",'Total Value'!GT16/'Total Value'!GS16-1)</f>
        <v/>
      </c>
      <c r="GU4" s="14" t="str">
        <f ca="1">IF(GU$1="","",'Total Value'!GU16/'Total Value'!GT16-1)</f>
        <v/>
      </c>
      <c r="GV4" s="14" t="str">
        <f ca="1">IF(GV$1="","",'Total Value'!GV16/'Total Value'!GU16-1)</f>
        <v/>
      </c>
      <c r="GW4" s="14" t="str">
        <f ca="1">IF(GW$1="","",'Total Value'!GW16/'Total Value'!GV16-1)</f>
        <v/>
      </c>
      <c r="GX4" s="14" t="str">
        <f ca="1">IF(GX$1="","",'Total Value'!GX16/'Total Value'!GW16-1)</f>
        <v/>
      </c>
      <c r="GY4" s="14" t="str">
        <f ca="1">IF(GY$1="","",'Total Value'!GY16/'Total Value'!GX16-1)</f>
        <v/>
      </c>
      <c r="GZ4" s="14" t="str">
        <f ca="1">IF(GZ$1="","",'Total Value'!GZ16/'Total Value'!GY16-1)</f>
        <v/>
      </c>
      <c r="HA4" s="14" t="str">
        <f ca="1">IF(HA$1="","",'Total Value'!HA16/'Total Value'!GZ16-1)</f>
        <v/>
      </c>
      <c r="HB4" s="14" t="str">
        <f ca="1">IF(HB$1="","",'Total Value'!HB16/'Total Value'!HA16-1)</f>
        <v/>
      </c>
      <c r="HC4" s="14" t="str">
        <f ca="1">IF(HC$1="","",'Total Value'!HC16/'Total Value'!HB16-1)</f>
        <v/>
      </c>
      <c r="HD4" s="14" t="str">
        <f ca="1">IF(HD$1="","",'Total Value'!HD16/'Total Value'!HC16-1)</f>
        <v/>
      </c>
      <c r="HE4" s="14" t="str">
        <f ca="1">IF(HE$1="","",'Total Value'!HE16/'Total Value'!HD16-1)</f>
        <v/>
      </c>
      <c r="HF4" s="14" t="str">
        <f ca="1">IF(HF$1="","",'Total Value'!HF16/'Total Value'!HE16-1)</f>
        <v/>
      </c>
      <c r="HG4" s="14" t="str">
        <f ca="1">IF(HG$1="","",'Total Value'!HG16/'Total Value'!HF16-1)</f>
        <v/>
      </c>
      <c r="HH4" s="14" t="str">
        <f ca="1">IF(HH$1="","",'Total Value'!HH16/'Total Value'!HG16-1)</f>
        <v/>
      </c>
      <c r="HI4" s="14" t="str">
        <f ca="1">IF(HI$1="","",'Total Value'!HI16/'Total Value'!HH16-1)</f>
        <v/>
      </c>
      <c r="HJ4" s="14" t="str">
        <f ca="1">IF(HJ$1="","",'Total Value'!HJ16/'Total Value'!HI16-1)</f>
        <v/>
      </c>
      <c r="HK4" s="14" t="str">
        <f ca="1">IF(HK$1="","",'Total Value'!HK16/'Total Value'!HJ16-1)</f>
        <v/>
      </c>
      <c r="HL4" s="14" t="str">
        <f ca="1">IF(HL$1="","",'Total Value'!HL16/'Total Value'!HK16-1)</f>
        <v/>
      </c>
      <c r="HM4" s="14" t="str">
        <f ca="1">IF(HM$1="","",'Total Value'!HM16/'Total Value'!HL16-1)</f>
        <v/>
      </c>
      <c r="HN4" s="14" t="str">
        <f ca="1">IF(HN$1="","",'Total Value'!HN16/'Total Value'!HM16-1)</f>
        <v/>
      </c>
      <c r="HO4" s="14" t="str">
        <f ca="1">IF(HO$1="","",'Total Value'!HO16/'Total Value'!HN16-1)</f>
        <v/>
      </c>
      <c r="HP4" s="14" t="str">
        <f ca="1">IF(HP$1="","",'Total Value'!HP16/'Total Value'!HO16-1)</f>
        <v/>
      </c>
      <c r="HQ4" s="14" t="str">
        <f ca="1">IF(HQ$1="","",'Total Value'!HQ16/'Total Value'!HP16-1)</f>
        <v/>
      </c>
      <c r="HR4" s="14" t="str">
        <f ca="1">IF(HR$1="","",'Total Value'!HR16/'Total Value'!HQ16-1)</f>
        <v/>
      </c>
      <c r="HS4" s="14" t="str">
        <f ca="1">IF(HS$1="","",'Total Value'!HS16/'Total Value'!HR16-1)</f>
        <v/>
      </c>
      <c r="HT4" s="14" t="str">
        <f ca="1">IF(HT$1="","",'Total Value'!HT16/'Total Value'!HS16-1)</f>
        <v/>
      </c>
      <c r="HU4" s="14" t="str">
        <f ca="1">IF(HU$1="","",'Total Value'!HU16/'Total Value'!HT16-1)</f>
        <v/>
      </c>
      <c r="HV4" s="14" t="str">
        <f ca="1">IF(HV$1="","",'Total Value'!HV16/'Total Value'!HU16-1)</f>
        <v/>
      </c>
      <c r="HW4" s="14" t="str">
        <f ca="1">IF(HW$1="","",'Total Value'!HW16/'Total Value'!HV16-1)</f>
        <v/>
      </c>
      <c r="HX4" s="14" t="str">
        <f ca="1">IF(HX$1="","",'Total Value'!HX16/'Total Value'!HW16-1)</f>
        <v/>
      </c>
      <c r="HY4" s="14" t="str">
        <f ca="1">IF(HY$1="","",'Total Value'!HY16/'Total Value'!HX16-1)</f>
        <v/>
      </c>
      <c r="HZ4" s="14" t="str">
        <f ca="1">IF(HZ$1="","",'Total Value'!HZ16/'Total Value'!HY16-1)</f>
        <v/>
      </c>
      <c r="IA4" s="14" t="str">
        <f ca="1">IF(IA$1="","",'Total Value'!IA16/'Total Value'!HZ16-1)</f>
        <v/>
      </c>
      <c r="IB4" s="14" t="str">
        <f ca="1">IF(IB$1="","",'Total Value'!IB16/'Total Value'!IA16-1)</f>
        <v/>
      </c>
      <c r="IC4" s="14" t="str">
        <f ca="1">IF(IC$1="","",'Total Value'!IC16/'Total Value'!IB16-1)</f>
        <v/>
      </c>
      <c r="ID4" s="14" t="str">
        <f ca="1">IF(ID$1="","",'Total Value'!ID16/'Total Value'!IC16-1)</f>
        <v/>
      </c>
      <c r="IE4" s="14" t="str">
        <f ca="1">IF(IE$1="","",'Total Value'!IE16/'Total Value'!ID16-1)</f>
        <v/>
      </c>
      <c r="IF4" s="14" t="str">
        <f ca="1">IF(IF$1="","",'Total Value'!IF16/'Total Value'!IE16-1)</f>
        <v/>
      </c>
      <c r="IG4" s="14" t="str">
        <f ca="1">IF(IG$1="","",'Total Value'!IG16/'Total Value'!IF16-1)</f>
        <v/>
      </c>
      <c r="IH4" s="14" t="str">
        <f ca="1">IF(IH$1="","",'Total Value'!IH16/'Total Value'!IG16-1)</f>
        <v/>
      </c>
      <c r="II4" s="14" t="str">
        <f ca="1">IF(II$1="","",'Total Value'!II16/'Total Value'!IH16-1)</f>
        <v/>
      </c>
      <c r="IJ4" s="14" t="str">
        <f ca="1">IF(IJ$1="","",'Total Value'!IJ16/'Total Value'!II16-1)</f>
        <v/>
      </c>
      <c r="IK4" s="14" t="str">
        <f ca="1">IF(IK$1="","",'Total Value'!IK16/'Total Value'!IJ16-1)</f>
        <v/>
      </c>
      <c r="IL4" s="14" t="str">
        <f ca="1">IF(IL$1="","",'Total Value'!IL16/'Total Value'!IK16-1)</f>
        <v/>
      </c>
      <c r="IM4" s="14" t="str">
        <f ca="1">IF(IM$1="","",'Total Value'!IM16/'Total Value'!IL16-1)</f>
        <v/>
      </c>
      <c r="IN4" s="14" t="str">
        <f ca="1">IF(IN$1="","",'Total Value'!IN16/'Total Value'!IM16-1)</f>
        <v/>
      </c>
      <c r="IO4" s="14" t="str">
        <f ca="1">IF(IO$1="","",'Total Value'!IO16/'Total Value'!IN16-1)</f>
        <v/>
      </c>
      <c r="IP4" s="14" t="str">
        <f ca="1">IF(IP$1="","",'Total Value'!IP16/'Total Value'!IO16-1)</f>
        <v/>
      </c>
      <c r="IQ4" s="14" t="str">
        <f ca="1">IF(IQ$1="","",'Total Value'!IQ16/'Total Value'!IP16-1)</f>
        <v/>
      </c>
      <c r="IR4" s="14" t="str">
        <f ca="1">IF(IR$1="","",'Total Value'!IR16/'Total Value'!IQ16-1)</f>
        <v/>
      </c>
      <c r="IS4" s="14" t="str">
        <f ca="1">IF(IS$1="","",'Total Value'!IS16/'Total Value'!IR16-1)</f>
        <v/>
      </c>
      <c r="IT4" s="14" t="str">
        <f ca="1">IF(IT$1="","",'Total Value'!IT16/'Total Value'!IS16-1)</f>
        <v/>
      </c>
      <c r="IU4" s="14" t="str">
        <f ca="1">IF(IU$1="","",'Total Value'!IU16/'Total Value'!IT16-1)</f>
        <v/>
      </c>
      <c r="IV4" s="14" t="str">
        <f ca="1">IF(IV$1="","",'Total Value'!IV16/'Total Value'!IU16-1)</f>
        <v/>
      </c>
      <c r="IW4" s="14" t="str">
        <f ca="1">IF(IW$1="","",'Total Value'!IW16/'Total Value'!IV16-1)</f>
        <v/>
      </c>
      <c r="IX4" s="14" t="str">
        <f ca="1">IF(IX$1="","",'Total Value'!IX16/'Total Value'!IW16-1)</f>
        <v/>
      </c>
      <c r="IY4" s="14" t="str">
        <f ca="1">IF(IY$1="","",'Total Value'!IY16/'Total Value'!IX16-1)</f>
        <v/>
      </c>
      <c r="IZ4" s="14" t="str">
        <f ca="1">IF(IZ$1="","",'Total Value'!IZ16/'Total Value'!IY16-1)</f>
        <v/>
      </c>
      <c r="JA4" s="14" t="str">
        <f ca="1">IF(JA$1="","",'Total Value'!JA16/'Total Value'!IZ16-1)</f>
        <v/>
      </c>
      <c r="JB4" s="14" t="str">
        <f ca="1">IF(JB$1="","",'Total Value'!JB16/'Total Value'!JA16-1)</f>
        <v/>
      </c>
      <c r="JC4" s="14" t="str">
        <f ca="1">IF(JC$1="","",'Total Value'!JC16/'Total Value'!JB16-1)</f>
        <v/>
      </c>
      <c r="JD4" s="14" t="str">
        <f ca="1">IF(JD$1="","",'Total Value'!JD16/'Total Value'!JC16-1)</f>
        <v/>
      </c>
      <c r="JE4" s="14" t="str">
        <f ca="1">IF(JE$1="","",'Total Value'!JE16/'Total Value'!JD16-1)</f>
        <v/>
      </c>
      <c r="JF4" s="14" t="str">
        <f ca="1">IF(JF$1="","",'Total Value'!JF16/'Total Value'!JE16-1)</f>
        <v/>
      </c>
      <c r="JG4" s="14" t="str">
        <f ca="1">IF(JG$1="","",'Total Value'!JG16/'Total Value'!JF16-1)</f>
        <v/>
      </c>
      <c r="JH4" s="14" t="str">
        <f ca="1">IF(JH$1="","",'Total Value'!JH16/'Total Value'!JG16-1)</f>
        <v/>
      </c>
      <c r="JI4" s="14" t="str">
        <f ca="1">IF(JI$1="","",'Total Value'!JI16/'Total Value'!JH16-1)</f>
        <v/>
      </c>
      <c r="JJ4" s="14" t="str">
        <f ca="1">IF(JJ$1="","",'Total Value'!JJ16/'Total Value'!JI16-1)</f>
        <v/>
      </c>
      <c r="JK4" s="14" t="str">
        <f ca="1">IF(JK$1="","",'Total Value'!JK16/'Total Value'!JJ16-1)</f>
        <v/>
      </c>
      <c r="JL4" s="14" t="str">
        <f ca="1">IF(JL$1="","",'Total Value'!JL16/'Total Value'!JK16-1)</f>
        <v/>
      </c>
      <c r="JM4" s="14" t="str">
        <f ca="1">IF(JM$1="","",'Total Value'!JM16/'Total Value'!JL16-1)</f>
        <v/>
      </c>
      <c r="JN4" s="14" t="str">
        <f ca="1">IF(JN$1="","",'Total Value'!JN16/'Total Value'!JM16-1)</f>
        <v/>
      </c>
      <c r="JO4" s="14" t="str">
        <f ca="1">IF(JO$1="","",'Total Value'!JO16/'Total Value'!JN16-1)</f>
        <v/>
      </c>
      <c r="JP4" s="14" t="str">
        <f ca="1">IF(JP$1="","",'Total Value'!JP16/'Total Value'!JO16-1)</f>
        <v/>
      </c>
      <c r="JQ4" s="14" t="str">
        <f ca="1">IF(JQ$1="","",'Total Value'!JQ16/'Total Value'!JP16-1)</f>
        <v/>
      </c>
      <c r="JR4" s="14" t="str">
        <f ca="1">IF(JR$1="","",'Total Value'!JR16/'Total Value'!JQ16-1)</f>
        <v/>
      </c>
      <c r="JS4" s="14" t="str">
        <f ca="1">IF(JS$1="","",'Total Value'!JS16/'Total Value'!JR16-1)</f>
        <v/>
      </c>
      <c r="JT4" s="14" t="str">
        <f ca="1">IF(JT$1="","",'Total Value'!JT16/'Total Value'!JS16-1)</f>
        <v/>
      </c>
      <c r="JU4" s="14" t="str">
        <f ca="1">IF(JU$1="","",'Total Value'!JU16/'Total Value'!JT16-1)</f>
        <v/>
      </c>
      <c r="JV4" s="14" t="str">
        <f ca="1">IF(JV$1="","",'Total Value'!JV16/'Total Value'!JU16-1)</f>
        <v/>
      </c>
      <c r="JW4" s="14" t="str">
        <f ca="1">IF(JW$1="","",'Total Value'!JW16/'Total Value'!JV16-1)</f>
        <v/>
      </c>
      <c r="JX4" s="14" t="str">
        <f ca="1">IF(JX$1="","",'Total Value'!JX16/'Total Value'!JW16-1)</f>
        <v/>
      </c>
      <c r="JY4" s="14" t="str">
        <f ca="1">IF(JY$1="","",'Total Value'!JY16/'Total Value'!JX16-1)</f>
        <v/>
      </c>
      <c r="JZ4" s="14" t="str">
        <f ca="1">IF(JZ$1="","",'Total Value'!JZ16/'Total Value'!JY16-1)</f>
        <v/>
      </c>
      <c r="KA4" s="14" t="str">
        <f ca="1">IF(KA$1="","",'Total Value'!KA16/'Total Value'!JZ16-1)</f>
        <v/>
      </c>
      <c r="KB4" s="14" t="str">
        <f ca="1">IF(KB$1="","",'Total Value'!KB16/'Total Value'!KA16-1)</f>
        <v/>
      </c>
    </row>
    <row r="5" spans="1:288" ht="15.75" customHeight="1">
      <c r="A5" s="22" t="s">
        <v>30</v>
      </c>
      <c r="B5" s="6" t="s">
        <v>50</v>
      </c>
      <c r="C5" s="26">
        <v>411</v>
      </c>
      <c r="D5" s="13">
        <v>0</v>
      </c>
      <c r="E5" s="14">
        <f ca="1">IF(E$1="","",'Total Value'!E17/'Total Value'!D17-1)</f>
        <v>1.3356164383561797E-2</v>
      </c>
      <c r="F5" s="14">
        <f ca="1">IF(F$1="","",'Total Value'!F17/'Total Value'!E17-1)</f>
        <v>1.3518080432579627E-3</v>
      </c>
      <c r="G5" s="14">
        <f ca="1">IF(G$1="","",'Total Value'!G17/'Total Value'!F17-1)</f>
        <v>1.1474856564293034E-2</v>
      </c>
      <c r="H5" s="14">
        <f ca="1">IF(H$1="","",'Total Value'!H17/'Total Value'!G17-1)</f>
        <v>1.3346680013346601E-2</v>
      </c>
      <c r="I5" s="14">
        <f ca="1">IF(I$1="","",'Total Value'!I17/'Total Value'!H17-1)</f>
        <v>-8.8903523213696989E-3</v>
      </c>
      <c r="J5" s="14">
        <f ca="1">IF(J$1="","",'Total Value'!J17/'Total Value'!I17-1)</f>
        <v>-5.9800664451826746E-3</v>
      </c>
      <c r="K5" s="14">
        <f ca="1">IF(K$1="","",'Total Value'!K17/'Total Value'!J17-1)</f>
        <v>-3.3923796791443972E-2</v>
      </c>
      <c r="L5" s="14">
        <f ca="1">IF(L$1="","",'Total Value'!L17/'Total Value'!K17-1)</f>
        <v>-1.885486939975789E-2</v>
      </c>
      <c r="M5" s="14">
        <f ca="1">IF(M$1="","",'Total Value'!M17/'Total Value'!L17-1)</f>
        <v>-1.7630465444287147E-3</v>
      </c>
      <c r="N5" s="14">
        <f ca="1">IF(N$1="","",'Total Value'!N17/'Total Value'!M17-1)</f>
        <v>9.8904980572236401E-3</v>
      </c>
      <c r="O5" s="14">
        <f ca="1">IF(O$1="","",'Total Value'!O17/'Total Value'!N17-1)</f>
        <v>6.9954529555782408E-4</v>
      </c>
      <c r="P5" s="14">
        <f ca="1">IF(P$1="","",'Total Value'!P17/'Total Value'!O17-1)</f>
        <v>5.1730164278224411E-2</v>
      </c>
      <c r="Q5" s="14">
        <f ca="1">IF(Q$1="","",'Total Value'!Q17/'Total Value'!P17-1)</f>
        <v>-2.3263542705218576E-3</v>
      </c>
      <c r="R5" s="14">
        <f ca="1">IF(R$1="","",'Total Value'!R17/'Total Value'!Q17-1)</f>
        <v>-5.1632245169886959E-3</v>
      </c>
      <c r="S5" s="14">
        <f ca="1">IF(S$1="","",'Total Value'!S17/'Total Value'!R17-1)</f>
        <v>3.4823371839946438E-2</v>
      </c>
      <c r="T5" s="14">
        <f ca="1">IF(T$1="","",'Total Value'!T17/'Total Value'!S17-1)</f>
        <v>-2.4267917812652584E-3</v>
      </c>
      <c r="U5" s="14">
        <f ca="1">IF(U$1="","",'Total Value'!U17/'Total Value'!T17-1)</f>
        <v>-7.2980862795977153E-3</v>
      </c>
      <c r="V5" s="14">
        <f ca="1">IF(V$1="","",'Total Value'!V17/'Total Value'!U17-1)</f>
        <v>-9.9656918804116312E-3</v>
      </c>
      <c r="W5" s="14">
        <f ca="1">IF(W$1="","",'Total Value'!W17/'Total Value'!V17-1)</f>
        <v>-1.1386138613861507E-2</v>
      </c>
      <c r="X5" s="14">
        <f ca="1">IF(X$1="","",'Total Value'!X17/'Total Value'!W17-1)</f>
        <v>1.969621098314156E-2</v>
      </c>
      <c r="Y5" s="14">
        <f ca="1">IF(Y$1="","",'Total Value'!Y17/'Total Value'!X17-1)</f>
        <v>1.4732362088721418E-2</v>
      </c>
      <c r="Z5" s="14">
        <f ca="1">IF(Z$1="","",'Total Value'!Z17/'Total Value'!Y17-1)</f>
        <v>-1.677689949991934E-2</v>
      </c>
      <c r="AA5" s="14">
        <f ca="1">IF(AA$1="","",'Total Value'!AA17/'Total Value'!Z17-1)</f>
        <v>2.2969647251847025E-3</v>
      </c>
      <c r="AB5" s="14">
        <f ca="1">IF(AB$1="","",'Total Value'!AB17/'Total Value'!AA17-1)</f>
        <v>-4.256015714519612E-3</v>
      </c>
      <c r="AC5" s="14">
        <f ca="1">IF(AC$1="","",'Total Value'!AC17/'Total Value'!AB17-1)</f>
        <v>1.6932434653953665E-2</v>
      </c>
      <c r="AD5" s="14">
        <f ca="1">IF(AD$1="","",'Total Value'!AD17/'Total Value'!AC17-1)</f>
        <v>3.556417717426541E-3</v>
      </c>
      <c r="AE5" s="14">
        <f ca="1">IF(AE$1="","",'Total Value'!AE17/'Total Value'!AD17-1)</f>
        <v>-1.465850515463929E-2</v>
      </c>
      <c r="AF5" s="14">
        <f ca="1">IF(AF$1="","",'Total Value'!AF17/'Total Value'!AE17-1)</f>
        <v>-9.4817721105115993E-3</v>
      </c>
      <c r="AG5" s="14">
        <f ca="1">IF(AG$1="","",'Total Value'!AG17/'Total Value'!AF17-1)</f>
        <v>-4.7862683611158419E-3</v>
      </c>
      <c r="AH5" s="14">
        <f ca="1">IF(AH$1="","",'Total Value'!AH17/'Total Value'!AG17-1)</f>
        <v>-5.472636815920473E-3</v>
      </c>
      <c r="AI5" s="14">
        <f ca="1">IF(AI$1="","",'Total Value'!AI17/'Total Value'!AH17-1)</f>
        <v>-2.0843755210938841E-2</v>
      </c>
      <c r="AJ5" s="14">
        <f ca="1">IF(AJ$1="","",'Total Value'!AJ17/'Total Value'!AI17-1)</f>
        <v>1.5837874659400564E-2</v>
      </c>
      <c r="AK5" s="14">
        <f ca="1">IF(AK$1="","",'Total Value'!AK17/'Total Value'!AJ17-1)</f>
        <v>-1.1567476948868283E-2</v>
      </c>
      <c r="AL5" s="14">
        <f ca="1">IF(AL$1="","",'Total Value'!AL17/'Total Value'!AK17-1)</f>
        <v>-3.1037991858887448E-2</v>
      </c>
      <c r="AM5" s="14">
        <f ca="1">IF(AM$1="","",'Total Value'!AM17/'Total Value'!AL17-1)</f>
        <v>3.6233152459303364E-2</v>
      </c>
      <c r="AN5" s="14">
        <f ca="1">IF(AN$1="","",'Total Value'!AN17/'Total Value'!AM17-1)</f>
        <v>7.939189189189122E-3</v>
      </c>
      <c r="AO5" s="14">
        <f ca="1">IF(AO$1="","",'Total Value'!AO17/'Total Value'!AN17-1)</f>
        <v>-1.4077425842131674E-2</v>
      </c>
      <c r="AP5" s="14">
        <f ca="1">IF(AP$1="","",'Total Value'!AP17/'Total Value'!AO17-1)</f>
        <v>-1.4448410674825829E-2</v>
      </c>
      <c r="AQ5" s="14">
        <f ca="1">IF(AQ$1="","",'Total Value'!AQ17/'Total Value'!AP17-1)</f>
        <v>-2.4146257330113219E-3</v>
      </c>
      <c r="AR5" s="14">
        <f ca="1">IF(AR$1="","",'Total Value'!AR17/'Total Value'!AQ17-1)</f>
        <v>3.3886583679114679E-2</v>
      </c>
      <c r="AS5" s="14">
        <f ca="1">IF(AS$1="","",'Total Value'!AS17/'Total Value'!AR17-1)</f>
        <v>1.3879598662207338E-2</v>
      </c>
      <c r="AT5" s="14">
        <f ca="1">IF(AT$1="","",'Total Value'!AT17/'Total Value'!AS17-1)</f>
        <v>4.6181758205507961E-3</v>
      </c>
      <c r="AU5" s="14">
        <f ca="1">IF(AU$1="","",'Total Value'!AU17/'Total Value'!AT17-1)</f>
        <v>-1.0343129207026625E-2</v>
      </c>
      <c r="AV5" s="14">
        <f ca="1">IF(AV$1="","",'Total Value'!AV17/'Total Value'!AU17-1)</f>
        <v>-2.3390842733908457E-2</v>
      </c>
      <c r="AW5" s="14">
        <f ca="1">IF(AW$1="","",'Total Value'!AW17/'Total Value'!AV17-1)</f>
        <v>1.3079667063020217E-2</v>
      </c>
      <c r="AX5" s="14">
        <f ca="1">IF(AX$1="","",'Total Value'!AX17/'Total Value'!AW17-1)</f>
        <v>5.3655264922870538E-2</v>
      </c>
      <c r="AY5" s="14">
        <f ca="1">IF(AY$1="","",'Total Value'!AY17/'Total Value'!AX17-1)</f>
        <v>-7.161043921069421E-3</v>
      </c>
      <c r="AZ5" s="14">
        <f ca="1">IF(AZ$1="","",'Total Value'!AZ17/'Total Value'!AY17-1)</f>
        <v>1.5226799166533134E-2</v>
      </c>
      <c r="BA5" s="14">
        <f ca="1">IF(BA$1="","",'Total Value'!BA17/'Total Value'!AZ17-1)</f>
        <v>3.3154404799493609E-3</v>
      </c>
      <c r="BB5" s="14">
        <f ca="1">IF(BB$1="","",'Total Value'!BB17/'Total Value'!BA17-1)</f>
        <v>-3.9339103068449788E-3</v>
      </c>
      <c r="BC5" s="14">
        <f ca="1">IF(BC$1="","",'Total Value'!BC17/'Total Value'!BB17-1)</f>
        <v>1.2480252764613065E-2</v>
      </c>
      <c r="BD5" s="14">
        <f ca="1">IF(BD$1="","",'Total Value'!BD17/'Total Value'!BC17-1)</f>
        <v>9.5178655016383562E-3</v>
      </c>
      <c r="BE5" s="14">
        <f ca="1">IF(BE$1="","",'Total Value'!BE17/'Total Value'!BD17-1)</f>
        <v>-9.1190108191654407E-3</v>
      </c>
      <c r="BF5" s="14">
        <f ca="1">IF(BF$1="","",'Total Value'!BF17/'Total Value'!BE17-1)</f>
        <v>1.2478552487911188E-3</v>
      </c>
      <c r="BG5" s="14">
        <f ca="1">IF(BG$1="","",'Total Value'!BG17/'Total Value'!BF17-1)</f>
        <v>1.0905125408942062E-3</v>
      </c>
      <c r="BH5" s="14">
        <f ca="1">IF(BH$1="","",'Total Value'!BH17/'Total Value'!BG17-1)</f>
        <v>-8.4033613445378963E-3</v>
      </c>
      <c r="BI5" s="14">
        <f ca="1">IF(BI$1="","",'Total Value'!BI17/'Total Value'!BH17-1)</f>
        <v>7.2190834902701173E-3</v>
      </c>
      <c r="BJ5" s="14">
        <f ca="1">IF(BJ$1="","",'Total Value'!BJ17/'Total Value'!BI17-1)</f>
        <v>-2.6488002492989215E-3</v>
      </c>
      <c r="BK5" s="14">
        <f ca="1">IF(BK$1="","",'Total Value'!BK17/'Total Value'!BJ17-1)</f>
        <v>-8.1237306670832732E-3</v>
      </c>
      <c r="BL5" s="14">
        <f ca="1">IF(BL$1="","",'Total Value'!BL17/'Total Value'!BK17-1)</f>
        <v>-2.8665931642778419E-2</v>
      </c>
      <c r="BM5" s="14">
        <f ca="1">IF(BM$1="","",'Total Value'!BM17/'Total Value'!BL17-1)</f>
        <v>-6.8104426787740646E-3</v>
      </c>
      <c r="BN5" s="14">
        <f ca="1">IF(BN$1="","",'Total Value'!BN17/'Total Value'!BM17-1)</f>
        <v>7.0204081632652127E-3</v>
      </c>
      <c r="BO5" s="14">
        <f ca="1">IF(BO$1="","",'Total Value'!BO17/'Total Value'!BN17-1)</f>
        <v>4.3774319066147704E-3</v>
      </c>
      <c r="BP5" s="14">
        <f ca="1">IF(BP$1="","",'Total Value'!BP17/'Total Value'!BO17-1)</f>
        <v>2.1146085552865124E-2</v>
      </c>
      <c r="BQ5" s="14">
        <f ca="1">IF(BQ$1="","",'Total Value'!BQ17/'Total Value'!BP17-1)</f>
        <v>1.4226999683844443E-2</v>
      </c>
      <c r="BR5" s="14">
        <f ca="1">IF(BR$1="","",'Total Value'!BR17/'Total Value'!BQ17-1)</f>
        <v>2.0729426433915288E-2</v>
      </c>
      <c r="BS5" s="14">
        <f ca="1">IF(BS$1="","",'Total Value'!BS17/'Total Value'!BR17-1)</f>
        <v>5.9551076500228284E-3</v>
      </c>
      <c r="BT5" s="14">
        <f ca="1">IF(BT$1="","",'Total Value'!BT17/'Total Value'!BS17-1)</f>
        <v>1.775956284153013E-2</v>
      </c>
      <c r="BU5" s="14">
        <f ca="1">IF(BU$1="","",'Total Value'!BU17/'Total Value'!BT17-1)</f>
        <v>7.3079791200598709E-3</v>
      </c>
      <c r="BV5" s="14">
        <f ca="1">IF(BV$1="","",'Total Value'!BV17/'Total Value'!BU17-1)</f>
        <v>2.9167900503405342E-2</v>
      </c>
      <c r="BW5" s="14">
        <f ca="1">IF(BW$1="","",'Total Value'!BW17/'Total Value'!BV17-1)</f>
        <v>-1.4530283412458656E-2</v>
      </c>
      <c r="BX5" s="14">
        <f ca="1">IF(BX$1="","",'Total Value'!BX17/'Total Value'!BW17-1)</f>
        <v>-6.277372262773806E-3</v>
      </c>
      <c r="BY5" s="14">
        <f ca="1">IF(BY$1="","",'Total Value'!BY17/'Total Value'!BX17-1)</f>
        <v>-1.0283531658586531E-2</v>
      </c>
      <c r="BZ5" s="14">
        <f ca="1">IF(BZ$1="","",'Total Value'!BZ17/'Total Value'!BY17-1)</f>
        <v>1.1874721686209178E-3</v>
      </c>
      <c r="CA5" s="14">
        <f ca="1">IF(CA$1="","",'Total Value'!CA17/'Total Value'!BZ17-1)</f>
        <v>5.3372868791696781E-3</v>
      </c>
      <c r="CB5" s="14">
        <f ca="1">IF(CB$1="","",'Total Value'!CB17/'Total Value'!CA17-1)</f>
        <v>-1.9318684559799459E-2</v>
      </c>
      <c r="CC5" s="14">
        <f ca="1">IF(CC$1="","",'Total Value'!CC17/'Total Value'!CB17-1)</f>
        <v>8.4210526315788847E-3</v>
      </c>
      <c r="CD5" s="14">
        <f ca="1">IF(CD$1="","",'Total Value'!CD17/'Total Value'!CC17-1)</f>
        <v>1.6254100805249028E-2</v>
      </c>
      <c r="CE5" s="14">
        <f ca="1">IF(CE$1="","",'Total Value'!CE17/'Total Value'!CD17-1)</f>
        <v>3.609684519442391E-2</v>
      </c>
      <c r="CF5" s="14" t="str">
        <f ca="1">IF(CF$1="","",'Total Value'!CF17/'Total Value'!CE17-1)</f>
        <v/>
      </c>
      <c r="CG5" s="14" t="str">
        <f ca="1">IF(CG$1="","",'Total Value'!CG17/'Total Value'!CF17-1)</f>
        <v/>
      </c>
      <c r="CH5" s="14" t="str">
        <f ca="1">IF(CH$1="","",'Total Value'!CH17/'Total Value'!CG17-1)</f>
        <v/>
      </c>
      <c r="CI5" s="14" t="str">
        <f ca="1">IF(CI$1="","",'Total Value'!CI17/'Total Value'!CH17-1)</f>
        <v/>
      </c>
      <c r="CJ5" s="14" t="str">
        <f ca="1">IF(CJ$1="","",'Total Value'!CJ17/'Total Value'!CI17-1)</f>
        <v/>
      </c>
      <c r="CK5" s="14" t="str">
        <f ca="1">IF(CK$1="","",'Total Value'!CK17/'Total Value'!CJ17-1)</f>
        <v/>
      </c>
      <c r="CL5" s="14" t="str">
        <f ca="1">IF(CL$1="","",'Total Value'!CL17/'Total Value'!CK17-1)</f>
        <v/>
      </c>
      <c r="CM5" s="14" t="str">
        <f ca="1">IF(CM$1="","",'Total Value'!CM17/'Total Value'!CL17-1)</f>
        <v/>
      </c>
      <c r="CN5" s="14" t="str">
        <f ca="1">IF(CN$1="","",'Total Value'!CN17/'Total Value'!CM17-1)</f>
        <v/>
      </c>
      <c r="CO5" s="14" t="str">
        <f ca="1">IF(CO$1="","",'Total Value'!CO17/'Total Value'!CN17-1)</f>
        <v/>
      </c>
      <c r="CP5" s="14" t="str">
        <f ca="1">IF(CP$1="","",'Total Value'!CP17/'Total Value'!CO17-1)</f>
        <v/>
      </c>
      <c r="CQ5" s="14" t="str">
        <f ca="1">IF(CQ$1="","",'Total Value'!CQ17/'Total Value'!CP17-1)</f>
        <v/>
      </c>
      <c r="CR5" s="14" t="str">
        <f ca="1">IF(CR$1="","",'Total Value'!CR17/'Total Value'!CQ17-1)</f>
        <v/>
      </c>
      <c r="CS5" s="14" t="str">
        <f ca="1">IF(CS$1="","",'Total Value'!CS17/'Total Value'!CR17-1)</f>
        <v/>
      </c>
      <c r="CT5" s="14" t="str">
        <f ca="1">IF(CT$1="","",'Total Value'!CT17/'Total Value'!CS17-1)</f>
        <v/>
      </c>
      <c r="CU5" s="14" t="str">
        <f ca="1">IF(CU$1="","",'Total Value'!CU17/'Total Value'!CT17-1)</f>
        <v/>
      </c>
      <c r="CV5" s="14" t="str">
        <f ca="1">IF(CV$1="","",'Total Value'!CV17/'Total Value'!CU17-1)</f>
        <v/>
      </c>
      <c r="CW5" s="14" t="str">
        <f ca="1">IF(CW$1="","",'Total Value'!CW17/'Total Value'!CV17-1)</f>
        <v/>
      </c>
      <c r="CX5" s="14" t="str">
        <f ca="1">IF(CX$1="","",'Total Value'!CX17/'Total Value'!CW17-1)</f>
        <v/>
      </c>
      <c r="CY5" s="14" t="str">
        <f ca="1">IF(CY$1="","",'Total Value'!CY17/'Total Value'!CX17-1)</f>
        <v/>
      </c>
      <c r="CZ5" s="14" t="str">
        <f ca="1">IF(CZ$1="","",'Total Value'!CZ17/'Total Value'!CY17-1)</f>
        <v/>
      </c>
      <c r="DA5" s="14" t="str">
        <f ca="1">IF(DA$1="","",'Total Value'!DA17/'Total Value'!CZ17-1)</f>
        <v/>
      </c>
      <c r="DB5" s="14" t="str">
        <f ca="1">IF(DB$1="","",'Total Value'!DB17/'Total Value'!DA17-1)</f>
        <v/>
      </c>
      <c r="DC5" s="14" t="str">
        <f ca="1">IF(DC$1="","",'Total Value'!DC17/'Total Value'!DB17-1)</f>
        <v/>
      </c>
      <c r="DD5" s="14" t="str">
        <f ca="1">IF(DD$1="","",'Total Value'!DD17/'Total Value'!DC17-1)</f>
        <v/>
      </c>
      <c r="DE5" s="14" t="str">
        <f ca="1">IF(DE$1="","",'Total Value'!DE17/'Total Value'!DD17-1)</f>
        <v/>
      </c>
      <c r="DF5" s="14" t="str">
        <f ca="1">IF(DF$1="","",'Total Value'!DF17/'Total Value'!DE17-1)</f>
        <v/>
      </c>
      <c r="DG5" s="14" t="str">
        <f ca="1">IF(DG$1="","",'Total Value'!DG17/'Total Value'!DF17-1)</f>
        <v/>
      </c>
      <c r="DH5" s="14" t="str">
        <f ca="1">IF(DH$1="","",'Total Value'!DH17/'Total Value'!DG17-1)</f>
        <v/>
      </c>
      <c r="DI5" s="14" t="str">
        <f ca="1">IF(DI$1="","",'Total Value'!DI17/'Total Value'!DH17-1)</f>
        <v/>
      </c>
      <c r="DJ5" s="14" t="str">
        <f ca="1">IF(DJ$1="","",'Total Value'!DJ17/'Total Value'!DI17-1)</f>
        <v/>
      </c>
      <c r="DK5" s="14" t="str">
        <f ca="1">IF(DK$1="","",'Total Value'!DK17/'Total Value'!DJ17-1)</f>
        <v/>
      </c>
      <c r="DL5" s="14" t="str">
        <f ca="1">IF(DL$1="","",'Total Value'!DL17/'Total Value'!DK17-1)</f>
        <v/>
      </c>
      <c r="DM5" s="14" t="str">
        <f ca="1">IF(DM$1="","",'Total Value'!DM17/'Total Value'!DL17-1)</f>
        <v/>
      </c>
      <c r="DN5" s="14" t="str">
        <f ca="1">IF(DN$1="","",'Total Value'!DN17/'Total Value'!DM17-1)</f>
        <v/>
      </c>
      <c r="DO5" s="14" t="str">
        <f ca="1">IF(DO$1="","",'Total Value'!DO17/'Total Value'!DN17-1)</f>
        <v/>
      </c>
      <c r="DP5" s="14" t="str">
        <f ca="1">IF(DP$1="","",'Total Value'!DP17/'Total Value'!DO17-1)</f>
        <v/>
      </c>
      <c r="DQ5" s="14" t="str">
        <f ca="1">IF(DQ$1="","",'Total Value'!DQ17/'Total Value'!DP17-1)</f>
        <v/>
      </c>
      <c r="DR5" s="14" t="str">
        <f ca="1">IF(DR$1="","",'Total Value'!DR17/'Total Value'!DQ17-1)</f>
        <v/>
      </c>
      <c r="DS5" s="14" t="str">
        <f ca="1">IF(DS$1="","",'Total Value'!DS17/'Total Value'!DR17-1)</f>
        <v/>
      </c>
      <c r="DT5" s="14" t="str">
        <f ca="1">IF(DT$1="","",'Total Value'!DT17/'Total Value'!DS17-1)</f>
        <v/>
      </c>
      <c r="DU5" s="14" t="str">
        <f ca="1">IF(DU$1="","",'Total Value'!DU17/'Total Value'!DT17-1)</f>
        <v/>
      </c>
      <c r="DV5" s="14" t="str">
        <f ca="1">IF(DV$1="","",'Total Value'!DV17/'Total Value'!DU17-1)</f>
        <v/>
      </c>
      <c r="DW5" s="14" t="str">
        <f ca="1">IF(DW$1="","",'Total Value'!DW17/'Total Value'!DV17-1)</f>
        <v/>
      </c>
      <c r="DX5" s="14" t="str">
        <f ca="1">IF(DX$1="","",'Total Value'!DX17/'Total Value'!DW17-1)</f>
        <v/>
      </c>
      <c r="DY5" s="14" t="str">
        <f ca="1">IF(DY$1="","",'Total Value'!DY17/'Total Value'!DX17-1)</f>
        <v/>
      </c>
      <c r="DZ5" s="14" t="str">
        <f ca="1">IF(DZ$1="","",'Total Value'!DZ17/'Total Value'!DY17-1)</f>
        <v/>
      </c>
      <c r="EA5" s="14" t="str">
        <f ca="1">IF(EA$1="","",'Total Value'!EA17/'Total Value'!DZ17-1)</f>
        <v/>
      </c>
      <c r="EB5" s="14" t="str">
        <f ca="1">IF(EB$1="","",'Total Value'!EB17/'Total Value'!EA17-1)</f>
        <v/>
      </c>
      <c r="EC5" s="14" t="str">
        <f ca="1">IF(EC$1="","",'Total Value'!EC17/'Total Value'!EB17-1)</f>
        <v/>
      </c>
      <c r="ED5" s="14" t="str">
        <f ca="1">IF(ED$1="","",'Total Value'!ED17/'Total Value'!EC17-1)</f>
        <v/>
      </c>
      <c r="EE5" s="14" t="str">
        <f ca="1">IF(EE$1="","",'Total Value'!EE17/'Total Value'!ED17-1)</f>
        <v/>
      </c>
      <c r="EF5" s="14" t="str">
        <f ca="1">IF(EF$1="","",'Total Value'!EF17/'Total Value'!EE17-1)</f>
        <v/>
      </c>
      <c r="EG5" s="14" t="str">
        <f ca="1">IF(EG$1="","",'Total Value'!EG17/'Total Value'!EF17-1)</f>
        <v/>
      </c>
      <c r="EH5" s="14" t="str">
        <f ca="1">IF(EH$1="","",'Total Value'!EH17/'Total Value'!EG17-1)</f>
        <v/>
      </c>
      <c r="EI5" s="14" t="str">
        <f ca="1">IF(EI$1="","",'Total Value'!EI17/'Total Value'!EH17-1)</f>
        <v/>
      </c>
      <c r="EJ5" s="14" t="str">
        <f ca="1">IF(EJ$1="","",'Total Value'!EJ17/'Total Value'!EI17-1)</f>
        <v/>
      </c>
      <c r="EK5" s="14" t="str">
        <f ca="1">IF(EK$1="","",'Total Value'!EK17/'Total Value'!EJ17-1)</f>
        <v/>
      </c>
      <c r="EL5" s="14" t="str">
        <f ca="1">IF(EL$1="","",'Total Value'!EL17/'Total Value'!EK17-1)</f>
        <v/>
      </c>
      <c r="EM5" s="14" t="str">
        <f ca="1">IF(EM$1="","",'Total Value'!EM17/'Total Value'!EL17-1)</f>
        <v/>
      </c>
      <c r="EN5" s="14" t="str">
        <f ca="1">IF(EN$1="","",'Total Value'!EN17/'Total Value'!EM17-1)</f>
        <v/>
      </c>
      <c r="EO5" s="14" t="str">
        <f ca="1">IF(EO$1="","",'Total Value'!EO17/'Total Value'!EN17-1)</f>
        <v/>
      </c>
      <c r="EP5" s="14" t="str">
        <f ca="1">IF(EP$1="","",'Total Value'!EP17/'Total Value'!EO17-1)</f>
        <v/>
      </c>
      <c r="EQ5" s="14" t="str">
        <f ca="1">IF(EQ$1="","",'Total Value'!EQ17/'Total Value'!EP17-1)</f>
        <v/>
      </c>
      <c r="ER5" s="14" t="str">
        <f ca="1">IF(ER$1="","",'Total Value'!ER17/'Total Value'!EQ17-1)</f>
        <v/>
      </c>
      <c r="ES5" s="14" t="str">
        <f ca="1">IF(ES$1="","",'Total Value'!ES17/'Total Value'!ER17-1)</f>
        <v/>
      </c>
      <c r="ET5" s="14" t="str">
        <f ca="1">IF(ET$1="","",'Total Value'!ET17/'Total Value'!ES17-1)</f>
        <v/>
      </c>
      <c r="EU5" s="14" t="str">
        <f ca="1">IF(EU$1="","",'Total Value'!EU17/'Total Value'!ET17-1)</f>
        <v/>
      </c>
      <c r="EV5" s="14" t="str">
        <f ca="1">IF(EV$1="","",'Total Value'!EV17/'Total Value'!EU17-1)</f>
        <v/>
      </c>
      <c r="EW5" s="14" t="str">
        <f ca="1">IF(EW$1="","",'Total Value'!EW17/'Total Value'!EV17-1)</f>
        <v/>
      </c>
      <c r="EX5" s="14" t="str">
        <f ca="1">IF(EX$1="","",'Total Value'!EX17/'Total Value'!EW17-1)</f>
        <v/>
      </c>
      <c r="EY5" s="14" t="str">
        <f ca="1">IF(EY$1="","",'Total Value'!EY17/'Total Value'!EX17-1)</f>
        <v/>
      </c>
      <c r="EZ5" s="14" t="str">
        <f ca="1">IF(EZ$1="","",'Total Value'!EZ17/'Total Value'!EY17-1)</f>
        <v/>
      </c>
      <c r="FA5" s="14" t="str">
        <f ca="1">IF(FA$1="","",'Total Value'!FA17/'Total Value'!EZ17-1)</f>
        <v/>
      </c>
      <c r="FB5" s="14" t="str">
        <f ca="1">IF(FB$1="","",'Total Value'!FB17/'Total Value'!FA17-1)</f>
        <v/>
      </c>
      <c r="FC5" s="14" t="str">
        <f ca="1">IF(FC$1="","",'Total Value'!FC17/'Total Value'!FB17-1)</f>
        <v/>
      </c>
      <c r="FD5" s="14" t="str">
        <f ca="1">IF(FD$1="","",'Total Value'!FD17/'Total Value'!FC17-1)</f>
        <v/>
      </c>
      <c r="FE5" s="14" t="str">
        <f ca="1">IF(FE$1="","",'Total Value'!FE17/'Total Value'!FD17-1)</f>
        <v/>
      </c>
      <c r="FF5" s="14" t="str">
        <f ca="1">IF(FF$1="","",'Total Value'!FF17/'Total Value'!FE17-1)</f>
        <v/>
      </c>
      <c r="FG5" s="14" t="str">
        <f ca="1">IF(FG$1="","",'Total Value'!FG17/'Total Value'!FF17-1)</f>
        <v/>
      </c>
      <c r="FH5" s="14" t="str">
        <f ca="1">IF(FH$1="","",'Total Value'!FH17/'Total Value'!FG17-1)</f>
        <v/>
      </c>
      <c r="FI5" s="14" t="str">
        <f ca="1">IF(FI$1="","",'Total Value'!FI17/'Total Value'!FH17-1)</f>
        <v/>
      </c>
      <c r="FJ5" s="14" t="str">
        <f ca="1">IF(FJ$1="","",'Total Value'!FJ17/'Total Value'!FI17-1)</f>
        <v/>
      </c>
      <c r="FK5" s="14" t="str">
        <f ca="1">IF(FK$1="","",'Total Value'!FK17/'Total Value'!FJ17-1)</f>
        <v/>
      </c>
      <c r="FL5" s="14" t="str">
        <f ca="1">IF(FL$1="","",'Total Value'!FL17/'Total Value'!FK17-1)</f>
        <v/>
      </c>
      <c r="FM5" s="14" t="str">
        <f ca="1">IF(FM$1="","",'Total Value'!FM17/'Total Value'!FL17-1)</f>
        <v/>
      </c>
      <c r="FN5" s="14" t="str">
        <f ca="1">IF(FN$1="","",'Total Value'!FN17/'Total Value'!FM17-1)</f>
        <v/>
      </c>
      <c r="FO5" s="14" t="str">
        <f ca="1">IF(FO$1="","",'Total Value'!FO17/'Total Value'!FN17-1)</f>
        <v/>
      </c>
      <c r="FP5" s="14" t="str">
        <f ca="1">IF(FP$1="","",'Total Value'!FP17/'Total Value'!FO17-1)</f>
        <v/>
      </c>
      <c r="FQ5" s="14" t="str">
        <f ca="1">IF(FQ$1="","",'Total Value'!FQ17/'Total Value'!FP17-1)</f>
        <v/>
      </c>
      <c r="FR5" s="14" t="str">
        <f ca="1">IF(FR$1="","",'Total Value'!FR17/'Total Value'!FQ17-1)</f>
        <v/>
      </c>
      <c r="FS5" s="14" t="str">
        <f ca="1">IF(FS$1="","",'Total Value'!FS17/'Total Value'!FR17-1)</f>
        <v/>
      </c>
      <c r="FT5" s="14" t="str">
        <f ca="1">IF(FT$1="","",'Total Value'!FT17/'Total Value'!FS17-1)</f>
        <v/>
      </c>
      <c r="FU5" s="14" t="str">
        <f ca="1">IF(FU$1="","",'Total Value'!FU17/'Total Value'!FT17-1)</f>
        <v/>
      </c>
      <c r="FV5" s="14" t="str">
        <f ca="1">IF(FV$1="","",'Total Value'!FV17/'Total Value'!FU17-1)</f>
        <v/>
      </c>
      <c r="FW5" s="14" t="str">
        <f ca="1">IF(FW$1="","",'Total Value'!FW17/'Total Value'!FV17-1)</f>
        <v/>
      </c>
      <c r="FX5" s="14" t="str">
        <f ca="1">IF(FX$1="","",'Total Value'!FX17/'Total Value'!FW17-1)</f>
        <v/>
      </c>
      <c r="FY5" s="14" t="str">
        <f ca="1">IF(FY$1="","",'Total Value'!FY17/'Total Value'!FX17-1)</f>
        <v/>
      </c>
      <c r="FZ5" s="14" t="str">
        <f ca="1">IF(FZ$1="","",'Total Value'!FZ17/'Total Value'!FY17-1)</f>
        <v/>
      </c>
      <c r="GA5" s="14" t="str">
        <f ca="1">IF(GA$1="","",'Total Value'!GA17/'Total Value'!FZ17-1)</f>
        <v/>
      </c>
      <c r="GB5" s="14" t="str">
        <f ca="1">IF(GB$1="","",'Total Value'!GB17/'Total Value'!GA17-1)</f>
        <v/>
      </c>
      <c r="GC5" s="14" t="str">
        <f ca="1">IF(GC$1="","",'Total Value'!GC17/'Total Value'!GB17-1)</f>
        <v/>
      </c>
      <c r="GD5" s="14" t="str">
        <f ca="1">IF(GD$1="","",'Total Value'!GD17/'Total Value'!GC17-1)</f>
        <v/>
      </c>
      <c r="GE5" s="14" t="str">
        <f ca="1">IF(GE$1="","",'Total Value'!GE17/'Total Value'!GD17-1)</f>
        <v/>
      </c>
      <c r="GF5" s="14" t="str">
        <f ca="1">IF(GF$1="","",'Total Value'!GF17/'Total Value'!GE17-1)</f>
        <v/>
      </c>
      <c r="GG5" s="14" t="str">
        <f ca="1">IF(GG$1="","",'Total Value'!GG17/'Total Value'!GF17-1)</f>
        <v/>
      </c>
      <c r="GH5" s="14" t="str">
        <f ca="1">IF(GH$1="","",'Total Value'!GH17/'Total Value'!GG17-1)</f>
        <v/>
      </c>
      <c r="GI5" s="14" t="str">
        <f ca="1">IF(GI$1="","",'Total Value'!GI17/'Total Value'!GH17-1)</f>
        <v/>
      </c>
      <c r="GJ5" s="14" t="str">
        <f ca="1">IF(GJ$1="","",'Total Value'!GJ17/'Total Value'!GI17-1)</f>
        <v/>
      </c>
      <c r="GK5" s="14" t="str">
        <f ca="1">IF(GK$1="","",'Total Value'!GK17/'Total Value'!GJ17-1)</f>
        <v/>
      </c>
      <c r="GL5" s="14" t="str">
        <f ca="1">IF(GL$1="","",'Total Value'!GL17/'Total Value'!GK17-1)</f>
        <v/>
      </c>
      <c r="GM5" s="14" t="str">
        <f ca="1">IF(GM$1="","",'Total Value'!GM17/'Total Value'!GL17-1)</f>
        <v/>
      </c>
      <c r="GN5" s="14" t="str">
        <f ca="1">IF(GN$1="","",'Total Value'!GN17/'Total Value'!GM17-1)</f>
        <v/>
      </c>
      <c r="GO5" s="14" t="str">
        <f ca="1">IF(GO$1="","",'Total Value'!GO17/'Total Value'!GN17-1)</f>
        <v/>
      </c>
      <c r="GP5" s="14" t="str">
        <f ca="1">IF(GP$1="","",'Total Value'!GP17/'Total Value'!GO17-1)</f>
        <v/>
      </c>
      <c r="GQ5" s="14" t="str">
        <f ca="1">IF(GQ$1="","",'Total Value'!GQ17/'Total Value'!GP17-1)</f>
        <v/>
      </c>
      <c r="GR5" s="14" t="str">
        <f ca="1">IF(GR$1="","",'Total Value'!GR17/'Total Value'!GQ17-1)</f>
        <v/>
      </c>
      <c r="GS5" s="14" t="str">
        <f ca="1">IF(GS$1="","",'Total Value'!GS17/'Total Value'!GR17-1)</f>
        <v/>
      </c>
      <c r="GT5" s="14" t="str">
        <f ca="1">IF(GT$1="","",'Total Value'!GT17/'Total Value'!GS17-1)</f>
        <v/>
      </c>
      <c r="GU5" s="14" t="str">
        <f ca="1">IF(GU$1="","",'Total Value'!GU17/'Total Value'!GT17-1)</f>
        <v/>
      </c>
      <c r="GV5" s="14" t="str">
        <f ca="1">IF(GV$1="","",'Total Value'!GV17/'Total Value'!GU17-1)</f>
        <v/>
      </c>
      <c r="GW5" s="14" t="str">
        <f ca="1">IF(GW$1="","",'Total Value'!GW17/'Total Value'!GV17-1)</f>
        <v/>
      </c>
      <c r="GX5" s="14" t="str">
        <f ca="1">IF(GX$1="","",'Total Value'!GX17/'Total Value'!GW17-1)</f>
        <v/>
      </c>
      <c r="GY5" s="14" t="str">
        <f ca="1">IF(GY$1="","",'Total Value'!GY17/'Total Value'!GX17-1)</f>
        <v/>
      </c>
      <c r="GZ5" s="14" t="str">
        <f ca="1">IF(GZ$1="","",'Total Value'!GZ17/'Total Value'!GY17-1)</f>
        <v/>
      </c>
      <c r="HA5" s="14" t="str">
        <f ca="1">IF(HA$1="","",'Total Value'!HA17/'Total Value'!GZ17-1)</f>
        <v/>
      </c>
      <c r="HB5" s="14" t="str">
        <f ca="1">IF(HB$1="","",'Total Value'!HB17/'Total Value'!HA17-1)</f>
        <v/>
      </c>
      <c r="HC5" s="14" t="str">
        <f ca="1">IF(HC$1="","",'Total Value'!HC17/'Total Value'!HB17-1)</f>
        <v/>
      </c>
      <c r="HD5" s="14" t="str">
        <f ca="1">IF(HD$1="","",'Total Value'!HD17/'Total Value'!HC17-1)</f>
        <v/>
      </c>
      <c r="HE5" s="14" t="str">
        <f ca="1">IF(HE$1="","",'Total Value'!HE17/'Total Value'!HD17-1)</f>
        <v/>
      </c>
      <c r="HF5" s="14" t="str">
        <f ca="1">IF(HF$1="","",'Total Value'!HF17/'Total Value'!HE17-1)</f>
        <v/>
      </c>
      <c r="HG5" s="14" t="str">
        <f ca="1">IF(HG$1="","",'Total Value'!HG17/'Total Value'!HF17-1)</f>
        <v/>
      </c>
      <c r="HH5" s="14" t="str">
        <f ca="1">IF(HH$1="","",'Total Value'!HH17/'Total Value'!HG17-1)</f>
        <v/>
      </c>
      <c r="HI5" s="14" t="str">
        <f ca="1">IF(HI$1="","",'Total Value'!HI17/'Total Value'!HH17-1)</f>
        <v/>
      </c>
      <c r="HJ5" s="14" t="str">
        <f ca="1">IF(HJ$1="","",'Total Value'!HJ17/'Total Value'!HI17-1)</f>
        <v/>
      </c>
      <c r="HK5" s="14" t="str">
        <f ca="1">IF(HK$1="","",'Total Value'!HK17/'Total Value'!HJ17-1)</f>
        <v/>
      </c>
      <c r="HL5" s="14" t="str">
        <f ca="1">IF(HL$1="","",'Total Value'!HL17/'Total Value'!HK17-1)</f>
        <v/>
      </c>
      <c r="HM5" s="14" t="str">
        <f ca="1">IF(HM$1="","",'Total Value'!HM17/'Total Value'!HL17-1)</f>
        <v/>
      </c>
      <c r="HN5" s="14" t="str">
        <f ca="1">IF(HN$1="","",'Total Value'!HN17/'Total Value'!HM17-1)</f>
        <v/>
      </c>
      <c r="HO5" s="14" t="str">
        <f ca="1">IF(HO$1="","",'Total Value'!HO17/'Total Value'!HN17-1)</f>
        <v/>
      </c>
      <c r="HP5" s="14" t="str">
        <f ca="1">IF(HP$1="","",'Total Value'!HP17/'Total Value'!HO17-1)</f>
        <v/>
      </c>
      <c r="HQ5" s="14" t="str">
        <f ca="1">IF(HQ$1="","",'Total Value'!HQ17/'Total Value'!HP17-1)</f>
        <v/>
      </c>
      <c r="HR5" s="14" t="str">
        <f ca="1">IF(HR$1="","",'Total Value'!HR17/'Total Value'!HQ17-1)</f>
        <v/>
      </c>
      <c r="HS5" s="14" t="str">
        <f ca="1">IF(HS$1="","",'Total Value'!HS17/'Total Value'!HR17-1)</f>
        <v/>
      </c>
      <c r="HT5" s="14" t="str">
        <f ca="1">IF(HT$1="","",'Total Value'!HT17/'Total Value'!HS17-1)</f>
        <v/>
      </c>
      <c r="HU5" s="14" t="str">
        <f ca="1">IF(HU$1="","",'Total Value'!HU17/'Total Value'!HT17-1)</f>
        <v/>
      </c>
      <c r="HV5" s="14" t="str">
        <f ca="1">IF(HV$1="","",'Total Value'!HV17/'Total Value'!HU17-1)</f>
        <v/>
      </c>
      <c r="HW5" s="14" t="str">
        <f ca="1">IF(HW$1="","",'Total Value'!HW17/'Total Value'!HV17-1)</f>
        <v/>
      </c>
      <c r="HX5" s="14" t="str">
        <f ca="1">IF(HX$1="","",'Total Value'!HX17/'Total Value'!HW17-1)</f>
        <v/>
      </c>
      <c r="HY5" s="14" t="str">
        <f ca="1">IF(HY$1="","",'Total Value'!HY17/'Total Value'!HX17-1)</f>
        <v/>
      </c>
      <c r="HZ5" s="14" t="str">
        <f ca="1">IF(HZ$1="","",'Total Value'!HZ17/'Total Value'!HY17-1)</f>
        <v/>
      </c>
      <c r="IA5" s="14" t="str">
        <f ca="1">IF(IA$1="","",'Total Value'!IA17/'Total Value'!HZ17-1)</f>
        <v/>
      </c>
      <c r="IB5" s="14" t="str">
        <f ca="1">IF(IB$1="","",'Total Value'!IB17/'Total Value'!IA17-1)</f>
        <v/>
      </c>
      <c r="IC5" s="14" t="str">
        <f ca="1">IF(IC$1="","",'Total Value'!IC17/'Total Value'!IB17-1)</f>
        <v/>
      </c>
      <c r="ID5" s="14" t="str">
        <f ca="1">IF(ID$1="","",'Total Value'!ID17/'Total Value'!IC17-1)</f>
        <v/>
      </c>
      <c r="IE5" s="14" t="str">
        <f ca="1">IF(IE$1="","",'Total Value'!IE17/'Total Value'!ID17-1)</f>
        <v/>
      </c>
      <c r="IF5" s="14" t="str">
        <f ca="1">IF(IF$1="","",'Total Value'!IF17/'Total Value'!IE17-1)</f>
        <v/>
      </c>
      <c r="IG5" s="14" t="str">
        <f ca="1">IF(IG$1="","",'Total Value'!IG17/'Total Value'!IF17-1)</f>
        <v/>
      </c>
      <c r="IH5" s="14" t="str">
        <f ca="1">IF(IH$1="","",'Total Value'!IH17/'Total Value'!IG17-1)</f>
        <v/>
      </c>
      <c r="II5" s="14" t="str">
        <f ca="1">IF(II$1="","",'Total Value'!II17/'Total Value'!IH17-1)</f>
        <v/>
      </c>
      <c r="IJ5" s="14" t="str">
        <f ca="1">IF(IJ$1="","",'Total Value'!IJ17/'Total Value'!II17-1)</f>
        <v/>
      </c>
      <c r="IK5" s="14" t="str">
        <f ca="1">IF(IK$1="","",'Total Value'!IK17/'Total Value'!IJ17-1)</f>
        <v/>
      </c>
      <c r="IL5" s="14" t="str">
        <f ca="1">IF(IL$1="","",'Total Value'!IL17/'Total Value'!IK17-1)</f>
        <v/>
      </c>
      <c r="IM5" s="14" t="str">
        <f ca="1">IF(IM$1="","",'Total Value'!IM17/'Total Value'!IL17-1)</f>
        <v/>
      </c>
      <c r="IN5" s="14" t="str">
        <f ca="1">IF(IN$1="","",'Total Value'!IN17/'Total Value'!IM17-1)</f>
        <v/>
      </c>
      <c r="IO5" s="14" t="str">
        <f ca="1">IF(IO$1="","",'Total Value'!IO17/'Total Value'!IN17-1)</f>
        <v/>
      </c>
      <c r="IP5" s="14" t="str">
        <f ca="1">IF(IP$1="","",'Total Value'!IP17/'Total Value'!IO17-1)</f>
        <v/>
      </c>
      <c r="IQ5" s="14" t="str">
        <f ca="1">IF(IQ$1="","",'Total Value'!IQ17/'Total Value'!IP17-1)</f>
        <v/>
      </c>
      <c r="IR5" s="14" t="str">
        <f ca="1">IF(IR$1="","",'Total Value'!IR17/'Total Value'!IQ17-1)</f>
        <v/>
      </c>
      <c r="IS5" s="14" t="str">
        <f ca="1">IF(IS$1="","",'Total Value'!IS17/'Total Value'!IR17-1)</f>
        <v/>
      </c>
      <c r="IT5" s="14" t="str">
        <f ca="1">IF(IT$1="","",'Total Value'!IT17/'Total Value'!IS17-1)</f>
        <v/>
      </c>
      <c r="IU5" s="14" t="str">
        <f ca="1">IF(IU$1="","",'Total Value'!IU17/'Total Value'!IT17-1)</f>
        <v/>
      </c>
      <c r="IV5" s="14" t="str">
        <f ca="1">IF(IV$1="","",'Total Value'!IV17/'Total Value'!IU17-1)</f>
        <v/>
      </c>
      <c r="IW5" s="14" t="str">
        <f ca="1">IF(IW$1="","",'Total Value'!IW17/'Total Value'!IV17-1)</f>
        <v/>
      </c>
      <c r="IX5" s="14" t="str">
        <f ca="1">IF(IX$1="","",'Total Value'!IX17/'Total Value'!IW17-1)</f>
        <v/>
      </c>
      <c r="IY5" s="14" t="str">
        <f ca="1">IF(IY$1="","",'Total Value'!IY17/'Total Value'!IX17-1)</f>
        <v/>
      </c>
      <c r="IZ5" s="14" t="str">
        <f ca="1">IF(IZ$1="","",'Total Value'!IZ17/'Total Value'!IY17-1)</f>
        <v/>
      </c>
      <c r="JA5" s="14" t="str">
        <f ca="1">IF(JA$1="","",'Total Value'!JA17/'Total Value'!IZ17-1)</f>
        <v/>
      </c>
      <c r="JB5" s="14" t="str">
        <f ca="1">IF(JB$1="","",'Total Value'!JB17/'Total Value'!JA17-1)</f>
        <v/>
      </c>
      <c r="JC5" s="14" t="str">
        <f ca="1">IF(JC$1="","",'Total Value'!JC17/'Total Value'!JB17-1)</f>
        <v/>
      </c>
      <c r="JD5" s="14" t="str">
        <f ca="1">IF(JD$1="","",'Total Value'!JD17/'Total Value'!JC17-1)</f>
        <v/>
      </c>
      <c r="JE5" s="14" t="str">
        <f ca="1">IF(JE$1="","",'Total Value'!JE17/'Total Value'!JD17-1)</f>
        <v/>
      </c>
      <c r="JF5" s="14" t="str">
        <f ca="1">IF(JF$1="","",'Total Value'!JF17/'Total Value'!JE17-1)</f>
        <v/>
      </c>
      <c r="JG5" s="14" t="str">
        <f ca="1">IF(JG$1="","",'Total Value'!JG17/'Total Value'!JF17-1)</f>
        <v/>
      </c>
      <c r="JH5" s="14" t="str">
        <f ca="1">IF(JH$1="","",'Total Value'!JH17/'Total Value'!JG17-1)</f>
        <v/>
      </c>
      <c r="JI5" s="14" t="str">
        <f ca="1">IF(JI$1="","",'Total Value'!JI17/'Total Value'!JH17-1)</f>
        <v/>
      </c>
      <c r="JJ5" s="14" t="str">
        <f ca="1">IF(JJ$1="","",'Total Value'!JJ17/'Total Value'!JI17-1)</f>
        <v/>
      </c>
      <c r="JK5" s="14" t="str">
        <f ca="1">IF(JK$1="","",'Total Value'!JK17/'Total Value'!JJ17-1)</f>
        <v/>
      </c>
      <c r="JL5" s="14" t="str">
        <f ca="1">IF(JL$1="","",'Total Value'!JL17/'Total Value'!JK17-1)</f>
        <v/>
      </c>
      <c r="JM5" s="14" t="str">
        <f ca="1">IF(JM$1="","",'Total Value'!JM17/'Total Value'!JL17-1)</f>
        <v/>
      </c>
      <c r="JN5" s="14" t="str">
        <f ca="1">IF(JN$1="","",'Total Value'!JN17/'Total Value'!JM17-1)</f>
        <v/>
      </c>
      <c r="JO5" s="14" t="str">
        <f ca="1">IF(JO$1="","",'Total Value'!JO17/'Total Value'!JN17-1)</f>
        <v/>
      </c>
      <c r="JP5" s="14" t="str">
        <f ca="1">IF(JP$1="","",'Total Value'!JP17/'Total Value'!JO17-1)</f>
        <v/>
      </c>
      <c r="JQ5" s="14" t="str">
        <f ca="1">IF(JQ$1="","",'Total Value'!JQ17/'Total Value'!JP17-1)</f>
        <v/>
      </c>
      <c r="JR5" s="14" t="str">
        <f ca="1">IF(JR$1="","",'Total Value'!JR17/'Total Value'!JQ17-1)</f>
        <v/>
      </c>
      <c r="JS5" s="14" t="str">
        <f ca="1">IF(JS$1="","",'Total Value'!JS17/'Total Value'!JR17-1)</f>
        <v/>
      </c>
      <c r="JT5" s="14" t="str">
        <f ca="1">IF(JT$1="","",'Total Value'!JT17/'Total Value'!JS17-1)</f>
        <v/>
      </c>
      <c r="JU5" s="14" t="str">
        <f ca="1">IF(JU$1="","",'Total Value'!JU17/'Total Value'!JT17-1)</f>
        <v/>
      </c>
      <c r="JV5" s="14" t="str">
        <f ca="1">IF(JV$1="","",'Total Value'!JV17/'Total Value'!JU17-1)</f>
        <v/>
      </c>
      <c r="JW5" s="14" t="str">
        <f ca="1">IF(JW$1="","",'Total Value'!JW17/'Total Value'!JV17-1)</f>
        <v/>
      </c>
      <c r="JX5" s="14" t="str">
        <f ca="1">IF(JX$1="","",'Total Value'!JX17/'Total Value'!JW17-1)</f>
        <v/>
      </c>
      <c r="JY5" s="14" t="str">
        <f ca="1">IF(JY$1="","",'Total Value'!JY17/'Total Value'!JX17-1)</f>
        <v/>
      </c>
      <c r="JZ5" s="14" t="str">
        <f ca="1">IF(JZ$1="","",'Total Value'!JZ17/'Total Value'!JY17-1)</f>
        <v/>
      </c>
      <c r="KA5" s="14" t="str">
        <f ca="1">IF(KA$1="","",'Total Value'!KA17/'Total Value'!JZ17-1)</f>
        <v/>
      </c>
      <c r="KB5" s="14" t="str">
        <f ca="1">IF(KB$1="","",'Total Value'!KB17/'Total Value'!KA17-1)</f>
        <v/>
      </c>
    </row>
    <row r="6" spans="1:288" ht="15.75" customHeight="1">
      <c r="A6" s="22" t="s">
        <v>30</v>
      </c>
      <c r="B6" s="6" t="s">
        <v>51</v>
      </c>
      <c r="C6" s="26">
        <v>116</v>
      </c>
      <c r="D6" s="13">
        <v>0</v>
      </c>
      <c r="E6" s="14">
        <f ca="1">IF(E$1="","",'Total Value'!E18/'Total Value'!D18-1)</f>
        <v>2.0195321919459941E-2</v>
      </c>
      <c r="F6" s="14">
        <f ca="1">IF(F$1="","",'Total Value'!F18/'Total Value'!E18-1)</f>
        <v>5.6136618802813398E-3</v>
      </c>
      <c r="G6" s="14">
        <f ca="1">IF(G$1="","",'Total Value'!G18/'Total Value'!F18-1)</f>
        <v>-4.1250440709836633E-2</v>
      </c>
      <c r="H6" s="14">
        <f ca="1">IF(H$1="","",'Total Value'!H18/'Total Value'!G18-1)</f>
        <v>-8.6418239764648463E-3</v>
      </c>
      <c r="I6" s="14">
        <f ca="1">IF(I$1="","",'Total Value'!I18/'Total Value'!H18-1)</f>
        <v>-5.0819165378670816E-2</v>
      </c>
      <c r="J6" s="14">
        <f ca="1">IF(J$1="","",'Total Value'!J18/'Total Value'!I18-1)</f>
        <v>-2.3448186022276829E-3</v>
      </c>
      <c r="K6" s="14">
        <f ca="1">IF(K$1="","",'Total Value'!K18/'Total Value'!J18-1)</f>
        <v>-1.8672063720049481E-2</v>
      </c>
      <c r="L6" s="14">
        <f ca="1">IF(L$1="","",'Total Value'!L18/'Total Value'!K18-1)</f>
        <v>-1.337236378151796E-2</v>
      </c>
      <c r="M6" s="14">
        <f ca="1">IF(M$1="","",'Total Value'!M18/'Total Value'!L18-1)</f>
        <v>2.265677680377598E-2</v>
      </c>
      <c r="N6" s="14">
        <f ca="1">IF(N$1="","",'Total Value'!N18/'Total Value'!M18-1)</f>
        <v>-6.1123565871027519E-2</v>
      </c>
      <c r="O6" s="14">
        <f ca="1">IF(O$1="","",'Total Value'!O18/'Total Value'!N18-1)</f>
        <v>-6.3206685862770007E-3</v>
      </c>
      <c r="P6" s="14">
        <f ca="1">IF(P$1="","",'Total Value'!P18/'Total Value'!O18-1)</f>
        <v>-1.7739769595024435E-2</v>
      </c>
      <c r="Q6" s="14">
        <f ca="1">IF(Q$1="","",'Total Value'!Q18/'Total Value'!P18-1)</f>
        <v>4.6337602532738442E-2</v>
      </c>
      <c r="R6" s="14">
        <f ca="1">IF(R$1="","",'Total Value'!R18/'Total Value'!Q18-1)</f>
        <v>4.6210975106587782E-2</v>
      </c>
      <c r="S6" s="14">
        <f ca="1">IF(S$1="","",'Total Value'!S18/'Total Value'!R18-1)</f>
        <v>-3.4836334954644332E-3</v>
      </c>
      <c r="T6" s="14">
        <f ca="1">IF(T$1="","",'Total Value'!T18/'Total Value'!S18-1)</f>
        <v>1.0025723896840422E-2</v>
      </c>
      <c r="U6" s="14">
        <f ca="1">IF(U$1="","",'Total Value'!U18/'Total Value'!T18-1)</f>
        <v>-4.3818977339515452E-2</v>
      </c>
      <c r="V6" s="14">
        <f ca="1">IF(V$1="","",'Total Value'!V18/'Total Value'!U18-1)</f>
        <v>7.4443382051634366E-3</v>
      </c>
      <c r="W6" s="14">
        <f ca="1">IF(W$1="","",'Total Value'!W18/'Total Value'!V18-1)</f>
        <v>-5.3555691139582917E-3</v>
      </c>
      <c r="X6" s="14">
        <f ca="1">IF(X$1="","",'Total Value'!X18/'Total Value'!W18-1)</f>
        <v>1.1245910577971641E-2</v>
      </c>
      <c r="Y6" s="14">
        <f ca="1">IF(Y$1="","",'Total Value'!Y18/'Total Value'!X18-1)</f>
        <v>4.064163914537966E-2</v>
      </c>
      <c r="Z6" s="14">
        <f ca="1">IF(Z$1="","",'Total Value'!Z18/'Total Value'!Y18-1)</f>
        <v>-3.5816062176165731E-2</v>
      </c>
      <c r="AA6" s="14">
        <f ca="1">IF(AA$1="","",'Total Value'!AA18/'Total Value'!Z18-1)</f>
        <v>-4.278901054611417E-2</v>
      </c>
      <c r="AB6" s="14">
        <f ca="1">IF(AB$1="","",'Total Value'!AB18/'Total Value'!AA18-1)</f>
        <v>-2.9473684210524764E-3</v>
      </c>
      <c r="AC6" s="14">
        <f ca="1">IF(AC$1="","",'Total Value'!AC18/'Total Value'!AB18-1)</f>
        <v>2.8082770270269952E-2</v>
      </c>
      <c r="AD6" s="14">
        <f ca="1">IF(AD$1="","",'Total Value'!AD18/'Total Value'!AC18-1)</f>
        <v>-1.5061271992879988E-3</v>
      </c>
      <c r="AE6" s="14">
        <f ca="1">IF(AE$1="","",'Total Value'!AE18/'Total Value'!AD18-1)</f>
        <v>-5.2314021254713627E-2</v>
      </c>
      <c r="AF6" s="14">
        <f ca="1">IF(AF$1="","",'Total Value'!AF18/'Total Value'!AE18-1)</f>
        <v>-2.3657936622775377E-2</v>
      </c>
      <c r="AG6" s="14">
        <f ca="1">IF(AG$1="","",'Total Value'!AG18/'Total Value'!AF18-1)</f>
        <v>1.9266394961097166E-3</v>
      </c>
      <c r="AH6" s="14">
        <f ca="1">IF(AH$1="","",'Total Value'!AH18/'Total Value'!AG18-1)</f>
        <v>4.1934768138451206E-2</v>
      </c>
      <c r="AI6" s="14">
        <f ca="1">IF(AI$1="","",'Total Value'!AI18/'Total Value'!AH18-1)</f>
        <v>5.7921635434412311E-2</v>
      </c>
      <c r="AJ6" s="14">
        <f ca="1">IF(AJ$1="","",'Total Value'!AJ18/'Total Value'!AI18-1)</f>
        <v>2.6100375738056902E-2</v>
      </c>
      <c r="AK6" s="14">
        <f ca="1">IF(AK$1="","",'Total Value'!AK18/'Total Value'!AJ18-1)</f>
        <v>-9.8084090760478526E-3</v>
      </c>
      <c r="AL6" s="14">
        <f ca="1">IF(AL$1="","",'Total Value'!AL18/'Total Value'!AK18-1)</f>
        <v>-5.9433401571684641E-3</v>
      </c>
      <c r="AM6" s="14">
        <f ca="1">IF(AM$1="","",'Total Value'!AM18/'Total Value'!AL18-1)</f>
        <v>4.6037334750548053E-2</v>
      </c>
      <c r="AN6" s="14">
        <f ca="1">IF(AN$1="","",'Total Value'!AN18/'Total Value'!AM18-1)</f>
        <v>-2.2354883780007606E-2</v>
      </c>
      <c r="AO6" s="14">
        <f ca="1">IF(AO$1="","",'Total Value'!AO18/'Total Value'!AN18-1)</f>
        <v>4.8720280628815615E-3</v>
      </c>
      <c r="AP6" s="14">
        <f ca="1">IF(AP$1="","",'Total Value'!AP18/'Total Value'!AO18-1)</f>
        <v>-2.7732885125088869E-2</v>
      </c>
      <c r="AQ6" s="14">
        <f ca="1">IF(AQ$1="","",'Total Value'!AQ18/'Total Value'!AP18-1)</f>
        <v>-3.0585106382978622E-2</v>
      </c>
      <c r="AR6" s="14">
        <f ca="1">IF(AR$1="","",'Total Value'!AR18/'Total Value'!AQ18-1)</f>
        <v>3.4910836762688247E-2</v>
      </c>
      <c r="AS6" s="14">
        <f ca="1">IF(AS$1="","",'Total Value'!AS18/'Total Value'!AR18-1)</f>
        <v>-9.4771025250180996E-3</v>
      </c>
      <c r="AT6" s="14">
        <f ca="1">IF(AT$1="","",'Total Value'!AT18/'Total Value'!AS18-1)</f>
        <v>-3.0442927873678527E-2</v>
      </c>
      <c r="AU6" s="14">
        <f ca="1">IF(AU$1="","",'Total Value'!AU18/'Total Value'!AT18-1)</f>
        <v>-3.9679801255952052E-2</v>
      </c>
      <c r="AV6" s="14">
        <f ca="1">IF(AV$1="","",'Total Value'!AV18/'Total Value'!AU18-1)</f>
        <v>2.4001149755676909E-2</v>
      </c>
      <c r="AW6" s="14">
        <f ca="1">IF(AW$1="","",'Total Value'!AW18/'Total Value'!AV18-1)</f>
        <v>5.6210526315789489E-2</v>
      </c>
      <c r="AX6" s="14">
        <f ca="1">IF(AX$1="","",'Total Value'!AX18/'Total Value'!AW18-1)</f>
        <v>1.8669855823533199E-2</v>
      </c>
      <c r="AY6" s="14">
        <f ca="1">IF(AY$1="","",'Total Value'!AY18/'Total Value'!AX18-1)</f>
        <v>3.619879989564323E-2</v>
      </c>
      <c r="AZ6" s="14">
        <f ca="1">IF(AZ$1="","",'Total Value'!AZ18/'Total Value'!AY18-1)</f>
        <v>-1.0511739157802236E-2</v>
      </c>
      <c r="BA6" s="14">
        <f ca="1">IF(BA$1="","",'Total Value'!BA18/'Total Value'!AZ18-1)</f>
        <v>1.9083969465648831E-2</v>
      </c>
      <c r="BB6" s="14">
        <f ca="1">IF(BB$1="","",'Total Value'!BB18/'Total Value'!BA18-1)</f>
        <v>-1.8164794007490492E-2</v>
      </c>
      <c r="BC6" s="14">
        <f ca="1">IF(BC$1="","",'Total Value'!BC18/'Total Value'!BB18-1)</f>
        <v>3.0707610146862629E-2</v>
      </c>
      <c r="BD6" s="14">
        <f ca="1">IF(BD$1="","",'Total Value'!BD18/'Total Value'!BC18-1)</f>
        <v>-2.0231926967678393E-2</v>
      </c>
      <c r="BE6" s="14">
        <f ca="1">IF(BE$1="","",'Total Value'!BE18/'Total Value'!BD18-1)</f>
        <v>2.2853185595568037E-2</v>
      </c>
      <c r="BF6" s="14">
        <f ca="1">IF(BF$1="","",'Total Value'!BF18/'Total Value'!BE18-1)</f>
        <v>2.1542438604049918E-2</v>
      </c>
      <c r="BG6" s="14">
        <f ca="1">IF(BG$1="","",'Total Value'!BG18/'Total Value'!BF18-1)</f>
        <v>-1.6026992830029618E-2</v>
      </c>
      <c r="BH6" s="14">
        <f ca="1">IF(BH$1="","",'Total Value'!BH18/'Total Value'!BG18-1)</f>
        <v>7.0418223011450287E-3</v>
      </c>
      <c r="BI6" s="14">
        <f ca="1">IF(BI$1="","",'Total Value'!BI18/'Total Value'!BH18-1)</f>
        <v>7.1141919007660093E-3</v>
      </c>
      <c r="BJ6" s="14">
        <f ca="1">IF(BJ$1="","",'Total Value'!BJ18/'Total Value'!BI18-1)</f>
        <v>8.9355793032666053E-3</v>
      </c>
      <c r="BK6" s="14">
        <f ca="1">IF(BK$1="","",'Total Value'!BK18/'Total Value'!BJ18-1)</f>
        <v>-2.1901741367961525E-2</v>
      </c>
      <c r="BL6" s="14">
        <f ca="1">IF(BL$1="","",'Total Value'!BL18/'Total Value'!BK18-1)</f>
        <v>-9.7889262771488905E-3</v>
      </c>
      <c r="BM6" s="14">
        <f ca="1">IF(BM$1="","",'Total Value'!BM18/'Total Value'!BL18-1)</f>
        <v>7.908557306147701E-3</v>
      </c>
      <c r="BN6" s="14">
        <f ca="1">IF(BN$1="","",'Total Value'!BN18/'Total Value'!BM18-1)</f>
        <v>-2.9976092686814115E-2</v>
      </c>
      <c r="BO6" s="14">
        <f ca="1">IF(BO$1="","",'Total Value'!BO18/'Total Value'!BN18-1)</f>
        <v>-2.8437815975733027E-2</v>
      </c>
      <c r="BP6" s="14">
        <f ca="1">IF(BP$1="","",'Total Value'!BP18/'Total Value'!BO18-1)</f>
        <v>-2.406660595810961E-3</v>
      </c>
      <c r="BQ6" s="14">
        <f ca="1">IF(BQ$1="","",'Total Value'!BQ18/'Total Value'!BP18-1)</f>
        <v>1.5778835495859456E-2</v>
      </c>
      <c r="BR6" s="14">
        <f ca="1">IF(BR$1="","",'Total Value'!BR18/'Total Value'!BQ18-1)</f>
        <v>-3.8449194428397004E-2</v>
      </c>
      <c r="BS6" s="14">
        <f ca="1">IF(BS$1="","",'Total Value'!BS18/'Total Value'!BR18-1)</f>
        <v>5.4072096128170433E-3</v>
      </c>
      <c r="BT6" s="14">
        <f ca="1">IF(BT$1="","",'Total Value'!BT18/'Total Value'!BS18-1)</f>
        <v>3.3264723457937739E-2</v>
      </c>
      <c r="BU6" s="14">
        <f ca="1">IF(BU$1="","",'Total Value'!BU18/'Total Value'!BT18-1)</f>
        <v>9.7031229919031237E-3</v>
      </c>
      <c r="BV6" s="14">
        <f ca="1">IF(BV$1="","",'Total Value'!BV18/'Total Value'!BU18-1)</f>
        <v>-3.3539107745178987E-2</v>
      </c>
      <c r="BW6" s="14">
        <f ca="1">IF(BW$1="","",'Total Value'!BW18/'Total Value'!BV18-1)</f>
        <v>-2.4957197418675303E-2</v>
      </c>
      <c r="BX6" s="14">
        <f ca="1">IF(BX$1="","",'Total Value'!BX18/'Total Value'!BW18-1)</f>
        <v>2.0463294387789599E-2</v>
      </c>
      <c r="BY6" s="14">
        <f ca="1">IF(BY$1="","",'Total Value'!BY18/'Total Value'!BX18-1)</f>
        <v>2.9119788219722498E-3</v>
      </c>
      <c r="BZ6" s="14">
        <f ca="1">IF(BZ$1="","",'Total Value'!BZ18/'Total Value'!BY18-1)</f>
        <v>1.2339976243896045E-2</v>
      </c>
      <c r="CA6" s="14">
        <f ca="1">IF(CA$1="","",'Total Value'!CA18/'Total Value'!BZ18-1)</f>
        <v>3.6503487386741362E-2</v>
      </c>
      <c r="CB6" s="14">
        <f ca="1">IF(CB$1="","",'Total Value'!CB18/'Total Value'!CA18-1)</f>
        <v>-5.1317527199547297E-2</v>
      </c>
      <c r="CC6" s="14">
        <f ca="1">IF(CC$1="","",'Total Value'!CC18/'Total Value'!CB18-1)</f>
        <v>-2.3864766324162012E-3</v>
      </c>
      <c r="CD6" s="14">
        <f ca="1">IF(CD$1="","",'Total Value'!CD18/'Total Value'!CC18-1)</f>
        <v>1.5682105123263845E-2</v>
      </c>
      <c r="CE6" s="14">
        <f ca="1">IF(CE$1="","",'Total Value'!CE18/'Total Value'!CD18-1)</f>
        <v>3.5917566241413068E-2</v>
      </c>
      <c r="CF6" s="14" t="str">
        <f ca="1">IF(CF$1="","",'Total Value'!CF18/'Total Value'!CE18-1)</f>
        <v/>
      </c>
      <c r="CG6" s="14" t="str">
        <f ca="1">IF(CG$1="","",'Total Value'!CG18/'Total Value'!CF18-1)</f>
        <v/>
      </c>
      <c r="CH6" s="14" t="str">
        <f ca="1">IF(CH$1="","",'Total Value'!CH18/'Total Value'!CG18-1)</f>
        <v/>
      </c>
      <c r="CI6" s="14" t="str">
        <f ca="1">IF(CI$1="","",'Total Value'!CI18/'Total Value'!CH18-1)</f>
        <v/>
      </c>
      <c r="CJ6" s="14" t="str">
        <f ca="1">IF(CJ$1="","",'Total Value'!CJ18/'Total Value'!CI18-1)</f>
        <v/>
      </c>
      <c r="CK6" s="14" t="str">
        <f ca="1">IF(CK$1="","",'Total Value'!CK18/'Total Value'!CJ18-1)</f>
        <v/>
      </c>
      <c r="CL6" s="14" t="str">
        <f ca="1">IF(CL$1="","",'Total Value'!CL18/'Total Value'!CK18-1)</f>
        <v/>
      </c>
      <c r="CM6" s="14" t="str">
        <f ca="1">IF(CM$1="","",'Total Value'!CM18/'Total Value'!CL18-1)</f>
        <v/>
      </c>
      <c r="CN6" s="14" t="str">
        <f ca="1">IF(CN$1="","",'Total Value'!CN18/'Total Value'!CM18-1)</f>
        <v/>
      </c>
      <c r="CO6" s="14" t="str">
        <f ca="1">IF(CO$1="","",'Total Value'!CO18/'Total Value'!CN18-1)</f>
        <v/>
      </c>
      <c r="CP6" s="14" t="str">
        <f ca="1">IF(CP$1="","",'Total Value'!CP18/'Total Value'!CO18-1)</f>
        <v/>
      </c>
      <c r="CQ6" s="14" t="str">
        <f ca="1">IF(CQ$1="","",'Total Value'!CQ18/'Total Value'!CP18-1)</f>
        <v/>
      </c>
      <c r="CR6" s="14" t="str">
        <f ca="1">IF(CR$1="","",'Total Value'!CR18/'Total Value'!CQ18-1)</f>
        <v/>
      </c>
      <c r="CS6" s="14" t="str">
        <f ca="1">IF(CS$1="","",'Total Value'!CS18/'Total Value'!CR18-1)</f>
        <v/>
      </c>
      <c r="CT6" s="14" t="str">
        <f ca="1">IF(CT$1="","",'Total Value'!CT18/'Total Value'!CS18-1)</f>
        <v/>
      </c>
      <c r="CU6" s="14" t="str">
        <f ca="1">IF(CU$1="","",'Total Value'!CU18/'Total Value'!CT18-1)</f>
        <v/>
      </c>
      <c r="CV6" s="14" t="str">
        <f ca="1">IF(CV$1="","",'Total Value'!CV18/'Total Value'!CU18-1)</f>
        <v/>
      </c>
      <c r="CW6" s="14" t="str">
        <f ca="1">IF(CW$1="","",'Total Value'!CW18/'Total Value'!CV18-1)</f>
        <v/>
      </c>
      <c r="CX6" s="14" t="str">
        <f ca="1">IF(CX$1="","",'Total Value'!CX18/'Total Value'!CW18-1)</f>
        <v/>
      </c>
      <c r="CY6" s="14" t="str">
        <f ca="1">IF(CY$1="","",'Total Value'!CY18/'Total Value'!CX18-1)</f>
        <v/>
      </c>
      <c r="CZ6" s="14" t="str">
        <f ca="1">IF(CZ$1="","",'Total Value'!CZ18/'Total Value'!CY18-1)</f>
        <v/>
      </c>
      <c r="DA6" s="14" t="str">
        <f ca="1">IF(DA$1="","",'Total Value'!DA18/'Total Value'!CZ18-1)</f>
        <v/>
      </c>
      <c r="DB6" s="14" t="str">
        <f ca="1">IF(DB$1="","",'Total Value'!DB18/'Total Value'!DA18-1)</f>
        <v/>
      </c>
      <c r="DC6" s="14" t="str">
        <f ca="1">IF(DC$1="","",'Total Value'!DC18/'Total Value'!DB18-1)</f>
        <v/>
      </c>
      <c r="DD6" s="14" t="str">
        <f ca="1">IF(DD$1="","",'Total Value'!DD18/'Total Value'!DC18-1)</f>
        <v/>
      </c>
      <c r="DE6" s="14" t="str">
        <f ca="1">IF(DE$1="","",'Total Value'!DE18/'Total Value'!DD18-1)</f>
        <v/>
      </c>
      <c r="DF6" s="14" t="str">
        <f ca="1">IF(DF$1="","",'Total Value'!DF18/'Total Value'!DE18-1)</f>
        <v/>
      </c>
      <c r="DG6" s="14" t="str">
        <f ca="1">IF(DG$1="","",'Total Value'!DG18/'Total Value'!DF18-1)</f>
        <v/>
      </c>
      <c r="DH6" s="14" t="str">
        <f ca="1">IF(DH$1="","",'Total Value'!DH18/'Total Value'!DG18-1)</f>
        <v/>
      </c>
      <c r="DI6" s="14" t="str">
        <f ca="1">IF(DI$1="","",'Total Value'!DI18/'Total Value'!DH18-1)</f>
        <v/>
      </c>
      <c r="DJ6" s="14" t="str">
        <f ca="1">IF(DJ$1="","",'Total Value'!DJ18/'Total Value'!DI18-1)</f>
        <v/>
      </c>
      <c r="DK6" s="14" t="str">
        <f ca="1">IF(DK$1="","",'Total Value'!DK18/'Total Value'!DJ18-1)</f>
        <v/>
      </c>
      <c r="DL6" s="14" t="str">
        <f ca="1">IF(DL$1="","",'Total Value'!DL18/'Total Value'!DK18-1)</f>
        <v/>
      </c>
      <c r="DM6" s="14" t="str">
        <f ca="1">IF(DM$1="","",'Total Value'!DM18/'Total Value'!DL18-1)</f>
        <v/>
      </c>
      <c r="DN6" s="14" t="str">
        <f ca="1">IF(DN$1="","",'Total Value'!DN18/'Total Value'!DM18-1)</f>
        <v/>
      </c>
      <c r="DO6" s="14" t="str">
        <f ca="1">IF(DO$1="","",'Total Value'!DO18/'Total Value'!DN18-1)</f>
        <v/>
      </c>
      <c r="DP6" s="14" t="str">
        <f ca="1">IF(DP$1="","",'Total Value'!DP18/'Total Value'!DO18-1)</f>
        <v/>
      </c>
      <c r="DQ6" s="14" t="str">
        <f ca="1">IF(DQ$1="","",'Total Value'!DQ18/'Total Value'!DP18-1)</f>
        <v/>
      </c>
      <c r="DR6" s="14" t="str">
        <f ca="1">IF(DR$1="","",'Total Value'!DR18/'Total Value'!DQ18-1)</f>
        <v/>
      </c>
      <c r="DS6" s="14" t="str">
        <f ca="1">IF(DS$1="","",'Total Value'!DS18/'Total Value'!DR18-1)</f>
        <v/>
      </c>
      <c r="DT6" s="14" t="str">
        <f ca="1">IF(DT$1="","",'Total Value'!DT18/'Total Value'!DS18-1)</f>
        <v/>
      </c>
      <c r="DU6" s="14" t="str">
        <f ca="1">IF(DU$1="","",'Total Value'!DU18/'Total Value'!DT18-1)</f>
        <v/>
      </c>
      <c r="DV6" s="14" t="str">
        <f ca="1">IF(DV$1="","",'Total Value'!DV18/'Total Value'!DU18-1)</f>
        <v/>
      </c>
      <c r="DW6" s="14" t="str">
        <f ca="1">IF(DW$1="","",'Total Value'!DW18/'Total Value'!DV18-1)</f>
        <v/>
      </c>
      <c r="DX6" s="14" t="str">
        <f ca="1">IF(DX$1="","",'Total Value'!DX18/'Total Value'!DW18-1)</f>
        <v/>
      </c>
      <c r="DY6" s="14" t="str">
        <f ca="1">IF(DY$1="","",'Total Value'!DY18/'Total Value'!DX18-1)</f>
        <v/>
      </c>
      <c r="DZ6" s="14" t="str">
        <f ca="1">IF(DZ$1="","",'Total Value'!DZ18/'Total Value'!DY18-1)</f>
        <v/>
      </c>
      <c r="EA6" s="14" t="str">
        <f ca="1">IF(EA$1="","",'Total Value'!EA18/'Total Value'!DZ18-1)</f>
        <v/>
      </c>
      <c r="EB6" s="14" t="str">
        <f ca="1">IF(EB$1="","",'Total Value'!EB18/'Total Value'!EA18-1)</f>
        <v/>
      </c>
      <c r="EC6" s="14" t="str">
        <f ca="1">IF(EC$1="","",'Total Value'!EC18/'Total Value'!EB18-1)</f>
        <v/>
      </c>
      <c r="ED6" s="14" t="str">
        <f ca="1">IF(ED$1="","",'Total Value'!ED18/'Total Value'!EC18-1)</f>
        <v/>
      </c>
      <c r="EE6" s="14" t="str">
        <f ca="1">IF(EE$1="","",'Total Value'!EE18/'Total Value'!ED18-1)</f>
        <v/>
      </c>
      <c r="EF6" s="14" t="str">
        <f ca="1">IF(EF$1="","",'Total Value'!EF18/'Total Value'!EE18-1)</f>
        <v/>
      </c>
      <c r="EG6" s="14" t="str">
        <f ca="1">IF(EG$1="","",'Total Value'!EG18/'Total Value'!EF18-1)</f>
        <v/>
      </c>
      <c r="EH6" s="14" t="str">
        <f ca="1">IF(EH$1="","",'Total Value'!EH18/'Total Value'!EG18-1)</f>
        <v/>
      </c>
      <c r="EI6" s="14" t="str">
        <f ca="1">IF(EI$1="","",'Total Value'!EI18/'Total Value'!EH18-1)</f>
        <v/>
      </c>
      <c r="EJ6" s="14" t="str">
        <f ca="1">IF(EJ$1="","",'Total Value'!EJ18/'Total Value'!EI18-1)</f>
        <v/>
      </c>
      <c r="EK6" s="14" t="str">
        <f ca="1">IF(EK$1="","",'Total Value'!EK18/'Total Value'!EJ18-1)</f>
        <v/>
      </c>
      <c r="EL6" s="14" t="str">
        <f ca="1">IF(EL$1="","",'Total Value'!EL18/'Total Value'!EK18-1)</f>
        <v/>
      </c>
      <c r="EM6" s="14" t="str">
        <f ca="1">IF(EM$1="","",'Total Value'!EM18/'Total Value'!EL18-1)</f>
        <v/>
      </c>
      <c r="EN6" s="14" t="str">
        <f ca="1">IF(EN$1="","",'Total Value'!EN18/'Total Value'!EM18-1)</f>
        <v/>
      </c>
      <c r="EO6" s="14" t="str">
        <f ca="1">IF(EO$1="","",'Total Value'!EO18/'Total Value'!EN18-1)</f>
        <v/>
      </c>
      <c r="EP6" s="14" t="str">
        <f ca="1">IF(EP$1="","",'Total Value'!EP18/'Total Value'!EO18-1)</f>
        <v/>
      </c>
      <c r="EQ6" s="14" t="str">
        <f ca="1">IF(EQ$1="","",'Total Value'!EQ18/'Total Value'!EP18-1)</f>
        <v/>
      </c>
      <c r="ER6" s="14" t="str">
        <f ca="1">IF(ER$1="","",'Total Value'!ER18/'Total Value'!EQ18-1)</f>
        <v/>
      </c>
      <c r="ES6" s="14" t="str">
        <f ca="1">IF(ES$1="","",'Total Value'!ES18/'Total Value'!ER18-1)</f>
        <v/>
      </c>
      <c r="ET6" s="14" t="str">
        <f ca="1">IF(ET$1="","",'Total Value'!ET18/'Total Value'!ES18-1)</f>
        <v/>
      </c>
      <c r="EU6" s="14" t="str">
        <f ca="1">IF(EU$1="","",'Total Value'!EU18/'Total Value'!ET18-1)</f>
        <v/>
      </c>
      <c r="EV6" s="14" t="str">
        <f ca="1">IF(EV$1="","",'Total Value'!EV18/'Total Value'!EU18-1)</f>
        <v/>
      </c>
      <c r="EW6" s="14" t="str">
        <f ca="1">IF(EW$1="","",'Total Value'!EW18/'Total Value'!EV18-1)</f>
        <v/>
      </c>
      <c r="EX6" s="14" t="str">
        <f ca="1">IF(EX$1="","",'Total Value'!EX18/'Total Value'!EW18-1)</f>
        <v/>
      </c>
      <c r="EY6" s="14" t="str">
        <f ca="1">IF(EY$1="","",'Total Value'!EY18/'Total Value'!EX18-1)</f>
        <v/>
      </c>
      <c r="EZ6" s="14" t="str">
        <f ca="1">IF(EZ$1="","",'Total Value'!EZ18/'Total Value'!EY18-1)</f>
        <v/>
      </c>
      <c r="FA6" s="14" t="str">
        <f ca="1">IF(FA$1="","",'Total Value'!FA18/'Total Value'!EZ18-1)</f>
        <v/>
      </c>
      <c r="FB6" s="14" t="str">
        <f ca="1">IF(FB$1="","",'Total Value'!FB18/'Total Value'!FA18-1)</f>
        <v/>
      </c>
      <c r="FC6" s="14" t="str">
        <f ca="1">IF(FC$1="","",'Total Value'!FC18/'Total Value'!FB18-1)</f>
        <v/>
      </c>
      <c r="FD6" s="14" t="str">
        <f ca="1">IF(FD$1="","",'Total Value'!FD18/'Total Value'!FC18-1)</f>
        <v/>
      </c>
      <c r="FE6" s="14" t="str">
        <f ca="1">IF(FE$1="","",'Total Value'!FE18/'Total Value'!FD18-1)</f>
        <v/>
      </c>
      <c r="FF6" s="14" t="str">
        <f ca="1">IF(FF$1="","",'Total Value'!FF18/'Total Value'!FE18-1)</f>
        <v/>
      </c>
      <c r="FG6" s="14" t="str">
        <f ca="1">IF(FG$1="","",'Total Value'!FG18/'Total Value'!FF18-1)</f>
        <v/>
      </c>
      <c r="FH6" s="14" t="str">
        <f ca="1">IF(FH$1="","",'Total Value'!FH18/'Total Value'!FG18-1)</f>
        <v/>
      </c>
      <c r="FI6" s="14" t="str">
        <f ca="1">IF(FI$1="","",'Total Value'!FI18/'Total Value'!FH18-1)</f>
        <v/>
      </c>
      <c r="FJ6" s="14" t="str">
        <f ca="1">IF(FJ$1="","",'Total Value'!FJ18/'Total Value'!FI18-1)</f>
        <v/>
      </c>
      <c r="FK6" s="14" t="str">
        <f ca="1">IF(FK$1="","",'Total Value'!FK18/'Total Value'!FJ18-1)</f>
        <v/>
      </c>
      <c r="FL6" s="14" t="str">
        <f ca="1">IF(FL$1="","",'Total Value'!FL18/'Total Value'!FK18-1)</f>
        <v/>
      </c>
      <c r="FM6" s="14" t="str">
        <f ca="1">IF(FM$1="","",'Total Value'!FM18/'Total Value'!FL18-1)</f>
        <v/>
      </c>
      <c r="FN6" s="14" t="str">
        <f ca="1">IF(FN$1="","",'Total Value'!FN18/'Total Value'!FM18-1)</f>
        <v/>
      </c>
      <c r="FO6" s="14" t="str">
        <f ca="1">IF(FO$1="","",'Total Value'!FO18/'Total Value'!FN18-1)</f>
        <v/>
      </c>
      <c r="FP6" s="14" t="str">
        <f ca="1">IF(FP$1="","",'Total Value'!FP18/'Total Value'!FO18-1)</f>
        <v/>
      </c>
      <c r="FQ6" s="14" t="str">
        <f ca="1">IF(FQ$1="","",'Total Value'!FQ18/'Total Value'!FP18-1)</f>
        <v/>
      </c>
      <c r="FR6" s="14" t="str">
        <f ca="1">IF(FR$1="","",'Total Value'!FR18/'Total Value'!FQ18-1)</f>
        <v/>
      </c>
      <c r="FS6" s="14" t="str">
        <f ca="1">IF(FS$1="","",'Total Value'!FS18/'Total Value'!FR18-1)</f>
        <v/>
      </c>
      <c r="FT6" s="14" t="str">
        <f ca="1">IF(FT$1="","",'Total Value'!FT18/'Total Value'!FS18-1)</f>
        <v/>
      </c>
      <c r="FU6" s="14" t="str">
        <f ca="1">IF(FU$1="","",'Total Value'!FU18/'Total Value'!FT18-1)</f>
        <v/>
      </c>
      <c r="FV6" s="14" t="str">
        <f ca="1">IF(FV$1="","",'Total Value'!FV18/'Total Value'!FU18-1)</f>
        <v/>
      </c>
      <c r="FW6" s="14" t="str">
        <f ca="1">IF(FW$1="","",'Total Value'!FW18/'Total Value'!FV18-1)</f>
        <v/>
      </c>
      <c r="FX6" s="14" t="str">
        <f ca="1">IF(FX$1="","",'Total Value'!FX18/'Total Value'!FW18-1)</f>
        <v/>
      </c>
      <c r="FY6" s="14" t="str">
        <f ca="1">IF(FY$1="","",'Total Value'!FY18/'Total Value'!FX18-1)</f>
        <v/>
      </c>
      <c r="FZ6" s="14" t="str">
        <f ca="1">IF(FZ$1="","",'Total Value'!FZ18/'Total Value'!FY18-1)</f>
        <v/>
      </c>
      <c r="GA6" s="14" t="str">
        <f ca="1">IF(GA$1="","",'Total Value'!GA18/'Total Value'!FZ18-1)</f>
        <v/>
      </c>
      <c r="GB6" s="14" t="str">
        <f ca="1">IF(GB$1="","",'Total Value'!GB18/'Total Value'!GA18-1)</f>
        <v/>
      </c>
      <c r="GC6" s="14" t="str">
        <f ca="1">IF(GC$1="","",'Total Value'!GC18/'Total Value'!GB18-1)</f>
        <v/>
      </c>
      <c r="GD6" s="14" t="str">
        <f ca="1">IF(GD$1="","",'Total Value'!GD18/'Total Value'!GC18-1)</f>
        <v/>
      </c>
      <c r="GE6" s="14" t="str">
        <f ca="1">IF(GE$1="","",'Total Value'!GE18/'Total Value'!GD18-1)</f>
        <v/>
      </c>
      <c r="GF6" s="14" t="str">
        <f ca="1">IF(GF$1="","",'Total Value'!GF18/'Total Value'!GE18-1)</f>
        <v/>
      </c>
      <c r="GG6" s="14" t="str">
        <f ca="1">IF(GG$1="","",'Total Value'!GG18/'Total Value'!GF18-1)</f>
        <v/>
      </c>
      <c r="GH6" s="14" t="str">
        <f ca="1">IF(GH$1="","",'Total Value'!GH18/'Total Value'!GG18-1)</f>
        <v/>
      </c>
      <c r="GI6" s="14" t="str">
        <f ca="1">IF(GI$1="","",'Total Value'!GI18/'Total Value'!GH18-1)</f>
        <v/>
      </c>
      <c r="GJ6" s="14" t="str">
        <f ca="1">IF(GJ$1="","",'Total Value'!GJ18/'Total Value'!GI18-1)</f>
        <v/>
      </c>
      <c r="GK6" s="14" t="str">
        <f ca="1">IF(GK$1="","",'Total Value'!GK18/'Total Value'!GJ18-1)</f>
        <v/>
      </c>
      <c r="GL6" s="14" t="str">
        <f ca="1">IF(GL$1="","",'Total Value'!GL18/'Total Value'!GK18-1)</f>
        <v/>
      </c>
      <c r="GM6" s="14" t="str">
        <f ca="1">IF(GM$1="","",'Total Value'!GM18/'Total Value'!GL18-1)</f>
        <v/>
      </c>
      <c r="GN6" s="14" t="str">
        <f ca="1">IF(GN$1="","",'Total Value'!GN18/'Total Value'!GM18-1)</f>
        <v/>
      </c>
      <c r="GO6" s="14" t="str">
        <f ca="1">IF(GO$1="","",'Total Value'!GO18/'Total Value'!GN18-1)</f>
        <v/>
      </c>
      <c r="GP6" s="14" t="str">
        <f ca="1">IF(GP$1="","",'Total Value'!GP18/'Total Value'!GO18-1)</f>
        <v/>
      </c>
      <c r="GQ6" s="14" t="str">
        <f ca="1">IF(GQ$1="","",'Total Value'!GQ18/'Total Value'!GP18-1)</f>
        <v/>
      </c>
      <c r="GR6" s="14" t="str">
        <f ca="1">IF(GR$1="","",'Total Value'!GR18/'Total Value'!GQ18-1)</f>
        <v/>
      </c>
      <c r="GS6" s="14" t="str">
        <f ca="1">IF(GS$1="","",'Total Value'!GS18/'Total Value'!GR18-1)</f>
        <v/>
      </c>
      <c r="GT6" s="14" t="str">
        <f ca="1">IF(GT$1="","",'Total Value'!GT18/'Total Value'!GS18-1)</f>
        <v/>
      </c>
      <c r="GU6" s="14" t="str">
        <f ca="1">IF(GU$1="","",'Total Value'!GU18/'Total Value'!GT18-1)</f>
        <v/>
      </c>
      <c r="GV6" s="14" t="str">
        <f ca="1">IF(GV$1="","",'Total Value'!GV18/'Total Value'!GU18-1)</f>
        <v/>
      </c>
      <c r="GW6" s="14" t="str">
        <f ca="1">IF(GW$1="","",'Total Value'!GW18/'Total Value'!GV18-1)</f>
        <v/>
      </c>
      <c r="GX6" s="14" t="str">
        <f ca="1">IF(GX$1="","",'Total Value'!GX18/'Total Value'!GW18-1)</f>
        <v/>
      </c>
      <c r="GY6" s="14" t="str">
        <f ca="1">IF(GY$1="","",'Total Value'!GY18/'Total Value'!GX18-1)</f>
        <v/>
      </c>
      <c r="GZ6" s="14" t="str">
        <f ca="1">IF(GZ$1="","",'Total Value'!GZ18/'Total Value'!GY18-1)</f>
        <v/>
      </c>
      <c r="HA6" s="14" t="str">
        <f ca="1">IF(HA$1="","",'Total Value'!HA18/'Total Value'!GZ18-1)</f>
        <v/>
      </c>
      <c r="HB6" s="14" t="str">
        <f ca="1">IF(HB$1="","",'Total Value'!HB18/'Total Value'!HA18-1)</f>
        <v/>
      </c>
      <c r="HC6" s="14" t="str">
        <f ca="1">IF(HC$1="","",'Total Value'!HC18/'Total Value'!HB18-1)</f>
        <v/>
      </c>
      <c r="HD6" s="14" t="str">
        <f ca="1">IF(HD$1="","",'Total Value'!HD18/'Total Value'!HC18-1)</f>
        <v/>
      </c>
      <c r="HE6" s="14" t="str">
        <f ca="1">IF(HE$1="","",'Total Value'!HE18/'Total Value'!HD18-1)</f>
        <v/>
      </c>
      <c r="HF6" s="14" t="str">
        <f ca="1">IF(HF$1="","",'Total Value'!HF18/'Total Value'!HE18-1)</f>
        <v/>
      </c>
      <c r="HG6" s="14" t="str">
        <f ca="1">IF(HG$1="","",'Total Value'!HG18/'Total Value'!HF18-1)</f>
        <v/>
      </c>
      <c r="HH6" s="14" t="str">
        <f ca="1">IF(HH$1="","",'Total Value'!HH18/'Total Value'!HG18-1)</f>
        <v/>
      </c>
      <c r="HI6" s="14" t="str">
        <f ca="1">IF(HI$1="","",'Total Value'!HI18/'Total Value'!HH18-1)</f>
        <v/>
      </c>
      <c r="HJ6" s="14" t="str">
        <f ca="1">IF(HJ$1="","",'Total Value'!HJ18/'Total Value'!HI18-1)</f>
        <v/>
      </c>
      <c r="HK6" s="14" t="str">
        <f ca="1">IF(HK$1="","",'Total Value'!HK18/'Total Value'!HJ18-1)</f>
        <v/>
      </c>
      <c r="HL6" s="14" t="str">
        <f ca="1">IF(HL$1="","",'Total Value'!HL18/'Total Value'!HK18-1)</f>
        <v/>
      </c>
      <c r="HM6" s="14" t="str">
        <f ca="1">IF(HM$1="","",'Total Value'!HM18/'Total Value'!HL18-1)</f>
        <v/>
      </c>
      <c r="HN6" s="14" t="str">
        <f ca="1">IF(HN$1="","",'Total Value'!HN18/'Total Value'!HM18-1)</f>
        <v/>
      </c>
      <c r="HO6" s="14" t="str">
        <f ca="1">IF(HO$1="","",'Total Value'!HO18/'Total Value'!HN18-1)</f>
        <v/>
      </c>
      <c r="HP6" s="14" t="str">
        <f ca="1">IF(HP$1="","",'Total Value'!HP18/'Total Value'!HO18-1)</f>
        <v/>
      </c>
      <c r="HQ6" s="14" t="str">
        <f ca="1">IF(HQ$1="","",'Total Value'!HQ18/'Total Value'!HP18-1)</f>
        <v/>
      </c>
      <c r="HR6" s="14" t="str">
        <f ca="1">IF(HR$1="","",'Total Value'!HR18/'Total Value'!HQ18-1)</f>
        <v/>
      </c>
      <c r="HS6" s="14" t="str">
        <f ca="1">IF(HS$1="","",'Total Value'!HS18/'Total Value'!HR18-1)</f>
        <v/>
      </c>
      <c r="HT6" s="14" t="str">
        <f ca="1">IF(HT$1="","",'Total Value'!HT18/'Total Value'!HS18-1)</f>
        <v/>
      </c>
      <c r="HU6" s="14" t="str">
        <f ca="1">IF(HU$1="","",'Total Value'!HU18/'Total Value'!HT18-1)</f>
        <v/>
      </c>
      <c r="HV6" s="14" t="str">
        <f ca="1">IF(HV$1="","",'Total Value'!HV18/'Total Value'!HU18-1)</f>
        <v/>
      </c>
      <c r="HW6" s="14" t="str">
        <f ca="1">IF(HW$1="","",'Total Value'!HW18/'Total Value'!HV18-1)</f>
        <v/>
      </c>
      <c r="HX6" s="14" t="str">
        <f ca="1">IF(HX$1="","",'Total Value'!HX18/'Total Value'!HW18-1)</f>
        <v/>
      </c>
      <c r="HY6" s="14" t="str">
        <f ca="1">IF(HY$1="","",'Total Value'!HY18/'Total Value'!HX18-1)</f>
        <v/>
      </c>
      <c r="HZ6" s="14" t="str">
        <f ca="1">IF(HZ$1="","",'Total Value'!HZ18/'Total Value'!HY18-1)</f>
        <v/>
      </c>
      <c r="IA6" s="14" t="str">
        <f ca="1">IF(IA$1="","",'Total Value'!IA18/'Total Value'!HZ18-1)</f>
        <v/>
      </c>
      <c r="IB6" s="14" t="str">
        <f ca="1">IF(IB$1="","",'Total Value'!IB18/'Total Value'!IA18-1)</f>
        <v/>
      </c>
      <c r="IC6" s="14" t="str">
        <f ca="1">IF(IC$1="","",'Total Value'!IC18/'Total Value'!IB18-1)</f>
        <v/>
      </c>
      <c r="ID6" s="14" t="str">
        <f ca="1">IF(ID$1="","",'Total Value'!ID18/'Total Value'!IC18-1)</f>
        <v/>
      </c>
      <c r="IE6" s="14" t="str">
        <f ca="1">IF(IE$1="","",'Total Value'!IE18/'Total Value'!ID18-1)</f>
        <v/>
      </c>
      <c r="IF6" s="14" t="str">
        <f ca="1">IF(IF$1="","",'Total Value'!IF18/'Total Value'!IE18-1)</f>
        <v/>
      </c>
      <c r="IG6" s="14" t="str">
        <f ca="1">IF(IG$1="","",'Total Value'!IG18/'Total Value'!IF18-1)</f>
        <v/>
      </c>
      <c r="IH6" s="14" t="str">
        <f ca="1">IF(IH$1="","",'Total Value'!IH18/'Total Value'!IG18-1)</f>
        <v/>
      </c>
      <c r="II6" s="14" t="str">
        <f ca="1">IF(II$1="","",'Total Value'!II18/'Total Value'!IH18-1)</f>
        <v/>
      </c>
      <c r="IJ6" s="14" t="str">
        <f ca="1">IF(IJ$1="","",'Total Value'!IJ18/'Total Value'!II18-1)</f>
        <v/>
      </c>
      <c r="IK6" s="14" t="str">
        <f ca="1">IF(IK$1="","",'Total Value'!IK18/'Total Value'!IJ18-1)</f>
        <v/>
      </c>
      <c r="IL6" s="14" t="str">
        <f ca="1">IF(IL$1="","",'Total Value'!IL18/'Total Value'!IK18-1)</f>
        <v/>
      </c>
      <c r="IM6" s="14" t="str">
        <f ca="1">IF(IM$1="","",'Total Value'!IM18/'Total Value'!IL18-1)</f>
        <v/>
      </c>
      <c r="IN6" s="14" t="str">
        <f ca="1">IF(IN$1="","",'Total Value'!IN18/'Total Value'!IM18-1)</f>
        <v/>
      </c>
      <c r="IO6" s="14" t="str">
        <f ca="1">IF(IO$1="","",'Total Value'!IO18/'Total Value'!IN18-1)</f>
        <v/>
      </c>
      <c r="IP6" s="14" t="str">
        <f ca="1">IF(IP$1="","",'Total Value'!IP18/'Total Value'!IO18-1)</f>
        <v/>
      </c>
      <c r="IQ6" s="14" t="str">
        <f ca="1">IF(IQ$1="","",'Total Value'!IQ18/'Total Value'!IP18-1)</f>
        <v/>
      </c>
      <c r="IR6" s="14" t="str">
        <f ca="1">IF(IR$1="","",'Total Value'!IR18/'Total Value'!IQ18-1)</f>
        <v/>
      </c>
      <c r="IS6" s="14" t="str">
        <f ca="1">IF(IS$1="","",'Total Value'!IS18/'Total Value'!IR18-1)</f>
        <v/>
      </c>
      <c r="IT6" s="14" t="str">
        <f ca="1">IF(IT$1="","",'Total Value'!IT18/'Total Value'!IS18-1)</f>
        <v/>
      </c>
      <c r="IU6" s="14" t="str">
        <f ca="1">IF(IU$1="","",'Total Value'!IU18/'Total Value'!IT18-1)</f>
        <v/>
      </c>
      <c r="IV6" s="14" t="str">
        <f ca="1">IF(IV$1="","",'Total Value'!IV18/'Total Value'!IU18-1)</f>
        <v/>
      </c>
      <c r="IW6" s="14" t="str">
        <f ca="1">IF(IW$1="","",'Total Value'!IW18/'Total Value'!IV18-1)</f>
        <v/>
      </c>
      <c r="IX6" s="14" t="str">
        <f ca="1">IF(IX$1="","",'Total Value'!IX18/'Total Value'!IW18-1)</f>
        <v/>
      </c>
      <c r="IY6" s="14" t="str">
        <f ca="1">IF(IY$1="","",'Total Value'!IY18/'Total Value'!IX18-1)</f>
        <v/>
      </c>
      <c r="IZ6" s="14" t="str">
        <f ca="1">IF(IZ$1="","",'Total Value'!IZ18/'Total Value'!IY18-1)</f>
        <v/>
      </c>
      <c r="JA6" s="14" t="str">
        <f ca="1">IF(JA$1="","",'Total Value'!JA18/'Total Value'!IZ18-1)</f>
        <v/>
      </c>
      <c r="JB6" s="14" t="str">
        <f ca="1">IF(JB$1="","",'Total Value'!JB18/'Total Value'!JA18-1)</f>
        <v/>
      </c>
      <c r="JC6" s="14" t="str">
        <f ca="1">IF(JC$1="","",'Total Value'!JC18/'Total Value'!JB18-1)</f>
        <v/>
      </c>
      <c r="JD6" s="14" t="str">
        <f ca="1">IF(JD$1="","",'Total Value'!JD18/'Total Value'!JC18-1)</f>
        <v/>
      </c>
      <c r="JE6" s="14" t="str">
        <f ca="1">IF(JE$1="","",'Total Value'!JE18/'Total Value'!JD18-1)</f>
        <v/>
      </c>
      <c r="JF6" s="14" t="str">
        <f ca="1">IF(JF$1="","",'Total Value'!JF18/'Total Value'!JE18-1)</f>
        <v/>
      </c>
      <c r="JG6" s="14" t="str">
        <f ca="1">IF(JG$1="","",'Total Value'!JG18/'Total Value'!JF18-1)</f>
        <v/>
      </c>
      <c r="JH6" s="14" t="str">
        <f ca="1">IF(JH$1="","",'Total Value'!JH18/'Total Value'!JG18-1)</f>
        <v/>
      </c>
      <c r="JI6" s="14" t="str">
        <f ca="1">IF(JI$1="","",'Total Value'!JI18/'Total Value'!JH18-1)</f>
        <v/>
      </c>
      <c r="JJ6" s="14" t="str">
        <f ca="1">IF(JJ$1="","",'Total Value'!JJ18/'Total Value'!JI18-1)</f>
        <v/>
      </c>
      <c r="JK6" s="14" t="str">
        <f ca="1">IF(JK$1="","",'Total Value'!JK18/'Total Value'!JJ18-1)</f>
        <v/>
      </c>
      <c r="JL6" s="14" t="str">
        <f ca="1">IF(JL$1="","",'Total Value'!JL18/'Total Value'!JK18-1)</f>
        <v/>
      </c>
      <c r="JM6" s="14" t="str">
        <f ca="1">IF(JM$1="","",'Total Value'!JM18/'Total Value'!JL18-1)</f>
        <v/>
      </c>
      <c r="JN6" s="14" t="str">
        <f ca="1">IF(JN$1="","",'Total Value'!JN18/'Total Value'!JM18-1)</f>
        <v/>
      </c>
      <c r="JO6" s="14" t="str">
        <f ca="1">IF(JO$1="","",'Total Value'!JO18/'Total Value'!JN18-1)</f>
        <v/>
      </c>
      <c r="JP6" s="14" t="str">
        <f ca="1">IF(JP$1="","",'Total Value'!JP18/'Total Value'!JO18-1)</f>
        <v/>
      </c>
      <c r="JQ6" s="14" t="str">
        <f ca="1">IF(JQ$1="","",'Total Value'!JQ18/'Total Value'!JP18-1)</f>
        <v/>
      </c>
      <c r="JR6" s="14" t="str">
        <f ca="1">IF(JR$1="","",'Total Value'!JR18/'Total Value'!JQ18-1)</f>
        <v/>
      </c>
      <c r="JS6" s="14" t="str">
        <f ca="1">IF(JS$1="","",'Total Value'!JS18/'Total Value'!JR18-1)</f>
        <v/>
      </c>
      <c r="JT6" s="14" t="str">
        <f ca="1">IF(JT$1="","",'Total Value'!JT18/'Total Value'!JS18-1)</f>
        <v/>
      </c>
      <c r="JU6" s="14" t="str">
        <f ca="1">IF(JU$1="","",'Total Value'!JU18/'Total Value'!JT18-1)</f>
        <v/>
      </c>
      <c r="JV6" s="14" t="str">
        <f ca="1">IF(JV$1="","",'Total Value'!JV18/'Total Value'!JU18-1)</f>
        <v/>
      </c>
      <c r="JW6" s="14" t="str">
        <f ca="1">IF(JW$1="","",'Total Value'!JW18/'Total Value'!JV18-1)</f>
        <v/>
      </c>
      <c r="JX6" s="14" t="str">
        <f ca="1">IF(JX$1="","",'Total Value'!JX18/'Total Value'!JW18-1)</f>
        <v/>
      </c>
      <c r="JY6" s="14" t="str">
        <f ca="1">IF(JY$1="","",'Total Value'!JY18/'Total Value'!JX18-1)</f>
        <v/>
      </c>
      <c r="JZ6" s="14" t="str">
        <f ca="1">IF(JZ$1="","",'Total Value'!JZ18/'Total Value'!JY18-1)</f>
        <v/>
      </c>
      <c r="KA6" s="14" t="str">
        <f ca="1">IF(KA$1="","",'Total Value'!KA18/'Total Value'!JZ18-1)</f>
        <v/>
      </c>
      <c r="KB6" s="14" t="str">
        <f ca="1">IF(KB$1="","",'Total Value'!KB18/'Total Value'!KA18-1)</f>
        <v/>
      </c>
    </row>
    <row r="7" spans="1:288" ht="15.75" customHeight="1">
      <c r="A7" s="22" t="s">
        <v>30</v>
      </c>
      <c r="B7" s="6" t="s">
        <v>52</v>
      </c>
      <c r="C7" s="26">
        <v>83</v>
      </c>
      <c r="D7" s="13">
        <v>0</v>
      </c>
      <c r="E7" s="14">
        <f ca="1">IF(E$1="","",'Total Value'!E19/'Total Value'!D19-1)</f>
        <v>7.5043775535732493E-4</v>
      </c>
      <c r="F7" s="14">
        <f ca="1">IF(F$1="","",'Total Value'!F19/'Total Value'!E19-1)</f>
        <v>-1.4164305949009304E-3</v>
      </c>
      <c r="G7" s="14">
        <f ca="1">IF(G$1="","",'Total Value'!G19/'Total Value'!F19-1)</f>
        <v>-5.2357113057989069E-2</v>
      </c>
      <c r="H7" s="14">
        <f ca="1">IF(H$1="","",'Total Value'!H19/'Total Value'!G19-1)</f>
        <v>-1.4527845036319653E-2</v>
      </c>
      <c r="I7" s="14">
        <f ca="1">IF(I$1="","",'Total Value'!I19/'Total Value'!H19-1)</f>
        <v>-2.4927406745588576E-2</v>
      </c>
      <c r="J7" s="14">
        <f ca="1">IF(J$1="","",'Total Value'!J19/'Total Value'!I19-1)</f>
        <v>8.5215558711688733E-3</v>
      </c>
      <c r="K7" s="14">
        <f ca="1">IF(K$1="","",'Total Value'!K19/'Total Value'!J19-1)</f>
        <v>1.1584063962204239E-2</v>
      </c>
      <c r="L7" s="14">
        <f ca="1">IF(L$1="","",'Total Value'!L19/'Total Value'!K19-1)</f>
        <v>-2.6944494341657466E-3</v>
      </c>
      <c r="M7" s="14">
        <f ca="1">IF(M$1="","",'Total Value'!M19/'Total Value'!L19-1)</f>
        <v>2.377521613832867E-2</v>
      </c>
      <c r="N7" s="14">
        <f ca="1">IF(N$1="","",'Total Value'!N19/'Total Value'!M19-1)</f>
        <v>-2.6565798733286572E-2</v>
      </c>
      <c r="O7" s="14">
        <f ca="1">IF(O$1="","",'Total Value'!O19/'Total Value'!N19-1)</f>
        <v>-1.8796313030905454E-2</v>
      </c>
      <c r="P7" s="14">
        <f ca="1">IF(P$1="","",'Total Value'!P19/'Total Value'!O19-1)</f>
        <v>-1.1880641002026127E-2</v>
      </c>
      <c r="Q7" s="14">
        <f ca="1">IF(Q$1="","",'Total Value'!Q19/'Total Value'!P19-1)</f>
        <v>4.7348308323236221E-2</v>
      </c>
      <c r="R7" s="14">
        <f ca="1">IF(R$1="","",'Total Value'!R19/'Total Value'!Q19-1)</f>
        <v>5.2505117024116643E-2</v>
      </c>
      <c r="S7" s="14">
        <f ca="1">IF(S$1="","",'Total Value'!S19/'Total Value'!R19-1)</f>
        <v>6.5950790563964468E-3</v>
      </c>
      <c r="T7" s="14">
        <f ca="1">IF(T$1="","",'Total Value'!T19/'Total Value'!S19-1)</f>
        <v>-9.9538009239814595E-3</v>
      </c>
      <c r="U7" s="14">
        <f ca="1">IF(U$1="","",'Total Value'!U19/'Total Value'!T19-1)</f>
        <v>-2.8846561744368393E-2</v>
      </c>
      <c r="V7" s="14">
        <f ca="1">IF(V$1="","",'Total Value'!V19/'Total Value'!U19-1)</f>
        <v>1.6948412178394934E-2</v>
      </c>
      <c r="W7" s="14">
        <f ca="1">IF(W$1="","",'Total Value'!W19/'Total Value'!V19-1)</f>
        <v>-2.9208367338171559E-3</v>
      </c>
      <c r="X7" s="14">
        <f ca="1">IF(X$1="","",'Total Value'!X19/'Total Value'!W19-1)</f>
        <v>-6.4618963511831051E-4</v>
      </c>
      <c r="Y7" s="14">
        <f ca="1">IF(Y$1="","",'Total Value'!Y19/'Total Value'!X19-1)</f>
        <v>2.0174152944219204E-2</v>
      </c>
      <c r="Z7" s="14">
        <f ca="1">IF(Z$1="","",'Total Value'!Z19/'Total Value'!Y19-1)</f>
        <v>-1.3141215245499716E-2</v>
      </c>
      <c r="AA7" s="14">
        <f ca="1">IF(AA$1="","",'Total Value'!AA19/'Total Value'!Z19-1)</f>
        <v>-2.2093770070648833E-2</v>
      </c>
      <c r="AB7" s="14">
        <f ca="1">IF(AB$1="","",'Total Value'!AB19/'Total Value'!AA19-1)</f>
        <v>-2.0140986908356862E-3</v>
      </c>
      <c r="AC7" s="14">
        <f ca="1">IF(AC$1="","",'Total Value'!AC19/'Total Value'!AB19-1)</f>
        <v>8.6868775501247608E-3</v>
      </c>
      <c r="AD7" s="14">
        <f ca="1">IF(AD$1="","",'Total Value'!AD19/'Total Value'!AC19-1)</f>
        <v>-2.3922404419118859E-3</v>
      </c>
      <c r="AE7" s="14">
        <f ca="1">IF(AE$1="","",'Total Value'!AE19/'Total Value'!AD19-1)</f>
        <v>-4.390477851412633E-2</v>
      </c>
      <c r="AF7" s="14">
        <f ca="1">IF(AF$1="","",'Total Value'!AF19/'Total Value'!AE19-1)</f>
        <v>-6.3386383328012386E-3</v>
      </c>
      <c r="AG7" s="14">
        <f ca="1">IF(AG$1="","",'Total Value'!AG19/'Total Value'!AF19-1)</f>
        <v>-2.8912345112437343E-3</v>
      </c>
      <c r="AH7" s="14">
        <f ca="1">IF(AH$1="","",'Total Value'!AH19/'Total Value'!AG19-1)</f>
        <v>-3.6774520182261572E-2</v>
      </c>
      <c r="AI7" s="14">
        <f ca="1">IF(AI$1="","",'Total Value'!AI19/'Total Value'!AH19-1)</f>
        <v>7.1053134556574804E-2</v>
      </c>
      <c r="AJ7" s="14">
        <f ca="1">IF(AJ$1="","",'Total Value'!AJ19/'Total Value'!AI19-1)</f>
        <v>8.030336828016793E-3</v>
      </c>
      <c r="AK7" s="14">
        <f ca="1">IF(AK$1="","",'Total Value'!AK19/'Total Value'!AJ19-1)</f>
        <v>1.371984952423122E-2</v>
      </c>
      <c r="AL7" s="14">
        <f ca="1">IF(AL$1="","",'Total Value'!AL19/'Total Value'!AK19-1)</f>
        <v>1.3097576948264633E-2</v>
      </c>
      <c r="AM7" s="14">
        <f ca="1">IF(AM$1="","",'Total Value'!AM19/'Total Value'!AL19-1)</f>
        <v>-6.1624649859944869E-3</v>
      </c>
      <c r="AN7" s="14">
        <f ca="1">IF(AN$1="","",'Total Value'!AN19/'Total Value'!AM19-1)</f>
        <v>-0.16243170583644095</v>
      </c>
      <c r="AO7" s="14">
        <f ca="1">IF(AO$1="","",'Total Value'!AO19/'Total Value'!AN19-1)</f>
        <v>-2.8318492441499199E-2</v>
      </c>
      <c r="AP7" s="14">
        <f ca="1">IF(AP$1="","",'Total Value'!AP19/'Total Value'!AO19-1)</f>
        <v>-3.2979913687463447E-2</v>
      </c>
      <c r="AQ7" s="14">
        <f ca="1">IF(AQ$1="","",'Total Value'!AQ19/'Total Value'!AP19-1)</f>
        <v>1.8181818181819409E-3</v>
      </c>
      <c r="AR7" s="14">
        <f ca="1">IF(AR$1="","",'Total Value'!AR19/'Total Value'!AQ19-1)</f>
        <v>3.7507562008469497E-2</v>
      </c>
      <c r="AS7" s="14">
        <f ca="1">IF(AS$1="","",'Total Value'!AS19/'Total Value'!AR19-1)</f>
        <v>-2.2793532997614774E-2</v>
      </c>
      <c r="AT7" s="14">
        <f ca="1">IF(AT$1="","",'Total Value'!AT19/'Total Value'!AS19-1)</f>
        <v>-5.3756441551396694E-2</v>
      </c>
      <c r="AU7" s="14">
        <f ca="1">IF(AU$1="","",'Total Value'!AU19/'Total Value'!AT19-1)</f>
        <v>-2.0924099977069566E-2</v>
      </c>
      <c r="AV7" s="14">
        <f ca="1">IF(AV$1="","",'Total Value'!AV19/'Total Value'!AU19-1)</f>
        <v>1.8970665729843628E-2</v>
      </c>
      <c r="AW7" s="14">
        <f ca="1">IF(AW$1="","",'Total Value'!AW19/'Total Value'!AV19-1)</f>
        <v>6.2000804459001246E-2</v>
      </c>
      <c r="AX7" s="14">
        <f ca="1">IF(AX$1="","",'Total Value'!AX19/'Total Value'!AW19-1)</f>
        <v>3.7550048696028515E-2</v>
      </c>
      <c r="AY7" s="14">
        <f ca="1">IF(AY$1="","",'Total Value'!AY19/'Total Value'!AX19-1)</f>
        <v>2.8212348769294904E-2</v>
      </c>
      <c r="AZ7" s="14">
        <f ca="1">IF(AZ$1="","",'Total Value'!AZ19/'Total Value'!AY19-1)</f>
        <v>-1.3947355074301337E-2</v>
      </c>
      <c r="BA7" s="14">
        <f ca="1">IF(BA$1="","",'Total Value'!BA19/'Total Value'!AZ19-1)</f>
        <v>2.9112231251928966E-2</v>
      </c>
      <c r="BB7" s="14">
        <f ca="1">IF(BB$1="","",'Total Value'!BB19/'Total Value'!BA19-1)</f>
        <v>-1.409436225509797E-2</v>
      </c>
      <c r="BC7" s="14">
        <f ca="1">IF(BC$1="","",'Total Value'!BC19/'Total Value'!BB19-1)</f>
        <v>2.4840312278211485E-3</v>
      </c>
      <c r="BD7" s="14">
        <f ca="1">IF(BD$1="","",'Total Value'!BD19/'Total Value'!BC19-1)</f>
        <v>-9.4563843236410428E-3</v>
      </c>
      <c r="BE7" s="14">
        <f ca="1">IF(BE$1="","",'Total Value'!BE19/'Total Value'!BD19-1)</f>
        <v>2.0420665713702491E-2</v>
      </c>
      <c r="BF7" s="14">
        <f ca="1">IF(BF$1="","",'Total Value'!BF19/'Total Value'!BE19-1)</f>
        <v>7.6495897538523039E-2</v>
      </c>
      <c r="BG7" s="14">
        <f ca="1">IF(BG$1="","",'Total Value'!BG19/'Total Value'!BF19-1)</f>
        <v>-5.3910861179533587E-3</v>
      </c>
      <c r="BH7" s="14">
        <f ca="1">IF(BH$1="","",'Total Value'!BH19/'Total Value'!BG19-1)</f>
        <v>-7.2426522125133008E-3</v>
      </c>
      <c r="BI7" s="14">
        <f ca="1">IF(BI$1="","",'Total Value'!BI19/'Total Value'!BH19-1)</f>
        <v>2.0239103831309224E-2</v>
      </c>
      <c r="BJ7" s="14">
        <f ca="1">IF(BJ$1="","",'Total Value'!BJ19/'Total Value'!BI19-1)</f>
        <v>-3.4139140062741102E-3</v>
      </c>
      <c r="BK7" s="14">
        <f ca="1">IF(BK$1="","",'Total Value'!BK19/'Total Value'!BJ19-1)</f>
        <v>-1.6803999629663946E-2</v>
      </c>
      <c r="BL7" s="14">
        <f ca="1">IF(BL$1="","",'Total Value'!BL19/'Total Value'!BK19-1)</f>
        <v>-2.3117849239606358E-2</v>
      </c>
      <c r="BM7" s="14">
        <f ca="1">IF(BM$1="","",'Total Value'!BM19/'Total Value'!BL19-1)</f>
        <v>-1.6097937150568842E-2</v>
      </c>
      <c r="BN7" s="14">
        <f ca="1">IF(BN$1="","",'Total Value'!BN19/'Total Value'!BM19-1)</f>
        <v>-3.8111100225335481E-2</v>
      </c>
      <c r="BO7" s="14">
        <f ca="1">IF(BO$1="","",'Total Value'!BO19/'Total Value'!BN19-1)</f>
        <v>-3.5139539621105165E-3</v>
      </c>
      <c r="BP7" s="14">
        <f ca="1">IF(BP$1="","",'Total Value'!BP19/'Total Value'!BO19-1)</f>
        <v>-2.0187049624367459E-2</v>
      </c>
      <c r="BQ7" s="14">
        <f ca="1">IF(BQ$1="","",'Total Value'!BQ19/'Total Value'!BP19-1)</f>
        <v>2.8583350719799672E-2</v>
      </c>
      <c r="BR7" s="14">
        <f ca="1">IF(BR$1="","",'Total Value'!BR19/'Total Value'!BQ19-1)</f>
        <v>-2.91075050709938E-2</v>
      </c>
      <c r="BS7" s="14">
        <f ca="1">IF(BS$1="","",'Total Value'!BS19/'Total Value'!BR19-1)</f>
        <v>-1.7340436644730062E-2</v>
      </c>
      <c r="BT7" s="14">
        <f ca="1">IF(BT$1="","",'Total Value'!BT19/'Total Value'!BS19-1)</f>
        <v>5.9104921866695026E-2</v>
      </c>
      <c r="BU7" s="14">
        <f ca="1">IF(BU$1="","",'Total Value'!BU19/'Total Value'!BT19-1)</f>
        <v>-3.0563083408611802E-2</v>
      </c>
      <c r="BV7" s="14">
        <f ca="1">IF(BV$1="","",'Total Value'!BV19/'Total Value'!BU19-1)</f>
        <v>-3.7221100584976963E-2</v>
      </c>
      <c r="BW7" s="14">
        <f ca="1">IF(BW$1="","",'Total Value'!BW19/'Total Value'!BV19-1)</f>
        <v>-1.0807613721905418E-2</v>
      </c>
      <c r="BX7" s="14">
        <f ca="1">IF(BX$1="","",'Total Value'!BX19/'Total Value'!BW19-1)</f>
        <v>7.0663695167683116E-4</v>
      </c>
      <c r="BY7" s="14">
        <f ca="1">IF(BY$1="","",'Total Value'!BY19/'Total Value'!BX19-1)</f>
        <v>-2.1075502444323657E-2</v>
      </c>
      <c r="BZ7" s="14">
        <f ca="1">IF(BZ$1="","",'Total Value'!BZ19/'Total Value'!BY19-1)</f>
        <v>-6.6585284652098675E-4</v>
      </c>
      <c r="CA7" s="14">
        <f ca="1">IF(CA$1="","",'Total Value'!CA19/'Total Value'!BZ19-1)</f>
        <v>2.7207107162687372E-2</v>
      </c>
      <c r="CB7" s="14">
        <f ca="1">IF(CB$1="","",'Total Value'!CB19/'Total Value'!CA19-1)</f>
        <v>-1.648648648648654E-2</v>
      </c>
      <c r="CC7" s="14">
        <f ca="1">IF(CC$1="","",'Total Value'!CC19/'Total Value'!CB19-1)</f>
        <v>3.0997526793075103E-2</v>
      </c>
      <c r="CD7" s="14">
        <f ca="1">IF(CD$1="","",'Total Value'!CD19/'Total Value'!CC19-1)</f>
        <v>-2.0736713044405497E-2</v>
      </c>
      <c r="CE7" s="14">
        <f ca="1">IF(CE$1="","",'Total Value'!CE19/'Total Value'!CD19-1)</f>
        <v>2.4442025040827486E-2</v>
      </c>
      <c r="CF7" s="14" t="str">
        <f ca="1">IF(CF$1="","",'Total Value'!CF19/'Total Value'!CE19-1)</f>
        <v/>
      </c>
      <c r="CG7" s="14" t="str">
        <f ca="1">IF(CG$1="","",'Total Value'!CG19/'Total Value'!CF19-1)</f>
        <v/>
      </c>
      <c r="CH7" s="14" t="str">
        <f ca="1">IF(CH$1="","",'Total Value'!CH19/'Total Value'!CG19-1)</f>
        <v/>
      </c>
      <c r="CI7" s="14" t="str">
        <f ca="1">IF(CI$1="","",'Total Value'!CI19/'Total Value'!CH19-1)</f>
        <v/>
      </c>
      <c r="CJ7" s="14" t="str">
        <f ca="1">IF(CJ$1="","",'Total Value'!CJ19/'Total Value'!CI19-1)</f>
        <v/>
      </c>
      <c r="CK7" s="14" t="str">
        <f ca="1">IF(CK$1="","",'Total Value'!CK19/'Total Value'!CJ19-1)</f>
        <v/>
      </c>
      <c r="CL7" s="14" t="str">
        <f ca="1">IF(CL$1="","",'Total Value'!CL19/'Total Value'!CK19-1)</f>
        <v/>
      </c>
      <c r="CM7" s="14" t="str">
        <f ca="1">IF(CM$1="","",'Total Value'!CM19/'Total Value'!CL19-1)</f>
        <v/>
      </c>
      <c r="CN7" s="14" t="str">
        <f ca="1">IF(CN$1="","",'Total Value'!CN19/'Total Value'!CM19-1)</f>
        <v/>
      </c>
      <c r="CO7" s="14" t="str">
        <f ca="1">IF(CO$1="","",'Total Value'!CO19/'Total Value'!CN19-1)</f>
        <v/>
      </c>
      <c r="CP7" s="14" t="str">
        <f ca="1">IF(CP$1="","",'Total Value'!CP19/'Total Value'!CO19-1)</f>
        <v/>
      </c>
      <c r="CQ7" s="14" t="str">
        <f ca="1">IF(CQ$1="","",'Total Value'!CQ19/'Total Value'!CP19-1)</f>
        <v/>
      </c>
      <c r="CR7" s="14" t="str">
        <f ca="1">IF(CR$1="","",'Total Value'!CR19/'Total Value'!CQ19-1)</f>
        <v/>
      </c>
      <c r="CS7" s="14" t="str">
        <f ca="1">IF(CS$1="","",'Total Value'!CS19/'Total Value'!CR19-1)</f>
        <v/>
      </c>
      <c r="CT7" s="14" t="str">
        <f ca="1">IF(CT$1="","",'Total Value'!CT19/'Total Value'!CS19-1)</f>
        <v/>
      </c>
      <c r="CU7" s="14" t="str">
        <f ca="1">IF(CU$1="","",'Total Value'!CU19/'Total Value'!CT19-1)</f>
        <v/>
      </c>
      <c r="CV7" s="14" t="str">
        <f ca="1">IF(CV$1="","",'Total Value'!CV19/'Total Value'!CU19-1)</f>
        <v/>
      </c>
      <c r="CW7" s="14" t="str">
        <f ca="1">IF(CW$1="","",'Total Value'!CW19/'Total Value'!CV19-1)</f>
        <v/>
      </c>
      <c r="CX7" s="14" t="str">
        <f ca="1">IF(CX$1="","",'Total Value'!CX19/'Total Value'!CW19-1)</f>
        <v/>
      </c>
      <c r="CY7" s="14" t="str">
        <f ca="1">IF(CY$1="","",'Total Value'!CY19/'Total Value'!CX19-1)</f>
        <v/>
      </c>
      <c r="CZ7" s="14" t="str">
        <f ca="1">IF(CZ$1="","",'Total Value'!CZ19/'Total Value'!CY19-1)</f>
        <v/>
      </c>
      <c r="DA7" s="14" t="str">
        <f ca="1">IF(DA$1="","",'Total Value'!DA19/'Total Value'!CZ19-1)</f>
        <v/>
      </c>
      <c r="DB7" s="14" t="str">
        <f ca="1">IF(DB$1="","",'Total Value'!DB19/'Total Value'!DA19-1)</f>
        <v/>
      </c>
      <c r="DC7" s="14" t="str">
        <f ca="1">IF(DC$1="","",'Total Value'!DC19/'Total Value'!DB19-1)</f>
        <v/>
      </c>
      <c r="DD7" s="14" t="str">
        <f ca="1">IF(DD$1="","",'Total Value'!DD19/'Total Value'!DC19-1)</f>
        <v/>
      </c>
      <c r="DE7" s="14" t="str">
        <f ca="1">IF(DE$1="","",'Total Value'!DE19/'Total Value'!DD19-1)</f>
        <v/>
      </c>
      <c r="DF7" s="14" t="str">
        <f ca="1">IF(DF$1="","",'Total Value'!DF19/'Total Value'!DE19-1)</f>
        <v/>
      </c>
      <c r="DG7" s="14" t="str">
        <f ca="1">IF(DG$1="","",'Total Value'!DG19/'Total Value'!DF19-1)</f>
        <v/>
      </c>
      <c r="DH7" s="14" t="str">
        <f ca="1">IF(DH$1="","",'Total Value'!DH19/'Total Value'!DG19-1)</f>
        <v/>
      </c>
      <c r="DI7" s="14" t="str">
        <f ca="1">IF(DI$1="","",'Total Value'!DI19/'Total Value'!DH19-1)</f>
        <v/>
      </c>
      <c r="DJ7" s="14" t="str">
        <f ca="1">IF(DJ$1="","",'Total Value'!DJ19/'Total Value'!DI19-1)</f>
        <v/>
      </c>
      <c r="DK7" s="14" t="str">
        <f ca="1">IF(DK$1="","",'Total Value'!DK19/'Total Value'!DJ19-1)</f>
        <v/>
      </c>
      <c r="DL7" s="14" t="str">
        <f ca="1">IF(DL$1="","",'Total Value'!DL19/'Total Value'!DK19-1)</f>
        <v/>
      </c>
      <c r="DM7" s="14" t="str">
        <f ca="1">IF(DM$1="","",'Total Value'!DM19/'Total Value'!DL19-1)</f>
        <v/>
      </c>
      <c r="DN7" s="14" t="str">
        <f ca="1">IF(DN$1="","",'Total Value'!DN19/'Total Value'!DM19-1)</f>
        <v/>
      </c>
      <c r="DO7" s="14" t="str">
        <f ca="1">IF(DO$1="","",'Total Value'!DO19/'Total Value'!DN19-1)</f>
        <v/>
      </c>
      <c r="DP7" s="14" t="str">
        <f ca="1">IF(DP$1="","",'Total Value'!DP19/'Total Value'!DO19-1)</f>
        <v/>
      </c>
      <c r="DQ7" s="14" t="str">
        <f ca="1">IF(DQ$1="","",'Total Value'!DQ19/'Total Value'!DP19-1)</f>
        <v/>
      </c>
      <c r="DR7" s="14" t="str">
        <f ca="1">IF(DR$1="","",'Total Value'!DR19/'Total Value'!DQ19-1)</f>
        <v/>
      </c>
      <c r="DS7" s="14" t="str">
        <f ca="1">IF(DS$1="","",'Total Value'!DS19/'Total Value'!DR19-1)</f>
        <v/>
      </c>
      <c r="DT7" s="14" t="str">
        <f ca="1">IF(DT$1="","",'Total Value'!DT19/'Total Value'!DS19-1)</f>
        <v/>
      </c>
      <c r="DU7" s="14" t="str">
        <f ca="1">IF(DU$1="","",'Total Value'!DU19/'Total Value'!DT19-1)</f>
        <v/>
      </c>
      <c r="DV7" s="14" t="str">
        <f ca="1">IF(DV$1="","",'Total Value'!DV19/'Total Value'!DU19-1)</f>
        <v/>
      </c>
      <c r="DW7" s="14" t="str">
        <f ca="1">IF(DW$1="","",'Total Value'!DW19/'Total Value'!DV19-1)</f>
        <v/>
      </c>
      <c r="DX7" s="14" t="str">
        <f ca="1">IF(DX$1="","",'Total Value'!DX19/'Total Value'!DW19-1)</f>
        <v/>
      </c>
      <c r="DY7" s="14" t="str">
        <f ca="1">IF(DY$1="","",'Total Value'!DY19/'Total Value'!DX19-1)</f>
        <v/>
      </c>
      <c r="DZ7" s="14" t="str">
        <f ca="1">IF(DZ$1="","",'Total Value'!DZ19/'Total Value'!DY19-1)</f>
        <v/>
      </c>
      <c r="EA7" s="14" t="str">
        <f ca="1">IF(EA$1="","",'Total Value'!EA19/'Total Value'!DZ19-1)</f>
        <v/>
      </c>
      <c r="EB7" s="14" t="str">
        <f ca="1">IF(EB$1="","",'Total Value'!EB19/'Total Value'!EA19-1)</f>
        <v/>
      </c>
      <c r="EC7" s="14" t="str">
        <f ca="1">IF(EC$1="","",'Total Value'!EC19/'Total Value'!EB19-1)</f>
        <v/>
      </c>
      <c r="ED7" s="14" t="str">
        <f ca="1">IF(ED$1="","",'Total Value'!ED19/'Total Value'!EC19-1)</f>
        <v/>
      </c>
      <c r="EE7" s="14" t="str">
        <f ca="1">IF(EE$1="","",'Total Value'!EE19/'Total Value'!ED19-1)</f>
        <v/>
      </c>
      <c r="EF7" s="14" t="str">
        <f ca="1">IF(EF$1="","",'Total Value'!EF19/'Total Value'!EE19-1)</f>
        <v/>
      </c>
      <c r="EG7" s="14" t="str">
        <f ca="1">IF(EG$1="","",'Total Value'!EG19/'Total Value'!EF19-1)</f>
        <v/>
      </c>
      <c r="EH7" s="14" t="str">
        <f ca="1">IF(EH$1="","",'Total Value'!EH19/'Total Value'!EG19-1)</f>
        <v/>
      </c>
      <c r="EI7" s="14" t="str">
        <f ca="1">IF(EI$1="","",'Total Value'!EI19/'Total Value'!EH19-1)</f>
        <v/>
      </c>
      <c r="EJ7" s="14" t="str">
        <f ca="1">IF(EJ$1="","",'Total Value'!EJ19/'Total Value'!EI19-1)</f>
        <v/>
      </c>
      <c r="EK7" s="14" t="str">
        <f ca="1">IF(EK$1="","",'Total Value'!EK19/'Total Value'!EJ19-1)</f>
        <v/>
      </c>
      <c r="EL7" s="14" t="str">
        <f ca="1">IF(EL$1="","",'Total Value'!EL19/'Total Value'!EK19-1)</f>
        <v/>
      </c>
      <c r="EM7" s="14" t="str">
        <f ca="1">IF(EM$1="","",'Total Value'!EM19/'Total Value'!EL19-1)</f>
        <v/>
      </c>
      <c r="EN7" s="14" t="str">
        <f ca="1">IF(EN$1="","",'Total Value'!EN19/'Total Value'!EM19-1)</f>
        <v/>
      </c>
      <c r="EO7" s="14" t="str">
        <f ca="1">IF(EO$1="","",'Total Value'!EO19/'Total Value'!EN19-1)</f>
        <v/>
      </c>
      <c r="EP7" s="14" t="str">
        <f ca="1">IF(EP$1="","",'Total Value'!EP19/'Total Value'!EO19-1)</f>
        <v/>
      </c>
      <c r="EQ7" s="14" t="str">
        <f ca="1">IF(EQ$1="","",'Total Value'!EQ19/'Total Value'!EP19-1)</f>
        <v/>
      </c>
      <c r="ER7" s="14" t="str">
        <f ca="1">IF(ER$1="","",'Total Value'!ER19/'Total Value'!EQ19-1)</f>
        <v/>
      </c>
      <c r="ES7" s="14" t="str">
        <f ca="1">IF(ES$1="","",'Total Value'!ES19/'Total Value'!ER19-1)</f>
        <v/>
      </c>
      <c r="ET7" s="14" t="str">
        <f ca="1">IF(ET$1="","",'Total Value'!ET19/'Total Value'!ES19-1)</f>
        <v/>
      </c>
      <c r="EU7" s="14" t="str">
        <f ca="1">IF(EU$1="","",'Total Value'!EU19/'Total Value'!ET19-1)</f>
        <v/>
      </c>
      <c r="EV7" s="14" t="str">
        <f ca="1">IF(EV$1="","",'Total Value'!EV19/'Total Value'!EU19-1)</f>
        <v/>
      </c>
      <c r="EW7" s="14" t="str">
        <f ca="1">IF(EW$1="","",'Total Value'!EW19/'Total Value'!EV19-1)</f>
        <v/>
      </c>
      <c r="EX7" s="14" t="str">
        <f ca="1">IF(EX$1="","",'Total Value'!EX19/'Total Value'!EW19-1)</f>
        <v/>
      </c>
      <c r="EY7" s="14" t="str">
        <f ca="1">IF(EY$1="","",'Total Value'!EY19/'Total Value'!EX19-1)</f>
        <v/>
      </c>
      <c r="EZ7" s="14" t="str">
        <f ca="1">IF(EZ$1="","",'Total Value'!EZ19/'Total Value'!EY19-1)</f>
        <v/>
      </c>
      <c r="FA7" s="14" t="str">
        <f ca="1">IF(FA$1="","",'Total Value'!FA19/'Total Value'!EZ19-1)</f>
        <v/>
      </c>
      <c r="FB7" s="14" t="str">
        <f ca="1">IF(FB$1="","",'Total Value'!FB19/'Total Value'!FA19-1)</f>
        <v/>
      </c>
      <c r="FC7" s="14" t="str">
        <f ca="1">IF(FC$1="","",'Total Value'!FC19/'Total Value'!FB19-1)</f>
        <v/>
      </c>
      <c r="FD7" s="14" t="str">
        <f ca="1">IF(FD$1="","",'Total Value'!FD19/'Total Value'!FC19-1)</f>
        <v/>
      </c>
      <c r="FE7" s="14" t="str">
        <f ca="1">IF(FE$1="","",'Total Value'!FE19/'Total Value'!FD19-1)</f>
        <v/>
      </c>
      <c r="FF7" s="14" t="str">
        <f ca="1">IF(FF$1="","",'Total Value'!FF19/'Total Value'!FE19-1)</f>
        <v/>
      </c>
      <c r="FG7" s="14" t="str">
        <f ca="1">IF(FG$1="","",'Total Value'!FG19/'Total Value'!FF19-1)</f>
        <v/>
      </c>
      <c r="FH7" s="14" t="str">
        <f ca="1">IF(FH$1="","",'Total Value'!FH19/'Total Value'!FG19-1)</f>
        <v/>
      </c>
      <c r="FI7" s="14" t="str">
        <f ca="1">IF(FI$1="","",'Total Value'!FI19/'Total Value'!FH19-1)</f>
        <v/>
      </c>
      <c r="FJ7" s="14" t="str">
        <f ca="1">IF(FJ$1="","",'Total Value'!FJ19/'Total Value'!FI19-1)</f>
        <v/>
      </c>
      <c r="FK7" s="14" t="str">
        <f ca="1">IF(FK$1="","",'Total Value'!FK19/'Total Value'!FJ19-1)</f>
        <v/>
      </c>
      <c r="FL7" s="14" t="str">
        <f ca="1">IF(FL$1="","",'Total Value'!FL19/'Total Value'!FK19-1)</f>
        <v/>
      </c>
      <c r="FM7" s="14" t="str">
        <f ca="1">IF(FM$1="","",'Total Value'!FM19/'Total Value'!FL19-1)</f>
        <v/>
      </c>
      <c r="FN7" s="14" t="str">
        <f ca="1">IF(FN$1="","",'Total Value'!FN19/'Total Value'!FM19-1)</f>
        <v/>
      </c>
      <c r="FO7" s="14" t="str">
        <f ca="1">IF(FO$1="","",'Total Value'!FO19/'Total Value'!FN19-1)</f>
        <v/>
      </c>
      <c r="FP7" s="14" t="str">
        <f ca="1">IF(FP$1="","",'Total Value'!FP19/'Total Value'!FO19-1)</f>
        <v/>
      </c>
      <c r="FQ7" s="14" t="str">
        <f ca="1">IF(FQ$1="","",'Total Value'!FQ19/'Total Value'!FP19-1)</f>
        <v/>
      </c>
      <c r="FR7" s="14" t="str">
        <f ca="1">IF(FR$1="","",'Total Value'!FR19/'Total Value'!FQ19-1)</f>
        <v/>
      </c>
      <c r="FS7" s="14" t="str">
        <f ca="1">IF(FS$1="","",'Total Value'!FS19/'Total Value'!FR19-1)</f>
        <v/>
      </c>
      <c r="FT7" s="14" t="str">
        <f ca="1">IF(FT$1="","",'Total Value'!FT19/'Total Value'!FS19-1)</f>
        <v/>
      </c>
      <c r="FU7" s="14" t="str">
        <f ca="1">IF(FU$1="","",'Total Value'!FU19/'Total Value'!FT19-1)</f>
        <v/>
      </c>
      <c r="FV7" s="14" t="str">
        <f ca="1">IF(FV$1="","",'Total Value'!FV19/'Total Value'!FU19-1)</f>
        <v/>
      </c>
      <c r="FW7" s="14" t="str">
        <f ca="1">IF(FW$1="","",'Total Value'!FW19/'Total Value'!FV19-1)</f>
        <v/>
      </c>
      <c r="FX7" s="14" t="str">
        <f ca="1">IF(FX$1="","",'Total Value'!FX19/'Total Value'!FW19-1)</f>
        <v/>
      </c>
      <c r="FY7" s="14" t="str">
        <f ca="1">IF(FY$1="","",'Total Value'!FY19/'Total Value'!FX19-1)</f>
        <v/>
      </c>
      <c r="FZ7" s="14" t="str">
        <f ca="1">IF(FZ$1="","",'Total Value'!FZ19/'Total Value'!FY19-1)</f>
        <v/>
      </c>
      <c r="GA7" s="14" t="str">
        <f ca="1">IF(GA$1="","",'Total Value'!GA19/'Total Value'!FZ19-1)</f>
        <v/>
      </c>
      <c r="GB7" s="14" t="str">
        <f ca="1">IF(GB$1="","",'Total Value'!GB19/'Total Value'!GA19-1)</f>
        <v/>
      </c>
      <c r="GC7" s="14" t="str">
        <f ca="1">IF(GC$1="","",'Total Value'!GC19/'Total Value'!GB19-1)</f>
        <v/>
      </c>
      <c r="GD7" s="14" t="str">
        <f ca="1">IF(GD$1="","",'Total Value'!GD19/'Total Value'!GC19-1)</f>
        <v/>
      </c>
      <c r="GE7" s="14" t="str">
        <f ca="1">IF(GE$1="","",'Total Value'!GE19/'Total Value'!GD19-1)</f>
        <v/>
      </c>
      <c r="GF7" s="14" t="str">
        <f ca="1">IF(GF$1="","",'Total Value'!GF19/'Total Value'!GE19-1)</f>
        <v/>
      </c>
      <c r="GG7" s="14" t="str">
        <f ca="1">IF(GG$1="","",'Total Value'!GG19/'Total Value'!GF19-1)</f>
        <v/>
      </c>
      <c r="GH7" s="14" t="str">
        <f ca="1">IF(GH$1="","",'Total Value'!GH19/'Total Value'!GG19-1)</f>
        <v/>
      </c>
      <c r="GI7" s="14" t="str">
        <f ca="1">IF(GI$1="","",'Total Value'!GI19/'Total Value'!GH19-1)</f>
        <v/>
      </c>
      <c r="GJ7" s="14" t="str">
        <f ca="1">IF(GJ$1="","",'Total Value'!GJ19/'Total Value'!GI19-1)</f>
        <v/>
      </c>
      <c r="GK7" s="14" t="str">
        <f ca="1">IF(GK$1="","",'Total Value'!GK19/'Total Value'!GJ19-1)</f>
        <v/>
      </c>
      <c r="GL7" s="14" t="str">
        <f ca="1">IF(GL$1="","",'Total Value'!GL19/'Total Value'!GK19-1)</f>
        <v/>
      </c>
      <c r="GM7" s="14" t="str">
        <f ca="1">IF(GM$1="","",'Total Value'!GM19/'Total Value'!GL19-1)</f>
        <v/>
      </c>
      <c r="GN7" s="14" t="str">
        <f ca="1">IF(GN$1="","",'Total Value'!GN19/'Total Value'!GM19-1)</f>
        <v/>
      </c>
      <c r="GO7" s="14" t="str">
        <f ca="1">IF(GO$1="","",'Total Value'!GO19/'Total Value'!GN19-1)</f>
        <v/>
      </c>
      <c r="GP7" s="14" t="str">
        <f ca="1">IF(GP$1="","",'Total Value'!GP19/'Total Value'!GO19-1)</f>
        <v/>
      </c>
      <c r="GQ7" s="14" t="str">
        <f ca="1">IF(GQ$1="","",'Total Value'!GQ19/'Total Value'!GP19-1)</f>
        <v/>
      </c>
      <c r="GR7" s="14" t="str">
        <f ca="1">IF(GR$1="","",'Total Value'!GR19/'Total Value'!GQ19-1)</f>
        <v/>
      </c>
      <c r="GS7" s="14" t="str">
        <f ca="1">IF(GS$1="","",'Total Value'!GS19/'Total Value'!GR19-1)</f>
        <v/>
      </c>
      <c r="GT7" s="14" t="str">
        <f ca="1">IF(GT$1="","",'Total Value'!GT19/'Total Value'!GS19-1)</f>
        <v/>
      </c>
      <c r="GU7" s="14" t="str">
        <f ca="1">IF(GU$1="","",'Total Value'!GU19/'Total Value'!GT19-1)</f>
        <v/>
      </c>
      <c r="GV7" s="14" t="str">
        <f ca="1">IF(GV$1="","",'Total Value'!GV19/'Total Value'!GU19-1)</f>
        <v/>
      </c>
      <c r="GW7" s="14" t="str">
        <f ca="1">IF(GW$1="","",'Total Value'!GW19/'Total Value'!GV19-1)</f>
        <v/>
      </c>
      <c r="GX7" s="14" t="str">
        <f ca="1">IF(GX$1="","",'Total Value'!GX19/'Total Value'!GW19-1)</f>
        <v/>
      </c>
      <c r="GY7" s="14" t="str">
        <f ca="1">IF(GY$1="","",'Total Value'!GY19/'Total Value'!GX19-1)</f>
        <v/>
      </c>
      <c r="GZ7" s="14" t="str">
        <f ca="1">IF(GZ$1="","",'Total Value'!GZ19/'Total Value'!GY19-1)</f>
        <v/>
      </c>
      <c r="HA7" s="14" t="str">
        <f ca="1">IF(HA$1="","",'Total Value'!HA19/'Total Value'!GZ19-1)</f>
        <v/>
      </c>
      <c r="HB7" s="14" t="str">
        <f ca="1">IF(HB$1="","",'Total Value'!HB19/'Total Value'!HA19-1)</f>
        <v/>
      </c>
      <c r="HC7" s="14" t="str">
        <f ca="1">IF(HC$1="","",'Total Value'!HC19/'Total Value'!HB19-1)</f>
        <v/>
      </c>
      <c r="HD7" s="14" t="str">
        <f ca="1">IF(HD$1="","",'Total Value'!HD19/'Total Value'!HC19-1)</f>
        <v/>
      </c>
      <c r="HE7" s="14" t="str">
        <f ca="1">IF(HE$1="","",'Total Value'!HE19/'Total Value'!HD19-1)</f>
        <v/>
      </c>
      <c r="HF7" s="14" t="str">
        <f ca="1">IF(HF$1="","",'Total Value'!HF19/'Total Value'!HE19-1)</f>
        <v/>
      </c>
      <c r="HG7" s="14" t="str">
        <f ca="1">IF(HG$1="","",'Total Value'!HG19/'Total Value'!HF19-1)</f>
        <v/>
      </c>
      <c r="HH7" s="14" t="str">
        <f ca="1">IF(HH$1="","",'Total Value'!HH19/'Total Value'!HG19-1)</f>
        <v/>
      </c>
      <c r="HI7" s="14" t="str">
        <f ca="1">IF(HI$1="","",'Total Value'!HI19/'Total Value'!HH19-1)</f>
        <v/>
      </c>
      <c r="HJ7" s="14" t="str">
        <f ca="1">IF(HJ$1="","",'Total Value'!HJ19/'Total Value'!HI19-1)</f>
        <v/>
      </c>
      <c r="HK7" s="14" t="str">
        <f ca="1">IF(HK$1="","",'Total Value'!HK19/'Total Value'!HJ19-1)</f>
        <v/>
      </c>
      <c r="HL7" s="14" t="str">
        <f ca="1">IF(HL$1="","",'Total Value'!HL19/'Total Value'!HK19-1)</f>
        <v/>
      </c>
      <c r="HM7" s="14" t="str">
        <f ca="1">IF(HM$1="","",'Total Value'!HM19/'Total Value'!HL19-1)</f>
        <v/>
      </c>
      <c r="HN7" s="14" t="str">
        <f ca="1">IF(HN$1="","",'Total Value'!HN19/'Total Value'!HM19-1)</f>
        <v/>
      </c>
      <c r="HO7" s="14" t="str">
        <f ca="1">IF(HO$1="","",'Total Value'!HO19/'Total Value'!HN19-1)</f>
        <v/>
      </c>
      <c r="HP7" s="14" t="str">
        <f ca="1">IF(HP$1="","",'Total Value'!HP19/'Total Value'!HO19-1)</f>
        <v/>
      </c>
      <c r="HQ7" s="14" t="str">
        <f ca="1">IF(HQ$1="","",'Total Value'!HQ19/'Total Value'!HP19-1)</f>
        <v/>
      </c>
      <c r="HR7" s="14" t="str">
        <f ca="1">IF(HR$1="","",'Total Value'!HR19/'Total Value'!HQ19-1)</f>
        <v/>
      </c>
      <c r="HS7" s="14" t="str">
        <f ca="1">IF(HS$1="","",'Total Value'!HS19/'Total Value'!HR19-1)</f>
        <v/>
      </c>
      <c r="HT7" s="14" t="str">
        <f ca="1">IF(HT$1="","",'Total Value'!HT19/'Total Value'!HS19-1)</f>
        <v/>
      </c>
      <c r="HU7" s="14" t="str">
        <f ca="1">IF(HU$1="","",'Total Value'!HU19/'Total Value'!HT19-1)</f>
        <v/>
      </c>
      <c r="HV7" s="14" t="str">
        <f ca="1">IF(HV$1="","",'Total Value'!HV19/'Total Value'!HU19-1)</f>
        <v/>
      </c>
      <c r="HW7" s="14" t="str">
        <f ca="1">IF(HW$1="","",'Total Value'!HW19/'Total Value'!HV19-1)</f>
        <v/>
      </c>
      <c r="HX7" s="14" t="str">
        <f ca="1">IF(HX$1="","",'Total Value'!HX19/'Total Value'!HW19-1)</f>
        <v/>
      </c>
      <c r="HY7" s="14" t="str">
        <f ca="1">IF(HY$1="","",'Total Value'!HY19/'Total Value'!HX19-1)</f>
        <v/>
      </c>
      <c r="HZ7" s="14" t="str">
        <f ca="1">IF(HZ$1="","",'Total Value'!HZ19/'Total Value'!HY19-1)</f>
        <v/>
      </c>
      <c r="IA7" s="14" t="str">
        <f ca="1">IF(IA$1="","",'Total Value'!IA19/'Total Value'!HZ19-1)</f>
        <v/>
      </c>
      <c r="IB7" s="14" t="str">
        <f ca="1">IF(IB$1="","",'Total Value'!IB19/'Total Value'!IA19-1)</f>
        <v/>
      </c>
      <c r="IC7" s="14" t="str">
        <f ca="1">IF(IC$1="","",'Total Value'!IC19/'Total Value'!IB19-1)</f>
        <v/>
      </c>
      <c r="ID7" s="14" t="str">
        <f ca="1">IF(ID$1="","",'Total Value'!ID19/'Total Value'!IC19-1)</f>
        <v/>
      </c>
      <c r="IE7" s="14" t="str">
        <f ca="1">IF(IE$1="","",'Total Value'!IE19/'Total Value'!ID19-1)</f>
        <v/>
      </c>
      <c r="IF7" s="14" t="str">
        <f ca="1">IF(IF$1="","",'Total Value'!IF19/'Total Value'!IE19-1)</f>
        <v/>
      </c>
      <c r="IG7" s="14" t="str">
        <f ca="1">IF(IG$1="","",'Total Value'!IG19/'Total Value'!IF19-1)</f>
        <v/>
      </c>
      <c r="IH7" s="14" t="str">
        <f ca="1">IF(IH$1="","",'Total Value'!IH19/'Total Value'!IG19-1)</f>
        <v/>
      </c>
      <c r="II7" s="14" t="str">
        <f ca="1">IF(II$1="","",'Total Value'!II19/'Total Value'!IH19-1)</f>
        <v/>
      </c>
      <c r="IJ7" s="14" t="str">
        <f ca="1">IF(IJ$1="","",'Total Value'!IJ19/'Total Value'!II19-1)</f>
        <v/>
      </c>
      <c r="IK7" s="14" t="str">
        <f ca="1">IF(IK$1="","",'Total Value'!IK19/'Total Value'!IJ19-1)</f>
        <v/>
      </c>
      <c r="IL7" s="14" t="str">
        <f ca="1">IF(IL$1="","",'Total Value'!IL19/'Total Value'!IK19-1)</f>
        <v/>
      </c>
      <c r="IM7" s="14" t="str">
        <f ca="1">IF(IM$1="","",'Total Value'!IM19/'Total Value'!IL19-1)</f>
        <v/>
      </c>
      <c r="IN7" s="14" t="str">
        <f ca="1">IF(IN$1="","",'Total Value'!IN19/'Total Value'!IM19-1)</f>
        <v/>
      </c>
      <c r="IO7" s="14" t="str">
        <f ca="1">IF(IO$1="","",'Total Value'!IO19/'Total Value'!IN19-1)</f>
        <v/>
      </c>
      <c r="IP7" s="14" t="str">
        <f ca="1">IF(IP$1="","",'Total Value'!IP19/'Total Value'!IO19-1)</f>
        <v/>
      </c>
      <c r="IQ7" s="14" t="str">
        <f ca="1">IF(IQ$1="","",'Total Value'!IQ19/'Total Value'!IP19-1)</f>
        <v/>
      </c>
      <c r="IR7" s="14" t="str">
        <f ca="1">IF(IR$1="","",'Total Value'!IR19/'Total Value'!IQ19-1)</f>
        <v/>
      </c>
      <c r="IS7" s="14" t="str">
        <f ca="1">IF(IS$1="","",'Total Value'!IS19/'Total Value'!IR19-1)</f>
        <v/>
      </c>
      <c r="IT7" s="14" t="str">
        <f ca="1">IF(IT$1="","",'Total Value'!IT19/'Total Value'!IS19-1)</f>
        <v/>
      </c>
      <c r="IU7" s="14" t="str">
        <f ca="1">IF(IU$1="","",'Total Value'!IU19/'Total Value'!IT19-1)</f>
        <v/>
      </c>
      <c r="IV7" s="14" t="str">
        <f ca="1">IF(IV$1="","",'Total Value'!IV19/'Total Value'!IU19-1)</f>
        <v/>
      </c>
      <c r="IW7" s="14" t="str">
        <f ca="1">IF(IW$1="","",'Total Value'!IW19/'Total Value'!IV19-1)</f>
        <v/>
      </c>
      <c r="IX7" s="14" t="str">
        <f ca="1">IF(IX$1="","",'Total Value'!IX19/'Total Value'!IW19-1)</f>
        <v/>
      </c>
      <c r="IY7" s="14" t="str">
        <f ca="1">IF(IY$1="","",'Total Value'!IY19/'Total Value'!IX19-1)</f>
        <v/>
      </c>
      <c r="IZ7" s="14" t="str">
        <f ca="1">IF(IZ$1="","",'Total Value'!IZ19/'Total Value'!IY19-1)</f>
        <v/>
      </c>
      <c r="JA7" s="14" t="str">
        <f ca="1">IF(JA$1="","",'Total Value'!JA19/'Total Value'!IZ19-1)</f>
        <v/>
      </c>
      <c r="JB7" s="14" t="str">
        <f ca="1">IF(JB$1="","",'Total Value'!JB19/'Total Value'!JA19-1)</f>
        <v/>
      </c>
      <c r="JC7" s="14" t="str">
        <f ca="1">IF(JC$1="","",'Total Value'!JC19/'Total Value'!JB19-1)</f>
        <v/>
      </c>
      <c r="JD7" s="14" t="str">
        <f ca="1">IF(JD$1="","",'Total Value'!JD19/'Total Value'!JC19-1)</f>
        <v/>
      </c>
      <c r="JE7" s="14" t="str">
        <f ca="1">IF(JE$1="","",'Total Value'!JE19/'Total Value'!JD19-1)</f>
        <v/>
      </c>
      <c r="JF7" s="14" t="str">
        <f ca="1">IF(JF$1="","",'Total Value'!JF19/'Total Value'!JE19-1)</f>
        <v/>
      </c>
      <c r="JG7" s="14" t="str">
        <f ca="1">IF(JG$1="","",'Total Value'!JG19/'Total Value'!JF19-1)</f>
        <v/>
      </c>
      <c r="JH7" s="14" t="str">
        <f ca="1">IF(JH$1="","",'Total Value'!JH19/'Total Value'!JG19-1)</f>
        <v/>
      </c>
      <c r="JI7" s="14" t="str">
        <f ca="1">IF(JI$1="","",'Total Value'!JI19/'Total Value'!JH19-1)</f>
        <v/>
      </c>
      <c r="JJ7" s="14" t="str">
        <f ca="1">IF(JJ$1="","",'Total Value'!JJ19/'Total Value'!JI19-1)</f>
        <v/>
      </c>
      <c r="JK7" s="14" t="str">
        <f ca="1">IF(JK$1="","",'Total Value'!JK19/'Total Value'!JJ19-1)</f>
        <v/>
      </c>
      <c r="JL7" s="14" t="str">
        <f ca="1">IF(JL$1="","",'Total Value'!JL19/'Total Value'!JK19-1)</f>
        <v/>
      </c>
      <c r="JM7" s="14" t="str">
        <f ca="1">IF(JM$1="","",'Total Value'!JM19/'Total Value'!JL19-1)</f>
        <v/>
      </c>
      <c r="JN7" s="14" t="str">
        <f ca="1">IF(JN$1="","",'Total Value'!JN19/'Total Value'!JM19-1)</f>
        <v/>
      </c>
      <c r="JO7" s="14" t="str">
        <f ca="1">IF(JO$1="","",'Total Value'!JO19/'Total Value'!JN19-1)</f>
        <v/>
      </c>
      <c r="JP7" s="14" t="str">
        <f ca="1">IF(JP$1="","",'Total Value'!JP19/'Total Value'!JO19-1)</f>
        <v/>
      </c>
      <c r="JQ7" s="14" t="str">
        <f ca="1">IF(JQ$1="","",'Total Value'!JQ19/'Total Value'!JP19-1)</f>
        <v/>
      </c>
      <c r="JR7" s="14" t="str">
        <f ca="1">IF(JR$1="","",'Total Value'!JR19/'Total Value'!JQ19-1)</f>
        <v/>
      </c>
      <c r="JS7" s="14" t="str">
        <f ca="1">IF(JS$1="","",'Total Value'!JS19/'Total Value'!JR19-1)</f>
        <v/>
      </c>
      <c r="JT7" s="14" t="str">
        <f ca="1">IF(JT$1="","",'Total Value'!JT19/'Total Value'!JS19-1)</f>
        <v/>
      </c>
      <c r="JU7" s="14" t="str">
        <f ca="1">IF(JU$1="","",'Total Value'!JU19/'Total Value'!JT19-1)</f>
        <v/>
      </c>
      <c r="JV7" s="14" t="str">
        <f ca="1">IF(JV$1="","",'Total Value'!JV19/'Total Value'!JU19-1)</f>
        <v/>
      </c>
      <c r="JW7" s="14" t="str">
        <f ca="1">IF(JW$1="","",'Total Value'!JW19/'Total Value'!JV19-1)</f>
        <v/>
      </c>
      <c r="JX7" s="14" t="str">
        <f ca="1">IF(JX$1="","",'Total Value'!JX19/'Total Value'!JW19-1)</f>
        <v/>
      </c>
      <c r="JY7" s="14" t="str">
        <f ca="1">IF(JY$1="","",'Total Value'!JY19/'Total Value'!JX19-1)</f>
        <v/>
      </c>
      <c r="JZ7" s="14" t="str">
        <f ca="1">IF(JZ$1="","",'Total Value'!JZ19/'Total Value'!JY19-1)</f>
        <v/>
      </c>
      <c r="KA7" s="14" t="str">
        <f ca="1">IF(KA$1="","",'Total Value'!KA19/'Total Value'!JZ19-1)</f>
        <v/>
      </c>
      <c r="KB7" s="14" t="str">
        <f ca="1">IF(KB$1="","",'Total Value'!KB19/'Total Value'!KA19-1)</f>
        <v/>
      </c>
    </row>
    <row r="8" spans="1:288" ht="15.75" customHeight="1">
      <c r="A8" s="22" t="s">
        <v>30</v>
      </c>
      <c r="B8" s="6" t="s">
        <v>53</v>
      </c>
      <c r="C8" s="26">
        <v>334</v>
      </c>
      <c r="D8" s="13">
        <v>0</v>
      </c>
      <c r="E8" s="14">
        <f ca="1">IF(E$1="","",'Total Value'!E20/'Total Value'!D20-1)</f>
        <v>3.8009675190047165E-3</v>
      </c>
      <c r="F8" s="14">
        <f ca="1">IF(F$1="","",'Total Value'!F20/'Total Value'!E20-1)</f>
        <v>5.1635111876073836E-3</v>
      </c>
      <c r="G8" s="14">
        <f ca="1">IF(G$1="","",'Total Value'!G20/'Total Value'!F20-1)</f>
        <v>-5.136986301369717E-3</v>
      </c>
      <c r="H8" s="14">
        <f ca="1">IF(H$1="","",'Total Value'!H20/'Total Value'!G20-1)</f>
        <v>1.2908777969018903E-2</v>
      </c>
      <c r="I8" s="14">
        <f ca="1">IF(I$1="","",'Total Value'!I20/'Total Value'!H20-1)</f>
        <v>1.6822429906542036E-2</v>
      </c>
      <c r="J8" s="14">
        <f ca="1">IF(J$1="","",'Total Value'!J20/'Total Value'!I20-1)</f>
        <v>-6.0160427807487427E-3</v>
      </c>
      <c r="K8" s="14">
        <f ca="1">IF(K$1="","",'Total Value'!K20/'Total Value'!J20-1)</f>
        <v>1.1600537995964944E-2</v>
      </c>
      <c r="L8" s="14">
        <f ca="1">IF(L$1="","",'Total Value'!L20/'Total Value'!K20-1)</f>
        <v>-1.7782948313112668E-2</v>
      </c>
      <c r="M8" s="14">
        <f ca="1">IF(M$1="","",'Total Value'!M20/'Total Value'!L20-1)</f>
        <v>-3.6040609137055979E-2</v>
      </c>
      <c r="N8" s="14">
        <f ca="1">IF(N$1="","",'Total Value'!N20/'Total Value'!M20-1)</f>
        <v>1.5446726347200457E-2</v>
      </c>
      <c r="O8" s="14">
        <f ca="1">IF(O$1="","",'Total Value'!O20/'Total Value'!N20-1)</f>
        <v>-1.2618841832325201E-2</v>
      </c>
      <c r="P8" s="14">
        <f ca="1">IF(P$1="","",'Total Value'!P20/'Total Value'!O20-1)</f>
        <v>4.2016806722689148E-2</v>
      </c>
      <c r="Q8" s="14">
        <f ca="1">IF(Q$1="","",'Total Value'!Q20/'Total Value'!P20-1)</f>
        <v>-3.6962365591397539E-3</v>
      </c>
      <c r="R8" s="14">
        <f ca="1">IF(R$1="","",'Total Value'!R20/'Total Value'!Q20-1)</f>
        <v>-1.8381112984823034E-2</v>
      </c>
      <c r="S8" s="14">
        <f ca="1">IF(S$1="","",'Total Value'!S20/'Total Value'!R20-1)</f>
        <v>-9.1049647826834113E-3</v>
      </c>
      <c r="T8" s="14">
        <f ca="1">IF(T$1="","",'Total Value'!T20/'Total Value'!S20-1)</f>
        <v>2.3058252427184511E-2</v>
      </c>
      <c r="U8" s="14">
        <f ca="1">IF(U$1="","",'Total Value'!U20/'Total Value'!T20-1)</f>
        <v>-2.8469750889679624E-2</v>
      </c>
      <c r="V8" s="14">
        <f ca="1">IF(V$1="","",'Total Value'!V20/'Total Value'!U20-1)</f>
        <v>-2.8083028083028205E-2</v>
      </c>
      <c r="W8" s="14">
        <f ca="1">IF(W$1="","",'Total Value'!W20/'Total Value'!V20-1)</f>
        <v>1.7229002153625217E-2</v>
      </c>
      <c r="X8" s="14">
        <f ca="1">IF(X$1="","",'Total Value'!X20/'Total Value'!W20-1)</f>
        <v>-5.2928722653500238E-4</v>
      </c>
      <c r="Y8" s="14">
        <f ca="1">IF(Y$1="","",'Total Value'!Y20/'Total Value'!X20-1)</f>
        <v>9.7087378640776656E-3</v>
      </c>
      <c r="Z8" s="14">
        <f ca="1">IF(Z$1="","",'Total Value'!Z20/'Total Value'!Y20-1)</f>
        <v>2.447552447552459E-2</v>
      </c>
      <c r="AA8" s="14">
        <f ca="1">IF(AA$1="","",'Total Value'!AA20/'Total Value'!Z20-1)</f>
        <v>-9.556313993174137E-3</v>
      </c>
      <c r="AB8" s="14">
        <f ca="1">IF(AB$1="","",'Total Value'!AB20/'Total Value'!AA20-1)</f>
        <v>-8.6147484493452886E-3</v>
      </c>
      <c r="AC8" s="14">
        <f ca="1">IF(AC$1="","",'Total Value'!AC20/'Total Value'!AB20-1)</f>
        <v>4.7966631908237689E-2</v>
      </c>
      <c r="AD8" s="14">
        <f ca="1">IF(AD$1="","",'Total Value'!AD20/'Total Value'!AC20-1)</f>
        <v>8.9552238805969964E-3</v>
      </c>
      <c r="AE8" s="14">
        <f ca="1">IF(AE$1="","",'Total Value'!AE20/'Total Value'!AD20-1)</f>
        <v>2.465483234713961E-3</v>
      </c>
      <c r="AF8" s="14">
        <f ca="1">IF(AF$1="","",'Total Value'!AF20/'Total Value'!AE20-1)</f>
        <v>-1.8527627479914655E-2</v>
      </c>
      <c r="AG8" s="14">
        <f ca="1">IF(AG$1="","",'Total Value'!AG20/'Total Value'!AF20-1)</f>
        <v>1.5870364183093955E-2</v>
      </c>
      <c r="AH8" s="14">
        <f ca="1">IF(AH$1="","",'Total Value'!AH20/'Total Value'!AG20-1)</f>
        <v>-4.4400592007893813E-3</v>
      </c>
      <c r="AI8" s="14">
        <f ca="1">IF(AI$1="","",'Total Value'!AI20/'Total Value'!AH20-1)</f>
        <v>-3.9808391146349487E-2</v>
      </c>
      <c r="AJ8" s="14">
        <f ca="1">IF(AJ$1="","",'Total Value'!AJ20/'Total Value'!AI20-1)</f>
        <v>4.2146912093583344E-2</v>
      </c>
      <c r="AK8" s="14">
        <f ca="1">IF(AK$1="","",'Total Value'!AK20/'Total Value'!AJ20-1)</f>
        <v>4.9521294156487095E-3</v>
      </c>
      <c r="AL8" s="14">
        <f ca="1">IF(AL$1="","",'Total Value'!AL20/'Total Value'!AK20-1)</f>
        <v>7.5558475689880833E-3</v>
      </c>
      <c r="AM8" s="14">
        <f ca="1">IF(AM$1="","",'Total Value'!AM20/'Total Value'!AL20-1)</f>
        <v>1.0759700032605179E-2</v>
      </c>
      <c r="AN8" s="14">
        <f ca="1">IF(AN$1="","",'Total Value'!AN20/'Total Value'!AM20-1)</f>
        <v>-3.1129032258064515E-2</v>
      </c>
      <c r="AO8" s="14">
        <f ca="1">IF(AO$1="","",'Total Value'!AO20/'Total Value'!AN20-1)</f>
        <v>-4.3282836690527793E-2</v>
      </c>
      <c r="AP8" s="14">
        <f ca="1">IF(AP$1="","",'Total Value'!AP20/'Total Value'!AO20-1)</f>
        <v>-1.6878371324169139E-2</v>
      </c>
      <c r="AQ8" s="14">
        <f ca="1">IF(AQ$1="","",'Total Value'!AQ20/'Total Value'!AP20-1)</f>
        <v>2.1061946902654727E-2</v>
      </c>
      <c r="AR8" s="14">
        <f ca="1">IF(AR$1="","",'Total Value'!AR20/'Total Value'!AQ20-1)</f>
        <v>4.7495233142659021E-2</v>
      </c>
      <c r="AS8" s="14">
        <f ca="1">IF(AS$1="","",'Total Value'!AS20/'Total Value'!AR20-1)</f>
        <v>7.7775939103095215E-3</v>
      </c>
      <c r="AT8" s="14">
        <f ca="1">IF(AT$1="","",'Total Value'!AT20/'Total Value'!AS20-1)</f>
        <v>-9.8522167487683499E-3</v>
      </c>
      <c r="AU8" s="14">
        <f ca="1">IF(AU$1="","",'Total Value'!AU20/'Total Value'!AT20-1)</f>
        <v>1.4925373134326847E-3</v>
      </c>
      <c r="AV8" s="14">
        <f ca="1">IF(AV$1="","",'Total Value'!AV20/'Total Value'!AU20-1)</f>
        <v>1.6227852293426048E-2</v>
      </c>
      <c r="AW8" s="14">
        <f ca="1">IF(AW$1="","",'Total Value'!AW20/'Total Value'!AV20-1)</f>
        <v>9.6138178262996643E-3</v>
      </c>
      <c r="AX8" s="14">
        <f ca="1">IF(AX$1="","",'Total Value'!AX20/'Total Value'!AW20-1)</f>
        <v>2.7598450613298908E-2</v>
      </c>
      <c r="AY8" s="14">
        <f ca="1">IF(AY$1="","",'Total Value'!AY20/'Total Value'!AX20-1)</f>
        <v>-6.9106329511543496E-3</v>
      </c>
      <c r="AZ8" s="14">
        <f ca="1">IF(AZ$1="","",'Total Value'!AZ20/'Total Value'!AY20-1)</f>
        <v>3.953819389530322E-3</v>
      </c>
      <c r="BA8" s="14">
        <f ca="1">IF(BA$1="","",'Total Value'!BA20/'Total Value'!AZ20-1)</f>
        <v>2.835538752362865E-3</v>
      </c>
      <c r="BB8" s="14">
        <f ca="1">IF(BB$1="","",'Total Value'!BB20/'Total Value'!BA20-1)</f>
        <v>1.0367577756833057E-2</v>
      </c>
      <c r="BC8" s="14">
        <f ca="1">IF(BC$1="","",'Total Value'!BC20/'Total Value'!BB20-1)</f>
        <v>2.6430348258706715E-2</v>
      </c>
      <c r="BD8" s="14">
        <f ca="1">IF(BD$1="","",'Total Value'!BD20/'Total Value'!BC20-1)</f>
        <v>-1.3480763405028906E-2</v>
      </c>
      <c r="BE8" s="14">
        <f ca="1">IF(BE$1="","",'Total Value'!BE20/'Total Value'!BD20-1)</f>
        <v>3.8384768923691581E-3</v>
      </c>
      <c r="BF8" s="14">
        <f ca="1">IF(BF$1="","",'Total Value'!BF20/'Total Value'!BE20-1)</f>
        <v>8.7182624655859353E-3</v>
      </c>
      <c r="BG8" s="14">
        <f ca="1">IF(BG$1="","",'Total Value'!BG20/'Total Value'!BF20-1)</f>
        <v>1.7740712661107105E-2</v>
      </c>
      <c r="BH8" s="14">
        <f ca="1">IF(BH$1="","",'Total Value'!BH20/'Total Value'!BG20-1)</f>
        <v>-1.1620977353992812E-2</v>
      </c>
      <c r="BI8" s="14">
        <f ca="1">IF(BI$1="","",'Total Value'!BI20/'Total Value'!BH20-1)</f>
        <v>7.0847151040096534E-3</v>
      </c>
      <c r="BJ8" s="14">
        <f ca="1">IF(BJ$1="","",'Total Value'!BJ20/'Total Value'!BI20-1)</f>
        <v>-2.0954946864242263E-3</v>
      </c>
      <c r="BK8" s="14">
        <f ca="1">IF(BK$1="","",'Total Value'!BK20/'Total Value'!BJ20-1)</f>
        <v>5.6997150142492625E-3</v>
      </c>
      <c r="BL8" s="14">
        <f ca="1">IF(BL$1="","",'Total Value'!BL20/'Total Value'!BK20-1)</f>
        <v>3.0126771066368185E-2</v>
      </c>
      <c r="BM8" s="14">
        <f ca="1">IF(BM$1="","",'Total Value'!BM20/'Total Value'!BL20-1)</f>
        <v>2.8087447517011865E-2</v>
      </c>
      <c r="BN8" s="14">
        <f ca="1">IF(BN$1="","",'Total Value'!BN20/'Total Value'!BM20-1)</f>
        <v>1.8307280664693337E-3</v>
      </c>
      <c r="BO8" s="14">
        <f ca="1">IF(BO$1="","",'Total Value'!BO20/'Total Value'!BN20-1)</f>
        <v>-7.168962608940177E-3</v>
      </c>
      <c r="BP8" s="14">
        <f ca="1">IF(BP$1="","",'Total Value'!BP20/'Total Value'!BO20-1)</f>
        <v>-2.8599745150785671E-2</v>
      </c>
      <c r="BQ8" s="14">
        <f ca="1">IF(BQ$1="","",'Total Value'!BQ20/'Total Value'!BP20-1)</f>
        <v>5.2470485351987506E-3</v>
      </c>
      <c r="BR8" s="14">
        <f ca="1">IF(BR$1="","",'Total Value'!BR20/'Total Value'!BQ20-1)</f>
        <v>1.159924604900775E-3</v>
      </c>
      <c r="BS8" s="14">
        <f ca="1">IF(BS$1="","",'Total Value'!BS20/'Total Value'!BR20-1)</f>
        <v>-6.3721940622736284E-3</v>
      </c>
      <c r="BT8" s="14">
        <f ca="1">IF(BT$1="","",'Total Value'!BT20/'Total Value'!BS20-1)</f>
        <v>-4.8097944905990397E-3</v>
      </c>
      <c r="BU8" s="14">
        <f ca="1">IF(BU$1="","",'Total Value'!BU20/'Total Value'!BT20-1)</f>
        <v>8.3479789103688695E-3</v>
      </c>
      <c r="BV8" s="14">
        <f ca="1">IF(BV$1="","",'Total Value'!BV20/'Total Value'!BU20-1)</f>
        <v>-2.1205519244734905E-2</v>
      </c>
      <c r="BW8" s="14">
        <f ca="1">IF(BW$1="","",'Total Value'!BW20/'Total Value'!BV20-1)</f>
        <v>-2.2703665232230108E-2</v>
      </c>
      <c r="BX8" s="14">
        <f ca="1">IF(BX$1="","",'Total Value'!BX20/'Total Value'!BW20-1)</f>
        <v>1.5183723048890485E-3</v>
      </c>
      <c r="BY8" s="14">
        <f ca="1">IF(BY$1="","",'Total Value'!BY20/'Total Value'!BX20-1)</f>
        <v>-1.3644633110976301E-2</v>
      </c>
      <c r="BZ8" s="14">
        <f ca="1">IF(BZ$1="","",'Total Value'!BZ20/'Total Value'!BY20-1)</f>
        <v>1.7368582846603031E-2</v>
      </c>
      <c r="CA8" s="14">
        <f ca="1">IF(CA$1="","",'Total Value'!CA20/'Total Value'!BZ20-1)</f>
        <v>1.5561263030669403E-2</v>
      </c>
      <c r="CB8" s="14">
        <f ca="1">IF(CB$1="","",'Total Value'!CB20/'Total Value'!CA20-1)</f>
        <v>-1.2198750371912981E-2</v>
      </c>
      <c r="CC8" s="14">
        <f ca="1">IF(CC$1="","",'Total Value'!CC20/'Total Value'!CB20-1)</f>
        <v>4.5180722891569047E-4</v>
      </c>
      <c r="CD8" s="14">
        <f ca="1">IF(CD$1="","",'Total Value'!CD20/'Total Value'!CC20-1)</f>
        <v>1.1139545386120497E-2</v>
      </c>
      <c r="CE8" s="14">
        <f ca="1">IF(CE$1="","",'Total Value'!CE20/'Total Value'!CD20-1)</f>
        <v>-6.2527914247431093E-3</v>
      </c>
      <c r="CF8" s="14" t="str">
        <f ca="1">IF(CF$1="","",'Total Value'!CF20/'Total Value'!CE20-1)</f>
        <v/>
      </c>
      <c r="CG8" s="14" t="str">
        <f ca="1">IF(CG$1="","",'Total Value'!CG20/'Total Value'!CF20-1)</f>
        <v/>
      </c>
      <c r="CH8" s="14" t="str">
        <f ca="1">IF(CH$1="","",'Total Value'!CH20/'Total Value'!CG20-1)</f>
        <v/>
      </c>
      <c r="CI8" s="14" t="str">
        <f ca="1">IF(CI$1="","",'Total Value'!CI20/'Total Value'!CH20-1)</f>
        <v/>
      </c>
      <c r="CJ8" s="14" t="str">
        <f ca="1">IF(CJ$1="","",'Total Value'!CJ20/'Total Value'!CI20-1)</f>
        <v/>
      </c>
      <c r="CK8" s="14" t="str">
        <f ca="1">IF(CK$1="","",'Total Value'!CK20/'Total Value'!CJ20-1)</f>
        <v/>
      </c>
      <c r="CL8" s="14" t="str">
        <f ca="1">IF(CL$1="","",'Total Value'!CL20/'Total Value'!CK20-1)</f>
        <v/>
      </c>
      <c r="CM8" s="14" t="str">
        <f ca="1">IF(CM$1="","",'Total Value'!CM20/'Total Value'!CL20-1)</f>
        <v/>
      </c>
      <c r="CN8" s="14" t="str">
        <f ca="1">IF(CN$1="","",'Total Value'!CN20/'Total Value'!CM20-1)</f>
        <v/>
      </c>
      <c r="CO8" s="14" t="str">
        <f ca="1">IF(CO$1="","",'Total Value'!CO20/'Total Value'!CN20-1)</f>
        <v/>
      </c>
      <c r="CP8" s="14" t="str">
        <f ca="1">IF(CP$1="","",'Total Value'!CP20/'Total Value'!CO20-1)</f>
        <v/>
      </c>
      <c r="CQ8" s="14" t="str">
        <f ca="1">IF(CQ$1="","",'Total Value'!CQ20/'Total Value'!CP20-1)</f>
        <v/>
      </c>
      <c r="CR8" s="14" t="str">
        <f ca="1">IF(CR$1="","",'Total Value'!CR20/'Total Value'!CQ20-1)</f>
        <v/>
      </c>
      <c r="CS8" s="14" t="str">
        <f ca="1">IF(CS$1="","",'Total Value'!CS20/'Total Value'!CR20-1)</f>
        <v/>
      </c>
      <c r="CT8" s="14" t="str">
        <f ca="1">IF(CT$1="","",'Total Value'!CT20/'Total Value'!CS20-1)</f>
        <v/>
      </c>
      <c r="CU8" s="14" t="str">
        <f ca="1">IF(CU$1="","",'Total Value'!CU20/'Total Value'!CT20-1)</f>
        <v/>
      </c>
      <c r="CV8" s="14" t="str">
        <f ca="1">IF(CV$1="","",'Total Value'!CV20/'Total Value'!CU20-1)</f>
        <v/>
      </c>
      <c r="CW8" s="14" t="str">
        <f ca="1">IF(CW$1="","",'Total Value'!CW20/'Total Value'!CV20-1)</f>
        <v/>
      </c>
      <c r="CX8" s="14" t="str">
        <f ca="1">IF(CX$1="","",'Total Value'!CX20/'Total Value'!CW20-1)</f>
        <v/>
      </c>
      <c r="CY8" s="14" t="str">
        <f ca="1">IF(CY$1="","",'Total Value'!CY20/'Total Value'!CX20-1)</f>
        <v/>
      </c>
      <c r="CZ8" s="14" t="str">
        <f ca="1">IF(CZ$1="","",'Total Value'!CZ20/'Total Value'!CY20-1)</f>
        <v/>
      </c>
      <c r="DA8" s="14" t="str">
        <f ca="1">IF(DA$1="","",'Total Value'!DA20/'Total Value'!CZ20-1)</f>
        <v/>
      </c>
      <c r="DB8" s="14" t="str">
        <f ca="1">IF(DB$1="","",'Total Value'!DB20/'Total Value'!DA20-1)</f>
        <v/>
      </c>
      <c r="DC8" s="14" t="str">
        <f ca="1">IF(DC$1="","",'Total Value'!DC20/'Total Value'!DB20-1)</f>
        <v/>
      </c>
      <c r="DD8" s="14" t="str">
        <f ca="1">IF(DD$1="","",'Total Value'!DD20/'Total Value'!DC20-1)</f>
        <v/>
      </c>
      <c r="DE8" s="14" t="str">
        <f ca="1">IF(DE$1="","",'Total Value'!DE20/'Total Value'!DD20-1)</f>
        <v/>
      </c>
      <c r="DF8" s="14" t="str">
        <f ca="1">IF(DF$1="","",'Total Value'!DF20/'Total Value'!DE20-1)</f>
        <v/>
      </c>
      <c r="DG8" s="14" t="str">
        <f ca="1">IF(DG$1="","",'Total Value'!DG20/'Total Value'!DF20-1)</f>
        <v/>
      </c>
      <c r="DH8" s="14" t="str">
        <f ca="1">IF(DH$1="","",'Total Value'!DH20/'Total Value'!DG20-1)</f>
        <v/>
      </c>
      <c r="DI8" s="14" t="str">
        <f ca="1">IF(DI$1="","",'Total Value'!DI20/'Total Value'!DH20-1)</f>
        <v/>
      </c>
      <c r="DJ8" s="14" t="str">
        <f ca="1">IF(DJ$1="","",'Total Value'!DJ20/'Total Value'!DI20-1)</f>
        <v/>
      </c>
      <c r="DK8" s="14" t="str">
        <f ca="1">IF(DK$1="","",'Total Value'!DK20/'Total Value'!DJ20-1)</f>
        <v/>
      </c>
      <c r="DL8" s="14" t="str">
        <f ca="1">IF(DL$1="","",'Total Value'!DL20/'Total Value'!DK20-1)</f>
        <v/>
      </c>
      <c r="DM8" s="14" t="str">
        <f ca="1">IF(DM$1="","",'Total Value'!DM20/'Total Value'!DL20-1)</f>
        <v/>
      </c>
      <c r="DN8" s="14" t="str">
        <f ca="1">IF(DN$1="","",'Total Value'!DN20/'Total Value'!DM20-1)</f>
        <v/>
      </c>
      <c r="DO8" s="14" t="str">
        <f ca="1">IF(DO$1="","",'Total Value'!DO20/'Total Value'!DN20-1)</f>
        <v/>
      </c>
      <c r="DP8" s="14" t="str">
        <f ca="1">IF(DP$1="","",'Total Value'!DP20/'Total Value'!DO20-1)</f>
        <v/>
      </c>
      <c r="DQ8" s="14" t="str">
        <f ca="1">IF(DQ$1="","",'Total Value'!DQ20/'Total Value'!DP20-1)</f>
        <v/>
      </c>
      <c r="DR8" s="14" t="str">
        <f ca="1">IF(DR$1="","",'Total Value'!DR20/'Total Value'!DQ20-1)</f>
        <v/>
      </c>
      <c r="DS8" s="14" t="str">
        <f ca="1">IF(DS$1="","",'Total Value'!DS20/'Total Value'!DR20-1)</f>
        <v/>
      </c>
      <c r="DT8" s="14" t="str">
        <f ca="1">IF(DT$1="","",'Total Value'!DT20/'Total Value'!DS20-1)</f>
        <v/>
      </c>
      <c r="DU8" s="14" t="str">
        <f ca="1">IF(DU$1="","",'Total Value'!DU20/'Total Value'!DT20-1)</f>
        <v/>
      </c>
      <c r="DV8" s="14" t="str">
        <f ca="1">IF(DV$1="","",'Total Value'!DV20/'Total Value'!DU20-1)</f>
        <v/>
      </c>
      <c r="DW8" s="14" t="str">
        <f ca="1">IF(DW$1="","",'Total Value'!DW20/'Total Value'!DV20-1)</f>
        <v/>
      </c>
      <c r="DX8" s="14" t="str">
        <f ca="1">IF(DX$1="","",'Total Value'!DX20/'Total Value'!DW20-1)</f>
        <v/>
      </c>
      <c r="DY8" s="14" t="str">
        <f ca="1">IF(DY$1="","",'Total Value'!DY20/'Total Value'!DX20-1)</f>
        <v/>
      </c>
      <c r="DZ8" s="14" t="str">
        <f ca="1">IF(DZ$1="","",'Total Value'!DZ20/'Total Value'!DY20-1)</f>
        <v/>
      </c>
      <c r="EA8" s="14" t="str">
        <f ca="1">IF(EA$1="","",'Total Value'!EA20/'Total Value'!DZ20-1)</f>
        <v/>
      </c>
      <c r="EB8" s="14" t="str">
        <f ca="1">IF(EB$1="","",'Total Value'!EB20/'Total Value'!EA20-1)</f>
        <v/>
      </c>
      <c r="EC8" s="14" t="str">
        <f ca="1">IF(EC$1="","",'Total Value'!EC20/'Total Value'!EB20-1)</f>
        <v/>
      </c>
      <c r="ED8" s="14" t="str">
        <f ca="1">IF(ED$1="","",'Total Value'!ED20/'Total Value'!EC20-1)</f>
        <v/>
      </c>
      <c r="EE8" s="14" t="str">
        <f ca="1">IF(EE$1="","",'Total Value'!EE20/'Total Value'!ED20-1)</f>
        <v/>
      </c>
      <c r="EF8" s="14" t="str">
        <f ca="1">IF(EF$1="","",'Total Value'!EF20/'Total Value'!EE20-1)</f>
        <v/>
      </c>
      <c r="EG8" s="14" t="str">
        <f ca="1">IF(EG$1="","",'Total Value'!EG20/'Total Value'!EF20-1)</f>
        <v/>
      </c>
      <c r="EH8" s="14" t="str">
        <f ca="1">IF(EH$1="","",'Total Value'!EH20/'Total Value'!EG20-1)</f>
        <v/>
      </c>
      <c r="EI8" s="14" t="str">
        <f ca="1">IF(EI$1="","",'Total Value'!EI20/'Total Value'!EH20-1)</f>
        <v/>
      </c>
      <c r="EJ8" s="14" t="str">
        <f ca="1">IF(EJ$1="","",'Total Value'!EJ20/'Total Value'!EI20-1)</f>
        <v/>
      </c>
      <c r="EK8" s="14" t="str">
        <f ca="1">IF(EK$1="","",'Total Value'!EK20/'Total Value'!EJ20-1)</f>
        <v/>
      </c>
      <c r="EL8" s="14" t="str">
        <f ca="1">IF(EL$1="","",'Total Value'!EL20/'Total Value'!EK20-1)</f>
        <v/>
      </c>
      <c r="EM8" s="14" t="str">
        <f ca="1">IF(EM$1="","",'Total Value'!EM20/'Total Value'!EL20-1)</f>
        <v/>
      </c>
      <c r="EN8" s="14" t="str">
        <f ca="1">IF(EN$1="","",'Total Value'!EN20/'Total Value'!EM20-1)</f>
        <v/>
      </c>
      <c r="EO8" s="14" t="str">
        <f ca="1">IF(EO$1="","",'Total Value'!EO20/'Total Value'!EN20-1)</f>
        <v/>
      </c>
      <c r="EP8" s="14" t="str">
        <f ca="1">IF(EP$1="","",'Total Value'!EP20/'Total Value'!EO20-1)</f>
        <v/>
      </c>
      <c r="EQ8" s="14" t="str">
        <f ca="1">IF(EQ$1="","",'Total Value'!EQ20/'Total Value'!EP20-1)</f>
        <v/>
      </c>
      <c r="ER8" s="14" t="str">
        <f ca="1">IF(ER$1="","",'Total Value'!ER20/'Total Value'!EQ20-1)</f>
        <v/>
      </c>
      <c r="ES8" s="14" t="str">
        <f ca="1">IF(ES$1="","",'Total Value'!ES20/'Total Value'!ER20-1)</f>
        <v/>
      </c>
      <c r="ET8" s="14" t="str">
        <f ca="1">IF(ET$1="","",'Total Value'!ET20/'Total Value'!ES20-1)</f>
        <v/>
      </c>
      <c r="EU8" s="14" t="str">
        <f ca="1">IF(EU$1="","",'Total Value'!EU20/'Total Value'!ET20-1)</f>
        <v/>
      </c>
      <c r="EV8" s="14" t="str">
        <f ca="1">IF(EV$1="","",'Total Value'!EV20/'Total Value'!EU20-1)</f>
        <v/>
      </c>
      <c r="EW8" s="14" t="str">
        <f ca="1">IF(EW$1="","",'Total Value'!EW20/'Total Value'!EV20-1)</f>
        <v/>
      </c>
      <c r="EX8" s="14" t="str">
        <f ca="1">IF(EX$1="","",'Total Value'!EX20/'Total Value'!EW20-1)</f>
        <v/>
      </c>
      <c r="EY8" s="14" t="str">
        <f ca="1">IF(EY$1="","",'Total Value'!EY20/'Total Value'!EX20-1)</f>
        <v/>
      </c>
      <c r="EZ8" s="14" t="str">
        <f ca="1">IF(EZ$1="","",'Total Value'!EZ20/'Total Value'!EY20-1)</f>
        <v/>
      </c>
      <c r="FA8" s="14" t="str">
        <f ca="1">IF(FA$1="","",'Total Value'!FA20/'Total Value'!EZ20-1)</f>
        <v/>
      </c>
      <c r="FB8" s="14" t="str">
        <f ca="1">IF(FB$1="","",'Total Value'!FB20/'Total Value'!FA20-1)</f>
        <v/>
      </c>
      <c r="FC8" s="14" t="str">
        <f ca="1">IF(FC$1="","",'Total Value'!FC20/'Total Value'!FB20-1)</f>
        <v/>
      </c>
      <c r="FD8" s="14" t="str">
        <f ca="1">IF(FD$1="","",'Total Value'!FD20/'Total Value'!FC20-1)</f>
        <v/>
      </c>
      <c r="FE8" s="14" t="str">
        <f ca="1">IF(FE$1="","",'Total Value'!FE20/'Total Value'!FD20-1)</f>
        <v/>
      </c>
      <c r="FF8" s="14" t="str">
        <f ca="1">IF(FF$1="","",'Total Value'!FF20/'Total Value'!FE20-1)</f>
        <v/>
      </c>
      <c r="FG8" s="14" t="str">
        <f ca="1">IF(FG$1="","",'Total Value'!FG20/'Total Value'!FF20-1)</f>
        <v/>
      </c>
      <c r="FH8" s="14" t="str">
        <f ca="1">IF(FH$1="","",'Total Value'!FH20/'Total Value'!FG20-1)</f>
        <v/>
      </c>
      <c r="FI8" s="14" t="str">
        <f ca="1">IF(FI$1="","",'Total Value'!FI20/'Total Value'!FH20-1)</f>
        <v/>
      </c>
      <c r="FJ8" s="14" t="str">
        <f ca="1">IF(FJ$1="","",'Total Value'!FJ20/'Total Value'!FI20-1)</f>
        <v/>
      </c>
      <c r="FK8" s="14" t="str">
        <f ca="1">IF(FK$1="","",'Total Value'!FK20/'Total Value'!FJ20-1)</f>
        <v/>
      </c>
      <c r="FL8" s="14" t="str">
        <f ca="1">IF(FL$1="","",'Total Value'!FL20/'Total Value'!FK20-1)</f>
        <v/>
      </c>
      <c r="FM8" s="14" t="str">
        <f ca="1">IF(FM$1="","",'Total Value'!FM20/'Total Value'!FL20-1)</f>
        <v/>
      </c>
      <c r="FN8" s="14" t="str">
        <f ca="1">IF(FN$1="","",'Total Value'!FN20/'Total Value'!FM20-1)</f>
        <v/>
      </c>
      <c r="FO8" s="14" t="str">
        <f ca="1">IF(FO$1="","",'Total Value'!FO20/'Total Value'!FN20-1)</f>
        <v/>
      </c>
      <c r="FP8" s="14" t="str">
        <f ca="1">IF(FP$1="","",'Total Value'!FP20/'Total Value'!FO20-1)</f>
        <v/>
      </c>
      <c r="FQ8" s="14" t="str">
        <f ca="1">IF(FQ$1="","",'Total Value'!FQ20/'Total Value'!FP20-1)</f>
        <v/>
      </c>
      <c r="FR8" s="14" t="str">
        <f ca="1">IF(FR$1="","",'Total Value'!FR20/'Total Value'!FQ20-1)</f>
        <v/>
      </c>
      <c r="FS8" s="14" t="str">
        <f ca="1">IF(FS$1="","",'Total Value'!FS20/'Total Value'!FR20-1)</f>
        <v/>
      </c>
      <c r="FT8" s="14" t="str">
        <f ca="1">IF(FT$1="","",'Total Value'!FT20/'Total Value'!FS20-1)</f>
        <v/>
      </c>
      <c r="FU8" s="14" t="str">
        <f ca="1">IF(FU$1="","",'Total Value'!FU20/'Total Value'!FT20-1)</f>
        <v/>
      </c>
      <c r="FV8" s="14" t="str">
        <f ca="1">IF(FV$1="","",'Total Value'!FV20/'Total Value'!FU20-1)</f>
        <v/>
      </c>
      <c r="FW8" s="14" t="str">
        <f ca="1">IF(FW$1="","",'Total Value'!FW20/'Total Value'!FV20-1)</f>
        <v/>
      </c>
      <c r="FX8" s="14" t="str">
        <f ca="1">IF(FX$1="","",'Total Value'!FX20/'Total Value'!FW20-1)</f>
        <v/>
      </c>
      <c r="FY8" s="14" t="str">
        <f ca="1">IF(FY$1="","",'Total Value'!FY20/'Total Value'!FX20-1)</f>
        <v/>
      </c>
      <c r="FZ8" s="14" t="str">
        <f ca="1">IF(FZ$1="","",'Total Value'!FZ20/'Total Value'!FY20-1)</f>
        <v/>
      </c>
      <c r="GA8" s="14" t="str">
        <f ca="1">IF(GA$1="","",'Total Value'!GA20/'Total Value'!FZ20-1)</f>
        <v/>
      </c>
      <c r="GB8" s="14" t="str">
        <f ca="1">IF(GB$1="","",'Total Value'!GB20/'Total Value'!GA20-1)</f>
        <v/>
      </c>
      <c r="GC8" s="14" t="str">
        <f ca="1">IF(GC$1="","",'Total Value'!GC20/'Total Value'!GB20-1)</f>
        <v/>
      </c>
      <c r="GD8" s="14" t="str">
        <f ca="1">IF(GD$1="","",'Total Value'!GD20/'Total Value'!GC20-1)</f>
        <v/>
      </c>
      <c r="GE8" s="14" t="str">
        <f ca="1">IF(GE$1="","",'Total Value'!GE20/'Total Value'!GD20-1)</f>
        <v/>
      </c>
      <c r="GF8" s="14" t="str">
        <f ca="1">IF(GF$1="","",'Total Value'!GF20/'Total Value'!GE20-1)</f>
        <v/>
      </c>
      <c r="GG8" s="14" t="str">
        <f ca="1">IF(GG$1="","",'Total Value'!GG20/'Total Value'!GF20-1)</f>
        <v/>
      </c>
      <c r="GH8" s="14" t="str">
        <f ca="1">IF(GH$1="","",'Total Value'!GH20/'Total Value'!GG20-1)</f>
        <v/>
      </c>
      <c r="GI8" s="14" t="str">
        <f ca="1">IF(GI$1="","",'Total Value'!GI20/'Total Value'!GH20-1)</f>
        <v/>
      </c>
      <c r="GJ8" s="14" t="str">
        <f ca="1">IF(GJ$1="","",'Total Value'!GJ20/'Total Value'!GI20-1)</f>
        <v/>
      </c>
      <c r="GK8" s="14" t="str">
        <f ca="1">IF(GK$1="","",'Total Value'!GK20/'Total Value'!GJ20-1)</f>
        <v/>
      </c>
      <c r="GL8" s="14" t="str">
        <f ca="1">IF(GL$1="","",'Total Value'!GL20/'Total Value'!GK20-1)</f>
        <v/>
      </c>
      <c r="GM8" s="14" t="str">
        <f ca="1">IF(GM$1="","",'Total Value'!GM20/'Total Value'!GL20-1)</f>
        <v/>
      </c>
      <c r="GN8" s="14" t="str">
        <f ca="1">IF(GN$1="","",'Total Value'!GN20/'Total Value'!GM20-1)</f>
        <v/>
      </c>
      <c r="GO8" s="14" t="str">
        <f ca="1">IF(GO$1="","",'Total Value'!GO20/'Total Value'!GN20-1)</f>
        <v/>
      </c>
      <c r="GP8" s="14" t="str">
        <f ca="1">IF(GP$1="","",'Total Value'!GP20/'Total Value'!GO20-1)</f>
        <v/>
      </c>
      <c r="GQ8" s="14" t="str">
        <f ca="1">IF(GQ$1="","",'Total Value'!GQ20/'Total Value'!GP20-1)</f>
        <v/>
      </c>
      <c r="GR8" s="14" t="str">
        <f ca="1">IF(GR$1="","",'Total Value'!GR20/'Total Value'!GQ20-1)</f>
        <v/>
      </c>
      <c r="GS8" s="14" t="str">
        <f ca="1">IF(GS$1="","",'Total Value'!GS20/'Total Value'!GR20-1)</f>
        <v/>
      </c>
      <c r="GT8" s="14" t="str">
        <f ca="1">IF(GT$1="","",'Total Value'!GT20/'Total Value'!GS20-1)</f>
        <v/>
      </c>
      <c r="GU8" s="14" t="str">
        <f ca="1">IF(GU$1="","",'Total Value'!GU20/'Total Value'!GT20-1)</f>
        <v/>
      </c>
      <c r="GV8" s="14" t="str">
        <f ca="1">IF(GV$1="","",'Total Value'!GV20/'Total Value'!GU20-1)</f>
        <v/>
      </c>
      <c r="GW8" s="14" t="str">
        <f ca="1">IF(GW$1="","",'Total Value'!GW20/'Total Value'!GV20-1)</f>
        <v/>
      </c>
      <c r="GX8" s="14" t="str">
        <f ca="1">IF(GX$1="","",'Total Value'!GX20/'Total Value'!GW20-1)</f>
        <v/>
      </c>
      <c r="GY8" s="14" t="str">
        <f ca="1">IF(GY$1="","",'Total Value'!GY20/'Total Value'!GX20-1)</f>
        <v/>
      </c>
      <c r="GZ8" s="14" t="str">
        <f ca="1">IF(GZ$1="","",'Total Value'!GZ20/'Total Value'!GY20-1)</f>
        <v/>
      </c>
      <c r="HA8" s="14" t="str">
        <f ca="1">IF(HA$1="","",'Total Value'!HA20/'Total Value'!GZ20-1)</f>
        <v/>
      </c>
      <c r="HB8" s="14" t="str">
        <f ca="1">IF(HB$1="","",'Total Value'!HB20/'Total Value'!HA20-1)</f>
        <v/>
      </c>
      <c r="HC8" s="14" t="str">
        <f ca="1">IF(HC$1="","",'Total Value'!HC20/'Total Value'!HB20-1)</f>
        <v/>
      </c>
      <c r="HD8" s="14" t="str">
        <f ca="1">IF(HD$1="","",'Total Value'!HD20/'Total Value'!HC20-1)</f>
        <v/>
      </c>
      <c r="HE8" s="14" t="str">
        <f ca="1">IF(HE$1="","",'Total Value'!HE20/'Total Value'!HD20-1)</f>
        <v/>
      </c>
      <c r="HF8" s="14" t="str">
        <f ca="1">IF(HF$1="","",'Total Value'!HF20/'Total Value'!HE20-1)</f>
        <v/>
      </c>
      <c r="HG8" s="14" t="str">
        <f ca="1">IF(HG$1="","",'Total Value'!HG20/'Total Value'!HF20-1)</f>
        <v/>
      </c>
      <c r="HH8" s="14" t="str">
        <f ca="1">IF(HH$1="","",'Total Value'!HH20/'Total Value'!HG20-1)</f>
        <v/>
      </c>
      <c r="HI8" s="14" t="str">
        <f ca="1">IF(HI$1="","",'Total Value'!HI20/'Total Value'!HH20-1)</f>
        <v/>
      </c>
      <c r="HJ8" s="14" t="str">
        <f ca="1">IF(HJ$1="","",'Total Value'!HJ20/'Total Value'!HI20-1)</f>
        <v/>
      </c>
      <c r="HK8" s="14" t="str">
        <f ca="1">IF(HK$1="","",'Total Value'!HK20/'Total Value'!HJ20-1)</f>
        <v/>
      </c>
      <c r="HL8" s="14" t="str">
        <f ca="1">IF(HL$1="","",'Total Value'!HL20/'Total Value'!HK20-1)</f>
        <v/>
      </c>
      <c r="HM8" s="14" t="str">
        <f ca="1">IF(HM$1="","",'Total Value'!HM20/'Total Value'!HL20-1)</f>
        <v/>
      </c>
      <c r="HN8" s="14" t="str">
        <f ca="1">IF(HN$1="","",'Total Value'!HN20/'Total Value'!HM20-1)</f>
        <v/>
      </c>
      <c r="HO8" s="14" t="str">
        <f ca="1">IF(HO$1="","",'Total Value'!HO20/'Total Value'!HN20-1)</f>
        <v/>
      </c>
      <c r="HP8" s="14" t="str">
        <f ca="1">IF(HP$1="","",'Total Value'!HP20/'Total Value'!HO20-1)</f>
        <v/>
      </c>
      <c r="HQ8" s="14" t="str">
        <f ca="1">IF(HQ$1="","",'Total Value'!HQ20/'Total Value'!HP20-1)</f>
        <v/>
      </c>
      <c r="HR8" s="14" t="str">
        <f ca="1">IF(HR$1="","",'Total Value'!HR20/'Total Value'!HQ20-1)</f>
        <v/>
      </c>
      <c r="HS8" s="14" t="str">
        <f ca="1">IF(HS$1="","",'Total Value'!HS20/'Total Value'!HR20-1)</f>
        <v/>
      </c>
      <c r="HT8" s="14" t="str">
        <f ca="1">IF(HT$1="","",'Total Value'!HT20/'Total Value'!HS20-1)</f>
        <v/>
      </c>
      <c r="HU8" s="14" t="str">
        <f ca="1">IF(HU$1="","",'Total Value'!HU20/'Total Value'!HT20-1)</f>
        <v/>
      </c>
      <c r="HV8" s="14" t="str">
        <f ca="1">IF(HV$1="","",'Total Value'!HV20/'Total Value'!HU20-1)</f>
        <v/>
      </c>
      <c r="HW8" s="14" t="str">
        <f ca="1">IF(HW$1="","",'Total Value'!HW20/'Total Value'!HV20-1)</f>
        <v/>
      </c>
      <c r="HX8" s="14" t="str">
        <f ca="1">IF(HX$1="","",'Total Value'!HX20/'Total Value'!HW20-1)</f>
        <v/>
      </c>
      <c r="HY8" s="14" t="str">
        <f ca="1">IF(HY$1="","",'Total Value'!HY20/'Total Value'!HX20-1)</f>
        <v/>
      </c>
      <c r="HZ8" s="14" t="str">
        <f ca="1">IF(HZ$1="","",'Total Value'!HZ20/'Total Value'!HY20-1)</f>
        <v/>
      </c>
      <c r="IA8" s="14" t="str">
        <f ca="1">IF(IA$1="","",'Total Value'!IA20/'Total Value'!HZ20-1)</f>
        <v/>
      </c>
      <c r="IB8" s="14" t="str">
        <f ca="1">IF(IB$1="","",'Total Value'!IB20/'Total Value'!IA20-1)</f>
        <v/>
      </c>
      <c r="IC8" s="14" t="str">
        <f ca="1">IF(IC$1="","",'Total Value'!IC20/'Total Value'!IB20-1)</f>
        <v/>
      </c>
      <c r="ID8" s="14" t="str">
        <f ca="1">IF(ID$1="","",'Total Value'!ID20/'Total Value'!IC20-1)</f>
        <v/>
      </c>
      <c r="IE8" s="14" t="str">
        <f ca="1">IF(IE$1="","",'Total Value'!IE20/'Total Value'!ID20-1)</f>
        <v/>
      </c>
      <c r="IF8" s="14" t="str">
        <f ca="1">IF(IF$1="","",'Total Value'!IF20/'Total Value'!IE20-1)</f>
        <v/>
      </c>
      <c r="IG8" s="14" t="str">
        <f ca="1">IF(IG$1="","",'Total Value'!IG20/'Total Value'!IF20-1)</f>
        <v/>
      </c>
      <c r="IH8" s="14" t="str">
        <f ca="1">IF(IH$1="","",'Total Value'!IH20/'Total Value'!IG20-1)</f>
        <v/>
      </c>
      <c r="II8" s="14" t="str">
        <f ca="1">IF(II$1="","",'Total Value'!II20/'Total Value'!IH20-1)</f>
        <v/>
      </c>
      <c r="IJ8" s="14" t="str">
        <f ca="1">IF(IJ$1="","",'Total Value'!IJ20/'Total Value'!II20-1)</f>
        <v/>
      </c>
      <c r="IK8" s="14" t="str">
        <f ca="1">IF(IK$1="","",'Total Value'!IK20/'Total Value'!IJ20-1)</f>
        <v/>
      </c>
      <c r="IL8" s="14" t="str">
        <f ca="1">IF(IL$1="","",'Total Value'!IL20/'Total Value'!IK20-1)</f>
        <v/>
      </c>
      <c r="IM8" s="14" t="str">
        <f ca="1">IF(IM$1="","",'Total Value'!IM20/'Total Value'!IL20-1)</f>
        <v/>
      </c>
      <c r="IN8" s="14" t="str">
        <f ca="1">IF(IN$1="","",'Total Value'!IN20/'Total Value'!IM20-1)</f>
        <v/>
      </c>
      <c r="IO8" s="14" t="str">
        <f ca="1">IF(IO$1="","",'Total Value'!IO20/'Total Value'!IN20-1)</f>
        <v/>
      </c>
      <c r="IP8" s="14" t="str">
        <f ca="1">IF(IP$1="","",'Total Value'!IP20/'Total Value'!IO20-1)</f>
        <v/>
      </c>
      <c r="IQ8" s="14" t="str">
        <f ca="1">IF(IQ$1="","",'Total Value'!IQ20/'Total Value'!IP20-1)</f>
        <v/>
      </c>
      <c r="IR8" s="14" t="str">
        <f ca="1">IF(IR$1="","",'Total Value'!IR20/'Total Value'!IQ20-1)</f>
        <v/>
      </c>
      <c r="IS8" s="14" t="str">
        <f ca="1">IF(IS$1="","",'Total Value'!IS20/'Total Value'!IR20-1)</f>
        <v/>
      </c>
      <c r="IT8" s="14" t="str">
        <f ca="1">IF(IT$1="","",'Total Value'!IT20/'Total Value'!IS20-1)</f>
        <v/>
      </c>
      <c r="IU8" s="14" t="str">
        <f ca="1">IF(IU$1="","",'Total Value'!IU20/'Total Value'!IT20-1)</f>
        <v/>
      </c>
      <c r="IV8" s="14" t="str">
        <f ca="1">IF(IV$1="","",'Total Value'!IV20/'Total Value'!IU20-1)</f>
        <v/>
      </c>
      <c r="IW8" s="14" t="str">
        <f ca="1">IF(IW$1="","",'Total Value'!IW20/'Total Value'!IV20-1)</f>
        <v/>
      </c>
      <c r="IX8" s="14" t="str">
        <f ca="1">IF(IX$1="","",'Total Value'!IX20/'Total Value'!IW20-1)</f>
        <v/>
      </c>
      <c r="IY8" s="14" t="str">
        <f ca="1">IF(IY$1="","",'Total Value'!IY20/'Total Value'!IX20-1)</f>
        <v/>
      </c>
      <c r="IZ8" s="14" t="str">
        <f ca="1">IF(IZ$1="","",'Total Value'!IZ20/'Total Value'!IY20-1)</f>
        <v/>
      </c>
      <c r="JA8" s="14" t="str">
        <f ca="1">IF(JA$1="","",'Total Value'!JA20/'Total Value'!IZ20-1)</f>
        <v/>
      </c>
      <c r="JB8" s="14" t="str">
        <f ca="1">IF(JB$1="","",'Total Value'!JB20/'Total Value'!JA20-1)</f>
        <v/>
      </c>
      <c r="JC8" s="14" t="str">
        <f ca="1">IF(JC$1="","",'Total Value'!JC20/'Total Value'!JB20-1)</f>
        <v/>
      </c>
      <c r="JD8" s="14" t="str">
        <f ca="1">IF(JD$1="","",'Total Value'!JD20/'Total Value'!JC20-1)</f>
        <v/>
      </c>
      <c r="JE8" s="14" t="str">
        <f ca="1">IF(JE$1="","",'Total Value'!JE20/'Total Value'!JD20-1)</f>
        <v/>
      </c>
      <c r="JF8" s="14" t="str">
        <f ca="1">IF(JF$1="","",'Total Value'!JF20/'Total Value'!JE20-1)</f>
        <v/>
      </c>
      <c r="JG8" s="14" t="str">
        <f ca="1">IF(JG$1="","",'Total Value'!JG20/'Total Value'!JF20-1)</f>
        <v/>
      </c>
      <c r="JH8" s="14" t="str">
        <f ca="1">IF(JH$1="","",'Total Value'!JH20/'Total Value'!JG20-1)</f>
        <v/>
      </c>
      <c r="JI8" s="14" t="str">
        <f ca="1">IF(JI$1="","",'Total Value'!JI20/'Total Value'!JH20-1)</f>
        <v/>
      </c>
      <c r="JJ8" s="14" t="str">
        <f ca="1">IF(JJ$1="","",'Total Value'!JJ20/'Total Value'!JI20-1)</f>
        <v/>
      </c>
      <c r="JK8" s="14" t="str">
        <f ca="1">IF(JK$1="","",'Total Value'!JK20/'Total Value'!JJ20-1)</f>
        <v/>
      </c>
      <c r="JL8" s="14" t="str">
        <f ca="1">IF(JL$1="","",'Total Value'!JL20/'Total Value'!JK20-1)</f>
        <v/>
      </c>
      <c r="JM8" s="14" t="str">
        <f ca="1">IF(JM$1="","",'Total Value'!JM20/'Total Value'!JL20-1)</f>
        <v/>
      </c>
      <c r="JN8" s="14" t="str">
        <f ca="1">IF(JN$1="","",'Total Value'!JN20/'Total Value'!JM20-1)</f>
        <v/>
      </c>
      <c r="JO8" s="14" t="str">
        <f ca="1">IF(JO$1="","",'Total Value'!JO20/'Total Value'!JN20-1)</f>
        <v/>
      </c>
      <c r="JP8" s="14" t="str">
        <f ca="1">IF(JP$1="","",'Total Value'!JP20/'Total Value'!JO20-1)</f>
        <v/>
      </c>
      <c r="JQ8" s="14" t="str">
        <f ca="1">IF(JQ$1="","",'Total Value'!JQ20/'Total Value'!JP20-1)</f>
        <v/>
      </c>
      <c r="JR8" s="14" t="str">
        <f ca="1">IF(JR$1="","",'Total Value'!JR20/'Total Value'!JQ20-1)</f>
        <v/>
      </c>
      <c r="JS8" s="14" t="str">
        <f ca="1">IF(JS$1="","",'Total Value'!JS20/'Total Value'!JR20-1)</f>
        <v/>
      </c>
      <c r="JT8" s="14" t="str">
        <f ca="1">IF(JT$1="","",'Total Value'!JT20/'Total Value'!JS20-1)</f>
        <v/>
      </c>
      <c r="JU8" s="14" t="str">
        <f ca="1">IF(JU$1="","",'Total Value'!JU20/'Total Value'!JT20-1)</f>
        <v/>
      </c>
      <c r="JV8" s="14" t="str">
        <f ca="1">IF(JV$1="","",'Total Value'!JV20/'Total Value'!JU20-1)</f>
        <v/>
      </c>
      <c r="JW8" s="14" t="str">
        <f ca="1">IF(JW$1="","",'Total Value'!JW20/'Total Value'!JV20-1)</f>
        <v/>
      </c>
      <c r="JX8" s="14" t="str">
        <f ca="1">IF(JX$1="","",'Total Value'!JX20/'Total Value'!JW20-1)</f>
        <v/>
      </c>
      <c r="JY8" s="14" t="str">
        <f ca="1">IF(JY$1="","",'Total Value'!JY20/'Total Value'!JX20-1)</f>
        <v/>
      </c>
      <c r="JZ8" s="14" t="str">
        <f ca="1">IF(JZ$1="","",'Total Value'!JZ20/'Total Value'!JY20-1)</f>
        <v/>
      </c>
      <c r="KA8" s="14" t="str">
        <f ca="1">IF(KA$1="","",'Total Value'!KA20/'Total Value'!JZ20-1)</f>
        <v/>
      </c>
      <c r="KB8" s="14" t="str">
        <f ca="1">IF(KB$1="","",'Total Value'!KB20/'Total Value'!KA20-1)</f>
        <v/>
      </c>
    </row>
    <row r="9" spans="1:288" ht="15.75" customHeight="1">
      <c r="A9" s="22" t="s">
        <v>30</v>
      </c>
      <c r="B9" s="6" t="s">
        <v>54</v>
      </c>
      <c r="C9" s="26">
        <v>91</v>
      </c>
      <c r="D9" s="13">
        <v>0</v>
      </c>
      <c r="E9" s="14">
        <f ca="1">IF(E$1="","",'Total Value'!E21/'Total Value'!D21-1)</f>
        <v>4.6004600460045619E-3</v>
      </c>
      <c r="F9" s="14">
        <f ca="1">IF(F$1="","",'Total Value'!F21/'Total Value'!E21-1)</f>
        <v>1.4932802389248323E-2</v>
      </c>
      <c r="G9" s="14">
        <f ca="1">IF(G$1="","",'Total Value'!G21/'Total Value'!F21-1)</f>
        <v>-2.7464443354585644E-2</v>
      </c>
      <c r="H9" s="14">
        <f ca="1">IF(H$1="","",'Total Value'!H21/'Total Value'!G21-1)</f>
        <v>1.2708018154311551E-2</v>
      </c>
      <c r="I9" s="14">
        <f ca="1">IF(I$1="","",'Total Value'!I21/'Total Value'!H21-1)</f>
        <v>-3.5155860970022879E-2</v>
      </c>
      <c r="J9" s="14">
        <f ca="1">IF(J$1="","",'Total Value'!J21/'Total Value'!I21-1)</f>
        <v>7.1222130470685041E-3</v>
      </c>
      <c r="K9" s="14">
        <f ca="1">IF(K$1="","",'Total Value'!K21/'Total Value'!J21-1)</f>
        <v>1.2298862355231144E-3</v>
      </c>
      <c r="L9" s="14">
        <f ca="1">IF(L$1="","",'Total Value'!L21/'Total Value'!K21-1)</f>
        <v>-3.0197563721977572E-2</v>
      </c>
      <c r="M9" s="14">
        <f ca="1">IF(M$1="","",'Total Value'!M21/'Total Value'!L21-1)</f>
        <v>1.0871859826894648E-2</v>
      </c>
      <c r="N9" s="14">
        <f ca="1">IF(N$1="","",'Total Value'!N21/'Total Value'!M21-1)</f>
        <v>-2.1405450558629968E-2</v>
      </c>
      <c r="O9" s="14">
        <f ca="1">IF(O$1="","",'Total Value'!O21/'Total Value'!N21-1)</f>
        <v>-1.8032437046521688E-2</v>
      </c>
      <c r="P9" s="14">
        <f ca="1">IF(P$1="","",'Total Value'!P21/'Total Value'!O21-1)</f>
        <v>-1.6407693143540181E-2</v>
      </c>
      <c r="Q9" s="14">
        <f ca="1">IF(Q$1="","",'Total Value'!Q21/'Total Value'!P21-1)</f>
        <v>4.4078656650464065E-2</v>
      </c>
      <c r="R9" s="14">
        <f ca="1">IF(R$1="","",'Total Value'!R21/'Total Value'!Q21-1)</f>
        <v>4.232356364405887E-2</v>
      </c>
      <c r="S9" s="14">
        <f ca="1">IF(S$1="","",'Total Value'!S21/'Total Value'!R21-1)</f>
        <v>1.7460156329306642E-2</v>
      </c>
      <c r="T9" s="14">
        <f ca="1">IF(T$1="","",'Total Value'!T21/'Total Value'!S21-1)</f>
        <v>-8.0814127506735334E-3</v>
      </c>
      <c r="U9" s="14">
        <f ca="1">IF(U$1="","",'Total Value'!U21/'Total Value'!T21-1)</f>
        <v>-4.8782941058137186E-2</v>
      </c>
      <c r="V9" s="14">
        <f ca="1">IF(V$1="","",'Total Value'!V21/'Total Value'!U21-1)</f>
        <v>3.2885693137358896E-2</v>
      </c>
      <c r="W9" s="14">
        <f ca="1">IF(W$1="","",'Total Value'!W21/'Total Value'!V21-1)</f>
        <v>7.6781326781327763E-3</v>
      </c>
      <c r="X9" s="14">
        <f ca="1">IF(X$1="","",'Total Value'!X21/'Total Value'!W21-1)</f>
        <v>7.7212232043073481E-3</v>
      </c>
      <c r="Y9" s="14">
        <f ca="1">IF(Y$1="","",'Total Value'!Y21/'Total Value'!X21-1)</f>
        <v>3.9520112914608552E-2</v>
      </c>
      <c r="Z9" s="14">
        <f ca="1">IF(Z$1="","",'Total Value'!Z21/'Total Value'!Y21-1)</f>
        <v>0.10736107070119294</v>
      </c>
      <c r="AA9" s="14">
        <f ca="1">IF(AA$1="","",'Total Value'!AA21/'Total Value'!Z21-1)</f>
        <v>1.8304431599229121E-2</v>
      </c>
      <c r="AB9" s="14">
        <f ca="1">IF(AB$1="","",'Total Value'!AB21/'Total Value'!AA21-1)</f>
        <v>1.032080502279209E-3</v>
      </c>
      <c r="AC9" s="14">
        <f ca="1">IF(AC$1="","",'Total Value'!AC21/'Total Value'!AB21-1)</f>
        <v>2.0534410172695194E-2</v>
      </c>
      <c r="AD9" s="14">
        <f ca="1">IF(AD$1="","",'Total Value'!AD21/'Total Value'!AC21-1)</f>
        <v>-6.5667620811583616E-3</v>
      </c>
      <c r="AE9" s="14">
        <f ca="1">IF(AE$1="","",'Total Value'!AE21/'Total Value'!AD21-1)</f>
        <v>-1.1440677966101709E-2</v>
      </c>
      <c r="AF9" s="14">
        <f ca="1">IF(AF$1="","",'Total Value'!AF21/'Total Value'!AE21-1)</f>
        <v>-1.3630518645520673E-2</v>
      </c>
      <c r="AG9" s="14">
        <f ca="1">IF(AG$1="","",'Total Value'!AG21/'Total Value'!AF21-1)</f>
        <v>-3.1896401877281488E-2</v>
      </c>
      <c r="AH9" s="14">
        <f ca="1">IF(AH$1="","",'Total Value'!AH21/'Total Value'!AG21-1)</f>
        <v>6.014902594488003E-3</v>
      </c>
      <c r="AI9" s="14">
        <f ca="1">IF(AI$1="","",'Total Value'!AI21/'Total Value'!AH21-1)</f>
        <v>2.6771372479029054E-2</v>
      </c>
      <c r="AJ9" s="14">
        <f ca="1">IF(AJ$1="","",'Total Value'!AJ21/'Total Value'!AI21-1)</f>
        <v>3.6502694246478562E-3</v>
      </c>
      <c r="AK9" s="14">
        <f ca="1">IF(AK$1="","",'Total Value'!AK21/'Total Value'!AJ21-1)</f>
        <v>1.0304814686525665E-2</v>
      </c>
      <c r="AL9" s="14">
        <f ca="1">IF(AL$1="","",'Total Value'!AL21/'Total Value'!AK21-1)</f>
        <v>1.114253878460536E-3</v>
      </c>
      <c r="AM9" s="14">
        <f ca="1">IF(AM$1="","",'Total Value'!AM21/'Total Value'!AL21-1)</f>
        <v>6.3270547945205369E-2</v>
      </c>
      <c r="AN9" s="14">
        <f ca="1">IF(AN$1="","",'Total Value'!AN21/'Total Value'!AM21-1)</f>
        <v>-1.7634270070053915E-2</v>
      </c>
      <c r="AO9" s="14">
        <f ca="1">IF(AO$1="","",'Total Value'!AO21/'Total Value'!AN21-1)</f>
        <v>-1.795081967213108E-2</v>
      </c>
      <c r="AP9" s="14">
        <f ca="1">IF(AP$1="","",'Total Value'!AP21/'Total Value'!AO21-1)</f>
        <v>-5.4085635589683712E-2</v>
      </c>
      <c r="AQ9" s="14">
        <f ca="1">IF(AQ$1="","",'Total Value'!AQ21/'Total Value'!AP21-1)</f>
        <v>2.0294714550428417E-3</v>
      </c>
      <c r="AR9" s="14">
        <f ca="1">IF(AR$1="","",'Total Value'!AR21/'Total Value'!AQ21-1)</f>
        <v>2.4656569214511981E-2</v>
      </c>
      <c r="AS9" s="14">
        <f ca="1">IF(AS$1="","",'Total Value'!AS21/'Total Value'!AR21-1)</f>
        <v>2.2086627707115891E-2</v>
      </c>
      <c r="AT9" s="14">
        <f ca="1">IF(AT$1="","",'Total Value'!AT21/'Total Value'!AS21-1)</f>
        <v>-4.1705204742285451E-2</v>
      </c>
      <c r="AU9" s="14">
        <f ca="1">IF(AU$1="","",'Total Value'!AU21/'Total Value'!AT21-1)</f>
        <v>-2.7902079494603771E-2</v>
      </c>
      <c r="AV9" s="14">
        <f ca="1">IF(AV$1="","",'Total Value'!AV21/'Total Value'!AU21-1)</f>
        <v>3.7006950085747281E-3</v>
      </c>
      <c r="AW9" s="14">
        <f ca="1">IF(AW$1="","",'Total Value'!AW21/'Total Value'!AV21-1)</f>
        <v>1.456834532374085E-2</v>
      </c>
      <c r="AX9" s="14">
        <f ca="1">IF(AX$1="","",'Total Value'!AX21/'Total Value'!AW21-1)</f>
        <v>2.357737989718145E-2</v>
      </c>
      <c r="AY9" s="14">
        <f ca="1">IF(AY$1="","",'Total Value'!AY21/'Total Value'!AX21-1)</f>
        <v>9.6120540353308304E-3</v>
      </c>
      <c r="AZ9" s="14">
        <f ca="1">IF(AZ$1="","",'Total Value'!AZ21/'Total Value'!AY21-1)</f>
        <v>2.8304314263658981E-2</v>
      </c>
      <c r="BA9" s="14">
        <f ca="1">IF(BA$1="","",'Total Value'!BA21/'Total Value'!AZ21-1)</f>
        <v>6.0055050462923809E-3</v>
      </c>
      <c r="BB9" s="14">
        <f ca="1">IF(BB$1="","",'Total Value'!BB21/'Total Value'!BA21-1)</f>
        <v>-1.3597545808805234E-2</v>
      </c>
      <c r="BC9" s="14">
        <f ca="1">IF(BC$1="","",'Total Value'!BC21/'Total Value'!BB21-1)</f>
        <v>4.2867949903335756E-3</v>
      </c>
      <c r="BD9" s="14">
        <f ca="1">IF(BD$1="","",'Total Value'!BD21/'Total Value'!BC21-1)</f>
        <v>8.2859055908939272E-3</v>
      </c>
      <c r="BE9" s="14">
        <f ca="1">IF(BE$1="","",'Total Value'!BE21/'Total Value'!BD21-1)</f>
        <v>-1.3281314850170145E-2</v>
      </c>
      <c r="BF9" s="14">
        <f ca="1">IF(BF$1="","",'Total Value'!BF21/'Total Value'!BE21-1)</f>
        <v>1.9096491966013263E-2</v>
      </c>
      <c r="BG9" s="14">
        <f ca="1">IF(BG$1="","",'Total Value'!BG21/'Total Value'!BF21-1)</f>
        <v>-1.1969621925045471E-2</v>
      </c>
      <c r="BH9" s="14">
        <f ca="1">IF(BH$1="","",'Total Value'!BH21/'Total Value'!BG21-1)</f>
        <v>5.0129501211464422E-3</v>
      </c>
      <c r="BI9" s="14">
        <f ca="1">IF(BI$1="","",'Total Value'!BI21/'Total Value'!BH21-1)</f>
        <v>2.9262615346246523E-2</v>
      </c>
      <c r="BJ9" s="14">
        <f ca="1">IF(BJ$1="","",'Total Value'!BJ21/'Total Value'!BI21-1)</f>
        <v>1.0984573136257003E-2</v>
      </c>
      <c r="BK9" s="14">
        <f ca="1">IF(BK$1="","",'Total Value'!BK21/'Total Value'!BJ21-1)</f>
        <v>-3.2755452584484201E-3</v>
      </c>
      <c r="BL9" s="14">
        <f ca="1">IF(BL$1="","",'Total Value'!BL21/'Total Value'!BK21-1)</f>
        <v>-1.7473549214491735E-2</v>
      </c>
      <c r="BM9" s="14">
        <f ca="1">IF(BM$1="","",'Total Value'!BM21/'Total Value'!BL21-1)</f>
        <v>5.4658182411486678E-3</v>
      </c>
      <c r="BN9" s="14">
        <f ca="1">IF(BN$1="","",'Total Value'!BN21/'Total Value'!BM21-1)</f>
        <v>-6.0851926977687487E-3</v>
      </c>
      <c r="BO9" s="14">
        <f ca="1">IF(BO$1="","",'Total Value'!BO21/'Total Value'!BN21-1)</f>
        <v>-4.1632653061224323E-3</v>
      </c>
      <c r="BP9" s="14">
        <f ca="1">IF(BP$1="","",'Total Value'!BP21/'Total Value'!BO21-1)</f>
        <v>1.1394376588244937E-2</v>
      </c>
      <c r="BQ9" s="14">
        <f ca="1">IF(BQ$1="","",'Total Value'!BQ21/'Total Value'!BP21-1)</f>
        <v>2.5530880207488948E-2</v>
      </c>
      <c r="BR9" s="14">
        <f ca="1">IF(BR$1="","",'Total Value'!BR21/'Total Value'!BQ21-1)</f>
        <v>-1.0748439105350505E-2</v>
      </c>
      <c r="BS9" s="14">
        <f ca="1">IF(BS$1="","",'Total Value'!BS21/'Total Value'!BR21-1)</f>
        <v>-2.7802189022928858E-2</v>
      </c>
      <c r="BT9" s="14">
        <f ca="1">IF(BT$1="","",'Total Value'!BT21/'Total Value'!BS21-1)</f>
        <v>6.1056783630536682E-2</v>
      </c>
      <c r="BU9" s="14">
        <f ca="1">IF(BU$1="","",'Total Value'!BU21/'Total Value'!BT21-1)</f>
        <v>-2.3001858736059533E-2</v>
      </c>
      <c r="BV9" s="14">
        <f ca="1">IF(BV$1="","",'Total Value'!BV21/'Total Value'!BU21-1)</f>
        <v>-2.5842251288148987E-2</v>
      </c>
      <c r="BW9" s="14">
        <f ca="1">IF(BW$1="","",'Total Value'!BW21/'Total Value'!BV21-1)</f>
        <v>-1.6600211571323853E-2</v>
      </c>
      <c r="BX9" s="14">
        <f ca="1">IF(BX$1="","",'Total Value'!BX21/'Total Value'!BW21-1)</f>
        <v>9.267687215556375E-3</v>
      </c>
      <c r="BY9" s="14">
        <f ca="1">IF(BY$1="","",'Total Value'!BY21/'Total Value'!BX21-1)</f>
        <v>9.100598507829849E-3</v>
      </c>
      <c r="BZ9" s="14">
        <f ca="1">IF(BZ$1="","",'Total Value'!BZ21/'Total Value'!BY21-1)</f>
        <v>8.1247968800823855E-5</v>
      </c>
      <c r="CA9" s="14">
        <f ca="1">IF(CA$1="","",'Total Value'!CA21/'Total Value'!BZ21-1)</f>
        <v>-1.8847997400276317E-2</v>
      </c>
      <c r="CB9" s="14">
        <f ca="1">IF(CB$1="","",'Total Value'!CB21/'Total Value'!CA21-1)</f>
        <v>1.0515856586900796E-2</v>
      </c>
      <c r="CC9" s="14">
        <f ca="1">IF(CC$1="","",'Total Value'!CC21/'Total Value'!CB21-1)</f>
        <v>8.1940347427056359E-4</v>
      </c>
      <c r="CD9" s="14">
        <f ca="1">IF(CD$1="","",'Total Value'!CD21/'Total Value'!CC21-1)</f>
        <v>-7.5323399377762446E-3</v>
      </c>
      <c r="CE9" s="14">
        <f ca="1">IF(CE$1="","",'Total Value'!CE21/'Total Value'!CD21-1)</f>
        <v>2.0046196997195009E-2</v>
      </c>
      <c r="CF9" s="14" t="str">
        <f ca="1">IF(CF$1="","",'Total Value'!CF21/'Total Value'!CE21-1)</f>
        <v/>
      </c>
      <c r="CG9" s="14" t="str">
        <f ca="1">IF(CG$1="","",'Total Value'!CG21/'Total Value'!CF21-1)</f>
        <v/>
      </c>
      <c r="CH9" s="14" t="str">
        <f ca="1">IF(CH$1="","",'Total Value'!CH21/'Total Value'!CG21-1)</f>
        <v/>
      </c>
      <c r="CI9" s="14" t="str">
        <f ca="1">IF(CI$1="","",'Total Value'!CI21/'Total Value'!CH21-1)</f>
        <v/>
      </c>
      <c r="CJ9" s="14" t="str">
        <f ca="1">IF(CJ$1="","",'Total Value'!CJ21/'Total Value'!CI21-1)</f>
        <v/>
      </c>
      <c r="CK9" s="14" t="str">
        <f ca="1">IF(CK$1="","",'Total Value'!CK21/'Total Value'!CJ21-1)</f>
        <v/>
      </c>
      <c r="CL9" s="14" t="str">
        <f ca="1">IF(CL$1="","",'Total Value'!CL21/'Total Value'!CK21-1)</f>
        <v/>
      </c>
      <c r="CM9" s="14" t="str">
        <f ca="1">IF(CM$1="","",'Total Value'!CM21/'Total Value'!CL21-1)</f>
        <v/>
      </c>
      <c r="CN9" s="14" t="str">
        <f ca="1">IF(CN$1="","",'Total Value'!CN21/'Total Value'!CM21-1)</f>
        <v/>
      </c>
      <c r="CO9" s="14" t="str">
        <f ca="1">IF(CO$1="","",'Total Value'!CO21/'Total Value'!CN21-1)</f>
        <v/>
      </c>
      <c r="CP9" s="14" t="str">
        <f ca="1">IF(CP$1="","",'Total Value'!CP21/'Total Value'!CO21-1)</f>
        <v/>
      </c>
      <c r="CQ9" s="14" t="str">
        <f ca="1">IF(CQ$1="","",'Total Value'!CQ21/'Total Value'!CP21-1)</f>
        <v/>
      </c>
      <c r="CR9" s="14" t="str">
        <f ca="1">IF(CR$1="","",'Total Value'!CR21/'Total Value'!CQ21-1)</f>
        <v/>
      </c>
      <c r="CS9" s="14" t="str">
        <f ca="1">IF(CS$1="","",'Total Value'!CS21/'Total Value'!CR21-1)</f>
        <v/>
      </c>
      <c r="CT9" s="14" t="str">
        <f ca="1">IF(CT$1="","",'Total Value'!CT21/'Total Value'!CS21-1)</f>
        <v/>
      </c>
      <c r="CU9" s="14" t="str">
        <f ca="1">IF(CU$1="","",'Total Value'!CU21/'Total Value'!CT21-1)</f>
        <v/>
      </c>
      <c r="CV9" s="14" t="str">
        <f ca="1">IF(CV$1="","",'Total Value'!CV21/'Total Value'!CU21-1)</f>
        <v/>
      </c>
      <c r="CW9" s="14" t="str">
        <f ca="1">IF(CW$1="","",'Total Value'!CW21/'Total Value'!CV21-1)</f>
        <v/>
      </c>
      <c r="CX9" s="14" t="str">
        <f ca="1">IF(CX$1="","",'Total Value'!CX21/'Total Value'!CW21-1)</f>
        <v/>
      </c>
      <c r="CY9" s="14" t="str">
        <f ca="1">IF(CY$1="","",'Total Value'!CY21/'Total Value'!CX21-1)</f>
        <v/>
      </c>
      <c r="CZ9" s="14" t="str">
        <f ca="1">IF(CZ$1="","",'Total Value'!CZ21/'Total Value'!CY21-1)</f>
        <v/>
      </c>
      <c r="DA9" s="14" t="str">
        <f ca="1">IF(DA$1="","",'Total Value'!DA21/'Total Value'!CZ21-1)</f>
        <v/>
      </c>
      <c r="DB9" s="14" t="str">
        <f ca="1">IF(DB$1="","",'Total Value'!DB21/'Total Value'!DA21-1)</f>
        <v/>
      </c>
      <c r="DC9" s="14" t="str">
        <f ca="1">IF(DC$1="","",'Total Value'!DC21/'Total Value'!DB21-1)</f>
        <v/>
      </c>
      <c r="DD9" s="14" t="str">
        <f ca="1">IF(DD$1="","",'Total Value'!DD21/'Total Value'!DC21-1)</f>
        <v/>
      </c>
      <c r="DE9" s="14" t="str">
        <f ca="1">IF(DE$1="","",'Total Value'!DE21/'Total Value'!DD21-1)</f>
        <v/>
      </c>
      <c r="DF9" s="14" t="str">
        <f ca="1">IF(DF$1="","",'Total Value'!DF21/'Total Value'!DE21-1)</f>
        <v/>
      </c>
      <c r="DG9" s="14" t="str">
        <f ca="1">IF(DG$1="","",'Total Value'!DG21/'Total Value'!DF21-1)</f>
        <v/>
      </c>
      <c r="DH9" s="14" t="str">
        <f ca="1">IF(DH$1="","",'Total Value'!DH21/'Total Value'!DG21-1)</f>
        <v/>
      </c>
      <c r="DI9" s="14" t="str">
        <f ca="1">IF(DI$1="","",'Total Value'!DI21/'Total Value'!DH21-1)</f>
        <v/>
      </c>
      <c r="DJ9" s="14" t="str">
        <f ca="1">IF(DJ$1="","",'Total Value'!DJ21/'Total Value'!DI21-1)</f>
        <v/>
      </c>
      <c r="DK9" s="14" t="str">
        <f ca="1">IF(DK$1="","",'Total Value'!DK21/'Total Value'!DJ21-1)</f>
        <v/>
      </c>
      <c r="DL9" s="14" t="str">
        <f ca="1">IF(DL$1="","",'Total Value'!DL21/'Total Value'!DK21-1)</f>
        <v/>
      </c>
      <c r="DM9" s="14" t="str">
        <f ca="1">IF(DM$1="","",'Total Value'!DM21/'Total Value'!DL21-1)</f>
        <v/>
      </c>
      <c r="DN9" s="14" t="str">
        <f ca="1">IF(DN$1="","",'Total Value'!DN21/'Total Value'!DM21-1)</f>
        <v/>
      </c>
      <c r="DO9" s="14" t="str">
        <f ca="1">IF(DO$1="","",'Total Value'!DO21/'Total Value'!DN21-1)</f>
        <v/>
      </c>
      <c r="DP9" s="14" t="str">
        <f ca="1">IF(DP$1="","",'Total Value'!DP21/'Total Value'!DO21-1)</f>
        <v/>
      </c>
      <c r="DQ9" s="14" t="str">
        <f ca="1">IF(DQ$1="","",'Total Value'!DQ21/'Total Value'!DP21-1)</f>
        <v/>
      </c>
      <c r="DR9" s="14" t="str">
        <f ca="1">IF(DR$1="","",'Total Value'!DR21/'Total Value'!DQ21-1)</f>
        <v/>
      </c>
      <c r="DS9" s="14" t="str">
        <f ca="1">IF(DS$1="","",'Total Value'!DS21/'Total Value'!DR21-1)</f>
        <v/>
      </c>
      <c r="DT9" s="14" t="str">
        <f ca="1">IF(DT$1="","",'Total Value'!DT21/'Total Value'!DS21-1)</f>
        <v/>
      </c>
      <c r="DU9" s="14" t="str">
        <f ca="1">IF(DU$1="","",'Total Value'!DU21/'Total Value'!DT21-1)</f>
        <v/>
      </c>
      <c r="DV9" s="14" t="str">
        <f ca="1">IF(DV$1="","",'Total Value'!DV21/'Total Value'!DU21-1)</f>
        <v/>
      </c>
      <c r="DW9" s="14" t="str">
        <f ca="1">IF(DW$1="","",'Total Value'!DW21/'Total Value'!DV21-1)</f>
        <v/>
      </c>
      <c r="DX9" s="14" t="str">
        <f ca="1">IF(DX$1="","",'Total Value'!DX21/'Total Value'!DW21-1)</f>
        <v/>
      </c>
      <c r="DY9" s="14" t="str">
        <f ca="1">IF(DY$1="","",'Total Value'!DY21/'Total Value'!DX21-1)</f>
        <v/>
      </c>
      <c r="DZ9" s="14" t="str">
        <f ca="1">IF(DZ$1="","",'Total Value'!DZ21/'Total Value'!DY21-1)</f>
        <v/>
      </c>
      <c r="EA9" s="14" t="str">
        <f ca="1">IF(EA$1="","",'Total Value'!EA21/'Total Value'!DZ21-1)</f>
        <v/>
      </c>
      <c r="EB9" s="14" t="str">
        <f ca="1">IF(EB$1="","",'Total Value'!EB21/'Total Value'!EA21-1)</f>
        <v/>
      </c>
      <c r="EC9" s="14" t="str">
        <f ca="1">IF(EC$1="","",'Total Value'!EC21/'Total Value'!EB21-1)</f>
        <v/>
      </c>
      <c r="ED9" s="14" t="str">
        <f ca="1">IF(ED$1="","",'Total Value'!ED21/'Total Value'!EC21-1)</f>
        <v/>
      </c>
      <c r="EE9" s="14" t="str">
        <f ca="1">IF(EE$1="","",'Total Value'!EE21/'Total Value'!ED21-1)</f>
        <v/>
      </c>
      <c r="EF9" s="14" t="str">
        <f ca="1">IF(EF$1="","",'Total Value'!EF21/'Total Value'!EE21-1)</f>
        <v/>
      </c>
      <c r="EG9" s="14" t="str">
        <f ca="1">IF(EG$1="","",'Total Value'!EG21/'Total Value'!EF21-1)</f>
        <v/>
      </c>
      <c r="EH9" s="14" t="str">
        <f ca="1">IF(EH$1="","",'Total Value'!EH21/'Total Value'!EG21-1)</f>
        <v/>
      </c>
      <c r="EI9" s="14" t="str">
        <f ca="1">IF(EI$1="","",'Total Value'!EI21/'Total Value'!EH21-1)</f>
        <v/>
      </c>
      <c r="EJ9" s="14" t="str">
        <f ca="1">IF(EJ$1="","",'Total Value'!EJ21/'Total Value'!EI21-1)</f>
        <v/>
      </c>
      <c r="EK9" s="14" t="str">
        <f ca="1">IF(EK$1="","",'Total Value'!EK21/'Total Value'!EJ21-1)</f>
        <v/>
      </c>
      <c r="EL9" s="14" t="str">
        <f ca="1">IF(EL$1="","",'Total Value'!EL21/'Total Value'!EK21-1)</f>
        <v/>
      </c>
      <c r="EM9" s="14" t="str">
        <f ca="1">IF(EM$1="","",'Total Value'!EM21/'Total Value'!EL21-1)</f>
        <v/>
      </c>
      <c r="EN9" s="14" t="str">
        <f ca="1">IF(EN$1="","",'Total Value'!EN21/'Total Value'!EM21-1)</f>
        <v/>
      </c>
      <c r="EO9" s="14" t="str">
        <f ca="1">IF(EO$1="","",'Total Value'!EO21/'Total Value'!EN21-1)</f>
        <v/>
      </c>
      <c r="EP9" s="14" t="str">
        <f ca="1">IF(EP$1="","",'Total Value'!EP21/'Total Value'!EO21-1)</f>
        <v/>
      </c>
      <c r="EQ9" s="14" t="str">
        <f ca="1">IF(EQ$1="","",'Total Value'!EQ21/'Total Value'!EP21-1)</f>
        <v/>
      </c>
      <c r="ER9" s="14" t="str">
        <f ca="1">IF(ER$1="","",'Total Value'!ER21/'Total Value'!EQ21-1)</f>
        <v/>
      </c>
      <c r="ES9" s="14" t="str">
        <f ca="1">IF(ES$1="","",'Total Value'!ES21/'Total Value'!ER21-1)</f>
        <v/>
      </c>
      <c r="ET9" s="14" t="str">
        <f ca="1">IF(ET$1="","",'Total Value'!ET21/'Total Value'!ES21-1)</f>
        <v/>
      </c>
      <c r="EU9" s="14" t="str">
        <f ca="1">IF(EU$1="","",'Total Value'!EU21/'Total Value'!ET21-1)</f>
        <v/>
      </c>
      <c r="EV9" s="14" t="str">
        <f ca="1">IF(EV$1="","",'Total Value'!EV21/'Total Value'!EU21-1)</f>
        <v/>
      </c>
      <c r="EW9" s="14" t="str">
        <f ca="1">IF(EW$1="","",'Total Value'!EW21/'Total Value'!EV21-1)</f>
        <v/>
      </c>
      <c r="EX9" s="14" t="str">
        <f ca="1">IF(EX$1="","",'Total Value'!EX21/'Total Value'!EW21-1)</f>
        <v/>
      </c>
      <c r="EY9" s="14" t="str">
        <f ca="1">IF(EY$1="","",'Total Value'!EY21/'Total Value'!EX21-1)</f>
        <v/>
      </c>
      <c r="EZ9" s="14" t="str">
        <f ca="1">IF(EZ$1="","",'Total Value'!EZ21/'Total Value'!EY21-1)</f>
        <v/>
      </c>
      <c r="FA9" s="14" t="str">
        <f ca="1">IF(FA$1="","",'Total Value'!FA21/'Total Value'!EZ21-1)</f>
        <v/>
      </c>
      <c r="FB9" s="14" t="str">
        <f ca="1">IF(FB$1="","",'Total Value'!FB21/'Total Value'!FA21-1)</f>
        <v/>
      </c>
      <c r="FC9" s="14" t="str">
        <f ca="1">IF(FC$1="","",'Total Value'!FC21/'Total Value'!FB21-1)</f>
        <v/>
      </c>
      <c r="FD9" s="14" t="str">
        <f ca="1">IF(FD$1="","",'Total Value'!FD21/'Total Value'!FC21-1)</f>
        <v/>
      </c>
      <c r="FE9" s="14" t="str">
        <f ca="1">IF(FE$1="","",'Total Value'!FE21/'Total Value'!FD21-1)</f>
        <v/>
      </c>
      <c r="FF9" s="14" t="str">
        <f ca="1">IF(FF$1="","",'Total Value'!FF21/'Total Value'!FE21-1)</f>
        <v/>
      </c>
      <c r="FG9" s="14" t="str">
        <f ca="1">IF(FG$1="","",'Total Value'!FG21/'Total Value'!FF21-1)</f>
        <v/>
      </c>
      <c r="FH9" s="14" t="str">
        <f ca="1">IF(FH$1="","",'Total Value'!FH21/'Total Value'!FG21-1)</f>
        <v/>
      </c>
      <c r="FI9" s="14" t="str">
        <f ca="1">IF(FI$1="","",'Total Value'!FI21/'Total Value'!FH21-1)</f>
        <v/>
      </c>
      <c r="FJ9" s="14" t="str">
        <f ca="1">IF(FJ$1="","",'Total Value'!FJ21/'Total Value'!FI21-1)</f>
        <v/>
      </c>
      <c r="FK9" s="14" t="str">
        <f ca="1">IF(FK$1="","",'Total Value'!FK21/'Total Value'!FJ21-1)</f>
        <v/>
      </c>
      <c r="FL9" s="14" t="str">
        <f ca="1">IF(FL$1="","",'Total Value'!FL21/'Total Value'!FK21-1)</f>
        <v/>
      </c>
      <c r="FM9" s="14" t="str">
        <f ca="1">IF(FM$1="","",'Total Value'!FM21/'Total Value'!FL21-1)</f>
        <v/>
      </c>
      <c r="FN9" s="14" t="str">
        <f ca="1">IF(FN$1="","",'Total Value'!FN21/'Total Value'!FM21-1)</f>
        <v/>
      </c>
      <c r="FO9" s="14" t="str">
        <f ca="1">IF(FO$1="","",'Total Value'!FO21/'Total Value'!FN21-1)</f>
        <v/>
      </c>
      <c r="FP9" s="14" t="str">
        <f ca="1">IF(FP$1="","",'Total Value'!FP21/'Total Value'!FO21-1)</f>
        <v/>
      </c>
      <c r="FQ9" s="14" t="str">
        <f ca="1">IF(FQ$1="","",'Total Value'!FQ21/'Total Value'!FP21-1)</f>
        <v/>
      </c>
      <c r="FR9" s="14" t="str">
        <f ca="1">IF(FR$1="","",'Total Value'!FR21/'Total Value'!FQ21-1)</f>
        <v/>
      </c>
      <c r="FS9" s="14" t="str">
        <f ca="1">IF(FS$1="","",'Total Value'!FS21/'Total Value'!FR21-1)</f>
        <v/>
      </c>
      <c r="FT9" s="14" t="str">
        <f ca="1">IF(FT$1="","",'Total Value'!FT21/'Total Value'!FS21-1)</f>
        <v/>
      </c>
      <c r="FU9" s="14" t="str">
        <f ca="1">IF(FU$1="","",'Total Value'!FU21/'Total Value'!FT21-1)</f>
        <v/>
      </c>
      <c r="FV9" s="14" t="str">
        <f ca="1">IF(FV$1="","",'Total Value'!FV21/'Total Value'!FU21-1)</f>
        <v/>
      </c>
      <c r="FW9" s="14" t="str">
        <f ca="1">IF(FW$1="","",'Total Value'!FW21/'Total Value'!FV21-1)</f>
        <v/>
      </c>
      <c r="FX9" s="14" t="str">
        <f ca="1">IF(FX$1="","",'Total Value'!FX21/'Total Value'!FW21-1)</f>
        <v/>
      </c>
      <c r="FY9" s="14" t="str">
        <f ca="1">IF(FY$1="","",'Total Value'!FY21/'Total Value'!FX21-1)</f>
        <v/>
      </c>
      <c r="FZ9" s="14" t="str">
        <f ca="1">IF(FZ$1="","",'Total Value'!FZ21/'Total Value'!FY21-1)</f>
        <v/>
      </c>
      <c r="GA9" s="14" t="str">
        <f ca="1">IF(GA$1="","",'Total Value'!GA21/'Total Value'!FZ21-1)</f>
        <v/>
      </c>
      <c r="GB9" s="14" t="str">
        <f ca="1">IF(GB$1="","",'Total Value'!GB21/'Total Value'!GA21-1)</f>
        <v/>
      </c>
      <c r="GC9" s="14" t="str">
        <f ca="1">IF(GC$1="","",'Total Value'!GC21/'Total Value'!GB21-1)</f>
        <v/>
      </c>
      <c r="GD9" s="14" t="str">
        <f ca="1">IF(GD$1="","",'Total Value'!GD21/'Total Value'!GC21-1)</f>
        <v/>
      </c>
      <c r="GE9" s="14" t="str">
        <f ca="1">IF(GE$1="","",'Total Value'!GE21/'Total Value'!GD21-1)</f>
        <v/>
      </c>
      <c r="GF9" s="14" t="str">
        <f ca="1">IF(GF$1="","",'Total Value'!GF21/'Total Value'!GE21-1)</f>
        <v/>
      </c>
      <c r="GG9" s="14" t="str">
        <f ca="1">IF(GG$1="","",'Total Value'!GG21/'Total Value'!GF21-1)</f>
        <v/>
      </c>
      <c r="GH9" s="14" t="str">
        <f ca="1">IF(GH$1="","",'Total Value'!GH21/'Total Value'!GG21-1)</f>
        <v/>
      </c>
      <c r="GI9" s="14" t="str">
        <f ca="1">IF(GI$1="","",'Total Value'!GI21/'Total Value'!GH21-1)</f>
        <v/>
      </c>
      <c r="GJ9" s="14" t="str">
        <f ca="1">IF(GJ$1="","",'Total Value'!GJ21/'Total Value'!GI21-1)</f>
        <v/>
      </c>
      <c r="GK9" s="14" t="str">
        <f ca="1">IF(GK$1="","",'Total Value'!GK21/'Total Value'!GJ21-1)</f>
        <v/>
      </c>
      <c r="GL9" s="14" t="str">
        <f ca="1">IF(GL$1="","",'Total Value'!GL21/'Total Value'!GK21-1)</f>
        <v/>
      </c>
      <c r="GM9" s="14" t="str">
        <f ca="1">IF(GM$1="","",'Total Value'!GM21/'Total Value'!GL21-1)</f>
        <v/>
      </c>
      <c r="GN9" s="14" t="str">
        <f ca="1">IF(GN$1="","",'Total Value'!GN21/'Total Value'!GM21-1)</f>
        <v/>
      </c>
      <c r="GO9" s="14" t="str">
        <f ca="1">IF(GO$1="","",'Total Value'!GO21/'Total Value'!GN21-1)</f>
        <v/>
      </c>
      <c r="GP9" s="14" t="str">
        <f ca="1">IF(GP$1="","",'Total Value'!GP21/'Total Value'!GO21-1)</f>
        <v/>
      </c>
      <c r="GQ9" s="14" t="str">
        <f ca="1">IF(GQ$1="","",'Total Value'!GQ21/'Total Value'!GP21-1)</f>
        <v/>
      </c>
      <c r="GR9" s="14" t="str">
        <f ca="1">IF(GR$1="","",'Total Value'!GR21/'Total Value'!GQ21-1)</f>
        <v/>
      </c>
      <c r="GS9" s="14" t="str">
        <f ca="1">IF(GS$1="","",'Total Value'!GS21/'Total Value'!GR21-1)</f>
        <v/>
      </c>
      <c r="GT9" s="14" t="str">
        <f ca="1">IF(GT$1="","",'Total Value'!GT21/'Total Value'!GS21-1)</f>
        <v/>
      </c>
      <c r="GU9" s="14" t="str">
        <f ca="1">IF(GU$1="","",'Total Value'!GU21/'Total Value'!GT21-1)</f>
        <v/>
      </c>
      <c r="GV9" s="14" t="str">
        <f ca="1">IF(GV$1="","",'Total Value'!GV21/'Total Value'!GU21-1)</f>
        <v/>
      </c>
      <c r="GW9" s="14" t="str">
        <f ca="1">IF(GW$1="","",'Total Value'!GW21/'Total Value'!GV21-1)</f>
        <v/>
      </c>
      <c r="GX9" s="14" t="str">
        <f ca="1">IF(GX$1="","",'Total Value'!GX21/'Total Value'!GW21-1)</f>
        <v/>
      </c>
      <c r="GY9" s="14" t="str">
        <f ca="1">IF(GY$1="","",'Total Value'!GY21/'Total Value'!GX21-1)</f>
        <v/>
      </c>
      <c r="GZ9" s="14" t="str">
        <f ca="1">IF(GZ$1="","",'Total Value'!GZ21/'Total Value'!GY21-1)</f>
        <v/>
      </c>
      <c r="HA9" s="14" t="str">
        <f ca="1">IF(HA$1="","",'Total Value'!HA21/'Total Value'!GZ21-1)</f>
        <v/>
      </c>
      <c r="HB9" s="14" t="str">
        <f ca="1">IF(HB$1="","",'Total Value'!HB21/'Total Value'!HA21-1)</f>
        <v/>
      </c>
      <c r="HC9" s="14" t="str">
        <f ca="1">IF(HC$1="","",'Total Value'!HC21/'Total Value'!HB21-1)</f>
        <v/>
      </c>
      <c r="HD9" s="14" t="str">
        <f ca="1">IF(HD$1="","",'Total Value'!HD21/'Total Value'!HC21-1)</f>
        <v/>
      </c>
      <c r="HE9" s="14" t="str">
        <f ca="1">IF(HE$1="","",'Total Value'!HE21/'Total Value'!HD21-1)</f>
        <v/>
      </c>
      <c r="HF9" s="14" t="str">
        <f ca="1">IF(HF$1="","",'Total Value'!HF21/'Total Value'!HE21-1)</f>
        <v/>
      </c>
      <c r="HG9" s="14" t="str">
        <f ca="1">IF(HG$1="","",'Total Value'!HG21/'Total Value'!HF21-1)</f>
        <v/>
      </c>
      <c r="HH9" s="14" t="str">
        <f ca="1">IF(HH$1="","",'Total Value'!HH21/'Total Value'!HG21-1)</f>
        <v/>
      </c>
      <c r="HI9" s="14" t="str">
        <f ca="1">IF(HI$1="","",'Total Value'!HI21/'Total Value'!HH21-1)</f>
        <v/>
      </c>
      <c r="HJ9" s="14" t="str">
        <f ca="1">IF(HJ$1="","",'Total Value'!HJ21/'Total Value'!HI21-1)</f>
        <v/>
      </c>
      <c r="HK9" s="14" t="str">
        <f ca="1">IF(HK$1="","",'Total Value'!HK21/'Total Value'!HJ21-1)</f>
        <v/>
      </c>
      <c r="HL9" s="14" t="str">
        <f ca="1">IF(HL$1="","",'Total Value'!HL21/'Total Value'!HK21-1)</f>
        <v/>
      </c>
      <c r="HM9" s="14" t="str">
        <f ca="1">IF(HM$1="","",'Total Value'!HM21/'Total Value'!HL21-1)</f>
        <v/>
      </c>
      <c r="HN9" s="14" t="str">
        <f ca="1">IF(HN$1="","",'Total Value'!HN21/'Total Value'!HM21-1)</f>
        <v/>
      </c>
      <c r="HO9" s="14" t="str">
        <f ca="1">IF(HO$1="","",'Total Value'!HO21/'Total Value'!HN21-1)</f>
        <v/>
      </c>
      <c r="HP9" s="14" t="str">
        <f ca="1">IF(HP$1="","",'Total Value'!HP21/'Total Value'!HO21-1)</f>
        <v/>
      </c>
      <c r="HQ9" s="14" t="str">
        <f ca="1">IF(HQ$1="","",'Total Value'!HQ21/'Total Value'!HP21-1)</f>
        <v/>
      </c>
      <c r="HR9" s="14" t="str">
        <f ca="1">IF(HR$1="","",'Total Value'!HR21/'Total Value'!HQ21-1)</f>
        <v/>
      </c>
      <c r="HS9" s="14" t="str">
        <f ca="1">IF(HS$1="","",'Total Value'!HS21/'Total Value'!HR21-1)</f>
        <v/>
      </c>
      <c r="HT9" s="14" t="str">
        <f ca="1">IF(HT$1="","",'Total Value'!HT21/'Total Value'!HS21-1)</f>
        <v/>
      </c>
      <c r="HU9" s="14" t="str">
        <f ca="1">IF(HU$1="","",'Total Value'!HU21/'Total Value'!HT21-1)</f>
        <v/>
      </c>
      <c r="HV9" s="14" t="str">
        <f ca="1">IF(HV$1="","",'Total Value'!HV21/'Total Value'!HU21-1)</f>
        <v/>
      </c>
      <c r="HW9" s="14" t="str">
        <f ca="1">IF(HW$1="","",'Total Value'!HW21/'Total Value'!HV21-1)</f>
        <v/>
      </c>
      <c r="HX9" s="14" t="str">
        <f ca="1">IF(HX$1="","",'Total Value'!HX21/'Total Value'!HW21-1)</f>
        <v/>
      </c>
      <c r="HY9" s="14" t="str">
        <f ca="1">IF(HY$1="","",'Total Value'!HY21/'Total Value'!HX21-1)</f>
        <v/>
      </c>
      <c r="HZ9" s="14" t="str">
        <f ca="1">IF(HZ$1="","",'Total Value'!HZ21/'Total Value'!HY21-1)</f>
        <v/>
      </c>
      <c r="IA9" s="14" t="str">
        <f ca="1">IF(IA$1="","",'Total Value'!IA21/'Total Value'!HZ21-1)</f>
        <v/>
      </c>
      <c r="IB9" s="14" t="str">
        <f ca="1">IF(IB$1="","",'Total Value'!IB21/'Total Value'!IA21-1)</f>
        <v/>
      </c>
      <c r="IC9" s="14" t="str">
        <f ca="1">IF(IC$1="","",'Total Value'!IC21/'Total Value'!IB21-1)</f>
        <v/>
      </c>
      <c r="ID9" s="14" t="str">
        <f ca="1">IF(ID$1="","",'Total Value'!ID21/'Total Value'!IC21-1)</f>
        <v/>
      </c>
      <c r="IE9" s="14" t="str">
        <f ca="1">IF(IE$1="","",'Total Value'!IE21/'Total Value'!ID21-1)</f>
        <v/>
      </c>
      <c r="IF9" s="14" t="str">
        <f ca="1">IF(IF$1="","",'Total Value'!IF21/'Total Value'!IE21-1)</f>
        <v/>
      </c>
      <c r="IG9" s="14" t="str">
        <f ca="1">IF(IG$1="","",'Total Value'!IG21/'Total Value'!IF21-1)</f>
        <v/>
      </c>
      <c r="IH9" s="14" t="str">
        <f ca="1">IF(IH$1="","",'Total Value'!IH21/'Total Value'!IG21-1)</f>
        <v/>
      </c>
      <c r="II9" s="14" t="str">
        <f ca="1">IF(II$1="","",'Total Value'!II21/'Total Value'!IH21-1)</f>
        <v/>
      </c>
      <c r="IJ9" s="14" t="str">
        <f ca="1">IF(IJ$1="","",'Total Value'!IJ21/'Total Value'!II21-1)</f>
        <v/>
      </c>
      <c r="IK9" s="14" t="str">
        <f ca="1">IF(IK$1="","",'Total Value'!IK21/'Total Value'!IJ21-1)</f>
        <v/>
      </c>
      <c r="IL9" s="14" t="str">
        <f ca="1">IF(IL$1="","",'Total Value'!IL21/'Total Value'!IK21-1)</f>
        <v/>
      </c>
      <c r="IM9" s="14" t="str">
        <f ca="1">IF(IM$1="","",'Total Value'!IM21/'Total Value'!IL21-1)</f>
        <v/>
      </c>
      <c r="IN9" s="14" t="str">
        <f ca="1">IF(IN$1="","",'Total Value'!IN21/'Total Value'!IM21-1)</f>
        <v/>
      </c>
      <c r="IO9" s="14" t="str">
        <f ca="1">IF(IO$1="","",'Total Value'!IO21/'Total Value'!IN21-1)</f>
        <v/>
      </c>
      <c r="IP9" s="14" t="str">
        <f ca="1">IF(IP$1="","",'Total Value'!IP21/'Total Value'!IO21-1)</f>
        <v/>
      </c>
      <c r="IQ9" s="14" t="str">
        <f ca="1">IF(IQ$1="","",'Total Value'!IQ21/'Total Value'!IP21-1)</f>
        <v/>
      </c>
      <c r="IR9" s="14" t="str">
        <f ca="1">IF(IR$1="","",'Total Value'!IR21/'Total Value'!IQ21-1)</f>
        <v/>
      </c>
      <c r="IS9" s="14" t="str">
        <f ca="1">IF(IS$1="","",'Total Value'!IS21/'Total Value'!IR21-1)</f>
        <v/>
      </c>
      <c r="IT9" s="14" t="str">
        <f ca="1">IF(IT$1="","",'Total Value'!IT21/'Total Value'!IS21-1)</f>
        <v/>
      </c>
      <c r="IU9" s="14" t="str">
        <f ca="1">IF(IU$1="","",'Total Value'!IU21/'Total Value'!IT21-1)</f>
        <v/>
      </c>
      <c r="IV9" s="14" t="str">
        <f ca="1">IF(IV$1="","",'Total Value'!IV21/'Total Value'!IU21-1)</f>
        <v/>
      </c>
      <c r="IW9" s="14" t="str">
        <f ca="1">IF(IW$1="","",'Total Value'!IW21/'Total Value'!IV21-1)</f>
        <v/>
      </c>
      <c r="IX9" s="14" t="str">
        <f ca="1">IF(IX$1="","",'Total Value'!IX21/'Total Value'!IW21-1)</f>
        <v/>
      </c>
      <c r="IY9" s="14" t="str">
        <f ca="1">IF(IY$1="","",'Total Value'!IY21/'Total Value'!IX21-1)</f>
        <v/>
      </c>
      <c r="IZ9" s="14" t="str">
        <f ca="1">IF(IZ$1="","",'Total Value'!IZ21/'Total Value'!IY21-1)</f>
        <v/>
      </c>
      <c r="JA9" s="14" t="str">
        <f ca="1">IF(JA$1="","",'Total Value'!JA21/'Total Value'!IZ21-1)</f>
        <v/>
      </c>
      <c r="JB9" s="14" t="str">
        <f ca="1">IF(JB$1="","",'Total Value'!JB21/'Total Value'!JA21-1)</f>
        <v/>
      </c>
      <c r="JC9" s="14" t="str">
        <f ca="1">IF(JC$1="","",'Total Value'!JC21/'Total Value'!JB21-1)</f>
        <v/>
      </c>
      <c r="JD9" s="14" t="str">
        <f ca="1">IF(JD$1="","",'Total Value'!JD21/'Total Value'!JC21-1)</f>
        <v/>
      </c>
      <c r="JE9" s="14" t="str">
        <f ca="1">IF(JE$1="","",'Total Value'!JE21/'Total Value'!JD21-1)</f>
        <v/>
      </c>
      <c r="JF9" s="14" t="str">
        <f ca="1">IF(JF$1="","",'Total Value'!JF21/'Total Value'!JE21-1)</f>
        <v/>
      </c>
      <c r="JG9" s="14" t="str">
        <f ca="1">IF(JG$1="","",'Total Value'!JG21/'Total Value'!JF21-1)</f>
        <v/>
      </c>
      <c r="JH9" s="14" t="str">
        <f ca="1">IF(JH$1="","",'Total Value'!JH21/'Total Value'!JG21-1)</f>
        <v/>
      </c>
      <c r="JI9" s="14" t="str">
        <f ca="1">IF(JI$1="","",'Total Value'!JI21/'Total Value'!JH21-1)</f>
        <v/>
      </c>
      <c r="JJ9" s="14" t="str">
        <f ca="1">IF(JJ$1="","",'Total Value'!JJ21/'Total Value'!JI21-1)</f>
        <v/>
      </c>
      <c r="JK9" s="14" t="str">
        <f ca="1">IF(JK$1="","",'Total Value'!JK21/'Total Value'!JJ21-1)</f>
        <v/>
      </c>
      <c r="JL9" s="14" t="str">
        <f ca="1">IF(JL$1="","",'Total Value'!JL21/'Total Value'!JK21-1)</f>
        <v/>
      </c>
      <c r="JM9" s="14" t="str">
        <f ca="1">IF(JM$1="","",'Total Value'!JM21/'Total Value'!JL21-1)</f>
        <v/>
      </c>
      <c r="JN9" s="14" t="str">
        <f ca="1">IF(JN$1="","",'Total Value'!JN21/'Total Value'!JM21-1)</f>
        <v/>
      </c>
      <c r="JO9" s="14" t="str">
        <f ca="1">IF(JO$1="","",'Total Value'!JO21/'Total Value'!JN21-1)</f>
        <v/>
      </c>
      <c r="JP9" s="14" t="str">
        <f ca="1">IF(JP$1="","",'Total Value'!JP21/'Total Value'!JO21-1)</f>
        <v/>
      </c>
      <c r="JQ9" s="14" t="str">
        <f ca="1">IF(JQ$1="","",'Total Value'!JQ21/'Total Value'!JP21-1)</f>
        <v/>
      </c>
      <c r="JR9" s="14" t="str">
        <f ca="1">IF(JR$1="","",'Total Value'!JR21/'Total Value'!JQ21-1)</f>
        <v/>
      </c>
      <c r="JS9" s="14" t="str">
        <f ca="1">IF(JS$1="","",'Total Value'!JS21/'Total Value'!JR21-1)</f>
        <v/>
      </c>
      <c r="JT9" s="14" t="str">
        <f ca="1">IF(JT$1="","",'Total Value'!JT21/'Total Value'!JS21-1)</f>
        <v/>
      </c>
      <c r="JU9" s="14" t="str">
        <f ca="1">IF(JU$1="","",'Total Value'!JU21/'Total Value'!JT21-1)</f>
        <v/>
      </c>
      <c r="JV9" s="14" t="str">
        <f ca="1">IF(JV$1="","",'Total Value'!JV21/'Total Value'!JU21-1)</f>
        <v/>
      </c>
      <c r="JW9" s="14" t="str">
        <f ca="1">IF(JW$1="","",'Total Value'!JW21/'Total Value'!JV21-1)</f>
        <v/>
      </c>
      <c r="JX9" s="14" t="str">
        <f ca="1">IF(JX$1="","",'Total Value'!JX21/'Total Value'!JW21-1)</f>
        <v/>
      </c>
      <c r="JY9" s="14" t="str">
        <f ca="1">IF(JY$1="","",'Total Value'!JY21/'Total Value'!JX21-1)</f>
        <v/>
      </c>
      <c r="JZ9" s="14" t="str">
        <f ca="1">IF(JZ$1="","",'Total Value'!JZ21/'Total Value'!JY21-1)</f>
        <v/>
      </c>
      <c r="KA9" s="14" t="str">
        <f ca="1">IF(KA$1="","",'Total Value'!KA21/'Total Value'!JZ21-1)</f>
        <v/>
      </c>
      <c r="KB9" s="14" t="str">
        <f ca="1">IF(KB$1="","",'Total Value'!KB21/'Total Value'!KA21-1)</f>
        <v/>
      </c>
    </row>
    <row r="10" spans="1:288" ht="15.75" customHeight="1">
      <c r="A10" s="22" t="s">
        <v>30</v>
      </c>
      <c r="B10" s="6" t="s">
        <v>55</v>
      </c>
      <c r="C10" s="26">
        <v>78</v>
      </c>
      <c r="D10" s="13">
        <v>0</v>
      </c>
      <c r="E10" s="14">
        <f ca="1">IF(E$1="","",'Total Value'!E22/'Total Value'!D22-1)</f>
        <v>1.4036233066753612E-2</v>
      </c>
      <c r="F10" s="14">
        <f ca="1">IF(F$1="","",'Total Value'!F22/'Total Value'!E22-1)</f>
        <v>-1.0944793175599488E-2</v>
      </c>
      <c r="G10" s="14">
        <f ca="1">IF(G$1="","",'Total Value'!G22/'Total Value'!F22-1)</f>
        <v>4.0683482506103097E-3</v>
      </c>
      <c r="H10" s="14">
        <f ca="1">IF(H$1="","",'Total Value'!H22/'Total Value'!G22-1)</f>
        <v>1.44246353322528E-2</v>
      </c>
      <c r="I10" s="14">
        <f ca="1">IF(I$1="","",'Total Value'!I22/'Total Value'!H22-1)</f>
        <v>-3.7545933855249736E-3</v>
      </c>
      <c r="J10" s="14">
        <f ca="1">IF(J$1="","",'Total Value'!J22/'Total Value'!I22-1)</f>
        <v>-4.0093015796648368E-3</v>
      </c>
      <c r="K10" s="14">
        <f ca="1">IF(K$1="","",'Total Value'!K22/'Total Value'!J22-1)</f>
        <v>6.0381611786490819E-3</v>
      </c>
      <c r="L10" s="14">
        <f ca="1">IF(L$1="","",'Total Value'!L22/'Total Value'!K22-1)</f>
        <v>-9.7631241997439E-3</v>
      </c>
      <c r="M10" s="14">
        <f ca="1">IF(M$1="","",'Total Value'!M22/'Total Value'!L22-1)</f>
        <v>1.1718118635849484E-2</v>
      </c>
      <c r="N10" s="14">
        <f ca="1">IF(N$1="","",'Total Value'!N22/'Total Value'!M22-1)</f>
        <v>-2.0289160476076207E-2</v>
      </c>
      <c r="O10" s="14">
        <f ca="1">IF(O$1="","",'Total Value'!O22/'Total Value'!N22-1)</f>
        <v>-2.364451691805991E-3</v>
      </c>
      <c r="P10" s="14">
        <f ca="1">IF(P$1="","",'Total Value'!P22/'Total Value'!O22-1)</f>
        <v>1.9614253023864103E-2</v>
      </c>
      <c r="Q10" s="14">
        <f ca="1">IF(Q$1="","",'Total Value'!Q22/'Total Value'!P22-1)</f>
        <v>3.5107406219942128E-2</v>
      </c>
      <c r="R10" s="14">
        <f ca="1">IF(R$1="","",'Total Value'!R22/'Total Value'!Q22-1)</f>
        <v>-5.110732538330498E-3</v>
      </c>
      <c r="S10" s="14">
        <f ca="1">IF(S$1="","",'Total Value'!S22/'Total Value'!R22-1)</f>
        <v>-7.7833125778248302E-5</v>
      </c>
      <c r="T10" s="14">
        <f ca="1">IF(T$1="","",'Total Value'!T22/'Total Value'!S22-1)</f>
        <v>1.8136529929166478E-2</v>
      </c>
      <c r="U10" s="14">
        <f ca="1">IF(U$1="","",'Total Value'!U22/'Total Value'!T22-1)</f>
        <v>-6.3455657492356154E-3</v>
      </c>
      <c r="V10" s="14">
        <f ca="1">IF(V$1="","",'Total Value'!V22/'Total Value'!U22-1)</f>
        <v>8.463491574978832E-3</v>
      </c>
      <c r="W10" s="14">
        <f ca="1">IF(W$1="","",'Total Value'!W22/'Total Value'!V22-1)</f>
        <v>4.9591821164263195E-3</v>
      </c>
      <c r="X10" s="14">
        <f ca="1">IF(X$1="","",'Total Value'!X22/'Total Value'!W22-1)</f>
        <v>5.9216519890676889E-3</v>
      </c>
      <c r="Y10" s="14">
        <f ca="1">IF(Y$1="","",'Total Value'!Y22/'Total Value'!X22-1)</f>
        <v>2.5433962264151067E-2</v>
      </c>
      <c r="Z10" s="14">
        <f ca="1">IF(Z$1="","",'Total Value'!Z22/'Total Value'!Y22-1)</f>
        <v>-1.5455950540958163E-2</v>
      </c>
      <c r="AA10" s="14">
        <f ca="1">IF(AA$1="","",'Total Value'!AA22/'Total Value'!Z22-1)</f>
        <v>-6.4887493458922085E-2</v>
      </c>
      <c r="AB10" s="14">
        <f ca="1">IF(AB$1="","",'Total Value'!AB22/'Total Value'!AA22-1)</f>
        <v>-1.2071308657766511E-2</v>
      </c>
      <c r="AC10" s="14">
        <f ca="1">IF(AC$1="","",'Total Value'!AC22/'Total Value'!AB22-1)</f>
        <v>2.5975076873280489E-2</v>
      </c>
      <c r="AD10" s="14">
        <f ca="1">IF(AD$1="","",'Total Value'!AD22/'Total Value'!AC22-1)</f>
        <v>-7.0194810316270839E-3</v>
      </c>
      <c r="AE10" s="14">
        <f ca="1">IF(AE$1="","",'Total Value'!AE22/'Total Value'!AD22-1)</f>
        <v>-1.1914217633042123E-2</v>
      </c>
      <c r="AF10" s="14">
        <f ca="1">IF(AF$1="","",'Total Value'!AF22/'Total Value'!AE22-1)</f>
        <v>-1.3906752411575574E-2</v>
      </c>
      <c r="AG10" s="14">
        <f ca="1">IF(AG$1="","",'Total Value'!AG22/'Total Value'!AF22-1)</f>
        <v>-1.8667970979049597E-2</v>
      </c>
      <c r="AH10" s="14">
        <f ca="1">IF(AH$1="","",'Total Value'!AH22/'Total Value'!AG22-1)</f>
        <v>-1.9106163814587074E-2</v>
      </c>
      <c r="AI10" s="14">
        <f ca="1">IF(AI$1="","",'Total Value'!AI22/'Total Value'!AH22-1)</f>
        <v>3.387533875338633E-4</v>
      </c>
      <c r="AJ10" s="14">
        <f ca="1">IF(AJ$1="","",'Total Value'!AJ22/'Total Value'!AI22-1)</f>
        <v>1.6931933626818108E-4</v>
      </c>
      <c r="AK10" s="14">
        <f ca="1">IF(AK$1="","",'Total Value'!AK22/'Total Value'!AJ22-1)</f>
        <v>-6.9409175554427938E-3</v>
      </c>
      <c r="AL10" s="14">
        <f ca="1">IF(AL$1="","",'Total Value'!AL22/'Total Value'!AK22-1)</f>
        <v>-1.2018411183088995E-2</v>
      </c>
      <c r="AM10" s="14">
        <f ca="1">IF(AM$1="","",'Total Value'!AM22/'Total Value'!AL22-1)</f>
        <v>3.1835044431024029E-2</v>
      </c>
      <c r="AN10" s="14">
        <f ca="1">IF(AN$1="","",'Total Value'!AN22/'Total Value'!AM22-1)</f>
        <v>4.1806020066890159E-3</v>
      </c>
      <c r="AO10" s="14">
        <f ca="1">IF(AO$1="","",'Total Value'!AO22/'Total Value'!AN22-1)</f>
        <v>-6.9941715237300528E-3</v>
      </c>
      <c r="AP10" s="14">
        <f ca="1">IF(AP$1="","",'Total Value'!AP22/'Total Value'!AO22-1)</f>
        <v>-5.7689082676505299E-2</v>
      </c>
      <c r="AQ10" s="14">
        <f ca="1">IF(AQ$1="","",'Total Value'!AQ22/'Total Value'!AP22-1)</f>
        <v>-2.2156967431927299E-2</v>
      </c>
      <c r="AR10" s="14">
        <f ca="1">IF(AR$1="","",'Total Value'!AR22/'Total Value'!AQ22-1)</f>
        <v>4.4954044954044869E-2</v>
      </c>
      <c r="AS10" s="14">
        <f ca="1">IF(AS$1="","",'Total Value'!AS22/'Total Value'!AR22-1)</f>
        <v>-7.1409910302184798E-3</v>
      </c>
      <c r="AT10" s="14">
        <f ca="1">IF(AT$1="","",'Total Value'!AT22/'Total Value'!AS22-1)</f>
        <v>-2.9909657047627602E-2</v>
      </c>
      <c r="AU10" s="14">
        <f ca="1">IF(AU$1="","",'Total Value'!AU22/'Total Value'!AT22-1)</f>
        <v>-1.7269439421338073E-2</v>
      </c>
      <c r="AV10" s="14">
        <f ca="1">IF(AV$1="","",'Total Value'!AV22/'Total Value'!AU22-1)</f>
        <v>2.2725181709448927E-2</v>
      </c>
      <c r="AW10" s="14">
        <f ca="1">IF(AW$1="","",'Total Value'!AW22/'Total Value'!AV22-1)</f>
        <v>1.6552716804606016E-2</v>
      </c>
      <c r="AX10" s="14">
        <f ca="1">IF(AX$1="","",'Total Value'!AX22/'Total Value'!AW22-1)</f>
        <v>6.9026548672566079E-3</v>
      </c>
      <c r="AY10" s="14">
        <f ca="1">IF(AY$1="","",'Total Value'!AY22/'Total Value'!AX22-1)</f>
        <v>1.3447002988222989E-2</v>
      </c>
      <c r="AZ10" s="14">
        <f ca="1">IF(AZ$1="","",'Total Value'!AZ22/'Total Value'!AY22-1)</f>
        <v>-8.6722747376644094E-4</v>
      </c>
      <c r="BA10" s="14">
        <f ca="1">IF(BA$1="","",'Total Value'!BA22/'Total Value'!AZ22-1)</f>
        <v>1.3800885339814384E-2</v>
      </c>
      <c r="BB10" s="14">
        <f ca="1">IF(BB$1="","",'Total Value'!BB22/'Total Value'!BA22-1)</f>
        <v>-4.109589041095929E-3</v>
      </c>
      <c r="BC10" s="14">
        <f ca="1">IF(BC$1="","",'Total Value'!BC22/'Total Value'!BB22-1)</f>
        <v>9.0268225584595463E-3</v>
      </c>
      <c r="BD10" s="14">
        <f ca="1">IF(BD$1="","",'Total Value'!BD22/'Total Value'!BC22-1)</f>
        <v>8.520064752492118E-3</v>
      </c>
      <c r="BE10" s="14">
        <f ca="1">IF(BE$1="","",'Total Value'!BE22/'Total Value'!BD22-1)</f>
        <v>3.2947537382783665E-3</v>
      </c>
      <c r="BF10" s="14">
        <f ca="1">IF(BF$1="","",'Total Value'!BF22/'Total Value'!BE22-1)</f>
        <v>3.9575614685078975E-3</v>
      </c>
      <c r="BG10" s="14">
        <f ca="1">IF(BG$1="","",'Total Value'!BG22/'Total Value'!BF22-1)</f>
        <v>-2.5496938689927084E-2</v>
      </c>
      <c r="BH10" s="14">
        <f ca="1">IF(BH$1="","",'Total Value'!BH22/'Total Value'!BG22-1)</f>
        <v>-1.9967294947930037E-2</v>
      </c>
      <c r="BI10" s="14">
        <f ca="1">IF(BI$1="","",'Total Value'!BI22/'Total Value'!BH22-1)</f>
        <v>2.9858610696407162E-3</v>
      </c>
      <c r="BJ10" s="14">
        <f ca="1">IF(BJ$1="","",'Total Value'!BJ22/'Total Value'!BI22-1)</f>
        <v>1.4271955170300554E-2</v>
      </c>
      <c r="BK10" s="14">
        <f ca="1">IF(BK$1="","",'Total Value'!BK22/'Total Value'!BJ22-1)</f>
        <v>-2.6761049723756924E-3</v>
      </c>
      <c r="BL10" s="14">
        <f ca="1">IF(BL$1="","",'Total Value'!BL22/'Total Value'!BK22-1)</f>
        <v>-3.9124037046654458E-2</v>
      </c>
      <c r="BM10" s="14">
        <f ca="1">IF(BM$1="","",'Total Value'!BM22/'Total Value'!BL22-1)</f>
        <v>2.1619673903250369E-3</v>
      </c>
      <c r="BN10" s="14">
        <f ca="1">IF(BN$1="","",'Total Value'!BN22/'Total Value'!BM22-1)</f>
        <v>-1.7977528089887507E-3</v>
      </c>
      <c r="BO10" s="14">
        <f ca="1">IF(BO$1="","",'Total Value'!BO22/'Total Value'!BN22-1)</f>
        <v>5.4029716343984013E-4</v>
      </c>
      <c r="BP10" s="14">
        <f ca="1">IF(BP$1="","",'Total Value'!BP22/'Total Value'!BO22-1)</f>
        <v>6.120061200612037E-3</v>
      </c>
      <c r="BQ10" s="14">
        <f ca="1">IF(BQ$1="","",'Total Value'!BQ22/'Total Value'!BP22-1)</f>
        <v>2.2005546113248009E-2</v>
      </c>
      <c r="BR10" s="14">
        <f ca="1">IF(BR$1="","",'Total Value'!BR22/'Total Value'!BQ22-1)</f>
        <v>-4.5514223194748071E-3</v>
      </c>
      <c r="BS10" s="14">
        <f ca="1">IF(BS$1="","",'Total Value'!BS22/'Total Value'!BR22-1)</f>
        <v>-3.7457135320495993E-2</v>
      </c>
      <c r="BT10" s="14">
        <f ca="1">IF(BT$1="","",'Total Value'!BT22/'Total Value'!BS22-1)</f>
        <v>2.0096830181784986E-2</v>
      </c>
      <c r="BU10" s="14">
        <f ca="1">IF(BU$1="","",'Total Value'!BU22/'Total Value'!BT22-1)</f>
        <v>-4.2088295871764991E-3</v>
      </c>
      <c r="BV10" s="14">
        <f ca="1">IF(BV$1="","",'Total Value'!BV22/'Total Value'!BU22-1)</f>
        <v>-7.9136690647483299E-3</v>
      </c>
      <c r="BW10" s="14">
        <f ca="1">IF(BW$1="","",'Total Value'!BW22/'Total Value'!BV22-1)</f>
        <v>-1.9398114575779335E-2</v>
      </c>
      <c r="BX10" s="14">
        <f ca="1">IF(BX$1="","",'Total Value'!BX22/'Total Value'!BW22-1)</f>
        <v>1.839526714734685E-2</v>
      </c>
      <c r="BY10" s="14">
        <f ca="1">IF(BY$1="","",'Total Value'!BY22/'Total Value'!BX22-1)</f>
        <v>-2.8501406916583427E-2</v>
      </c>
      <c r="BZ10" s="14">
        <f ca="1">IF(BZ$1="","",'Total Value'!BZ22/'Total Value'!BY22-1)</f>
        <v>8.5022890778285731E-3</v>
      </c>
      <c r="CA10" s="14">
        <f ca="1">IF(CA$1="","",'Total Value'!CA22/'Total Value'!BZ22-1)</f>
        <v>2.7237354085603016E-2</v>
      </c>
      <c r="CB10" s="14">
        <f ca="1">IF(CB$1="","",'Total Value'!CB22/'Total Value'!CA22-1)</f>
        <v>-2.5613275613275421E-2</v>
      </c>
      <c r="CC10" s="14">
        <f ca="1">IF(CC$1="","",'Total Value'!CC22/'Total Value'!CB22-1)</f>
        <v>1.5734912995186701E-2</v>
      </c>
      <c r="CD10" s="14">
        <f ca="1">IF(CD$1="","",'Total Value'!CD22/'Total Value'!CC22-1)</f>
        <v>-6.7432112265353172E-3</v>
      </c>
      <c r="CE10" s="14">
        <f ca="1">IF(CE$1="","",'Total Value'!CE22/'Total Value'!CD22-1)</f>
        <v>7.7981651376146655E-3</v>
      </c>
      <c r="CF10" s="14" t="str">
        <f ca="1">IF(CF$1="","",'Total Value'!CF22/'Total Value'!CE22-1)</f>
        <v/>
      </c>
      <c r="CG10" s="14" t="str">
        <f ca="1">IF(CG$1="","",'Total Value'!CG22/'Total Value'!CF22-1)</f>
        <v/>
      </c>
      <c r="CH10" s="14" t="str">
        <f ca="1">IF(CH$1="","",'Total Value'!CH22/'Total Value'!CG22-1)</f>
        <v/>
      </c>
      <c r="CI10" s="14" t="str">
        <f ca="1">IF(CI$1="","",'Total Value'!CI22/'Total Value'!CH22-1)</f>
        <v/>
      </c>
      <c r="CJ10" s="14" t="str">
        <f ca="1">IF(CJ$1="","",'Total Value'!CJ22/'Total Value'!CI22-1)</f>
        <v/>
      </c>
      <c r="CK10" s="14" t="str">
        <f ca="1">IF(CK$1="","",'Total Value'!CK22/'Total Value'!CJ22-1)</f>
        <v/>
      </c>
      <c r="CL10" s="14" t="str">
        <f ca="1">IF(CL$1="","",'Total Value'!CL22/'Total Value'!CK22-1)</f>
        <v/>
      </c>
      <c r="CM10" s="14" t="str">
        <f ca="1">IF(CM$1="","",'Total Value'!CM22/'Total Value'!CL22-1)</f>
        <v/>
      </c>
      <c r="CN10" s="14" t="str">
        <f ca="1">IF(CN$1="","",'Total Value'!CN22/'Total Value'!CM22-1)</f>
        <v/>
      </c>
      <c r="CO10" s="14" t="str">
        <f ca="1">IF(CO$1="","",'Total Value'!CO22/'Total Value'!CN22-1)</f>
        <v/>
      </c>
      <c r="CP10" s="14" t="str">
        <f ca="1">IF(CP$1="","",'Total Value'!CP22/'Total Value'!CO22-1)</f>
        <v/>
      </c>
      <c r="CQ10" s="14" t="str">
        <f ca="1">IF(CQ$1="","",'Total Value'!CQ22/'Total Value'!CP22-1)</f>
        <v/>
      </c>
      <c r="CR10" s="14" t="str">
        <f ca="1">IF(CR$1="","",'Total Value'!CR22/'Total Value'!CQ22-1)</f>
        <v/>
      </c>
      <c r="CS10" s="14" t="str">
        <f ca="1">IF(CS$1="","",'Total Value'!CS22/'Total Value'!CR22-1)</f>
        <v/>
      </c>
      <c r="CT10" s="14" t="str">
        <f ca="1">IF(CT$1="","",'Total Value'!CT22/'Total Value'!CS22-1)</f>
        <v/>
      </c>
      <c r="CU10" s="14" t="str">
        <f ca="1">IF(CU$1="","",'Total Value'!CU22/'Total Value'!CT22-1)</f>
        <v/>
      </c>
      <c r="CV10" s="14" t="str">
        <f ca="1">IF(CV$1="","",'Total Value'!CV22/'Total Value'!CU22-1)</f>
        <v/>
      </c>
      <c r="CW10" s="14" t="str">
        <f ca="1">IF(CW$1="","",'Total Value'!CW22/'Total Value'!CV22-1)</f>
        <v/>
      </c>
      <c r="CX10" s="14" t="str">
        <f ca="1">IF(CX$1="","",'Total Value'!CX22/'Total Value'!CW22-1)</f>
        <v/>
      </c>
      <c r="CY10" s="14" t="str">
        <f ca="1">IF(CY$1="","",'Total Value'!CY22/'Total Value'!CX22-1)</f>
        <v/>
      </c>
      <c r="CZ10" s="14" t="str">
        <f ca="1">IF(CZ$1="","",'Total Value'!CZ22/'Total Value'!CY22-1)</f>
        <v/>
      </c>
      <c r="DA10" s="14" t="str">
        <f ca="1">IF(DA$1="","",'Total Value'!DA22/'Total Value'!CZ22-1)</f>
        <v/>
      </c>
      <c r="DB10" s="14" t="str">
        <f ca="1">IF(DB$1="","",'Total Value'!DB22/'Total Value'!DA22-1)</f>
        <v/>
      </c>
      <c r="DC10" s="14" t="str">
        <f ca="1">IF(DC$1="","",'Total Value'!DC22/'Total Value'!DB22-1)</f>
        <v/>
      </c>
      <c r="DD10" s="14" t="str">
        <f ca="1">IF(DD$1="","",'Total Value'!DD22/'Total Value'!DC22-1)</f>
        <v/>
      </c>
      <c r="DE10" s="14" t="str">
        <f ca="1">IF(DE$1="","",'Total Value'!DE22/'Total Value'!DD22-1)</f>
        <v/>
      </c>
      <c r="DF10" s="14" t="str">
        <f ca="1">IF(DF$1="","",'Total Value'!DF22/'Total Value'!DE22-1)</f>
        <v/>
      </c>
      <c r="DG10" s="14" t="str">
        <f ca="1">IF(DG$1="","",'Total Value'!DG22/'Total Value'!DF22-1)</f>
        <v/>
      </c>
      <c r="DH10" s="14" t="str">
        <f ca="1">IF(DH$1="","",'Total Value'!DH22/'Total Value'!DG22-1)</f>
        <v/>
      </c>
      <c r="DI10" s="14" t="str">
        <f ca="1">IF(DI$1="","",'Total Value'!DI22/'Total Value'!DH22-1)</f>
        <v/>
      </c>
      <c r="DJ10" s="14" t="str">
        <f ca="1">IF(DJ$1="","",'Total Value'!DJ22/'Total Value'!DI22-1)</f>
        <v/>
      </c>
      <c r="DK10" s="14" t="str">
        <f ca="1">IF(DK$1="","",'Total Value'!DK22/'Total Value'!DJ22-1)</f>
        <v/>
      </c>
      <c r="DL10" s="14" t="str">
        <f ca="1">IF(DL$1="","",'Total Value'!DL22/'Total Value'!DK22-1)</f>
        <v/>
      </c>
      <c r="DM10" s="14" t="str">
        <f ca="1">IF(DM$1="","",'Total Value'!DM22/'Total Value'!DL22-1)</f>
        <v/>
      </c>
      <c r="DN10" s="14" t="str">
        <f ca="1">IF(DN$1="","",'Total Value'!DN22/'Total Value'!DM22-1)</f>
        <v/>
      </c>
      <c r="DO10" s="14" t="str">
        <f ca="1">IF(DO$1="","",'Total Value'!DO22/'Total Value'!DN22-1)</f>
        <v/>
      </c>
      <c r="DP10" s="14" t="str">
        <f ca="1">IF(DP$1="","",'Total Value'!DP22/'Total Value'!DO22-1)</f>
        <v/>
      </c>
      <c r="DQ10" s="14" t="str">
        <f ca="1">IF(DQ$1="","",'Total Value'!DQ22/'Total Value'!DP22-1)</f>
        <v/>
      </c>
      <c r="DR10" s="14" t="str">
        <f ca="1">IF(DR$1="","",'Total Value'!DR22/'Total Value'!DQ22-1)</f>
        <v/>
      </c>
      <c r="DS10" s="14" t="str">
        <f ca="1">IF(DS$1="","",'Total Value'!DS22/'Total Value'!DR22-1)</f>
        <v/>
      </c>
      <c r="DT10" s="14" t="str">
        <f ca="1">IF(DT$1="","",'Total Value'!DT22/'Total Value'!DS22-1)</f>
        <v/>
      </c>
      <c r="DU10" s="14" t="str">
        <f ca="1">IF(DU$1="","",'Total Value'!DU22/'Total Value'!DT22-1)</f>
        <v/>
      </c>
      <c r="DV10" s="14" t="str">
        <f ca="1">IF(DV$1="","",'Total Value'!DV22/'Total Value'!DU22-1)</f>
        <v/>
      </c>
      <c r="DW10" s="14" t="str">
        <f ca="1">IF(DW$1="","",'Total Value'!DW22/'Total Value'!DV22-1)</f>
        <v/>
      </c>
      <c r="DX10" s="14" t="str">
        <f ca="1">IF(DX$1="","",'Total Value'!DX22/'Total Value'!DW22-1)</f>
        <v/>
      </c>
      <c r="DY10" s="14" t="str">
        <f ca="1">IF(DY$1="","",'Total Value'!DY22/'Total Value'!DX22-1)</f>
        <v/>
      </c>
      <c r="DZ10" s="14" t="str">
        <f ca="1">IF(DZ$1="","",'Total Value'!DZ22/'Total Value'!DY22-1)</f>
        <v/>
      </c>
      <c r="EA10" s="14" t="str">
        <f ca="1">IF(EA$1="","",'Total Value'!EA22/'Total Value'!DZ22-1)</f>
        <v/>
      </c>
      <c r="EB10" s="14" t="str">
        <f ca="1">IF(EB$1="","",'Total Value'!EB22/'Total Value'!EA22-1)</f>
        <v/>
      </c>
      <c r="EC10" s="14" t="str">
        <f ca="1">IF(EC$1="","",'Total Value'!EC22/'Total Value'!EB22-1)</f>
        <v/>
      </c>
      <c r="ED10" s="14" t="str">
        <f ca="1">IF(ED$1="","",'Total Value'!ED22/'Total Value'!EC22-1)</f>
        <v/>
      </c>
      <c r="EE10" s="14" t="str">
        <f ca="1">IF(EE$1="","",'Total Value'!EE22/'Total Value'!ED22-1)</f>
        <v/>
      </c>
      <c r="EF10" s="14" t="str">
        <f ca="1">IF(EF$1="","",'Total Value'!EF22/'Total Value'!EE22-1)</f>
        <v/>
      </c>
      <c r="EG10" s="14" t="str">
        <f ca="1">IF(EG$1="","",'Total Value'!EG22/'Total Value'!EF22-1)</f>
        <v/>
      </c>
      <c r="EH10" s="14" t="str">
        <f ca="1">IF(EH$1="","",'Total Value'!EH22/'Total Value'!EG22-1)</f>
        <v/>
      </c>
      <c r="EI10" s="14" t="str">
        <f ca="1">IF(EI$1="","",'Total Value'!EI22/'Total Value'!EH22-1)</f>
        <v/>
      </c>
      <c r="EJ10" s="14" t="str">
        <f ca="1">IF(EJ$1="","",'Total Value'!EJ22/'Total Value'!EI22-1)</f>
        <v/>
      </c>
      <c r="EK10" s="14" t="str">
        <f ca="1">IF(EK$1="","",'Total Value'!EK22/'Total Value'!EJ22-1)</f>
        <v/>
      </c>
      <c r="EL10" s="14" t="str">
        <f ca="1">IF(EL$1="","",'Total Value'!EL22/'Total Value'!EK22-1)</f>
        <v/>
      </c>
      <c r="EM10" s="14" t="str">
        <f ca="1">IF(EM$1="","",'Total Value'!EM22/'Total Value'!EL22-1)</f>
        <v/>
      </c>
      <c r="EN10" s="14" t="str">
        <f ca="1">IF(EN$1="","",'Total Value'!EN22/'Total Value'!EM22-1)</f>
        <v/>
      </c>
      <c r="EO10" s="14" t="str">
        <f ca="1">IF(EO$1="","",'Total Value'!EO22/'Total Value'!EN22-1)</f>
        <v/>
      </c>
      <c r="EP10" s="14" t="str">
        <f ca="1">IF(EP$1="","",'Total Value'!EP22/'Total Value'!EO22-1)</f>
        <v/>
      </c>
      <c r="EQ10" s="14" t="str">
        <f ca="1">IF(EQ$1="","",'Total Value'!EQ22/'Total Value'!EP22-1)</f>
        <v/>
      </c>
      <c r="ER10" s="14" t="str">
        <f ca="1">IF(ER$1="","",'Total Value'!ER22/'Total Value'!EQ22-1)</f>
        <v/>
      </c>
      <c r="ES10" s="14" t="str">
        <f ca="1">IF(ES$1="","",'Total Value'!ES22/'Total Value'!ER22-1)</f>
        <v/>
      </c>
      <c r="ET10" s="14" t="str">
        <f ca="1">IF(ET$1="","",'Total Value'!ET22/'Total Value'!ES22-1)</f>
        <v/>
      </c>
      <c r="EU10" s="14" t="str">
        <f ca="1">IF(EU$1="","",'Total Value'!EU22/'Total Value'!ET22-1)</f>
        <v/>
      </c>
      <c r="EV10" s="14" t="str">
        <f ca="1">IF(EV$1="","",'Total Value'!EV22/'Total Value'!EU22-1)</f>
        <v/>
      </c>
      <c r="EW10" s="14" t="str">
        <f ca="1">IF(EW$1="","",'Total Value'!EW22/'Total Value'!EV22-1)</f>
        <v/>
      </c>
      <c r="EX10" s="14" t="str">
        <f ca="1">IF(EX$1="","",'Total Value'!EX22/'Total Value'!EW22-1)</f>
        <v/>
      </c>
      <c r="EY10" s="14" t="str">
        <f ca="1">IF(EY$1="","",'Total Value'!EY22/'Total Value'!EX22-1)</f>
        <v/>
      </c>
      <c r="EZ10" s="14" t="str">
        <f ca="1">IF(EZ$1="","",'Total Value'!EZ22/'Total Value'!EY22-1)</f>
        <v/>
      </c>
      <c r="FA10" s="14" t="str">
        <f ca="1">IF(FA$1="","",'Total Value'!FA22/'Total Value'!EZ22-1)</f>
        <v/>
      </c>
      <c r="FB10" s="14" t="str">
        <f ca="1">IF(FB$1="","",'Total Value'!FB22/'Total Value'!FA22-1)</f>
        <v/>
      </c>
      <c r="FC10" s="14" t="str">
        <f ca="1">IF(FC$1="","",'Total Value'!FC22/'Total Value'!FB22-1)</f>
        <v/>
      </c>
      <c r="FD10" s="14" t="str">
        <f ca="1">IF(FD$1="","",'Total Value'!FD22/'Total Value'!FC22-1)</f>
        <v/>
      </c>
      <c r="FE10" s="14" t="str">
        <f ca="1">IF(FE$1="","",'Total Value'!FE22/'Total Value'!FD22-1)</f>
        <v/>
      </c>
      <c r="FF10" s="14" t="str">
        <f ca="1">IF(FF$1="","",'Total Value'!FF22/'Total Value'!FE22-1)</f>
        <v/>
      </c>
      <c r="FG10" s="14" t="str">
        <f ca="1">IF(FG$1="","",'Total Value'!FG22/'Total Value'!FF22-1)</f>
        <v/>
      </c>
      <c r="FH10" s="14" t="str">
        <f ca="1">IF(FH$1="","",'Total Value'!FH22/'Total Value'!FG22-1)</f>
        <v/>
      </c>
      <c r="FI10" s="14" t="str">
        <f ca="1">IF(FI$1="","",'Total Value'!FI22/'Total Value'!FH22-1)</f>
        <v/>
      </c>
      <c r="FJ10" s="14" t="str">
        <f ca="1">IF(FJ$1="","",'Total Value'!FJ22/'Total Value'!FI22-1)</f>
        <v/>
      </c>
      <c r="FK10" s="14" t="str">
        <f ca="1">IF(FK$1="","",'Total Value'!FK22/'Total Value'!FJ22-1)</f>
        <v/>
      </c>
      <c r="FL10" s="14" t="str">
        <f ca="1">IF(FL$1="","",'Total Value'!FL22/'Total Value'!FK22-1)</f>
        <v/>
      </c>
      <c r="FM10" s="14" t="str">
        <f ca="1">IF(FM$1="","",'Total Value'!FM22/'Total Value'!FL22-1)</f>
        <v/>
      </c>
      <c r="FN10" s="14" t="str">
        <f ca="1">IF(FN$1="","",'Total Value'!FN22/'Total Value'!FM22-1)</f>
        <v/>
      </c>
      <c r="FO10" s="14" t="str">
        <f ca="1">IF(FO$1="","",'Total Value'!FO22/'Total Value'!FN22-1)</f>
        <v/>
      </c>
      <c r="FP10" s="14" t="str">
        <f ca="1">IF(FP$1="","",'Total Value'!FP22/'Total Value'!FO22-1)</f>
        <v/>
      </c>
      <c r="FQ10" s="14" t="str">
        <f ca="1">IF(FQ$1="","",'Total Value'!FQ22/'Total Value'!FP22-1)</f>
        <v/>
      </c>
      <c r="FR10" s="14" t="str">
        <f ca="1">IF(FR$1="","",'Total Value'!FR22/'Total Value'!FQ22-1)</f>
        <v/>
      </c>
      <c r="FS10" s="14" t="str">
        <f ca="1">IF(FS$1="","",'Total Value'!FS22/'Total Value'!FR22-1)</f>
        <v/>
      </c>
      <c r="FT10" s="14" t="str">
        <f ca="1">IF(FT$1="","",'Total Value'!FT22/'Total Value'!FS22-1)</f>
        <v/>
      </c>
      <c r="FU10" s="14" t="str">
        <f ca="1">IF(FU$1="","",'Total Value'!FU22/'Total Value'!FT22-1)</f>
        <v/>
      </c>
      <c r="FV10" s="14" t="str">
        <f ca="1">IF(FV$1="","",'Total Value'!FV22/'Total Value'!FU22-1)</f>
        <v/>
      </c>
      <c r="FW10" s="14" t="str">
        <f ca="1">IF(FW$1="","",'Total Value'!FW22/'Total Value'!FV22-1)</f>
        <v/>
      </c>
      <c r="FX10" s="14" t="str">
        <f ca="1">IF(FX$1="","",'Total Value'!FX22/'Total Value'!FW22-1)</f>
        <v/>
      </c>
      <c r="FY10" s="14" t="str">
        <f ca="1">IF(FY$1="","",'Total Value'!FY22/'Total Value'!FX22-1)</f>
        <v/>
      </c>
      <c r="FZ10" s="14" t="str">
        <f ca="1">IF(FZ$1="","",'Total Value'!FZ22/'Total Value'!FY22-1)</f>
        <v/>
      </c>
      <c r="GA10" s="14" t="str">
        <f ca="1">IF(GA$1="","",'Total Value'!GA22/'Total Value'!FZ22-1)</f>
        <v/>
      </c>
      <c r="GB10" s="14" t="str">
        <f ca="1">IF(GB$1="","",'Total Value'!GB22/'Total Value'!GA22-1)</f>
        <v/>
      </c>
      <c r="GC10" s="14" t="str">
        <f ca="1">IF(GC$1="","",'Total Value'!GC22/'Total Value'!GB22-1)</f>
        <v/>
      </c>
      <c r="GD10" s="14" t="str">
        <f ca="1">IF(GD$1="","",'Total Value'!GD22/'Total Value'!GC22-1)</f>
        <v/>
      </c>
      <c r="GE10" s="14" t="str">
        <f ca="1">IF(GE$1="","",'Total Value'!GE22/'Total Value'!GD22-1)</f>
        <v/>
      </c>
      <c r="GF10" s="14" t="str">
        <f ca="1">IF(GF$1="","",'Total Value'!GF22/'Total Value'!GE22-1)</f>
        <v/>
      </c>
      <c r="GG10" s="14" t="str">
        <f ca="1">IF(GG$1="","",'Total Value'!GG22/'Total Value'!GF22-1)</f>
        <v/>
      </c>
      <c r="GH10" s="14" t="str">
        <f ca="1">IF(GH$1="","",'Total Value'!GH22/'Total Value'!GG22-1)</f>
        <v/>
      </c>
      <c r="GI10" s="14" t="str">
        <f ca="1">IF(GI$1="","",'Total Value'!GI22/'Total Value'!GH22-1)</f>
        <v/>
      </c>
      <c r="GJ10" s="14" t="str">
        <f ca="1">IF(GJ$1="","",'Total Value'!GJ22/'Total Value'!GI22-1)</f>
        <v/>
      </c>
      <c r="GK10" s="14" t="str">
        <f ca="1">IF(GK$1="","",'Total Value'!GK22/'Total Value'!GJ22-1)</f>
        <v/>
      </c>
      <c r="GL10" s="14" t="str">
        <f ca="1">IF(GL$1="","",'Total Value'!GL22/'Total Value'!GK22-1)</f>
        <v/>
      </c>
      <c r="GM10" s="14" t="str">
        <f ca="1">IF(GM$1="","",'Total Value'!GM22/'Total Value'!GL22-1)</f>
        <v/>
      </c>
      <c r="GN10" s="14" t="str">
        <f ca="1">IF(GN$1="","",'Total Value'!GN22/'Total Value'!GM22-1)</f>
        <v/>
      </c>
      <c r="GO10" s="14" t="str">
        <f ca="1">IF(GO$1="","",'Total Value'!GO22/'Total Value'!GN22-1)</f>
        <v/>
      </c>
      <c r="GP10" s="14" t="str">
        <f ca="1">IF(GP$1="","",'Total Value'!GP22/'Total Value'!GO22-1)</f>
        <v/>
      </c>
      <c r="GQ10" s="14" t="str">
        <f ca="1">IF(GQ$1="","",'Total Value'!GQ22/'Total Value'!GP22-1)</f>
        <v/>
      </c>
      <c r="GR10" s="14" t="str">
        <f ca="1">IF(GR$1="","",'Total Value'!GR22/'Total Value'!GQ22-1)</f>
        <v/>
      </c>
      <c r="GS10" s="14" t="str">
        <f ca="1">IF(GS$1="","",'Total Value'!GS22/'Total Value'!GR22-1)</f>
        <v/>
      </c>
      <c r="GT10" s="14" t="str">
        <f ca="1">IF(GT$1="","",'Total Value'!GT22/'Total Value'!GS22-1)</f>
        <v/>
      </c>
      <c r="GU10" s="14" t="str">
        <f ca="1">IF(GU$1="","",'Total Value'!GU22/'Total Value'!GT22-1)</f>
        <v/>
      </c>
      <c r="GV10" s="14" t="str">
        <f ca="1">IF(GV$1="","",'Total Value'!GV22/'Total Value'!GU22-1)</f>
        <v/>
      </c>
      <c r="GW10" s="14" t="str">
        <f ca="1">IF(GW$1="","",'Total Value'!GW22/'Total Value'!GV22-1)</f>
        <v/>
      </c>
      <c r="GX10" s="14" t="str">
        <f ca="1">IF(GX$1="","",'Total Value'!GX22/'Total Value'!GW22-1)</f>
        <v/>
      </c>
      <c r="GY10" s="14" t="str">
        <f ca="1">IF(GY$1="","",'Total Value'!GY22/'Total Value'!GX22-1)</f>
        <v/>
      </c>
      <c r="GZ10" s="14" t="str">
        <f ca="1">IF(GZ$1="","",'Total Value'!GZ22/'Total Value'!GY22-1)</f>
        <v/>
      </c>
      <c r="HA10" s="14" t="str">
        <f ca="1">IF(HA$1="","",'Total Value'!HA22/'Total Value'!GZ22-1)</f>
        <v/>
      </c>
      <c r="HB10" s="14" t="str">
        <f ca="1">IF(HB$1="","",'Total Value'!HB22/'Total Value'!HA22-1)</f>
        <v/>
      </c>
      <c r="HC10" s="14" t="str">
        <f ca="1">IF(HC$1="","",'Total Value'!HC22/'Total Value'!HB22-1)</f>
        <v/>
      </c>
      <c r="HD10" s="14" t="str">
        <f ca="1">IF(HD$1="","",'Total Value'!HD22/'Total Value'!HC22-1)</f>
        <v/>
      </c>
      <c r="HE10" s="14" t="str">
        <f ca="1">IF(HE$1="","",'Total Value'!HE22/'Total Value'!HD22-1)</f>
        <v/>
      </c>
      <c r="HF10" s="14" t="str">
        <f ca="1">IF(HF$1="","",'Total Value'!HF22/'Total Value'!HE22-1)</f>
        <v/>
      </c>
      <c r="HG10" s="14" t="str">
        <f ca="1">IF(HG$1="","",'Total Value'!HG22/'Total Value'!HF22-1)</f>
        <v/>
      </c>
      <c r="HH10" s="14" t="str">
        <f ca="1">IF(HH$1="","",'Total Value'!HH22/'Total Value'!HG22-1)</f>
        <v/>
      </c>
      <c r="HI10" s="14" t="str">
        <f ca="1">IF(HI$1="","",'Total Value'!HI22/'Total Value'!HH22-1)</f>
        <v/>
      </c>
      <c r="HJ10" s="14" t="str">
        <f ca="1">IF(HJ$1="","",'Total Value'!HJ22/'Total Value'!HI22-1)</f>
        <v/>
      </c>
      <c r="HK10" s="14" t="str">
        <f ca="1">IF(HK$1="","",'Total Value'!HK22/'Total Value'!HJ22-1)</f>
        <v/>
      </c>
      <c r="HL10" s="14" t="str">
        <f ca="1">IF(HL$1="","",'Total Value'!HL22/'Total Value'!HK22-1)</f>
        <v/>
      </c>
      <c r="HM10" s="14" t="str">
        <f ca="1">IF(HM$1="","",'Total Value'!HM22/'Total Value'!HL22-1)</f>
        <v/>
      </c>
      <c r="HN10" s="14" t="str">
        <f ca="1">IF(HN$1="","",'Total Value'!HN22/'Total Value'!HM22-1)</f>
        <v/>
      </c>
      <c r="HO10" s="14" t="str">
        <f ca="1">IF(HO$1="","",'Total Value'!HO22/'Total Value'!HN22-1)</f>
        <v/>
      </c>
      <c r="HP10" s="14" t="str">
        <f ca="1">IF(HP$1="","",'Total Value'!HP22/'Total Value'!HO22-1)</f>
        <v/>
      </c>
      <c r="HQ10" s="14" t="str">
        <f ca="1">IF(HQ$1="","",'Total Value'!HQ22/'Total Value'!HP22-1)</f>
        <v/>
      </c>
      <c r="HR10" s="14" t="str">
        <f ca="1">IF(HR$1="","",'Total Value'!HR22/'Total Value'!HQ22-1)</f>
        <v/>
      </c>
      <c r="HS10" s="14" t="str">
        <f ca="1">IF(HS$1="","",'Total Value'!HS22/'Total Value'!HR22-1)</f>
        <v/>
      </c>
      <c r="HT10" s="14" t="str">
        <f ca="1">IF(HT$1="","",'Total Value'!HT22/'Total Value'!HS22-1)</f>
        <v/>
      </c>
      <c r="HU10" s="14" t="str">
        <f ca="1">IF(HU$1="","",'Total Value'!HU22/'Total Value'!HT22-1)</f>
        <v/>
      </c>
      <c r="HV10" s="14" t="str">
        <f ca="1">IF(HV$1="","",'Total Value'!HV22/'Total Value'!HU22-1)</f>
        <v/>
      </c>
      <c r="HW10" s="14" t="str">
        <f ca="1">IF(HW$1="","",'Total Value'!HW22/'Total Value'!HV22-1)</f>
        <v/>
      </c>
      <c r="HX10" s="14" t="str">
        <f ca="1">IF(HX$1="","",'Total Value'!HX22/'Total Value'!HW22-1)</f>
        <v/>
      </c>
      <c r="HY10" s="14" t="str">
        <f ca="1">IF(HY$1="","",'Total Value'!HY22/'Total Value'!HX22-1)</f>
        <v/>
      </c>
      <c r="HZ10" s="14" t="str">
        <f ca="1">IF(HZ$1="","",'Total Value'!HZ22/'Total Value'!HY22-1)</f>
        <v/>
      </c>
      <c r="IA10" s="14" t="str">
        <f ca="1">IF(IA$1="","",'Total Value'!IA22/'Total Value'!HZ22-1)</f>
        <v/>
      </c>
      <c r="IB10" s="14" t="str">
        <f ca="1">IF(IB$1="","",'Total Value'!IB22/'Total Value'!IA22-1)</f>
        <v/>
      </c>
      <c r="IC10" s="14" t="str">
        <f ca="1">IF(IC$1="","",'Total Value'!IC22/'Total Value'!IB22-1)</f>
        <v/>
      </c>
      <c r="ID10" s="14" t="str">
        <f ca="1">IF(ID$1="","",'Total Value'!ID22/'Total Value'!IC22-1)</f>
        <v/>
      </c>
      <c r="IE10" s="14" t="str">
        <f ca="1">IF(IE$1="","",'Total Value'!IE22/'Total Value'!ID22-1)</f>
        <v/>
      </c>
      <c r="IF10" s="14" t="str">
        <f ca="1">IF(IF$1="","",'Total Value'!IF22/'Total Value'!IE22-1)</f>
        <v/>
      </c>
      <c r="IG10" s="14" t="str">
        <f ca="1">IF(IG$1="","",'Total Value'!IG22/'Total Value'!IF22-1)</f>
        <v/>
      </c>
      <c r="IH10" s="14" t="str">
        <f ca="1">IF(IH$1="","",'Total Value'!IH22/'Total Value'!IG22-1)</f>
        <v/>
      </c>
      <c r="II10" s="14" t="str">
        <f ca="1">IF(II$1="","",'Total Value'!II22/'Total Value'!IH22-1)</f>
        <v/>
      </c>
      <c r="IJ10" s="14" t="str">
        <f ca="1">IF(IJ$1="","",'Total Value'!IJ22/'Total Value'!II22-1)</f>
        <v/>
      </c>
      <c r="IK10" s="14" t="str">
        <f ca="1">IF(IK$1="","",'Total Value'!IK22/'Total Value'!IJ22-1)</f>
        <v/>
      </c>
      <c r="IL10" s="14" t="str">
        <f ca="1">IF(IL$1="","",'Total Value'!IL22/'Total Value'!IK22-1)</f>
        <v/>
      </c>
      <c r="IM10" s="14" t="str">
        <f ca="1">IF(IM$1="","",'Total Value'!IM22/'Total Value'!IL22-1)</f>
        <v/>
      </c>
      <c r="IN10" s="14" t="str">
        <f ca="1">IF(IN$1="","",'Total Value'!IN22/'Total Value'!IM22-1)</f>
        <v/>
      </c>
      <c r="IO10" s="14" t="str">
        <f ca="1">IF(IO$1="","",'Total Value'!IO22/'Total Value'!IN22-1)</f>
        <v/>
      </c>
      <c r="IP10" s="14" t="str">
        <f ca="1">IF(IP$1="","",'Total Value'!IP22/'Total Value'!IO22-1)</f>
        <v/>
      </c>
      <c r="IQ10" s="14" t="str">
        <f ca="1">IF(IQ$1="","",'Total Value'!IQ22/'Total Value'!IP22-1)</f>
        <v/>
      </c>
      <c r="IR10" s="14" t="str">
        <f ca="1">IF(IR$1="","",'Total Value'!IR22/'Total Value'!IQ22-1)</f>
        <v/>
      </c>
      <c r="IS10" s="14" t="str">
        <f ca="1">IF(IS$1="","",'Total Value'!IS22/'Total Value'!IR22-1)</f>
        <v/>
      </c>
      <c r="IT10" s="14" t="str">
        <f ca="1">IF(IT$1="","",'Total Value'!IT22/'Total Value'!IS22-1)</f>
        <v/>
      </c>
      <c r="IU10" s="14" t="str">
        <f ca="1">IF(IU$1="","",'Total Value'!IU22/'Total Value'!IT22-1)</f>
        <v/>
      </c>
      <c r="IV10" s="14" t="str">
        <f ca="1">IF(IV$1="","",'Total Value'!IV22/'Total Value'!IU22-1)</f>
        <v/>
      </c>
      <c r="IW10" s="14" t="str">
        <f ca="1">IF(IW$1="","",'Total Value'!IW22/'Total Value'!IV22-1)</f>
        <v/>
      </c>
      <c r="IX10" s="14" t="str">
        <f ca="1">IF(IX$1="","",'Total Value'!IX22/'Total Value'!IW22-1)</f>
        <v/>
      </c>
      <c r="IY10" s="14" t="str">
        <f ca="1">IF(IY$1="","",'Total Value'!IY22/'Total Value'!IX22-1)</f>
        <v/>
      </c>
      <c r="IZ10" s="14" t="str">
        <f ca="1">IF(IZ$1="","",'Total Value'!IZ22/'Total Value'!IY22-1)</f>
        <v/>
      </c>
      <c r="JA10" s="14" t="str">
        <f ca="1">IF(JA$1="","",'Total Value'!JA22/'Total Value'!IZ22-1)</f>
        <v/>
      </c>
      <c r="JB10" s="14" t="str">
        <f ca="1">IF(JB$1="","",'Total Value'!JB22/'Total Value'!JA22-1)</f>
        <v/>
      </c>
      <c r="JC10" s="14" t="str">
        <f ca="1">IF(JC$1="","",'Total Value'!JC22/'Total Value'!JB22-1)</f>
        <v/>
      </c>
      <c r="JD10" s="14" t="str">
        <f ca="1">IF(JD$1="","",'Total Value'!JD22/'Total Value'!JC22-1)</f>
        <v/>
      </c>
      <c r="JE10" s="14" t="str">
        <f ca="1">IF(JE$1="","",'Total Value'!JE22/'Total Value'!JD22-1)</f>
        <v/>
      </c>
      <c r="JF10" s="14" t="str">
        <f ca="1">IF(JF$1="","",'Total Value'!JF22/'Total Value'!JE22-1)</f>
        <v/>
      </c>
      <c r="JG10" s="14" t="str">
        <f ca="1">IF(JG$1="","",'Total Value'!JG22/'Total Value'!JF22-1)</f>
        <v/>
      </c>
      <c r="JH10" s="14" t="str">
        <f ca="1">IF(JH$1="","",'Total Value'!JH22/'Total Value'!JG22-1)</f>
        <v/>
      </c>
      <c r="JI10" s="14" t="str">
        <f ca="1">IF(JI$1="","",'Total Value'!JI22/'Total Value'!JH22-1)</f>
        <v/>
      </c>
      <c r="JJ10" s="14" t="str">
        <f ca="1">IF(JJ$1="","",'Total Value'!JJ22/'Total Value'!JI22-1)</f>
        <v/>
      </c>
      <c r="JK10" s="14" t="str">
        <f ca="1">IF(JK$1="","",'Total Value'!JK22/'Total Value'!JJ22-1)</f>
        <v/>
      </c>
      <c r="JL10" s="14" t="str">
        <f ca="1">IF(JL$1="","",'Total Value'!JL22/'Total Value'!JK22-1)</f>
        <v/>
      </c>
      <c r="JM10" s="14" t="str">
        <f ca="1">IF(JM$1="","",'Total Value'!JM22/'Total Value'!JL22-1)</f>
        <v/>
      </c>
      <c r="JN10" s="14" t="str">
        <f ca="1">IF(JN$1="","",'Total Value'!JN22/'Total Value'!JM22-1)</f>
        <v/>
      </c>
      <c r="JO10" s="14" t="str">
        <f ca="1">IF(JO$1="","",'Total Value'!JO22/'Total Value'!JN22-1)</f>
        <v/>
      </c>
      <c r="JP10" s="14" t="str">
        <f ca="1">IF(JP$1="","",'Total Value'!JP22/'Total Value'!JO22-1)</f>
        <v/>
      </c>
      <c r="JQ10" s="14" t="str">
        <f ca="1">IF(JQ$1="","",'Total Value'!JQ22/'Total Value'!JP22-1)</f>
        <v/>
      </c>
      <c r="JR10" s="14" t="str">
        <f ca="1">IF(JR$1="","",'Total Value'!JR22/'Total Value'!JQ22-1)</f>
        <v/>
      </c>
      <c r="JS10" s="14" t="str">
        <f ca="1">IF(JS$1="","",'Total Value'!JS22/'Total Value'!JR22-1)</f>
        <v/>
      </c>
      <c r="JT10" s="14" t="str">
        <f ca="1">IF(JT$1="","",'Total Value'!JT22/'Total Value'!JS22-1)</f>
        <v/>
      </c>
      <c r="JU10" s="14" t="str">
        <f ca="1">IF(JU$1="","",'Total Value'!JU22/'Total Value'!JT22-1)</f>
        <v/>
      </c>
      <c r="JV10" s="14" t="str">
        <f ca="1">IF(JV$1="","",'Total Value'!JV22/'Total Value'!JU22-1)</f>
        <v/>
      </c>
      <c r="JW10" s="14" t="str">
        <f ca="1">IF(JW$1="","",'Total Value'!JW22/'Total Value'!JV22-1)</f>
        <v/>
      </c>
      <c r="JX10" s="14" t="str">
        <f ca="1">IF(JX$1="","",'Total Value'!JX22/'Total Value'!JW22-1)</f>
        <v/>
      </c>
      <c r="JY10" s="14" t="str">
        <f ca="1">IF(JY$1="","",'Total Value'!JY22/'Total Value'!JX22-1)</f>
        <v/>
      </c>
      <c r="JZ10" s="14" t="str">
        <f ca="1">IF(JZ$1="","",'Total Value'!JZ22/'Total Value'!JY22-1)</f>
        <v/>
      </c>
      <c r="KA10" s="14" t="str">
        <f ca="1">IF(KA$1="","",'Total Value'!KA22/'Total Value'!JZ22-1)</f>
        <v/>
      </c>
      <c r="KB10" s="14" t="str">
        <f ca="1">IF(KB$1="","",'Total Value'!KB22/'Total Value'!KA22-1)</f>
        <v/>
      </c>
    </row>
    <row r="11" spans="1:288" ht="15.75" customHeight="1">
      <c r="A11" s="22" t="s">
        <v>30</v>
      </c>
      <c r="B11" s="6" t="s">
        <v>56</v>
      </c>
      <c r="C11" s="26">
        <v>48</v>
      </c>
      <c r="D11" s="13">
        <v>0</v>
      </c>
      <c r="E11" s="14">
        <f ca="1">IF(E$1="","",'Total Value'!E23/'Total Value'!D23-1)</f>
        <v>8.0868424887077239E-3</v>
      </c>
      <c r="F11" s="14">
        <f ca="1">IF(F$1="","",'Total Value'!F23/'Total Value'!E23-1)</f>
        <v>-3.7941750379417494E-2</v>
      </c>
      <c r="G11" s="14">
        <f ca="1">IF(G$1="","",'Total Value'!G23/'Total Value'!F23-1)</f>
        <v>-5.8293269230769273E-2</v>
      </c>
      <c r="H11" s="14">
        <f ca="1">IF(H$1="","",'Total Value'!H23/'Total Value'!G23-1)</f>
        <v>2.3931078493937719E-2</v>
      </c>
      <c r="I11" s="14">
        <f ca="1">IF(I$1="","",'Total Value'!I23/'Total Value'!H23-1)</f>
        <v>-2.5397320037395033E-2</v>
      </c>
      <c r="J11" s="14">
        <f ca="1">IF(J$1="","",'Total Value'!J23/'Total Value'!I23-1)</f>
        <v>2.2541966426858684E-2</v>
      </c>
      <c r="K11" s="14">
        <f ca="1">IF(K$1="","",'Total Value'!K23/'Total Value'!J23-1)</f>
        <v>-2.3373983739837345E-2</v>
      </c>
      <c r="L11" s="14">
        <f ca="1">IF(L$1="","",'Total Value'!L23/'Total Value'!K23-1)</f>
        <v>-2.4413671656127511E-2</v>
      </c>
      <c r="M11" s="14">
        <f ca="1">IF(M$1="","",'Total Value'!M23/'Total Value'!L23-1)</f>
        <v>5.1361995405316607E-2</v>
      </c>
      <c r="N11" s="14">
        <f ca="1">IF(N$1="","",'Total Value'!N23/'Total Value'!M23-1)</f>
        <v>-6.7738411112845287E-2</v>
      </c>
      <c r="O11" s="14">
        <f ca="1">IF(O$1="","",'Total Value'!O23/'Total Value'!N23-1)</f>
        <v>-1.2807634354595643E-2</v>
      </c>
      <c r="P11" s="14">
        <f ca="1">IF(P$1="","",'Total Value'!P23/'Total Value'!O23-1)</f>
        <v>4.6637836004408406E-3</v>
      </c>
      <c r="Q11" s="14">
        <f ca="1">IF(Q$1="","",'Total Value'!Q23/'Total Value'!P23-1)</f>
        <v>1.7893315327481396E-2</v>
      </c>
      <c r="R11" s="14">
        <f ca="1">IF(R$1="","",'Total Value'!R23/'Total Value'!Q23-1)</f>
        <v>4.2288557213930433E-2</v>
      </c>
      <c r="S11" s="14">
        <f ca="1">IF(S$1="","",'Total Value'!S23/'Total Value'!R23-1)</f>
        <v>1.0103420843277533E-2</v>
      </c>
      <c r="T11" s="14">
        <f ca="1">IF(T$1="","",'Total Value'!T23/'Total Value'!S23-1)</f>
        <v>-1.7720721430259156E-2</v>
      </c>
      <c r="U11" s="14">
        <f ca="1">IF(U$1="","",'Total Value'!U23/'Total Value'!T23-1)</f>
        <v>-1.3951250801795934E-2</v>
      </c>
      <c r="V11" s="14">
        <f ca="1">IF(V$1="","",'Total Value'!V23/'Total Value'!U23-1)</f>
        <v>1.6262806960481324E-2</v>
      </c>
      <c r="W11" s="14">
        <f ca="1">IF(W$1="","",'Total Value'!W23/'Total Value'!V23-1)</f>
        <v>4.0006401024172966E-4</v>
      </c>
      <c r="X11" s="14">
        <f ca="1">IF(X$1="","",'Total Value'!X23/'Total Value'!W23-1)</f>
        <v>4.5509077821322741E-2</v>
      </c>
      <c r="Y11" s="14">
        <f ca="1">IF(Y$1="","",'Total Value'!Y23/'Total Value'!X23-1)</f>
        <v>1.6141370869033222E-2</v>
      </c>
      <c r="Z11" s="14">
        <f ca="1">IF(Z$1="","",'Total Value'!Z23/'Total Value'!Y23-1)</f>
        <v>7.9048407739215065E-3</v>
      </c>
      <c r="AA11" s="14">
        <f ca="1">IF(AA$1="","",'Total Value'!AA23/'Total Value'!Z23-1)</f>
        <v>-2.3528533014640085E-2</v>
      </c>
      <c r="AB11" s="14">
        <f ca="1">IF(AB$1="","",'Total Value'!AB23/'Total Value'!AA23-1)</f>
        <v>3.9929625946607539E-2</v>
      </c>
      <c r="AC11" s="14">
        <f ca="1">IF(AC$1="","",'Total Value'!AC23/'Total Value'!AB23-1)</f>
        <v>5.6638470025744958E-3</v>
      </c>
      <c r="AD11" s="14">
        <f ca="1">IF(AD$1="","",'Total Value'!AD23/'Total Value'!AC23-1)</f>
        <v>-4.7469280280866055E-2</v>
      </c>
      <c r="AE11" s="14">
        <f ca="1">IF(AE$1="","",'Total Value'!AE23/'Total Value'!AD23-1)</f>
        <v>-5.7820778622437063E-2</v>
      </c>
      <c r="AF11" s="14">
        <f ca="1">IF(AF$1="","",'Total Value'!AF23/'Total Value'!AE23-1)</f>
        <v>-6.2021189894050588E-2</v>
      </c>
      <c r="AG11" s="14">
        <f ca="1">IF(AG$1="","",'Total Value'!AG23/'Total Value'!AF23-1)</f>
        <v>-6.4297506299418883E-3</v>
      </c>
      <c r="AH11" s="14">
        <f ca="1">IF(AH$1="","",'Total Value'!AH23/'Total Value'!AG23-1)</f>
        <v>-8.9287275907302011E-2</v>
      </c>
      <c r="AI11" s="14">
        <f ca="1">IF(AI$1="","",'Total Value'!AI23/'Total Value'!AH23-1)</f>
        <v>2.8327251776454565E-2</v>
      </c>
      <c r="AJ11" s="14">
        <f ca="1">IF(AJ$1="","",'Total Value'!AJ23/'Total Value'!AI23-1)</f>
        <v>-1.4940704080678158E-3</v>
      </c>
      <c r="AK11" s="14">
        <f ca="1">IF(AK$1="","",'Total Value'!AK23/'Total Value'!AJ23-1)</f>
        <v>2.8710371270924906E-2</v>
      </c>
      <c r="AL11" s="14">
        <f ca="1">IF(AL$1="","",'Total Value'!AL23/'Total Value'!AK23-1)</f>
        <v>-2.2363636363636363E-2</v>
      </c>
      <c r="AM11" s="14">
        <f ca="1">IF(AM$1="","",'Total Value'!AM23/'Total Value'!AL23-1)</f>
        <v>1.4227264273758422E-2</v>
      </c>
      <c r="AN11" s="14">
        <f ca="1">IF(AN$1="","",'Total Value'!AN23/'Total Value'!AM23-1)</f>
        <v>-5.7577702392958563E-2</v>
      </c>
      <c r="AO11" s="14">
        <f ca="1">IF(AO$1="","",'Total Value'!AO23/'Total Value'!AN23-1)</f>
        <v>-5.2242436034633744E-2</v>
      </c>
      <c r="AP11" s="14">
        <f ca="1">IF(AP$1="","",'Total Value'!AP23/'Total Value'!AO23-1)</f>
        <v>-6.1794292753027946E-2</v>
      </c>
      <c r="AQ11" s="14">
        <f ca="1">IF(AQ$1="","",'Total Value'!AQ23/'Total Value'!AP23-1)</f>
        <v>4.5951859956234742E-3</v>
      </c>
      <c r="AR11" s="14">
        <f ca="1">IF(AR$1="","",'Total Value'!AR23/'Total Value'!AQ23-1)</f>
        <v>2.842517969941194E-2</v>
      </c>
      <c r="AS11" s="14">
        <f ca="1">IF(AS$1="","",'Total Value'!AS23/'Total Value'!AR23-1)</f>
        <v>-3.1981361855342616E-2</v>
      </c>
      <c r="AT11" s="14">
        <f ca="1">IF(AT$1="","",'Total Value'!AT23/'Total Value'!AS23-1)</f>
        <v>-4.4087080188163319E-2</v>
      </c>
      <c r="AU11" s="14">
        <f ca="1">IF(AU$1="","",'Total Value'!AU23/'Total Value'!AT23-1)</f>
        <v>-4.8752574959945005E-2</v>
      </c>
      <c r="AV11" s="14">
        <f ca="1">IF(AV$1="","",'Total Value'!AV23/'Total Value'!AU23-1)</f>
        <v>2.2978825794032653E-2</v>
      </c>
      <c r="AW11" s="14">
        <f ca="1">IF(AW$1="","",'Total Value'!AW23/'Total Value'!AV23-1)</f>
        <v>9.6789368458191305E-2</v>
      </c>
      <c r="AX11" s="14">
        <f ca="1">IF(AX$1="","",'Total Value'!AX23/'Total Value'!AW23-1)</f>
        <v>3.6242762170276555E-2</v>
      </c>
      <c r="AY11" s="14">
        <f ca="1">IF(AY$1="","",'Total Value'!AY23/'Total Value'!AX23-1)</f>
        <v>7.5951986754966727E-2</v>
      </c>
      <c r="AZ11" s="14">
        <f ca="1">IF(AZ$1="","",'Total Value'!AZ23/'Total Value'!AY23-1)</f>
        <v>-4.0392383150605893E-3</v>
      </c>
      <c r="BA11" s="14">
        <f ca="1">IF(BA$1="","",'Total Value'!BA23/'Total Value'!AZ23-1)</f>
        <v>4.2487446890691283E-2</v>
      </c>
      <c r="BB11" s="14">
        <f ca="1">IF(BB$1="","",'Total Value'!BB23/'Total Value'!BA23-1)</f>
        <v>-4.4460911448684914E-3</v>
      </c>
      <c r="BC11" s="14">
        <f ca="1">IF(BC$1="","",'Total Value'!BC23/'Total Value'!BB23-1)</f>
        <v>2.1027167845180328E-2</v>
      </c>
      <c r="BD11" s="14">
        <f ca="1">IF(BD$1="","",'Total Value'!BD23/'Total Value'!BC23-1)</f>
        <v>-3.1164570803717817E-2</v>
      </c>
      <c r="BE11" s="14">
        <f ca="1">IF(BE$1="","",'Total Value'!BE23/'Total Value'!BD23-1)</f>
        <v>6.0195635816404636E-3</v>
      </c>
      <c r="BF11" s="14">
        <f ca="1">IF(BF$1="","",'Total Value'!BF23/'Total Value'!BE23-1)</f>
        <v>4.8148840688107652E-2</v>
      </c>
      <c r="BG11" s="14">
        <f ca="1">IF(BG$1="","",'Total Value'!BG23/'Total Value'!BF23-1)</f>
        <v>-1.311212202301304E-2</v>
      </c>
      <c r="BH11" s="14">
        <f ca="1">IF(BH$1="","",'Total Value'!BH23/'Total Value'!BG23-1)</f>
        <v>-2.1691973969630851E-3</v>
      </c>
      <c r="BI11" s="14">
        <f ca="1">IF(BI$1="","",'Total Value'!BI23/'Total Value'!BH23-1)</f>
        <v>5.5253623188405543E-2</v>
      </c>
      <c r="BJ11" s="14">
        <f ca="1">IF(BJ$1="","",'Total Value'!BJ23/'Total Value'!BI23-1)</f>
        <v>1.5708154506437699E-2</v>
      </c>
      <c r="BK11" s="14">
        <f ca="1">IF(BK$1="","",'Total Value'!BK23/'Total Value'!BJ23-1)</f>
        <v>6.422716132848727E-3</v>
      </c>
      <c r="BL11" s="14">
        <f ca="1">IF(BL$1="","",'Total Value'!BL23/'Total Value'!BK23-1)</f>
        <v>-3.2748341590393748E-2</v>
      </c>
      <c r="BM11" s="14">
        <f ca="1">IF(BM$1="","",'Total Value'!BM23/'Total Value'!BL23-1)</f>
        <v>-2.9169198715166211E-2</v>
      </c>
      <c r="BN11" s="14">
        <f ca="1">IF(BN$1="","",'Total Value'!BN23/'Total Value'!BM23-1)</f>
        <v>-1.6364124116963308E-2</v>
      </c>
      <c r="BO11" s="14">
        <f ca="1">IF(BO$1="","",'Total Value'!BO23/'Total Value'!BN23-1)</f>
        <v>5.2636363636363592E-2</v>
      </c>
      <c r="BP11" s="14">
        <f ca="1">IF(BP$1="","",'Total Value'!BP23/'Total Value'!BO23-1)</f>
        <v>-4.1627083513256835E-2</v>
      </c>
      <c r="BQ11" s="14">
        <f ca="1">IF(BQ$1="","",'Total Value'!BQ23/'Total Value'!BP23-1)</f>
        <v>5.1635577183022585E-2</v>
      </c>
      <c r="BR11" s="14">
        <f ca="1">IF(BR$1="","",'Total Value'!BR23/'Total Value'!BQ23-1)</f>
        <v>-2.7506426735218636E-2</v>
      </c>
      <c r="BS11" s="14">
        <f ca="1">IF(BS$1="","",'Total Value'!BS23/'Total Value'!BR23-1)</f>
        <v>-4.0532205480658945E-2</v>
      </c>
      <c r="BT11" s="14">
        <f ca="1">IF(BT$1="","",'Total Value'!BT23/'Total Value'!BS23-1)</f>
        <v>2.204059142253656E-2</v>
      </c>
      <c r="BU11" s="14">
        <f ca="1">IF(BU$1="","",'Total Value'!BU23/'Total Value'!BT23-1)</f>
        <v>-2.0217449905651885E-2</v>
      </c>
      <c r="BV11" s="14">
        <f ca="1">IF(BV$1="","",'Total Value'!BV23/'Total Value'!BU23-1)</f>
        <v>-3.7509170946441572E-2</v>
      </c>
      <c r="BW11" s="14">
        <f ca="1">IF(BW$1="","",'Total Value'!BW23/'Total Value'!BV23-1)</f>
        <v>-2.0009528346832006E-2</v>
      </c>
      <c r="BX11" s="14">
        <f ca="1">IF(BX$1="","",'Total Value'!BX23/'Total Value'!BW23-1)</f>
        <v>3.3057851239669533E-2</v>
      </c>
      <c r="BY11" s="14">
        <f ca="1">IF(BY$1="","",'Total Value'!BY23/'Total Value'!BX23-1)</f>
        <v>-5.0352941176470489E-2</v>
      </c>
      <c r="BZ11" s="14">
        <f ca="1">IF(BZ$1="","",'Total Value'!BZ23/'Total Value'!BY23-1)</f>
        <v>9.910802775014993E-5</v>
      </c>
      <c r="CA11" s="14">
        <f ca="1">IF(CA$1="","",'Total Value'!CA23/'Total Value'!BZ23-1)</f>
        <v>2.1107917946685095E-2</v>
      </c>
      <c r="CB11" s="14">
        <f ca="1">IF(CB$1="","",'Total Value'!CB23/'Total Value'!CA23-1)</f>
        <v>6.8517080745341463E-2</v>
      </c>
      <c r="CC11" s="14">
        <f ca="1">IF(CC$1="","",'Total Value'!CC23/'Total Value'!CB23-1)</f>
        <v>5.4223433242506891E-2</v>
      </c>
      <c r="CD11" s="14">
        <f ca="1">IF(CD$1="","",'Total Value'!CD23/'Total Value'!CC23-1)</f>
        <v>-1.4387869389161478E-2</v>
      </c>
      <c r="CE11" s="14">
        <f ca="1">IF(CE$1="","",'Total Value'!CE23/'Total Value'!CD23-1)</f>
        <v>6.5559440559439519E-3</v>
      </c>
      <c r="CF11" s="14" t="str">
        <f ca="1">IF(CF$1="","",'Total Value'!CF23/'Total Value'!CE23-1)</f>
        <v/>
      </c>
      <c r="CG11" s="14" t="str">
        <f ca="1">IF(CG$1="","",'Total Value'!CG23/'Total Value'!CF23-1)</f>
        <v/>
      </c>
      <c r="CH11" s="14" t="str">
        <f ca="1">IF(CH$1="","",'Total Value'!CH23/'Total Value'!CG23-1)</f>
        <v/>
      </c>
      <c r="CI11" s="14" t="str">
        <f ca="1">IF(CI$1="","",'Total Value'!CI23/'Total Value'!CH23-1)</f>
        <v/>
      </c>
      <c r="CJ11" s="14" t="str">
        <f ca="1">IF(CJ$1="","",'Total Value'!CJ23/'Total Value'!CI23-1)</f>
        <v/>
      </c>
      <c r="CK11" s="14" t="str">
        <f ca="1">IF(CK$1="","",'Total Value'!CK23/'Total Value'!CJ23-1)</f>
        <v/>
      </c>
      <c r="CL11" s="14" t="str">
        <f ca="1">IF(CL$1="","",'Total Value'!CL23/'Total Value'!CK23-1)</f>
        <v/>
      </c>
      <c r="CM11" s="14" t="str">
        <f ca="1">IF(CM$1="","",'Total Value'!CM23/'Total Value'!CL23-1)</f>
        <v/>
      </c>
      <c r="CN11" s="14" t="str">
        <f ca="1">IF(CN$1="","",'Total Value'!CN23/'Total Value'!CM23-1)</f>
        <v/>
      </c>
      <c r="CO11" s="14" t="str">
        <f ca="1">IF(CO$1="","",'Total Value'!CO23/'Total Value'!CN23-1)</f>
        <v/>
      </c>
      <c r="CP11" s="14" t="str">
        <f ca="1">IF(CP$1="","",'Total Value'!CP23/'Total Value'!CO23-1)</f>
        <v/>
      </c>
      <c r="CQ11" s="14" t="str">
        <f ca="1">IF(CQ$1="","",'Total Value'!CQ23/'Total Value'!CP23-1)</f>
        <v/>
      </c>
      <c r="CR11" s="14" t="str">
        <f ca="1">IF(CR$1="","",'Total Value'!CR23/'Total Value'!CQ23-1)</f>
        <v/>
      </c>
      <c r="CS11" s="14" t="str">
        <f ca="1">IF(CS$1="","",'Total Value'!CS23/'Total Value'!CR23-1)</f>
        <v/>
      </c>
      <c r="CT11" s="14" t="str">
        <f ca="1">IF(CT$1="","",'Total Value'!CT23/'Total Value'!CS23-1)</f>
        <v/>
      </c>
      <c r="CU11" s="14" t="str">
        <f ca="1">IF(CU$1="","",'Total Value'!CU23/'Total Value'!CT23-1)</f>
        <v/>
      </c>
      <c r="CV11" s="14" t="str">
        <f ca="1">IF(CV$1="","",'Total Value'!CV23/'Total Value'!CU23-1)</f>
        <v/>
      </c>
      <c r="CW11" s="14" t="str">
        <f ca="1">IF(CW$1="","",'Total Value'!CW23/'Total Value'!CV23-1)</f>
        <v/>
      </c>
      <c r="CX11" s="14" t="str">
        <f ca="1">IF(CX$1="","",'Total Value'!CX23/'Total Value'!CW23-1)</f>
        <v/>
      </c>
      <c r="CY11" s="14" t="str">
        <f ca="1">IF(CY$1="","",'Total Value'!CY23/'Total Value'!CX23-1)</f>
        <v/>
      </c>
      <c r="CZ11" s="14" t="str">
        <f ca="1">IF(CZ$1="","",'Total Value'!CZ23/'Total Value'!CY23-1)</f>
        <v/>
      </c>
      <c r="DA11" s="14" t="str">
        <f ca="1">IF(DA$1="","",'Total Value'!DA23/'Total Value'!CZ23-1)</f>
        <v/>
      </c>
      <c r="DB11" s="14" t="str">
        <f ca="1">IF(DB$1="","",'Total Value'!DB23/'Total Value'!DA23-1)</f>
        <v/>
      </c>
      <c r="DC11" s="14" t="str">
        <f ca="1">IF(DC$1="","",'Total Value'!DC23/'Total Value'!DB23-1)</f>
        <v/>
      </c>
      <c r="DD11" s="14" t="str">
        <f ca="1">IF(DD$1="","",'Total Value'!DD23/'Total Value'!DC23-1)</f>
        <v/>
      </c>
      <c r="DE11" s="14" t="str">
        <f ca="1">IF(DE$1="","",'Total Value'!DE23/'Total Value'!DD23-1)</f>
        <v/>
      </c>
      <c r="DF11" s="14" t="str">
        <f ca="1">IF(DF$1="","",'Total Value'!DF23/'Total Value'!DE23-1)</f>
        <v/>
      </c>
      <c r="DG11" s="14" t="str">
        <f ca="1">IF(DG$1="","",'Total Value'!DG23/'Total Value'!DF23-1)</f>
        <v/>
      </c>
      <c r="DH11" s="14" t="str">
        <f ca="1">IF(DH$1="","",'Total Value'!DH23/'Total Value'!DG23-1)</f>
        <v/>
      </c>
      <c r="DI11" s="14" t="str">
        <f ca="1">IF(DI$1="","",'Total Value'!DI23/'Total Value'!DH23-1)</f>
        <v/>
      </c>
      <c r="DJ11" s="14" t="str">
        <f ca="1">IF(DJ$1="","",'Total Value'!DJ23/'Total Value'!DI23-1)</f>
        <v/>
      </c>
      <c r="DK11" s="14" t="str">
        <f ca="1">IF(DK$1="","",'Total Value'!DK23/'Total Value'!DJ23-1)</f>
        <v/>
      </c>
      <c r="DL11" s="14" t="str">
        <f ca="1">IF(DL$1="","",'Total Value'!DL23/'Total Value'!DK23-1)</f>
        <v/>
      </c>
      <c r="DM11" s="14" t="str">
        <f ca="1">IF(DM$1="","",'Total Value'!DM23/'Total Value'!DL23-1)</f>
        <v/>
      </c>
      <c r="DN11" s="14" t="str">
        <f ca="1">IF(DN$1="","",'Total Value'!DN23/'Total Value'!DM23-1)</f>
        <v/>
      </c>
      <c r="DO11" s="14" t="str">
        <f ca="1">IF(DO$1="","",'Total Value'!DO23/'Total Value'!DN23-1)</f>
        <v/>
      </c>
      <c r="DP11" s="14" t="str">
        <f ca="1">IF(DP$1="","",'Total Value'!DP23/'Total Value'!DO23-1)</f>
        <v/>
      </c>
      <c r="DQ11" s="14" t="str">
        <f ca="1">IF(DQ$1="","",'Total Value'!DQ23/'Total Value'!DP23-1)</f>
        <v/>
      </c>
      <c r="DR11" s="14" t="str">
        <f ca="1">IF(DR$1="","",'Total Value'!DR23/'Total Value'!DQ23-1)</f>
        <v/>
      </c>
      <c r="DS11" s="14" t="str">
        <f ca="1">IF(DS$1="","",'Total Value'!DS23/'Total Value'!DR23-1)</f>
        <v/>
      </c>
      <c r="DT11" s="14" t="str">
        <f ca="1">IF(DT$1="","",'Total Value'!DT23/'Total Value'!DS23-1)</f>
        <v/>
      </c>
      <c r="DU11" s="14" t="str">
        <f ca="1">IF(DU$1="","",'Total Value'!DU23/'Total Value'!DT23-1)</f>
        <v/>
      </c>
      <c r="DV11" s="14" t="str">
        <f ca="1">IF(DV$1="","",'Total Value'!DV23/'Total Value'!DU23-1)</f>
        <v/>
      </c>
      <c r="DW11" s="14" t="str">
        <f ca="1">IF(DW$1="","",'Total Value'!DW23/'Total Value'!DV23-1)</f>
        <v/>
      </c>
      <c r="DX11" s="14" t="str">
        <f ca="1">IF(DX$1="","",'Total Value'!DX23/'Total Value'!DW23-1)</f>
        <v/>
      </c>
      <c r="DY11" s="14" t="str">
        <f ca="1">IF(DY$1="","",'Total Value'!DY23/'Total Value'!DX23-1)</f>
        <v/>
      </c>
      <c r="DZ11" s="14" t="str">
        <f ca="1">IF(DZ$1="","",'Total Value'!DZ23/'Total Value'!DY23-1)</f>
        <v/>
      </c>
      <c r="EA11" s="14" t="str">
        <f ca="1">IF(EA$1="","",'Total Value'!EA23/'Total Value'!DZ23-1)</f>
        <v/>
      </c>
      <c r="EB11" s="14" t="str">
        <f ca="1">IF(EB$1="","",'Total Value'!EB23/'Total Value'!EA23-1)</f>
        <v/>
      </c>
      <c r="EC11" s="14" t="str">
        <f ca="1">IF(EC$1="","",'Total Value'!EC23/'Total Value'!EB23-1)</f>
        <v/>
      </c>
      <c r="ED11" s="14" t="str">
        <f ca="1">IF(ED$1="","",'Total Value'!ED23/'Total Value'!EC23-1)</f>
        <v/>
      </c>
      <c r="EE11" s="14" t="str">
        <f ca="1">IF(EE$1="","",'Total Value'!EE23/'Total Value'!ED23-1)</f>
        <v/>
      </c>
      <c r="EF11" s="14" t="str">
        <f ca="1">IF(EF$1="","",'Total Value'!EF23/'Total Value'!EE23-1)</f>
        <v/>
      </c>
      <c r="EG11" s="14" t="str">
        <f ca="1">IF(EG$1="","",'Total Value'!EG23/'Total Value'!EF23-1)</f>
        <v/>
      </c>
      <c r="EH11" s="14" t="str">
        <f ca="1">IF(EH$1="","",'Total Value'!EH23/'Total Value'!EG23-1)</f>
        <v/>
      </c>
      <c r="EI11" s="14" t="str">
        <f ca="1">IF(EI$1="","",'Total Value'!EI23/'Total Value'!EH23-1)</f>
        <v/>
      </c>
      <c r="EJ11" s="14" t="str">
        <f ca="1">IF(EJ$1="","",'Total Value'!EJ23/'Total Value'!EI23-1)</f>
        <v/>
      </c>
      <c r="EK11" s="14" t="str">
        <f ca="1">IF(EK$1="","",'Total Value'!EK23/'Total Value'!EJ23-1)</f>
        <v/>
      </c>
      <c r="EL11" s="14" t="str">
        <f ca="1">IF(EL$1="","",'Total Value'!EL23/'Total Value'!EK23-1)</f>
        <v/>
      </c>
      <c r="EM11" s="14" t="str">
        <f ca="1">IF(EM$1="","",'Total Value'!EM23/'Total Value'!EL23-1)</f>
        <v/>
      </c>
      <c r="EN11" s="14" t="str">
        <f ca="1">IF(EN$1="","",'Total Value'!EN23/'Total Value'!EM23-1)</f>
        <v/>
      </c>
      <c r="EO11" s="14" t="str">
        <f ca="1">IF(EO$1="","",'Total Value'!EO23/'Total Value'!EN23-1)</f>
        <v/>
      </c>
      <c r="EP11" s="14" t="str">
        <f ca="1">IF(EP$1="","",'Total Value'!EP23/'Total Value'!EO23-1)</f>
        <v/>
      </c>
      <c r="EQ11" s="14" t="str">
        <f ca="1">IF(EQ$1="","",'Total Value'!EQ23/'Total Value'!EP23-1)</f>
        <v/>
      </c>
      <c r="ER11" s="14" t="str">
        <f ca="1">IF(ER$1="","",'Total Value'!ER23/'Total Value'!EQ23-1)</f>
        <v/>
      </c>
      <c r="ES11" s="14" t="str">
        <f ca="1">IF(ES$1="","",'Total Value'!ES23/'Total Value'!ER23-1)</f>
        <v/>
      </c>
      <c r="ET11" s="14" t="str">
        <f ca="1">IF(ET$1="","",'Total Value'!ET23/'Total Value'!ES23-1)</f>
        <v/>
      </c>
      <c r="EU11" s="14" t="str">
        <f ca="1">IF(EU$1="","",'Total Value'!EU23/'Total Value'!ET23-1)</f>
        <v/>
      </c>
      <c r="EV11" s="14" t="str">
        <f ca="1">IF(EV$1="","",'Total Value'!EV23/'Total Value'!EU23-1)</f>
        <v/>
      </c>
      <c r="EW11" s="14" t="str">
        <f ca="1">IF(EW$1="","",'Total Value'!EW23/'Total Value'!EV23-1)</f>
        <v/>
      </c>
      <c r="EX11" s="14" t="str">
        <f ca="1">IF(EX$1="","",'Total Value'!EX23/'Total Value'!EW23-1)</f>
        <v/>
      </c>
      <c r="EY11" s="14" t="str">
        <f ca="1">IF(EY$1="","",'Total Value'!EY23/'Total Value'!EX23-1)</f>
        <v/>
      </c>
      <c r="EZ11" s="14" t="str">
        <f ca="1">IF(EZ$1="","",'Total Value'!EZ23/'Total Value'!EY23-1)</f>
        <v/>
      </c>
      <c r="FA11" s="14" t="str">
        <f ca="1">IF(FA$1="","",'Total Value'!FA23/'Total Value'!EZ23-1)</f>
        <v/>
      </c>
      <c r="FB11" s="14" t="str">
        <f ca="1">IF(FB$1="","",'Total Value'!FB23/'Total Value'!FA23-1)</f>
        <v/>
      </c>
      <c r="FC11" s="14" t="str">
        <f ca="1">IF(FC$1="","",'Total Value'!FC23/'Total Value'!FB23-1)</f>
        <v/>
      </c>
      <c r="FD11" s="14" t="str">
        <f ca="1">IF(FD$1="","",'Total Value'!FD23/'Total Value'!FC23-1)</f>
        <v/>
      </c>
      <c r="FE11" s="14" t="str">
        <f ca="1">IF(FE$1="","",'Total Value'!FE23/'Total Value'!FD23-1)</f>
        <v/>
      </c>
      <c r="FF11" s="14" t="str">
        <f ca="1">IF(FF$1="","",'Total Value'!FF23/'Total Value'!FE23-1)</f>
        <v/>
      </c>
      <c r="FG11" s="14" t="str">
        <f ca="1">IF(FG$1="","",'Total Value'!FG23/'Total Value'!FF23-1)</f>
        <v/>
      </c>
      <c r="FH11" s="14" t="str">
        <f ca="1">IF(FH$1="","",'Total Value'!FH23/'Total Value'!FG23-1)</f>
        <v/>
      </c>
      <c r="FI11" s="14" t="str">
        <f ca="1">IF(FI$1="","",'Total Value'!FI23/'Total Value'!FH23-1)</f>
        <v/>
      </c>
      <c r="FJ11" s="14" t="str">
        <f ca="1">IF(FJ$1="","",'Total Value'!FJ23/'Total Value'!FI23-1)</f>
        <v/>
      </c>
      <c r="FK11" s="14" t="str">
        <f ca="1">IF(FK$1="","",'Total Value'!FK23/'Total Value'!FJ23-1)</f>
        <v/>
      </c>
      <c r="FL11" s="14" t="str">
        <f ca="1">IF(FL$1="","",'Total Value'!FL23/'Total Value'!FK23-1)</f>
        <v/>
      </c>
      <c r="FM11" s="14" t="str">
        <f ca="1">IF(FM$1="","",'Total Value'!FM23/'Total Value'!FL23-1)</f>
        <v/>
      </c>
      <c r="FN11" s="14" t="str">
        <f ca="1">IF(FN$1="","",'Total Value'!FN23/'Total Value'!FM23-1)</f>
        <v/>
      </c>
      <c r="FO11" s="14" t="str">
        <f ca="1">IF(FO$1="","",'Total Value'!FO23/'Total Value'!FN23-1)</f>
        <v/>
      </c>
      <c r="FP11" s="14" t="str">
        <f ca="1">IF(FP$1="","",'Total Value'!FP23/'Total Value'!FO23-1)</f>
        <v/>
      </c>
      <c r="FQ11" s="14" t="str">
        <f ca="1">IF(FQ$1="","",'Total Value'!FQ23/'Total Value'!FP23-1)</f>
        <v/>
      </c>
      <c r="FR11" s="14" t="str">
        <f ca="1">IF(FR$1="","",'Total Value'!FR23/'Total Value'!FQ23-1)</f>
        <v/>
      </c>
      <c r="FS11" s="14" t="str">
        <f ca="1">IF(FS$1="","",'Total Value'!FS23/'Total Value'!FR23-1)</f>
        <v/>
      </c>
      <c r="FT11" s="14" t="str">
        <f ca="1">IF(FT$1="","",'Total Value'!FT23/'Total Value'!FS23-1)</f>
        <v/>
      </c>
      <c r="FU11" s="14" t="str">
        <f ca="1">IF(FU$1="","",'Total Value'!FU23/'Total Value'!FT23-1)</f>
        <v/>
      </c>
      <c r="FV11" s="14" t="str">
        <f ca="1">IF(FV$1="","",'Total Value'!FV23/'Total Value'!FU23-1)</f>
        <v/>
      </c>
      <c r="FW11" s="14" t="str">
        <f ca="1">IF(FW$1="","",'Total Value'!FW23/'Total Value'!FV23-1)</f>
        <v/>
      </c>
      <c r="FX11" s="14" t="str">
        <f ca="1">IF(FX$1="","",'Total Value'!FX23/'Total Value'!FW23-1)</f>
        <v/>
      </c>
      <c r="FY11" s="14" t="str">
        <f ca="1">IF(FY$1="","",'Total Value'!FY23/'Total Value'!FX23-1)</f>
        <v/>
      </c>
      <c r="FZ11" s="14" t="str">
        <f ca="1">IF(FZ$1="","",'Total Value'!FZ23/'Total Value'!FY23-1)</f>
        <v/>
      </c>
      <c r="GA11" s="14" t="str">
        <f ca="1">IF(GA$1="","",'Total Value'!GA23/'Total Value'!FZ23-1)</f>
        <v/>
      </c>
      <c r="GB11" s="14" t="str">
        <f ca="1">IF(GB$1="","",'Total Value'!GB23/'Total Value'!GA23-1)</f>
        <v/>
      </c>
      <c r="GC11" s="14" t="str">
        <f ca="1">IF(GC$1="","",'Total Value'!GC23/'Total Value'!GB23-1)</f>
        <v/>
      </c>
      <c r="GD11" s="14" t="str">
        <f ca="1">IF(GD$1="","",'Total Value'!GD23/'Total Value'!GC23-1)</f>
        <v/>
      </c>
      <c r="GE11" s="14" t="str">
        <f ca="1">IF(GE$1="","",'Total Value'!GE23/'Total Value'!GD23-1)</f>
        <v/>
      </c>
      <c r="GF11" s="14" t="str">
        <f ca="1">IF(GF$1="","",'Total Value'!GF23/'Total Value'!GE23-1)</f>
        <v/>
      </c>
      <c r="GG11" s="14" t="str">
        <f ca="1">IF(GG$1="","",'Total Value'!GG23/'Total Value'!GF23-1)</f>
        <v/>
      </c>
      <c r="GH11" s="14" t="str">
        <f ca="1">IF(GH$1="","",'Total Value'!GH23/'Total Value'!GG23-1)</f>
        <v/>
      </c>
      <c r="GI11" s="14" t="str">
        <f ca="1">IF(GI$1="","",'Total Value'!GI23/'Total Value'!GH23-1)</f>
        <v/>
      </c>
      <c r="GJ11" s="14" t="str">
        <f ca="1">IF(GJ$1="","",'Total Value'!GJ23/'Total Value'!GI23-1)</f>
        <v/>
      </c>
      <c r="GK11" s="14" t="str">
        <f ca="1">IF(GK$1="","",'Total Value'!GK23/'Total Value'!GJ23-1)</f>
        <v/>
      </c>
      <c r="GL11" s="14" t="str">
        <f ca="1">IF(GL$1="","",'Total Value'!GL23/'Total Value'!GK23-1)</f>
        <v/>
      </c>
      <c r="GM11" s="14" t="str">
        <f ca="1">IF(GM$1="","",'Total Value'!GM23/'Total Value'!GL23-1)</f>
        <v/>
      </c>
      <c r="GN11" s="14" t="str">
        <f ca="1">IF(GN$1="","",'Total Value'!GN23/'Total Value'!GM23-1)</f>
        <v/>
      </c>
      <c r="GO11" s="14" t="str">
        <f ca="1">IF(GO$1="","",'Total Value'!GO23/'Total Value'!GN23-1)</f>
        <v/>
      </c>
      <c r="GP11" s="14" t="str">
        <f ca="1">IF(GP$1="","",'Total Value'!GP23/'Total Value'!GO23-1)</f>
        <v/>
      </c>
      <c r="GQ11" s="14" t="str">
        <f ca="1">IF(GQ$1="","",'Total Value'!GQ23/'Total Value'!GP23-1)</f>
        <v/>
      </c>
      <c r="GR11" s="14" t="str">
        <f ca="1">IF(GR$1="","",'Total Value'!GR23/'Total Value'!GQ23-1)</f>
        <v/>
      </c>
      <c r="GS11" s="14" t="str">
        <f ca="1">IF(GS$1="","",'Total Value'!GS23/'Total Value'!GR23-1)</f>
        <v/>
      </c>
      <c r="GT11" s="14" t="str">
        <f ca="1">IF(GT$1="","",'Total Value'!GT23/'Total Value'!GS23-1)</f>
        <v/>
      </c>
      <c r="GU11" s="14" t="str">
        <f ca="1">IF(GU$1="","",'Total Value'!GU23/'Total Value'!GT23-1)</f>
        <v/>
      </c>
      <c r="GV11" s="14" t="str">
        <f ca="1">IF(GV$1="","",'Total Value'!GV23/'Total Value'!GU23-1)</f>
        <v/>
      </c>
      <c r="GW11" s="14" t="str">
        <f ca="1">IF(GW$1="","",'Total Value'!GW23/'Total Value'!GV23-1)</f>
        <v/>
      </c>
      <c r="GX11" s="14" t="str">
        <f ca="1">IF(GX$1="","",'Total Value'!GX23/'Total Value'!GW23-1)</f>
        <v/>
      </c>
      <c r="GY11" s="14" t="str">
        <f ca="1">IF(GY$1="","",'Total Value'!GY23/'Total Value'!GX23-1)</f>
        <v/>
      </c>
      <c r="GZ11" s="14" t="str">
        <f ca="1">IF(GZ$1="","",'Total Value'!GZ23/'Total Value'!GY23-1)</f>
        <v/>
      </c>
      <c r="HA11" s="14" t="str">
        <f ca="1">IF(HA$1="","",'Total Value'!HA23/'Total Value'!GZ23-1)</f>
        <v/>
      </c>
      <c r="HB11" s="14" t="str">
        <f ca="1">IF(HB$1="","",'Total Value'!HB23/'Total Value'!HA23-1)</f>
        <v/>
      </c>
      <c r="HC11" s="14" t="str">
        <f ca="1">IF(HC$1="","",'Total Value'!HC23/'Total Value'!HB23-1)</f>
        <v/>
      </c>
      <c r="HD11" s="14" t="str">
        <f ca="1">IF(HD$1="","",'Total Value'!HD23/'Total Value'!HC23-1)</f>
        <v/>
      </c>
      <c r="HE11" s="14" t="str">
        <f ca="1">IF(HE$1="","",'Total Value'!HE23/'Total Value'!HD23-1)</f>
        <v/>
      </c>
      <c r="HF11" s="14" t="str">
        <f ca="1">IF(HF$1="","",'Total Value'!HF23/'Total Value'!HE23-1)</f>
        <v/>
      </c>
      <c r="HG11" s="14" t="str">
        <f ca="1">IF(HG$1="","",'Total Value'!HG23/'Total Value'!HF23-1)</f>
        <v/>
      </c>
      <c r="HH11" s="14" t="str">
        <f ca="1">IF(HH$1="","",'Total Value'!HH23/'Total Value'!HG23-1)</f>
        <v/>
      </c>
      <c r="HI11" s="14" t="str">
        <f ca="1">IF(HI$1="","",'Total Value'!HI23/'Total Value'!HH23-1)</f>
        <v/>
      </c>
      <c r="HJ11" s="14" t="str">
        <f ca="1">IF(HJ$1="","",'Total Value'!HJ23/'Total Value'!HI23-1)</f>
        <v/>
      </c>
      <c r="HK11" s="14" t="str">
        <f ca="1">IF(HK$1="","",'Total Value'!HK23/'Total Value'!HJ23-1)</f>
        <v/>
      </c>
      <c r="HL11" s="14" t="str">
        <f ca="1">IF(HL$1="","",'Total Value'!HL23/'Total Value'!HK23-1)</f>
        <v/>
      </c>
      <c r="HM11" s="14" t="str">
        <f ca="1">IF(HM$1="","",'Total Value'!HM23/'Total Value'!HL23-1)</f>
        <v/>
      </c>
      <c r="HN11" s="14" t="str">
        <f ca="1">IF(HN$1="","",'Total Value'!HN23/'Total Value'!HM23-1)</f>
        <v/>
      </c>
      <c r="HO11" s="14" t="str">
        <f ca="1">IF(HO$1="","",'Total Value'!HO23/'Total Value'!HN23-1)</f>
        <v/>
      </c>
      <c r="HP11" s="14" t="str">
        <f ca="1">IF(HP$1="","",'Total Value'!HP23/'Total Value'!HO23-1)</f>
        <v/>
      </c>
      <c r="HQ11" s="14" t="str">
        <f ca="1">IF(HQ$1="","",'Total Value'!HQ23/'Total Value'!HP23-1)</f>
        <v/>
      </c>
      <c r="HR11" s="14" t="str">
        <f ca="1">IF(HR$1="","",'Total Value'!HR23/'Total Value'!HQ23-1)</f>
        <v/>
      </c>
      <c r="HS11" s="14" t="str">
        <f ca="1">IF(HS$1="","",'Total Value'!HS23/'Total Value'!HR23-1)</f>
        <v/>
      </c>
      <c r="HT11" s="14" t="str">
        <f ca="1">IF(HT$1="","",'Total Value'!HT23/'Total Value'!HS23-1)</f>
        <v/>
      </c>
      <c r="HU11" s="14" t="str">
        <f ca="1">IF(HU$1="","",'Total Value'!HU23/'Total Value'!HT23-1)</f>
        <v/>
      </c>
      <c r="HV11" s="14" t="str">
        <f ca="1">IF(HV$1="","",'Total Value'!HV23/'Total Value'!HU23-1)</f>
        <v/>
      </c>
      <c r="HW11" s="14" t="str">
        <f ca="1">IF(HW$1="","",'Total Value'!HW23/'Total Value'!HV23-1)</f>
        <v/>
      </c>
      <c r="HX11" s="14" t="str">
        <f ca="1">IF(HX$1="","",'Total Value'!HX23/'Total Value'!HW23-1)</f>
        <v/>
      </c>
      <c r="HY11" s="14" t="str">
        <f ca="1">IF(HY$1="","",'Total Value'!HY23/'Total Value'!HX23-1)</f>
        <v/>
      </c>
      <c r="HZ11" s="14" t="str">
        <f ca="1">IF(HZ$1="","",'Total Value'!HZ23/'Total Value'!HY23-1)</f>
        <v/>
      </c>
      <c r="IA11" s="14" t="str">
        <f ca="1">IF(IA$1="","",'Total Value'!IA23/'Total Value'!HZ23-1)</f>
        <v/>
      </c>
      <c r="IB11" s="14" t="str">
        <f ca="1">IF(IB$1="","",'Total Value'!IB23/'Total Value'!IA23-1)</f>
        <v/>
      </c>
      <c r="IC11" s="14" t="str">
        <f ca="1">IF(IC$1="","",'Total Value'!IC23/'Total Value'!IB23-1)</f>
        <v/>
      </c>
      <c r="ID11" s="14" t="str">
        <f ca="1">IF(ID$1="","",'Total Value'!ID23/'Total Value'!IC23-1)</f>
        <v/>
      </c>
      <c r="IE11" s="14" t="str">
        <f ca="1">IF(IE$1="","",'Total Value'!IE23/'Total Value'!ID23-1)</f>
        <v/>
      </c>
      <c r="IF11" s="14" t="str">
        <f ca="1">IF(IF$1="","",'Total Value'!IF23/'Total Value'!IE23-1)</f>
        <v/>
      </c>
      <c r="IG11" s="14" t="str">
        <f ca="1">IF(IG$1="","",'Total Value'!IG23/'Total Value'!IF23-1)</f>
        <v/>
      </c>
      <c r="IH11" s="14" t="str">
        <f ca="1">IF(IH$1="","",'Total Value'!IH23/'Total Value'!IG23-1)</f>
        <v/>
      </c>
      <c r="II11" s="14" t="str">
        <f ca="1">IF(II$1="","",'Total Value'!II23/'Total Value'!IH23-1)</f>
        <v/>
      </c>
      <c r="IJ11" s="14" t="str">
        <f ca="1">IF(IJ$1="","",'Total Value'!IJ23/'Total Value'!II23-1)</f>
        <v/>
      </c>
      <c r="IK11" s="14" t="str">
        <f ca="1">IF(IK$1="","",'Total Value'!IK23/'Total Value'!IJ23-1)</f>
        <v/>
      </c>
      <c r="IL11" s="14" t="str">
        <f ca="1">IF(IL$1="","",'Total Value'!IL23/'Total Value'!IK23-1)</f>
        <v/>
      </c>
      <c r="IM11" s="14" t="str">
        <f ca="1">IF(IM$1="","",'Total Value'!IM23/'Total Value'!IL23-1)</f>
        <v/>
      </c>
      <c r="IN11" s="14" t="str">
        <f ca="1">IF(IN$1="","",'Total Value'!IN23/'Total Value'!IM23-1)</f>
        <v/>
      </c>
      <c r="IO11" s="14" t="str">
        <f ca="1">IF(IO$1="","",'Total Value'!IO23/'Total Value'!IN23-1)</f>
        <v/>
      </c>
      <c r="IP11" s="14" t="str">
        <f ca="1">IF(IP$1="","",'Total Value'!IP23/'Total Value'!IO23-1)</f>
        <v/>
      </c>
      <c r="IQ11" s="14" t="str">
        <f ca="1">IF(IQ$1="","",'Total Value'!IQ23/'Total Value'!IP23-1)</f>
        <v/>
      </c>
      <c r="IR11" s="14" t="str">
        <f ca="1">IF(IR$1="","",'Total Value'!IR23/'Total Value'!IQ23-1)</f>
        <v/>
      </c>
      <c r="IS11" s="14" t="str">
        <f ca="1">IF(IS$1="","",'Total Value'!IS23/'Total Value'!IR23-1)</f>
        <v/>
      </c>
      <c r="IT11" s="14" t="str">
        <f ca="1">IF(IT$1="","",'Total Value'!IT23/'Total Value'!IS23-1)</f>
        <v/>
      </c>
      <c r="IU11" s="14" t="str">
        <f ca="1">IF(IU$1="","",'Total Value'!IU23/'Total Value'!IT23-1)</f>
        <v/>
      </c>
      <c r="IV11" s="14" t="str">
        <f ca="1">IF(IV$1="","",'Total Value'!IV23/'Total Value'!IU23-1)</f>
        <v/>
      </c>
      <c r="IW11" s="14" t="str">
        <f ca="1">IF(IW$1="","",'Total Value'!IW23/'Total Value'!IV23-1)</f>
        <v/>
      </c>
      <c r="IX11" s="14" t="str">
        <f ca="1">IF(IX$1="","",'Total Value'!IX23/'Total Value'!IW23-1)</f>
        <v/>
      </c>
      <c r="IY11" s="14" t="str">
        <f ca="1">IF(IY$1="","",'Total Value'!IY23/'Total Value'!IX23-1)</f>
        <v/>
      </c>
      <c r="IZ11" s="14" t="str">
        <f ca="1">IF(IZ$1="","",'Total Value'!IZ23/'Total Value'!IY23-1)</f>
        <v/>
      </c>
      <c r="JA11" s="14" t="str">
        <f ca="1">IF(JA$1="","",'Total Value'!JA23/'Total Value'!IZ23-1)</f>
        <v/>
      </c>
      <c r="JB11" s="14" t="str">
        <f ca="1">IF(JB$1="","",'Total Value'!JB23/'Total Value'!JA23-1)</f>
        <v/>
      </c>
      <c r="JC11" s="14" t="str">
        <f ca="1">IF(JC$1="","",'Total Value'!JC23/'Total Value'!JB23-1)</f>
        <v/>
      </c>
      <c r="JD11" s="14" t="str">
        <f ca="1">IF(JD$1="","",'Total Value'!JD23/'Total Value'!JC23-1)</f>
        <v/>
      </c>
      <c r="JE11" s="14" t="str">
        <f ca="1">IF(JE$1="","",'Total Value'!JE23/'Total Value'!JD23-1)</f>
        <v/>
      </c>
      <c r="JF11" s="14" t="str">
        <f ca="1">IF(JF$1="","",'Total Value'!JF23/'Total Value'!JE23-1)</f>
        <v/>
      </c>
      <c r="JG11" s="14" t="str">
        <f ca="1">IF(JG$1="","",'Total Value'!JG23/'Total Value'!JF23-1)</f>
        <v/>
      </c>
      <c r="JH11" s="14" t="str">
        <f ca="1">IF(JH$1="","",'Total Value'!JH23/'Total Value'!JG23-1)</f>
        <v/>
      </c>
      <c r="JI11" s="14" t="str">
        <f ca="1">IF(JI$1="","",'Total Value'!JI23/'Total Value'!JH23-1)</f>
        <v/>
      </c>
      <c r="JJ11" s="14" t="str">
        <f ca="1">IF(JJ$1="","",'Total Value'!JJ23/'Total Value'!JI23-1)</f>
        <v/>
      </c>
      <c r="JK11" s="14" t="str">
        <f ca="1">IF(JK$1="","",'Total Value'!JK23/'Total Value'!JJ23-1)</f>
        <v/>
      </c>
      <c r="JL11" s="14" t="str">
        <f ca="1">IF(JL$1="","",'Total Value'!JL23/'Total Value'!JK23-1)</f>
        <v/>
      </c>
      <c r="JM11" s="14" t="str">
        <f ca="1">IF(JM$1="","",'Total Value'!JM23/'Total Value'!JL23-1)</f>
        <v/>
      </c>
      <c r="JN11" s="14" t="str">
        <f ca="1">IF(JN$1="","",'Total Value'!JN23/'Total Value'!JM23-1)</f>
        <v/>
      </c>
      <c r="JO11" s="14" t="str">
        <f ca="1">IF(JO$1="","",'Total Value'!JO23/'Total Value'!JN23-1)</f>
        <v/>
      </c>
      <c r="JP11" s="14" t="str">
        <f ca="1">IF(JP$1="","",'Total Value'!JP23/'Total Value'!JO23-1)</f>
        <v/>
      </c>
      <c r="JQ11" s="14" t="str">
        <f ca="1">IF(JQ$1="","",'Total Value'!JQ23/'Total Value'!JP23-1)</f>
        <v/>
      </c>
      <c r="JR11" s="14" t="str">
        <f ca="1">IF(JR$1="","",'Total Value'!JR23/'Total Value'!JQ23-1)</f>
        <v/>
      </c>
      <c r="JS11" s="14" t="str">
        <f ca="1">IF(JS$1="","",'Total Value'!JS23/'Total Value'!JR23-1)</f>
        <v/>
      </c>
      <c r="JT11" s="14" t="str">
        <f ca="1">IF(JT$1="","",'Total Value'!JT23/'Total Value'!JS23-1)</f>
        <v/>
      </c>
      <c r="JU11" s="14" t="str">
        <f ca="1">IF(JU$1="","",'Total Value'!JU23/'Total Value'!JT23-1)</f>
        <v/>
      </c>
      <c r="JV11" s="14" t="str">
        <f ca="1">IF(JV$1="","",'Total Value'!JV23/'Total Value'!JU23-1)</f>
        <v/>
      </c>
      <c r="JW11" s="14" t="str">
        <f ca="1">IF(JW$1="","",'Total Value'!JW23/'Total Value'!JV23-1)</f>
        <v/>
      </c>
      <c r="JX11" s="14" t="str">
        <f ca="1">IF(JX$1="","",'Total Value'!JX23/'Total Value'!JW23-1)</f>
        <v/>
      </c>
      <c r="JY11" s="14" t="str">
        <f ca="1">IF(JY$1="","",'Total Value'!JY23/'Total Value'!JX23-1)</f>
        <v/>
      </c>
      <c r="JZ11" s="14" t="str">
        <f ca="1">IF(JZ$1="","",'Total Value'!JZ23/'Total Value'!JY23-1)</f>
        <v/>
      </c>
      <c r="KA11" s="14" t="str">
        <f ca="1">IF(KA$1="","",'Total Value'!KA23/'Total Value'!JZ23-1)</f>
        <v/>
      </c>
      <c r="KB11" s="14" t="str">
        <f ca="1">IF(KB$1="","",'Total Value'!KB23/'Total Value'!KA23-1)</f>
        <v/>
      </c>
    </row>
    <row r="12" spans="1:288" ht="15.75" customHeight="1">
      <c r="A12" s="22" t="s">
        <v>30</v>
      </c>
      <c r="B12" s="6" t="s">
        <v>57</v>
      </c>
      <c r="C12" s="26">
        <v>197</v>
      </c>
      <c r="D12" s="13">
        <v>0</v>
      </c>
      <c r="E12" s="14">
        <f ca="1">IF(E$1="","",'Total Value'!E24/'Total Value'!D24-1)</f>
        <v>1.7059994313335158E-2</v>
      </c>
      <c r="F12" s="14">
        <f ca="1">IF(F$1="","",'Total Value'!F24/'Total Value'!E24-1)</f>
        <v>-4.7525859658932301E-3</v>
      </c>
      <c r="G12" s="14">
        <f ca="1">IF(G$1="","",'Total Value'!G24/'Total Value'!F24-1)</f>
        <v>2.8089887640450062E-3</v>
      </c>
      <c r="H12" s="14">
        <f ca="1">IF(H$1="","",'Total Value'!H24/'Total Value'!G24-1)</f>
        <v>7.8431372549017109E-3</v>
      </c>
      <c r="I12" s="14">
        <f ca="1">IF(I$1="","",'Total Value'!I24/'Total Value'!H24-1)</f>
        <v>-2.5569760978321088E-2</v>
      </c>
      <c r="J12" s="14">
        <f ca="1">IF(J$1="","",'Total Value'!J24/'Total Value'!I24-1)</f>
        <v>-1.911009697661159E-2</v>
      </c>
      <c r="K12" s="14">
        <f ca="1">IF(K$1="","",'Total Value'!K24/'Total Value'!J24-1)</f>
        <v>-2.6170398371619941E-3</v>
      </c>
      <c r="L12" s="14">
        <f ca="1">IF(L$1="","",'Total Value'!L24/'Total Value'!K24-1)</f>
        <v>-2.857142857142847E-2</v>
      </c>
      <c r="M12" s="14">
        <f ca="1">IF(M$1="","",'Total Value'!M24/'Total Value'!L24-1)</f>
        <v>-1.170468187274909E-2</v>
      </c>
      <c r="N12" s="14">
        <f ca="1">IF(N$1="","",'Total Value'!N24/'Total Value'!M24-1)</f>
        <v>3.0367446097767647E-4</v>
      </c>
      <c r="O12" s="14">
        <f ca="1">IF(O$1="","",'Total Value'!O24/'Total Value'!N24-1)</f>
        <v>4.5537340619310473E-3</v>
      </c>
      <c r="P12" s="14">
        <f ca="1">IF(P$1="","",'Total Value'!P24/'Total Value'!O24-1)</f>
        <v>-2.4478694469628359E-2</v>
      </c>
      <c r="Q12" s="14">
        <f ca="1">IF(Q$1="","",'Total Value'!Q24/'Total Value'!P24-1)</f>
        <v>-8.9838909541511969E-3</v>
      </c>
      <c r="R12" s="14">
        <f ca="1">IF(R$1="","",'Total Value'!R24/'Total Value'!Q24-1)</f>
        <v>5.1578618318224523E-2</v>
      </c>
      <c r="S12" s="14">
        <f ca="1">IF(S$1="","",'Total Value'!S24/'Total Value'!R24-1)</f>
        <v>2.9726516052318575E-2</v>
      </c>
      <c r="T12" s="14">
        <f ca="1">IF(T$1="","",'Total Value'!T24/'Total Value'!S24-1)</f>
        <v>4.6189376443417363E-3</v>
      </c>
      <c r="U12" s="14">
        <f ca="1">IF(U$1="","",'Total Value'!U24/'Total Value'!T24-1)</f>
        <v>-4.0229885057471271E-2</v>
      </c>
      <c r="V12" s="14">
        <f ca="1">IF(V$1="","",'Total Value'!V24/'Total Value'!U24-1)</f>
        <v>3.5628742514970169E-2</v>
      </c>
      <c r="W12" s="14">
        <f ca="1">IF(W$1="","",'Total Value'!W24/'Total Value'!V24-1)</f>
        <v>1.3587742122000535E-2</v>
      </c>
      <c r="X12" s="14">
        <f ca="1">IF(X$1="","",'Total Value'!X24/'Total Value'!W24-1)</f>
        <v>2.139189960068455E-2</v>
      </c>
      <c r="Y12" s="14">
        <f ca="1">IF(Y$1="","",'Total Value'!Y24/'Total Value'!X24-1)</f>
        <v>1.1449315833566009E-2</v>
      </c>
      <c r="Z12" s="14">
        <f ca="1">IF(Z$1="","",'Total Value'!Z24/'Total Value'!Y24-1)</f>
        <v>2.2087244616233459E-3</v>
      </c>
      <c r="AA12" s="14">
        <f ca="1">IF(AA$1="","",'Total Value'!AA24/'Total Value'!Z24-1)</f>
        <v>-4.6831955922864821E-2</v>
      </c>
      <c r="AB12" s="14">
        <f ca="1">IF(AB$1="","",'Total Value'!AB24/'Total Value'!AA24-1)</f>
        <v>-1.9075144508670761E-2</v>
      </c>
      <c r="AC12" s="14">
        <f ca="1">IF(AC$1="","",'Total Value'!AC24/'Total Value'!AB24-1)</f>
        <v>1.9446081319976605E-2</v>
      </c>
      <c r="AD12" s="14">
        <f ca="1">IF(AD$1="","",'Total Value'!AD24/'Total Value'!AC24-1)</f>
        <v>-2.8901734104047616E-4</v>
      </c>
      <c r="AE12" s="14">
        <f ca="1">IF(AE$1="","",'Total Value'!AE24/'Total Value'!AD24-1)</f>
        <v>-3.9606822781150686E-2</v>
      </c>
      <c r="AF12" s="14">
        <f ca="1">IF(AF$1="","",'Total Value'!AF24/'Total Value'!AE24-1)</f>
        <v>-1.505117399157041E-3</v>
      </c>
      <c r="AG12" s="14">
        <f ca="1">IF(AG$1="","",'Total Value'!AG24/'Total Value'!AF24-1)</f>
        <v>-2.0801929454326351E-2</v>
      </c>
      <c r="AH12" s="14">
        <f ca="1">IF(AH$1="","",'Total Value'!AH24/'Total Value'!AG24-1)</f>
        <v>-1.5086206896551713E-2</v>
      </c>
      <c r="AI12" s="14">
        <f ca="1">IF(AI$1="","",'Total Value'!AI24/'Total Value'!AH24-1)</f>
        <v>-2.5007814942168416E-3</v>
      </c>
      <c r="AJ12" s="14">
        <f ca="1">IF(AJ$1="","",'Total Value'!AJ24/'Total Value'!AI24-1)</f>
        <v>3.6979003447195291E-2</v>
      </c>
      <c r="AK12" s="14">
        <f ca="1">IF(AK$1="","",'Total Value'!AK24/'Total Value'!AJ24-1)</f>
        <v>-1.2994862496222614E-2</v>
      </c>
      <c r="AL12" s="14">
        <f ca="1">IF(AL$1="","",'Total Value'!AL24/'Total Value'!AK24-1)</f>
        <v>-5.6950398040416239E-2</v>
      </c>
      <c r="AM12" s="14">
        <f ca="1">IF(AM$1="","",'Total Value'!AM24/'Total Value'!AL24-1)</f>
        <v>3.1168831168831179E-2</v>
      </c>
      <c r="AN12" s="14">
        <f ca="1">IF(AN$1="","",'Total Value'!AN24/'Total Value'!AM24-1)</f>
        <v>-1.0075566750629705E-2</v>
      </c>
      <c r="AO12" s="14">
        <f ca="1">IF(AO$1="","",'Total Value'!AO24/'Total Value'!AN24-1)</f>
        <v>-2.5127226463104502E-2</v>
      </c>
      <c r="AP12" s="14">
        <f ca="1">IF(AP$1="","",'Total Value'!AP24/'Total Value'!AO24-1)</f>
        <v>-6.9494290375203827E-2</v>
      </c>
      <c r="AQ12" s="14">
        <f ca="1">IF(AQ$1="","",'Total Value'!AQ24/'Total Value'!AP24-1)</f>
        <v>4.2075736325386526E-3</v>
      </c>
      <c r="AR12" s="14">
        <f ca="1">IF(AR$1="","",'Total Value'!AR24/'Total Value'!AQ24-1)</f>
        <v>5.5865921787709549E-2</v>
      </c>
      <c r="AS12" s="14">
        <f ca="1">IF(AS$1="","",'Total Value'!AS24/'Total Value'!AR24-1)</f>
        <v>-1.4550264550264425E-2</v>
      </c>
      <c r="AT12" s="14">
        <f ca="1">IF(AT$1="","",'Total Value'!AT24/'Total Value'!AS24-1)</f>
        <v>4.0268456375840422E-3</v>
      </c>
      <c r="AU12" s="14">
        <f ca="1">IF(AU$1="","",'Total Value'!AU24/'Total Value'!AT24-1)</f>
        <v>1.1029411764705843E-2</v>
      </c>
      <c r="AV12" s="14">
        <f ca="1">IF(AV$1="","",'Total Value'!AV24/'Total Value'!AU24-1)</f>
        <v>7.9338842975205104E-3</v>
      </c>
      <c r="AW12" s="14">
        <f ca="1">IF(AW$1="","",'Total Value'!AW24/'Total Value'!AV24-1)</f>
        <v>3.443752049852411E-2</v>
      </c>
      <c r="AX12" s="14">
        <f ca="1">IF(AX$1="","",'Total Value'!AX24/'Total Value'!AW24-1)</f>
        <v>-9.5117311350667588E-4</v>
      </c>
      <c r="AY12" s="14">
        <f ca="1">IF(AY$1="","",'Total Value'!AY24/'Total Value'!AX24-1)</f>
        <v>8.2513487781654682E-3</v>
      </c>
      <c r="AZ12" s="14">
        <f ca="1">IF(AZ$1="","",'Total Value'!AZ24/'Total Value'!AY24-1)</f>
        <v>-1.9515265974189511E-2</v>
      </c>
      <c r="BA12" s="14">
        <f ca="1">IF(BA$1="","",'Total Value'!BA24/'Total Value'!AZ24-1)</f>
        <v>3.1460674157303581E-2</v>
      </c>
      <c r="BB12" s="14">
        <f ca="1">IF(BB$1="","",'Total Value'!BB24/'Total Value'!BA24-1)</f>
        <v>-2.6766262060379908E-2</v>
      </c>
      <c r="BC12" s="14">
        <f ca="1">IF(BC$1="","",'Total Value'!BC24/'Total Value'!BB24-1)</f>
        <v>1.5989766549408424E-2</v>
      </c>
      <c r="BD12" s="14">
        <f ca="1">IF(BD$1="","",'Total Value'!BD24/'Total Value'!BC24-1)</f>
        <v>9.7576329870947554E-3</v>
      </c>
      <c r="BE12" s="14">
        <f ca="1">IF(BE$1="","",'Total Value'!BE24/'Total Value'!BD24-1)</f>
        <v>-1.4339152119700604E-2</v>
      </c>
      <c r="BF12" s="14">
        <f ca="1">IF(BF$1="","",'Total Value'!BF24/'Total Value'!BE24-1)</f>
        <v>1.1068943706514789E-2</v>
      </c>
      <c r="BG12" s="14">
        <f ca="1">IF(BG$1="","",'Total Value'!BG24/'Total Value'!BF24-1)</f>
        <v>-8.4454175789804298E-3</v>
      </c>
      <c r="BH12" s="14">
        <f ca="1">IF(BH$1="","",'Total Value'!BH24/'Total Value'!BG24-1)</f>
        <v>-2.492113564668752E-2</v>
      </c>
      <c r="BI12" s="14">
        <f ca="1">IF(BI$1="","",'Total Value'!BI24/'Total Value'!BH24-1)</f>
        <v>-1.9411193788417824E-3</v>
      </c>
      <c r="BJ12" s="14">
        <f ca="1">IF(BJ$1="","",'Total Value'!BJ24/'Total Value'!BI24-1)</f>
        <v>6.4829821717982128E-4</v>
      </c>
      <c r="BK12" s="14">
        <f ca="1">IF(BK$1="","",'Total Value'!BK24/'Total Value'!BJ24-1)</f>
        <v>2.2999676060900365E-2</v>
      </c>
      <c r="BL12" s="14">
        <f ca="1">IF(BL$1="","",'Total Value'!BL24/'Total Value'!BK24-1)</f>
        <v>-1.2666244458516829E-3</v>
      </c>
      <c r="BM12" s="14">
        <f ca="1">IF(BM$1="","",'Total Value'!BM24/'Total Value'!BL24-1)</f>
        <v>-2.1559923906150913E-2</v>
      </c>
      <c r="BN12" s="14">
        <f ca="1">IF(BN$1="","",'Total Value'!BN24/'Total Value'!BM24-1)</f>
        <v>1.944264419961117E-2</v>
      </c>
      <c r="BO12" s="14">
        <f ca="1">IF(BO$1="","",'Total Value'!BO24/'Total Value'!BN24-1)</f>
        <v>-1.7800381436745227E-2</v>
      </c>
      <c r="BP12" s="14">
        <f ca="1">IF(BP$1="","",'Total Value'!BP24/'Total Value'!BO24-1)</f>
        <v>-1.6181229773462813E-2</v>
      </c>
      <c r="BQ12" s="14">
        <f ca="1">IF(BQ$1="","",'Total Value'!BQ24/'Total Value'!BP24-1)</f>
        <v>2.0065789473684426E-2</v>
      </c>
      <c r="BR12" s="14">
        <f ca="1">IF(BR$1="","",'Total Value'!BR24/'Total Value'!BQ24-1)</f>
        <v>-1.0641728474685586E-2</v>
      </c>
      <c r="BS12" s="14">
        <f ca="1">IF(BS$1="","",'Total Value'!BS24/'Total Value'!BR24-1)</f>
        <v>9.4524119947849705E-3</v>
      </c>
      <c r="BT12" s="14">
        <f ca="1">IF(BT$1="","",'Total Value'!BT24/'Total Value'!BS24-1)</f>
        <v>2.8091701646754785E-2</v>
      </c>
      <c r="BU12" s="14">
        <f ca="1">IF(BU$1="","",'Total Value'!BU24/'Total Value'!BT24-1)</f>
        <v>1.4447236180904488E-2</v>
      </c>
      <c r="BV12" s="14">
        <f ca="1">IF(BV$1="","",'Total Value'!BV24/'Total Value'!BU24-1)</f>
        <v>-1.3622291021671784E-2</v>
      </c>
      <c r="BW12" s="14">
        <f ca="1">IF(BW$1="","",'Total Value'!BW24/'Total Value'!BV24-1)</f>
        <v>-3.9234149403640894E-2</v>
      </c>
      <c r="BX12" s="14">
        <f ca="1">IF(BX$1="","",'Total Value'!BX24/'Total Value'!BW24-1)</f>
        <v>-1.37210062071218E-2</v>
      </c>
      <c r="BY12" s="14">
        <f ca="1">IF(BY$1="","",'Total Value'!BY24/'Total Value'!BX24-1)</f>
        <v>-3.6104670420669005E-2</v>
      </c>
      <c r="BZ12" s="14">
        <f ca="1">IF(BZ$1="","",'Total Value'!BZ24/'Total Value'!BY24-1)</f>
        <v>6.8728522336769515E-3</v>
      </c>
      <c r="CA12" s="14">
        <f ca="1">IF(CA$1="","",'Total Value'!CA24/'Total Value'!BZ24-1)</f>
        <v>1.4675767918088667E-2</v>
      </c>
      <c r="CB12" s="14">
        <f ca="1">IF(CB$1="","",'Total Value'!CB24/'Total Value'!CA24-1)</f>
        <v>-3.0272452068617728E-2</v>
      </c>
      <c r="CC12" s="14">
        <f ca="1">IF(CC$1="","",'Total Value'!CC24/'Total Value'!CB24-1)</f>
        <v>5.8966354491849504E-3</v>
      </c>
      <c r="CD12" s="14">
        <f ca="1">IF(CD$1="","",'Total Value'!CD24/'Total Value'!CC24-1)</f>
        <v>3.1724137931034679E-2</v>
      </c>
      <c r="CE12" s="14">
        <f ca="1">IF(CE$1="","",'Total Value'!CE24/'Total Value'!CD24-1)</f>
        <v>3.609625668449179E-2</v>
      </c>
      <c r="CF12" s="14" t="str">
        <f ca="1">IF(CF$1="","",'Total Value'!CF24/'Total Value'!CE24-1)</f>
        <v/>
      </c>
      <c r="CG12" s="14" t="str">
        <f ca="1">IF(CG$1="","",'Total Value'!CG24/'Total Value'!CF24-1)</f>
        <v/>
      </c>
      <c r="CH12" s="14" t="str">
        <f ca="1">IF(CH$1="","",'Total Value'!CH24/'Total Value'!CG24-1)</f>
        <v/>
      </c>
      <c r="CI12" s="14" t="str">
        <f ca="1">IF(CI$1="","",'Total Value'!CI24/'Total Value'!CH24-1)</f>
        <v/>
      </c>
      <c r="CJ12" s="14" t="str">
        <f ca="1">IF(CJ$1="","",'Total Value'!CJ24/'Total Value'!CI24-1)</f>
        <v/>
      </c>
      <c r="CK12" s="14" t="str">
        <f ca="1">IF(CK$1="","",'Total Value'!CK24/'Total Value'!CJ24-1)</f>
        <v/>
      </c>
      <c r="CL12" s="14" t="str">
        <f ca="1">IF(CL$1="","",'Total Value'!CL24/'Total Value'!CK24-1)</f>
        <v/>
      </c>
      <c r="CM12" s="14" t="str">
        <f ca="1">IF(CM$1="","",'Total Value'!CM24/'Total Value'!CL24-1)</f>
        <v/>
      </c>
      <c r="CN12" s="14" t="str">
        <f ca="1">IF(CN$1="","",'Total Value'!CN24/'Total Value'!CM24-1)</f>
        <v/>
      </c>
      <c r="CO12" s="14" t="str">
        <f ca="1">IF(CO$1="","",'Total Value'!CO24/'Total Value'!CN24-1)</f>
        <v/>
      </c>
      <c r="CP12" s="14" t="str">
        <f ca="1">IF(CP$1="","",'Total Value'!CP24/'Total Value'!CO24-1)</f>
        <v/>
      </c>
      <c r="CQ12" s="14" t="str">
        <f ca="1">IF(CQ$1="","",'Total Value'!CQ24/'Total Value'!CP24-1)</f>
        <v/>
      </c>
      <c r="CR12" s="14" t="str">
        <f ca="1">IF(CR$1="","",'Total Value'!CR24/'Total Value'!CQ24-1)</f>
        <v/>
      </c>
      <c r="CS12" s="14" t="str">
        <f ca="1">IF(CS$1="","",'Total Value'!CS24/'Total Value'!CR24-1)</f>
        <v/>
      </c>
      <c r="CT12" s="14" t="str">
        <f ca="1">IF(CT$1="","",'Total Value'!CT24/'Total Value'!CS24-1)</f>
        <v/>
      </c>
      <c r="CU12" s="14" t="str">
        <f ca="1">IF(CU$1="","",'Total Value'!CU24/'Total Value'!CT24-1)</f>
        <v/>
      </c>
      <c r="CV12" s="14" t="str">
        <f ca="1">IF(CV$1="","",'Total Value'!CV24/'Total Value'!CU24-1)</f>
        <v/>
      </c>
      <c r="CW12" s="14" t="str">
        <f ca="1">IF(CW$1="","",'Total Value'!CW24/'Total Value'!CV24-1)</f>
        <v/>
      </c>
      <c r="CX12" s="14" t="str">
        <f ca="1">IF(CX$1="","",'Total Value'!CX24/'Total Value'!CW24-1)</f>
        <v/>
      </c>
      <c r="CY12" s="14" t="str">
        <f ca="1">IF(CY$1="","",'Total Value'!CY24/'Total Value'!CX24-1)</f>
        <v/>
      </c>
      <c r="CZ12" s="14" t="str">
        <f ca="1">IF(CZ$1="","",'Total Value'!CZ24/'Total Value'!CY24-1)</f>
        <v/>
      </c>
      <c r="DA12" s="14" t="str">
        <f ca="1">IF(DA$1="","",'Total Value'!DA24/'Total Value'!CZ24-1)</f>
        <v/>
      </c>
      <c r="DB12" s="14" t="str">
        <f ca="1">IF(DB$1="","",'Total Value'!DB24/'Total Value'!DA24-1)</f>
        <v/>
      </c>
      <c r="DC12" s="14" t="str">
        <f ca="1">IF(DC$1="","",'Total Value'!DC24/'Total Value'!DB24-1)</f>
        <v/>
      </c>
      <c r="DD12" s="14" t="str">
        <f ca="1">IF(DD$1="","",'Total Value'!DD24/'Total Value'!DC24-1)</f>
        <v/>
      </c>
      <c r="DE12" s="14" t="str">
        <f ca="1">IF(DE$1="","",'Total Value'!DE24/'Total Value'!DD24-1)</f>
        <v/>
      </c>
      <c r="DF12" s="14" t="str">
        <f ca="1">IF(DF$1="","",'Total Value'!DF24/'Total Value'!DE24-1)</f>
        <v/>
      </c>
      <c r="DG12" s="14" t="str">
        <f ca="1">IF(DG$1="","",'Total Value'!DG24/'Total Value'!DF24-1)</f>
        <v/>
      </c>
      <c r="DH12" s="14" t="str">
        <f ca="1">IF(DH$1="","",'Total Value'!DH24/'Total Value'!DG24-1)</f>
        <v/>
      </c>
      <c r="DI12" s="14" t="str">
        <f ca="1">IF(DI$1="","",'Total Value'!DI24/'Total Value'!DH24-1)</f>
        <v/>
      </c>
      <c r="DJ12" s="14" t="str">
        <f ca="1">IF(DJ$1="","",'Total Value'!DJ24/'Total Value'!DI24-1)</f>
        <v/>
      </c>
      <c r="DK12" s="14" t="str">
        <f ca="1">IF(DK$1="","",'Total Value'!DK24/'Total Value'!DJ24-1)</f>
        <v/>
      </c>
      <c r="DL12" s="14" t="str">
        <f ca="1">IF(DL$1="","",'Total Value'!DL24/'Total Value'!DK24-1)</f>
        <v/>
      </c>
      <c r="DM12" s="14" t="str">
        <f ca="1">IF(DM$1="","",'Total Value'!DM24/'Total Value'!DL24-1)</f>
        <v/>
      </c>
      <c r="DN12" s="14" t="str">
        <f ca="1">IF(DN$1="","",'Total Value'!DN24/'Total Value'!DM24-1)</f>
        <v/>
      </c>
      <c r="DO12" s="14" t="str">
        <f ca="1">IF(DO$1="","",'Total Value'!DO24/'Total Value'!DN24-1)</f>
        <v/>
      </c>
      <c r="DP12" s="14" t="str">
        <f ca="1">IF(DP$1="","",'Total Value'!DP24/'Total Value'!DO24-1)</f>
        <v/>
      </c>
      <c r="DQ12" s="14" t="str">
        <f ca="1">IF(DQ$1="","",'Total Value'!DQ24/'Total Value'!DP24-1)</f>
        <v/>
      </c>
      <c r="DR12" s="14" t="str">
        <f ca="1">IF(DR$1="","",'Total Value'!DR24/'Total Value'!DQ24-1)</f>
        <v/>
      </c>
      <c r="DS12" s="14" t="str">
        <f ca="1">IF(DS$1="","",'Total Value'!DS24/'Total Value'!DR24-1)</f>
        <v/>
      </c>
      <c r="DT12" s="14" t="str">
        <f ca="1">IF(DT$1="","",'Total Value'!DT24/'Total Value'!DS24-1)</f>
        <v/>
      </c>
      <c r="DU12" s="14" t="str">
        <f ca="1">IF(DU$1="","",'Total Value'!DU24/'Total Value'!DT24-1)</f>
        <v/>
      </c>
      <c r="DV12" s="14" t="str">
        <f ca="1">IF(DV$1="","",'Total Value'!DV24/'Total Value'!DU24-1)</f>
        <v/>
      </c>
      <c r="DW12" s="14" t="str">
        <f ca="1">IF(DW$1="","",'Total Value'!DW24/'Total Value'!DV24-1)</f>
        <v/>
      </c>
      <c r="DX12" s="14" t="str">
        <f ca="1">IF(DX$1="","",'Total Value'!DX24/'Total Value'!DW24-1)</f>
        <v/>
      </c>
      <c r="DY12" s="14" t="str">
        <f ca="1">IF(DY$1="","",'Total Value'!DY24/'Total Value'!DX24-1)</f>
        <v/>
      </c>
      <c r="DZ12" s="14" t="str">
        <f ca="1">IF(DZ$1="","",'Total Value'!DZ24/'Total Value'!DY24-1)</f>
        <v/>
      </c>
      <c r="EA12" s="14" t="str">
        <f ca="1">IF(EA$1="","",'Total Value'!EA24/'Total Value'!DZ24-1)</f>
        <v/>
      </c>
      <c r="EB12" s="14" t="str">
        <f ca="1">IF(EB$1="","",'Total Value'!EB24/'Total Value'!EA24-1)</f>
        <v/>
      </c>
      <c r="EC12" s="14" t="str">
        <f ca="1">IF(EC$1="","",'Total Value'!EC24/'Total Value'!EB24-1)</f>
        <v/>
      </c>
      <c r="ED12" s="14" t="str">
        <f ca="1">IF(ED$1="","",'Total Value'!ED24/'Total Value'!EC24-1)</f>
        <v/>
      </c>
      <c r="EE12" s="14" t="str">
        <f ca="1">IF(EE$1="","",'Total Value'!EE24/'Total Value'!ED24-1)</f>
        <v/>
      </c>
      <c r="EF12" s="14" t="str">
        <f ca="1">IF(EF$1="","",'Total Value'!EF24/'Total Value'!EE24-1)</f>
        <v/>
      </c>
      <c r="EG12" s="14" t="str">
        <f ca="1">IF(EG$1="","",'Total Value'!EG24/'Total Value'!EF24-1)</f>
        <v/>
      </c>
      <c r="EH12" s="14" t="str">
        <f ca="1">IF(EH$1="","",'Total Value'!EH24/'Total Value'!EG24-1)</f>
        <v/>
      </c>
      <c r="EI12" s="14" t="str">
        <f ca="1">IF(EI$1="","",'Total Value'!EI24/'Total Value'!EH24-1)</f>
        <v/>
      </c>
      <c r="EJ12" s="14" t="str">
        <f ca="1">IF(EJ$1="","",'Total Value'!EJ24/'Total Value'!EI24-1)</f>
        <v/>
      </c>
      <c r="EK12" s="14" t="str">
        <f ca="1">IF(EK$1="","",'Total Value'!EK24/'Total Value'!EJ24-1)</f>
        <v/>
      </c>
      <c r="EL12" s="14" t="str">
        <f ca="1">IF(EL$1="","",'Total Value'!EL24/'Total Value'!EK24-1)</f>
        <v/>
      </c>
      <c r="EM12" s="14" t="str">
        <f ca="1">IF(EM$1="","",'Total Value'!EM24/'Total Value'!EL24-1)</f>
        <v/>
      </c>
      <c r="EN12" s="14" t="str">
        <f ca="1">IF(EN$1="","",'Total Value'!EN24/'Total Value'!EM24-1)</f>
        <v/>
      </c>
      <c r="EO12" s="14" t="str">
        <f ca="1">IF(EO$1="","",'Total Value'!EO24/'Total Value'!EN24-1)</f>
        <v/>
      </c>
      <c r="EP12" s="14" t="str">
        <f ca="1">IF(EP$1="","",'Total Value'!EP24/'Total Value'!EO24-1)</f>
        <v/>
      </c>
      <c r="EQ12" s="14" t="str">
        <f ca="1">IF(EQ$1="","",'Total Value'!EQ24/'Total Value'!EP24-1)</f>
        <v/>
      </c>
      <c r="ER12" s="14" t="str">
        <f ca="1">IF(ER$1="","",'Total Value'!ER24/'Total Value'!EQ24-1)</f>
        <v/>
      </c>
      <c r="ES12" s="14" t="str">
        <f ca="1">IF(ES$1="","",'Total Value'!ES24/'Total Value'!ER24-1)</f>
        <v/>
      </c>
      <c r="ET12" s="14" t="str">
        <f ca="1">IF(ET$1="","",'Total Value'!ET24/'Total Value'!ES24-1)</f>
        <v/>
      </c>
      <c r="EU12" s="14" t="str">
        <f ca="1">IF(EU$1="","",'Total Value'!EU24/'Total Value'!ET24-1)</f>
        <v/>
      </c>
      <c r="EV12" s="14" t="str">
        <f ca="1">IF(EV$1="","",'Total Value'!EV24/'Total Value'!EU24-1)</f>
        <v/>
      </c>
      <c r="EW12" s="14" t="str">
        <f ca="1">IF(EW$1="","",'Total Value'!EW24/'Total Value'!EV24-1)</f>
        <v/>
      </c>
      <c r="EX12" s="14" t="str">
        <f ca="1">IF(EX$1="","",'Total Value'!EX24/'Total Value'!EW24-1)</f>
        <v/>
      </c>
      <c r="EY12" s="14" t="str">
        <f ca="1">IF(EY$1="","",'Total Value'!EY24/'Total Value'!EX24-1)</f>
        <v/>
      </c>
      <c r="EZ12" s="14" t="str">
        <f ca="1">IF(EZ$1="","",'Total Value'!EZ24/'Total Value'!EY24-1)</f>
        <v/>
      </c>
      <c r="FA12" s="14" t="str">
        <f ca="1">IF(FA$1="","",'Total Value'!FA24/'Total Value'!EZ24-1)</f>
        <v/>
      </c>
      <c r="FB12" s="14" t="str">
        <f ca="1">IF(FB$1="","",'Total Value'!FB24/'Total Value'!FA24-1)</f>
        <v/>
      </c>
      <c r="FC12" s="14" t="str">
        <f ca="1">IF(FC$1="","",'Total Value'!FC24/'Total Value'!FB24-1)</f>
        <v/>
      </c>
      <c r="FD12" s="14" t="str">
        <f ca="1">IF(FD$1="","",'Total Value'!FD24/'Total Value'!FC24-1)</f>
        <v/>
      </c>
      <c r="FE12" s="14" t="str">
        <f ca="1">IF(FE$1="","",'Total Value'!FE24/'Total Value'!FD24-1)</f>
        <v/>
      </c>
      <c r="FF12" s="14" t="str">
        <f ca="1">IF(FF$1="","",'Total Value'!FF24/'Total Value'!FE24-1)</f>
        <v/>
      </c>
      <c r="FG12" s="14" t="str">
        <f ca="1">IF(FG$1="","",'Total Value'!FG24/'Total Value'!FF24-1)</f>
        <v/>
      </c>
      <c r="FH12" s="14" t="str">
        <f ca="1">IF(FH$1="","",'Total Value'!FH24/'Total Value'!FG24-1)</f>
        <v/>
      </c>
      <c r="FI12" s="14" t="str">
        <f ca="1">IF(FI$1="","",'Total Value'!FI24/'Total Value'!FH24-1)</f>
        <v/>
      </c>
      <c r="FJ12" s="14" t="str">
        <f ca="1">IF(FJ$1="","",'Total Value'!FJ24/'Total Value'!FI24-1)</f>
        <v/>
      </c>
      <c r="FK12" s="14" t="str">
        <f ca="1">IF(FK$1="","",'Total Value'!FK24/'Total Value'!FJ24-1)</f>
        <v/>
      </c>
      <c r="FL12" s="14" t="str">
        <f ca="1">IF(FL$1="","",'Total Value'!FL24/'Total Value'!FK24-1)</f>
        <v/>
      </c>
      <c r="FM12" s="14" t="str">
        <f ca="1">IF(FM$1="","",'Total Value'!FM24/'Total Value'!FL24-1)</f>
        <v/>
      </c>
      <c r="FN12" s="14" t="str">
        <f ca="1">IF(FN$1="","",'Total Value'!FN24/'Total Value'!FM24-1)</f>
        <v/>
      </c>
      <c r="FO12" s="14" t="str">
        <f ca="1">IF(FO$1="","",'Total Value'!FO24/'Total Value'!FN24-1)</f>
        <v/>
      </c>
      <c r="FP12" s="14" t="str">
        <f ca="1">IF(FP$1="","",'Total Value'!FP24/'Total Value'!FO24-1)</f>
        <v/>
      </c>
      <c r="FQ12" s="14" t="str">
        <f ca="1">IF(FQ$1="","",'Total Value'!FQ24/'Total Value'!FP24-1)</f>
        <v/>
      </c>
      <c r="FR12" s="14" t="str">
        <f ca="1">IF(FR$1="","",'Total Value'!FR24/'Total Value'!FQ24-1)</f>
        <v/>
      </c>
      <c r="FS12" s="14" t="str">
        <f ca="1">IF(FS$1="","",'Total Value'!FS24/'Total Value'!FR24-1)</f>
        <v/>
      </c>
      <c r="FT12" s="14" t="str">
        <f ca="1">IF(FT$1="","",'Total Value'!FT24/'Total Value'!FS24-1)</f>
        <v/>
      </c>
      <c r="FU12" s="14" t="str">
        <f ca="1">IF(FU$1="","",'Total Value'!FU24/'Total Value'!FT24-1)</f>
        <v/>
      </c>
      <c r="FV12" s="14" t="str">
        <f ca="1">IF(FV$1="","",'Total Value'!FV24/'Total Value'!FU24-1)</f>
        <v/>
      </c>
      <c r="FW12" s="14" t="str">
        <f ca="1">IF(FW$1="","",'Total Value'!FW24/'Total Value'!FV24-1)</f>
        <v/>
      </c>
      <c r="FX12" s="14" t="str">
        <f ca="1">IF(FX$1="","",'Total Value'!FX24/'Total Value'!FW24-1)</f>
        <v/>
      </c>
      <c r="FY12" s="14" t="str">
        <f ca="1">IF(FY$1="","",'Total Value'!FY24/'Total Value'!FX24-1)</f>
        <v/>
      </c>
      <c r="FZ12" s="14" t="str">
        <f ca="1">IF(FZ$1="","",'Total Value'!FZ24/'Total Value'!FY24-1)</f>
        <v/>
      </c>
      <c r="GA12" s="14" t="str">
        <f ca="1">IF(GA$1="","",'Total Value'!GA24/'Total Value'!FZ24-1)</f>
        <v/>
      </c>
      <c r="GB12" s="14" t="str">
        <f ca="1">IF(GB$1="","",'Total Value'!GB24/'Total Value'!GA24-1)</f>
        <v/>
      </c>
      <c r="GC12" s="14" t="str">
        <f ca="1">IF(GC$1="","",'Total Value'!GC24/'Total Value'!GB24-1)</f>
        <v/>
      </c>
      <c r="GD12" s="14" t="str">
        <f ca="1">IF(GD$1="","",'Total Value'!GD24/'Total Value'!GC24-1)</f>
        <v/>
      </c>
      <c r="GE12" s="14" t="str">
        <f ca="1">IF(GE$1="","",'Total Value'!GE24/'Total Value'!GD24-1)</f>
        <v/>
      </c>
      <c r="GF12" s="14" t="str">
        <f ca="1">IF(GF$1="","",'Total Value'!GF24/'Total Value'!GE24-1)</f>
        <v/>
      </c>
      <c r="GG12" s="14" t="str">
        <f ca="1">IF(GG$1="","",'Total Value'!GG24/'Total Value'!GF24-1)</f>
        <v/>
      </c>
      <c r="GH12" s="14" t="str">
        <f ca="1">IF(GH$1="","",'Total Value'!GH24/'Total Value'!GG24-1)</f>
        <v/>
      </c>
      <c r="GI12" s="14" t="str">
        <f ca="1">IF(GI$1="","",'Total Value'!GI24/'Total Value'!GH24-1)</f>
        <v/>
      </c>
      <c r="GJ12" s="14" t="str">
        <f ca="1">IF(GJ$1="","",'Total Value'!GJ24/'Total Value'!GI24-1)</f>
        <v/>
      </c>
      <c r="GK12" s="14" t="str">
        <f ca="1">IF(GK$1="","",'Total Value'!GK24/'Total Value'!GJ24-1)</f>
        <v/>
      </c>
      <c r="GL12" s="14" t="str">
        <f ca="1">IF(GL$1="","",'Total Value'!GL24/'Total Value'!GK24-1)</f>
        <v/>
      </c>
      <c r="GM12" s="14" t="str">
        <f ca="1">IF(GM$1="","",'Total Value'!GM24/'Total Value'!GL24-1)</f>
        <v/>
      </c>
      <c r="GN12" s="14" t="str">
        <f ca="1">IF(GN$1="","",'Total Value'!GN24/'Total Value'!GM24-1)</f>
        <v/>
      </c>
      <c r="GO12" s="14" t="str">
        <f ca="1">IF(GO$1="","",'Total Value'!GO24/'Total Value'!GN24-1)</f>
        <v/>
      </c>
      <c r="GP12" s="14" t="str">
        <f ca="1">IF(GP$1="","",'Total Value'!GP24/'Total Value'!GO24-1)</f>
        <v/>
      </c>
      <c r="GQ12" s="14" t="str">
        <f ca="1">IF(GQ$1="","",'Total Value'!GQ24/'Total Value'!GP24-1)</f>
        <v/>
      </c>
      <c r="GR12" s="14" t="str">
        <f ca="1">IF(GR$1="","",'Total Value'!GR24/'Total Value'!GQ24-1)</f>
        <v/>
      </c>
      <c r="GS12" s="14" t="str">
        <f ca="1">IF(GS$1="","",'Total Value'!GS24/'Total Value'!GR24-1)</f>
        <v/>
      </c>
      <c r="GT12" s="14" t="str">
        <f ca="1">IF(GT$1="","",'Total Value'!GT24/'Total Value'!GS24-1)</f>
        <v/>
      </c>
      <c r="GU12" s="14" t="str">
        <f ca="1">IF(GU$1="","",'Total Value'!GU24/'Total Value'!GT24-1)</f>
        <v/>
      </c>
      <c r="GV12" s="14" t="str">
        <f ca="1">IF(GV$1="","",'Total Value'!GV24/'Total Value'!GU24-1)</f>
        <v/>
      </c>
      <c r="GW12" s="14" t="str">
        <f ca="1">IF(GW$1="","",'Total Value'!GW24/'Total Value'!GV24-1)</f>
        <v/>
      </c>
      <c r="GX12" s="14" t="str">
        <f ca="1">IF(GX$1="","",'Total Value'!GX24/'Total Value'!GW24-1)</f>
        <v/>
      </c>
      <c r="GY12" s="14" t="str">
        <f ca="1">IF(GY$1="","",'Total Value'!GY24/'Total Value'!GX24-1)</f>
        <v/>
      </c>
      <c r="GZ12" s="14" t="str">
        <f ca="1">IF(GZ$1="","",'Total Value'!GZ24/'Total Value'!GY24-1)</f>
        <v/>
      </c>
      <c r="HA12" s="14" t="str">
        <f ca="1">IF(HA$1="","",'Total Value'!HA24/'Total Value'!GZ24-1)</f>
        <v/>
      </c>
      <c r="HB12" s="14" t="str">
        <f ca="1">IF(HB$1="","",'Total Value'!HB24/'Total Value'!HA24-1)</f>
        <v/>
      </c>
      <c r="HC12" s="14" t="str">
        <f ca="1">IF(HC$1="","",'Total Value'!HC24/'Total Value'!HB24-1)</f>
        <v/>
      </c>
      <c r="HD12" s="14" t="str">
        <f ca="1">IF(HD$1="","",'Total Value'!HD24/'Total Value'!HC24-1)</f>
        <v/>
      </c>
      <c r="HE12" s="14" t="str">
        <f ca="1">IF(HE$1="","",'Total Value'!HE24/'Total Value'!HD24-1)</f>
        <v/>
      </c>
      <c r="HF12" s="14" t="str">
        <f ca="1">IF(HF$1="","",'Total Value'!HF24/'Total Value'!HE24-1)</f>
        <v/>
      </c>
      <c r="HG12" s="14" t="str">
        <f ca="1">IF(HG$1="","",'Total Value'!HG24/'Total Value'!HF24-1)</f>
        <v/>
      </c>
      <c r="HH12" s="14" t="str">
        <f ca="1">IF(HH$1="","",'Total Value'!HH24/'Total Value'!HG24-1)</f>
        <v/>
      </c>
      <c r="HI12" s="14" t="str">
        <f ca="1">IF(HI$1="","",'Total Value'!HI24/'Total Value'!HH24-1)</f>
        <v/>
      </c>
      <c r="HJ12" s="14" t="str">
        <f ca="1">IF(HJ$1="","",'Total Value'!HJ24/'Total Value'!HI24-1)</f>
        <v/>
      </c>
      <c r="HK12" s="14" t="str">
        <f ca="1">IF(HK$1="","",'Total Value'!HK24/'Total Value'!HJ24-1)</f>
        <v/>
      </c>
      <c r="HL12" s="14" t="str">
        <f ca="1">IF(HL$1="","",'Total Value'!HL24/'Total Value'!HK24-1)</f>
        <v/>
      </c>
      <c r="HM12" s="14" t="str">
        <f ca="1">IF(HM$1="","",'Total Value'!HM24/'Total Value'!HL24-1)</f>
        <v/>
      </c>
      <c r="HN12" s="14" t="str">
        <f ca="1">IF(HN$1="","",'Total Value'!HN24/'Total Value'!HM24-1)</f>
        <v/>
      </c>
      <c r="HO12" s="14" t="str">
        <f ca="1">IF(HO$1="","",'Total Value'!HO24/'Total Value'!HN24-1)</f>
        <v/>
      </c>
      <c r="HP12" s="14" t="str">
        <f ca="1">IF(HP$1="","",'Total Value'!HP24/'Total Value'!HO24-1)</f>
        <v/>
      </c>
      <c r="HQ12" s="14" t="str">
        <f ca="1">IF(HQ$1="","",'Total Value'!HQ24/'Total Value'!HP24-1)</f>
        <v/>
      </c>
      <c r="HR12" s="14" t="str">
        <f ca="1">IF(HR$1="","",'Total Value'!HR24/'Total Value'!HQ24-1)</f>
        <v/>
      </c>
      <c r="HS12" s="14" t="str">
        <f ca="1">IF(HS$1="","",'Total Value'!HS24/'Total Value'!HR24-1)</f>
        <v/>
      </c>
      <c r="HT12" s="14" t="str">
        <f ca="1">IF(HT$1="","",'Total Value'!HT24/'Total Value'!HS24-1)</f>
        <v/>
      </c>
      <c r="HU12" s="14" t="str">
        <f ca="1">IF(HU$1="","",'Total Value'!HU24/'Total Value'!HT24-1)</f>
        <v/>
      </c>
      <c r="HV12" s="14" t="str">
        <f ca="1">IF(HV$1="","",'Total Value'!HV24/'Total Value'!HU24-1)</f>
        <v/>
      </c>
      <c r="HW12" s="14" t="str">
        <f ca="1">IF(HW$1="","",'Total Value'!HW24/'Total Value'!HV24-1)</f>
        <v/>
      </c>
      <c r="HX12" s="14" t="str">
        <f ca="1">IF(HX$1="","",'Total Value'!HX24/'Total Value'!HW24-1)</f>
        <v/>
      </c>
      <c r="HY12" s="14" t="str">
        <f ca="1">IF(HY$1="","",'Total Value'!HY24/'Total Value'!HX24-1)</f>
        <v/>
      </c>
      <c r="HZ12" s="14" t="str">
        <f ca="1">IF(HZ$1="","",'Total Value'!HZ24/'Total Value'!HY24-1)</f>
        <v/>
      </c>
      <c r="IA12" s="14" t="str">
        <f ca="1">IF(IA$1="","",'Total Value'!IA24/'Total Value'!HZ24-1)</f>
        <v/>
      </c>
      <c r="IB12" s="14" t="str">
        <f ca="1">IF(IB$1="","",'Total Value'!IB24/'Total Value'!IA24-1)</f>
        <v/>
      </c>
      <c r="IC12" s="14" t="str">
        <f ca="1">IF(IC$1="","",'Total Value'!IC24/'Total Value'!IB24-1)</f>
        <v/>
      </c>
      <c r="ID12" s="14" t="str">
        <f ca="1">IF(ID$1="","",'Total Value'!ID24/'Total Value'!IC24-1)</f>
        <v/>
      </c>
      <c r="IE12" s="14" t="str">
        <f ca="1">IF(IE$1="","",'Total Value'!IE24/'Total Value'!ID24-1)</f>
        <v/>
      </c>
      <c r="IF12" s="14" t="str">
        <f ca="1">IF(IF$1="","",'Total Value'!IF24/'Total Value'!IE24-1)</f>
        <v/>
      </c>
      <c r="IG12" s="14" t="str">
        <f ca="1">IF(IG$1="","",'Total Value'!IG24/'Total Value'!IF24-1)</f>
        <v/>
      </c>
      <c r="IH12" s="14" t="str">
        <f ca="1">IF(IH$1="","",'Total Value'!IH24/'Total Value'!IG24-1)</f>
        <v/>
      </c>
      <c r="II12" s="14" t="str">
        <f ca="1">IF(II$1="","",'Total Value'!II24/'Total Value'!IH24-1)</f>
        <v/>
      </c>
      <c r="IJ12" s="14" t="str">
        <f ca="1">IF(IJ$1="","",'Total Value'!IJ24/'Total Value'!II24-1)</f>
        <v/>
      </c>
      <c r="IK12" s="14" t="str">
        <f ca="1">IF(IK$1="","",'Total Value'!IK24/'Total Value'!IJ24-1)</f>
        <v/>
      </c>
      <c r="IL12" s="14" t="str">
        <f ca="1">IF(IL$1="","",'Total Value'!IL24/'Total Value'!IK24-1)</f>
        <v/>
      </c>
      <c r="IM12" s="14" t="str">
        <f ca="1">IF(IM$1="","",'Total Value'!IM24/'Total Value'!IL24-1)</f>
        <v/>
      </c>
      <c r="IN12" s="14" t="str">
        <f ca="1">IF(IN$1="","",'Total Value'!IN24/'Total Value'!IM24-1)</f>
        <v/>
      </c>
      <c r="IO12" s="14" t="str">
        <f ca="1">IF(IO$1="","",'Total Value'!IO24/'Total Value'!IN24-1)</f>
        <v/>
      </c>
      <c r="IP12" s="14" t="str">
        <f ca="1">IF(IP$1="","",'Total Value'!IP24/'Total Value'!IO24-1)</f>
        <v/>
      </c>
      <c r="IQ12" s="14" t="str">
        <f ca="1">IF(IQ$1="","",'Total Value'!IQ24/'Total Value'!IP24-1)</f>
        <v/>
      </c>
      <c r="IR12" s="14" t="str">
        <f ca="1">IF(IR$1="","",'Total Value'!IR24/'Total Value'!IQ24-1)</f>
        <v/>
      </c>
      <c r="IS12" s="14" t="str">
        <f ca="1">IF(IS$1="","",'Total Value'!IS24/'Total Value'!IR24-1)</f>
        <v/>
      </c>
      <c r="IT12" s="14" t="str">
        <f ca="1">IF(IT$1="","",'Total Value'!IT24/'Total Value'!IS24-1)</f>
        <v/>
      </c>
      <c r="IU12" s="14" t="str">
        <f ca="1">IF(IU$1="","",'Total Value'!IU24/'Total Value'!IT24-1)</f>
        <v/>
      </c>
      <c r="IV12" s="14" t="str">
        <f ca="1">IF(IV$1="","",'Total Value'!IV24/'Total Value'!IU24-1)</f>
        <v/>
      </c>
      <c r="IW12" s="14" t="str">
        <f ca="1">IF(IW$1="","",'Total Value'!IW24/'Total Value'!IV24-1)</f>
        <v/>
      </c>
      <c r="IX12" s="14" t="str">
        <f ca="1">IF(IX$1="","",'Total Value'!IX24/'Total Value'!IW24-1)</f>
        <v/>
      </c>
      <c r="IY12" s="14" t="str">
        <f ca="1">IF(IY$1="","",'Total Value'!IY24/'Total Value'!IX24-1)</f>
        <v/>
      </c>
      <c r="IZ12" s="14" t="str">
        <f ca="1">IF(IZ$1="","",'Total Value'!IZ24/'Total Value'!IY24-1)</f>
        <v/>
      </c>
      <c r="JA12" s="14" t="str">
        <f ca="1">IF(JA$1="","",'Total Value'!JA24/'Total Value'!IZ24-1)</f>
        <v/>
      </c>
      <c r="JB12" s="14" t="str">
        <f ca="1">IF(JB$1="","",'Total Value'!JB24/'Total Value'!JA24-1)</f>
        <v/>
      </c>
      <c r="JC12" s="14" t="str">
        <f ca="1">IF(JC$1="","",'Total Value'!JC24/'Total Value'!JB24-1)</f>
        <v/>
      </c>
      <c r="JD12" s="14" t="str">
        <f ca="1">IF(JD$1="","",'Total Value'!JD24/'Total Value'!JC24-1)</f>
        <v/>
      </c>
      <c r="JE12" s="14" t="str">
        <f ca="1">IF(JE$1="","",'Total Value'!JE24/'Total Value'!JD24-1)</f>
        <v/>
      </c>
      <c r="JF12" s="14" t="str">
        <f ca="1">IF(JF$1="","",'Total Value'!JF24/'Total Value'!JE24-1)</f>
        <v/>
      </c>
      <c r="JG12" s="14" t="str">
        <f ca="1">IF(JG$1="","",'Total Value'!JG24/'Total Value'!JF24-1)</f>
        <v/>
      </c>
      <c r="JH12" s="14" t="str">
        <f ca="1">IF(JH$1="","",'Total Value'!JH24/'Total Value'!JG24-1)</f>
        <v/>
      </c>
      <c r="JI12" s="14" t="str">
        <f ca="1">IF(JI$1="","",'Total Value'!JI24/'Total Value'!JH24-1)</f>
        <v/>
      </c>
      <c r="JJ12" s="14" t="str">
        <f ca="1">IF(JJ$1="","",'Total Value'!JJ24/'Total Value'!JI24-1)</f>
        <v/>
      </c>
      <c r="JK12" s="14" t="str">
        <f ca="1">IF(JK$1="","",'Total Value'!JK24/'Total Value'!JJ24-1)</f>
        <v/>
      </c>
      <c r="JL12" s="14" t="str">
        <f ca="1">IF(JL$1="","",'Total Value'!JL24/'Total Value'!JK24-1)</f>
        <v/>
      </c>
      <c r="JM12" s="14" t="str">
        <f ca="1">IF(JM$1="","",'Total Value'!JM24/'Total Value'!JL24-1)</f>
        <v/>
      </c>
      <c r="JN12" s="14" t="str">
        <f ca="1">IF(JN$1="","",'Total Value'!JN24/'Total Value'!JM24-1)</f>
        <v/>
      </c>
      <c r="JO12" s="14" t="str">
        <f ca="1">IF(JO$1="","",'Total Value'!JO24/'Total Value'!JN24-1)</f>
        <v/>
      </c>
      <c r="JP12" s="14" t="str">
        <f ca="1">IF(JP$1="","",'Total Value'!JP24/'Total Value'!JO24-1)</f>
        <v/>
      </c>
      <c r="JQ12" s="14" t="str">
        <f ca="1">IF(JQ$1="","",'Total Value'!JQ24/'Total Value'!JP24-1)</f>
        <v/>
      </c>
      <c r="JR12" s="14" t="str">
        <f ca="1">IF(JR$1="","",'Total Value'!JR24/'Total Value'!JQ24-1)</f>
        <v/>
      </c>
      <c r="JS12" s="14" t="str">
        <f ca="1">IF(JS$1="","",'Total Value'!JS24/'Total Value'!JR24-1)</f>
        <v/>
      </c>
      <c r="JT12" s="14" t="str">
        <f ca="1">IF(JT$1="","",'Total Value'!JT24/'Total Value'!JS24-1)</f>
        <v/>
      </c>
      <c r="JU12" s="14" t="str">
        <f ca="1">IF(JU$1="","",'Total Value'!JU24/'Total Value'!JT24-1)</f>
        <v/>
      </c>
      <c r="JV12" s="14" t="str">
        <f ca="1">IF(JV$1="","",'Total Value'!JV24/'Total Value'!JU24-1)</f>
        <v/>
      </c>
      <c r="JW12" s="14" t="str">
        <f ca="1">IF(JW$1="","",'Total Value'!JW24/'Total Value'!JV24-1)</f>
        <v/>
      </c>
      <c r="JX12" s="14" t="str">
        <f ca="1">IF(JX$1="","",'Total Value'!JX24/'Total Value'!JW24-1)</f>
        <v/>
      </c>
      <c r="JY12" s="14" t="str">
        <f ca="1">IF(JY$1="","",'Total Value'!JY24/'Total Value'!JX24-1)</f>
        <v/>
      </c>
      <c r="JZ12" s="14" t="str">
        <f ca="1">IF(JZ$1="","",'Total Value'!JZ24/'Total Value'!JY24-1)</f>
        <v/>
      </c>
      <c r="KA12" s="14" t="str">
        <f ca="1">IF(KA$1="","",'Total Value'!KA24/'Total Value'!JZ24-1)</f>
        <v/>
      </c>
      <c r="KB12" s="14" t="str">
        <f ca="1">IF(KB$1="","",'Total Value'!KB24/'Total Value'!KA24-1)</f>
        <v/>
      </c>
    </row>
    <row r="13" spans="1:288" ht="15.75" customHeight="1">
      <c r="A13" s="22" t="s">
        <v>30</v>
      </c>
      <c r="B13" s="6" t="s">
        <v>58</v>
      </c>
      <c r="C13" s="26">
        <v>84</v>
      </c>
      <c r="D13" s="13">
        <v>0</v>
      </c>
      <c r="E13" s="14">
        <f ca="1">IF(E$1="","",'Total Value'!E25/'Total Value'!D25-1)</f>
        <v>7.0181444710717411E-3</v>
      </c>
      <c r="F13" s="14">
        <f ca="1">IF(F$1="","",'Total Value'!F25/'Total Value'!E25-1)</f>
        <v>-2.7197008329085115E-3</v>
      </c>
      <c r="G13" s="14">
        <f ca="1">IF(G$1="","",'Total Value'!G25/'Total Value'!F25-1)</f>
        <v>-2.2328276802454416E-2</v>
      </c>
      <c r="H13" s="14">
        <f ca="1">IF(H$1="","",'Total Value'!H25/'Total Value'!G25-1)</f>
        <v>-2.6673640167363954E-2</v>
      </c>
      <c r="I13" s="14">
        <f ca="1">IF(I$1="","",'Total Value'!I25/'Total Value'!H25-1)</f>
        <v>-5.3734551316496626E-3</v>
      </c>
      <c r="J13" s="14">
        <f ca="1">IF(J$1="","",'Total Value'!J25/'Total Value'!I25-1)</f>
        <v>7.2033135242199897E-4</v>
      </c>
      <c r="K13" s="14">
        <f ca="1">IF(K$1="","",'Total Value'!K25/'Total Value'!J25-1)</f>
        <v>-4.426849019254997E-2</v>
      </c>
      <c r="L13" s="14">
        <f ca="1">IF(L$1="","",'Total Value'!L25/'Total Value'!K25-1)</f>
        <v>-1.1297307475052198E-3</v>
      </c>
      <c r="M13" s="14">
        <f ca="1">IF(M$1="","",'Total Value'!M25/'Total Value'!L25-1)</f>
        <v>5.9000942507068777E-2</v>
      </c>
      <c r="N13" s="14">
        <f ca="1">IF(N$1="","",'Total Value'!N25/'Total Value'!M25-1)</f>
        <v>-2.4563901744393046E-2</v>
      </c>
      <c r="O13" s="14">
        <f ca="1">IF(O$1="","",'Total Value'!O25/'Total Value'!N25-1)</f>
        <v>-3.3941605839415967E-2</v>
      </c>
      <c r="P13" s="14">
        <f ca="1">IF(P$1="","",'Total Value'!P25/'Total Value'!O25-1)</f>
        <v>-7.5557234605228007E-4</v>
      </c>
      <c r="Q13" s="14">
        <f ca="1">IF(Q$1="","",'Total Value'!Q25/'Total Value'!P25-1)</f>
        <v>3.3081285444234387E-2</v>
      </c>
      <c r="R13" s="14">
        <f ca="1">IF(R$1="","",'Total Value'!R25/'Total Value'!Q25-1)</f>
        <v>2.5983531564501616E-2</v>
      </c>
      <c r="S13" s="14">
        <f ca="1">IF(S$1="","",'Total Value'!S25/'Total Value'!R25-1)</f>
        <v>3.9236668450151058E-3</v>
      </c>
      <c r="T13" s="14">
        <f ca="1">IF(T$1="","",'Total Value'!T25/'Total Value'!S25-1)</f>
        <v>4.3169301829809825E-2</v>
      </c>
      <c r="U13" s="14">
        <f ca="1">IF(U$1="","",'Total Value'!U25/'Total Value'!T25-1)</f>
        <v>-5.2111716621253357E-2</v>
      </c>
      <c r="V13" s="14">
        <f ca="1">IF(V$1="","",'Total Value'!V25/'Total Value'!U25-1)</f>
        <v>8.4441250449156513E-3</v>
      </c>
      <c r="W13" s="14">
        <f ca="1">IF(W$1="","",'Total Value'!W25/'Total Value'!V25-1)</f>
        <v>-3.5631569570639954E-3</v>
      </c>
      <c r="X13" s="14">
        <f ca="1">IF(X$1="","",'Total Value'!X25/'Total Value'!W25-1)</f>
        <v>4.3268371178258658E-2</v>
      </c>
      <c r="Y13" s="14">
        <f ca="1">IF(Y$1="","",'Total Value'!Y25/'Total Value'!X25-1)</f>
        <v>4.5415595544130216E-2</v>
      </c>
      <c r="Z13" s="14">
        <f ca="1">IF(Z$1="","",'Total Value'!Z25/'Total Value'!Y25-1)</f>
        <v>-4.098360655737654E-3</v>
      </c>
      <c r="AA13" s="14">
        <f ca="1">IF(AA$1="","",'Total Value'!AA25/'Total Value'!Z25-1)</f>
        <v>-5.5967078189300357E-2</v>
      </c>
      <c r="AB13" s="14">
        <f ca="1">IF(AB$1="","",'Total Value'!AB25/'Total Value'!AA25-1)</f>
        <v>-4.0453356582388911E-2</v>
      </c>
      <c r="AC13" s="14">
        <f ca="1">IF(AC$1="","",'Total Value'!AC25/'Total Value'!AB25-1)</f>
        <v>6.1784481192075358E-3</v>
      </c>
      <c r="AD13" s="14">
        <f ca="1">IF(AD$1="","",'Total Value'!AD25/'Total Value'!AC25-1)</f>
        <v>1.4448257178978352E-3</v>
      </c>
      <c r="AE13" s="14">
        <f ca="1">IF(AE$1="","",'Total Value'!AE25/'Total Value'!AD25-1)</f>
        <v>-5.9332732191163307E-2</v>
      </c>
      <c r="AF13" s="14">
        <f ca="1">IF(AF$1="","",'Total Value'!AF25/'Total Value'!AE25-1)</f>
        <v>2.3006134969327796E-3</v>
      </c>
      <c r="AG13" s="14">
        <f ca="1">IF(AG$1="","",'Total Value'!AG25/'Total Value'!AF25-1)</f>
        <v>-1.6258607498087385E-2</v>
      </c>
      <c r="AH13" s="14">
        <f ca="1">IF(AH$1="","",'Total Value'!AH25/'Total Value'!AG25-1)</f>
        <v>-2.1582733812949617E-2</v>
      </c>
      <c r="AI13" s="14">
        <f ca="1">IF(AI$1="","",'Total Value'!AI25/'Total Value'!AH25-1)</f>
        <v>5.6041335453100194E-2</v>
      </c>
      <c r="AJ13" s="14">
        <f ca="1">IF(AJ$1="","",'Total Value'!AJ25/'Total Value'!AI25-1)</f>
        <v>2.4651863003387176E-2</v>
      </c>
      <c r="AK13" s="14">
        <f ca="1">IF(AK$1="","",'Total Value'!AK25/'Total Value'!AJ25-1)</f>
        <v>-1.983471074380172E-2</v>
      </c>
      <c r="AL13" s="14">
        <f ca="1">IF(AL$1="","",'Total Value'!AL25/'Total Value'!AK25-1)</f>
        <v>-4.5531197301854953E-2</v>
      </c>
      <c r="AM13" s="14">
        <f ca="1">IF(AM$1="","",'Total Value'!AM25/'Total Value'!AL25-1)</f>
        <v>4.7310561444837251E-2</v>
      </c>
      <c r="AN13" s="14">
        <f ca="1">IF(AN$1="","",'Total Value'!AN25/'Total Value'!AM25-1)</f>
        <v>-2.2680412371134051E-2</v>
      </c>
      <c r="AO13" s="14">
        <f ca="1">IF(AO$1="","",'Total Value'!AO25/'Total Value'!AN25-1)</f>
        <v>-4.449558879938631E-2</v>
      </c>
      <c r="AP13" s="14">
        <f ca="1">IF(AP$1="","",'Total Value'!AP25/'Total Value'!AO25-1)</f>
        <v>-8.6712163789642749E-2</v>
      </c>
      <c r="AQ13" s="14">
        <f ca="1">IF(AQ$1="","",'Total Value'!AQ25/'Total Value'!AP25-1)</f>
        <v>1.9780219780221042E-3</v>
      </c>
      <c r="AR13" s="14">
        <f ca="1">IF(AR$1="","",'Total Value'!AR25/'Total Value'!AQ25-1)</f>
        <v>4.6062733055494576E-2</v>
      </c>
      <c r="AS13" s="14">
        <f ca="1">IF(AS$1="","",'Total Value'!AS25/'Total Value'!AR25-1)</f>
        <v>8.1778150555671392E-3</v>
      </c>
      <c r="AT13" s="14">
        <f ca="1">IF(AT$1="","",'Total Value'!AT25/'Total Value'!AS25-1)</f>
        <v>-2.6414309484192988E-2</v>
      </c>
      <c r="AU13" s="14">
        <f ca="1">IF(AU$1="","",'Total Value'!AU25/'Total Value'!AT25-1)</f>
        <v>-8.3315530869472187E-3</v>
      </c>
      <c r="AV13" s="14">
        <f ca="1">IF(AV$1="","",'Total Value'!AV25/'Total Value'!AU25-1)</f>
        <v>1.5079707022835009E-2</v>
      </c>
      <c r="AW13" s="14">
        <f ca="1">IF(AW$1="","",'Total Value'!AW25/'Total Value'!AV25-1)</f>
        <v>3.4592529711375164E-2</v>
      </c>
      <c r="AX13" s="14">
        <f ca="1">IF(AX$1="","",'Total Value'!AX25/'Total Value'!AW25-1)</f>
        <v>-4.1025641025649318E-4</v>
      </c>
      <c r="AY13" s="14">
        <f ca="1">IF(AY$1="","",'Total Value'!AY25/'Total Value'!AX25-1)</f>
        <v>3.4065257541555649E-2</v>
      </c>
      <c r="AZ13" s="14">
        <f ca="1">IF(AZ$1="","",'Total Value'!AZ25/'Total Value'!AY25-1)</f>
        <v>-2.1432823973010606E-2</v>
      </c>
      <c r="BA13" s="14">
        <f ca="1">IF(BA$1="","",'Total Value'!BA25/'Total Value'!AZ25-1)</f>
        <v>1.2776313121070748E-2</v>
      </c>
      <c r="BB13" s="14">
        <f ca="1">IF(BB$1="","",'Total Value'!BB25/'Total Value'!BA25-1)</f>
        <v>-2.22266720064076E-2</v>
      </c>
      <c r="BC13" s="14">
        <f ca="1">IF(BC$1="","",'Total Value'!BC25/'Total Value'!BB25-1)</f>
        <v>1.9455252918288091E-2</v>
      </c>
      <c r="BD13" s="14">
        <f ca="1">IF(BD$1="","",'Total Value'!BD25/'Total Value'!BC25-1)</f>
        <v>2.2900763358778553E-2</v>
      </c>
      <c r="BE13" s="14">
        <f ca="1">IF(BE$1="","",'Total Value'!BE25/'Total Value'!BD25-1)</f>
        <v>-2.0620581304006236E-2</v>
      </c>
      <c r="BF13" s="14">
        <f ca="1">IF(BF$1="","",'Total Value'!BF25/'Total Value'!BE25-1)</f>
        <v>3.8099057549629167E-2</v>
      </c>
      <c r="BG13" s="14">
        <f ca="1">IF(BG$1="","",'Total Value'!BG25/'Total Value'!BF25-1)</f>
        <v>-3.6121305775545842E-2</v>
      </c>
      <c r="BH13" s="14">
        <f ca="1">IF(BH$1="","",'Total Value'!BH25/'Total Value'!BG25-1)</f>
        <v>-4.2084168336673278E-2</v>
      </c>
      <c r="BI13" s="14">
        <f ca="1">IF(BI$1="","",'Total Value'!BI25/'Total Value'!BH25-1)</f>
        <v>-7.1129707112970175E-3</v>
      </c>
      <c r="BJ13" s="14">
        <f ca="1">IF(BJ$1="","",'Total Value'!BJ25/'Total Value'!BI25-1)</f>
        <v>7.5853350189634128E-3</v>
      </c>
      <c r="BK13" s="14">
        <f ca="1">IF(BK$1="","",'Total Value'!BK25/'Total Value'!BJ25-1)</f>
        <v>-1.9029694688414978E-2</v>
      </c>
      <c r="BL13" s="14">
        <f ca="1">IF(BL$1="","",'Total Value'!BL25/'Total Value'!BK25-1)</f>
        <v>-2.9631208697505684E-2</v>
      </c>
      <c r="BM13" s="14">
        <f ca="1">IF(BM$1="","",'Total Value'!BM25/'Total Value'!BL25-1)</f>
        <v>-2.1968365553602931E-3</v>
      </c>
      <c r="BN13" s="14">
        <f ca="1">IF(BN$1="","",'Total Value'!BN25/'Total Value'!BM25-1)</f>
        <v>1.5631880228973882E-2</v>
      </c>
      <c r="BO13" s="14">
        <f ca="1">IF(BO$1="","",'Total Value'!BO25/'Total Value'!BN25-1)</f>
        <v>3.3817472360719636E-2</v>
      </c>
      <c r="BP13" s="14">
        <f ca="1">IF(BP$1="","",'Total Value'!BP25/'Total Value'!BO25-1)</f>
        <v>2.5162507863283778E-2</v>
      </c>
      <c r="BQ13" s="14">
        <f ca="1">IF(BQ$1="","",'Total Value'!BQ25/'Total Value'!BP25-1)</f>
        <v>4.5817140519533561E-2</v>
      </c>
      <c r="BR13" s="14">
        <f ca="1">IF(BR$1="","",'Total Value'!BR25/'Total Value'!BQ25-1)</f>
        <v>2.073146880500687E-2</v>
      </c>
      <c r="BS13" s="14">
        <f ca="1">IF(BS$1="","",'Total Value'!BS25/'Total Value'!BR25-1)</f>
        <v>1.3795746311553891E-2</v>
      </c>
      <c r="BT13" s="14">
        <f ca="1">IF(BT$1="","",'Total Value'!BT25/'Total Value'!BS25-1)</f>
        <v>5.0274050274050408E-2</v>
      </c>
      <c r="BU13" s="14">
        <f ca="1">IF(BU$1="","",'Total Value'!BU25/'Total Value'!BT25-1)</f>
        <v>2.2674104732769429E-2</v>
      </c>
      <c r="BV13" s="14">
        <f ca="1">IF(BV$1="","",'Total Value'!BV25/'Total Value'!BU25-1)</f>
        <v>-2.4634875945803381E-2</v>
      </c>
      <c r="BW13" s="14">
        <f ca="1">IF(BW$1="","",'Total Value'!BW25/'Total Value'!BV25-1)</f>
        <v>-3.6442359732996588E-2</v>
      </c>
      <c r="BX13" s="14">
        <f ca="1">IF(BX$1="","",'Total Value'!BX25/'Total Value'!BW25-1)</f>
        <v>1.2918929039505977E-2</v>
      </c>
      <c r="BY13" s="14">
        <f ca="1">IF(BY$1="","",'Total Value'!BY25/'Total Value'!BX25-1)</f>
        <v>-2.1996303142329254E-2</v>
      </c>
      <c r="BZ13" s="14">
        <f ca="1">IF(BZ$1="","",'Total Value'!BZ25/'Total Value'!BY25-1)</f>
        <v>-2.2680022680022782E-3</v>
      </c>
      <c r="CA13" s="14">
        <f ca="1">IF(CA$1="","",'Total Value'!CA25/'Total Value'!BZ25-1)</f>
        <v>2.9740481151733222E-2</v>
      </c>
      <c r="CB13" s="14">
        <f ca="1">IF(CB$1="","",'Total Value'!CB25/'Total Value'!CA25-1)</f>
        <v>-2.7041942604856373E-2</v>
      </c>
      <c r="CC13" s="14">
        <f ca="1">IF(CC$1="","",'Total Value'!CC25/'Total Value'!CB25-1)</f>
        <v>2.6659103800340311E-2</v>
      </c>
      <c r="CD13" s="14">
        <f ca="1">IF(CD$1="","",'Total Value'!CD25/'Total Value'!CC25-1)</f>
        <v>-1.9337016574585641E-2</v>
      </c>
      <c r="CE13" s="14">
        <f ca="1">IF(CE$1="","",'Total Value'!CE25/'Total Value'!CD25-1)</f>
        <v>2.1408450704225368E-2</v>
      </c>
      <c r="CF13" s="14" t="str">
        <f ca="1">IF(CF$1="","",'Total Value'!CF25/'Total Value'!CE25-1)</f>
        <v/>
      </c>
      <c r="CG13" s="14" t="str">
        <f ca="1">IF(CG$1="","",'Total Value'!CG25/'Total Value'!CF25-1)</f>
        <v/>
      </c>
      <c r="CH13" s="14" t="str">
        <f ca="1">IF(CH$1="","",'Total Value'!CH25/'Total Value'!CG25-1)</f>
        <v/>
      </c>
      <c r="CI13" s="14" t="str">
        <f ca="1">IF(CI$1="","",'Total Value'!CI25/'Total Value'!CH25-1)</f>
        <v/>
      </c>
      <c r="CJ13" s="14" t="str">
        <f ca="1">IF(CJ$1="","",'Total Value'!CJ25/'Total Value'!CI25-1)</f>
        <v/>
      </c>
      <c r="CK13" s="14" t="str">
        <f ca="1">IF(CK$1="","",'Total Value'!CK25/'Total Value'!CJ25-1)</f>
        <v/>
      </c>
      <c r="CL13" s="14" t="str">
        <f ca="1">IF(CL$1="","",'Total Value'!CL25/'Total Value'!CK25-1)</f>
        <v/>
      </c>
      <c r="CM13" s="14" t="str">
        <f ca="1">IF(CM$1="","",'Total Value'!CM25/'Total Value'!CL25-1)</f>
        <v/>
      </c>
      <c r="CN13" s="14" t="str">
        <f ca="1">IF(CN$1="","",'Total Value'!CN25/'Total Value'!CM25-1)</f>
        <v/>
      </c>
      <c r="CO13" s="14" t="str">
        <f ca="1">IF(CO$1="","",'Total Value'!CO25/'Total Value'!CN25-1)</f>
        <v/>
      </c>
      <c r="CP13" s="14" t="str">
        <f ca="1">IF(CP$1="","",'Total Value'!CP25/'Total Value'!CO25-1)</f>
        <v/>
      </c>
      <c r="CQ13" s="14" t="str">
        <f ca="1">IF(CQ$1="","",'Total Value'!CQ25/'Total Value'!CP25-1)</f>
        <v/>
      </c>
      <c r="CR13" s="14" t="str">
        <f ca="1">IF(CR$1="","",'Total Value'!CR25/'Total Value'!CQ25-1)</f>
        <v/>
      </c>
      <c r="CS13" s="14" t="str">
        <f ca="1">IF(CS$1="","",'Total Value'!CS25/'Total Value'!CR25-1)</f>
        <v/>
      </c>
      <c r="CT13" s="14" t="str">
        <f ca="1">IF(CT$1="","",'Total Value'!CT25/'Total Value'!CS25-1)</f>
        <v/>
      </c>
      <c r="CU13" s="14" t="str">
        <f ca="1">IF(CU$1="","",'Total Value'!CU25/'Total Value'!CT25-1)</f>
        <v/>
      </c>
      <c r="CV13" s="14" t="str">
        <f ca="1">IF(CV$1="","",'Total Value'!CV25/'Total Value'!CU25-1)</f>
        <v/>
      </c>
      <c r="CW13" s="14" t="str">
        <f ca="1">IF(CW$1="","",'Total Value'!CW25/'Total Value'!CV25-1)</f>
        <v/>
      </c>
      <c r="CX13" s="14" t="str">
        <f ca="1">IF(CX$1="","",'Total Value'!CX25/'Total Value'!CW25-1)</f>
        <v/>
      </c>
      <c r="CY13" s="14" t="str">
        <f ca="1">IF(CY$1="","",'Total Value'!CY25/'Total Value'!CX25-1)</f>
        <v/>
      </c>
      <c r="CZ13" s="14" t="str">
        <f ca="1">IF(CZ$1="","",'Total Value'!CZ25/'Total Value'!CY25-1)</f>
        <v/>
      </c>
      <c r="DA13" s="14" t="str">
        <f ca="1">IF(DA$1="","",'Total Value'!DA25/'Total Value'!CZ25-1)</f>
        <v/>
      </c>
      <c r="DB13" s="14" t="str">
        <f ca="1">IF(DB$1="","",'Total Value'!DB25/'Total Value'!DA25-1)</f>
        <v/>
      </c>
      <c r="DC13" s="14" t="str">
        <f ca="1">IF(DC$1="","",'Total Value'!DC25/'Total Value'!DB25-1)</f>
        <v/>
      </c>
      <c r="DD13" s="14" t="str">
        <f ca="1">IF(DD$1="","",'Total Value'!DD25/'Total Value'!DC25-1)</f>
        <v/>
      </c>
      <c r="DE13" s="14" t="str">
        <f ca="1">IF(DE$1="","",'Total Value'!DE25/'Total Value'!DD25-1)</f>
        <v/>
      </c>
      <c r="DF13" s="14" t="str">
        <f ca="1">IF(DF$1="","",'Total Value'!DF25/'Total Value'!DE25-1)</f>
        <v/>
      </c>
      <c r="DG13" s="14" t="str">
        <f ca="1">IF(DG$1="","",'Total Value'!DG25/'Total Value'!DF25-1)</f>
        <v/>
      </c>
      <c r="DH13" s="14" t="str">
        <f ca="1">IF(DH$1="","",'Total Value'!DH25/'Total Value'!DG25-1)</f>
        <v/>
      </c>
      <c r="DI13" s="14" t="str">
        <f ca="1">IF(DI$1="","",'Total Value'!DI25/'Total Value'!DH25-1)</f>
        <v/>
      </c>
      <c r="DJ13" s="14" t="str">
        <f ca="1">IF(DJ$1="","",'Total Value'!DJ25/'Total Value'!DI25-1)</f>
        <v/>
      </c>
      <c r="DK13" s="14" t="str">
        <f ca="1">IF(DK$1="","",'Total Value'!DK25/'Total Value'!DJ25-1)</f>
        <v/>
      </c>
      <c r="DL13" s="14" t="str">
        <f ca="1">IF(DL$1="","",'Total Value'!DL25/'Total Value'!DK25-1)</f>
        <v/>
      </c>
      <c r="DM13" s="14" t="str">
        <f ca="1">IF(DM$1="","",'Total Value'!DM25/'Total Value'!DL25-1)</f>
        <v/>
      </c>
      <c r="DN13" s="14" t="str">
        <f ca="1">IF(DN$1="","",'Total Value'!DN25/'Total Value'!DM25-1)</f>
        <v/>
      </c>
      <c r="DO13" s="14" t="str">
        <f ca="1">IF(DO$1="","",'Total Value'!DO25/'Total Value'!DN25-1)</f>
        <v/>
      </c>
      <c r="DP13" s="14" t="str">
        <f ca="1">IF(DP$1="","",'Total Value'!DP25/'Total Value'!DO25-1)</f>
        <v/>
      </c>
      <c r="DQ13" s="14" t="str">
        <f ca="1">IF(DQ$1="","",'Total Value'!DQ25/'Total Value'!DP25-1)</f>
        <v/>
      </c>
      <c r="DR13" s="14" t="str">
        <f ca="1">IF(DR$1="","",'Total Value'!DR25/'Total Value'!DQ25-1)</f>
        <v/>
      </c>
      <c r="DS13" s="14" t="str">
        <f ca="1">IF(DS$1="","",'Total Value'!DS25/'Total Value'!DR25-1)</f>
        <v/>
      </c>
      <c r="DT13" s="14" t="str">
        <f ca="1">IF(DT$1="","",'Total Value'!DT25/'Total Value'!DS25-1)</f>
        <v/>
      </c>
      <c r="DU13" s="14" t="str">
        <f ca="1">IF(DU$1="","",'Total Value'!DU25/'Total Value'!DT25-1)</f>
        <v/>
      </c>
      <c r="DV13" s="14" t="str">
        <f ca="1">IF(DV$1="","",'Total Value'!DV25/'Total Value'!DU25-1)</f>
        <v/>
      </c>
      <c r="DW13" s="14" t="str">
        <f ca="1">IF(DW$1="","",'Total Value'!DW25/'Total Value'!DV25-1)</f>
        <v/>
      </c>
      <c r="DX13" s="14" t="str">
        <f ca="1">IF(DX$1="","",'Total Value'!DX25/'Total Value'!DW25-1)</f>
        <v/>
      </c>
      <c r="DY13" s="14" t="str">
        <f ca="1">IF(DY$1="","",'Total Value'!DY25/'Total Value'!DX25-1)</f>
        <v/>
      </c>
      <c r="DZ13" s="14" t="str">
        <f ca="1">IF(DZ$1="","",'Total Value'!DZ25/'Total Value'!DY25-1)</f>
        <v/>
      </c>
      <c r="EA13" s="14" t="str">
        <f ca="1">IF(EA$1="","",'Total Value'!EA25/'Total Value'!DZ25-1)</f>
        <v/>
      </c>
      <c r="EB13" s="14" t="str">
        <f ca="1">IF(EB$1="","",'Total Value'!EB25/'Total Value'!EA25-1)</f>
        <v/>
      </c>
      <c r="EC13" s="14" t="str">
        <f ca="1">IF(EC$1="","",'Total Value'!EC25/'Total Value'!EB25-1)</f>
        <v/>
      </c>
      <c r="ED13" s="14" t="str">
        <f ca="1">IF(ED$1="","",'Total Value'!ED25/'Total Value'!EC25-1)</f>
        <v/>
      </c>
      <c r="EE13" s="14" t="str">
        <f ca="1">IF(EE$1="","",'Total Value'!EE25/'Total Value'!ED25-1)</f>
        <v/>
      </c>
      <c r="EF13" s="14" t="str">
        <f ca="1">IF(EF$1="","",'Total Value'!EF25/'Total Value'!EE25-1)</f>
        <v/>
      </c>
      <c r="EG13" s="14" t="str">
        <f ca="1">IF(EG$1="","",'Total Value'!EG25/'Total Value'!EF25-1)</f>
        <v/>
      </c>
      <c r="EH13" s="14" t="str">
        <f ca="1">IF(EH$1="","",'Total Value'!EH25/'Total Value'!EG25-1)</f>
        <v/>
      </c>
      <c r="EI13" s="14" t="str">
        <f ca="1">IF(EI$1="","",'Total Value'!EI25/'Total Value'!EH25-1)</f>
        <v/>
      </c>
      <c r="EJ13" s="14" t="str">
        <f ca="1">IF(EJ$1="","",'Total Value'!EJ25/'Total Value'!EI25-1)</f>
        <v/>
      </c>
      <c r="EK13" s="14" t="str">
        <f ca="1">IF(EK$1="","",'Total Value'!EK25/'Total Value'!EJ25-1)</f>
        <v/>
      </c>
      <c r="EL13" s="14" t="str">
        <f ca="1">IF(EL$1="","",'Total Value'!EL25/'Total Value'!EK25-1)</f>
        <v/>
      </c>
      <c r="EM13" s="14" t="str">
        <f ca="1">IF(EM$1="","",'Total Value'!EM25/'Total Value'!EL25-1)</f>
        <v/>
      </c>
      <c r="EN13" s="14" t="str">
        <f ca="1">IF(EN$1="","",'Total Value'!EN25/'Total Value'!EM25-1)</f>
        <v/>
      </c>
      <c r="EO13" s="14" t="str">
        <f ca="1">IF(EO$1="","",'Total Value'!EO25/'Total Value'!EN25-1)</f>
        <v/>
      </c>
      <c r="EP13" s="14" t="str">
        <f ca="1">IF(EP$1="","",'Total Value'!EP25/'Total Value'!EO25-1)</f>
        <v/>
      </c>
      <c r="EQ13" s="14" t="str">
        <f ca="1">IF(EQ$1="","",'Total Value'!EQ25/'Total Value'!EP25-1)</f>
        <v/>
      </c>
      <c r="ER13" s="14" t="str">
        <f ca="1">IF(ER$1="","",'Total Value'!ER25/'Total Value'!EQ25-1)</f>
        <v/>
      </c>
      <c r="ES13" s="14" t="str">
        <f ca="1">IF(ES$1="","",'Total Value'!ES25/'Total Value'!ER25-1)</f>
        <v/>
      </c>
      <c r="ET13" s="14" t="str">
        <f ca="1">IF(ET$1="","",'Total Value'!ET25/'Total Value'!ES25-1)</f>
        <v/>
      </c>
      <c r="EU13" s="14" t="str">
        <f ca="1">IF(EU$1="","",'Total Value'!EU25/'Total Value'!ET25-1)</f>
        <v/>
      </c>
      <c r="EV13" s="14" t="str">
        <f ca="1">IF(EV$1="","",'Total Value'!EV25/'Total Value'!EU25-1)</f>
        <v/>
      </c>
      <c r="EW13" s="14" t="str">
        <f ca="1">IF(EW$1="","",'Total Value'!EW25/'Total Value'!EV25-1)</f>
        <v/>
      </c>
      <c r="EX13" s="14" t="str">
        <f ca="1">IF(EX$1="","",'Total Value'!EX25/'Total Value'!EW25-1)</f>
        <v/>
      </c>
      <c r="EY13" s="14" t="str">
        <f ca="1">IF(EY$1="","",'Total Value'!EY25/'Total Value'!EX25-1)</f>
        <v/>
      </c>
      <c r="EZ13" s="14" t="str">
        <f ca="1">IF(EZ$1="","",'Total Value'!EZ25/'Total Value'!EY25-1)</f>
        <v/>
      </c>
      <c r="FA13" s="14" t="str">
        <f ca="1">IF(FA$1="","",'Total Value'!FA25/'Total Value'!EZ25-1)</f>
        <v/>
      </c>
      <c r="FB13" s="14" t="str">
        <f ca="1">IF(FB$1="","",'Total Value'!FB25/'Total Value'!FA25-1)</f>
        <v/>
      </c>
      <c r="FC13" s="14" t="str">
        <f ca="1">IF(FC$1="","",'Total Value'!FC25/'Total Value'!FB25-1)</f>
        <v/>
      </c>
      <c r="FD13" s="14" t="str">
        <f ca="1">IF(FD$1="","",'Total Value'!FD25/'Total Value'!FC25-1)</f>
        <v/>
      </c>
      <c r="FE13" s="14" t="str">
        <f ca="1">IF(FE$1="","",'Total Value'!FE25/'Total Value'!FD25-1)</f>
        <v/>
      </c>
      <c r="FF13" s="14" t="str">
        <f ca="1">IF(FF$1="","",'Total Value'!FF25/'Total Value'!FE25-1)</f>
        <v/>
      </c>
      <c r="FG13" s="14" t="str">
        <f ca="1">IF(FG$1="","",'Total Value'!FG25/'Total Value'!FF25-1)</f>
        <v/>
      </c>
      <c r="FH13" s="14" t="str">
        <f ca="1">IF(FH$1="","",'Total Value'!FH25/'Total Value'!FG25-1)</f>
        <v/>
      </c>
      <c r="FI13" s="14" t="str">
        <f ca="1">IF(FI$1="","",'Total Value'!FI25/'Total Value'!FH25-1)</f>
        <v/>
      </c>
      <c r="FJ13" s="14" t="str">
        <f ca="1">IF(FJ$1="","",'Total Value'!FJ25/'Total Value'!FI25-1)</f>
        <v/>
      </c>
      <c r="FK13" s="14" t="str">
        <f ca="1">IF(FK$1="","",'Total Value'!FK25/'Total Value'!FJ25-1)</f>
        <v/>
      </c>
      <c r="FL13" s="14" t="str">
        <f ca="1">IF(FL$1="","",'Total Value'!FL25/'Total Value'!FK25-1)</f>
        <v/>
      </c>
      <c r="FM13" s="14" t="str">
        <f ca="1">IF(FM$1="","",'Total Value'!FM25/'Total Value'!FL25-1)</f>
        <v/>
      </c>
      <c r="FN13" s="14" t="str">
        <f ca="1">IF(FN$1="","",'Total Value'!FN25/'Total Value'!FM25-1)</f>
        <v/>
      </c>
      <c r="FO13" s="14" t="str">
        <f ca="1">IF(FO$1="","",'Total Value'!FO25/'Total Value'!FN25-1)</f>
        <v/>
      </c>
      <c r="FP13" s="14" t="str">
        <f ca="1">IF(FP$1="","",'Total Value'!FP25/'Total Value'!FO25-1)</f>
        <v/>
      </c>
      <c r="FQ13" s="14" t="str">
        <f ca="1">IF(FQ$1="","",'Total Value'!FQ25/'Total Value'!FP25-1)</f>
        <v/>
      </c>
      <c r="FR13" s="14" t="str">
        <f ca="1">IF(FR$1="","",'Total Value'!FR25/'Total Value'!FQ25-1)</f>
        <v/>
      </c>
      <c r="FS13" s="14" t="str">
        <f ca="1">IF(FS$1="","",'Total Value'!FS25/'Total Value'!FR25-1)</f>
        <v/>
      </c>
      <c r="FT13" s="14" t="str">
        <f ca="1">IF(FT$1="","",'Total Value'!FT25/'Total Value'!FS25-1)</f>
        <v/>
      </c>
      <c r="FU13" s="14" t="str">
        <f ca="1">IF(FU$1="","",'Total Value'!FU25/'Total Value'!FT25-1)</f>
        <v/>
      </c>
      <c r="FV13" s="14" t="str">
        <f ca="1">IF(FV$1="","",'Total Value'!FV25/'Total Value'!FU25-1)</f>
        <v/>
      </c>
      <c r="FW13" s="14" t="str">
        <f ca="1">IF(FW$1="","",'Total Value'!FW25/'Total Value'!FV25-1)</f>
        <v/>
      </c>
      <c r="FX13" s="14" t="str">
        <f ca="1">IF(FX$1="","",'Total Value'!FX25/'Total Value'!FW25-1)</f>
        <v/>
      </c>
      <c r="FY13" s="14" t="str">
        <f ca="1">IF(FY$1="","",'Total Value'!FY25/'Total Value'!FX25-1)</f>
        <v/>
      </c>
      <c r="FZ13" s="14" t="str">
        <f ca="1">IF(FZ$1="","",'Total Value'!FZ25/'Total Value'!FY25-1)</f>
        <v/>
      </c>
      <c r="GA13" s="14" t="str">
        <f ca="1">IF(GA$1="","",'Total Value'!GA25/'Total Value'!FZ25-1)</f>
        <v/>
      </c>
      <c r="GB13" s="14" t="str">
        <f ca="1">IF(GB$1="","",'Total Value'!GB25/'Total Value'!GA25-1)</f>
        <v/>
      </c>
      <c r="GC13" s="14" t="str">
        <f ca="1">IF(GC$1="","",'Total Value'!GC25/'Total Value'!GB25-1)</f>
        <v/>
      </c>
      <c r="GD13" s="14" t="str">
        <f ca="1">IF(GD$1="","",'Total Value'!GD25/'Total Value'!GC25-1)</f>
        <v/>
      </c>
      <c r="GE13" s="14" t="str">
        <f ca="1">IF(GE$1="","",'Total Value'!GE25/'Total Value'!GD25-1)</f>
        <v/>
      </c>
      <c r="GF13" s="14" t="str">
        <f ca="1">IF(GF$1="","",'Total Value'!GF25/'Total Value'!GE25-1)</f>
        <v/>
      </c>
      <c r="GG13" s="14" t="str">
        <f ca="1">IF(GG$1="","",'Total Value'!GG25/'Total Value'!GF25-1)</f>
        <v/>
      </c>
      <c r="GH13" s="14" t="str">
        <f ca="1">IF(GH$1="","",'Total Value'!GH25/'Total Value'!GG25-1)</f>
        <v/>
      </c>
      <c r="GI13" s="14" t="str">
        <f ca="1">IF(GI$1="","",'Total Value'!GI25/'Total Value'!GH25-1)</f>
        <v/>
      </c>
      <c r="GJ13" s="14" t="str">
        <f ca="1">IF(GJ$1="","",'Total Value'!GJ25/'Total Value'!GI25-1)</f>
        <v/>
      </c>
      <c r="GK13" s="14" t="str">
        <f ca="1">IF(GK$1="","",'Total Value'!GK25/'Total Value'!GJ25-1)</f>
        <v/>
      </c>
      <c r="GL13" s="14" t="str">
        <f ca="1">IF(GL$1="","",'Total Value'!GL25/'Total Value'!GK25-1)</f>
        <v/>
      </c>
      <c r="GM13" s="14" t="str">
        <f ca="1">IF(GM$1="","",'Total Value'!GM25/'Total Value'!GL25-1)</f>
        <v/>
      </c>
      <c r="GN13" s="14" t="str">
        <f ca="1">IF(GN$1="","",'Total Value'!GN25/'Total Value'!GM25-1)</f>
        <v/>
      </c>
      <c r="GO13" s="14" t="str">
        <f ca="1">IF(GO$1="","",'Total Value'!GO25/'Total Value'!GN25-1)</f>
        <v/>
      </c>
      <c r="GP13" s="14" t="str">
        <f ca="1">IF(GP$1="","",'Total Value'!GP25/'Total Value'!GO25-1)</f>
        <v/>
      </c>
      <c r="GQ13" s="14" t="str">
        <f ca="1">IF(GQ$1="","",'Total Value'!GQ25/'Total Value'!GP25-1)</f>
        <v/>
      </c>
      <c r="GR13" s="14" t="str">
        <f ca="1">IF(GR$1="","",'Total Value'!GR25/'Total Value'!GQ25-1)</f>
        <v/>
      </c>
      <c r="GS13" s="14" t="str">
        <f ca="1">IF(GS$1="","",'Total Value'!GS25/'Total Value'!GR25-1)</f>
        <v/>
      </c>
      <c r="GT13" s="14" t="str">
        <f ca="1">IF(GT$1="","",'Total Value'!GT25/'Total Value'!GS25-1)</f>
        <v/>
      </c>
      <c r="GU13" s="14" t="str">
        <f ca="1">IF(GU$1="","",'Total Value'!GU25/'Total Value'!GT25-1)</f>
        <v/>
      </c>
      <c r="GV13" s="14" t="str">
        <f ca="1">IF(GV$1="","",'Total Value'!GV25/'Total Value'!GU25-1)</f>
        <v/>
      </c>
      <c r="GW13" s="14" t="str">
        <f ca="1">IF(GW$1="","",'Total Value'!GW25/'Total Value'!GV25-1)</f>
        <v/>
      </c>
      <c r="GX13" s="14" t="str">
        <f ca="1">IF(GX$1="","",'Total Value'!GX25/'Total Value'!GW25-1)</f>
        <v/>
      </c>
      <c r="GY13" s="14" t="str">
        <f ca="1">IF(GY$1="","",'Total Value'!GY25/'Total Value'!GX25-1)</f>
        <v/>
      </c>
      <c r="GZ13" s="14" t="str">
        <f ca="1">IF(GZ$1="","",'Total Value'!GZ25/'Total Value'!GY25-1)</f>
        <v/>
      </c>
      <c r="HA13" s="14" t="str">
        <f ca="1">IF(HA$1="","",'Total Value'!HA25/'Total Value'!GZ25-1)</f>
        <v/>
      </c>
      <c r="HB13" s="14" t="str">
        <f ca="1">IF(HB$1="","",'Total Value'!HB25/'Total Value'!HA25-1)</f>
        <v/>
      </c>
      <c r="HC13" s="14" t="str">
        <f ca="1">IF(HC$1="","",'Total Value'!HC25/'Total Value'!HB25-1)</f>
        <v/>
      </c>
      <c r="HD13" s="14" t="str">
        <f ca="1">IF(HD$1="","",'Total Value'!HD25/'Total Value'!HC25-1)</f>
        <v/>
      </c>
      <c r="HE13" s="14" t="str">
        <f ca="1">IF(HE$1="","",'Total Value'!HE25/'Total Value'!HD25-1)</f>
        <v/>
      </c>
      <c r="HF13" s="14" t="str">
        <f ca="1">IF(HF$1="","",'Total Value'!HF25/'Total Value'!HE25-1)</f>
        <v/>
      </c>
      <c r="HG13" s="14" t="str">
        <f ca="1">IF(HG$1="","",'Total Value'!HG25/'Total Value'!HF25-1)</f>
        <v/>
      </c>
      <c r="HH13" s="14" t="str">
        <f ca="1">IF(HH$1="","",'Total Value'!HH25/'Total Value'!HG25-1)</f>
        <v/>
      </c>
      <c r="HI13" s="14" t="str">
        <f ca="1">IF(HI$1="","",'Total Value'!HI25/'Total Value'!HH25-1)</f>
        <v/>
      </c>
      <c r="HJ13" s="14" t="str">
        <f ca="1">IF(HJ$1="","",'Total Value'!HJ25/'Total Value'!HI25-1)</f>
        <v/>
      </c>
      <c r="HK13" s="14" t="str">
        <f ca="1">IF(HK$1="","",'Total Value'!HK25/'Total Value'!HJ25-1)</f>
        <v/>
      </c>
      <c r="HL13" s="14" t="str">
        <f ca="1">IF(HL$1="","",'Total Value'!HL25/'Total Value'!HK25-1)</f>
        <v/>
      </c>
      <c r="HM13" s="14" t="str">
        <f ca="1">IF(HM$1="","",'Total Value'!HM25/'Total Value'!HL25-1)</f>
        <v/>
      </c>
      <c r="HN13" s="14" t="str">
        <f ca="1">IF(HN$1="","",'Total Value'!HN25/'Total Value'!HM25-1)</f>
        <v/>
      </c>
      <c r="HO13" s="14" t="str">
        <f ca="1">IF(HO$1="","",'Total Value'!HO25/'Total Value'!HN25-1)</f>
        <v/>
      </c>
      <c r="HP13" s="14" t="str">
        <f ca="1">IF(HP$1="","",'Total Value'!HP25/'Total Value'!HO25-1)</f>
        <v/>
      </c>
      <c r="HQ13" s="14" t="str">
        <f ca="1">IF(HQ$1="","",'Total Value'!HQ25/'Total Value'!HP25-1)</f>
        <v/>
      </c>
      <c r="HR13" s="14" t="str">
        <f ca="1">IF(HR$1="","",'Total Value'!HR25/'Total Value'!HQ25-1)</f>
        <v/>
      </c>
      <c r="HS13" s="14" t="str">
        <f ca="1">IF(HS$1="","",'Total Value'!HS25/'Total Value'!HR25-1)</f>
        <v/>
      </c>
      <c r="HT13" s="14" t="str">
        <f ca="1">IF(HT$1="","",'Total Value'!HT25/'Total Value'!HS25-1)</f>
        <v/>
      </c>
      <c r="HU13" s="14" t="str">
        <f ca="1">IF(HU$1="","",'Total Value'!HU25/'Total Value'!HT25-1)</f>
        <v/>
      </c>
      <c r="HV13" s="14" t="str">
        <f ca="1">IF(HV$1="","",'Total Value'!HV25/'Total Value'!HU25-1)</f>
        <v/>
      </c>
      <c r="HW13" s="14" t="str">
        <f ca="1">IF(HW$1="","",'Total Value'!HW25/'Total Value'!HV25-1)</f>
        <v/>
      </c>
      <c r="HX13" s="14" t="str">
        <f ca="1">IF(HX$1="","",'Total Value'!HX25/'Total Value'!HW25-1)</f>
        <v/>
      </c>
      <c r="HY13" s="14" t="str">
        <f ca="1">IF(HY$1="","",'Total Value'!HY25/'Total Value'!HX25-1)</f>
        <v/>
      </c>
      <c r="HZ13" s="14" t="str">
        <f ca="1">IF(HZ$1="","",'Total Value'!HZ25/'Total Value'!HY25-1)</f>
        <v/>
      </c>
      <c r="IA13" s="14" t="str">
        <f ca="1">IF(IA$1="","",'Total Value'!IA25/'Total Value'!HZ25-1)</f>
        <v/>
      </c>
      <c r="IB13" s="14" t="str">
        <f ca="1">IF(IB$1="","",'Total Value'!IB25/'Total Value'!IA25-1)</f>
        <v/>
      </c>
      <c r="IC13" s="14" t="str">
        <f ca="1">IF(IC$1="","",'Total Value'!IC25/'Total Value'!IB25-1)</f>
        <v/>
      </c>
      <c r="ID13" s="14" t="str">
        <f ca="1">IF(ID$1="","",'Total Value'!ID25/'Total Value'!IC25-1)</f>
        <v/>
      </c>
      <c r="IE13" s="14" t="str">
        <f ca="1">IF(IE$1="","",'Total Value'!IE25/'Total Value'!ID25-1)</f>
        <v/>
      </c>
      <c r="IF13" s="14" t="str">
        <f ca="1">IF(IF$1="","",'Total Value'!IF25/'Total Value'!IE25-1)</f>
        <v/>
      </c>
      <c r="IG13" s="14" t="str">
        <f ca="1">IF(IG$1="","",'Total Value'!IG25/'Total Value'!IF25-1)</f>
        <v/>
      </c>
      <c r="IH13" s="14" t="str">
        <f ca="1">IF(IH$1="","",'Total Value'!IH25/'Total Value'!IG25-1)</f>
        <v/>
      </c>
      <c r="II13" s="14" t="str">
        <f ca="1">IF(II$1="","",'Total Value'!II25/'Total Value'!IH25-1)</f>
        <v/>
      </c>
      <c r="IJ13" s="14" t="str">
        <f ca="1">IF(IJ$1="","",'Total Value'!IJ25/'Total Value'!II25-1)</f>
        <v/>
      </c>
      <c r="IK13" s="14" t="str">
        <f ca="1">IF(IK$1="","",'Total Value'!IK25/'Total Value'!IJ25-1)</f>
        <v/>
      </c>
      <c r="IL13" s="14" t="str">
        <f ca="1">IF(IL$1="","",'Total Value'!IL25/'Total Value'!IK25-1)</f>
        <v/>
      </c>
      <c r="IM13" s="14" t="str">
        <f ca="1">IF(IM$1="","",'Total Value'!IM25/'Total Value'!IL25-1)</f>
        <v/>
      </c>
      <c r="IN13" s="14" t="str">
        <f ca="1">IF(IN$1="","",'Total Value'!IN25/'Total Value'!IM25-1)</f>
        <v/>
      </c>
      <c r="IO13" s="14" t="str">
        <f ca="1">IF(IO$1="","",'Total Value'!IO25/'Total Value'!IN25-1)</f>
        <v/>
      </c>
      <c r="IP13" s="14" t="str">
        <f ca="1">IF(IP$1="","",'Total Value'!IP25/'Total Value'!IO25-1)</f>
        <v/>
      </c>
      <c r="IQ13" s="14" t="str">
        <f ca="1">IF(IQ$1="","",'Total Value'!IQ25/'Total Value'!IP25-1)</f>
        <v/>
      </c>
      <c r="IR13" s="14" t="str">
        <f ca="1">IF(IR$1="","",'Total Value'!IR25/'Total Value'!IQ25-1)</f>
        <v/>
      </c>
      <c r="IS13" s="14" t="str">
        <f ca="1">IF(IS$1="","",'Total Value'!IS25/'Total Value'!IR25-1)</f>
        <v/>
      </c>
      <c r="IT13" s="14" t="str">
        <f ca="1">IF(IT$1="","",'Total Value'!IT25/'Total Value'!IS25-1)</f>
        <v/>
      </c>
      <c r="IU13" s="14" t="str">
        <f ca="1">IF(IU$1="","",'Total Value'!IU25/'Total Value'!IT25-1)</f>
        <v/>
      </c>
      <c r="IV13" s="14" t="str">
        <f ca="1">IF(IV$1="","",'Total Value'!IV25/'Total Value'!IU25-1)</f>
        <v/>
      </c>
      <c r="IW13" s="14" t="str">
        <f ca="1">IF(IW$1="","",'Total Value'!IW25/'Total Value'!IV25-1)</f>
        <v/>
      </c>
      <c r="IX13" s="14" t="str">
        <f ca="1">IF(IX$1="","",'Total Value'!IX25/'Total Value'!IW25-1)</f>
        <v/>
      </c>
      <c r="IY13" s="14" t="str">
        <f ca="1">IF(IY$1="","",'Total Value'!IY25/'Total Value'!IX25-1)</f>
        <v/>
      </c>
      <c r="IZ13" s="14" t="str">
        <f ca="1">IF(IZ$1="","",'Total Value'!IZ25/'Total Value'!IY25-1)</f>
        <v/>
      </c>
      <c r="JA13" s="14" t="str">
        <f ca="1">IF(JA$1="","",'Total Value'!JA25/'Total Value'!IZ25-1)</f>
        <v/>
      </c>
      <c r="JB13" s="14" t="str">
        <f ca="1">IF(JB$1="","",'Total Value'!JB25/'Total Value'!JA25-1)</f>
        <v/>
      </c>
      <c r="JC13" s="14" t="str">
        <f ca="1">IF(JC$1="","",'Total Value'!JC25/'Total Value'!JB25-1)</f>
        <v/>
      </c>
      <c r="JD13" s="14" t="str">
        <f ca="1">IF(JD$1="","",'Total Value'!JD25/'Total Value'!JC25-1)</f>
        <v/>
      </c>
      <c r="JE13" s="14" t="str">
        <f ca="1">IF(JE$1="","",'Total Value'!JE25/'Total Value'!JD25-1)</f>
        <v/>
      </c>
      <c r="JF13" s="14" t="str">
        <f ca="1">IF(JF$1="","",'Total Value'!JF25/'Total Value'!JE25-1)</f>
        <v/>
      </c>
      <c r="JG13" s="14" t="str">
        <f ca="1">IF(JG$1="","",'Total Value'!JG25/'Total Value'!JF25-1)</f>
        <v/>
      </c>
      <c r="JH13" s="14" t="str">
        <f ca="1">IF(JH$1="","",'Total Value'!JH25/'Total Value'!JG25-1)</f>
        <v/>
      </c>
      <c r="JI13" s="14" t="str">
        <f ca="1">IF(JI$1="","",'Total Value'!JI25/'Total Value'!JH25-1)</f>
        <v/>
      </c>
      <c r="JJ13" s="14" t="str">
        <f ca="1">IF(JJ$1="","",'Total Value'!JJ25/'Total Value'!JI25-1)</f>
        <v/>
      </c>
      <c r="JK13" s="14" t="str">
        <f ca="1">IF(JK$1="","",'Total Value'!JK25/'Total Value'!JJ25-1)</f>
        <v/>
      </c>
      <c r="JL13" s="14" t="str">
        <f ca="1">IF(JL$1="","",'Total Value'!JL25/'Total Value'!JK25-1)</f>
        <v/>
      </c>
      <c r="JM13" s="14" t="str">
        <f ca="1">IF(JM$1="","",'Total Value'!JM25/'Total Value'!JL25-1)</f>
        <v/>
      </c>
      <c r="JN13" s="14" t="str">
        <f ca="1">IF(JN$1="","",'Total Value'!JN25/'Total Value'!JM25-1)</f>
        <v/>
      </c>
      <c r="JO13" s="14" t="str">
        <f ca="1">IF(JO$1="","",'Total Value'!JO25/'Total Value'!JN25-1)</f>
        <v/>
      </c>
      <c r="JP13" s="14" t="str">
        <f ca="1">IF(JP$1="","",'Total Value'!JP25/'Total Value'!JO25-1)</f>
        <v/>
      </c>
      <c r="JQ13" s="14" t="str">
        <f ca="1">IF(JQ$1="","",'Total Value'!JQ25/'Total Value'!JP25-1)</f>
        <v/>
      </c>
      <c r="JR13" s="14" t="str">
        <f ca="1">IF(JR$1="","",'Total Value'!JR25/'Total Value'!JQ25-1)</f>
        <v/>
      </c>
      <c r="JS13" s="14" t="str">
        <f ca="1">IF(JS$1="","",'Total Value'!JS25/'Total Value'!JR25-1)</f>
        <v/>
      </c>
      <c r="JT13" s="14" t="str">
        <f ca="1">IF(JT$1="","",'Total Value'!JT25/'Total Value'!JS25-1)</f>
        <v/>
      </c>
      <c r="JU13" s="14" t="str">
        <f ca="1">IF(JU$1="","",'Total Value'!JU25/'Total Value'!JT25-1)</f>
        <v/>
      </c>
      <c r="JV13" s="14" t="str">
        <f ca="1">IF(JV$1="","",'Total Value'!JV25/'Total Value'!JU25-1)</f>
        <v/>
      </c>
      <c r="JW13" s="14" t="str">
        <f ca="1">IF(JW$1="","",'Total Value'!JW25/'Total Value'!JV25-1)</f>
        <v/>
      </c>
      <c r="JX13" s="14" t="str">
        <f ca="1">IF(JX$1="","",'Total Value'!JX25/'Total Value'!JW25-1)</f>
        <v/>
      </c>
      <c r="JY13" s="14" t="str">
        <f ca="1">IF(JY$1="","",'Total Value'!JY25/'Total Value'!JX25-1)</f>
        <v/>
      </c>
      <c r="JZ13" s="14" t="str">
        <f ca="1">IF(JZ$1="","",'Total Value'!JZ25/'Total Value'!JY25-1)</f>
        <v/>
      </c>
      <c r="KA13" s="14" t="str">
        <f ca="1">IF(KA$1="","",'Total Value'!KA25/'Total Value'!JZ25-1)</f>
        <v/>
      </c>
      <c r="KB13" s="14" t="str">
        <f ca="1">IF(KB$1="","",'Total Value'!KB25/'Total Value'!KA25-1)</f>
        <v/>
      </c>
    </row>
    <row r="14" spans="1:288" ht="15.75" customHeight="1">
      <c r="A14" s="22" t="s">
        <v>30</v>
      </c>
      <c r="B14" s="6" t="s">
        <v>59</v>
      </c>
      <c r="C14" s="26">
        <v>119</v>
      </c>
      <c r="D14" s="13">
        <v>0</v>
      </c>
      <c r="E14" s="14">
        <f ca="1">IF(E$1="","",'Total Value'!E26/'Total Value'!D26-1)</f>
        <v>1.1030176899063493E-2</v>
      </c>
      <c r="F14" s="14">
        <f ca="1">IF(F$1="","",'Total Value'!F26/'Total Value'!E26-1)</f>
        <v>-1.5232606010703864E-2</v>
      </c>
      <c r="G14" s="14">
        <f ca="1">IF(G$1="","",'Total Value'!G26/'Total Value'!F26-1)</f>
        <v>4.2642140468227563E-2</v>
      </c>
      <c r="H14" s="14">
        <f ca="1">IF(H$1="","",'Total Value'!H26/'Total Value'!G26-1)</f>
        <v>-2.4057738572574872E-3</v>
      </c>
      <c r="I14" s="14">
        <f ca="1">IF(I$1="","",'Total Value'!I26/'Total Value'!H26-1)</f>
        <v>-1.6077170418006381E-2</v>
      </c>
      <c r="J14" s="14">
        <f ca="1">IF(J$1="","",'Total Value'!J26/'Total Value'!I26-1)</f>
        <v>-5.0653594771241761E-2</v>
      </c>
      <c r="K14" s="14">
        <f ca="1">IF(K$1="","",'Total Value'!K26/'Total Value'!J26-1)</f>
        <v>-4.3029259896729788E-2</v>
      </c>
      <c r="L14" s="14">
        <f ca="1">IF(L$1="","",'Total Value'!L26/'Total Value'!K26-1)</f>
        <v>-1.2589928057553879E-2</v>
      </c>
      <c r="M14" s="14">
        <f ca="1">IF(M$1="","",'Total Value'!M26/'Total Value'!L26-1)</f>
        <v>5.6921675774135316E-3</v>
      </c>
      <c r="N14" s="14">
        <f ca="1">IF(N$1="","",'Total Value'!N26/'Total Value'!M26-1)</f>
        <v>-2.2639800769763685E-4</v>
      </c>
      <c r="O14" s="14">
        <f ca="1">IF(O$1="","",'Total Value'!O26/'Total Value'!N26-1)</f>
        <v>1.3586956521740579E-3</v>
      </c>
      <c r="P14" s="14">
        <f ca="1">IF(P$1="","",'Total Value'!P26/'Total Value'!O26-1)</f>
        <v>-1.6508367254635892E-2</v>
      </c>
      <c r="Q14" s="14">
        <f ca="1">IF(Q$1="","",'Total Value'!Q26/'Total Value'!P26-1)</f>
        <v>-1.908484709128544E-2</v>
      </c>
      <c r="R14" s="14">
        <f ca="1">IF(R$1="","",'Total Value'!R26/'Total Value'!Q26-1)</f>
        <v>2.789498359118614E-2</v>
      </c>
      <c r="S14" s="14">
        <f ca="1">IF(S$1="","",'Total Value'!S26/'Total Value'!R26-1)</f>
        <v>1.9612314709235967E-2</v>
      </c>
      <c r="T14" s="14">
        <f ca="1">IF(T$1="","",'Total Value'!T26/'Total Value'!S26-1)</f>
        <v>8.9465443972265302E-3</v>
      </c>
      <c r="U14" s="14">
        <f ca="1">IF(U$1="","",'Total Value'!U26/'Total Value'!T26-1)</f>
        <v>-1.9729549988915962E-2</v>
      </c>
      <c r="V14" s="14">
        <f ca="1">IF(V$1="","",'Total Value'!V26/'Total Value'!U26-1)</f>
        <v>-2.0578923563998153E-2</v>
      </c>
      <c r="W14" s="14">
        <f ca="1">IF(W$1="","",'Total Value'!W26/'Total Value'!V26-1)</f>
        <v>1.6162549064882015E-3</v>
      </c>
      <c r="X14" s="14">
        <f ca="1">IF(X$1="","",'Total Value'!X26/'Total Value'!W26-1)</f>
        <v>2.581834946980166E-2</v>
      </c>
      <c r="Y14" s="14">
        <f ca="1">IF(Y$1="","",'Total Value'!Y26/'Total Value'!X26-1)</f>
        <v>4.9438202247191754E-3</v>
      </c>
      <c r="Z14" s="14">
        <f ca="1">IF(Z$1="","",'Total Value'!Z26/'Total Value'!Y26-1)</f>
        <v>-1.4758497316636809E-2</v>
      </c>
      <c r="AA14" s="14">
        <f ca="1">IF(AA$1="","",'Total Value'!AA26/'Total Value'!Z26-1)</f>
        <v>-1.5206536541080395E-2</v>
      </c>
      <c r="AB14" s="14">
        <f ca="1">IF(AB$1="","",'Total Value'!AB26/'Total Value'!AA26-1)</f>
        <v>-1.4519474533302601E-2</v>
      </c>
      <c r="AC14" s="14">
        <f ca="1">IF(AC$1="","",'Total Value'!AC26/'Total Value'!AB26-1)</f>
        <v>5.8933582787652039E-2</v>
      </c>
      <c r="AD14" s="14">
        <f ca="1">IF(AD$1="","",'Total Value'!AD26/'Total Value'!AC26-1)</f>
        <v>-1.3250883392225132E-3</v>
      </c>
      <c r="AE14" s="14">
        <f ca="1">IF(AE$1="","",'Total Value'!AE26/'Total Value'!AD26-1)</f>
        <v>-1.326846528084924E-2</v>
      </c>
      <c r="AF14" s="14">
        <f ca="1">IF(AF$1="","",'Total Value'!AF26/'Total Value'!AE26-1)</f>
        <v>-2.3756163155535526E-2</v>
      </c>
      <c r="AG14" s="14">
        <f ca="1">IF(AG$1="","",'Total Value'!AG26/'Total Value'!AF26-1)</f>
        <v>-2.7089072543618031E-2</v>
      </c>
      <c r="AH14" s="14">
        <f ca="1">IF(AH$1="","",'Total Value'!AH26/'Total Value'!AG26-1)</f>
        <v>-1.651722510618181E-3</v>
      </c>
      <c r="AI14" s="14">
        <f ca="1">IF(AI$1="","",'Total Value'!AI26/'Total Value'!AH26-1)</f>
        <v>-2.8598440085086274E-2</v>
      </c>
      <c r="AJ14" s="14">
        <f ca="1">IF(AJ$1="","",'Total Value'!AJ26/'Total Value'!AI26-1)</f>
        <v>2.5547445255474255E-2</v>
      </c>
      <c r="AK14" s="14">
        <f ca="1">IF(AK$1="","",'Total Value'!AK26/'Total Value'!AJ26-1)</f>
        <v>-2.7046263345195665E-2</v>
      </c>
      <c r="AL14" s="14">
        <f ca="1">IF(AL$1="","",'Total Value'!AL26/'Total Value'!AK26-1)</f>
        <v>-5.3157766398439388E-2</v>
      </c>
      <c r="AM14" s="14">
        <f ca="1">IF(AM$1="","",'Total Value'!AM26/'Total Value'!AL26-1)</f>
        <v>4.6098377543136726E-2</v>
      </c>
      <c r="AN14" s="14">
        <f ca="1">IF(AN$1="","",'Total Value'!AN26/'Total Value'!AM26-1)</f>
        <v>-1.7479074347611978E-2</v>
      </c>
      <c r="AO14" s="14">
        <f ca="1">IF(AO$1="","",'Total Value'!AO26/'Total Value'!AN26-1)</f>
        <v>-7.4668003006765238E-2</v>
      </c>
      <c r="AP14" s="14">
        <f ca="1">IF(AP$1="","",'Total Value'!AP26/'Total Value'!AO26-1)</f>
        <v>-5.1719469266179208E-2</v>
      </c>
      <c r="AQ14" s="14">
        <f ca="1">IF(AQ$1="","",'Total Value'!AQ26/'Total Value'!AP26-1)</f>
        <v>3.1410622501427676E-2</v>
      </c>
      <c r="AR14" s="14">
        <f ca="1">IF(AR$1="","",'Total Value'!AR26/'Total Value'!AQ26-1)</f>
        <v>3.709856035437431E-2</v>
      </c>
      <c r="AS14" s="14">
        <f ca="1">IF(AS$1="","",'Total Value'!AS26/'Total Value'!AR26-1)</f>
        <v>-1.9754404698344774E-2</v>
      </c>
      <c r="AT14" s="14">
        <f ca="1">IF(AT$1="","",'Total Value'!AT26/'Total Value'!AS26-1)</f>
        <v>-1.089324618736387E-2</v>
      </c>
      <c r="AU14" s="14">
        <f ca="1">IF(AU$1="","",'Total Value'!AU26/'Total Value'!AT26-1)</f>
        <v>-2.7533039647564816E-4</v>
      </c>
      <c r="AV14" s="14">
        <f ca="1">IF(AV$1="","",'Total Value'!AV26/'Total Value'!AU26-1)</f>
        <v>5.7835307077940268E-3</v>
      </c>
      <c r="AW14" s="14">
        <f ca="1">IF(AW$1="","",'Total Value'!AW26/'Total Value'!AV26-1)</f>
        <v>4.4906900328587129E-2</v>
      </c>
      <c r="AX14" s="14">
        <f ca="1">IF(AX$1="","",'Total Value'!AX26/'Total Value'!AW26-1)</f>
        <v>4.9790356394130431E-3</v>
      </c>
      <c r="AY14" s="14">
        <f ca="1">IF(AY$1="","",'Total Value'!AY26/'Total Value'!AX26-1)</f>
        <v>7.040417209908556E-3</v>
      </c>
      <c r="AZ14" s="14">
        <f ca="1">IF(AZ$1="","",'Total Value'!AZ26/'Total Value'!AY26-1)</f>
        <v>-6.2143966856550437E-3</v>
      </c>
      <c r="BA14" s="14">
        <f ca="1">IF(BA$1="","",'Total Value'!BA26/'Total Value'!AZ26-1)</f>
        <v>1.8238665971859191E-3</v>
      </c>
      <c r="BB14" s="14">
        <f ca="1">IF(BB$1="","",'Total Value'!BB26/'Total Value'!BA26-1)</f>
        <v>-2.7048114434330306E-2</v>
      </c>
      <c r="BC14" s="14">
        <f ca="1">IF(BC$1="","",'Total Value'!BC26/'Total Value'!BB26-1)</f>
        <v>2.967121090617475E-2</v>
      </c>
      <c r="BD14" s="14">
        <f ca="1">IF(BD$1="","",'Total Value'!BD26/'Total Value'!BC26-1)</f>
        <v>1.8172377985461452E-3</v>
      </c>
      <c r="BE14" s="14">
        <f ca="1">IF(BE$1="","",'Total Value'!BE26/'Total Value'!BD26-1)</f>
        <v>-5.1826898160145518E-4</v>
      </c>
      <c r="BF14" s="14">
        <f ca="1">IF(BF$1="","",'Total Value'!BF26/'Total Value'!BE26-1)</f>
        <v>3.914959813326413E-2</v>
      </c>
      <c r="BG14" s="14">
        <f ca="1">IF(BG$1="","",'Total Value'!BG26/'Total Value'!BF26-1)</f>
        <v>-1.1477045908183547E-2</v>
      </c>
      <c r="BH14" s="14">
        <f ca="1">IF(BH$1="","",'Total Value'!BH26/'Total Value'!BG26-1)</f>
        <v>-1.8172640080767355E-2</v>
      </c>
      <c r="BI14" s="14">
        <f ca="1">IF(BI$1="","",'Total Value'!BI26/'Total Value'!BH26-1)</f>
        <v>1.1825192802056739E-2</v>
      </c>
      <c r="BJ14" s="14">
        <f ca="1">IF(BJ$1="","",'Total Value'!BJ26/'Total Value'!BI26-1)</f>
        <v>-1.44817073170731E-2</v>
      </c>
      <c r="BK14" s="14">
        <f ca="1">IF(BK$1="","",'Total Value'!BK26/'Total Value'!BJ26-1)</f>
        <v>-4.4083526682134666E-2</v>
      </c>
      <c r="BL14" s="14">
        <f ca="1">IF(BL$1="","",'Total Value'!BL26/'Total Value'!BK26-1)</f>
        <v>3.7756202804748451E-3</v>
      </c>
      <c r="BM14" s="14">
        <f ca="1">IF(BM$1="","",'Total Value'!BM26/'Total Value'!BL26-1)</f>
        <v>-2.364320257925856E-2</v>
      </c>
      <c r="BN14" s="14">
        <f ca="1">IF(BN$1="","",'Total Value'!BN26/'Total Value'!BM26-1)</f>
        <v>1.9262520638414493E-3</v>
      </c>
      <c r="BO14" s="14">
        <f ca="1">IF(BO$1="","",'Total Value'!BO26/'Total Value'!BN26-1)</f>
        <v>1.2084592145015227E-2</v>
      </c>
      <c r="BP14" s="14">
        <f ca="1">IF(BP$1="","",'Total Value'!BP26/'Total Value'!BO26-1)</f>
        <v>5.6987788331070988E-3</v>
      </c>
      <c r="BQ14" s="14">
        <f ca="1">IF(BQ$1="","",'Total Value'!BQ26/'Total Value'!BP26-1)</f>
        <v>-5.666486778197477E-3</v>
      </c>
      <c r="BR14" s="14">
        <f ca="1">IF(BR$1="","",'Total Value'!BR26/'Total Value'!BQ26-1)</f>
        <v>4.3419267299862341E-3</v>
      </c>
      <c r="BS14" s="14">
        <f ca="1">IF(BS$1="","",'Total Value'!BS26/'Total Value'!BR26-1)</f>
        <v>7.5655228316673373E-3</v>
      </c>
      <c r="BT14" s="14">
        <f ca="1">IF(BT$1="","",'Total Value'!BT26/'Total Value'!BS26-1)</f>
        <v>3.0571198712791681E-2</v>
      </c>
      <c r="BU14" s="14">
        <f ca="1">IF(BU$1="","",'Total Value'!BU26/'Total Value'!BT26-1)</f>
        <v>8.5870413739264073E-3</v>
      </c>
      <c r="BV14" s="14">
        <f ca="1">IF(BV$1="","",'Total Value'!BV26/'Total Value'!BU26-1)</f>
        <v>-5.1599587203288166E-4</v>
      </c>
      <c r="BW14" s="14">
        <f ca="1">IF(BW$1="","",'Total Value'!BW26/'Total Value'!BV26-1)</f>
        <v>-2.271553949406302E-2</v>
      </c>
      <c r="BX14" s="14">
        <f ca="1">IF(BX$1="","",'Total Value'!BX26/'Total Value'!BW26-1)</f>
        <v>-3.6978341257263292E-3</v>
      </c>
      <c r="BY14" s="14">
        <f ca="1">IF(BY$1="","",'Total Value'!BY26/'Total Value'!BX26-1)</f>
        <v>-4.7454931071049922E-2</v>
      </c>
      <c r="BZ14" s="14">
        <f ca="1">IF(BZ$1="","",'Total Value'!BZ26/'Total Value'!BY26-1)</f>
        <v>2.1987197328138031E-2</v>
      </c>
      <c r="CA14" s="14">
        <f ca="1">IF(CA$1="","",'Total Value'!CA26/'Total Value'!BZ26-1)</f>
        <v>2.3692810457516256E-2</v>
      </c>
      <c r="CB14" s="14">
        <f ca="1">IF(CB$1="","",'Total Value'!CB26/'Total Value'!CA26-1)</f>
        <v>-2.0218143123171162E-2</v>
      </c>
      <c r="CC14" s="14">
        <f ca="1">IF(CC$1="","",'Total Value'!CC26/'Total Value'!CB26-1)</f>
        <v>1.3575889220744042E-2</v>
      </c>
      <c r="CD14" s="14">
        <f ca="1">IF(CD$1="","",'Total Value'!CD26/'Total Value'!CC26-1)</f>
        <v>2.1698365925529206E-2</v>
      </c>
      <c r="CE14" s="14">
        <f ca="1">IF(CE$1="","",'Total Value'!CE26/'Total Value'!CD26-1)</f>
        <v>2.202412165705292E-2</v>
      </c>
      <c r="CF14" s="14" t="str">
        <f ca="1">IF(CF$1="","",'Total Value'!CF26/'Total Value'!CE26-1)</f>
        <v/>
      </c>
      <c r="CG14" s="14" t="str">
        <f ca="1">IF(CG$1="","",'Total Value'!CG26/'Total Value'!CF26-1)</f>
        <v/>
      </c>
      <c r="CH14" s="14" t="str">
        <f ca="1">IF(CH$1="","",'Total Value'!CH26/'Total Value'!CG26-1)</f>
        <v/>
      </c>
      <c r="CI14" s="14" t="str">
        <f ca="1">IF(CI$1="","",'Total Value'!CI26/'Total Value'!CH26-1)</f>
        <v/>
      </c>
      <c r="CJ14" s="14" t="str">
        <f ca="1">IF(CJ$1="","",'Total Value'!CJ26/'Total Value'!CI26-1)</f>
        <v/>
      </c>
      <c r="CK14" s="14" t="str">
        <f ca="1">IF(CK$1="","",'Total Value'!CK26/'Total Value'!CJ26-1)</f>
        <v/>
      </c>
      <c r="CL14" s="14" t="str">
        <f ca="1">IF(CL$1="","",'Total Value'!CL26/'Total Value'!CK26-1)</f>
        <v/>
      </c>
      <c r="CM14" s="14" t="str">
        <f ca="1">IF(CM$1="","",'Total Value'!CM26/'Total Value'!CL26-1)</f>
        <v/>
      </c>
      <c r="CN14" s="14" t="str">
        <f ca="1">IF(CN$1="","",'Total Value'!CN26/'Total Value'!CM26-1)</f>
        <v/>
      </c>
      <c r="CO14" s="14" t="str">
        <f ca="1">IF(CO$1="","",'Total Value'!CO26/'Total Value'!CN26-1)</f>
        <v/>
      </c>
      <c r="CP14" s="14" t="str">
        <f ca="1">IF(CP$1="","",'Total Value'!CP26/'Total Value'!CO26-1)</f>
        <v/>
      </c>
      <c r="CQ14" s="14" t="str">
        <f ca="1">IF(CQ$1="","",'Total Value'!CQ26/'Total Value'!CP26-1)</f>
        <v/>
      </c>
      <c r="CR14" s="14" t="str">
        <f ca="1">IF(CR$1="","",'Total Value'!CR26/'Total Value'!CQ26-1)</f>
        <v/>
      </c>
      <c r="CS14" s="14" t="str">
        <f ca="1">IF(CS$1="","",'Total Value'!CS26/'Total Value'!CR26-1)</f>
        <v/>
      </c>
      <c r="CT14" s="14" t="str">
        <f ca="1">IF(CT$1="","",'Total Value'!CT26/'Total Value'!CS26-1)</f>
        <v/>
      </c>
      <c r="CU14" s="14" t="str">
        <f ca="1">IF(CU$1="","",'Total Value'!CU26/'Total Value'!CT26-1)</f>
        <v/>
      </c>
      <c r="CV14" s="14" t="str">
        <f ca="1">IF(CV$1="","",'Total Value'!CV26/'Total Value'!CU26-1)</f>
        <v/>
      </c>
      <c r="CW14" s="14" t="str">
        <f ca="1">IF(CW$1="","",'Total Value'!CW26/'Total Value'!CV26-1)</f>
        <v/>
      </c>
      <c r="CX14" s="14" t="str">
        <f ca="1">IF(CX$1="","",'Total Value'!CX26/'Total Value'!CW26-1)</f>
        <v/>
      </c>
      <c r="CY14" s="14" t="str">
        <f ca="1">IF(CY$1="","",'Total Value'!CY26/'Total Value'!CX26-1)</f>
        <v/>
      </c>
      <c r="CZ14" s="14" t="str">
        <f ca="1">IF(CZ$1="","",'Total Value'!CZ26/'Total Value'!CY26-1)</f>
        <v/>
      </c>
      <c r="DA14" s="14" t="str">
        <f ca="1">IF(DA$1="","",'Total Value'!DA26/'Total Value'!CZ26-1)</f>
        <v/>
      </c>
      <c r="DB14" s="14" t="str">
        <f ca="1">IF(DB$1="","",'Total Value'!DB26/'Total Value'!DA26-1)</f>
        <v/>
      </c>
      <c r="DC14" s="14" t="str">
        <f ca="1">IF(DC$1="","",'Total Value'!DC26/'Total Value'!DB26-1)</f>
        <v/>
      </c>
      <c r="DD14" s="14" t="str">
        <f ca="1">IF(DD$1="","",'Total Value'!DD26/'Total Value'!DC26-1)</f>
        <v/>
      </c>
      <c r="DE14" s="14" t="str">
        <f ca="1">IF(DE$1="","",'Total Value'!DE26/'Total Value'!DD26-1)</f>
        <v/>
      </c>
      <c r="DF14" s="14" t="str">
        <f ca="1">IF(DF$1="","",'Total Value'!DF26/'Total Value'!DE26-1)</f>
        <v/>
      </c>
      <c r="DG14" s="14" t="str">
        <f ca="1">IF(DG$1="","",'Total Value'!DG26/'Total Value'!DF26-1)</f>
        <v/>
      </c>
      <c r="DH14" s="14" t="str">
        <f ca="1">IF(DH$1="","",'Total Value'!DH26/'Total Value'!DG26-1)</f>
        <v/>
      </c>
      <c r="DI14" s="14" t="str">
        <f ca="1">IF(DI$1="","",'Total Value'!DI26/'Total Value'!DH26-1)</f>
        <v/>
      </c>
      <c r="DJ14" s="14" t="str">
        <f ca="1">IF(DJ$1="","",'Total Value'!DJ26/'Total Value'!DI26-1)</f>
        <v/>
      </c>
      <c r="DK14" s="14" t="str">
        <f ca="1">IF(DK$1="","",'Total Value'!DK26/'Total Value'!DJ26-1)</f>
        <v/>
      </c>
      <c r="DL14" s="14" t="str">
        <f ca="1">IF(DL$1="","",'Total Value'!DL26/'Total Value'!DK26-1)</f>
        <v/>
      </c>
      <c r="DM14" s="14" t="str">
        <f ca="1">IF(DM$1="","",'Total Value'!DM26/'Total Value'!DL26-1)</f>
        <v/>
      </c>
      <c r="DN14" s="14" t="str">
        <f ca="1">IF(DN$1="","",'Total Value'!DN26/'Total Value'!DM26-1)</f>
        <v/>
      </c>
      <c r="DO14" s="14" t="str">
        <f ca="1">IF(DO$1="","",'Total Value'!DO26/'Total Value'!DN26-1)</f>
        <v/>
      </c>
      <c r="DP14" s="14" t="str">
        <f ca="1">IF(DP$1="","",'Total Value'!DP26/'Total Value'!DO26-1)</f>
        <v/>
      </c>
      <c r="DQ14" s="14" t="str">
        <f ca="1">IF(DQ$1="","",'Total Value'!DQ26/'Total Value'!DP26-1)</f>
        <v/>
      </c>
      <c r="DR14" s="14" t="str">
        <f ca="1">IF(DR$1="","",'Total Value'!DR26/'Total Value'!DQ26-1)</f>
        <v/>
      </c>
      <c r="DS14" s="14" t="str">
        <f ca="1">IF(DS$1="","",'Total Value'!DS26/'Total Value'!DR26-1)</f>
        <v/>
      </c>
      <c r="DT14" s="14" t="str">
        <f ca="1">IF(DT$1="","",'Total Value'!DT26/'Total Value'!DS26-1)</f>
        <v/>
      </c>
      <c r="DU14" s="14" t="str">
        <f ca="1">IF(DU$1="","",'Total Value'!DU26/'Total Value'!DT26-1)</f>
        <v/>
      </c>
      <c r="DV14" s="14" t="str">
        <f ca="1">IF(DV$1="","",'Total Value'!DV26/'Total Value'!DU26-1)</f>
        <v/>
      </c>
      <c r="DW14" s="14" t="str">
        <f ca="1">IF(DW$1="","",'Total Value'!DW26/'Total Value'!DV26-1)</f>
        <v/>
      </c>
      <c r="DX14" s="14" t="str">
        <f ca="1">IF(DX$1="","",'Total Value'!DX26/'Total Value'!DW26-1)</f>
        <v/>
      </c>
      <c r="DY14" s="14" t="str">
        <f ca="1">IF(DY$1="","",'Total Value'!DY26/'Total Value'!DX26-1)</f>
        <v/>
      </c>
      <c r="DZ14" s="14" t="str">
        <f ca="1">IF(DZ$1="","",'Total Value'!DZ26/'Total Value'!DY26-1)</f>
        <v/>
      </c>
      <c r="EA14" s="14" t="str">
        <f ca="1">IF(EA$1="","",'Total Value'!EA26/'Total Value'!DZ26-1)</f>
        <v/>
      </c>
      <c r="EB14" s="14" t="str">
        <f ca="1">IF(EB$1="","",'Total Value'!EB26/'Total Value'!EA26-1)</f>
        <v/>
      </c>
      <c r="EC14" s="14" t="str">
        <f ca="1">IF(EC$1="","",'Total Value'!EC26/'Total Value'!EB26-1)</f>
        <v/>
      </c>
      <c r="ED14" s="14" t="str">
        <f ca="1">IF(ED$1="","",'Total Value'!ED26/'Total Value'!EC26-1)</f>
        <v/>
      </c>
      <c r="EE14" s="14" t="str">
        <f ca="1">IF(EE$1="","",'Total Value'!EE26/'Total Value'!ED26-1)</f>
        <v/>
      </c>
      <c r="EF14" s="14" t="str">
        <f ca="1">IF(EF$1="","",'Total Value'!EF26/'Total Value'!EE26-1)</f>
        <v/>
      </c>
      <c r="EG14" s="14" t="str">
        <f ca="1">IF(EG$1="","",'Total Value'!EG26/'Total Value'!EF26-1)</f>
        <v/>
      </c>
      <c r="EH14" s="14" t="str">
        <f ca="1">IF(EH$1="","",'Total Value'!EH26/'Total Value'!EG26-1)</f>
        <v/>
      </c>
      <c r="EI14" s="14" t="str">
        <f ca="1">IF(EI$1="","",'Total Value'!EI26/'Total Value'!EH26-1)</f>
        <v/>
      </c>
      <c r="EJ14" s="14" t="str">
        <f ca="1">IF(EJ$1="","",'Total Value'!EJ26/'Total Value'!EI26-1)</f>
        <v/>
      </c>
      <c r="EK14" s="14" t="str">
        <f ca="1">IF(EK$1="","",'Total Value'!EK26/'Total Value'!EJ26-1)</f>
        <v/>
      </c>
      <c r="EL14" s="14" t="str">
        <f ca="1">IF(EL$1="","",'Total Value'!EL26/'Total Value'!EK26-1)</f>
        <v/>
      </c>
      <c r="EM14" s="14" t="str">
        <f ca="1">IF(EM$1="","",'Total Value'!EM26/'Total Value'!EL26-1)</f>
        <v/>
      </c>
      <c r="EN14" s="14" t="str">
        <f ca="1">IF(EN$1="","",'Total Value'!EN26/'Total Value'!EM26-1)</f>
        <v/>
      </c>
      <c r="EO14" s="14" t="str">
        <f ca="1">IF(EO$1="","",'Total Value'!EO26/'Total Value'!EN26-1)</f>
        <v/>
      </c>
      <c r="EP14" s="14" t="str">
        <f ca="1">IF(EP$1="","",'Total Value'!EP26/'Total Value'!EO26-1)</f>
        <v/>
      </c>
      <c r="EQ14" s="14" t="str">
        <f ca="1">IF(EQ$1="","",'Total Value'!EQ26/'Total Value'!EP26-1)</f>
        <v/>
      </c>
      <c r="ER14" s="14" t="str">
        <f ca="1">IF(ER$1="","",'Total Value'!ER26/'Total Value'!EQ26-1)</f>
        <v/>
      </c>
      <c r="ES14" s="14" t="str">
        <f ca="1">IF(ES$1="","",'Total Value'!ES26/'Total Value'!ER26-1)</f>
        <v/>
      </c>
      <c r="ET14" s="14" t="str">
        <f ca="1">IF(ET$1="","",'Total Value'!ET26/'Total Value'!ES26-1)</f>
        <v/>
      </c>
      <c r="EU14" s="14" t="str">
        <f ca="1">IF(EU$1="","",'Total Value'!EU26/'Total Value'!ET26-1)</f>
        <v/>
      </c>
      <c r="EV14" s="14" t="str">
        <f ca="1">IF(EV$1="","",'Total Value'!EV26/'Total Value'!EU26-1)</f>
        <v/>
      </c>
      <c r="EW14" s="14" t="str">
        <f ca="1">IF(EW$1="","",'Total Value'!EW26/'Total Value'!EV26-1)</f>
        <v/>
      </c>
      <c r="EX14" s="14" t="str">
        <f ca="1">IF(EX$1="","",'Total Value'!EX26/'Total Value'!EW26-1)</f>
        <v/>
      </c>
      <c r="EY14" s="14" t="str">
        <f ca="1">IF(EY$1="","",'Total Value'!EY26/'Total Value'!EX26-1)</f>
        <v/>
      </c>
      <c r="EZ14" s="14" t="str">
        <f ca="1">IF(EZ$1="","",'Total Value'!EZ26/'Total Value'!EY26-1)</f>
        <v/>
      </c>
      <c r="FA14" s="14" t="str">
        <f ca="1">IF(FA$1="","",'Total Value'!FA26/'Total Value'!EZ26-1)</f>
        <v/>
      </c>
      <c r="FB14" s="14" t="str">
        <f ca="1">IF(FB$1="","",'Total Value'!FB26/'Total Value'!FA26-1)</f>
        <v/>
      </c>
      <c r="FC14" s="14" t="str">
        <f ca="1">IF(FC$1="","",'Total Value'!FC26/'Total Value'!FB26-1)</f>
        <v/>
      </c>
      <c r="FD14" s="14" t="str">
        <f ca="1">IF(FD$1="","",'Total Value'!FD26/'Total Value'!FC26-1)</f>
        <v/>
      </c>
      <c r="FE14" s="14" t="str">
        <f ca="1">IF(FE$1="","",'Total Value'!FE26/'Total Value'!FD26-1)</f>
        <v/>
      </c>
      <c r="FF14" s="14" t="str">
        <f ca="1">IF(FF$1="","",'Total Value'!FF26/'Total Value'!FE26-1)</f>
        <v/>
      </c>
      <c r="FG14" s="14" t="str">
        <f ca="1">IF(FG$1="","",'Total Value'!FG26/'Total Value'!FF26-1)</f>
        <v/>
      </c>
      <c r="FH14" s="14" t="str">
        <f ca="1">IF(FH$1="","",'Total Value'!FH26/'Total Value'!FG26-1)</f>
        <v/>
      </c>
      <c r="FI14" s="14" t="str">
        <f ca="1">IF(FI$1="","",'Total Value'!FI26/'Total Value'!FH26-1)</f>
        <v/>
      </c>
      <c r="FJ14" s="14" t="str">
        <f ca="1">IF(FJ$1="","",'Total Value'!FJ26/'Total Value'!FI26-1)</f>
        <v/>
      </c>
      <c r="FK14" s="14" t="str">
        <f ca="1">IF(FK$1="","",'Total Value'!FK26/'Total Value'!FJ26-1)</f>
        <v/>
      </c>
      <c r="FL14" s="14" t="str">
        <f ca="1">IF(FL$1="","",'Total Value'!FL26/'Total Value'!FK26-1)</f>
        <v/>
      </c>
      <c r="FM14" s="14" t="str">
        <f ca="1">IF(FM$1="","",'Total Value'!FM26/'Total Value'!FL26-1)</f>
        <v/>
      </c>
      <c r="FN14" s="14" t="str">
        <f ca="1">IF(FN$1="","",'Total Value'!FN26/'Total Value'!FM26-1)</f>
        <v/>
      </c>
      <c r="FO14" s="14" t="str">
        <f ca="1">IF(FO$1="","",'Total Value'!FO26/'Total Value'!FN26-1)</f>
        <v/>
      </c>
      <c r="FP14" s="14" t="str">
        <f ca="1">IF(FP$1="","",'Total Value'!FP26/'Total Value'!FO26-1)</f>
        <v/>
      </c>
      <c r="FQ14" s="14" t="str">
        <f ca="1">IF(FQ$1="","",'Total Value'!FQ26/'Total Value'!FP26-1)</f>
        <v/>
      </c>
      <c r="FR14" s="14" t="str">
        <f ca="1">IF(FR$1="","",'Total Value'!FR26/'Total Value'!FQ26-1)</f>
        <v/>
      </c>
      <c r="FS14" s="14" t="str">
        <f ca="1">IF(FS$1="","",'Total Value'!FS26/'Total Value'!FR26-1)</f>
        <v/>
      </c>
      <c r="FT14" s="14" t="str">
        <f ca="1">IF(FT$1="","",'Total Value'!FT26/'Total Value'!FS26-1)</f>
        <v/>
      </c>
      <c r="FU14" s="14" t="str">
        <f ca="1">IF(FU$1="","",'Total Value'!FU26/'Total Value'!FT26-1)</f>
        <v/>
      </c>
      <c r="FV14" s="14" t="str">
        <f ca="1">IF(FV$1="","",'Total Value'!FV26/'Total Value'!FU26-1)</f>
        <v/>
      </c>
      <c r="FW14" s="14" t="str">
        <f ca="1">IF(FW$1="","",'Total Value'!FW26/'Total Value'!FV26-1)</f>
        <v/>
      </c>
      <c r="FX14" s="14" t="str">
        <f ca="1">IF(FX$1="","",'Total Value'!FX26/'Total Value'!FW26-1)</f>
        <v/>
      </c>
      <c r="FY14" s="14" t="str">
        <f ca="1">IF(FY$1="","",'Total Value'!FY26/'Total Value'!FX26-1)</f>
        <v/>
      </c>
      <c r="FZ14" s="14" t="str">
        <f ca="1">IF(FZ$1="","",'Total Value'!FZ26/'Total Value'!FY26-1)</f>
        <v/>
      </c>
      <c r="GA14" s="14" t="str">
        <f ca="1">IF(GA$1="","",'Total Value'!GA26/'Total Value'!FZ26-1)</f>
        <v/>
      </c>
      <c r="GB14" s="14" t="str">
        <f ca="1">IF(GB$1="","",'Total Value'!GB26/'Total Value'!GA26-1)</f>
        <v/>
      </c>
      <c r="GC14" s="14" t="str">
        <f ca="1">IF(GC$1="","",'Total Value'!GC26/'Total Value'!GB26-1)</f>
        <v/>
      </c>
      <c r="GD14" s="14" t="str">
        <f ca="1">IF(GD$1="","",'Total Value'!GD26/'Total Value'!GC26-1)</f>
        <v/>
      </c>
      <c r="GE14" s="14" t="str">
        <f ca="1">IF(GE$1="","",'Total Value'!GE26/'Total Value'!GD26-1)</f>
        <v/>
      </c>
      <c r="GF14" s="14" t="str">
        <f ca="1">IF(GF$1="","",'Total Value'!GF26/'Total Value'!GE26-1)</f>
        <v/>
      </c>
      <c r="GG14" s="14" t="str">
        <f ca="1">IF(GG$1="","",'Total Value'!GG26/'Total Value'!GF26-1)</f>
        <v/>
      </c>
      <c r="GH14" s="14" t="str">
        <f ca="1">IF(GH$1="","",'Total Value'!GH26/'Total Value'!GG26-1)</f>
        <v/>
      </c>
      <c r="GI14" s="14" t="str">
        <f ca="1">IF(GI$1="","",'Total Value'!GI26/'Total Value'!GH26-1)</f>
        <v/>
      </c>
      <c r="GJ14" s="14" t="str">
        <f ca="1">IF(GJ$1="","",'Total Value'!GJ26/'Total Value'!GI26-1)</f>
        <v/>
      </c>
      <c r="GK14" s="14" t="str">
        <f ca="1">IF(GK$1="","",'Total Value'!GK26/'Total Value'!GJ26-1)</f>
        <v/>
      </c>
      <c r="GL14" s="14" t="str">
        <f ca="1">IF(GL$1="","",'Total Value'!GL26/'Total Value'!GK26-1)</f>
        <v/>
      </c>
      <c r="GM14" s="14" t="str">
        <f ca="1">IF(GM$1="","",'Total Value'!GM26/'Total Value'!GL26-1)</f>
        <v/>
      </c>
      <c r="GN14" s="14" t="str">
        <f ca="1">IF(GN$1="","",'Total Value'!GN26/'Total Value'!GM26-1)</f>
        <v/>
      </c>
      <c r="GO14" s="14" t="str">
        <f ca="1">IF(GO$1="","",'Total Value'!GO26/'Total Value'!GN26-1)</f>
        <v/>
      </c>
      <c r="GP14" s="14" t="str">
        <f ca="1">IF(GP$1="","",'Total Value'!GP26/'Total Value'!GO26-1)</f>
        <v/>
      </c>
      <c r="GQ14" s="14" t="str">
        <f ca="1">IF(GQ$1="","",'Total Value'!GQ26/'Total Value'!GP26-1)</f>
        <v/>
      </c>
      <c r="GR14" s="14" t="str">
        <f ca="1">IF(GR$1="","",'Total Value'!GR26/'Total Value'!GQ26-1)</f>
        <v/>
      </c>
      <c r="GS14" s="14" t="str">
        <f ca="1">IF(GS$1="","",'Total Value'!GS26/'Total Value'!GR26-1)</f>
        <v/>
      </c>
      <c r="GT14" s="14" t="str">
        <f ca="1">IF(GT$1="","",'Total Value'!GT26/'Total Value'!GS26-1)</f>
        <v/>
      </c>
      <c r="GU14" s="14" t="str">
        <f ca="1">IF(GU$1="","",'Total Value'!GU26/'Total Value'!GT26-1)</f>
        <v/>
      </c>
      <c r="GV14" s="14" t="str">
        <f ca="1">IF(GV$1="","",'Total Value'!GV26/'Total Value'!GU26-1)</f>
        <v/>
      </c>
      <c r="GW14" s="14" t="str">
        <f ca="1">IF(GW$1="","",'Total Value'!GW26/'Total Value'!GV26-1)</f>
        <v/>
      </c>
      <c r="GX14" s="14" t="str">
        <f ca="1">IF(GX$1="","",'Total Value'!GX26/'Total Value'!GW26-1)</f>
        <v/>
      </c>
      <c r="GY14" s="14" t="str">
        <f ca="1">IF(GY$1="","",'Total Value'!GY26/'Total Value'!GX26-1)</f>
        <v/>
      </c>
      <c r="GZ14" s="14" t="str">
        <f ca="1">IF(GZ$1="","",'Total Value'!GZ26/'Total Value'!GY26-1)</f>
        <v/>
      </c>
      <c r="HA14" s="14" t="str">
        <f ca="1">IF(HA$1="","",'Total Value'!HA26/'Total Value'!GZ26-1)</f>
        <v/>
      </c>
      <c r="HB14" s="14" t="str">
        <f ca="1">IF(HB$1="","",'Total Value'!HB26/'Total Value'!HA26-1)</f>
        <v/>
      </c>
      <c r="HC14" s="14" t="str">
        <f ca="1">IF(HC$1="","",'Total Value'!HC26/'Total Value'!HB26-1)</f>
        <v/>
      </c>
      <c r="HD14" s="14" t="str">
        <f ca="1">IF(HD$1="","",'Total Value'!HD26/'Total Value'!HC26-1)</f>
        <v/>
      </c>
      <c r="HE14" s="14" t="str">
        <f ca="1">IF(HE$1="","",'Total Value'!HE26/'Total Value'!HD26-1)</f>
        <v/>
      </c>
      <c r="HF14" s="14" t="str">
        <f ca="1">IF(HF$1="","",'Total Value'!HF26/'Total Value'!HE26-1)</f>
        <v/>
      </c>
      <c r="HG14" s="14" t="str">
        <f ca="1">IF(HG$1="","",'Total Value'!HG26/'Total Value'!HF26-1)</f>
        <v/>
      </c>
      <c r="HH14" s="14" t="str">
        <f ca="1">IF(HH$1="","",'Total Value'!HH26/'Total Value'!HG26-1)</f>
        <v/>
      </c>
      <c r="HI14" s="14" t="str">
        <f ca="1">IF(HI$1="","",'Total Value'!HI26/'Total Value'!HH26-1)</f>
        <v/>
      </c>
      <c r="HJ14" s="14" t="str">
        <f ca="1">IF(HJ$1="","",'Total Value'!HJ26/'Total Value'!HI26-1)</f>
        <v/>
      </c>
      <c r="HK14" s="14" t="str">
        <f ca="1">IF(HK$1="","",'Total Value'!HK26/'Total Value'!HJ26-1)</f>
        <v/>
      </c>
      <c r="HL14" s="14" t="str">
        <f ca="1">IF(HL$1="","",'Total Value'!HL26/'Total Value'!HK26-1)</f>
        <v/>
      </c>
      <c r="HM14" s="14" t="str">
        <f ca="1">IF(HM$1="","",'Total Value'!HM26/'Total Value'!HL26-1)</f>
        <v/>
      </c>
      <c r="HN14" s="14" t="str">
        <f ca="1">IF(HN$1="","",'Total Value'!HN26/'Total Value'!HM26-1)</f>
        <v/>
      </c>
      <c r="HO14" s="14" t="str">
        <f ca="1">IF(HO$1="","",'Total Value'!HO26/'Total Value'!HN26-1)</f>
        <v/>
      </c>
      <c r="HP14" s="14" t="str">
        <f ca="1">IF(HP$1="","",'Total Value'!HP26/'Total Value'!HO26-1)</f>
        <v/>
      </c>
      <c r="HQ14" s="14" t="str">
        <f ca="1">IF(HQ$1="","",'Total Value'!HQ26/'Total Value'!HP26-1)</f>
        <v/>
      </c>
      <c r="HR14" s="14" t="str">
        <f ca="1">IF(HR$1="","",'Total Value'!HR26/'Total Value'!HQ26-1)</f>
        <v/>
      </c>
      <c r="HS14" s="14" t="str">
        <f ca="1">IF(HS$1="","",'Total Value'!HS26/'Total Value'!HR26-1)</f>
        <v/>
      </c>
      <c r="HT14" s="14" t="str">
        <f ca="1">IF(HT$1="","",'Total Value'!HT26/'Total Value'!HS26-1)</f>
        <v/>
      </c>
      <c r="HU14" s="14" t="str">
        <f ca="1">IF(HU$1="","",'Total Value'!HU26/'Total Value'!HT26-1)</f>
        <v/>
      </c>
      <c r="HV14" s="14" t="str">
        <f ca="1">IF(HV$1="","",'Total Value'!HV26/'Total Value'!HU26-1)</f>
        <v/>
      </c>
      <c r="HW14" s="14" t="str">
        <f ca="1">IF(HW$1="","",'Total Value'!HW26/'Total Value'!HV26-1)</f>
        <v/>
      </c>
      <c r="HX14" s="14" t="str">
        <f ca="1">IF(HX$1="","",'Total Value'!HX26/'Total Value'!HW26-1)</f>
        <v/>
      </c>
      <c r="HY14" s="14" t="str">
        <f ca="1">IF(HY$1="","",'Total Value'!HY26/'Total Value'!HX26-1)</f>
        <v/>
      </c>
      <c r="HZ14" s="14" t="str">
        <f ca="1">IF(HZ$1="","",'Total Value'!HZ26/'Total Value'!HY26-1)</f>
        <v/>
      </c>
      <c r="IA14" s="14" t="str">
        <f ca="1">IF(IA$1="","",'Total Value'!IA26/'Total Value'!HZ26-1)</f>
        <v/>
      </c>
      <c r="IB14" s="14" t="str">
        <f ca="1">IF(IB$1="","",'Total Value'!IB26/'Total Value'!IA26-1)</f>
        <v/>
      </c>
      <c r="IC14" s="14" t="str">
        <f ca="1">IF(IC$1="","",'Total Value'!IC26/'Total Value'!IB26-1)</f>
        <v/>
      </c>
      <c r="ID14" s="14" t="str">
        <f ca="1">IF(ID$1="","",'Total Value'!ID26/'Total Value'!IC26-1)</f>
        <v/>
      </c>
      <c r="IE14" s="14" t="str">
        <f ca="1">IF(IE$1="","",'Total Value'!IE26/'Total Value'!ID26-1)</f>
        <v/>
      </c>
      <c r="IF14" s="14" t="str">
        <f ca="1">IF(IF$1="","",'Total Value'!IF26/'Total Value'!IE26-1)</f>
        <v/>
      </c>
      <c r="IG14" s="14" t="str">
        <f ca="1">IF(IG$1="","",'Total Value'!IG26/'Total Value'!IF26-1)</f>
        <v/>
      </c>
      <c r="IH14" s="14" t="str">
        <f ca="1">IF(IH$1="","",'Total Value'!IH26/'Total Value'!IG26-1)</f>
        <v/>
      </c>
      <c r="II14" s="14" t="str">
        <f ca="1">IF(II$1="","",'Total Value'!II26/'Total Value'!IH26-1)</f>
        <v/>
      </c>
      <c r="IJ14" s="14" t="str">
        <f ca="1">IF(IJ$1="","",'Total Value'!IJ26/'Total Value'!II26-1)</f>
        <v/>
      </c>
      <c r="IK14" s="14" t="str">
        <f ca="1">IF(IK$1="","",'Total Value'!IK26/'Total Value'!IJ26-1)</f>
        <v/>
      </c>
      <c r="IL14" s="14" t="str">
        <f ca="1">IF(IL$1="","",'Total Value'!IL26/'Total Value'!IK26-1)</f>
        <v/>
      </c>
      <c r="IM14" s="14" t="str">
        <f ca="1">IF(IM$1="","",'Total Value'!IM26/'Total Value'!IL26-1)</f>
        <v/>
      </c>
      <c r="IN14" s="14" t="str">
        <f ca="1">IF(IN$1="","",'Total Value'!IN26/'Total Value'!IM26-1)</f>
        <v/>
      </c>
      <c r="IO14" s="14" t="str">
        <f ca="1">IF(IO$1="","",'Total Value'!IO26/'Total Value'!IN26-1)</f>
        <v/>
      </c>
      <c r="IP14" s="14" t="str">
        <f ca="1">IF(IP$1="","",'Total Value'!IP26/'Total Value'!IO26-1)</f>
        <v/>
      </c>
      <c r="IQ14" s="14" t="str">
        <f ca="1">IF(IQ$1="","",'Total Value'!IQ26/'Total Value'!IP26-1)</f>
        <v/>
      </c>
      <c r="IR14" s="14" t="str">
        <f ca="1">IF(IR$1="","",'Total Value'!IR26/'Total Value'!IQ26-1)</f>
        <v/>
      </c>
      <c r="IS14" s="14" t="str">
        <f ca="1">IF(IS$1="","",'Total Value'!IS26/'Total Value'!IR26-1)</f>
        <v/>
      </c>
      <c r="IT14" s="14" t="str">
        <f ca="1">IF(IT$1="","",'Total Value'!IT26/'Total Value'!IS26-1)</f>
        <v/>
      </c>
      <c r="IU14" s="14" t="str">
        <f ca="1">IF(IU$1="","",'Total Value'!IU26/'Total Value'!IT26-1)</f>
        <v/>
      </c>
      <c r="IV14" s="14" t="str">
        <f ca="1">IF(IV$1="","",'Total Value'!IV26/'Total Value'!IU26-1)</f>
        <v/>
      </c>
      <c r="IW14" s="14" t="str">
        <f ca="1">IF(IW$1="","",'Total Value'!IW26/'Total Value'!IV26-1)</f>
        <v/>
      </c>
      <c r="IX14" s="14" t="str">
        <f ca="1">IF(IX$1="","",'Total Value'!IX26/'Total Value'!IW26-1)</f>
        <v/>
      </c>
      <c r="IY14" s="14" t="str">
        <f ca="1">IF(IY$1="","",'Total Value'!IY26/'Total Value'!IX26-1)</f>
        <v/>
      </c>
      <c r="IZ14" s="14" t="str">
        <f ca="1">IF(IZ$1="","",'Total Value'!IZ26/'Total Value'!IY26-1)</f>
        <v/>
      </c>
      <c r="JA14" s="14" t="str">
        <f ca="1">IF(JA$1="","",'Total Value'!JA26/'Total Value'!IZ26-1)</f>
        <v/>
      </c>
      <c r="JB14" s="14" t="str">
        <f ca="1">IF(JB$1="","",'Total Value'!JB26/'Total Value'!JA26-1)</f>
        <v/>
      </c>
      <c r="JC14" s="14" t="str">
        <f ca="1">IF(JC$1="","",'Total Value'!JC26/'Total Value'!JB26-1)</f>
        <v/>
      </c>
      <c r="JD14" s="14" t="str">
        <f ca="1">IF(JD$1="","",'Total Value'!JD26/'Total Value'!JC26-1)</f>
        <v/>
      </c>
      <c r="JE14" s="14" t="str">
        <f ca="1">IF(JE$1="","",'Total Value'!JE26/'Total Value'!JD26-1)</f>
        <v/>
      </c>
      <c r="JF14" s="14" t="str">
        <f ca="1">IF(JF$1="","",'Total Value'!JF26/'Total Value'!JE26-1)</f>
        <v/>
      </c>
      <c r="JG14" s="14" t="str">
        <f ca="1">IF(JG$1="","",'Total Value'!JG26/'Total Value'!JF26-1)</f>
        <v/>
      </c>
      <c r="JH14" s="14" t="str">
        <f ca="1">IF(JH$1="","",'Total Value'!JH26/'Total Value'!JG26-1)</f>
        <v/>
      </c>
      <c r="JI14" s="14" t="str">
        <f ca="1">IF(JI$1="","",'Total Value'!JI26/'Total Value'!JH26-1)</f>
        <v/>
      </c>
      <c r="JJ14" s="14" t="str">
        <f ca="1">IF(JJ$1="","",'Total Value'!JJ26/'Total Value'!JI26-1)</f>
        <v/>
      </c>
      <c r="JK14" s="14" t="str">
        <f ca="1">IF(JK$1="","",'Total Value'!JK26/'Total Value'!JJ26-1)</f>
        <v/>
      </c>
      <c r="JL14" s="14" t="str">
        <f ca="1">IF(JL$1="","",'Total Value'!JL26/'Total Value'!JK26-1)</f>
        <v/>
      </c>
      <c r="JM14" s="14" t="str">
        <f ca="1">IF(JM$1="","",'Total Value'!JM26/'Total Value'!JL26-1)</f>
        <v/>
      </c>
      <c r="JN14" s="14" t="str">
        <f ca="1">IF(JN$1="","",'Total Value'!JN26/'Total Value'!JM26-1)</f>
        <v/>
      </c>
      <c r="JO14" s="14" t="str">
        <f ca="1">IF(JO$1="","",'Total Value'!JO26/'Total Value'!JN26-1)</f>
        <v/>
      </c>
      <c r="JP14" s="14" t="str">
        <f ca="1">IF(JP$1="","",'Total Value'!JP26/'Total Value'!JO26-1)</f>
        <v/>
      </c>
      <c r="JQ14" s="14" t="str">
        <f ca="1">IF(JQ$1="","",'Total Value'!JQ26/'Total Value'!JP26-1)</f>
        <v/>
      </c>
      <c r="JR14" s="14" t="str">
        <f ca="1">IF(JR$1="","",'Total Value'!JR26/'Total Value'!JQ26-1)</f>
        <v/>
      </c>
      <c r="JS14" s="14" t="str">
        <f ca="1">IF(JS$1="","",'Total Value'!JS26/'Total Value'!JR26-1)</f>
        <v/>
      </c>
      <c r="JT14" s="14" t="str">
        <f ca="1">IF(JT$1="","",'Total Value'!JT26/'Total Value'!JS26-1)</f>
        <v/>
      </c>
      <c r="JU14" s="14" t="str">
        <f ca="1">IF(JU$1="","",'Total Value'!JU26/'Total Value'!JT26-1)</f>
        <v/>
      </c>
      <c r="JV14" s="14" t="str">
        <f ca="1">IF(JV$1="","",'Total Value'!JV26/'Total Value'!JU26-1)</f>
        <v/>
      </c>
      <c r="JW14" s="14" t="str">
        <f ca="1">IF(JW$1="","",'Total Value'!JW26/'Total Value'!JV26-1)</f>
        <v/>
      </c>
      <c r="JX14" s="14" t="str">
        <f ca="1">IF(JX$1="","",'Total Value'!JX26/'Total Value'!JW26-1)</f>
        <v/>
      </c>
      <c r="JY14" s="14" t="str">
        <f ca="1">IF(JY$1="","",'Total Value'!JY26/'Total Value'!JX26-1)</f>
        <v/>
      </c>
      <c r="JZ14" s="14" t="str">
        <f ca="1">IF(JZ$1="","",'Total Value'!JZ26/'Total Value'!JY26-1)</f>
        <v/>
      </c>
      <c r="KA14" s="14" t="str">
        <f ca="1">IF(KA$1="","",'Total Value'!KA26/'Total Value'!JZ26-1)</f>
        <v/>
      </c>
      <c r="KB14" s="14" t="str">
        <f ca="1">IF(KB$1="","",'Total Value'!KB26/'Total Value'!KA26-1)</f>
        <v/>
      </c>
    </row>
    <row r="15" spans="1:288" ht="15.75" customHeight="1">
      <c r="A15" s="22" t="s">
        <v>30</v>
      </c>
      <c r="B15" s="6" t="s">
        <v>60</v>
      </c>
      <c r="C15" s="26">
        <v>262</v>
      </c>
      <c r="D15" s="13">
        <v>0</v>
      </c>
      <c r="E15" s="14">
        <f ca="1">IF(E$1="","",'Total Value'!E27/'Total Value'!D27-1)</f>
        <v>9.1631032376295884E-3</v>
      </c>
      <c r="F15" s="14">
        <f ca="1">IF(F$1="","",'Total Value'!F27/'Total Value'!E27-1)</f>
        <v>6.0532687651333461E-3</v>
      </c>
      <c r="G15" s="14">
        <f ca="1">IF(G$1="","",'Total Value'!G27/'Total Value'!F27-1)</f>
        <v>-1.323706377858036E-2</v>
      </c>
      <c r="H15" s="14">
        <f ca="1">IF(H$1="","",'Total Value'!H27/'Total Value'!G27-1)</f>
        <v>-2.4390243902437936E-3</v>
      </c>
      <c r="I15" s="14">
        <f ca="1">IF(I$1="","",'Total Value'!I27/'Total Value'!H27-1)</f>
        <v>-1.4058679706601573E-2</v>
      </c>
      <c r="J15" s="14">
        <f ca="1">IF(J$1="","",'Total Value'!J27/'Total Value'!I27-1)</f>
        <v>-4.9597024178547056E-3</v>
      </c>
      <c r="K15" s="14">
        <f ca="1">IF(K$1="","",'Total Value'!K27/'Total Value'!J27-1)</f>
        <v>-1.1838006230529774E-2</v>
      </c>
      <c r="L15" s="14">
        <f ca="1">IF(L$1="","",'Total Value'!L27/'Total Value'!K27-1)</f>
        <v>-2.7112232030264805E-2</v>
      </c>
      <c r="M15" s="14">
        <f ca="1">IF(M$1="","",'Total Value'!M27/'Total Value'!L27-1)</f>
        <v>-3.110823071937785E-2</v>
      </c>
      <c r="N15" s="14">
        <f ca="1">IF(N$1="","",'Total Value'!N27/'Total Value'!M27-1)</f>
        <v>-1.2040133779264162E-2</v>
      </c>
      <c r="O15" s="14">
        <f ca="1">IF(O$1="","",'Total Value'!O27/'Total Value'!N27-1)</f>
        <v>8.8016249153690662E-3</v>
      </c>
      <c r="P15" s="14">
        <f ca="1">IF(P$1="","",'Total Value'!P27/'Total Value'!O27-1)</f>
        <v>-3.3557046979866278E-3</v>
      </c>
      <c r="Q15" s="14">
        <f ca="1">IF(Q$1="","",'Total Value'!Q27/'Total Value'!P27-1)</f>
        <v>2.3569023569023573E-2</v>
      </c>
      <c r="R15" s="14">
        <f ca="1">IF(R$1="","",'Total Value'!R27/'Total Value'!Q27-1)</f>
        <v>2.2368421052631593E-2</v>
      </c>
      <c r="S15" s="14">
        <f ca="1">IF(S$1="","",'Total Value'!S27/'Total Value'!R27-1)</f>
        <v>9.009009009009139E-3</v>
      </c>
      <c r="T15" s="14">
        <f ca="1">IF(T$1="","",'Total Value'!T27/'Total Value'!S27-1)</f>
        <v>1.5306122448979664E-2</v>
      </c>
      <c r="U15" s="14">
        <f ca="1">IF(U$1="","",'Total Value'!U27/'Total Value'!T27-1)</f>
        <v>-2.2613065326633097E-2</v>
      </c>
      <c r="V15" s="14">
        <f ca="1">IF(V$1="","",'Total Value'!V27/'Total Value'!U27-1)</f>
        <v>-6.4267352185087834E-4</v>
      </c>
      <c r="W15" s="14">
        <f ca="1">IF(W$1="","",'Total Value'!W27/'Total Value'!V27-1)</f>
        <v>1.9292604501606192E-3</v>
      </c>
      <c r="X15" s="14">
        <f ca="1">IF(X$1="","",'Total Value'!X27/'Total Value'!W27-1)</f>
        <v>7.0603337612322736E-3</v>
      </c>
      <c r="Y15" s="14">
        <f ca="1">IF(Y$1="","",'Total Value'!Y27/'Total Value'!X27-1)</f>
        <v>2.8680688336520266E-2</v>
      </c>
      <c r="Z15" s="14">
        <f ca="1">IF(Z$1="","",'Total Value'!Z27/'Total Value'!Y27-1)</f>
        <v>-1.4869888475836479E-2</v>
      </c>
      <c r="AA15" s="14">
        <f ca="1">IF(AA$1="","",'Total Value'!AA27/'Total Value'!Z27-1)</f>
        <v>-2.5786163522012573E-2</v>
      </c>
      <c r="AB15" s="14">
        <f ca="1">IF(AB$1="","",'Total Value'!AB27/'Total Value'!AA27-1)</f>
        <v>-1.0329244673983218E-2</v>
      </c>
      <c r="AC15" s="14">
        <f ca="1">IF(AC$1="","",'Total Value'!AC27/'Total Value'!AB27-1)</f>
        <v>1.7612524461839474E-2</v>
      </c>
      <c r="AD15" s="14">
        <f ca="1">IF(AD$1="","",'Total Value'!AD27/'Total Value'!AC27-1)</f>
        <v>1.9871794871795023E-2</v>
      </c>
      <c r="AE15" s="14">
        <f ca="1">IF(AE$1="","",'Total Value'!AE27/'Total Value'!AD27-1)</f>
        <v>-3.6455059710873705E-2</v>
      </c>
      <c r="AF15" s="14">
        <f ca="1">IF(AF$1="","",'Total Value'!AF27/'Total Value'!AE27-1)</f>
        <v>-7.8277886497063465E-3</v>
      </c>
      <c r="AG15" s="14">
        <f ca="1">IF(AG$1="","",'Total Value'!AG27/'Total Value'!AF27-1)</f>
        <v>-1.643655489809337E-2</v>
      </c>
      <c r="AH15" s="14">
        <f ca="1">IF(AH$1="","",'Total Value'!AH27/'Total Value'!AG27-1)</f>
        <v>-1.1363636363636576E-2</v>
      </c>
      <c r="AI15" s="14">
        <f ca="1">IF(AI$1="","",'Total Value'!AI27/'Total Value'!AH27-1)</f>
        <v>2.1636240703177823E-2</v>
      </c>
      <c r="AJ15" s="14">
        <f ca="1">IF(AJ$1="","",'Total Value'!AJ27/'Total Value'!AI27-1)</f>
        <v>1.6545334215751106E-2</v>
      </c>
      <c r="AK15" s="14">
        <f ca="1">IF(AK$1="","",'Total Value'!AK27/'Total Value'!AJ27-1)</f>
        <v>3.90625E-3</v>
      </c>
      <c r="AL15" s="14">
        <f ca="1">IF(AL$1="","",'Total Value'!AL27/'Total Value'!AK27-1)</f>
        <v>0</v>
      </c>
      <c r="AM15" s="14">
        <f ca="1">IF(AM$1="","",'Total Value'!AM27/'Total Value'!AL27-1)</f>
        <v>1.7509727626459082E-2</v>
      </c>
      <c r="AN15" s="14">
        <f ca="1">IF(AN$1="","",'Total Value'!AN27/'Total Value'!AM27-1)</f>
        <v>-1.0197578075207159E-2</v>
      </c>
      <c r="AO15" s="14">
        <f ca="1">IF(AO$1="","",'Total Value'!AO27/'Total Value'!AN27-1)</f>
        <v>-5.7952350289761645E-3</v>
      </c>
      <c r="AP15" s="14">
        <f ca="1">IF(AP$1="","",'Total Value'!AP27/'Total Value'!AO27-1)</f>
        <v>-2.8497409326424861E-2</v>
      </c>
      <c r="AQ15" s="14">
        <f ca="1">IF(AQ$1="","",'Total Value'!AQ27/'Total Value'!AP27-1)</f>
        <v>-1.9999999999998908E-3</v>
      </c>
      <c r="AR15" s="14">
        <f ca="1">IF(AR$1="","",'Total Value'!AR27/'Total Value'!AQ27-1)</f>
        <v>2.1376085504341891E-2</v>
      </c>
      <c r="AS15" s="14">
        <f ca="1">IF(AS$1="","",'Total Value'!AS27/'Total Value'!AR27-1)</f>
        <v>-1.9620667102681066E-3</v>
      </c>
      <c r="AT15" s="14">
        <f ca="1">IF(AT$1="","",'Total Value'!AT27/'Total Value'!AS27-1)</f>
        <v>-7.8636959370903536E-3</v>
      </c>
      <c r="AU15" s="14">
        <f ca="1">IF(AU$1="","",'Total Value'!AU27/'Total Value'!AT27-1)</f>
        <v>-1.3210039630119019E-2</v>
      </c>
      <c r="AV15" s="14">
        <f ca="1">IF(AV$1="","",'Total Value'!AV27/'Total Value'!AU27-1)</f>
        <v>1.4725568942436595E-2</v>
      </c>
      <c r="AW15" s="14">
        <f ca="1">IF(AW$1="","",'Total Value'!AW27/'Total Value'!AV27-1)</f>
        <v>1.5831134564643801E-2</v>
      </c>
      <c r="AX15" s="14">
        <f ca="1">IF(AX$1="","",'Total Value'!AX27/'Total Value'!AW27-1)</f>
        <v>2.5974025974025983E-2</v>
      </c>
      <c r="AY15" s="14">
        <f ca="1">IF(AY$1="","",'Total Value'!AY27/'Total Value'!AX27-1)</f>
        <v>6.3291139240506666E-3</v>
      </c>
      <c r="AZ15" s="14">
        <f ca="1">IF(AZ$1="","",'Total Value'!AZ27/'Total Value'!AY27-1)</f>
        <v>-1.8867924528302993E-3</v>
      </c>
      <c r="BA15" s="14">
        <f ca="1">IF(BA$1="","",'Total Value'!BA27/'Total Value'!AZ27-1)</f>
        <v>6.9313169502207561E-3</v>
      </c>
      <c r="BB15" s="14">
        <f ca="1">IF(BB$1="","",'Total Value'!BB27/'Total Value'!BA27-1)</f>
        <v>-1.4392991239048913E-2</v>
      </c>
      <c r="BC15" s="14">
        <f ca="1">IF(BC$1="","",'Total Value'!BC27/'Total Value'!BB27-1)</f>
        <v>1.9047619047618536E-3</v>
      </c>
      <c r="BD15" s="14">
        <f ca="1">IF(BD$1="","",'Total Value'!BD27/'Total Value'!BC27-1)</f>
        <v>-3.8022813688211032E-3</v>
      </c>
      <c r="BE15" s="14">
        <f ca="1">IF(BE$1="","",'Total Value'!BE27/'Total Value'!BD27-1)</f>
        <v>3.8167938931297218E-3</v>
      </c>
      <c r="BF15" s="14">
        <f ca="1">IF(BF$1="","",'Total Value'!BF27/'Total Value'!BE27-1)</f>
        <v>5.069708491761693E-3</v>
      </c>
      <c r="BG15" s="14">
        <f ca="1">IF(BG$1="","",'Total Value'!BG27/'Total Value'!BF27-1)</f>
        <v>-5.0441361916772065E-3</v>
      </c>
      <c r="BH15" s="14">
        <f ca="1">IF(BH$1="","",'Total Value'!BH27/'Total Value'!BG27-1)</f>
        <v>-1.0139416983523497E-2</v>
      </c>
      <c r="BI15" s="14">
        <f ca="1">IF(BI$1="","",'Total Value'!BI27/'Total Value'!BH27-1)</f>
        <v>8.3226632522408472E-3</v>
      </c>
      <c r="BJ15" s="14">
        <f ca="1">IF(BJ$1="","",'Total Value'!BJ27/'Total Value'!BI27-1)</f>
        <v>1.2698412698413097E-3</v>
      </c>
      <c r="BK15" s="14">
        <f ca="1">IF(BK$1="","",'Total Value'!BK27/'Total Value'!BJ27-1)</f>
        <v>-1.6487000634115345E-2</v>
      </c>
      <c r="BL15" s="14">
        <f ca="1">IF(BL$1="","",'Total Value'!BL27/'Total Value'!BK27-1)</f>
        <v>-1.4184397163120699E-2</v>
      </c>
      <c r="BM15" s="14">
        <f ca="1">IF(BM$1="","",'Total Value'!BM27/'Total Value'!BL27-1)</f>
        <v>6.5402223675605775E-3</v>
      </c>
      <c r="BN15" s="14">
        <f ca="1">IF(BN$1="","",'Total Value'!BN27/'Total Value'!BM27-1)</f>
        <v>-2.5990903183886749E-3</v>
      </c>
      <c r="BO15" s="14">
        <f ca="1">IF(BO$1="","",'Total Value'!BO27/'Total Value'!BN27-1)</f>
        <v>-1.6286644951140072E-2</v>
      </c>
      <c r="BP15" s="14">
        <f ca="1">IF(BP$1="","",'Total Value'!BP27/'Total Value'!BO27-1)</f>
        <v>0</v>
      </c>
      <c r="BQ15" s="14">
        <f ca="1">IF(BQ$1="","",'Total Value'!BQ27/'Total Value'!BP27-1)</f>
        <v>8.6092715231789185E-3</v>
      </c>
      <c r="BR15" s="14">
        <f ca="1">IF(BR$1="","",'Total Value'!BR27/'Total Value'!BQ27-1)</f>
        <v>-9.1923834537098736E-3</v>
      </c>
      <c r="BS15" s="14">
        <f ca="1">IF(BS$1="","",'Total Value'!BS27/'Total Value'!BR27-1)</f>
        <v>1.3253810470510441E-3</v>
      </c>
      <c r="BT15" s="14">
        <f ca="1">IF(BT$1="","",'Total Value'!BT27/'Total Value'!BS27-1)</f>
        <v>1.4559894109861027E-2</v>
      </c>
      <c r="BU15" s="14">
        <f ca="1">IF(BU$1="","",'Total Value'!BU27/'Total Value'!BT27-1)</f>
        <v>-4.5662100456621557E-3</v>
      </c>
      <c r="BV15" s="14">
        <f ca="1">IF(BV$1="","",'Total Value'!BV27/'Total Value'!BU27-1)</f>
        <v>-1.5727391874180929E-2</v>
      </c>
      <c r="BW15" s="14">
        <f ca="1">IF(BW$1="","",'Total Value'!BW27/'Total Value'!BV27-1)</f>
        <v>-1.3315579227696328E-2</v>
      </c>
      <c r="BX15" s="14">
        <f ca="1">IF(BX$1="","",'Total Value'!BX27/'Total Value'!BW27-1)</f>
        <v>2.0242914979755611E-3</v>
      </c>
      <c r="BY15" s="14">
        <f ca="1">IF(BY$1="","",'Total Value'!BY27/'Total Value'!BX27-1)</f>
        <v>-2.7609427609427639E-2</v>
      </c>
      <c r="BZ15" s="14">
        <f ca="1">IF(BZ$1="","",'Total Value'!BZ27/'Total Value'!BY27-1)</f>
        <v>4.8476454293628901E-3</v>
      </c>
      <c r="CA15" s="14">
        <f ca="1">IF(CA$1="","",'Total Value'!CA27/'Total Value'!BZ27-1)</f>
        <v>2.3432115782219043E-2</v>
      </c>
      <c r="CB15" s="14">
        <f ca="1">IF(CB$1="","",'Total Value'!CB27/'Total Value'!CA27-1)</f>
        <v>-2.0875420875420936E-2</v>
      </c>
      <c r="CC15" s="14">
        <f ca="1">IF(CC$1="","",'Total Value'!CC27/'Total Value'!CB27-1)</f>
        <v>-1.3755158184318717E-3</v>
      </c>
      <c r="CD15" s="14">
        <f ca="1">IF(CD$1="","",'Total Value'!CD27/'Total Value'!CC27-1)</f>
        <v>1.0330578512396826E-2</v>
      </c>
      <c r="CE15" s="14">
        <f ca="1">IF(CE$1="","",'Total Value'!CE27/'Total Value'!CD27-1)</f>
        <v>2.8629856850715729E-2</v>
      </c>
      <c r="CF15" s="14" t="str">
        <f ca="1">IF(CF$1="","",'Total Value'!CF27/'Total Value'!CE27-1)</f>
        <v/>
      </c>
      <c r="CG15" s="14" t="str">
        <f ca="1">IF(CG$1="","",'Total Value'!CG27/'Total Value'!CF27-1)</f>
        <v/>
      </c>
      <c r="CH15" s="14" t="str">
        <f ca="1">IF(CH$1="","",'Total Value'!CH27/'Total Value'!CG27-1)</f>
        <v/>
      </c>
      <c r="CI15" s="14" t="str">
        <f ca="1">IF(CI$1="","",'Total Value'!CI27/'Total Value'!CH27-1)</f>
        <v/>
      </c>
      <c r="CJ15" s="14" t="str">
        <f ca="1">IF(CJ$1="","",'Total Value'!CJ27/'Total Value'!CI27-1)</f>
        <v/>
      </c>
      <c r="CK15" s="14" t="str">
        <f ca="1">IF(CK$1="","",'Total Value'!CK27/'Total Value'!CJ27-1)</f>
        <v/>
      </c>
      <c r="CL15" s="14" t="str">
        <f ca="1">IF(CL$1="","",'Total Value'!CL27/'Total Value'!CK27-1)</f>
        <v/>
      </c>
      <c r="CM15" s="14" t="str">
        <f ca="1">IF(CM$1="","",'Total Value'!CM27/'Total Value'!CL27-1)</f>
        <v/>
      </c>
      <c r="CN15" s="14" t="str">
        <f ca="1">IF(CN$1="","",'Total Value'!CN27/'Total Value'!CM27-1)</f>
        <v/>
      </c>
      <c r="CO15" s="14" t="str">
        <f ca="1">IF(CO$1="","",'Total Value'!CO27/'Total Value'!CN27-1)</f>
        <v/>
      </c>
      <c r="CP15" s="14" t="str">
        <f ca="1">IF(CP$1="","",'Total Value'!CP27/'Total Value'!CO27-1)</f>
        <v/>
      </c>
      <c r="CQ15" s="14" t="str">
        <f ca="1">IF(CQ$1="","",'Total Value'!CQ27/'Total Value'!CP27-1)</f>
        <v/>
      </c>
      <c r="CR15" s="14" t="str">
        <f ca="1">IF(CR$1="","",'Total Value'!CR27/'Total Value'!CQ27-1)</f>
        <v/>
      </c>
      <c r="CS15" s="14" t="str">
        <f ca="1">IF(CS$1="","",'Total Value'!CS27/'Total Value'!CR27-1)</f>
        <v/>
      </c>
      <c r="CT15" s="14" t="str">
        <f ca="1">IF(CT$1="","",'Total Value'!CT27/'Total Value'!CS27-1)</f>
        <v/>
      </c>
      <c r="CU15" s="14" t="str">
        <f ca="1">IF(CU$1="","",'Total Value'!CU27/'Total Value'!CT27-1)</f>
        <v/>
      </c>
      <c r="CV15" s="14" t="str">
        <f ca="1">IF(CV$1="","",'Total Value'!CV27/'Total Value'!CU27-1)</f>
        <v/>
      </c>
      <c r="CW15" s="14" t="str">
        <f ca="1">IF(CW$1="","",'Total Value'!CW27/'Total Value'!CV27-1)</f>
        <v/>
      </c>
      <c r="CX15" s="14" t="str">
        <f ca="1">IF(CX$1="","",'Total Value'!CX27/'Total Value'!CW27-1)</f>
        <v/>
      </c>
      <c r="CY15" s="14" t="str">
        <f ca="1">IF(CY$1="","",'Total Value'!CY27/'Total Value'!CX27-1)</f>
        <v/>
      </c>
      <c r="CZ15" s="14" t="str">
        <f ca="1">IF(CZ$1="","",'Total Value'!CZ27/'Total Value'!CY27-1)</f>
        <v/>
      </c>
      <c r="DA15" s="14" t="str">
        <f ca="1">IF(DA$1="","",'Total Value'!DA27/'Total Value'!CZ27-1)</f>
        <v/>
      </c>
      <c r="DB15" s="14" t="str">
        <f ca="1">IF(DB$1="","",'Total Value'!DB27/'Total Value'!DA27-1)</f>
        <v/>
      </c>
      <c r="DC15" s="14" t="str">
        <f ca="1">IF(DC$1="","",'Total Value'!DC27/'Total Value'!DB27-1)</f>
        <v/>
      </c>
      <c r="DD15" s="14" t="str">
        <f ca="1">IF(DD$1="","",'Total Value'!DD27/'Total Value'!DC27-1)</f>
        <v/>
      </c>
      <c r="DE15" s="14" t="str">
        <f ca="1">IF(DE$1="","",'Total Value'!DE27/'Total Value'!DD27-1)</f>
        <v/>
      </c>
      <c r="DF15" s="14" t="str">
        <f ca="1">IF(DF$1="","",'Total Value'!DF27/'Total Value'!DE27-1)</f>
        <v/>
      </c>
      <c r="DG15" s="14" t="str">
        <f ca="1">IF(DG$1="","",'Total Value'!DG27/'Total Value'!DF27-1)</f>
        <v/>
      </c>
      <c r="DH15" s="14" t="str">
        <f ca="1">IF(DH$1="","",'Total Value'!DH27/'Total Value'!DG27-1)</f>
        <v/>
      </c>
      <c r="DI15" s="14" t="str">
        <f ca="1">IF(DI$1="","",'Total Value'!DI27/'Total Value'!DH27-1)</f>
        <v/>
      </c>
      <c r="DJ15" s="14" t="str">
        <f ca="1">IF(DJ$1="","",'Total Value'!DJ27/'Total Value'!DI27-1)</f>
        <v/>
      </c>
      <c r="DK15" s="14" t="str">
        <f ca="1">IF(DK$1="","",'Total Value'!DK27/'Total Value'!DJ27-1)</f>
        <v/>
      </c>
      <c r="DL15" s="14" t="str">
        <f ca="1">IF(DL$1="","",'Total Value'!DL27/'Total Value'!DK27-1)</f>
        <v/>
      </c>
      <c r="DM15" s="14" t="str">
        <f ca="1">IF(DM$1="","",'Total Value'!DM27/'Total Value'!DL27-1)</f>
        <v/>
      </c>
      <c r="DN15" s="14" t="str">
        <f ca="1">IF(DN$1="","",'Total Value'!DN27/'Total Value'!DM27-1)</f>
        <v/>
      </c>
      <c r="DO15" s="14" t="str">
        <f ca="1">IF(DO$1="","",'Total Value'!DO27/'Total Value'!DN27-1)</f>
        <v/>
      </c>
      <c r="DP15" s="14" t="str">
        <f ca="1">IF(DP$1="","",'Total Value'!DP27/'Total Value'!DO27-1)</f>
        <v/>
      </c>
      <c r="DQ15" s="14" t="str">
        <f ca="1">IF(DQ$1="","",'Total Value'!DQ27/'Total Value'!DP27-1)</f>
        <v/>
      </c>
      <c r="DR15" s="14" t="str">
        <f ca="1">IF(DR$1="","",'Total Value'!DR27/'Total Value'!DQ27-1)</f>
        <v/>
      </c>
      <c r="DS15" s="14" t="str">
        <f ca="1">IF(DS$1="","",'Total Value'!DS27/'Total Value'!DR27-1)</f>
        <v/>
      </c>
      <c r="DT15" s="14" t="str">
        <f ca="1">IF(DT$1="","",'Total Value'!DT27/'Total Value'!DS27-1)</f>
        <v/>
      </c>
      <c r="DU15" s="14" t="str">
        <f ca="1">IF(DU$1="","",'Total Value'!DU27/'Total Value'!DT27-1)</f>
        <v/>
      </c>
      <c r="DV15" s="14" t="str">
        <f ca="1">IF(DV$1="","",'Total Value'!DV27/'Total Value'!DU27-1)</f>
        <v/>
      </c>
      <c r="DW15" s="14" t="str">
        <f ca="1">IF(DW$1="","",'Total Value'!DW27/'Total Value'!DV27-1)</f>
        <v/>
      </c>
      <c r="DX15" s="14" t="str">
        <f ca="1">IF(DX$1="","",'Total Value'!DX27/'Total Value'!DW27-1)</f>
        <v/>
      </c>
      <c r="DY15" s="14" t="str">
        <f ca="1">IF(DY$1="","",'Total Value'!DY27/'Total Value'!DX27-1)</f>
        <v/>
      </c>
      <c r="DZ15" s="14" t="str">
        <f ca="1">IF(DZ$1="","",'Total Value'!DZ27/'Total Value'!DY27-1)</f>
        <v/>
      </c>
      <c r="EA15" s="14" t="str">
        <f ca="1">IF(EA$1="","",'Total Value'!EA27/'Total Value'!DZ27-1)</f>
        <v/>
      </c>
      <c r="EB15" s="14" t="str">
        <f ca="1">IF(EB$1="","",'Total Value'!EB27/'Total Value'!EA27-1)</f>
        <v/>
      </c>
      <c r="EC15" s="14" t="str">
        <f ca="1">IF(EC$1="","",'Total Value'!EC27/'Total Value'!EB27-1)</f>
        <v/>
      </c>
      <c r="ED15" s="14" t="str">
        <f ca="1">IF(ED$1="","",'Total Value'!ED27/'Total Value'!EC27-1)</f>
        <v/>
      </c>
      <c r="EE15" s="14" t="str">
        <f ca="1">IF(EE$1="","",'Total Value'!EE27/'Total Value'!ED27-1)</f>
        <v/>
      </c>
      <c r="EF15" s="14" t="str">
        <f ca="1">IF(EF$1="","",'Total Value'!EF27/'Total Value'!EE27-1)</f>
        <v/>
      </c>
      <c r="EG15" s="14" t="str">
        <f ca="1">IF(EG$1="","",'Total Value'!EG27/'Total Value'!EF27-1)</f>
        <v/>
      </c>
      <c r="EH15" s="14" t="str">
        <f ca="1">IF(EH$1="","",'Total Value'!EH27/'Total Value'!EG27-1)</f>
        <v/>
      </c>
      <c r="EI15" s="14" t="str">
        <f ca="1">IF(EI$1="","",'Total Value'!EI27/'Total Value'!EH27-1)</f>
        <v/>
      </c>
      <c r="EJ15" s="14" t="str">
        <f ca="1">IF(EJ$1="","",'Total Value'!EJ27/'Total Value'!EI27-1)</f>
        <v/>
      </c>
      <c r="EK15" s="14" t="str">
        <f ca="1">IF(EK$1="","",'Total Value'!EK27/'Total Value'!EJ27-1)</f>
        <v/>
      </c>
      <c r="EL15" s="14" t="str">
        <f ca="1">IF(EL$1="","",'Total Value'!EL27/'Total Value'!EK27-1)</f>
        <v/>
      </c>
      <c r="EM15" s="14" t="str">
        <f ca="1">IF(EM$1="","",'Total Value'!EM27/'Total Value'!EL27-1)</f>
        <v/>
      </c>
      <c r="EN15" s="14" t="str">
        <f ca="1">IF(EN$1="","",'Total Value'!EN27/'Total Value'!EM27-1)</f>
        <v/>
      </c>
      <c r="EO15" s="14" t="str">
        <f ca="1">IF(EO$1="","",'Total Value'!EO27/'Total Value'!EN27-1)</f>
        <v/>
      </c>
      <c r="EP15" s="14" t="str">
        <f ca="1">IF(EP$1="","",'Total Value'!EP27/'Total Value'!EO27-1)</f>
        <v/>
      </c>
      <c r="EQ15" s="14" t="str">
        <f ca="1">IF(EQ$1="","",'Total Value'!EQ27/'Total Value'!EP27-1)</f>
        <v/>
      </c>
      <c r="ER15" s="14" t="str">
        <f ca="1">IF(ER$1="","",'Total Value'!ER27/'Total Value'!EQ27-1)</f>
        <v/>
      </c>
      <c r="ES15" s="14" t="str">
        <f ca="1">IF(ES$1="","",'Total Value'!ES27/'Total Value'!ER27-1)</f>
        <v/>
      </c>
      <c r="ET15" s="14" t="str">
        <f ca="1">IF(ET$1="","",'Total Value'!ET27/'Total Value'!ES27-1)</f>
        <v/>
      </c>
      <c r="EU15" s="14" t="str">
        <f ca="1">IF(EU$1="","",'Total Value'!EU27/'Total Value'!ET27-1)</f>
        <v/>
      </c>
      <c r="EV15" s="14" t="str">
        <f ca="1">IF(EV$1="","",'Total Value'!EV27/'Total Value'!EU27-1)</f>
        <v/>
      </c>
      <c r="EW15" s="14" t="str">
        <f ca="1">IF(EW$1="","",'Total Value'!EW27/'Total Value'!EV27-1)</f>
        <v/>
      </c>
      <c r="EX15" s="14" t="str">
        <f ca="1">IF(EX$1="","",'Total Value'!EX27/'Total Value'!EW27-1)</f>
        <v/>
      </c>
      <c r="EY15" s="14" t="str">
        <f ca="1">IF(EY$1="","",'Total Value'!EY27/'Total Value'!EX27-1)</f>
        <v/>
      </c>
      <c r="EZ15" s="14" t="str">
        <f ca="1">IF(EZ$1="","",'Total Value'!EZ27/'Total Value'!EY27-1)</f>
        <v/>
      </c>
      <c r="FA15" s="14" t="str">
        <f ca="1">IF(FA$1="","",'Total Value'!FA27/'Total Value'!EZ27-1)</f>
        <v/>
      </c>
      <c r="FB15" s="14" t="str">
        <f ca="1">IF(FB$1="","",'Total Value'!FB27/'Total Value'!FA27-1)</f>
        <v/>
      </c>
      <c r="FC15" s="14" t="str">
        <f ca="1">IF(FC$1="","",'Total Value'!FC27/'Total Value'!FB27-1)</f>
        <v/>
      </c>
      <c r="FD15" s="14" t="str">
        <f ca="1">IF(FD$1="","",'Total Value'!FD27/'Total Value'!FC27-1)</f>
        <v/>
      </c>
      <c r="FE15" s="14" t="str">
        <f ca="1">IF(FE$1="","",'Total Value'!FE27/'Total Value'!FD27-1)</f>
        <v/>
      </c>
      <c r="FF15" s="14" t="str">
        <f ca="1">IF(FF$1="","",'Total Value'!FF27/'Total Value'!FE27-1)</f>
        <v/>
      </c>
      <c r="FG15" s="14" t="str">
        <f ca="1">IF(FG$1="","",'Total Value'!FG27/'Total Value'!FF27-1)</f>
        <v/>
      </c>
      <c r="FH15" s="14" t="str">
        <f ca="1">IF(FH$1="","",'Total Value'!FH27/'Total Value'!FG27-1)</f>
        <v/>
      </c>
      <c r="FI15" s="14" t="str">
        <f ca="1">IF(FI$1="","",'Total Value'!FI27/'Total Value'!FH27-1)</f>
        <v/>
      </c>
      <c r="FJ15" s="14" t="str">
        <f ca="1">IF(FJ$1="","",'Total Value'!FJ27/'Total Value'!FI27-1)</f>
        <v/>
      </c>
      <c r="FK15" s="14" t="str">
        <f ca="1">IF(FK$1="","",'Total Value'!FK27/'Total Value'!FJ27-1)</f>
        <v/>
      </c>
      <c r="FL15" s="14" t="str">
        <f ca="1">IF(FL$1="","",'Total Value'!FL27/'Total Value'!FK27-1)</f>
        <v/>
      </c>
      <c r="FM15" s="14" t="str">
        <f ca="1">IF(FM$1="","",'Total Value'!FM27/'Total Value'!FL27-1)</f>
        <v/>
      </c>
      <c r="FN15" s="14" t="str">
        <f ca="1">IF(FN$1="","",'Total Value'!FN27/'Total Value'!FM27-1)</f>
        <v/>
      </c>
      <c r="FO15" s="14" t="str">
        <f ca="1">IF(FO$1="","",'Total Value'!FO27/'Total Value'!FN27-1)</f>
        <v/>
      </c>
      <c r="FP15" s="14" t="str">
        <f ca="1">IF(FP$1="","",'Total Value'!FP27/'Total Value'!FO27-1)</f>
        <v/>
      </c>
      <c r="FQ15" s="14" t="str">
        <f ca="1">IF(FQ$1="","",'Total Value'!FQ27/'Total Value'!FP27-1)</f>
        <v/>
      </c>
      <c r="FR15" s="14" t="str">
        <f ca="1">IF(FR$1="","",'Total Value'!FR27/'Total Value'!FQ27-1)</f>
        <v/>
      </c>
      <c r="FS15" s="14" t="str">
        <f ca="1">IF(FS$1="","",'Total Value'!FS27/'Total Value'!FR27-1)</f>
        <v/>
      </c>
      <c r="FT15" s="14" t="str">
        <f ca="1">IF(FT$1="","",'Total Value'!FT27/'Total Value'!FS27-1)</f>
        <v/>
      </c>
      <c r="FU15" s="14" t="str">
        <f ca="1">IF(FU$1="","",'Total Value'!FU27/'Total Value'!FT27-1)</f>
        <v/>
      </c>
      <c r="FV15" s="14" t="str">
        <f ca="1">IF(FV$1="","",'Total Value'!FV27/'Total Value'!FU27-1)</f>
        <v/>
      </c>
      <c r="FW15" s="14" t="str">
        <f ca="1">IF(FW$1="","",'Total Value'!FW27/'Total Value'!FV27-1)</f>
        <v/>
      </c>
      <c r="FX15" s="14" t="str">
        <f ca="1">IF(FX$1="","",'Total Value'!FX27/'Total Value'!FW27-1)</f>
        <v/>
      </c>
      <c r="FY15" s="14" t="str">
        <f ca="1">IF(FY$1="","",'Total Value'!FY27/'Total Value'!FX27-1)</f>
        <v/>
      </c>
      <c r="FZ15" s="14" t="str">
        <f ca="1">IF(FZ$1="","",'Total Value'!FZ27/'Total Value'!FY27-1)</f>
        <v/>
      </c>
      <c r="GA15" s="14" t="str">
        <f ca="1">IF(GA$1="","",'Total Value'!GA27/'Total Value'!FZ27-1)</f>
        <v/>
      </c>
      <c r="GB15" s="14" t="str">
        <f ca="1">IF(GB$1="","",'Total Value'!GB27/'Total Value'!GA27-1)</f>
        <v/>
      </c>
      <c r="GC15" s="14" t="str">
        <f ca="1">IF(GC$1="","",'Total Value'!GC27/'Total Value'!GB27-1)</f>
        <v/>
      </c>
      <c r="GD15" s="14" t="str">
        <f ca="1">IF(GD$1="","",'Total Value'!GD27/'Total Value'!GC27-1)</f>
        <v/>
      </c>
      <c r="GE15" s="14" t="str">
        <f ca="1">IF(GE$1="","",'Total Value'!GE27/'Total Value'!GD27-1)</f>
        <v/>
      </c>
      <c r="GF15" s="14" t="str">
        <f ca="1">IF(GF$1="","",'Total Value'!GF27/'Total Value'!GE27-1)</f>
        <v/>
      </c>
      <c r="GG15" s="14" t="str">
        <f ca="1">IF(GG$1="","",'Total Value'!GG27/'Total Value'!GF27-1)</f>
        <v/>
      </c>
      <c r="GH15" s="14" t="str">
        <f ca="1">IF(GH$1="","",'Total Value'!GH27/'Total Value'!GG27-1)</f>
        <v/>
      </c>
      <c r="GI15" s="14" t="str">
        <f ca="1">IF(GI$1="","",'Total Value'!GI27/'Total Value'!GH27-1)</f>
        <v/>
      </c>
      <c r="GJ15" s="14" t="str">
        <f ca="1">IF(GJ$1="","",'Total Value'!GJ27/'Total Value'!GI27-1)</f>
        <v/>
      </c>
      <c r="GK15" s="14" t="str">
        <f ca="1">IF(GK$1="","",'Total Value'!GK27/'Total Value'!GJ27-1)</f>
        <v/>
      </c>
      <c r="GL15" s="14" t="str">
        <f ca="1">IF(GL$1="","",'Total Value'!GL27/'Total Value'!GK27-1)</f>
        <v/>
      </c>
      <c r="GM15" s="14" t="str">
        <f ca="1">IF(GM$1="","",'Total Value'!GM27/'Total Value'!GL27-1)</f>
        <v/>
      </c>
      <c r="GN15" s="14" t="str">
        <f ca="1">IF(GN$1="","",'Total Value'!GN27/'Total Value'!GM27-1)</f>
        <v/>
      </c>
      <c r="GO15" s="14" t="str">
        <f ca="1">IF(GO$1="","",'Total Value'!GO27/'Total Value'!GN27-1)</f>
        <v/>
      </c>
      <c r="GP15" s="14" t="str">
        <f ca="1">IF(GP$1="","",'Total Value'!GP27/'Total Value'!GO27-1)</f>
        <v/>
      </c>
      <c r="GQ15" s="14" t="str">
        <f ca="1">IF(GQ$1="","",'Total Value'!GQ27/'Total Value'!GP27-1)</f>
        <v/>
      </c>
      <c r="GR15" s="14" t="str">
        <f ca="1">IF(GR$1="","",'Total Value'!GR27/'Total Value'!GQ27-1)</f>
        <v/>
      </c>
      <c r="GS15" s="14" t="str">
        <f ca="1">IF(GS$1="","",'Total Value'!GS27/'Total Value'!GR27-1)</f>
        <v/>
      </c>
      <c r="GT15" s="14" t="str">
        <f ca="1">IF(GT$1="","",'Total Value'!GT27/'Total Value'!GS27-1)</f>
        <v/>
      </c>
      <c r="GU15" s="14" t="str">
        <f ca="1">IF(GU$1="","",'Total Value'!GU27/'Total Value'!GT27-1)</f>
        <v/>
      </c>
      <c r="GV15" s="14" t="str">
        <f ca="1">IF(GV$1="","",'Total Value'!GV27/'Total Value'!GU27-1)</f>
        <v/>
      </c>
      <c r="GW15" s="14" t="str">
        <f ca="1">IF(GW$1="","",'Total Value'!GW27/'Total Value'!GV27-1)</f>
        <v/>
      </c>
      <c r="GX15" s="14" t="str">
        <f ca="1">IF(GX$1="","",'Total Value'!GX27/'Total Value'!GW27-1)</f>
        <v/>
      </c>
      <c r="GY15" s="14" t="str">
        <f ca="1">IF(GY$1="","",'Total Value'!GY27/'Total Value'!GX27-1)</f>
        <v/>
      </c>
      <c r="GZ15" s="14" t="str">
        <f ca="1">IF(GZ$1="","",'Total Value'!GZ27/'Total Value'!GY27-1)</f>
        <v/>
      </c>
      <c r="HA15" s="14" t="str">
        <f ca="1">IF(HA$1="","",'Total Value'!HA27/'Total Value'!GZ27-1)</f>
        <v/>
      </c>
      <c r="HB15" s="14" t="str">
        <f ca="1">IF(HB$1="","",'Total Value'!HB27/'Total Value'!HA27-1)</f>
        <v/>
      </c>
      <c r="HC15" s="14" t="str">
        <f ca="1">IF(HC$1="","",'Total Value'!HC27/'Total Value'!HB27-1)</f>
        <v/>
      </c>
      <c r="HD15" s="14" t="str">
        <f ca="1">IF(HD$1="","",'Total Value'!HD27/'Total Value'!HC27-1)</f>
        <v/>
      </c>
      <c r="HE15" s="14" t="str">
        <f ca="1">IF(HE$1="","",'Total Value'!HE27/'Total Value'!HD27-1)</f>
        <v/>
      </c>
      <c r="HF15" s="14" t="str">
        <f ca="1">IF(HF$1="","",'Total Value'!HF27/'Total Value'!HE27-1)</f>
        <v/>
      </c>
      <c r="HG15" s="14" t="str">
        <f ca="1">IF(HG$1="","",'Total Value'!HG27/'Total Value'!HF27-1)</f>
        <v/>
      </c>
      <c r="HH15" s="14" t="str">
        <f ca="1">IF(HH$1="","",'Total Value'!HH27/'Total Value'!HG27-1)</f>
        <v/>
      </c>
      <c r="HI15" s="14" t="str">
        <f ca="1">IF(HI$1="","",'Total Value'!HI27/'Total Value'!HH27-1)</f>
        <v/>
      </c>
      <c r="HJ15" s="14" t="str">
        <f ca="1">IF(HJ$1="","",'Total Value'!HJ27/'Total Value'!HI27-1)</f>
        <v/>
      </c>
      <c r="HK15" s="14" t="str">
        <f ca="1">IF(HK$1="","",'Total Value'!HK27/'Total Value'!HJ27-1)</f>
        <v/>
      </c>
      <c r="HL15" s="14" t="str">
        <f ca="1">IF(HL$1="","",'Total Value'!HL27/'Total Value'!HK27-1)</f>
        <v/>
      </c>
      <c r="HM15" s="14" t="str">
        <f ca="1">IF(HM$1="","",'Total Value'!HM27/'Total Value'!HL27-1)</f>
        <v/>
      </c>
      <c r="HN15" s="14" t="str">
        <f ca="1">IF(HN$1="","",'Total Value'!HN27/'Total Value'!HM27-1)</f>
        <v/>
      </c>
      <c r="HO15" s="14" t="str">
        <f ca="1">IF(HO$1="","",'Total Value'!HO27/'Total Value'!HN27-1)</f>
        <v/>
      </c>
      <c r="HP15" s="14" t="str">
        <f ca="1">IF(HP$1="","",'Total Value'!HP27/'Total Value'!HO27-1)</f>
        <v/>
      </c>
      <c r="HQ15" s="14" t="str">
        <f ca="1">IF(HQ$1="","",'Total Value'!HQ27/'Total Value'!HP27-1)</f>
        <v/>
      </c>
      <c r="HR15" s="14" t="str">
        <f ca="1">IF(HR$1="","",'Total Value'!HR27/'Total Value'!HQ27-1)</f>
        <v/>
      </c>
      <c r="HS15" s="14" t="str">
        <f ca="1">IF(HS$1="","",'Total Value'!HS27/'Total Value'!HR27-1)</f>
        <v/>
      </c>
      <c r="HT15" s="14" t="str">
        <f ca="1">IF(HT$1="","",'Total Value'!HT27/'Total Value'!HS27-1)</f>
        <v/>
      </c>
      <c r="HU15" s="14" t="str">
        <f ca="1">IF(HU$1="","",'Total Value'!HU27/'Total Value'!HT27-1)</f>
        <v/>
      </c>
      <c r="HV15" s="14" t="str">
        <f ca="1">IF(HV$1="","",'Total Value'!HV27/'Total Value'!HU27-1)</f>
        <v/>
      </c>
      <c r="HW15" s="14" t="str">
        <f ca="1">IF(HW$1="","",'Total Value'!HW27/'Total Value'!HV27-1)</f>
        <v/>
      </c>
      <c r="HX15" s="14" t="str">
        <f ca="1">IF(HX$1="","",'Total Value'!HX27/'Total Value'!HW27-1)</f>
        <v/>
      </c>
      <c r="HY15" s="14" t="str">
        <f ca="1">IF(HY$1="","",'Total Value'!HY27/'Total Value'!HX27-1)</f>
        <v/>
      </c>
      <c r="HZ15" s="14" t="str">
        <f ca="1">IF(HZ$1="","",'Total Value'!HZ27/'Total Value'!HY27-1)</f>
        <v/>
      </c>
      <c r="IA15" s="14" t="str">
        <f ca="1">IF(IA$1="","",'Total Value'!IA27/'Total Value'!HZ27-1)</f>
        <v/>
      </c>
      <c r="IB15" s="14" t="str">
        <f ca="1">IF(IB$1="","",'Total Value'!IB27/'Total Value'!IA27-1)</f>
        <v/>
      </c>
      <c r="IC15" s="14" t="str">
        <f ca="1">IF(IC$1="","",'Total Value'!IC27/'Total Value'!IB27-1)</f>
        <v/>
      </c>
      <c r="ID15" s="14" t="str">
        <f ca="1">IF(ID$1="","",'Total Value'!ID27/'Total Value'!IC27-1)</f>
        <v/>
      </c>
      <c r="IE15" s="14" t="str">
        <f ca="1">IF(IE$1="","",'Total Value'!IE27/'Total Value'!ID27-1)</f>
        <v/>
      </c>
      <c r="IF15" s="14" t="str">
        <f ca="1">IF(IF$1="","",'Total Value'!IF27/'Total Value'!IE27-1)</f>
        <v/>
      </c>
      <c r="IG15" s="14" t="str">
        <f ca="1">IF(IG$1="","",'Total Value'!IG27/'Total Value'!IF27-1)</f>
        <v/>
      </c>
      <c r="IH15" s="14" t="str">
        <f ca="1">IF(IH$1="","",'Total Value'!IH27/'Total Value'!IG27-1)</f>
        <v/>
      </c>
      <c r="II15" s="14" t="str">
        <f ca="1">IF(II$1="","",'Total Value'!II27/'Total Value'!IH27-1)</f>
        <v/>
      </c>
      <c r="IJ15" s="14" t="str">
        <f ca="1">IF(IJ$1="","",'Total Value'!IJ27/'Total Value'!II27-1)</f>
        <v/>
      </c>
      <c r="IK15" s="14" t="str">
        <f ca="1">IF(IK$1="","",'Total Value'!IK27/'Total Value'!IJ27-1)</f>
        <v/>
      </c>
      <c r="IL15" s="14" t="str">
        <f ca="1">IF(IL$1="","",'Total Value'!IL27/'Total Value'!IK27-1)</f>
        <v/>
      </c>
      <c r="IM15" s="14" t="str">
        <f ca="1">IF(IM$1="","",'Total Value'!IM27/'Total Value'!IL27-1)</f>
        <v/>
      </c>
      <c r="IN15" s="14" t="str">
        <f ca="1">IF(IN$1="","",'Total Value'!IN27/'Total Value'!IM27-1)</f>
        <v/>
      </c>
      <c r="IO15" s="14" t="str">
        <f ca="1">IF(IO$1="","",'Total Value'!IO27/'Total Value'!IN27-1)</f>
        <v/>
      </c>
      <c r="IP15" s="14" t="str">
        <f ca="1">IF(IP$1="","",'Total Value'!IP27/'Total Value'!IO27-1)</f>
        <v/>
      </c>
      <c r="IQ15" s="14" t="str">
        <f ca="1">IF(IQ$1="","",'Total Value'!IQ27/'Total Value'!IP27-1)</f>
        <v/>
      </c>
      <c r="IR15" s="14" t="str">
        <f ca="1">IF(IR$1="","",'Total Value'!IR27/'Total Value'!IQ27-1)</f>
        <v/>
      </c>
      <c r="IS15" s="14" t="str">
        <f ca="1">IF(IS$1="","",'Total Value'!IS27/'Total Value'!IR27-1)</f>
        <v/>
      </c>
      <c r="IT15" s="14" t="str">
        <f ca="1">IF(IT$1="","",'Total Value'!IT27/'Total Value'!IS27-1)</f>
        <v/>
      </c>
      <c r="IU15" s="14" t="str">
        <f ca="1">IF(IU$1="","",'Total Value'!IU27/'Total Value'!IT27-1)</f>
        <v/>
      </c>
      <c r="IV15" s="14" t="str">
        <f ca="1">IF(IV$1="","",'Total Value'!IV27/'Total Value'!IU27-1)</f>
        <v/>
      </c>
      <c r="IW15" s="14" t="str">
        <f ca="1">IF(IW$1="","",'Total Value'!IW27/'Total Value'!IV27-1)</f>
        <v/>
      </c>
      <c r="IX15" s="14" t="str">
        <f ca="1">IF(IX$1="","",'Total Value'!IX27/'Total Value'!IW27-1)</f>
        <v/>
      </c>
      <c r="IY15" s="14" t="str">
        <f ca="1">IF(IY$1="","",'Total Value'!IY27/'Total Value'!IX27-1)</f>
        <v/>
      </c>
      <c r="IZ15" s="14" t="str">
        <f ca="1">IF(IZ$1="","",'Total Value'!IZ27/'Total Value'!IY27-1)</f>
        <v/>
      </c>
      <c r="JA15" s="14" t="str">
        <f ca="1">IF(JA$1="","",'Total Value'!JA27/'Total Value'!IZ27-1)</f>
        <v/>
      </c>
      <c r="JB15" s="14" t="str">
        <f ca="1">IF(JB$1="","",'Total Value'!JB27/'Total Value'!JA27-1)</f>
        <v/>
      </c>
      <c r="JC15" s="14" t="str">
        <f ca="1">IF(JC$1="","",'Total Value'!JC27/'Total Value'!JB27-1)</f>
        <v/>
      </c>
      <c r="JD15" s="14" t="str">
        <f ca="1">IF(JD$1="","",'Total Value'!JD27/'Total Value'!JC27-1)</f>
        <v/>
      </c>
      <c r="JE15" s="14" t="str">
        <f ca="1">IF(JE$1="","",'Total Value'!JE27/'Total Value'!JD27-1)</f>
        <v/>
      </c>
      <c r="JF15" s="14" t="str">
        <f ca="1">IF(JF$1="","",'Total Value'!JF27/'Total Value'!JE27-1)</f>
        <v/>
      </c>
      <c r="JG15" s="14" t="str">
        <f ca="1">IF(JG$1="","",'Total Value'!JG27/'Total Value'!JF27-1)</f>
        <v/>
      </c>
      <c r="JH15" s="14" t="str">
        <f ca="1">IF(JH$1="","",'Total Value'!JH27/'Total Value'!JG27-1)</f>
        <v/>
      </c>
      <c r="JI15" s="14" t="str">
        <f ca="1">IF(JI$1="","",'Total Value'!JI27/'Total Value'!JH27-1)</f>
        <v/>
      </c>
      <c r="JJ15" s="14" t="str">
        <f ca="1">IF(JJ$1="","",'Total Value'!JJ27/'Total Value'!JI27-1)</f>
        <v/>
      </c>
      <c r="JK15" s="14" t="str">
        <f ca="1">IF(JK$1="","",'Total Value'!JK27/'Total Value'!JJ27-1)</f>
        <v/>
      </c>
      <c r="JL15" s="14" t="str">
        <f ca="1">IF(JL$1="","",'Total Value'!JL27/'Total Value'!JK27-1)</f>
        <v/>
      </c>
      <c r="JM15" s="14" t="str">
        <f ca="1">IF(JM$1="","",'Total Value'!JM27/'Total Value'!JL27-1)</f>
        <v/>
      </c>
      <c r="JN15" s="14" t="str">
        <f ca="1">IF(JN$1="","",'Total Value'!JN27/'Total Value'!JM27-1)</f>
        <v/>
      </c>
      <c r="JO15" s="14" t="str">
        <f ca="1">IF(JO$1="","",'Total Value'!JO27/'Total Value'!JN27-1)</f>
        <v/>
      </c>
      <c r="JP15" s="14" t="str">
        <f ca="1">IF(JP$1="","",'Total Value'!JP27/'Total Value'!JO27-1)</f>
        <v/>
      </c>
      <c r="JQ15" s="14" t="str">
        <f ca="1">IF(JQ$1="","",'Total Value'!JQ27/'Total Value'!JP27-1)</f>
        <v/>
      </c>
      <c r="JR15" s="14" t="str">
        <f ca="1">IF(JR$1="","",'Total Value'!JR27/'Total Value'!JQ27-1)</f>
        <v/>
      </c>
      <c r="JS15" s="14" t="str">
        <f ca="1">IF(JS$1="","",'Total Value'!JS27/'Total Value'!JR27-1)</f>
        <v/>
      </c>
      <c r="JT15" s="14" t="str">
        <f ca="1">IF(JT$1="","",'Total Value'!JT27/'Total Value'!JS27-1)</f>
        <v/>
      </c>
      <c r="JU15" s="14" t="str">
        <f ca="1">IF(JU$1="","",'Total Value'!JU27/'Total Value'!JT27-1)</f>
        <v/>
      </c>
      <c r="JV15" s="14" t="str">
        <f ca="1">IF(JV$1="","",'Total Value'!JV27/'Total Value'!JU27-1)</f>
        <v/>
      </c>
      <c r="JW15" s="14" t="str">
        <f ca="1">IF(JW$1="","",'Total Value'!JW27/'Total Value'!JV27-1)</f>
        <v/>
      </c>
      <c r="JX15" s="14" t="str">
        <f ca="1">IF(JX$1="","",'Total Value'!JX27/'Total Value'!JW27-1)</f>
        <v/>
      </c>
      <c r="JY15" s="14" t="str">
        <f ca="1">IF(JY$1="","",'Total Value'!JY27/'Total Value'!JX27-1)</f>
        <v/>
      </c>
      <c r="JZ15" s="14" t="str">
        <f ca="1">IF(JZ$1="","",'Total Value'!JZ27/'Total Value'!JY27-1)</f>
        <v/>
      </c>
      <c r="KA15" s="14" t="str">
        <f ca="1">IF(KA$1="","",'Total Value'!KA27/'Total Value'!JZ27-1)</f>
        <v/>
      </c>
      <c r="KB15" s="14" t="str">
        <f ca="1">IF(KB$1="","",'Total Value'!KB27/'Total Value'!KA27-1)</f>
        <v/>
      </c>
    </row>
    <row r="16" spans="1:288" ht="15.75" customHeight="1">
      <c r="A16" s="22" t="s">
        <v>30</v>
      </c>
      <c r="B16" s="6" t="s">
        <v>61</v>
      </c>
      <c r="C16" s="26">
        <v>52</v>
      </c>
      <c r="D16" s="13">
        <v>0</v>
      </c>
      <c r="E16" s="14">
        <f ca="1">IF(E$1="","",'Total Value'!E28/'Total Value'!D28-1)</f>
        <v>1.1226944667201311E-2</v>
      </c>
      <c r="F16" s="14">
        <f ca="1">IF(F$1="","",'Total Value'!F28/'Total Value'!E28-1)</f>
        <v>1.3028208904497518E-2</v>
      </c>
      <c r="G16" s="14">
        <f ca="1">IF(G$1="","",'Total Value'!G28/'Total Value'!F28-1)</f>
        <v>3.3549541489599211E-3</v>
      </c>
      <c r="H16" s="14">
        <f ca="1">IF(H$1="","",'Total Value'!H28/'Total Value'!G28-1)</f>
        <v>8.5822559072670224E-3</v>
      </c>
      <c r="I16" s="14">
        <f ca="1">IF(I$1="","",'Total Value'!I28/'Total Value'!H28-1)</f>
        <v>-1.657641728367576E-3</v>
      </c>
      <c r="J16" s="14">
        <f ca="1">IF(J$1="","",'Total Value'!J28/'Total Value'!I28-1)</f>
        <v>-3.4204117777285825E-2</v>
      </c>
      <c r="K16" s="14">
        <f ca="1">IF(K$1="","",'Total Value'!K28/'Total Value'!J28-1)</f>
        <v>-2.2693409742120307E-2</v>
      </c>
      <c r="L16" s="14">
        <f ca="1">IF(L$1="","",'Total Value'!L28/'Total Value'!K28-1)</f>
        <v>-2.9905007622845203E-2</v>
      </c>
      <c r="M16" s="14">
        <f ca="1">IF(M$1="","",'Total Value'!M28/'Total Value'!L28-1)</f>
        <v>9.3085106382979621E-3</v>
      </c>
      <c r="N16" s="14">
        <f ca="1">IF(N$1="","",'Total Value'!N28/'Total Value'!M28-1)</f>
        <v>2.3954964666450529E-4</v>
      </c>
      <c r="O16" s="14">
        <f ca="1">IF(O$1="","",'Total Value'!O28/'Total Value'!N28-1)</f>
        <v>1.55669979643136E-3</v>
      </c>
      <c r="P16" s="14">
        <f ca="1">IF(P$1="","",'Total Value'!P28/'Total Value'!O28-1)</f>
        <v>-1.2314681970349017E-2</v>
      </c>
      <c r="Q16" s="14">
        <f ca="1">IF(Q$1="","",'Total Value'!Q28/'Total Value'!P28-1)</f>
        <v>1.7794455877012449E-2</v>
      </c>
      <c r="R16" s="14">
        <f ca="1">IF(R$1="","",'Total Value'!R28/'Total Value'!Q28-1)</f>
        <v>2.6879162702188486E-2</v>
      </c>
      <c r="S16" s="14">
        <f ca="1">IF(S$1="","",'Total Value'!S28/'Total Value'!R28-1)</f>
        <v>6.9492703266156308E-3</v>
      </c>
      <c r="T16" s="14">
        <f ca="1">IF(T$1="","",'Total Value'!T28/'Total Value'!S28-1)</f>
        <v>-8.6266390614216926E-3</v>
      </c>
      <c r="U16" s="14">
        <f ca="1">IF(U$1="","",'Total Value'!U28/'Total Value'!T28-1)</f>
        <v>-3.4806822137140037E-3</v>
      </c>
      <c r="V16" s="14">
        <f ca="1">IF(V$1="","",'Total Value'!V28/'Total Value'!U28-1)</f>
        <v>2.479916171847707E-2</v>
      </c>
      <c r="W16" s="14">
        <f ca="1">IF(W$1="","",'Total Value'!W28/'Total Value'!V28-1)</f>
        <v>4.544421722335823E-3</v>
      </c>
      <c r="X16" s="14">
        <f ca="1">IF(X$1="","",'Total Value'!X28/'Total Value'!W28-1)</f>
        <v>3.3024202669079461E-2</v>
      </c>
      <c r="Y16" s="14">
        <f ca="1">IF(Y$1="","",'Total Value'!Y28/'Total Value'!X28-1)</f>
        <v>-1.4998905189402389E-2</v>
      </c>
      <c r="Z16" s="14">
        <f ca="1">IF(Z$1="","",'Total Value'!Z28/'Total Value'!Y28-1)</f>
        <v>1.3115482938757417E-2</v>
      </c>
      <c r="AA16" s="14">
        <f ca="1">IF(AA$1="","",'Total Value'!AA28/'Total Value'!Z28-1)</f>
        <v>-1.3823368074602382E-2</v>
      </c>
      <c r="AB16" s="14">
        <f ca="1">IF(AB$1="","",'Total Value'!AB28/'Total Value'!AA28-1)</f>
        <v>-6.0073423072644072E-3</v>
      </c>
      <c r="AC16" s="14">
        <f ca="1">IF(AC$1="","",'Total Value'!AC28/'Total Value'!AB28-1)</f>
        <v>2.965864577504207E-2</v>
      </c>
      <c r="AD16" s="14">
        <f ca="1">IF(AD$1="","",'Total Value'!AD28/'Total Value'!AC28-1)</f>
        <v>1.1413043478260665E-2</v>
      </c>
      <c r="AE16" s="14">
        <f ca="1">IF(AE$1="","",'Total Value'!AE28/'Total Value'!AD28-1)</f>
        <v>-3.6109618484685524E-2</v>
      </c>
      <c r="AF16" s="14">
        <f ca="1">IF(AF$1="","",'Total Value'!AF28/'Total Value'!AE28-1)</f>
        <v>-8.4736313970341648E-3</v>
      </c>
      <c r="AG16" s="14">
        <f ca="1">IF(AG$1="","",'Total Value'!AG28/'Total Value'!AF28-1)</f>
        <v>-1.191948723715297E-2</v>
      </c>
      <c r="AH16" s="14">
        <f ca="1">IF(AH$1="","",'Total Value'!AH28/'Total Value'!AG28-1)</f>
        <v>-9.4457721634232383E-3</v>
      </c>
      <c r="AI16" s="14">
        <f ca="1">IF(AI$1="","",'Total Value'!AI28/'Total Value'!AH28-1)</f>
        <v>-4.0556066176470451E-2</v>
      </c>
      <c r="AJ16" s="14">
        <f ca="1">IF(AJ$1="","",'Total Value'!AJ28/'Total Value'!AI28-1)</f>
        <v>6.0591545922643819E-2</v>
      </c>
      <c r="AK16" s="14">
        <f ca="1">IF(AK$1="","",'Total Value'!AK28/'Total Value'!AJ28-1)</f>
        <v>-1.1403409732414937E-2</v>
      </c>
      <c r="AL16" s="14">
        <f ca="1">IF(AL$1="","",'Total Value'!AL28/'Total Value'!AK28-1)</f>
        <v>-6.3956144358154332E-2</v>
      </c>
      <c r="AM16" s="14">
        <f ca="1">IF(AM$1="","",'Total Value'!AM28/'Total Value'!AL28-1)</f>
        <v>3.7945339189848548E-2</v>
      </c>
      <c r="AN16" s="14">
        <f ca="1">IF(AN$1="","",'Total Value'!AN28/'Total Value'!AM28-1)</f>
        <v>-2.3627600799341564E-2</v>
      </c>
      <c r="AO16" s="14">
        <f ca="1">IF(AO$1="","",'Total Value'!AO28/'Total Value'!AN28-1)</f>
        <v>-6.958824945822295E-2</v>
      </c>
      <c r="AP16" s="14">
        <f ca="1">IF(AP$1="","",'Total Value'!AP28/'Total Value'!AO28-1)</f>
        <v>-7.6733954451345787E-2</v>
      </c>
      <c r="AQ16" s="14">
        <f ca="1">IF(AQ$1="","",'Total Value'!AQ28/'Total Value'!AP28-1)</f>
        <v>1.6398037841625746E-2</v>
      </c>
      <c r="AR16" s="14">
        <f ca="1">IF(AR$1="","",'Total Value'!AR28/'Total Value'!AQ28-1)</f>
        <v>6.6188637617208945E-2</v>
      </c>
      <c r="AS16" s="14">
        <f ca="1">IF(AS$1="","",'Total Value'!AS28/'Total Value'!AR28-1)</f>
        <v>5.1733057423695161E-3</v>
      </c>
      <c r="AT16" s="14">
        <f ca="1">IF(AT$1="","",'Total Value'!AT28/'Total Value'!AS28-1)</f>
        <v>-1.3896037056098764E-2</v>
      </c>
      <c r="AU16" s="14">
        <f ca="1">IF(AU$1="","",'Total Value'!AU28/'Total Value'!AT28-1)</f>
        <v>-1.2656576200417602E-2</v>
      </c>
      <c r="AV16" s="14">
        <f ca="1">IF(AV$1="","",'Total Value'!AV28/'Total Value'!AU28-1)</f>
        <v>1.1365138099643124E-2</v>
      </c>
      <c r="AW16" s="14">
        <f ca="1">IF(AW$1="","",'Total Value'!AW28/'Total Value'!AV28-1)</f>
        <v>5.8800470403763239E-2</v>
      </c>
      <c r="AX16" s="14">
        <f ca="1">IF(AX$1="","",'Total Value'!AX28/'Total Value'!AW28-1)</f>
        <v>-5.1832654572381287E-3</v>
      </c>
      <c r="AY16" s="14">
        <f ca="1">IF(AY$1="","",'Total Value'!AY28/'Total Value'!AX28-1)</f>
        <v>1.2777571020964995E-2</v>
      </c>
      <c r="AZ16" s="14">
        <f ca="1">IF(AZ$1="","",'Total Value'!AZ28/'Total Value'!AY28-1)</f>
        <v>-2.6947574718274581E-3</v>
      </c>
      <c r="BA16" s="14">
        <f ca="1">IF(BA$1="","",'Total Value'!BA28/'Total Value'!AZ28-1)</f>
        <v>2.7757307786784757E-2</v>
      </c>
      <c r="BB16" s="14">
        <f ca="1">IF(BB$1="","",'Total Value'!BB28/'Total Value'!BA28-1)</f>
        <v>-3.7284894837476212E-2</v>
      </c>
      <c r="BC16" s="14">
        <f ca="1">IF(BC$1="","",'Total Value'!BC28/'Total Value'!BB28-1)</f>
        <v>6.8272095332673199E-3</v>
      </c>
      <c r="BD16" s="14">
        <f ca="1">IF(BD$1="","",'Total Value'!BD28/'Total Value'!BC28-1)</f>
        <v>2.1205769942053809E-2</v>
      </c>
      <c r="BE16" s="14">
        <f ca="1">IF(BE$1="","",'Total Value'!BE28/'Total Value'!BD28-1)</f>
        <v>-5.1913557889652351E-3</v>
      </c>
      <c r="BF16" s="14">
        <f ca="1">IF(BF$1="","",'Total Value'!BF28/'Total Value'!BE28-1)</f>
        <v>2.1359223300970731E-2</v>
      </c>
      <c r="BG16" s="14">
        <f ca="1">IF(BG$1="","",'Total Value'!BG28/'Total Value'!BF28-1)</f>
        <v>-3.0893536121673004E-2</v>
      </c>
      <c r="BH16" s="14">
        <f ca="1">IF(BH$1="","",'Total Value'!BH28/'Total Value'!BG28-1)</f>
        <v>-3.1142717018146082E-2</v>
      </c>
      <c r="BI16" s="14">
        <f ca="1">IF(BI$1="","",'Total Value'!BI28/'Total Value'!BH28-1)</f>
        <v>-8.6054163502909953E-3</v>
      </c>
      <c r="BJ16" s="14">
        <f ca="1">IF(BJ$1="","",'Total Value'!BJ28/'Total Value'!BI28-1)</f>
        <v>8.9354097523597353E-4</v>
      </c>
      <c r="BK16" s="14">
        <f ca="1">IF(BK$1="","",'Total Value'!BK28/'Total Value'!BJ28-1)</f>
        <v>-6.8868766738935383E-3</v>
      </c>
      <c r="BL16" s="14">
        <f ca="1">IF(BL$1="","",'Total Value'!BL28/'Total Value'!BK28-1)</f>
        <v>-1.6822909978168821E-2</v>
      </c>
      <c r="BM16" s="14">
        <f ca="1">IF(BM$1="","",'Total Value'!BM28/'Total Value'!BL28-1)</f>
        <v>-8.4900731452456357E-3</v>
      </c>
      <c r="BN16" s="14">
        <f ca="1">IF(BN$1="","",'Total Value'!BN28/'Total Value'!BM28-1)</f>
        <v>3.4251086813332776E-3</v>
      </c>
      <c r="BO16" s="14">
        <f ca="1">IF(BO$1="","",'Total Value'!BO28/'Total Value'!BN28-1)</f>
        <v>-3.9385584875939461E-4</v>
      </c>
      <c r="BP16" s="14">
        <f ca="1">IF(BP$1="","",'Total Value'!BP28/'Total Value'!BO28-1)</f>
        <v>-1.7599159443131174E-2</v>
      </c>
      <c r="BQ16" s="14">
        <f ca="1">IF(BQ$1="","",'Total Value'!BQ28/'Total Value'!BP28-1)</f>
        <v>1.9385026737968047E-2</v>
      </c>
      <c r="BR16" s="14">
        <f ca="1">IF(BR$1="","",'Total Value'!BR28/'Total Value'!BQ28-1)</f>
        <v>-1.6918032786885306E-2</v>
      </c>
      <c r="BS16" s="14">
        <f ca="1">IF(BS$1="","",'Total Value'!BS28/'Total Value'!BR28-1)</f>
        <v>1.0672358591250486E-3</v>
      </c>
      <c r="BT16" s="14">
        <f ca="1">IF(BT$1="","",'Total Value'!BT28/'Total Value'!BS28-1)</f>
        <v>5.3704690831556157E-2</v>
      </c>
      <c r="BU16" s="14">
        <f ca="1">IF(BU$1="","",'Total Value'!BU28/'Total Value'!BT28-1)</f>
        <v>1.8844062223346558E-2</v>
      </c>
      <c r="BV16" s="14">
        <f ca="1">IF(BV$1="","",'Total Value'!BV28/'Total Value'!BU28-1)</f>
        <v>-1.0178748758689293E-2</v>
      </c>
      <c r="BW16" s="14">
        <f ca="1">IF(BW$1="","",'Total Value'!BW28/'Total Value'!BV28-1)</f>
        <v>-2.6335590669676279E-2</v>
      </c>
      <c r="BX16" s="14">
        <f ca="1">IF(BX$1="","",'Total Value'!BX28/'Total Value'!BW28-1)</f>
        <v>-2.485832045337466E-2</v>
      </c>
      <c r="BY16" s="14">
        <f ca="1">IF(BY$1="","",'Total Value'!BY28/'Total Value'!BX28-1)</f>
        <v>-5.9701492537313272E-2</v>
      </c>
      <c r="BZ16" s="14">
        <f ca="1">IF(BZ$1="","",'Total Value'!BZ28/'Total Value'!BY28-1)</f>
        <v>9.9733108582666929E-3</v>
      </c>
      <c r="CA16" s="14">
        <f ca="1">IF(CA$1="","",'Total Value'!CA28/'Total Value'!BZ28-1)</f>
        <v>3.3936022253129305E-2</v>
      </c>
      <c r="CB16" s="14">
        <f ca="1">IF(CB$1="","",'Total Value'!CB28/'Total Value'!CA28-1)</f>
        <v>-4.0893193435566411E-2</v>
      </c>
      <c r="CC16" s="14">
        <f ca="1">IF(CC$1="","",'Total Value'!CC28/'Total Value'!CB28-1)</f>
        <v>2.8471248246844327E-2</v>
      </c>
      <c r="CD16" s="14">
        <f ca="1">IF(CD$1="","",'Total Value'!CD28/'Total Value'!CC28-1)</f>
        <v>1.4864312014182479E-2</v>
      </c>
      <c r="CE16" s="14">
        <f ca="1">IF(CE$1="","",'Total Value'!CE28/'Total Value'!CD28-1)</f>
        <v>3.4668099973125477E-2</v>
      </c>
      <c r="CF16" s="14" t="str">
        <f ca="1">IF(CF$1="","",'Total Value'!CF28/'Total Value'!CE28-1)</f>
        <v/>
      </c>
      <c r="CG16" s="14" t="str">
        <f ca="1">IF(CG$1="","",'Total Value'!CG28/'Total Value'!CF28-1)</f>
        <v/>
      </c>
      <c r="CH16" s="14" t="str">
        <f ca="1">IF(CH$1="","",'Total Value'!CH28/'Total Value'!CG28-1)</f>
        <v/>
      </c>
      <c r="CI16" s="14" t="str">
        <f ca="1">IF(CI$1="","",'Total Value'!CI28/'Total Value'!CH28-1)</f>
        <v/>
      </c>
      <c r="CJ16" s="14" t="str">
        <f ca="1">IF(CJ$1="","",'Total Value'!CJ28/'Total Value'!CI28-1)</f>
        <v/>
      </c>
      <c r="CK16" s="14" t="str">
        <f ca="1">IF(CK$1="","",'Total Value'!CK28/'Total Value'!CJ28-1)</f>
        <v/>
      </c>
      <c r="CL16" s="14" t="str">
        <f ca="1">IF(CL$1="","",'Total Value'!CL28/'Total Value'!CK28-1)</f>
        <v/>
      </c>
      <c r="CM16" s="14" t="str">
        <f ca="1">IF(CM$1="","",'Total Value'!CM28/'Total Value'!CL28-1)</f>
        <v/>
      </c>
      <c r="CN16" s="14" t="str">
        <f ca="1">IF(CN$1="","",'Total Value'!CN28/'Total Value'!CM28-1)</f>
        <v/>
      </c>
      <c r="CO16" s="14" t="str">
        <f ca="1">IF(CO$1="","",'Total Value'!CO28/'Total Value'!CN28-1)</f>
        <v/>
      </c>
      <c r="CP16" s="14" t="str">
        <f ca="1">IF(CP$1="","",'Total Value'!CP28/'Total Value'!CO28-1)</f>
        <v/>
      </c>
      <c r="CQ16" s="14" t="str">
        <f ca="1">IF(CQ$1="","",'Total Value'!CQ28/'Total Value'!CP28-1)</f>
        <v/>
      </c>
      <c r="CR16" s="14" t="str">
        <f ca="1">IF(CR$1="","",'Total Value'!CR28/'Total Value'!CQ28-1)</f>
        <v/>
      </c>
      <c r="CS16" s="14" t="str">
        <f ca="1">IF(CS$1="","",'Total Value'!CS28/'Total Value'!CR28-1)</f>
        <v/>
      </c>
      <c r="CT16" s="14" t="str">
        <f ca="1">IF(CT$1="","",'Total Value'!CT28/'Total Value'!CS28-1)</f>
        <v/>
      </c>
      <c r="CU16" s="14" t="str">
        <f ca="1">IF(CU$1="","",'Total Value'!CU28/'Total Value'!CT28-1)</f>
        <v/>
      </c>
      <c r="CV16" s="14" t="str">
        <f ca="1">IF(CV$1="","",'Total Value'!CV28/'Total Value'!CU28-1)</f>
        <v/>
      </c>
      <c r="CW16" s="14" t="str">
        <f ca="1">IF(CW$1="","",'Total Value'!CW28/'Total Value'!CV28-1)</f>
        <v/>
      </c>
      <c r="CX16" s="14" t="str">
        <f ca="1">IF(CX$1="","",'Total Value'!CX28/'Total Value'!CW28-1)</f>
        <v/>
      </c>
      <c r="CY16" s="14" t="str">
        <f ca="1">IF(CY$1="","",'Total Value'!CY28/'Total Value'!CX28-1)</f>
        <v/>
      </c>
      <c r="CZ16" s="14" t="str">
        <f ca="1">IF(CZ$1="","",'Total Value'!CZ28/'Total Value'!CY28-1)</f>
        <v/>
      </c>
      <c r="DA16" s="14" t="str">
        <f ca="1">IF(DA$1="","",'Total Value'!DA28/'Total Value'!CZ28-1)</f>
        <v/>
      </c>
      <c r="DB16" s="14" t="str">
        <f ca="1">IF(DB$1="","",'Total Value'!DB28/'Total Value'!DA28-1)</f>
        <v/>
      </c>
      <c r="DC16" s="14" t="str">
        <f ca="1">IF(DC$1="","",'Total Value'!DC28/'Total Value'!DB28-1)</f>
        <v/>
      </c>
      <c r="DD16" s="14" t="str">
        <f ca="1">IF(DD$1="","",'Total Value'!DD28/'Total Value'!DC28-1)</f>
        <v/>
      </c>
      <c r="DE16" s="14" t="str">
        <f ca="1">IF(DE$1="","",'Total Value'!DE28/'Total Value'!DD28-1)</f>
        <v/>
      </c>
      <c r="DF16" s="14" t="str">
        <f ca="1">IF(DF$1="","",'Total Value'!DF28/'Total Value'!DE28-1)</f>
        <v/>
      </c>
      <c r="DG16" s="14" t="str">
        <f ca="1">IF(DG$1="","",'Total Value'!DG28/'Total Value'!DF28-1)</f>
        <v/>
      </c>
      <c r="DH16" s="14" t="str">
        <f ca="1">IF(DH$1="","",'Total Value'!DH28/'Total Value'!DG28-1)</f>
        <v/>
      </c>
      <c r="DI16" s="14" t="str">
        <f ca="1">IF(DI$1="","",'Total Value'!DI28/'Total Value'!DH28-1)</f>
        <v/>
      </c>
      <c r="DJ16" s="14" t="str">
        <f ca="1">IF(DJ$1="","",'Total Value'!DJ28/'Total Value'!DI28-1)</f>
        <v/>
      </c>
      <c r="DK16" s="14" t="str">
        <f ca="1">IF(DK$1="","",'Total Value'!DK28/'Total Value'!DJ28-1)</f>
        <v/>
      </c>
      <c r="DL16" s="14" t="str">
        <f ca="1">IF(DL$1="","",'Total Value'!DL28/'Total Value'!DK28-1)</f>
        <v/>
      </c>
      <c r="DM16" s="14" t="str">
        <f ca="1">IF(DM$1="","",'Total Value'!DM28/'Total Value'!DL28-1)</f>
        <v/>
      </c>
      <c r="DN16" s="14" t="str">
        <f ca="1">IF(DN$1="","",'Total Value'!DN28/'Total Value'!DM28-1)</f>
        <v/>
      </c>
      <c r="DO16" s="14" t="str">
        <f ca="1">IF(DO$1="","",'Total Value'!DO28/'Total Value'!DN28-1)</f>
        <v/>
      </c>
      <c r="DP16" s="14" t="str">
        <f ca="1">IF(DP$1="","",'Total Value'!DP28/'Total Value'!DO28-1)</f>
        <v/>
      </c>
      <c r="DQ16" s="14" t="str">
        <f ca="1">IF(DQ$1="","",'Total Value'!DQ28/'Total Value'!DP28-1)</f>
        <v/>
      </c>
      <c r="DR16" s="14" t="str">
        <f ca="1">IF(DR$1="","",'Total Value'!DR28/'Total Value'!DQ28-1)</f>
        <v/>
      </c>
      <c r="DS16" s="14" t="str">
        <f ca="1">IF(DS$1="","",'Total Value'!DS28/'Total Value'!DR28-1)</f>
        <v/>
      </c>
      <c r="DT16" s="14" t="str">
        <f ca="1">IF(DT$1="","",'Total Value'!DT28/'Total Value'!DS28-1)</f>
        <v/>
      </c>
      <c r="DU16" s="14" t="str">
        <f ca="1">IF(DU$1="","",'Total Value'!DU28/'Total Value'!DT28-1)</f>
        <v/>
      </c>
      <c r="DV16" s="14" t="str">
        <f ca="1">IF(DV$1="","",'Total Value'!DV28/'Total Value'!DU28-1)</f>
        <v/>
      </c>
      <c r="DW16" s="14" t="str">
        <f ca="1">IF(DW$1="","",'Total Value'!DW28/'Total Value'!DV28-1)</f>
        <v/>
      </c>
      <c r="DX16" s="14" t="str">
        <f ca="1">IF(DX$1="","",'Total Value'!DX28/'Total Value'!DW28-1)</f>
        <v/>
      </c>
      <c r="DY16" s="14" t="str">
        <f ca="1">IF(DY$1="","",'Total Value'!DY28/'Total Value'!DX28-1)</f>
        <v/>
      </c>
      <c r="DZ16" s="14" t="str">
        <f ca="1">IF(DZ$1="","",'Total Value'!DZ28/'Total Value'!DY28-1)</f>
        <v/>
      </c>
      <c r="EA16" s="14" t="str">
        <f ca="1">IF(EA$1="","",'Total Value'!EA28/'Total Value'!DZ28-1)</f>
        <v/>
      </c>
      <c r="EB16" s="14" t="str">
        <f ca="1">IF(EB$1="","",'Total Value'!EB28/'Total Value'!EA28-1)</f>
        <v/>
      </c>
      <c r="EC16" s="14" t="str">
        <f ca="1">IF(EC$1="","",'Total Value'!EC28/'Total Value'!EB28-1)</f>
        <v/>
      </c>
      <c r="ED16" s="14" t="str">
        <f ca="1">IF(ED$1="","",'Total Value'!ED28/'Total Value'!EC28-1)</f>
        <v/>
      </c>
      <c r="EE16" s="14" t="str">
        <f ca="1">IF(EE$1="","",'Total Value'!EE28/'Total Value'!ED28-1)</f>
        <v/>
      </c>
      <c r="EF16" s="14" t="str">
        <f ca="1">IF(EF$1="","",'Total Value'!EF28/'Total Value'!EE28-1)</f>
        <v/>
      </c>
      <c r="EG16" s="14" t="str">
        <f ca="1">IF(EG$1="","",'Total Value'!EG28/'Total Value'!EF28-1)</f>
        <v/>
      </c>
      <c r="EH16" s="14" t="str">
        <f ca="1">IF(EH$1="","",'Total Value'!EH28/'Total Value'!EG28-1)</f>
        <v/>
      </c>
      <c r="EI16" s="14" t="str">
        <f ca="1">IF(EI$1="","",'Total Value'!EI28/'Total Value'!EH28-1)</f>
        <v/>
      </c>
      <c r="EJ16" s="14" t="str">
        <f ca="1">IF(EJ$1="","",'Total Value'!EJ28/'Total Value'!EI28-1)</f>
        <v/>
      </c>
      <c r="EK16" s="14" t="str">
        <f ca="1">IF(EK$1="","",'Total Value'!EK28/'Total Value'!EJ28-1)</f>
        <v/>
      </c>
      <c r="EL16" s="14" t="str">
        <f ca="1">IF(EL$1="","",'Total Value'!EL28/'Total Value'!EK28-1)</f>
        <v/>
      </c>
      <c r="EM16" s="14" t="str">
        <f ca="1">IF(EM$1="","",'Total Value'!EM28/'Total Value'!EL28-1)</f>
        <v/>
      </c>
      <c r="EN16" s="14" t="str">
        <f ca="1">IF(EN$1="","",'Total Value'!EN28/'Total Value'!EM28-1)</f>
        <v/>
      </c>
      <c r="EO16" s="14" t="str">
        <f ca="1">IF(EO$1="","",'Total Value'!EO28/'Total Value'!EN28-1)</f>
        <v/>
      </c>
      <c r="EP16" s="14" t="str">
        <f ca="1">IF(EP$1="","",'Total Value'!EP28/'Total Value'!EO28-1)</f>
        <v/>
      </c>
      <c r="EQ16" s="14" t="str">
        <f ca="1">IF(EQ$1="","",'Total Value'!EQ28/'Total Value'!EP28-1)</f>
        <v/>
      </c>
      <c r="ER16" s="14" t="str">
        <f ca="1">IF(ER$1="","",'Total Value'!ER28/'Total Value'!EQ28-1)</f>
        <v/>
      </c>
      <c r="ES16" s="14" t="str">
        <f ca="1">IF(ES$1="","",'Total Value'!ES28/'Total Value'!ER28-1)</f>
        <v/>
      </c>
      <c r="ET16" s="14" t="str">
        <f ca="1">IF(ET$1="","",'Total Value'!ET28/'Total Value'!ES28-1)</f>
        <v/>
      </c>
      <c r="EU16" s="14" t="str">
        <f ca="1">IF(EU$1="","",'Total Value'!EU28/'Total Value'!ET28-1)</f>
        <v/>
      </c>
      <c r="EV16" s="14" t="str">
        <f ca="1">IF(EV$1="","",'Total Value'!EV28/'Total Value'!EU28-1)</f>
        <v/>
      </c>
      <c r="EW16" s="14" t="str">
        <f ca="1">IF(EW$1="","",'Total Value'!EW28/'Total Value'!EV28-1)</f>
        <v/>
      </c>
      <c r="EX16" s="14" t="str">
        <f ca="1">IF(EX$1="","",'Total Value'!EX28/'Total Value'!EW28-1)</f>
        <v/>
      </c>
      <c r="EY16" s="14" t="str">
        <f ca="1">IF(EY$1="","",'Total Value'!EY28/'Total Value'!EX28-1)</f>
        <v/>
      </c>
      <c r="EZ16" s="14" t="str">
        <f ca="1">IF(EZ$1="","",'Total Value'!EZ28/'Total Value'!EY28-1)</f>
        <v/>
      </c>
      <c r="FA16" s="14" t="str">
        <f ca="1">IF(FA$1="","",'Total Value'!FA28/'Total Value'!EZ28-1)</f>
        <v/>
      </c>
      <c r="FB16" s="14" t="str">
        <f ca="1">IF(FB$1="","",'Total Value'!FB28/'Total Value'!FA28-1)</f>
        <v/>
      </c>
      <c r="FC16" s="14" t="str">
        <f ca="1">IF(FC$1="","",'Total Value'!FC28/'Total Value'!FB28-1)</f>
        <v/>
      </c>
      <c r="FD16" s="14" t="str">
        <f ca="1">IF(FD$1="","",'Total Value'!FD28/'Total Value'!FC28-1)</f>
        <v/>
      </c>
      <c r="FE16" s="14" t="str">
        <f ca="1">IF(FE$1="","",'Total Value'!FE28/'Total Value'!FD28-1)</f>
        <v/>
      </c>
      <c r="FF16" s="14" t="str">
        <f ca="1">IF(FF$1="","",'Total Value'!FF28/'Total Value'!FE28-1)</f>
        <v/>
      </c>
      <c r="FG16" s="14" t="str">
        <f ca="1">IF(FG$1="","",'Total Value'!FG28/'Total Value'!FF28-1)</f>
        <v/>
      </c>
      <c r="FH16" s="14" t="str">
        <f ca="1">IF(FH$1="","",'Total Value'!FH28/'Total Value'!FG28-1)</f>
        <v/>
      </c>
      <c r="FI16" s="14" t="str">
        <f ca="1">IF(FI$1="","",'Total Value'!FI28/'Total Value'!FH28-1)</f>
        <v/>
      </c>
      <c r="FJ16" s="14" t="str">
        <f ca="1">IF(FJ$1="","",'Total Value'!FJ28/'Total Value'!FI28-1)</f>
        <v/>
      </c>
      <c r="FK16" s="14" t="str">
        <f ca="1">IF(FK$1="","",'Total Value'!FK28/'Total Value'!FJ28-1)</f>
        <v/>
      </c>
      <c r="FL16" s="14" t="str">
        <f ca="1">IF(FL$1="","",'Total Value'!FL28/'Total Value'!FK28-1)</f>
        <v/>
      </c>
      <c r="FM16" s="14" t="str">
        <f ca="1">IF(FM$1="","",'Total Value'!FM28/'Total Value'!FL28-1)</f>
        <v/>
      </c>
      <c r="FN16" s="14" t="str">
        <f ca="1">IF(FN$1="","",'Total Value'!FN28/'Total Value'!FM28-1)</f>
        <v/>
      </c>
      <c r="FO16" s="14" t="str">
        <f ca="1">IF(FO$1="","",'Total Value'!FO28/'Total Value'!FN28-1)</f>
        <v/>
      </c>
      <c r="FP16" s="14" t="str">
        <f ca="1">IF(FP$1="","",'Total Value'!FP28/'Total Value'!FO28-1)</f>
        <v/>
      </c>
      <c r="FQ16" s="14" t="str">
        <f ca="1">IF(FQ$1="","",'Total Value'!FQ28/'Total Value'!FP28-1)</f>
        <v/>
      </c>
      <c r="FR16" s="14" t="str">
        <f ca="1">IF(FR$1="","",'Total Value'!FR28/'Total Value'!FQ28-1)</f>
        <v/>
      </c>
      <c r="FS16" s="14" t="str">
        <f ca="1">IF(FS$1="","",'Total Value'!FS28/'Total Value'!FR28-1)</f>
        <v/>
      </c>
      <c r="FT16" s="14" t="str">
        <f ca="1">IF(FT$1="","",'Total Value'!FT28/'Total Value'!FS28-1)</f>
        <v/>
      </c>
      <c r="FU16" s="14" t="str">
        <f ca="1">IF(FU$1="","",'Total Value'!FU28/'Total Value'!FT28-1)</f>
        <v/>
      </c>
      <c r="FV16" s="14" t="str">
        <f ca="1">IF(FV$1="","",'Total Value'!FV28/'Total Value'!FU28-1)</f>
        <v/>
      </c>
      <c r="FW16" s="14" t="str">
        <f ca="1">IF(FW$1="","",'Total Value'!FW28/'Total Value'!FV28-1)</f>
        <v/>
      </c>
      <c r="FX16" s="14" t="str">
        <f ca="1">IF(FX$1="","",'Total Value'!FX28/'Total Value'!FW28-1)</f>
        <v/>
      </c>
      <c r="FY16" s="14" t="str">
        <f ca="1">IF(FY$1="","",'Total Value'!FY28/'Total Value'!FX28-1)</f>
        <v/>
      </c>
      <c r="FZ16" s="14" t="str">
        <f ca="1">IF(FZ$1="","",'Total Value'!FZ28/'Total Value'!FY28-1)</f>
        <v/>
      </c>
      <c r="GA16" s="14" t="str">
        <f ca="1">IF(GA$1="","",'Total Value'!GA28/'Total Value'!FZ28-1)</f>
        <v/>
      </c>
      <c r="GB16" s="14" t="str">
        <f ca="1">IF(GB$1="","",'Total Value'!GB28/'Total Value'!GA28-1)</f>
        <v/>
      </c>
      <c r="GC16" s="14" t="str">
        <f ca="1">IF(GC$1="","",'Total Value'!GC28/'Total Value'!GB28-1)</f>
        <v/>
      </c>
      <c r="GD16" s="14" t="str">
        <f ca="1">IF(GD$1="","",'Total Value'!GD28/'Total Value'!GC28-1)</f>
        <v/>
      </c>
      <c r="GE16" s="14" t="str">
        <f ca="1">IF(GE$1="","",'Total Value'!GE28/'Total Value'!GD28-1)</f>
        <v/>
      </c>
      <c r="GF16" s="14" t="str">
        <f ca="1">IF(GF$1="","",'Total Value'!GF28/'Total Value'!GE28-1)</f>
        <v/>
      </c>
      <c r="GG16" s="14" t="str">
        <f ca="1">IF(GG$1="","",'Total Value'!GG28/'Total Value'!GF28-1)</f>
        <v/>
      </c>
      <c r="GH16" s="14" t="str">
        <f ca="1">IF(GH$1="","",'Total Value'!GH28/'Total Value'!GG28-1)</f>
        <v/>
      </c>
      <c r="GI16" s="14" t="str">
        <f ca="1">IF(GI$1="","",'Total Value'!GI28/'Total Value'!GH28-1)</f>
        <v/>
      </c>
      <c r="GJ16" s="14" t="str">
        <f ca="1">IF(GJ$1="","",'Total Value'!GJ28/'Total Value'!GI28-1)</f>
        <v/>
      </c>
      <c r="GK16" s="14" t="str">
        <f ca="1">IF(GK$1="","",'Total Value'!GK28/'Total Value'!GJ28-1)</f>
        <v/>
      </c>
      <c r="GL16" s="14" t="str">
        <f ca="1">IF(GL$1="","",'Total Value'!GL28/'Total Value'!GK28-1)</f>
        <v/>
      </c>
      <c r="GM16" s="14" t="str">
        <f ca="1">IF(GM$1="","",'Total Value'!GM28/'Total Value'!GL28-1)</f>
        <v/>
      </c>
      <c r="GN16" s="14" t="str">
        <f ca="1">IF(GN$1="","",'Total Value'!GN28/'Total Value'!GM28-1)</f>
        <v/>
      </c>
      <c r="GO16" s="14" t="str">
        <f ca="1">IF(GO$1="","",'Total Value'!GO28/'Total Value'!GN28-1)</f>
        <v/>
      </c>
      <c r="GP16" s="14" t="str">
        <f ca="1">IF(GP$1="","",'Total Value'!GP28/'Total Value'!GO28-1)</f>
        <v/>
      </c>
      <c r="GQ16" s="14" t="str">
        <f ca="1">IF(GQ$1="","",'Total Value'!GQ28/'Total Value'!GP28-1)</f>
        <v/>
      </c>
      <c r="GR16" s="14" t="str">
        <f ca="1">IF(GR$1="","",'Total Value'!GR28/'Total Value'!GQ28-1)</f>
        <v/>
      </c>
      <c r="GS16" s="14" t="str">
        <f ca="1">IF(GS$1="","",'Total Value'!GS28/'Total Value'!GR28-1)</f>
        <v/>
      </c>
      <c r="GT16" s="14" t="str">
        <f ca="1">IF(GT$1="","",'Total Value'!GT28/'Total Value'!GS28-1)</f>
        <v/>
      </c>
      <c r="GU16" s="14" t="str">
        <f ca="1">IF(GU$1="","",'Total Value'!GU28/'Total Value'!GT28-1)</f>
        <v/>
      </c>
      <c r="GV16" s="14" t="str">
        <f ca="1">IF(GV$1="","",'Total Value'!GV28/'Total Value'!GU28-1)</f>
        <v/>
      </c>
      <c r="GW16" s="14" t="str">
        <f ca="1">IF(GW$1="","",'Total Value'!GW28/'Total Value'!GV28-1)</f>
        <v/>
      </c>
      <c r="GX16" s="14" t="str">
        <f ca="1">IF(GX$1="","",'Total Value'!GX28/'Total Value'!GW28-1)</f>
        <v/>
      </c>
      <c r="GY16" s="14" t="str">
        <f ca="1">IF(GY$1="","",'Total Value'!GY28/'Total Value'!GX28-1)</f>
        <v/>
      </c>
      <c r="GZ16" s="14" t="str">
        <f ca="1">IF(GZ$1="","",'Total Value'!GZ28/'Total Value'!GY28-1)</f>
        <v/>
      </c>
      <c r="HA16" s="14" t="str">
        <f ca="1">IF(HA$1="","",'Total Value'!HA28/'Total Value'!GZ28-1)</f>
        <v/>
      </c>
      <c r="HB16" s="14" t="str">
        <f ca="1">IF(HB$1="","",'Total Value'!HB28/'Total Value'!HA28-1)</f>
        <v/>
      </c>
      <c r="HC16" s="14" t="str">
        <f ca="1">IF(HC$1="","",'Total Value'!HC28/'Total Value'!HB28-1)</f>
        <v/>
      </c>
      <c r="HD16" s="14" t="str">
        <f ca="1">IF(HD$1="","",'Total Value'!HD28/'Total Value'!HC28-1)</f>
        <v/>
      </c>
      <c r="HE16" s="14" t="str">
        <f ca="1">IF(HE$1="","",'Total Value'!HE28/'Total Value'!HD28-1)</f>
        <v/>
      </c>
      <c r="HF16" s="14" t="str">
        <f ca="1">IF(HF$1="","",'Total Value'!HF28/'Total Value'!HE28-1)</f>
        <v/>
      </c>
      <c r="HG16" s="14" t="str">
        <f ca="1">IF(HG$1="","",'Total Value'!HG28/'Total Value'!HF28-1)</f>
        <v/>
      </c>
      <c r="HH16" s="14" t="str">
        <f ca="1">IF(HH$1="","",'Total Value'!HH28/'Total Value'!HG28-1)</f>
        <v/>
      </c>
      <c r="HI16" s="14" t="str">
        <f ca="1">IF(HI$1="","",'Total Value'!HI28/'Total Value'!HH28-1)</f>
        <v/>
      </c>
      <c r="HJ16" s="14" t="str">
        <f ca="1">IF(HJ$1="","",'Total Value'!HJ28/'Total Value'!HI28-1)</f>
        <v/>
      </c>
      <c r="HK16" s="14" t="str">
        <f ca="1">IF(HK$1="","",'Total Value'!HK28/'Total Value'!HJ28-1)</f>
        <v/>
      </c>
      <c r="HL16" s="14" t="str">
        <f ca="1">IF(HL$1="","",'Total Value'!HL28/'Total Value'!HK28-1)</f>
        <v/>
      </c>
      <c r="HM16" s="14" t="str">
        <f ca="1">IF(HM$1="","",'Total Value'!HM28/'Total Value'!HL28-1)</f>
        <v/>
      </c>
      <c r="HN16" s="14" t="str">
        <f ca="1">IF(HN$1="","",'Total Value'!HN28/'Total Value'!HM28-1)</f>
        <v/>
      </c>
      <c r="HO16" s="14" t="str">
        <f ca="1">IF(HO$1="","",'Total Value'!HO28/'Total Value'!HN28-1)</f>
        <v/>
      </c>
      <c r="HP16" s="14" t="str">
        <f ca="1">IF(HP$1="","",'Total Value'!HP28/'Total Value'!HO28-1)</f>
        <v/>
      </c>
      <c r="HQ16" s="14" t="str">
        <f ca="1">IF(HQ$1="","",'Total Value'!HQ28/'Total Value'!HP28-1)</f>
        <v/>
      </c>
      <c r="HR16" s="14" t="str">
        <f ca="1">IF(HR$1="","",'Total Value'!HR28/'Total Value'!HQ28-1)</f>
        <v/>
      </c>
      <c r="HS16" s="14" t="str">
        <f ca="1">IF(HS$1="","",'Total Value'!HS28/'Total Value'!HR28-1)</f>
        <v/>
      </c>
      <c r="HT16" s="14" t="str">
        <f ca="1">IF(HT$1="","",'Total Value'!HT28/'Total Value'!HS28-1)</f>
        <v/>
      </c>
      <c r="HU16" s="14" t="str">
        <f ca="1">IF(HU$1="","",'Total Value'!HU28/'Total Value'!HT28-1)</f>
        <v/>
      </c>
      <c r="HV16" s="14" t="str">
        <f ca="1">IF(HV$1="","",'Total Value'!HV28/'Total Value'!HU28-1)</f>
        <v/>
      </c>
      <c r="HW16" s="14" t="str">
        <f ca="1">IF(HW$1="","",'Total Value'!HW28/'Total Value'!HV28-1)</f>
        <v/>
      </c>
      <c r="HX16" s="14" t="str">
        <f ca="1">IF(HX$1="","",'Total Value'!HX28/'Total Value'!HW28-1)</f>
        <v/>
      </c>
      <c r="HY16" s="14" t="str">
        <f ca="1">IF(HY$1="","",'Total Value'!HY28/'Total Value'!HX28-1)</f>
        <v/>
      </c>
      <c r="HZ16" s="14" t="str">
        <f ca="1">IF(HZ$1="","",'Total Value'!HZ28/'Total Value'!HY28-1)</f>
        <v/>
      </c>
      <c r="IA16" s="14" t="str">
        <f ca="1">IF(IA$1="","",'Total Value'!IA28/'Total Value'!HZ28-1)</f>
        <v/>
      </c>
      <c r="IB16" s="14" t="str">
        <f ca="1">IF(IB$1="","",'Total Value'!IB28/'Total Value'!IA28-1)</f>
        <v/>
      </c>
      <c r="IC16" s="14" t="str">
        <f ca="1">IF(IC$1="","",'Total Value'!IC28/'Total Value'!IB28-1)</f>
        <v/>
      </c>
      <c r="ID16" s="14" t="str">
        <f ca="1">IF(ID$1="","",'Total Value'!ID28/'Total Value'!IC28-1)</f>
        <v/>
      </c>
      <c r="IE16" s="14" t="str">
        <f ca="1">IF(IE$1="","",'Total Value'!IE28/'Total Value'!ID28-1)</f>
        <v/>
      </c>
      <c r="IF16" s="14" t="str">
        <f ca="1">IF(IF$1="","",'Total Value'!IF28/'Total Value'!IE28-1)</f>
        <v/>
      </c>
      <c r="IG16" s="14" t="str">
        <f ca="1">IF(IG$1="","",'Total Value'!IG28/'Total Value'!IF28-1)</f>
        <v/>
      </c>
      <c r="IH16" s="14" t="str">
        <f ca="1">IF(IH$1="","",'Total Value'!IH28/'Total Value'!IG28-1)</f>
        <v/>
      </c>
      <c r="II16" s="14" t="str">
        <f ca="1">IF(II$1="","",'Total Value'!II28/'Total Value'!IH28-1)</f>
        <v/>
      </c>
      <c r="IJ16" s="14" t="str">
        <f ca="1">IF(IJ$1="","",'Total Value'!IJ28/'Total Value'!II28-1)</f>
        <v/>
      </c>
      <c r="IK16" s="14" t="str">
        <f ca="1">IF(IK$1="","",'Total Value'!IK28/'Total Value'!IJ28-1)</f>
        <v/>
      </c>
      <c r="IL16" s="14" t="str">
        <f ca="1">IF(IL$1="","",'Total Value'!IL28/'Total Value'!IK28-1)</f>
        <v/>
      </c>
      <c r="IM16" s="14" t="str">
        <f ca="1">IF(IM$1="","",'Total Value'!IM28/'Total Value'!IL28-1)</f>
        <v/>
      </c>
      <c r="IN16" s="14" t="str">
        <f ca="1">IF(IN$1="","",'Total Value'!IN28/'Total Value'!IM28-1)</f>
        <v/>
      </c>
      <c r="IO16" s="14" t="str">
        <f ca="1">IF(IO$1="","",'Total Value'!IO28/'Total Value'!IN28-1)</f>
        <v/>
      </c>
      <c r="IP16" s="14" t="str">
        <f ca="1">IF(IP$1="","",'Total Value'!IP28/'Total Value'!IO28-1)</f>
        <v/>
      </c>
      <c r="IQ16" s="14" t="str">
        <f ca="1">IF(IQ$1="","",'Total Value'!IQ28/'Total Value'!IP28-1)</f>
        <v/>
      </c>
      <c r="IR16" s="14" t="str">
        <f ca="1">IF(IR$1="","",'Total Value'!IR28/'Total Value'!IQ28-1)</f>
        <v/>
      </c>
      <c r="IS16" s="14" t="str">
        <f ca="1">IF(IS$1="","",'Total Value'!IS28/'Total Value'!IR28-1)</f>
        <v/>
      </c>
      <c r="IT16" s="14" t="str">
        <f ca="1">IF(IT$1="","",'Total Value'!IT28/'Total Value'!IS28-1)</f>
        <v/>
      </c>
      <c r="IU16" s="14" t="str">
        <f ca="1">IF(IU$1="","",'Total Value'!IU28/'Total Value'!IT28-1)</f>
        <v/>
      </c>
      <c r="IV16" s="14" t="str">
        <f ca="1">IF(IV$1="","",'Total Value'!IV28/'Total Value'!IU28-1)</f>
        <v/>
      </c>
      <c r="IW16" s="14" t="str">
        <f ca="1">IF(IW$1="","",'Total Value'!IW28/'Total Value'!IV28-1)</f>
        <v/>
      </c>
      <c r="IX16" s="14" t="str">
        <f ca="1">IF(IX$1="","",'Total Value'!IX28/'Total Value'!IW28-1)</f>
        <v/>
      </c>
      <c r="IY16" s="14" t="str">
        <f ca="1">IF(IY$1="","",'Total Value'!IY28/'Total Value'!IX28-1)</f>
        <v/>
      </c>
      <c r="IZ16" s="14" t="str">
        <f ca="1">IF(IZ$1="","",'Total Value'!IZ28/'Total Value'!IY28-1)</f>
        <v/>
      </c>
      <c r="JA16" s="14" t="str">
        <f ca="1">IF(JA$1="","",'Total Value'!JA28/'Total Value'!IZ28-1)</f>
        <v/>
      </c>
      <c r="JB16" s="14" t="str">
        <f ca="1">IF(JB$1="","",'Total Value'!JB28/'Total Value'!JA28-1)</f>
        <v/>
      </c>
      <c r="JC16" s="14" t="str">
        <f ca="1">IF(JC$1="","",'Total Value'!JC28/'Total Value'!JB28-1)</f>
        <v/>
      </c>
      <c r="JD16" s="14" t="str">
        <f ca="1">IF(JD$1="","",'Total Value'!JD28/'Total Value'!JC28-1)</f>
        <v/>
      </c>
      <c r="JE16" s="14" t="str">
        <f ca="1">IF(JE$1="","",'Total Value'!JE28/'Total Value'!JD28-1)</f>
        <v/>
      </c>
      <c r="JF16" s="14" t="str">
        <f ca="1">IF(JF$1="","",'Total Value'!JF28/'Total Value'!JE28-1)</f>
        <v/>
      </c>
      <c r="JG16" s="14" t="str">
        <f ca="1">IF(JG$1="","",'Total Value'!JG28/'Total Value'!JF28-1)</f>
        <v/>
      </c>
      <c r="JH16" s="14" t="str">
        <f ca="1">IF(JH$1="","",'Total Value'!JH28/'Total Value'!JG28-1)</f>
        <v/>
      </c>
      <c r="JI16" s="14" t="str">
        <f ca="1">IF(JI$1="","",'Total Value'!JI28/'Total Value'!JH28-1)</f>
        <v/>
      </c>
      <c r="JJ16" s="14" t="str">
        <f ca="1">IF(JJ$1="","",'Total Value'!JJ28/'Total Value'!JI28-1)</f>
        <v/>
      </c>
      <c r="JK16" s="14" t="str">
        <f ca="1">IF(JK$1="","",'Total Value'!JK28/'Total Value'!JJ28-1)</f>
        <v/>
      </c>
      <c r="JL16" s="14" t="str">
        <f ca="1">IF(JL$1="","",'Total Value'!JL28/'Total Value'!JK28-1)</f>
        <v/>
      </c>
      <c r="JM16" s="14" t="str">
        <f ca="1">IF(JM$1="","",'Total Value'!JM28/'Total Value'!JL28-1)</f>
        <v/>
      </c>
      <c r="JN16" s="14" t="str">
        <f ca="1">IF(JN$1="","",'Total Value'!JN28/'Total Value'!JM28-1)</f>
        <v/>
      </c>
      <c r="JO16" s="14" t="str">
        <f ca="1">IF(JO$1="","",'Total Value'!JO28/'Total Value'!JN28-1)</f>
        <v/>
      </c>
      <c r="JP16" s="14" t="str">
        <f ca="1">IF(JP$1="","",'Total Value'!JP28/'Total Value'!JO28-1)</f>
        <v/>
      </c>
      <c r="JQ16" s="14" t="str">
        <f ca="1">IF(JQ$1="","",'Total Value'!JQ28/'Total Value'!JP28-1)</f>
        <v/>
      </c>
      <c r="JR16" s="14" t="str">
        <f ca="1">IF(JR$1="","",'Total Value'!JR28/'Total Value'!JQ28-1)</f>
        <v/>
      </c>
      <c r="JS16" s="14" t="str">
        <f ca="1">IF(JS$1="","",'Total Value'!JS28/'Total Value'!JR28-1)</f>
        <v/>
      </c>
      <c r="JT16" s="14" t="str">
        <f ca="1">IF(JT$1="","",'Total Value'!JT28/'Total Value'!JS28-1)</f>
        <v/>
      </c>
      <c r="JU16" s="14" t="str">
        <f ca="1">IF(JU$1="","",'Total Value'!JU28/'Total Value'!JT28-1)</f>
        <v/>
      </c>
      <c r="JV16" s="14" t="str">
        <f ca="1">IF(JV$1="","",'Total Value'!JV28/'Total Value'!JU28-1)</f>
        <v/>
      </c>
      <c r="JW16" s="14" t="str">
        <f ca="1">IF(JW$1="","",'Total Value'!JW28/'Total Value'!JV28-1)</f>
        <v/>
      </c>
      <c r="JX16" s="14" t="str">
        <f ca="1">IF(JX$1="","",'Total Value'!JX28/'Total Value'!JW28-1)</f>
        <v/>
      </c>
      <c r="JY16" s="14" t="str">
        <f ca="1">IF(JY$1="","",'Total Value'!JY28/'Total Value'!JX28-1)</f>
        <v/>
      </c>
      <c r="JZ16" s="14" t="str">
        <f ca="1">IF(JZ$1="","",'Total Value'!JZ28/'Total Value'!JY28-1)</f>
        <v/>
      </c>
      <c r="KA16" s="14" t="str">
        <f ca="1">IF(KA$1="","",'Total Value'!KA28/'Total Value'!JZ28-1)</f>
        <v/>
      </c>
      <c r="KB16" s="14" t="str">
        <f ca="1">IF(KB$1="","",'Total Value'!KB28/'Total Value'!KA28-1)</f>
        <v/>
      </c>
    </row>
    <row r="17" spans="1:288" ht="15.75" customHeight="1">
      <c r="A17" s="22" t="s">
        <v>30</v>
      </c>
      <c r="B17" s="6" t="s">
        <v>62</v>
      </c>
      <c r="C17" s="26">
        <v>39</v>
      </c>
      <c r="D17" s="13">
        <v>0</v>
      </c>
      <c r="E17" s="14">
        <f ca="1">IF(E$1="","",'Total Value'!E29/'Total Value'!D29-1)</f>
        <v>3.3087842886114771E-3</v>
      </c>
      <c r="F17" s="14">
        <f ca="1">IF(F$1="","",'Total Value'!F29/'Total Value'!E29-1)</f>
        <v>-6.7021276595743418E-3</v>
      </c>
      <c r="G17" s="14">
        <f ca="1">IF(G$1="","",'Total Value'!G29/'Total Value'!F29-1)</f>
        <v>-1.1888186783763466E-2</v>
      </c>
      <c r="H17" s="14">
        <f ca="1">IF(H$1="","",'Total Value'!H29/'Total Value'!G29-1)</f>
        <v>-2.4604378929113602E-2</v>
      </c>
      <c r="I17" s="14">
        <f ca="1">IF(I$1="","",'Total Value'!I29/'Total Value'!H29-1)</f>
        <v>-4.3338148683186861E-2</v>
      </c>
      <c r="J17" s="14">
        <f ca="1">IF(J$1="","",'Total Value'!J29/'Total Value'!I29-1)</f>
        <v>4.2978278545706683E-3</v>
      </c>
      <c r="K17" s="14">
        <f ca="1">IF(K$1="","",'Total Value'!K29/'Total Value'!J29-1)</f>
        <v>1.040943789035409E-2</v>
      </c>
      <c r="L17" s="14">
        <f ca="1">IF(L$1="","",'Total Value'!L29/'Total Value'!K29-1)</f>
        <v>-1.2820512820512886E-2</v>
      </c>
      <c r="M17" s="14">
        <f ca="1">IF(M$1="","",'Total Value'!M29/'Total Value'!L29-1)</f>
        <v>1.8900742115028013E-2</v>
      </c>
      <c r="N17" s="14">
        <f ca="1">IF(N$1="","",'Total Value'!N29/'Total Value'!M29-1)</f>
        <v>-1.8094912939569885E-2</v>
      </c>
      <c r="O17" s="14">
        <f ca="1">IF(O$1="","",'Total Value'!O29/'Total Value'!N29-1)</f>
        <v>-7.4177097821047644E-3</v>
      </c>
      <c r="P17" s="14">
        <f ca="1">IF(P$1="","",'Total Value'!P29/'Total Value'!O29-1)</f>
        <v>-2.8024287716019725E-3</v>
      </c>
      <c r="Q17" s="14">
        <f ca="1">IF(Q$1="","",'Total Value'!Q29/'Total Value'!P29-1)</f>
        <v>3.817330210772818E-2</v>
      </c>
      <c r="R17" s="14">
        <f ca="1">IF(R$1="","",'Total Value'!R29/'Total Value'!Q29-1)</f>
        <v>2.1430182720505453E-2</v>
      </c>
      <c r="S17" s="14">
        <f ca="1">IF(S$1="","",'Total Value'!S29/'Total Value'!R29-1)</f>
        <v>-2.2084805653710404E-3</v>
      </c>
      <c r="T17" s="14">
        <f ca="1">IF(T$1="","",'Total Value'!T29/'Total Value'!S29-1)</f>
        <v>1.6600265604249653E-2</v>
      </c>
      <c r="U17" s="14">
        <f ca="1">IF(U$1="","",'Total Value'!U29/'Total Value'!T29-1)</f>
        <v>-2.0139342477683342E-2</v>
      </c>
      <c r="V17" s="14">
        <f ca="1">IF(V$1="","",'Total Value'!V29/'Total Value'!U29-1)</f>
        <v>-1.8886790356626992E-3</v>
      </c>
      <c r="W17" s="14">
        <f ca="1">IF(W$1="","",'Total Value'!W29/'Total Value'!V29-1)</f>
        <v>-6.6785396260019558E-3</v>
      </c>
      <c r="X17" s="14">
        <f ca="1">IF(X$1="","",'Total Value'!X29/'Total Value'!W29-1)</f>
        <v>1.0421335723890701E-2</v>
      </c>
      <c r="Y17" s="14">
        <f ca="1">IF(Y$1="","",'Total Value'!Y29/'Total Value'!X29-1)</f>
        <v>1.5969834756570878E-2</v>
      </c>
      <c r="Z17" s="14">
        <f ca="1">IF(Z$1="","",'Total Value'!Z29/'Total Value'!Y29-1)</f>
        <v>-2.1831677764427848E-4</v>
      </c>
      <c r="AA17" s="14">
        <f ca="1">IF(AA$1="","",'Total Value'!AA29/'Total Value'!Z29-1)</f>
        <v>-1.4630418167922321E-2</v>
      </c>
      <c r="AB17" s="14">
        <f ca="1">IF(AB$1="","",'Total Value'!AB29/'Total Value'!AA29-1)</f>
        <v>-1.4182825484764572E-2</v>
      </c>
      <c r="AC17" s="14">
        <f ca="1">IF(AC$1="","",'Total Value'!AC29/'Total Value'!AB29-1)</f>
        <v>-7.6430257390131429E-2</v>
      </c>
      <c r="AD17" s="14">
        <f ca="1">IF(AD$1="","",'Total Value'!AD29/'Total Value'!AC29-1)</f>
        <v>1.4603870025556853E-2</v>
      </c>
      <c r="AE17" s="14">
        <f ca="1">IF(AE$1="","",'Total Value'!AE29/'Total Value'!AD29-1)</f>
        <v>-4.8098836511934806E-2</v>
      </c>
      <c r="AF17" s="14">
        <f ca="1">IF(AF$1="","",'Total Value'!AF29/'Total Value'!AE29-1)</f>
        <v>-4.6622983870968637E-3</v>
      </c>
      <c r="AG17" s="14">
        <f ca="1">IF(AG$1="","",'Total Value'!AG29/'Total Value'!AF29-1)</f>
        <v>-4.9373338397266098E-3</v>
      </c>
      <c r="AH17" s="14">
        <f ca="1">IF(AH$1="","",'Total Value'!AH29/'Total Value'!AG29-1)</f>
        <v>-2.111959287531795E-2</v>
      </c>
      <c r="AI17" s="14">
        <f ca="1">IF(AI$1="","",'Total Value'!AI29/'Total Value'!AH29-1)</f>
        <v>1.1827397972445919E-2</v>
      </c>
      <c r="AJ17" s="14">
        <f ca="1">IF(AJ$1="","",'Total Value'!AJ29/'Total Value'!AI29-1)</f>
        <v>3.0956968529223028E-2</v>
      </c>
      <c r="AK17" s="14">
        <f ca="1">IF(AK$1="","",'Total Value'!AK29/'Total Value'!AJ29-1)</f>
        <v>-1.3207076999750877E-2</v>
      </c>
      <c r="AL17" s="14">
        <f ca="1">IF(AL$1="","",'Total Value'!AL29/'Total Value'!AK29-1)</f>
        <v>-6.0606060606060996E-3</v>
      </c>
      <c r="AM17" s="14">
        <f ca="1">IF(AM$1="","",'Total Value'!AM29/'Total Value'!AL29-1)</f>
        <v>2.5787601626016343E-2</v>
      </c>
      <c r="AN17" s="14">
        <f ca="1">IF(AN$1="","",'Total Value'!AN29/'Total Value'!AM29-1)</f>
        <v>-1.2631578947368327E-2</v>
      </c>
      <c r="AO17" s="14">
        <f ca="1">IF(AO$1="","",'Total Value'!AO29/'Total Value'!AN29-1)</f>
        <v>-4.7660855386932877E-3</v>
      </c>
      <c r="AP17" s="14">
        <f ca="1">IF(AP$1="","",'Total Value'!AP29/'Total Value'!AO29-1)</f>
        <v>-5.6836798991808268E-2</v>
      </c>
      <c r="AQ17" s="14">
        <f ca="1">IF(AQ$1="","",'Total Value'!AQ29/'Total Value'!AP29-1)</f>
        <v>-9.2196686264028882E-3</v>
      </c>
      <c r="AR17" s="14">
        <f ca="1">IF(AR$1="","",'Total Value'!AR29/'Total Value'!AQ29-1)</f>
        <v>5.367498314227892E-2</v>
      </c>
      <c r="AS17" s="14">
        <f ca="1">IF(AS$1="","",'Total Value'!AS29/'Total Value'!AR29-1)</f>
        <v>-1.7278894150774216E-2</v>
      </c>
      <c r="AT17" s="14">
        <f ca="1">IF(AT$1="","",'Total Value'!AT29/'Total Value'!AS29-1)</f>
        <v>-2.0057306590258062E-2</v>
      </c>
      <c r="AU17" s="14">
        <f ca="1">IF(AU$1="","",'Total Value'!AU29/'Total Value'!AT29-1)</f>
        <v>3.8543328017013323E-3</v>
      </c>
      <c r="AV17" s="14">
        <f ca="1">IF(AV$1="","",'Total Value'!AV29/'Total Value'!AU29-1)</f>
        <v>1.9065272077320117E-2</v>
      </c>
      <c r="AW17" s="14">
        <f ca="1">IF(AW$1="","",'Total Value'!AW29/'Total Value'!AV29-1)</f>
        <v>3.5208522801091435E-2</v>
      </c>
      <c r="AX17" s="14">
        <f ca="1">IF(AX$1="","",'Total Value'!AX29/'Total Value'!AW29-1)</f>
        <v>-2.8865461847390472E-3</v>
      </c>
      <c r="AY17" s="14">
        <f ca="1">IF(AY$1="","",'Total Value'!AY29/'Total Value'!AX29-1)</f>
        <v>6.5449968533668468E-3</v>
      </c>
      <c r="AZ17" s="14">
        <f ca="1">IF(AZ$1="","",'Total Value'!AZ29/'Total Value'!AY29-1)</f>
        <v>2.5759659872452323E-2</v>
      </c>
      <c r="BA17" s="14">
        <f ca="1">IF(BA$1="","",'Total Value'!BA29/'Total Value'!AZ29-1)</f>
        <v>1.3409728148238376E-2</v>
      </c>
      <c r="BB17" s="14">
        <f ca="1">IF(BB$1="","",'Total Value'!BB29/'Total Value'!BA29-1)</f>
        <v>-5.8943822927943978E-2</v>
      </c>
      <c r="BC17" s="14">
        <f ca="1">IF(BC$1="","",'Total Value'!BC29/'Total Value'!BB29-1)</f>
        <v>9.5871149175508208E-3</v>
      </c>
      <c r="BD17" s="14">
        <f ca="1">IF(BD$1="","",'Total Value'!BD29/'Total Value'!BC29-1)</f>
        <v>2.5322866548493916E-3</v>
      </c>
      <c r="BE17" s="14">
        <f ca="1">IF(BE$1="","",'Total Value'!BE29/'Total Value'!BD29-1)</f>
        <v>5.9358423844404484E-3</v>
      </c>
      <c r="BF17" s="14">
        <f ca="1">IF(BF$1="","",'Total Value'!BF29/'Total Value'!BE29-1)</f>
        <v>3.7162586315128587E-2</v>
      </c>
      <c r="BG17" s="14">
        <f ca="1">IF(BG$1="","",'Total Value'!BG29/'Total Value'!BF29-1)</f>
        <v>-1.2347173465682038E-2</v>
      </c>
      <c r="BH17" s="14">
        <f ca="1">IF(BH$1="","",'Total Value'!BH29/'Total Value'!BG29-1)</f>
        <v>-7.8440985414879316E-3</v>
      </c>
      <c r="BI17" s="14">
        <f ca="1">IF(BI$1="","",'Total Value'!BI29/'Total Value'!BH29-1)</f>
        <v>2.2483014206299945E-2</v>
      </c>
      <c r="BJ17" s="14">
        <f ca="1">IF(BJ$1="","",'Total Value'!BJ29/'Total Value'!BI29-1)</f>
        <v>-6.5241029358461544E-3</v>
      </c>
      <c r="BK17" s="14">
        <f ca="1">IF(BK$1="","",'Total Value'!BK29/'Total Value'!BJ29-1)</f>
        <v>-8.7559284932505754E-3</v>
      </c>
      <c r="BL17" s="14">
        <f ca="1">IF(BL$1="","",'Total Value'!BL29/'Total Value'!BK29-1)</f>
        <v>3.8032143295299026E-3</v>
      </c>
      <c r="BM17" s="14">
        <f ca="1">IF(BM$1="","",'Total Value'!BM29/'Total Value'!BL29-1)</f>
        <v>3.5810315326326281E-2</v>
      </c>
      <c r="BN17" s="14">
        <f ca="1">IF(BN$1="","",'Total Value'!BN29/'Total Value'!BM29-1)</f>
        <v>-7.9056047197640922E-3</v>
      </c>
      <c r="BO17" s="14">
        <f ca="1">IF(BO$1="","",'Total Value'!BO29/'Total Value'!BN29-1)</f>
        <v>-2.7473834443387246E-2</v>
      </c>
      <c r="BP17" s="14">
        <f ca="1">IF(BP$1="","",'Total Value'!BP29/'Total Value'!BO29-1)</f>
        <v>-7.5822428763603344E-3</v>
      </c>
      <c r="BQ17" s="14">
        <f ca="1">IF(BQ$1="","",'Total Value'!BQ29/'Total Value'!BP29-1)</f>
        <v>1.1090573012937366E-3</v>
      </c>
      <c r="BR17" s="14">
        <f ca="1">IF(BR$1="","",'Total Value'!BR29/'Total Value'!BQ29-1)</f>
        <v>-9.970457902510832E-3</v>
      </c>
      <c r="BS17" s="14">
        <f ca="1">IF(BS$1="","",'Total Value'!BS29/'Total Value'!BR29-1)</f>
        <v>-2.399602138505541E-2</v>
      </c>
      <c r="BT17" s="14">
        <f ca="1">IF(BT$1="","",'Total Value'!BT29/'Total Value'!BS29-1)</f>
        <v>7.0063694267514798E-3</v>
      </c>
      <c r="BU17" s="14">
        <f ca="1">IF(BU$1="","",'Total Value'!BU29/'Total Value'!BT29-1)</f>
        <v>2.8336495888678259E-2</v>
      </c>
      <c r="BV17" s="14">
        <f ca="1">IF(BV$1="","",'Total Value'!BV29/'Total Value'!BU29-1)</f>
        <v>-1.8452454176405508E-2</v>
      </c>
      <c r="BW17" s="14">
        <f ca="1">IF(BW$1="","",'Total Value'!BW29/'Total Value'!BV29-1)</f>
        <v>-3.2961524000501563E-2</v>
      </c>
      <c r="BX17" s="14">
        <f ca="1">IF(BX$1="","",'Total Value'!BX29/'Total Value'!BW29-1)</f>
        <v>-5.9486780715396703E-2</v>
      </c>
      <c r="BY17" s="14">
        <f ca="1">IF(BY$1="","",'Total Value'!BY29/'Total Value'!BX29-1)</f>
        <v>-7.2206145790271403E-2</v>
      </c>
      <c r="BZ17" s="14">
        <f ca="1">IF(BZ$1="","",'Total Value'!BZ29/'Total Value'!BY29-1)</f>
        <v>3.846725085400271E-2</v>
      </c>
      <c r="CA17" s="14">
        <f ca="1">IF(CA$1="","",'Total Value'!CA29/'Total Value'!BZ29-1)</f>
        <v>7.7231121281462478E-3</v>
      </c>
      <c r="CB17" s="14">
        <f ca="1">IF(CB$1="","",'Total Value'!CB29/'Total Value'!CA29-1)</f>
        <v>3.7326142492194458E-2</v>
      </c>
      <c r="CC17" s="14">
        <f ca="1">IF(CC$1="","",'Total Value'!CC29/'Total Value'!CB29-1)</f>
        <v>-1.0808592146668627E-2</v>
      </c>
      <c r="CD17" s="14">
        <f ca="1">IF(CD$1="","",'Total Value'!CD29/'Total Value'!CC29-1)</f>
        <v>-3.734439834024772E-3</v>
      </c>
      <c r="CE17" s="14">
        <f ca="1">IF(CE$1="","",'Total Value'!CE29/'Total Value'!CD29-1)</f>
        <v>5.1089823684575597E-2</v>
      </c>
      <c r="CF17" s="14" t="str">
        <f ca="1">IF(CF$1="","",'Total Value'!CF29/'Total Value'!CE29-1)</f>
        <v/>
      </c>
      <c r="CG17" s="14" t="str">
        <f ca="1">IF(CG$1="","",'Total Value'!CG29/'Total Value'!CF29-1)</f>
        <v/>
      </c>
      <c r="CH17" s="14" t="str">
        <f ca="1">IF(CH$1="","",'Total Value'!CH29/'Total Value'!CG29-1)</f>
        <v/>
      </c>
      <c r="CI17" s="14" t="str">
        <f ca="1">IF(CI$1="","",'Total Value'!CI29/'Total Value'!CH29-1)</f>
        <v/>
      </c>
      <c r="CJ17" s="14" t="str">
        <f ca="1">IF(CJ$1="","",'Total Value'!CJ29/'Total Value'!CI29-1)</f>
        <v/>
      </c>
      <c r="CK17" s="14" t="str">
        <f ca="1">IF(CK$1="","",'Total Value'!CK29/'Total Value'!CJ29-1)</f>
        <v/>
      </c>
      <c r="CL17" s="14" t="str">
        <f ca="1">IF(CL$1="","",'Total Value'!CL29/'Total Value'!CK29-1)</f>
        <v/>
      </c>
      <c r="CM17" s="14" t="str">
        <f ca="1">IF(CM$1="","",'Total Value'!CM29/'Total Value'!CL29-1)</f>
        <v/>
      </c>
      <c r="CN17" s="14" t="str">
        <f ca="1">IF(CN$1="","",'Total Value'!CN29/'Total Value'!CM29-1)</f>
        <v/>
      </c>
      <c r="CO17" s="14" t="str">
        <f ca="1">IF(CO$1="","",'Total Value'!CO29/'Total Value'!CN29-1)</f>
        <v/>
      </c>
      <c r="CP17" s="14" t="str">
        <f ca="1">IF(CP$1="","",'Total Value'!CP29/'Total Value'!CO29-1)</f>
        <v/>
      </c>
      <c r="CQ17" s="14" t="str">
        <f ca="1">IF(CQ$1="","",'Total Value'!CQ29/'Total Value'!CP29-1)</f>
        <v/>
      </c>
      <c r="CR17" s="14" t="str">
        <f ca="1">IF(CR$1="","",'Total Value'!CR29/'Total Value'!CQ29-1)</f>
        <v/>
      </c>
      <c r="CS17" s="14" t="str">
        <f ca="1">IF(CS$1="","",'Total Value'!CS29/'Total Value'!CR29-1)</f>
        <v/>
      </c>
      <c r="CT17" s="14" t="str">
        <f ca="1">IF(CT$1="","",'Total Value'!CT29/'Total Value'!CS29-1)</f>
        <v/>
      </c>
      <c r="CU17" s="14" t="str">
        <f ca="1">IF(CU$1="","",'Total Value'!CU29/'Total Value'!CT29-1)</f>
        <v/>
      </c>
      <c r="CV17" s="14" t="str">
        <f ca="1">IF(CV$1="","",'Total Value'!CV29/'Total Value'!CU29-1)</f>
        <v/>
      </c>
      <c r="CW17" s="14" t="str">
        <f ca="1">IF(CW$1="","",'Total Value'!CW29/'Total Value'!CV29-1)</f>
        <v/>
      </c>
      <c r="CX17" s="14" t="str">
        <f ca="1">IF(CX$1="","",'Total Value'!CX29/'Total Value'!CW29-1)</f>
        <v/>
      </c>
      <c r="CY17" s="14" t="str">
        <f ca="1">IF(CY$1="","",'Total Value'!CY29/'Total Value'!CX29-1)</f>
        <v/>
      </c>
      <c r="CZ17" s="14" t="str">
        <f ca="1">IF(CZ$1="","",'Total Value'!CZ29/'Total Value'!CY29-1)</f>
        <v/>
      </c>
      <c r="DA17" s="14" t="str">
        <f ca="1">IF(DA$1="","",'Total Value'!DA29/'Total Value'!CZ29-1)</f>
        <v/>
      </c>
      <c r="DB17" s="14" t="str">
        <f ca="1">IF(DB$1="","",'Total Value'!DB29/'Total Value'!DA29-1)</f>
        <v/>
      </c>
      <c r="DC17" s="14" t="str">
        <f ca="1">IF(DC$1="","",'Total Value'!DC29/'Total Value'!DB29-1)</f>
        <v/>
      </c>
      <c r="DD17" s="14" t="str">
        <f ca="1">IF(DD$1="","",'Total Value'!DD29/'Total Value'!DC29-1)</f>
        <v/>
      </c>
      <c r="DE17" s="14" t="str">
        <f ca="1">IF(DE$1="","",'Total Value'!DE29/'Total Value'!DD29-1)</f>
        <v/>
      </c>
      <c r="DF17" s="14" t="str">
        <f ca="1">IF(DF$1="","",'Total Value'!DF29/'Total Value'!DE29-1)</f>
        <v/>
      </c>
      <c r="DG17" s="14" t="str">
        <f ca="1">IF(DG$1="","",'Total Value'!DG29/'Total Value'!DF29-1)</f>
        <v/>
      </c>
      <c r="DH17" s="14" t="str">
        <f ca="1">IF(DH$1="","",'Total Value'!DH29/'Total Value'!DG29-1)</f>
        <v/>
      </c>
      <c r="DI17" s="14" t="str">
        <f ca="1">IF(DI$1="","",'Total Value'!DI29/'Total Value'!DH29-1)</f>
        <v/>
      </c>
      <c r="DJ17" s="14" t="str">
        <f ca="1">IF(DJ$1="","",'Total Value'!DJ29/'Total Value'!DI29-1)</f>
        <v/>
      </c>
      <c r="DK17" s="14" t="str">
        <f ca="1">IF(DK$1="","",'Total Value'!DK29/'Total Value'!DJ29-1)</f>
        <v/>
      </c>
      <c r="DL17" s="14" t="str">
        <f ca="1">IF(DL$1="","",'Total Value'!DL29/'Total Value'!DK29-1)</f>
        <v/>
      </c>
      <c r="DM17" s="14" t="str">
        <f ca="1">IF(DM$1="","",'Total Value'!DM29/'Total Value'!DL29-1)</f>
        <v/>
      </c>
      <c r="DN17" s="14" t="str">
        <f ca="1">IF(DN$1="","",'Total Value'!DN29/'Total Value'!DM29-1)</f>
        <v/>
      </c>
      <c r="DO17" s="14" t="str">
        <f ca="1">IF(DO$1="","",'Total Value'!DO29/'Total Value'!DN29-1)</f>
        <v/>
      </c>
      <c r="DP17" s="14" t="str">
        <f ca="1">IF(DP$1="","",'Total Value'!DP29/'Total Value'!DO29-1)</f>
        <v/>
      </c>
      <c r="DQ17" s="14" t="str">
        <f ca="1">IF(DQ$1="","",'Total Value'!DQ29/'Total Value'!DP29-1)</f>
        <v/>
      </c>
      <c r="DR17" s="14" t="str">
        <f ca="1">IF(DR$1="","",'Total Value'!DR29/'Total Value'!DQ29-1)</f>
        <v/>
      </c>
      <c r="DS17" s="14" t="str">
        <f ca="1">IF(DS$1="","",'Total Value'!DS29/'Total Value'!DR29-1)</f>
        <v/>
      </c>
      <c r="DT17" s="14" t="str">
        <f ca="1">IF(DT$1="","",'Total Value'!DT29/'Total Value'!DS29-1)</f>
        <v/>
      </c>
      <c r="DU17" s="14" t="str">
        <f ca="1">IF(DU$1="","",'Total Value'!DU29/'Total Value'!DT29-1)</f>
        <v/>
      </c>
      <c r="DV17" s="14" t="str">
        <f ca="1">IF(DV$1="","",'Total Value'!DV29/'Total Value'!DU29-1)</f>
        <v/>
      </c>
      <c r="DW17" s="14" t="str">
        <f ca="1">IF(DW$1="","",'Total Value'!DW29/'Total Value'!DV29-1)</f>
        <v/>
      </c>
      <c r="DX17" s="14" t="str">
        <f ca="1">IF(DX$1="","",'Total Value'!DX29/'Total Value'!DW29-1)</f>
        <v/>
      </c>
      <c r="DY17" s="14" t="str">
        <f ca="1">IF(DY$1="","",'Total Value'!DY29/'Total Value'!DX29-1)</f>
        <v/>
      </c>
      <c r="DZ17" s="14" t="str">
        <f ca="1">IF(DZ$1="","",'Total Value'!DZ29/'Total Value'!DY29-1)</f>
        <v/>
      </c>
      <c r="EA17" s="14" t="str">
        <f ca="1">IF(EA$1="","",'Total Value'!EA29/'Total Value'!DZ29-1)</f>
        <v/>
      </c>
      <c r="EB17" s="14" t="str">
        <f ca="1">IF(EB$1="","",'Total Value'!EB29/'Total Value'!EA29-1)</f>
        <v/>
      </c>
      <c r="EC17" s="14" t="str">
        <f ca="1">IF(EC$1="","",'Total Value'!EC29/'Total Value'!EB29-1)</f>
        <v/>
      </c>
      <c r="ED17" s="14" t="str">
        <f ca="1">IF(ED$1="","",'Total Value'!ED29/'Total Value'!EC29-1)</f>
        <v/>
      </c>
      <c r="EE17" s="14" t="str">
        <f ca="1">IF(EE$1="","",'Total Value'!EE29/'Total Value'!ED29-1)</f>
        <v/>
      </c>
      <c r="EF17" s="14" t="str">
        <f ca="1">IF(EF$1="","",'Total Value'!EF29/'Total Value'!EE29-1)</f>
        <v/>
      </c>
      <c r="EG17" s="14" t="str">
        <f ca="1">IF(EG$1="","",'Total Value'!EG29/'Total Value'!EF29-1)</f>
        <v/>
      </c>
      <c r="EH17" s="14" t="str">
        <f ca="1">IF(EH$1="","",'Total Value'!EH29/'Total Value'!EG29-1)</f>
        <v/>
      </c>
      <c r="EI17" s="14" t="str">
        <f ca="1">IF(EI$1="","",'Total Value'!EI29/'Total Value'!EH29-1)</f>
        <v/>
      </c>
      <c r="EJ17" s="14" t="str">
        <f ca="1">IF(EJ$1="","",'Total Value'!EJ29/'Total Value'!EI29-1)</f>
        <v/>
      </c>
      <c r="EK17" s="14" t="str">
        <f ca="1">IF(EK$1="","",'Total Value'!EK29/'Total Value'!EJ29-1)</f>
        <v/>
      </c>
      <c r="EL17" s="14" t="str">
        <f ca="1">IF(EL$1="","",'Total Value'!EL29/'Total Value'!EK29-1)</f>
        <v/>
      </c>
      <c r="EM17" s="14" t="str">
        <f ca="1">IF(EM$1="","",'Total Value'!EM29/'Total Value'!EL29-1)</f>
        <v/>
      </c>
      <c r="EN17" s="14" t="str">
        <f ca="1">IF(EN$1="","",'Total Value'!EN29/'Total Value'!EM29-1)</f>
        <v/>
      </c>
      <c r="EO17" s="14" t="str">
        <f ca="1">IF(EO$1="","",'Total Value'!EO29/'Total Value'!EN29-1)</f>
        <v/>
      </c>
      <c r="EP17" s="14" t="str">
        <f ca="1">IF(EP$1="","",'Total Value'!EP29/'Total Value'!EO29-1)</f>
        <v/>
      </c>
      <c r="EQ17" s="14" t="str">
        <f ca="1">IF(EQ$1="","",'Total Value'!EQ29/'Total Value'!EP29-1)</f>
        <v/>
      </c>
      <c r="ER17" s="14" t="str">
        <f ca="1">IF(ER$1="","",'Total Value'!ER29/'Total Value'!EQ29-1)</f>
        <v/>
      </c>
      <c r="ES17" s="14" t="str">
        <f ca="1">IF(ES$1="","",'Total Value'!ES29/'Total Value'!ER29-1)</f>
        <v/>
      </c>
      <c r="ET17" s="14" t="str">
        <f ca="1">IF(ET$1="","",'Total Value'!ET29/'Total Value'!ES29-1)</f>
        <v/>
      </c>
      <c r="EU17" s="14" t="str">
        <f ca="1">IF(EU$1="","",'Total Value'!EU29/'Total Value'!ET29-1)</f>
        <v/>
      </c>
      <c r="EV17" s="14" t="str">
        <f ca="1">IF(EV$1="","",'Total Value'!EV29/'Total Value'!EU29-1)</f>
        <v/>
      </c>
      <c r="EW17" s="14" t="str">
        <f ca="1">IF(EW$1="","",'Total Value'!EW29/'Total Value'!EV29-1)</f>
        <v/>
      </c>
      <c r="EX17" s="14" t="str">
        <f ca="1">IF(EX$1="","",'Total Value'!EX29/'Total Value'!EW29-1)</f>
        <v/>
      </c>
      <c r="EY17" s="14" t="str">
        <f ca="1">IF(EY$1="","",'Total Value'!EY29/'Total Value'!EX29-1)</f>
        <v/>
      </c>
      <c r="EZ17" s="14" t="str">
        <f ca="1">IF(EZ$1="","",'Total Value'!EZ29/'Total Value'!EY29-1)</f>
        <v/>
      </c>
      <c r="FA17" s="14" t="str">
        <f ca="1">IF(FA$1="","",'Total Value'!FA29/'Total Value'!EZ29-1)</f>
        <v/>
      </c>
      <c r="FB17" s="14" t="str">
        <f ca="1">IF(FB$1="","",'Total Value'!FB29/'Total Value'!FA29-1)</f>
        <v/>
      </c>
      <c r="FC17" s="14" t="str">
        <f ca="1">IF(FC$1="","",'Total Value'!FC29/'Total Value'!FB29-1)</f>
        <v/>
      </c>
      <c r="FD17" s="14" t="str">
        <f ca="1">IF(FD$1="","",'Total Value'!FD29/'Total Value'!FC29-1)</f>
        <v/>
      </c>
      <c r="FE17" s="14" t="str">
        <f ca="1">IF(FE$1="","",'Total Value'!FE29/'Total Value'!FD29-1)</f>
        <v/>
      </c>
      <c r="FF17" s="14" t="str">
        <f ca="1">IF(FF$1="","",'Total Value'!FF29/'Total Value'!FE29-1)</f>
        <v/>
      </c>
      <c r="FG17" s="14" t="str">
        <f ca="1">IF(FG$1="","",'Total Value'!FG29/'Total Value'!FF29-1)</f>
        <v/>
      </c>
      <c r="FH17" s="14" t="str">
        <f ca="1">IF(FH$1="","",'Total Value'!FH29/'Total Value'!FG29-1)</f>
        <v/>
      </c>
      <c r="FI17" s="14" t="str">
        <f ca="1">IF(FI$1="","",'Total Value'!FI29/'Total Value'!FH29-1)</f>
        <v/>
      </c>
      <c r="FJ17" s="14" t="str">
        <f ca="1">IF(FJ$1="","",'Total Value'!FJ29/'Total Value'!FI29-1)</f>
        <v/>
      </c>
      <c r="FK17" s="14" t="str">
        <f ca="1">IF(FK$1="","",'Total Value'!FK29/'Total Value'!FJ29-1)</f>
        <v/>
      </c>
      <c r="FL17" s="14" t="str">
        <f ca="1">IF(FL$1="","",'Total Value'!FL29/'Total Value'!FK29-1)</f>
        <v/>
      </c>
      <c r="FM17" s="14" t="str">
        <f ca="1">IF(FM$1="","",'Total Value'!FM29/'Total Value'!FL29-1)</f>
        <v/>
      </c>
      <c r="FN17" s="14" t="str">
        <f ca="1">IF(FN$1="","",'Total Value'!FN29/'Total Value'!FM29-1)</f>
        <v/>
      </c>
      <c r="FO17" s="14" t="str">
        <f ca="1">IF(FO$1="","",'Total Value'!FO29/'Total Value'!FN29-1)</f>
        <v/>
      </c>
      <c r="FP17" s="14" t="str">
        <f ca="1">IF(FP$1="","",'Total Value'!FP29/'Total Value'!FO29-1)</f>
        <v/>
      </c>
      <c r="FQ17" s="14" t="str">
        <f ca="1">IF(FQ$1="","",'Total Value'!FQ29/'Total Value'!FP29-1)</f>
        <v/>
      </c>
      <c r="FR17" s="14" t="str">
        <f ca="1">IF(FR$1="","",'Total Value'!FR29/'Total Value'!FQ29-1)</f>
        <v/>
      </c>
      <c r="FS17" s="14" t="str">
        <f ca="1">IF(FS$1="","",'Total Value'!FS29/'Total Value'!FR29-1)</f>
        <v/>
      </c>
      <c r="FT17" s="14" t="str">
        <f ca="1">IF(FT$1="","",'Total Value'!FT29/'Total Value'!FS29-1)</f>
        <v/>
      </c>
      <c r="FU17" s="14" t="str">
        <f ca="1">IF(FU$1="","",'Total Value'!FU29/'Total Value'!FT29-1)</f>
        <v/>
      </c>
      <c r="FV17" s="14" t="str">
        <f ca="1">IF(FV$1="","",'Total Value'!FV29/'Total Value'!FU29-1)</f>
        <v/>
      </c>
      <c r="FW17" s="14" t="str">
        <f ca="1">IF(FW$1="","",'Total Value'!FW29/'Total Value'!FV29-1)</f>
        <v/>
      </c>
      <c r="FX17" s="14" t="str">
        <f ca="1">IF(FX$1="","",'Total Value'!FX29/'Total Value'!FW29-1)</f>
        <v/>
      </c>
      <c r="FY17" s="14" t="str">
        <f ca="1">IF(FY$1="","",'Total Value'!FY29/'Total Value'!FX29-1)</f>
        <v/>
      </c>
      <c r="FZ17" s="14" t="str">
        <f ca="1">IF(FZ$1="","",'Total Value'!FZ29/'Total Value'!FY29-1)</f>
        <v/>
      </c>
      <c r="GA17" s="14" t="str">
        <f ca="1">IF(GA$1="","",'Total Value'!GA29/'Total Value'!FZ29-1)</f>
        <v/>
      </c>
      <c r="GB17" s="14" t="str">
        <f ca="1">IF(GB$1="","",'Total Value'!GB29/'Total Value'!GA29-1)</f>
        <v/>
      </c>
      <c r="GC17" s="14" t="str">
        <f ca="1">IF(GC$1="","",'Total Value'!GC29/'Total Value'!GB29-1)</f>
        <v/>
      </c>
      <c r="GD17" s="14" t="str">
        <f ca="1">IF(GD$1="","",'Total Value'!GD29/'Total Value'!GC29-1)</f>
        <v/>
      </c>
      <c r="GE17" s="14" t="str">
        <f ca="1">IF(GE$1="","",'Total Value'!GE29/'Total Value'!GD29-1)</f>
        <v/>
      </c>
      <c r="GF17" s="14" t="str">
        <f ca="1">IF(GF$1="","",'Total Value'!GF29/'Total Value'!GE29-1)</f>
        <v/>
      </c>
      <c r="GG17" s="14" t="str">
        <f ca="1">IF(GG$1="","",'Total Value'!GG29/'Total Value'!GF29-1)</f>
        <v/>
      </c>
      <c r="GH17" s="14" t="str">
        <f ca="1">IF(GH$1="","",'Total Value'!GH29/'Total Value'!GG29-1)</f>
        <v/>
      </c>
      <c r="GI17" s="14" t="str">
        <f ca="1">IF(GI$1="","",'Total Value'!GI29/'Total Value'!GH29-1)</f>
        <v/>
      </c>
      <c r="GJ17" s="14" t="str">
        <f ca="1">IF(GJ$1="","",'Total Value'!GJ29/'Total Value'!GI29-1)</f>
        <v/>
      </c>
      <c r="GK17" s="14" t="str">
        <f ca="1">IF(GK$1="","",'Total Value'!GK29/'Total Value'!GJ29-1)</f>
        <v/>
      </c>
      <c r="GL17" s="14" t="str">
        <f ca="1">IF(GL$1="","",'Total Value'!GL29/'Total Value'!GK29-1)</f>
        <v/>
      </c>
      <c r="GM17" s="14" t="str">
        <f ca="1">IF(GM$1="","",'Total Value'!GM29/'Total Value'!GL29-1)</f>
        <v/>
      </c>
      <c r="GN17" s="14" t="str">
        <f ca="1">IF(GN$1="","",'Total Value'!GN29/'Total Value'!GM29-1)</f>
        <v/>
      </c>
      <c r="GO17" s="14" t="str">
        <f ca="1">IF(GO$1="","",'Total Value'!GO29/'Total Value'!GN29-1)</f>
        <v/>
      </c>
      <c r="GP17" s="14" t="str">
        <f ca="1">IF(GP$1="","",'Total Value'!GP29/'Total Value'!GO29-1)</f>
        <v/>
      </c>
      <c r="GQ17" s="14" t="str">
        <f ca="1">IF(GQ$1="","",'Total Value'!GQ29/'Total Value'!GP29-1)</f>
        <v/>
      </c>
      <c r="GR17" s="14" t="str">
        <f ca="1">IF(GR$1="","",'Total Value'!GR29/'Total Value'!GQ29-1)</f>
        <v/>
      </c>
      <c r="GS17" s="14" t="str">
        <f ca="1">IF(GS$1="","",'Total Value'!GS29/'Total Value'!GR29-1)</f>
        <v/>
      </c>
      <c r="GT17" s="14" t="str">
        <f ca="1">IF(GT$1="","",'Total Value'!GT29/'Total Value'!GS29-1)</f>
        <v/>
      </c>
      <c r="GU17" s="14" t="str">
        <f ca="1">IF(GU$1="","",'Total Value'!GU29/'Total Value'!GT29-1)</f>
        <v/>
      </c>
      <c r="GV17" s="14" t="str">
        <f ca="1">IF(GV$1="","",'Total Value'!GV29/'Total Value'!GU29-1)</f>
        <v/>
      </c>
      <c r="GW17" s="14" t="str">
        <f ca="1">IF(GW$1="","",'Total Value'!GW29/'Total Value'!GV29-1)</f>
        <v/>
      </c>
      <c r="GX17" s="14" t="str">
        <f ca="1">IF(GX$1="","",'Total Value'!GX29/'Total Value'!GW29-1)</f>
        <v/>
      </c>
      <c r="GY17" s="14" t="str">
        <f ca="1">IF(GY$1="","",'Total Value'!GY29/'Total Value'!GX29-1)</f>
        <v/>
      </c>
      <c r="GZ17" s="14" t="str">
        <f ca="1">IF(GZ$1="","",'Total Value'!GZ29/'Total Value'!GY29-1)</f>
        <v/>
      </c>
      <c r="HA17" s="14" t="str">
        <f ca="1">IF(HA$1="","",'Total Value'!HA29/'Total Value'!GZ29-1)</f>
        <v/>
      </c>
      <c r="HB17" s="14" t="str">
        <f ca="1">IF(HB$1="","",'Total Value'!HB29/'Total Value'!HA29-1)</f>
        <v/>
      </c>
      <c r="HC17" s="14" t="str">
        <f ca="1">IF(HC$1="","",'Total Value'!HC29/'Total Value'!HB29-1)</f>
        <v/>
      </c>
      <c r="HD17" s="14" t="str">
        <f ca="1">IF(HD$1="","",'Total Value'!HD29/'Total Value'!HC29-1)</f>
        <v/>
      </c>
      <c r="HE17" s="14" t="str">
        <f ca="1">IF(HE$1="","",'Total Value'!HE29/'Total Value'!HD29-1)</f>
        <v/>
      </c>
      <c r="HF17" s="14" t="str">
        <f ca="1">IF(HF$1="","",'Total Value'!HF29/'Total Value'!HE29-1)</f>
        <v/>
      </c>
      <c r="HG17" s="14" t="str">
        <f ca="1">IF(HG$1="","",'Total Value'!HG29/'Total Value'!HF29-1)</f>
        <v/>
      </c>
      <c r="HH17" s="14" t="str">
        <f ca="1">IF(HH$1="","",'Total Value'!HH29/'Total Value'!HG29-1)</f>
        <v/>
      </c>
      <c r="HI17" s="14" t="str">
        <f ca="1">IF(HI$1="","",'Total Value'!HI29/'Total Value'!HH29-1)</f>
        <v/>
      </c>
      <c r="HJ17" s="14" t="str">
        <f ca="1">IF(HJ$1="","",'Total Value'!HJ29/'Total Value'!HI29-1)</f>
        <v/>
      </c>
      <c r="HK17" s="14" t="str">
        <f ca="1">IF(HK$1="","",'Total Value'!HK29/'Total Value'!HJ29-1)</f>
        <v/>
      </c>
      <c r="HL17" s="14" t="str">
        <f ca="1">IF(HL$1="","",'Total Value'!HL29/'Total Value'!HK29-1)</f>
        <v/>
      </c>
      <c r="HM17" s="14" t="str">
        <f ca="1">IF(HM$1="","",'Total Value'!HM29/'Total Value'!HL29-1)</f>
        <v/>
      </c>
      <c r="HN17" s="14" t="str">
        <f ca="1">IF(HN$1="","",'Total Value'!HN29/'Total Value'!HM29-1)</f>
        <v/>
      </c>
      <c r="HO17" s="14" t="str">
        <f ca="1">IF(HO$1="","",'Total Value'!HO29/'Total Value'!HN29-1)</f>
        <v/>
      </c>
      <c r="HP17" s="14" t="str">
        <f ca="1">IF(HP$1="","",'Total Value'!HP29/'Total Value'!HO29-1)</f>
        <v/>
      </c>
      <c r="HQ17" s="14" t="str">
        <f ca="1">IF(HQ$1="","",'Total Value'!HQ29/'Total Value'!HP29-1)</f>
        <v/>
      </c>
      <c r="HR17" s="14" t="str">
        <f ca="1">IF(HR$1="","",'Total Value'!HR29/'Total Value'!HQ29-1)</f>
        <v/>
      </c>
      <c r="HS17" s="14" t="str">
        <f ca="1">IF(HS$1="","",'Total Value'!HS29/'Total Value'!HR29-1)</f>
        <v/>
      </c>
      <c r="HT17" s="14" t="str">
        <f ca="1">IF(HT$1="","",'Total Value'!HT29/'Total Value'!HS29-1)</f>
        <v/>
      </c>
      <c r="HU17" s="14" t="str">
        <f ca="1">IF(HU$1="","",'Total Value'!HU29/'Total Value'!HT29-1)</f>
        <v/>
      </c>
      <c r="HV17" s="14" t="str">
        <f ca="1">IF(HV$1="","",'Total Value'!HV29/'Total Value'!HU29-1)</f>
        <v/>
      </c>
      <c r="HW17" s="14" t="str">
        <f ca="1">IF(HW$1="","",'Total Value'!HW29/'Total Value'!HV29-1)</f>
        <v/>
      </c>
      <c r="HX17" s="14" t="str">
        <f ca="1">IF(HX$1="","",'Total Value'!HX29/'Total Value'!HW29-1)</f>
        <v/>
      </c>
      <c r="HY17" s="14" t="str">
        <f ca="1">IF(HY$1="","",'Total Value'!HY29/'Total Value'!HX29-1)</f>
        <v/>
      </c>
      <c r="HZ17" s="14" t="str">
        <f ca="1">IF(HZ$1="","",'Total Value'!HZ29/'Total Value'!HY29-1)</f>
        <v/>
      </c>
      <c r="IA17" s="14" t="str">
        <f ca="1">IF(IA$1="","",'Total Value'!IA29/'Total Value'!HZ29-1)</f>
        <v/>
      </c>
      <c r="IB17" s="14" t="str">
        <f ca="1">IF(IB$1="","",'Total Value'!IB29/'Total Value'!IA29-1)</f>
        <v/>
      </c>
      <c r="IC17" s="14" t="str">
        <f ca="1">IF(IC$1="","",'Total Value'!IC29/'Total Value'!IB29-1)</f>
        <v/>
      </c>
      <c r="ID17" s="14" t="str">
        <f ca="1">IF(ID$1="","",'Total Value'!ID29/'Total Value'!IC29-1)</f>
        <v/>
      </c>
      <c r="IE17" s="14" t="str">
        <f ca="1">IF(IE$1="","",'Total Value'!IE29/'Total Value'!ID29-1)</f>
        <v/>
      </c>
      <c r="IF17" s="14" t="str">
        <f ca="1">IF(IF$1="","",'Total Value'!IF29/'Total Value'!IE29-1)</f>
        <v/>
      </c>
      <c r="IG17" s="14" t="str">
        <f ca="1">IF(IG$1="","",'Total Value'!IG29/'Total Value'!IF29-1)</f>
        <v/>
      </c>
      <c r="IH17" s="14" t="str">
        <f ca="1">IF(IH$1="","",'Total Value'!IH29/'Total Value'!IG29-1)</f>
        <v/>
      </c>
      <c r="II17" s="14" t="str">
        <f ca="1">IF(II$1="","",'Total Value'!II29/'Total Value'!IH29-1)</f>
        <v/>
      </c>
      <c r="IJ17" s="14" t="str">
        <f ca="1">IF(IJ$1="","",'Total Value'!IJ29/'Total Value'!II29-1)</f>
        <v/>
      </c>
      <c r="IK17" s="14" t="str">
        <f ca="1">IF(IK$1="","",'Total Value'!IK29/'Total Value'!IJ29-1)</f>
        <v/>
      </c>
      <c r="IL17" s="14" t="str">
        <f ca="1">IF(IL$1="","",'Total Value'!IL29/'Total Value'!IK29-1)</f>
        <v/>
      </c>
      <c r="IM17" s="14" t="str">
        <f ca="1">IF(IM$1="","",'Total Value'!IM29/'Total Value'!IL29-1)</f>
        <v/>
      </c>
      <c r="IN17" s="14" t="str">
        <f ca="1">IF(IN$1="","",'Total Value'!IN29/'Total Value'!IM29-1)</f>
        <v/>
      </c>
      <c r="IO17" s="14" t="str">
        <f ca="1">IF(IO$1="","",'Total Value'!IO29/'Total Value'!IN29-1)</f>
        <v/>
      </c>
      <c r="IP17" s="14" t="str">
        <f ca="1">IF(IP$1="","",'Total Value'!IP29/'Total Value'!IO29-1)</f>
        <v/>
      </c>
      <c r="IQ17" s="14" t="str">
        <f ca="1">IF(IQ$1="","",'Total Value'!IQ29/'Total Value'!IP29-1)</f>
        <v/>
      </c>
      <c r="IR17" s="14" t="str">
        <f ca="1">IF(IR$1="","",'Total Value'!IR29/'Total Value'!IQ29-1)</f>
        <v/>
      </c>
      <c r="IS17" s="14" t="str">
        <f ca="1">IF(IS$1="","",'Total Value'!IS29/'Total Value'!IR29-1)</f>
        <v/>
      </c>
      <c r="IT17" s="14" t="str">
        <f ca="1">IF(IT$1="","",'Total Value'!IT29/'Total Value'!IS29-1)</f>
        <v/>
      </c>
      <c r="IU17" s="14" t="str">
        <f ca="1">IF(IU$1="","",'Total Value'!IU29/'Total Value'!IT29-1)</f>
        <v/>
      </c>
      <c r="IV17" s="14" t="str">
        <f ca="1">IF(IV$1="","",'Total Value'!IV29/'Total Value'!IU29-1)</f>
        <v/>
      </c>
      <c r="IW17" s="14" t="str">
        <f ca="1">IF(IW$1="","",'Total Value'!IW29/'Total Value'!IV29-1)</f>
        <v/>
      </c>
      <c r="IX17" s="14" t="str">
        <f ca="1">IF(IX$1="","",'Total Value'!IX29/'Total Value'!IW29-1)</f>
        <v/>
      </c>
      <c r="IY17" s="14" t="str">
        <f ca="1">IF(IY$1="","",'Total Value'!IY29/'Total Value'!IX29-1)</f>
        <v/>
      </c>
      <c r="IZ17" s="14" t="str">
        <f ca="1">IF(IZ$1="","",'Total Value'!IZ29/'Total Value'!IY29-1)</f>
        <v/>
      </c>
      <c r="JA17" s="14" t="str">
        <f ca="1">IF(JA$1="","",'Total Value'!JA29/'Total Value'!IZ29-1)</f>
        <v/>
      </c>
      <c r="JB17" s="14" t="str">
        <f ca="1">IF(JB$1="","",'Total Value'!JB29/'Total Value'!JA29-1)</f>
        <v/>
      </c>
      <c r="JC17" s="14" t="str">
        <f ca="1">IF(JC$1="","",'Total Value'!JC29/'Total Value'!JB29-1)</f>
        <v/>
      </c>
      <c r="JD17" s="14" t="str">
        <f ca="1">IF(JD$1="","",'Total Value'!JD29/'Total Value'!JC29-1)</f>
        <v/>
      </c>
      <c r="JE17" s="14" t="str">
        <f ca="1">IF(JE$1="","",'Total Value'!JE29/'Total Value'!JD29-1)</f>
        <v/>
      </c>
      <c r="JF17" s="14" t="str">
        <f ca="1">IF(JF$1="","",'Total Value'!JF29/'Total Value'!JE29-1)</f>
        <v/>
      </c>
      <c r="JG17" s="14" t="str">
        <f ca="1">IF(JG$1="","",'Total Value'!JG29/'Total Value'!JF29-1)</f>
        <v/>
      </c>
      <c r="JH17" s="14" t="str">
        <f ca="1">IF(JH$1="","",'Total Value'!JH29/'Total Value'!JG29-1)</f>
        <v/>
      </c>
      <c r="JI17" s="14" t="str">
        <f ca="1">IF(JI$1="","",'Total Value'!JI29/'Total Value'!JH29-1)</f>
        <v/>
      </c>
      <c r="JJ17" s="14" t="str">
        <f ca="1">IF(JJ$1="","",'Total Value'!JJ29/'Total Value'!JI29-1)</f>
        <v/>
      </c>
      <c r="JK17" s="14" t="str">
        <f ca="1">IF(JK$1="","",'Total Value'!JK29/'Total Value'!JJ29-1)</f>
        <v/>
      </c>
      <c r="JL17" s="14" t="str">
        <f ca="1">IF(JL$1="","",'Total Value'!JL29/'Total Value'!JK29-1)</f>
        <v/>
      </c>
      <c r="JM17" s="14" t="str">
        <f ca="1">IF(JM$1="","",'Total Value'!JM29/'Total Value'!JL29-1)</f>
        <v/>
      </c>
      <c r="JN17" s="14" t="str">
        <f ca="1">IF(JN$1="","",'Total Value'!JN29/'Total Value'!JM29-1)</f>
        <v/>
      </c>
      <c r="JO17" s="14" t="str">
        <f ca="1">IF(JO$1="","",'Total Value'!JO29/'Total Value'!JN29-1)</f>
        <v/>
      </c>
      <c r="JP17" s="14" t="str">
        <f ca="1">IF(JP$1="","",'Total Value'!JP29/'Total Value'!JO29-1)</f>
        <v/>
      </c>
      <c r="JQ17" s="14" t="str">
        <f ca="1">IF(JQ$1="","",'Total Value'!JQ29/'Total Value'!JP29-1)</f>
        <v/>
      </c>
      <c r="JR17" s="14" t="str">
        <f ca="1">IF(JR$1="","",'Total Value'!JR29/'Total Value'!JQ29-1)</f>
        <v/>
      </c>
      <c r="JS17" s="14" t="str">
        <f ca="1">IF(JS$1="","",'Total Value'!JS29/'Total Value'!JR29-1)</f>
        <v/>
      </c>
      <c r="JT17" s="14" t="str">
        <f ca="1">IF(JT$1="","",'Total Value'!JT29/'Total Value'!JS29-1)</f>
        <v/>
      </c>
      <c r="JU17" s="14" t="str">
        <f ca="1">IF(JU$1="","",'Total Value'!JU29/'Total Value'!JT29-1)</f>
        <v/>
      </c>
      <c r="JV17" s="14" t="str">
        <f ca="1">IF(JV$1="","",'Total Value'!JV29/'Total Value'!JU29-1)</f>
        <v/>
      </c>
      <c r="JW17" s="14" t="str">
        <f ca="1">IF(JW$1="","",'Total Value'!JW29/'Total Value'!JV29-1)</f>
        <v/>
      </c>
      <c r="JX17" s="14" t="str">
        <f ca="1">IF(JX$1="","",'Total Value'!JX29/'Total Value'!JW29-1)</f>
        <v/>
      </c>
      <c r="JY17" s="14" t="str">
        <f ca="1">IF(JY$1="","",'Total Value'!JY29/'Total Value'!JX29-1)</f>
        <v/>
      </c>
      <c r="JZ17" s="14" t="str">
        <f ca="1">IF(JZ$1="","",'Total Value'!JZ29/'Total Value'!JY29-1)</f>
        <v/>
      </c>
      <c r="KA17" s="14" t="str">
        <f ca="1">IF(KA$1="","",'Total Value'!KA29/'Total Value'!JZ29-1)</f>
        <v/>
      </c>
      <c r="KB17" s="14" t="str">
        <f ca="1">IF(KB$1="","",'Total Value'!KB29/'Total Value'!KA29-1)</f>
        <v/>
      </c>
    </row>
    <row r="18" spans="1:288" ht="15.75" customHeight="1">
      <c r="A18" s="22" t="s">
        <v>30</v>
      </c>
      <c r="B18" s="6" t="s">
        <v>63</v>
      </c>
      <c r="C18" s="26">
        <v>37</v>
      </c>
      <c r="D18" s="13">
        <v>0</v>
      </c>
      <c r="E18" s="14">
        <f ca="1">IF(E$1="","",'Total Value'!E30/'Total Value'!D30-1)</f>
        <v>6.0642813826561337E-3</v>
      </c>
      <c r="F18" s="14">
        <f ca="1">IF(F$1="","",'Total Value'!F30/'Total Value'!E30-1)</f>
        <v>9.3429776974081058E-3</v>
      </c>
      <c r="G18" s="14">
        <f ca="1">IF(G$1="","",'Total Value'!G30/'Total Value'!F30-1)</f>
        <v>1.1943863839951607E-3</v>
      </c>
      <c r="H18" s="14">
        <f ca="1">IF(H$1="","",'Total Value'!H30/'Total Value'!G30-1)</f>
        <v>-1.033899990058651E-2</v>
      </c>
      <c r="I18" s="14">
        <f ca="1">IF(I$1="","",'Total Value'!I30/'Total Value'!H30-1)</f>
        <v>-1.5770969362129517E-2</v>
      </c>
      <c r="J18" s="14">
        <f ca="1">IF(J$1="","",'Total Value'!J30/'Total Value'!I30-1)</f>
        <v>-1.0410287813839569E-2</v>
      </c>
      <c r="K18" s="14">
        <f ca="1">IF(K$1="","",'Total Value'!K30/'Total Value'!J30-1)</f>
        <v>-1.371699669966997E-2</v>
      </c>
      <c r="L18" s="14">
        <f ca="1">IF(L$1="","",'Total Value'!L30/'Total Value'!K30-1)</f>
        <v>-1.8927114922095645E-2</v>
      </c>
      <c r="M18" s="14">
        <f ca="1">IF(M$1="","",'Total Value'!M30/'Total Value'!L30-1)</f>
        <v>1.2577275634193308E-2</v>
      </c>
      <c r="N18" s="14">
        <f ca="1">IF(N$1="","",'Total Value'!N30/'Total Value'!M30-1)</f>
        <v>-2.2631578947368447E-2</v>
      </c>
      <c r="O18" s="14">
        <f ca="1">IF(O$1="","",'Total Value'!O30/'Total Value'!N30-1)</f>
        <v>-4.2003231017769815E-3</v>
      </c>
      <c r="P18" s="14">
        <f ca="1">IF(P$1="","",'Total Value'!P30/'Total Value'!O30-1)</f>
        <v>-2.5091931646117338E-2</v>
      </c>
      <c r="Q18" s="14">
        <f ca="1">IF(Q$1="","",'Total Value'!Q30/'Total Value'!P30-1)</f>
        <v>5.1031728422454847E-3</v>
      </c>
      <c r="R18" s="14">
        <f ca="1">IF(R$1="","",'Total Value'!R30/'Total Value'!Q30-1)</f>
        <v>1.4569536423841178E-2</v>
      </c>
      <c r="S18" s="14">
        <f ca="1">IF(S$1="","",'Total Value'!S30/'Total Value'!R30-1)</f>
        <v>9.4647519582244932E-3</v>
      </c>
      <c r="T18" s="14">
        <f ca="1">IF(T$1="","",'Total Value'!T30/'Total Value'!S30-1)</f>
        <v>6.250673563961584E-3</v>
      </c>
      <c r="U18" s="14">
        <f ca="1">IF(U$1="","",'Total Value'!U30/'Total Value'!T30-1)</f>
        <v>-9.1035664560351615E-3</v>
      </c>
      <c r="V18" s="14">
        <f ca="1">IF(V$1="","",'Total Value'!V30/'Total Value'!U30-1)</f>
        <v>-5.6204063986164954E-3</v>
      </c>
      <c r="W18" s="14">
        <f ca="1">IF(W$1="","",'Total Value'!W30/'Total Value'!V30-1)</f>
        <v>8.5869565217391308E-3</v>
      </c>
      <c r="X18" s="14">
        <f ca="1">IF(X$1="","",'Total Value'!X30/'Total Value'!W30-1)</f>
        <v>1.4010130401982845E-2</v>
      </c>
      <c r="Y18" s="14">
        <f ca="1">IF(Y$1="","",'Total Value'!Y30/'Total Value'!X30-1)</f>
        <v>1.0202997130406954E-2</v>
      </c>
      <c r="Z18" s="14">
        <f ca="1">IF(Z$1="","",'Total Value'!Z30/'Total Value'!Y30-1)</f>
        <v>-4.0294581799053097E-2</v>
      </c>
      <c r="AA18" s="14">
        <f ca="1">IF(AA$1="","",'Total Value'!AA30/'Total Value'!Z30-1)</f>
        <v>-4.5823284367463191E-2</v>
      </c>
      <c r="AB18" s="14">
        <f ca="1">IF(AB$1="","",'Total Value'!AB30/'Total Value'!AA30-1)</f>
        <v>-4.5955882352943789E-4</v>
      </c>
      <c r="AC18" s="14">
        <f ca="1">IF(AC$1="","",'Total Value'!AC30/'Total Value'!AB30-1)</f>
        <v>1.6206896551724137E-2</v>
      </c>
      <c r="AD18" s="14">
        <f ca="1">IF(AD$1="","",'Total Value'!AD30/'Total Value'!AC30-1)</f>
        <v>7.9176563737133332E-3</v>
      </c>
      <c r="AE18" s="14">
        <f ca="1">IF(AE$1="","",'Total Value'!AE30/'Total Value'!AD30-1)</f>
        <v>-9.9876557064303428E-3</v>
      </c>
      <c r="AF18" s="14">
        <f ca="1">IF(AF$1="","",'Total Value'!AF30/'Total Value'!AE30-1)</f>
        <v>-9.6350034005894258E-3</v>
      </c>
      <c r="AG18" s="14">
        <f ca="1">IF(AG$1="","",'Total Value'!AG30/'Total Value'!AF30-1)</f>
        <v>-8.1263591621838493E-3</v>
      </c>
      <c r="AH18" s="14">
        <f ca="1">IF(AH$1="","",'Total Value'!AH30/'Total Value'!AG30-1)</f>
        <v>-1.9386106623586419E-2</v>
      </c>
      <c r="AI18" s="14">
        <f ca="1">IF(AI$1="","",'Total Value'!AI30/'Total Value'!AH30-1)</f>
        <v>1.0826076723934985E-2</v>
      </c>
      <c r="AJ18" s="14">
        <f ca="1">IF(AJ$1="","",'Total Value'!AJ30/'Total Value'!AI30-1)</f>
        <v>3.0500582072176874E-2</v>
      </c>
      <c r="AK18" s="14">
        <f ca="1">IF(AK$1="","",'Total Value'!AK30/'Total Value'!AJ30-1)</f>
        <v>-7.3429733393582941E-3</v>
      </c>
      <c r="AL18" s="14">
        <f ca="1">IF(AL$1="","",'Total Value'!AL30/'Total Value'!AK30-1)</f>
        <v>-4.4269944235802883E-2</v>
      </c>
      <c r="AM18" s="14">
        <f ca="1">IF(AM$1="","",'Total Value'!AM30/'Total Value'!AL30-1)</f>
        <v>1.98856870683497E-2</v>
      </c>
      <c r="AN18" s="14">
        <f ca="1">IF(AN$1="","",'Total Value'!AN30/'Total Value'!AM30-1)</f>
        <v>-6.3047285464098435E-3</v>
      </c>
      <c r="AO18" s="14">
        <f ca="1">IF(AO$1="","",'Total Value'!AO30/'Total Value'!AN30-1)</f>
        <v>-6.1332393373281779E-2</v>
      </c>
      <c r="AP18" s="14">
        <f ca="1">IF(AP$1="","",'Total Value'!AP30/'Total Value'!AO30-1)</f>
        <v>-4.9693328326448793E-2</v>
      </c>
      <c r="AQ18" s="14">
        <f ca="1">IF(AQ$1="","",'Total Value'!AQ30/'Total Value'!AP30-1)</f>
        <v>1.1327713382508042E-2</v>
      </c>
      <c r="AR18" s="14">
        <f ca="1">IF(AR$1="","",'Total Value'!AR30/'Total Value'!AQ30-1)</f>
        <v>2.9044021880698212E-2</v>
      </c>
      <c r="AS18" s="14">
        <f ca="1">IF(AS$1="","",'Total Value'!AS30/'Total Value'!AR30-1)</f>
        <v>-9.4924693076825495E-3</v>
      </c>
      <c r="AT18" s="14">
        <f ca="1">IF(AT$1="","",'Total Value'!AT30/'Total Value'!AS30-1)</f>
        <v>-2.5044722719141488E-2</v>
      </c>
      <c r="AU18" s="14">
        <f ca="1">IF(AU$1="","",'Total Value'!AU30/'Total Value'!AT30-1)</f>
        <v>-6.0288335517693081E-3</v>
      </c>
      <c r="AV18" s="14">
        <f ca="1">IF(AV$1="","",'Total Value'!AV30/'Total Value'!AU30-1)</f>
        <v>1.1339662447257481E-2</v>
      </c>
      <c r="AW18" s="14">
        <f ca="1">IF(AW$1="","",'Total Value'!AW30/'Total Value'!AV30-1)</f>
        <v>3.8461538461538547E-2</v>
      </c>
      <c r="AX18" s="14">
        <f ca="1">IF(AX$1="","",'Total Value'!AX30/'Total Value'!AW30-1)</f>
        <v>6.6541117388574378E-3</v>
      </c>
      <c r="AY18" s="14">
        <f ca="1">IF(AY$1="","",'Total Value'!AY30/'Total Value'!AX30-1)</f>
        <v>1.4841606385632256E-2</v>
      </c>
      <c r="AZ18" s="14">
        <f ca="1">IF(AZ$1="","",'Total Value'!AZ30/'Total Value'!AY30-1)</f>
        <v>-8.6026791200688457E-3</v>
      </c>
      <c r="BA18" s="14">
        <f ca="1">IF(BA$1="","",'Total Value'!BA30/'Total Value'!AZ30-1)</f>
        <v>-2.4792363951903207E-3</v>
      </c>
      <c r="BB18" s="14">
        <f ca="1">IF(BB$1="","",'Total Value'!BB30/'Total Value'!BA30-1)</f>
        <v>-2.4481173107990473E-2</v>
      </c>
      <c r="BC18" s="14">
        <f ca="1">IF(BC$1="","",'Total Value'!BC30/'Total Value'!BB30-1)</f>
        <v>-3.8216560509554132E-3</v>
      </c>
      <c r="BD18" s="14">
        <f ca="1">IF(BD$1="","",'Total Value'!BD30/'Total Value'!BC30-1)</f>
        <v>-5.498721227621628E-3</v>
      </c>
      <c r="BE18" s="14">
        <f ca="1">IF(BE$1="","",'Total Value'!BE30/'Total Value'!BD30-1)</f>
        <v>-1.3887102996013923E-2</v>
      </c>
      <c r="BF18" s="14">
        <f ca="1">IF(BF$1="","",'Total Value'!BF30/'Total Value'!BE30-1)</f>
        <v>3.9509714434737386E-2</v>
      </c>
      <c r="BG18" s="14">
        <f ca="1">IF(BG$1="","",'Total Value'!BG30/'Total Value'!BF30-1)</f>
        <v>-2.9101856497741996E-2</v>
      </c>
      <c r="BH18" s="14">
        <f ca="1">IF(BH$1="","",'Total Value'!BH30/'Total Value'!BG30-1)</f>
        <v>-2.8294573643410925E-2</v>
      </c>
      <c r="BI18" s="14">
        <f ca="1">IF(BI$1="","",'Total Value'!BI30/'Total Value'!BH30-1)</f>
        <v>1.1168727562824055E-2</v>
      </c>
      <c r="BJ18" s="14">
        <f ca="1">IF(BJ$1="","",'Total Value'!BJ30/'Total Value'!BI30-1)</f>
        <v>2.629848783694877E-3</v>
      </c>
      <c r="BK18" s="14">
        <f ca="1">IF(BK$1="","",'Total Value'!BK30/'Total Value'!BJ30-1)</f>
        <v>-2.4918032786885314E-2</v>
      </c>
      <c r="BL18" s="14">
        <f ca="1">IF(BL$1="","",'Total Value'!BL30/'Total Value'!BK30-1)</f>
        <v>-2.5823806321452425E-2</v>
      </c>
      <c r="BM18" s="14">
        <f ca="1">IF(BM$1="","",'Total Value'!BM30/'Total Value'!BL30-1)</f>
        <v>-1.2563854756316606E-2</v>
      </c>
      <c r="BN18" s="14">
        <f ca="1">IF(BN$1="","",'Total Value'!BN30/'Total Value'!BM30-1)</f>
        <v>3.0760626398209645E-3</v>
      </c>
      <c r="BO18" s="14">
        <f ca="1">IF(BO$1="","",'Total Value'!BO30/'Total Value'!BN30-1)</f>
        <v>-1.0454418734318405E-2</v>
      </c>
      <c r="BP18" s="14">
        <f ca="1">IF(BP$1="","",'Total Value'!BP30/'Total Value'!BO30-1)</f>
        <v>-5.0711367798280671E-3</v>
      </c>
      <c r="BQ18" s="14">
        <f ca="1">IF(BQ$1="","",'Total Value'!BQ30/'Total Value'!BP30-1)</f>
        <v>2.2653263485771014E-2</v>
      </c>
      <c r="BR18" s="14">
        <f ca="1">IF(BR$1="","",'Total Value'!BR30/'Total Value'!BQ30-1)</f>
        <v>0</v>
      </c>
      <c r="BS18" s="14">
        <f ca="1">IF(BS$1="","",'Total Value'!BS30/'Total Value'!BR30-1)</f>
        <v>-1.0521943790668842E-2</v>
      </c>
      <c r="BT18" s="14">
        <f ca="1">IF(BT$1="","",'Total Value'!BT30/'Total Value'!BS30-1)</f>
        <v>3.1621659437526262E-2</v>
      </c>
      <c r="BU18" s="14">
        <f ca="1">IF(BU$1="","",'Total Value'!BU30/'Total Value'!BT30-1)</f>
        <v>1.6411230164112167E-2</v>
      </c>
      <c r="BV18" s="14">
        <f ca="1">IF(BV$1="","",'Total Value'!BV30/'Total Value'!BU30-1)</f>
        <v>-8.4067253803040698E-3</v>
      </c>
      <c r="BW18" s="14">
        <f ca="1">IF(BW$1="","",'Total Value'!BW30/'Total Value'!BV30-1)</f>
        <v>-2.2877136320818225E-2</v>
      </c>
      <c r="BX18" s="14">
        <f ca="1">IF(BX$1="","",'Total Value'!BX30/'Total Value'!BW30-1)</f>
        <v>6.7483817655968892E-3</v>
      </c>
      <c r="BY18" s="14">
        <f ca="1">IF(BY$1="","",'Total Value'!BY30/'Total Value'!BX30-1)</f>
        <v>-4.0492476060191462E-2</v>
      </c>
      <c r="BZ18" s="14">
        <f ca="1">IF(BZ$1="","",'Total Value'!BZ30/'Total Value'!BY30-1)</f>
        <v>-1.19760479041916E-2</v>
      </c>
      <c r="CA18" s="14">
        <f ca="1">IF(CA$1="","",'Total Value'!CA30/'Total Value'!BZ30-1)</f>
        <v>3.4632034632034792E-2</v>
      </c>
      <c r="CB18" s="14">
        <f ca="1">IF(CB$1="","",'Total Value'!CB30/'Total Value'!CA30-1)</f>
        <v>-2.0641562064156238E-2</v>
      </c>
      <c r="CC18" s="14">
        <f ca="1">IF(CC$1="","",'Total Value'!CC30/'Total Value'!CB30-1)</f>
        <v>1.7516377100541325E-2</v>
      </c>
      <c r="CD18" s="14">
        <f ca="1">IF(CD$1="","",'Total Value'!CD30/'Total Value'!CC30-1)</f>
        <v>2.0573827851644522E-2</v>
      </c>
      <c r="CE18" s="14">
        <f ca="1">IF(CE$1="","",'Total Value'!CE30/'Total Value'!CD30-1)</f>
        <v>4.5117937465715796E-2</v>
      </c>
      <c r="CF18" s="14" t="str">
        <f ca="1">IF(CF$1="","",'Total Value'!CF30/'Total Value'!CE30-1)</f>
        <v/>
      </c>
      <c r="CG18" s="14" t="str">
        <f ca="1">IF(CG$1="","",'Total Value'!CG30/'Total Value'!CF30-1)</f>
        <v/>
      </c>
      <c r="CH18" s="14" t="str">
        <f ca="1">IF(CH$1="","",'Total Value'!CH30/'Total Value'!CG30-1)</f>
        <v/>
      </c>
      <c r="CI18" s="14" t="str">
        <f ca="1">IF(CI$1="","",'Total Value'!CI30/'Total Value'!CH30-1)</f>
        <v/>
      </c>
      <c r="CJ18" s="14" t="str">
        <f ca="1">IF(CJ$1="","",'Total Value'!CJ30/'Total Value'!CI30-1)</f>
        <v/>
      </c>
      <c r="CK18" s="14" t="str">
        <f ca="1">IF(CK$1="","",'Total Value'!CK30/'Total Value'!CJ30-1)</f>
        <v/>
      </c>
      <c r="CL18" s="14" t="str">
        <f ca="1">IF(CL$1="","",'Total Value'!CL30/'Total Value'!CK30-1)</f>
        <v/>
      </c>
      <c r="CM18" s="14" t="str">
        <f ca="1">IF(CM$1="","",'Total Value'!CM30/'Total Value'!CL30-1)</f>
        <v/>
      </c>
      <c r="CN18" s="14" t="str">
        <f ca="1">IF(CN$1="","",'Total Value'!CN30/'Total Value'!CM30-1)</f>
        <v/>
      </c>
      <c r="CO18" s="14" t="str">
        <f ca="1">IF(CO$1="","",'Total Value'!CO30/'Total Value'!CN30-1)</f>
        <v/>
      </c>
      <c r="CP18" s="14" t="str">
        <f ca="1">IF(CP$1="","",'Total Value'!CP30/'Total Value'!CO30-1)</f>
        <v/>
      </c>
      <c r="CQ18" s="14" t="str">
        <f ca="1">IF(CQ$1="","",'Total Value'!CQ30/'Total Value'!CP30-1)</f>
        <v/>
      </c>
      <c r="CR18" s="14" t="str">
        <f ca="1">IF(CR$1="","",'Total Value'!CR30/'Total Value'!CQ30-1)</f>
        <v/>
      </c>
      <c r="CS18" s="14" t="str">
        <f ca="1">IF(CS$1="","",'Total Value'!CS30/'Total Value'!CR30-1)</f>
        <v/>
      </c>
      <c r="CT18" s="14" t="str">
        <f ca="1">IF(CT$1="","",'Total Value'!CT30/'Total Value'!CS30-1)</f>
        <v/>
      </c>
      <c r="CU18" s="14" t="str">
        <f ca="1">IF(CU$1="","",'Total Value'!CU30/'Total Value'!CT30-1)</f>
        <v/>
      </c>
      <c r="CV18" s="14" t="str">
        <f ca="1">IF(CV$1="","",'Total Value'!CV30/'Total Value'!CU30-1)</f>
        <v/>
      </c>
      <c r="CW18" s="14" t="str">
        <f ca="1">IF(CW$1="","",'Total Value'!CW30/'Total Value'!CV30-1)</f>
        <v/>
      </c>
      <c r="CX18" s="14" t="str">
        <f ca="1">IF(CX$1="","",'Total Value'!CX30/'Total Value'!CW30-1)</f>
        <v/>
      </c>
      <c r="CY18" s="14" t="str">
        <f ca="1">IF(CY$1="","",'Total Value'!CY30/'Total Value'!CX30-1)</f>
        <v/>
      </c>
      <c r="CZ18" s="14" t="str">
        <f ca="1">IF(CZ$1="","",'Total Value'!CZ30/'Total Value'!CY30-1)</f>
        <v/>
      </c>
      <c r="DA18" s="14" t="str">
        <f ca="1">IF(DA$1="","",'Total Value'!DA30/'Total Value'!CZ30-1)</f>
        <v/>
      </c>
      <c r="DB18" s="14" t="str">
        <f ca="1">IF(DB$1="","",'Total Value'!DB30/'Total Value'!DA30-1)</f>
        <v/>
      </c>
      <c r="DC18" s="14" t="str">
        <f ca="1">IF(DC$1="","",'Total Value'!DC30/'Total Value'!DB30-1)</f>
        <v/>
      </c>
      <c r="DD18" s="14" t="str">
        <f ca="1">IF(DD$1="","",'Total Value'!DD30/'Total Value'!DC30-1)</f>
        <v/>
      </c>
      <c r="DE18" s="14" t="str">
        <f ca="1">IF(DE$1="","",'Total Value'!DE30/'Total Value'!DD30-1)</f>
        <v/>
      </c>
      <c r="DF18" s="14" t="str">
        <f ca="1">IF(DF$1="","",'Total Value'!DF30/'Total Value'!DE30-1)</f>
        <v/>
      </c>
      <c r="DG18" s="14" t="str">
        <f ca="1">IF(DG$1="","",'Total Value'!DG30/'Total Value'!DF30-1)</f>
        <v/>
      </c>
      <c r="DH18" s="14" t="str">
        <f ca="1">IF(DH$1="","",'Total Value'!DH30/'Total Value'!DG30-1)</f>
        <v/>
      </c>
      <c r="DI18" s="14" t="str">
        <f ca="1">IF(DI$1="","",'Total Value'!DI30/'Total Value'!DH30-1)</f>
        <v/>
      </c>
      <c r="DJ18" s="14" t="str">
        <f ca="1">IF(DJ$1="","",'Total Value'!DJ30/'Total Value'!DI30-1)</f>
        <v/>
      </c>
      <c r="DK18" s="14" t="str">
        <f ca="1">IF(DK$1="","",'Total Value'!DK30/'Total Value'!DJ30-1)</f>
        <v/>
      </c>
      <c r="DL18" s="14" t="str">
        <f ca="1">IF(DL$1="","",'Total Value'!DL30/'Total Value'!DK30-1)</f>
        <v/>
      </c>
      <c r="DM18" s="14" t="str">
        <f ca="1">IF(DM$1="","",'Total Value'!DM30/'Total Value'!DL30-1)</f>
        <v/>
      </c>
      <c r="DN18" s="14" t="str">
        <f ca="1">IF(DN$1="","",'Total Value'!DN30/'Total Value'!DM30-1)</f>
        <v/>
      </c>
      <c r="DO18" s="14" t="str">
        <f ca="1">IF(DO$1="","",'Total Value'!DO30/'Total Value'!DN30-1)</f>
        <v/>
      </c>
      <c r="DP18" s="14" t="str">
        <f ca="1">IF(DP$1="","",'Total Value'!DP30/'Total Value'!DO30-1)</f>
        <v/>
      </c>
      <c r="DQ18" s="14" t="str">
        <f ca="1">IF(DQ$1="","",'Total Value'!DQ30/'Total Value'!DP30-1)</f>
        <v/>
      </c>
      <c r="DR18" s="14" t="str">
        <f ca="1">IF(DR$1="","",'Total Value'!DR30/'Total Value'!DQ30-1)</f>
        <v/>
      </c>
      <c r="DS18" s="14" t="str">
        <f ca="1">IF(DS$1="","",'Total Value'!DS30/'Total Value'!DR30-1)</f>
        <v/>
      </c>
      <c r="DT18" s="14" t="str">
        <f ca="1">IF(DT$1="","",'Total Value'!DT30/'Total Value'!DS30-1)</f>
        <v/>
      </c>
      <c r="DU18" s="14" t="str">
        <f ca="1">IF(DU$1="","",'Total Value'!DU30/'Total Value'!DT30-1)</f>
        <v/>
      </c>
      <c r="DV18" s="14" t="str">
        <f ca="1">IF(DV$1="","",'Total Value'!DV30/'Total Value'!DU30-1)</f>
        <v/>
      </c>
      <c r="DW18" s="14" t="str">
        <f ca="1">IF(DW$1="","",'Total Value'!DW30/'Total Value'!DV30-1)</f>
        <v/>
      </c>
      <c r="DX18" s="14" t="str">
        <f ca="1">IF(DX$1="","",'Total Value'!DX30/'Total Value'!DW30-1)</f>
        <v/>
      </c>
      <c r="DY18" s="14" t="str">
        <f ca="1">IF(DY$1="","",'Total Value'!DY30/'Total Value'!DX30-1)</f>
        <v/>
      </c>
      <c r="DZ18" s="14" t="str">
        <f ca="1">IF(DZ$1="","",'Total Value'!DZ30/'Total Value'!DY30-1)</f>
        <v/>
      </c>
      <c r="EA18" s="14" t="str">
        <f ca="1">IF(EA$1="","",'Total Value'!EA30/'Total Value'!DZ30-1)</f>
        <v/>
      </c>
      <c r="EB18" s="14" t="str">
        <f ca="1">IF(EB$1="","",'Total Value'!EB30/'Total Value'!EA30-1)</f>
        <v/>
      </c>
      <c r="EC18" s="14" t="str">
        <f ca="1">IF(EC$1="","",'Total Value'!EC30/'Total Value'!EB30-1)</f>
        <v/>
      </c>
      <c r="ED18" s="14" t="str">
        <f ca="1">IF(ED$1="","",'Total Value'!ED30/'Total Value'!EC30-1)</f>
        <v/>
      </c>
      <c r="EE18" s="14" t="str">
        <f ca="1">IF(EE$1="","",'Total Value'!EE30/'Total Value'!ED30-1)</f>
        <v/>
      </c>
      <c r="EF18" s="14" t="str">
        <f ca="1">IF(EF$1="","",'Total Value'!EF30/'Total Value'!EE30-1)</f>
        <v/>
      </c>
      <c r="EG18" s="14" t="str">
        <f ca="1">IF(EG$1="","",'Total Value'!EG30/'Total Value'!EF30-1)</f>
        <v/>
      </c>
      <c r="EH18" s="14" t="str">
        <f ca="1">IF(EH$1="","",'Total Value'!EH30/'Total Value'!EG30-1)</f>
        <v/>
      </c>
      <c r="EI18" s="14" t="str">
        <f ca="1">IF(EI$1="","",'Total Value'!EI30/'Total Value'!EH30-1)</f>
        <v/>
      </c>
      <c r="EJ18" s="14" t="str">
        <f ca="1">IF(EJ$1="","",'Total Value'!EJ30/'Total Value'!EI30-1)</f>
        <v/>
      </c>
      <c r="EK18" s="14" t="str">
        <f ca="1">IF(EK$1="","",'Total Value'!EK30/'Total Value'!EJ30-1)</f>
        <v/>
      </c>
      <c r="EL18" s="14" t="str">
        <f ca="1">IF(EL$1="","",'Total Value'!EL30/'Total Value'!EK30-1)</f>
        <v/>
      </c>
      <c r="EM18" s="14" t="str">
        <f ca="1">IF(EM$1="","",'Total Value'!EM30/'Total Value'!EL30-1)</f>
        <v/>
      </c>
      <c r="EN18" s="14" t="str">
        <f ca="1">IF(EN$1="","",'Total Value'!EN30/'Total Value'!EM30-1)</f>
        <v/>
      </c>
      <c r="EO18" s="14" t="str">
        <f ca="1">IF(EO$1="","",'Total Value'!EO30/'Total Value'!EN30-1)</f>
        <v/>
      </c>
      <c r="EP18" s="14" t="str">
        <f ca="1">IF(EP$1="","",'Total Value'!EP30/'Total Value'!EO30-1)</f>
        <v/>
      </c>
      <c r="EQ18" s="14" t="str">
        <f ca="1">IF(EQ$1="","",'Total Value'!EQ30/'Total Value'!EP30-1)</f>
        <v/>
      </c>
      <c r="ER18" s="14" t="str">
        <f ca="1">IF(ER$1="","",'Total Value'!ER30/'Total Value'!EQ30-1)</f>
        <v/>
      </c>
      <c r="ES18" s="14" t="str">
        <f ca="1">IF(ES$1="","",'Total Value'!ES30/'Total Value'!ER30-1)</f>
        <v/>
      </c>
      <c r="ET18" s="14" t="str">
        <f ca="1">IF(ET$1="","",'Total Value'!ET30/'Total Value'!ES30-1)</f>
        <v/>
      </c>
      <c r="EU18" s="14" t="str">
        <f ca="1">IF(EU$1="","",'Total Value'!EU30/'Total Value'!ET30-1)</f>
        <v/>
      </c>
      <c r="EV18" s="14" t="str">
        <f ca="1">IF(EV$1="","",'Total Value'!EV30/'Total Value'!EU30-1)</f>
        <v/>
      </c>
      <c r="EW18" s="14" t="str">
        <f ca="1">IF(EW$1="","",'Total Value'!EW30/'Total Value'!EV30-1)</f>
        <v/>
      </c>
      <c r="EX18" s="14" t="str">
        <f ca="1">IF(EX$1="","",'Total Value'!EX30/'Total Value'!EW30-1)</f>
        <v/>
      </c>
      <c r="EY18" s="14" t="str">
        <f ca="1">IF(EY$1="","",'Total Value'!EY30/'Total Value'!EX30-1)</f>
        <v/>
      </c>
      <c r="EZ18" s="14" t="str">
        <f ca="1">IF(EZ$1="","",'Total Value'!EZ30/'Total Value'!EY30-1)</f>
        <v/>
      </c>
      <c r="FA18" s="14" t="str">
        <f ca="1">IF(FA$1="","",'Total Value'!FA30/'Total Value'!EZ30-1)</f>
        <v/>
      </c>
      <c r="FB18" s="14" t="str">
        <f ca="1">IF(FB$1="","",'Total Value'!FB30/'Total Value'!FA30-1)</f>
        <v/>
      </c>
      <c r="FC18" s="14" t="str">
        <f ca="1">IF(FC$1="","",'Total Value'!FC30/'Total Value'!FB30-1)</f>
        <v/>
      </c>
      <c r="FD18" s="14" t="str">
        <f ca="1">IF(FD$1="","",'Total Value'!FD30/'Total Value'!FC30-1)</f>
        <v/>
      </c>
      <c r="FE18" s="14" t="str">
        <f ca="1">IF(FE$1="","",'Total Value'!FE30/'Total Value'!FD30-1)</f>
        <v/>
      </c>
      <c r="FF18" s="14" t="str">
        <f ca="1">IF(FF$1="","",'Total Value'!FF30/'Total Value'!FE30-1)</f>
        <v/>
      </c>
      <c r="FG18" s="14" t="str">
        <f ca="1">IF(FG$1="","",'Total Value'!FG30/'Total Value'!FF30-1)</f>
        <v/>
      </c>
      <c r="FH18" s="14" t="str">
        <f ca="1">IF(FH$1="","",'Total Value'!FH30/'Total Value'!FG30-1)</f>
        <v/>
      </c>
      <c r="FI18" s="14" t="str">
        <f ca="1">IF(FI$1="","",'Total Value'!FI30/'Total Value'!FH30-1)</f>
        <v/>
      </c>
      <c r="FJ18" s="14" t="str">
        <f ca="1">IF(FJ$1="","",'Total Value'!FJ30/'Total Value'!FI30-1)</f>
        <v/>
      </c>
      <c r="FK18" s="14" t="str">
        <f ca="1">IF(FK$1="","",'Total Value'!FK30/'Total Value'!FJ30-1)</f>
        <v/>
      </c>
      <c r="FL18" s="14" t="str">
        <f ca="1">IF(FL$1="","",'Total Value'!FL30/'Total Value'!FK30-1)</f>
        <v/>
      </c>
      <c r="FM18" s="14" t="str">
        <f ca="1">IF(FM$1="","",'Total Value'!FM30/'Total Value'!FL30-1)</f>
        <v/>
      </c>
      <c r="FN18" s="14" t="str">
        <f ca="1">IF(FN$1="","",'Total Value'!FN30/'Total Value'!FM30-1)</f>
        <v/>
      </c>
      <c r="FO18" s="14" t="str">
        <f ca="1">IF(FO$1="","",'Total Value'!FO30/'Total Value'!FN30-1)</f>
        <v/>
      </c>
      <c r="FP18" s="14" t="str">
        <f ca="1">IF(FP$1="","",'Total Value'!FP30/'Total Value'!FO30-1)</f>
        <v/>
      </c>
      <c r="FQ18" s="14" t="str">
        <f ca="1">IF(FQ$1="","",'Total Value'!FQ30/'Total Value'!FP30-1)</f>
        <v/>
      </c>
      <c r="FR18" s="14" t="str">
        <f ca="1">IF(FR$1="","",'Total Value'!FR30/'Total Value'!FQ30-1)</f>
        <v/>
      </c>
      <c r="FS18" s="14" t="str">
        <f ca="1">IF(FS$1="","",'Total Value'!FS30/'Total Value'!FR30-1)</f>
        <v/>
      </c>
      <c r="FT18" s="14" t="str">
        <f ca="1">IF(FT$1="","",'Total Value'!FT30/'Total Value'!FS30-1)</f>
        <v/>
      </c>
      <c r="FU18" s="14" t="str">
        <f ca="1">IF(FU$1="","",'Total Value'!FU30/'Total Value'!FT30-1)</f>
        <v/>
      </c>
      <c r="FV18" s="14" t="str">
        <f ca="1">IF(FV$1="","",'Total Value'!FV30/'Total Value'!FU30-1)</f>
        <v/>
      </c>
      <c r="FW18" s="14" t="str">
        <f ca="1">IF(FW$1="","",'Total Value'!FW30/'Total Value'!FV30-1)</f>
        <v/>
      </c>
      <c r="FX18" s="14" t="str">
        <f ca="1">IF(FX$1="","",'Total Value'!FX30/'Total Value'!FW30-1)</f>
        <v/>
      </c>
      <c r="FY18" s="14" t="str">
        <f ca="1">IF(FY$1="","",'Total Value'!FY30/'Total Value'!FX30-1)</f>
        <v/>
      </c>
      <c r="FZ18" s="14" t="str">
        <f ca="1">IF(FZ$1="","",'Total Value'!FZ30/'Total Value'!FY30-1)</f>
        <v/>
      </c>
      <c r="GA18" s="14" t="str">
        <f ca="1">IF(GA$1="","",'Total Value'!GA30/'Total Value'!FZ30-1)</f>
        <v/>
      </c>
      <c r="GB18" s="14" t="str">
        <f ca="1">IF(GB$1="","",'Total Value'!GB30/'Total Value'!GA30-1)</f>
        <v/>
      </c>
      <c r="GC18" s="14" t="str">
        <f ca="1">IF(GC$1="","",'Total Value'!GC30/'Total Value'!GB30-1)</f>
        <v/>
      </c>
      <c r="GD18" s="14" t="str">
        <f ca="1">IF(GD$1="","",'Total Value'!GD30/'Total Value'!GC30-1)</f>
        <v/>
      </c>
      <c r="GE18" s="14" t="str">
        <f ca="1">IF(GE$1="","",'Total Value'!GE30/'Total Value'!GD30-1)</f>
        <v/>
      </c>
      <c r="GF18" s="14" t="str">
        <f ca="1">IF(GF$1="","",'Total Value'!GF30/'Total Value'!GE30-1)</f>
        <v/>
      </c>
      <c r="GG18" s="14" t="str">
        <f ca="1">IF(GG$1="","",'Total Value'!GG30/'Total Value'!GF30-1)</f>
        <v/>
      </c>
      <c r="GH18" s="14" t="str">
        <f ca="1">IF(GH$1="","",'Total Value'!GH30/'Total Value'!GG30-1)</f>
        <v/>
      </c>
      <c r="GI18" s="14" t="str">
        <f ca="1">IF(GI$1="","",'Total Value'!GI30/'Total Value'!GH30-1)</f>
        <v/>
      </c>
      <c r="GJ18" s="14" t="str">
        <f ca="1">IF(GJ$1="","",'Total Value'!GJ30/'Total Value'!GI30-1)</f>
        <v/>
      </c>
      <c r="GK18" s="14" t="str">
        <f ca="1">IF(GK$1="","",'Total Value'!GK30/'Total Value'!GJ30-1)</f>
        <v/>
      </c>
      <c r="GL18" s="14" t="str">
        <f ca="1">IF(GL$1="","",'Total Value'!GL30/'Total Value'!GK30-1)</f>
        <v/>
      </c>
      <c r="GM18" s="14" t="str">
        <f ca="1">IF(GM$1="","",'Total Value'!GM30/'Total Value'!GL30-1)</f>
        <v/>
      </c>
      <c r="GN18" s="14" t="str">
        <f ca="1">IF(GN$1="","",'Total Value'!GN30/'Total Value'!GM30-1)</f>
        <v/>
      </c>
      <c r="GO18" s="14" t="str">
        <f ca="1">IF(GO$1="","",'Total Value'!GO30/'Total Value'!GN30-1)</f>
        <v/>
      </c>
      <c r="GP18" s="14" t="str">
        <f ca="1">IF(GP$1="","",'Total Value'!GP30/'Total Value'!GO30-1)</f>
        <v/>
      </c>
      <c r="GQ18" s="14" t="str">
        <f ca="1">IF(GQ$1="","",'Total Value'!GQ30/'Total Value'!GP30-1)</f>
        <v/>
      </c>
      <c r="GR18" s="14" t="str">
        <f ca="1">IF(GR$1="","",'Total Value'!GR30/'Total Value'!GQ30-1)</f>
        <v/>
      </c>
      <c r="GS18" s="14" t="str">
        <f ca="1">IF(GS$1="","",'Total Value'!GS30/'Total Value'!GR30-1)</f>
        <v/>
      </c>
      <c r="GT18" s="14" t="str">
        <f ca="1">IF(GT$1="","",'Total Value'!GT30/'Total Value'!GS30-1)</f>
        <v/>
      </c>
      <c r="GU18" s="14" t="str">
        <f ca="1">IF(GU$1="","",'Total Value'!GU30/'Total Value'!GT30-1)</f>
        <v/>
      </c>
      <c r="GV18" s="14" t="str">
        <f ca="1">IF(GV$1="","",'Total Value'!GV30/'Total Value'!GU30-1)</f>
        <v/>
      </c>
      <c r="GW18" s="14" t="str">
        <f ca="1">IF(GW$1="","",'Total Value'!GW30/'Total Value'!GV30-1)</f>
        <v/>
      </c>
      <c r="GX18" s="14" t="str">
        <f ca="1">IF(GX$1="","",'Total Value'!GX30/'Total Value'!GW30-1)</f>
        <v/>
      </c>
      <c r="GY18" s="14" t="str">
        <f ca="1">IF(GY$1="","",'Total Value'!GY30/'Total Value'!GX30-1)</f>
        <v/>
      </c>
      <c r="GZ18" s="14" t="str">
        <f ca="1">IF(GZ$1="","",'Total Value'!GZ30/'Total Value'!GY30-1)</f>
        <v/>
      </c>
      <c r="HA18" s="14" t="str">
        <f ca="1">IF(HA$1="","",'Total Value'!HA30/'Total Value'!GZ30-1)</f>
        <v/>
      </c>
      <c r="HB18" s="14" t="str">
        <f ca="1">IF(HB$1="","",'Total Value'!HB30/'Total Value'!HA30-1)</f>
        <v/>
      </c>
      <c r="HC18" s="14" t="str">
        <f ca="1">IF(HC$1="","",'Total Value'!HC30/'Total Value'!HB30-1)</f>
        <v/>
      </c>
      <c r="HD18" s="14" t="str">
        <f ca="1">IF(HD$1="","",'Total Value'!HD30/'Total Value'!HC30-1)</f>
        <v/>
      </c>
      <c r="HE18" s="14" t="str">
        <f ca="1">IF(HE$1="","",'Total Value'!HE30/'Total Value'!HD30-1)</f>
        <v/>
      </c>
      <c r="HF18" s="14" t="str">
        <f ca="1">IF(HF$1="","",'Total Value'!HF30/'Total Value'!HE30-1)</f>
        <v/>
      </c>
      <c r="HG18" s="14" t="str">
        <f ca="1">IF(HG$1="","",'Total Value'!HG30/'Total Value'!HF30-1)</f>
        <v/>
      </c>
      <c r="HH18" s="14" t="str">
        <f ca="1">IF(HH$1="","",'Total Value'!HH30/'Total Value'!HG30-1)</f>
        <v/>
      </c>
      <c r="HI18" s="14" t="str">
        <f ca="1">IF(HI$1="","",'Total Value'!HI30/'Total Value'!HH30-1)</f>
        <v/>
      </c>
      <c r="HJ18" s="14" t="str">
        <f ca="1">IF(HJ$1="","",'Total Value'!HJ30/'Total Value'!HI30-1)</f>
        <v/>
      </c>
      <c r="HK18" s="14" t="str">
        <f ca="1">IF(HK$1="","",'Total Value'!HK30/'Total Value'!HJ30-1)</f>
        <v/>
      </c>
      <c r="HL18" s="14" t="str">
        <f ca="1">IF(HL$1="","",'Total Value'!HL30/'Total Value'!HK30-1)</f>
        <v/>
      </c>
      <c r="HM18" s="14" t="str">
        <f ca="1">IF(HM$1="","",'Total Value'!HM30/'Total Value'!HL30-1)</f>
        <v/>
      </c>
      <c r="HN18" s="14" t="str">
        <f ca="1">IF(HN$1="","",'Total Value'!HN30/'Total Value'!HM30-1)</f>
        <v/>
      </c>
      <c r="HO18" s="14" t="str">
        <f ca="1">IF(HO$1="","",'Total Value'!HO30/'Total Value'!HN30-1)</f>
        <v/>
      </c>
      <c r="HP18" s="14" t="str">
        <f ca="1">IF(HP$1="","",'Total Value'!HP30/'Total Value'!HO30-1)</f>
        <v/>
      </c>
      <c r="HQ18" s="14" t="str">
        <f ca="1">IF(HQ$1="","",'Total Value'!HQ30/'Total Value'!HP30-1)</f>
        <v/>
      </c>
      <c r="HR18" s="14" t="str">
        <f ca="1">IF(HR$1="","",'Total Value'!HR30/'Total Value'!HQ30-1)</f>
        <v/>
      </c>
      <c r="HS18" s="14" t="str">
        <f ca="1">IF(HS$1="","",'Total Value'!HS30/'Total Value'!HR30-1)</f>
        <v/>
      </c>
      <c r="HT18" s="14" t="str">
        <f ca="1">IF(HT$1="","",'Total Value'!HT30/'Total Value'!HS30-1)</f>
        <v/>
      </c>
      <c r="HU18" s="14" t="str">
        <f ca="1">IF(HU$1="","",'Total Value'!HU30/'Total Value'!HT30-1)</f>
        <v/>
      </c>
      <c r="HV18" s="14" t="str">
        <f ca="1">IF(HV$1="","",'Total Value'!HV30/'Total Value'!HU30-1)</f>
        <v/>
      </c>
      <c r="HW18" s="14" t="str">
        <f ca="1">IF(HW$1="","",'Total Value'!HW30/'Total Value'!HV30-1)</f>
        <v/>
      </c>
      <c r="HX18" s="14" t="str">
        <f ca="1">IF(HX$1="","",'Total Value'!HX30/'Total Value'!HW30-1)</f>
        <v/>
      </c>
      <c r="HY18" s="14" t="str">
        <f ca="1">IF(HY$1="","",'Total Value'!HY30/'Total Value'!HX30-1)</f>
        <v/>
      </c>
      <c r="HZ18" s="14" t="str">
        <f ca="1">IF(HZ$1="","",'Total Value'!HZ30/'Total Value'!HY30-1)</f>
        <v/>
      </c>
      <c r="IA18" s="14" t="str">
        <f ca="1">IF(IA$1="","",'Total Value'!IA30/'Total Value'!HZ30-1)</f>
        <v/>
      </c>
      <c r="IB18" s="14" t="str">
        <f ca="1">IF(IB$1="","",'Total Value'!IB30/'Total Value'!IA30-1)</f>
        <v/>
      </c>
      <c r="IC18" s="14" t="str">
        <f ca="1">IF(IC$1="","",'Total Value'!IC30/'Total Value'!IB30-1)</f>
        <v/>
      </c>
      <c r="ID18" s="14" t="str">
        <f ca="1">IF(ID$1="","",'Total Value'!ID30/'Total Value'!IC30-1)</f>
        <v/>
      </c>
      <c r="IE18" s="14" t="str">
        <f ca="1">IF(IE$1="","",'Total Value'!IE30/'Total Value'!ID30-1)</f>
        <v/>
      </c>
      <c r="IF18" s="14" t="str">
        <f ca="1">IF(IF$1="","",'Total Value'!IF30/'Total Value'!IE30-1)</f>
        <v/>
      </c>
      <c r="IG18" s="14" t="str">
        <f ca="1">IF(IG$1="","",'Total Value'!IG30/'Total Value'!IF30-1)</f>
        <v/>
      </c>
      <c r="IH18" s="14" t="str">
        <f ca="1">IF(IH$1="","",'Total Value'!IH30/'Total Value'!IG30-1)</f>
        <v/>
      </c>
      <c r="II18" s="14" t="str">
        <f ca="1">IF(II$1="","",'Total Value'!II30/'Total Value'!IH30-1)</f>
        <v/>
      </c>
      <c r="IJ18" s="14" t="str">
        <f ca="1">IF(IJ$1="","",'Total Value'!IJ30/'Total Value'!II30-1)</f>
        <v/>
      </c>
      <c r="IK18" s="14" t="str">
        <f ca="1">IF(IK$1="","",'Total Value'!IK30/'Total Value'!IJ30-1)</f>
        <v/>
      </c>
      <c r="IL18" s="14" t="str">
        <f ca="1">IF(IL$1="","",'Total Value'!IL30/'Total Value'!IK30-1)</f>
        <v/>
      </c>
      <c r="IM18" s="14" t="str">
        <f ca="1">IF(IM$1="","",'Total Value'!IM30/'Total Value'!IL30-1)</f>
        <v/>
      </c>
      <c r="IN18" s="14" t="str">
        <f ca="1">IF(IN$1="","",'Total Value'!IN30/'Total Value'!IM30-1)</f>
        <v/>
      </c>
      <c r="IO18" s="14" t="str">
        <f ca="1">IF(IO$1="","",'Total Value'!IO30/'Total Value'!IN30-1)</f>
        <v/>
      </c>
      <c r="IP18" s="14" t="str">
        <f ca="1">IF(IP$1="","",'Total Value'!IP30/'Total Value'!IO30-1)</f>
        <v/>
      </c>
      <c r="IQ18" s="14" t="str">
        <f ca="1">IF(IQ$1="","",'Total Value'!IQ30/'Total Value'!IP30-1)</f>
        <v/>
      </c>
      <c r="IR18" s="14" t="str">
        <f ca="1">IF(IR$1="","",'Total Value'!IR30/'Total Value'!IQ30-1)</f>
        <v/>
      </c>
      <c r="IS18" s="14" t="str">
        <f ca="1">IF(IS$1="","",'Total Value'!IS30/'Total Value'!IR30-1)</f>
        <v/>
      </c>
      <c r="IT18" s="14" t="str">
        <f ca="1">IF(IT$1="","",'Total Value'!IT30/'Total Value'!IS30-1)</f>
        <v/>
      </c>
      <c r="IU18" s="14" t="str">
        <f ca="1">IF(IU$1="","",'Total Value'!IU30/'Total Value'!IT30-1)</f>
        <v/>
      </c>
      <c r="IV18" s="14" t="str">
        <f ca="1">IF(IV$1="","",'Total Value'!IV30/'Total Value'!IU30-1)</f>
        <v/>
      </c>
      <c r="IW18" s="14" t="str">
        <f ca="1">IF(IW$1="","",'Total Value'!IW30/'Total Value'!IV30-1)</f>
        <v/>
      </c>
      <c r="IX18" s="14" t="str">
        <f ca="1">IF(IX$1="","",'Total Value'!IX30/'Total Value'!IW30-1)</f>
        <v/>
      </c>
      <c r="IY18" s="14" t="str">
        <f ca="1">IF(IY$1="","",'Total Value'!IY30/'Total Value'!IX30-1)</f>
        <v/>
      </c>
      <c r="IZ18" s="14" t="str">
        <f ca="1">IF(IZ$1="","",'Total Value'!IZ30/'Total Value'!IY30-1)</f>
        <v/>
      </c>
      <c r="JA18" s="14" t="str">
        <f ca="1">IF(JA$1="","",'Total Value'!JA30/'Total Value'!IZ30-1)</f>
        <v/>
      </c>
      <c r="JB18" s="14" t="str">
        <f ca="1">IF(JB$1="","",'Total Value'!JB30/'Total Value'!JA30-1)</f>
        <v/>
      </c>
      <c r="JC18" s="14" t="str">
        <f ca="1">IF(JC$1="","",'Total Value'!JC30/'Total Value'!JB30-1)</f>
        <v/>
      </c>
      <c r="JD18" s="14" t="str">
        <f ca="1">IF(JD$1="","",'Total Value'!JD30/'Total Value'!JC30-1)</f>
        <v/>
      </c>
      <c r="JE18" s="14" t="str">
        <f ca="1">IF(JE$1="","",'Total Value'!JE30/'Total Value'!JD30-1)</f>
        <v/>
      </c>
      <c r="JF18" s="14" t="str">
        <f ca="1">IF(JF$1="","",'Total Value'!JF30/'Total Value'!JE30-1)</f>
        <v/>
      </c>
      <c r="JG18" s="14" t="str">
        <f ca="1">IF(JG$1="","",'Total Value'!JG30/'Total Value'!JF30-1)</f>
        <v/>
      </c>
      <c r="JH18" s="14" t="str">
        <f ca="1">IF(JH$1="","",'Total Value'!JH30/'Total Value'!JG30-1)</f>
        <v/>
      </c>
      <c r="JI18" s="14" t="str">
        <f ca="1">IF(JI$1="","",'Total Value'!JI30/'Total Value'!JH30-1)</f>
        <v/>
      </c>
      <c r="JJ18" s="14" t="str">
        <f ca="1">IF(JJ$1="","",'Total Value'!JJ30/'Total Value'!JI30-1)</f>
        <v/>
      </c>
      <c r="JK18" s="14" t="str">
        <f ca="1">IF(JK$1="","",'Total Value'!JK30/'Total Value'!JJ30-1)</f>
        <v/>
      </c>
      <c r="JL18" s="14" t="str">
        <f ca="1">IF(JL$1="","",'Total Value'!JL30/'Total Value'!JK30-1)</f>
        <v/>
      </c>
      <c r="JM18" s="14" t="str">
        <f ca="1">IF(JM$1="","",'Total Value'!JM30/'Total Value'!JL30-1)</f>
        <v/>
      </c>
      <c r="JN18" s="14" t="str">
        <f ca="1">IF(JN$1="","",'Total Value'!JN30/'Total Value'!JM30-1)</f>
        <v/>
      </c>
      <c r="JO18" s="14" t="str">
        <f ca="1">IF(JO$1="","",'Total Value'!JO30/'Total Value'!JN30-1)</f>
        <v/>
      </c>
      <c r="JP18" s="14" t="str">
        <f ca="1">IF(JP$1="","",'Total Value'!JP30/'Total Value'!JO30-1)</f>
        <v/>
      </c>
      <c r="JQ18" s="14" t="str">
        <f ca="1">IF(JQ$1="","",'Total Value'!JQ30/'Total Value'!JP30-1)</f>
        <v/>
      </c>
      <c r="JR18" s="14" t="str">
        <f ca="1">IF(JR$1="","",'Total Value'!JR30/'Total Value'!JQ30-1)</f>
        <v/>
      </c>
      <c r="JS18" s="14" t="str">
        <f ca="1">IF(JS$1="","",'Total Value'!JS30/'Total Value'!JR30-1)</f>
        <v/>
      </c>
      <c r="JT18" s="14" t="str">
        <f ca="1">IF(JT$1="","",'Total Value'!JT30/'Total Value'!JS30-1)</f>
        <v/>
      </c>
      <c r="JU18" s="14" t="str">
        <f ca="1">IF(JU$1="","",'Total Value'!JU30/'Total Value'!JT30-1)</f>
        <v/>
      </c>
      <c r="JV18" s="14" t="str">
        <f ca="1">IF(JV$1="","",'Total Value'!JV30/'Total Value'!JU30-1)</f>
        <v/>
      </c>
      <c r="JW18" s="14" t="str">
        <f ca="1">IF(JW$1="","",'Total Value'!JW30/'Total Value'!JV30-1)</f>
        <v/>
      </c>
      <c r="JX18" s="14" t="str">
        <f ca="1">IF(JX$1="","",'Total Value'!JX30/'Total Value'!JW30-1)</f>
        <v/>
      </c>
      <c r="JY18" s="14" t="str">
        <f ca="1">IF(JY$1="","",'Total Value'!JY30/'Total Value'!JX30-1)</f>
        <v/>
      </c>
      <c r="JZ18" s="14" t="str">
        <f ca="1">IF(JZ$1="","",'Total Value'!JZ30/'Total Value'!JY30-1)</f>
        <v/>
      </c>
      <c r="KA18" s="14" t="str">
        <f ca="1">IF(KA$1="","",'Total Value'!KA30/'Total Value'!JZ30-1)</f>
        <v/>
      </c>
      <c r="KB18" s="14" t="str">
        <f ca="1">IF(KB$1="","",'Total Value'!KB30/'Total Value'!KA30-1)</f>
        <v/>
      </c>
    </row>
    <row r="19" spans="1:288" ht="15.75" customHeight="1">
      <c r="A19" s="22" t="s">
        <v>30</v>
      </c>
      <c r="B19" s="6" t="s">
        <v>64</v>
      </c>
      <c r="C19" s="26">
        <v>30</v>
      </c>
      <c r="D19" s="13">
        <v>0</v>
      </c>
      <c r="E19" s="14">
        <f ca="1">IF(E$1="","",'Total Value'!E31/'Total Value'!D31-1)</f>
        <v>3.0933868405651488E-3</v>
      </c>
      <c r="F19" s="14">
        <f ca="1">IF(F$1="","",'Total Value'!F31/'Total Value'!E31-1)</f>
        <v>-8.5847641273545383E-3</v>
      </c>
      <c r="G19" s="14">
        <f ca="1">IF(G$1="","",'Total Value'!G31/'Total Value'!F31-1)</f>
        <v>3.3039092055485497E-2</v>
      </c>
      <c r="H19" s="14">
        <f ca="1">IF(H$1="","",'Total Value'!H31/'Total Value'!G31-1)</f>
        <v>1.0172526041666741E-2</v>
      </c>
      <c r="I19" s="14">
        <f ca="1">IF(I$1="","",'Total Value'!I31/'Total Value'!H31-1)</f>
        <v>2.9807459921051827E-3</v>
      </c>
      <c r="J19" s="14">
        <f ca="1">IF(J$1="","",'Total Value'!J31/'Total Value'!I31-1)</f>
        <v>-3.4538152610441797E-2</v>
      </c>
      <c r="K19" s="14">
        <f ca="1">IF(K$1="","",'Total Value'!K31/'Total Value'!J31-1)</f>
        <v>-2.1214642262895156E-2</v>
      </c>
      <c r="L19" s="14">
        <f ca="1">IF(L$1="","",'Total Value'!L31/'Total Value'!K31-1)</f>
        <v>-1.7339566510837123E-2</v>
      </c>
      <c r="M19" s="14">
        <f ca="1">IF(M$1="","",'Total Value'!M31/'Total Value'!L31-1)</f>
        <v>9.9472363982353595E-3</v>
      </c>
      <c r="N19" s="14">
        <f ca="1">IF(N$1="","",'Total Value'!N31/'Total Value'!M31-1)</f>
        <v>8.5645769098974256E-5</v>
      </c>
      <c r="O19" s="14">
        <f ca="1">IF(O$1="","",'Total Value'!O31/'Total Value'!N31-1)</f>
        <v>-6.5085210242356029E-3</v>
      </c>
      <c r="P19" s="14">
        <f ca="1">IF(P$1="","",'Total Value'!P31/'Total Value'!O31-1)</f>
        <v>-3.0342211878286451E-2</v>
      </c>
      <c r="Q19" s="14">
        <f ca="1">IF(Q$1="","",'Total Value'!Q31/'Total Value'!P31-1)</f>
        <v>-5.5116010312026287E-3</v>
      </c>
      <c r="R19" s="14">
        <f ca="1">IF(R$1="","",'Total Value'!R31/'Total Value'!Q31-1)</f>
        <v>1.7341557164565868E-2</v>
      </c>
      <c r="S19" s="14">
        <f ca="1">IF(S$1="","",'Total Value'!S31/'Total Value'!R31-1)</f>
        <v>1.8539671382127976E-2</v>
      </c>
      <c r="T19" s="14">
        <f ca="1">IF(T$1="","",'Total Value'!T31/'Total Value'!S31-1)</f>
        <v>-1.9151138716356098E-2</v>
      </c>
      <c r="U19" s="14">
        <f ca="1">IF(U$1="","",'Total Value'!U31/'Total Value'!T31-1)</f>
        <v>-1.0290237467018404E-2</v>
      </c>
      <c r="V19" s="14">
        <f ca="1">IF(V$1="","",'Total Value'!V31/'Total Value'!U31-1)</f>
        <v>1.4396161023726872E-2</v>
      </c>
      <c r="W19" s="14">
        <f ca="1">IF(W$1="","",'Total Value'!W31/'Total Value'!V31-1)</f>
        <v>-1.6995181778361901E-2</v>
      </c>
      <c r="X19" s="14">
        <f ca="1">IF(X$1="","",'Total Value'!X31/'Total Value'!W31-1)</f>
        <v>1.6397825505748198E-2</v>
      </c>
      <c r="Y19" s="14">
        <f ca="1">IF(Y$1="","",'Total Value'!Y31/'Total Value'!X31-1)</f>
        <v>1.3152126260412178E-2</v>
      </c>
      <c r="Z19" s="14">
        <f ca="1">IF(Z$1="","",'Total Value'!Z31/'Total Value'!Y31-1)</f>
        <v>2.423193422760761E-3</v>
      </c>
      <c r="AA19" s="14">
        <f ca="1">IF(AA$1="","",'Total Value'!AA31/'Total Value'!Z31-1)</f>
        <v>-4.6620046620046152E-3</v>
      </c>
      <c r="AB19" s="14">
        <f ca="1">IF(AB$1="","",'Total Value'!AB31/'Total Value'!AA31-1)</f>
        <v>-1.3617833289964576E-2</v>
      </c>
      <c r="AC19" s="14">
        <f ca="1">IF(AC$1="","",'Total Value'!AC31/'Total Value'!AB31-1)</f>
        <v>1.4948997537812092E-2</v>
      </c>
      <c r="AD19" s="14">
        <f ca="1">IF(AD$1="","",'Total Value'!AD31/'Total Value'!AC31-1)</f>
        <v>7.6243285392478821E-3</v>
      </c>
      <c r="AE19" s="14">
        <f ca="1">IF(AE$1="","",'Total Value'!AE31/'Total Value'!AD31-1)</f>
        <v>-2.6999140154772228E-2</v>
      </c>
      <c r="AF19" s="14">
        <f ca="1">IF(AF$1="","",'Total Value'!AF31/'Total Value'!AE31-1)</f>
        <v>-1.7674089784376124E-2</v>
      </c>
      <c r="AG19" s="14">
        <f ca="1">IF(AG$1="","",'Total Value'!AG31/'Total Value'!AF31-1)</f>
        <v>-2.6268441885570315E-2</v>
      </c>
      <c r="AH19" s="14">
        <f ca="1">IF(AH$1="","",'Total Value'!AH31/'Total Value'!AG31-1)</f>
        <v>-2.6977087952697709E-2</v>
      </c>
      <c r="AI19" s="14">
        <f ca="1">IF(AI$1="","",'Total Value'!AI31/'Total Value'!AH31-1)</f>
        <v>-8.5453854918338124E-4</v>
      </c>
      <c r="AJ19" s="14">
        <f ca="1">IF(AJ$1="","",'Total Value'!AJ31/'Total Value'!AI31-1)</f>
        <v>2.9364249738667692E-2</v>
      </c>
      <c r="AK19" s="14">
        <f ca="1">IF(AK$1="","",'Total Value'!AK31/'Total Value'!AJ31-1)</f>
        <v>2.5110782865583658E-2</v>
      </c>
      <c r="AL19" s="14">
        <f ca="1">IF(AL$1="","",'Total Value'!AL31/'Total Value'!AK31-1)</f>
        <v>-3.8004322766570731E-2</v>
      </c>
      <c r="AM19" s="14">
        <f ca="1">IF(AM$1="","",'Total Value'!AM31/'Total Value'!AL31-1)</f>
        <v>2.9020782624976649E-2</v>
      </c>
      <c r="AN19" s="14">
        <f ca="1">IF(AN$1="","",'Total Value'!AN31/'Total Value'!AM31-1)</f>
        <v>-2.0924308588063933E-3</v>
      </c>
      <c r="AO19" s="14">
        <f ca="1">IF(AO$1="","",'Total Value'!AO31/'Total Value'!AN31-1)</f>
        <v>-3.090527851217062E-2</v>
      </c>
      <c r="AP19" s="14">
        <f ca="1">IF(AP$1="","",'Total Value'!AP31/'Total Value'!AO31-1)</f>
        <v>-3.5465663217309484E-2</v>
      </c>
      <c r="AQ19" s="14">
        <f ca="1">IF(AQ$1="","",'Total Value'!AQ31/'Total Value'!AP31-1)</f>
        <v>2.5553496537598752E-2</v>
      </c>
      <c r="AR19" s="14">
        <f ca="1">IF(AR$1="","",'Total Value'!AR31/'Total Value'!AQ31-1)</f>
        <v>1.9971469329529201E-2</v>
      </c>
      <c r="AS19" s="14">
        <f ca="1">IF(AS$1="","",'Total Value'!AS31/'Total Value'!AR31-1)</f>
        <v>3.2634032634033527E-3</v>
      </c>
      <c r="AT19" s="14">
        <f ca="1">IF(AT$1="","",'Total Value'!AT31/'Total Value'!AS31-1)</f>
        <v>-6.9702602230483635E-3</v>
      </c>
      <c r="AU19" s="14">
        <f ca="1">IF(AU$1="","",'Total Value'!AU31/'Total Value'!AT31-1)</f>
        <v>-5.8025269068787688E-3</v>
      </c>
      <c r="AV19" s="14">
        <f ca="1">IF(AV$1="","",'Total Value'!AV31/'Total Value'!AU31-1)</f>
        <v>2.1556998964510798E-2</v>
      </c>
      <c r="AW19" s="14">
        <f ca="1">IF(AW$1="","",'Total Value'!AW31/'Total Value'!AV31-1)</f>
        <v>7.6483597493550715E-3</v>
      </c>
      <c r="AX19" s="14">
        <f ca="1">IF(AX$1="","",'Total Value'!AX31/'Total Value'!AW31-1)</f>
        <v>-1.8289894833104503E-3</v>
      </c>
      <c r="AY19" s="14">
        <f ca="1">IF(AY$1="","",'Total Value'!AY31/'Total Value'!AX31-1)</f>
        <v>2.8401282638570446E-3</v>
      </c>
      <c r="AZ19" s="14">
        <f ca="1">IF(AZ$1="","",'Total Value'!AZ31/'Total Value'!AY31-1)</f>
        <v>-2.740727206285376E-3</v>
      </c>
      <c r="BA19" s="14">
        <f ca="1">IF(BA$1="","",'Total Value'!BA31/'Total Value'!AZ31-1)</f>
        <v>-1.2092341517039085E-2</v>
      </c>
      <c r="BB19" s="14">
        <f ca="1">IF(BB$1="","",'Total Value'!BB31/'Total Value'!BA31-1)</f>
        <v>-1.5300445103857752E-2</v>
      </c>
      <c r="BC19" s="14">
        <f ca="1">IF(BC$1="","",'Total Value'!BC31/'Total Value'!BB31-1)</f>
        <v>9.7937658913269665E-3</v>
      </c>
      <c r="BD19" s="14">
        <f ca="1">IF(BD$1="","",'Total Value'!BD31/'Total Value'!BC31-1)</f>
        <v>2.8909820013056642E-3</v>
      </c>
      <c r="BE19" s="14">
        <f ca="1">IF(BE$1="","",'Total Value'!BE31/'Total Value'!BD31-1)</f>
        <v>-1.3855309652222481E-2</v>
      </c>
      <c r="BF19" s="14">
        <f ca="1">IF(BF$1="","",'Total Value'!BF31/'Total Value'!BE31-1)</f>
        <v>2.602545968882608E-2</v>
      </c>
      <c r="BG19" s="14">
        <f ca="1">IF(BG$1="","",'Total Value'!BG31/'Total Value'!BF31-1)</f>
        <v>-2.1045859755537299E-2</v>
      </c>
      <c r="BH19" s="14">
        <f ca="1">IF(BH$1="","",'Total Value'!BH31/'Total Value'!BG31-1)</f>
        <v>-5.5107022155463703E-2</v>
      </c>
      <c r="BI19" s="14">
        <f ca="1">IF(BI$1="","",'Total Value'!BI31/'Total Value'!BH31-1)</f>
        <v>-1.2121212121212088E-2</v>
      </c>
      <c r="BJ19" s="14">
        <f ca="1">IF(BJ$1="","",'Total Value'!BJ31/'Total Value'!BI31-1)</f>
        <v>2.0516946595594776E-2</v>
      </c>
      <c r="BK19" s="14">
        <f ca="1">IF(BK$1="","",'Total Value'!BK31/'Total Value'!BJ31-1)</f>
        <v>-2.6411747314477041E-2</v>
      </c>
      <c r="BL19" s="14">
        <f ca="1">IF(BL$1="","",'Total Value'!BL31/'Total Value'!BK31-1)</f>
        <v>-2.0751088166818699E-2</v>
      </c>
      <c r="BM19" s="14">
        <f ca="1">IF(BM$1="","",'Total Value'!BM31/'Total Value'!BL31-1)</f>
        <v>-1.2817862311349959E-2</v>
      </c>
      <c r="BN19" s="14">
        <f ca="1">IF(BN$1="","",'Total Value'!BN31/'Total Value'!BM31-1)</f>
        <v>-1.6963350785340392E-2</v>
      </c>
      <c r="BO19" s="14">
        <f ca="1">IF(BO$1="","",'Total Value'!BO31/'Total Value'!BN31-1)</f>
        <v>6.4976565828718247E-3</v>
      </c>
      <c r="BP19" s="14">
        <f ca="1">IF(BP$1="","",'Total Value'!BP31/'Total Value'!BO31-1)</f>
        <v>-1.693300878399695E-3</v>
      </c>
      <c r="BQ19" s="14">
        <f ca="1">IF(BQ$1="","",'Total Value'!BQ31/'Total Value'!BP31-1)</f>
        <v>2.6820735715042954E-2</v>
      </c>
      <c r="BR19" s="14">
        <f ca="1">IF(BR$1="","",'Total Value'!BR31/'Total Value'!BQ31-1)</f>
        <v>6.2977493289282371E-3</v>
      </c>
      <c r="BS19" s="14">
        <f ca="1">IF(BS$1="","",'Total Value'!BS31/'Total Value'!BR31-1)</f>
        <v>-6.5661229096131146E-3</v>
      </c>
      <c r="BT19" s="14">
        <f ca="1">IF(BT$1="","",'Total Value'!BT31/'Total Value'!BS31-1)</f>
        <v>2.7574098936280045E-2</v>
      </c>
      <c r="BU19" s="14">
        <f ca="1">IF(BU$1="","",'Total Value'!BU31/'Total Value'!BT31-1)</f>
        <v>1.6080402010050232E-3</v>
      </c>
      <c r="BV19" s="14">
        <f ca="1">IF(BV$1="","",'Total Value'!BV31/'Total Value'!BU31-1)</f>
        <v>-4.5153521974714561E-3</v>
      </c>
      <c r="BW19" s="14">
        <f ca="1">IF(BW$1="","",'Total Value'!BW31/'Total Value'!BV31-1)</f>
        <v>-1.8445721197460019E-2</v>
      </c>
      <c r="BX19" s="14">
        <f ca="1">IF(BX$1="","",'Total Value'!BX31/'Total Value'!BW31-1)</f>
        <v>1.0474430067775931E-2</v>
      </c>
      <c r="BY19" s="14">
        <f ca="1">IF(BY$1="","",'Total Value'!BY31/'Total Value'!BX31-1)</f>
        <v>-4.1056910569105654E-2</v>
      </c>
      <c r="BZ19" s="14">
        <f ca="1">IF(BZ$1="","",'Total Value'!BZ31/'Total Value'!BY31-1)</f>
        <v>-8.4781687155577323E-4</v>
      </c>
      <c r="CA19" s="14">
        <f ca="1">IF(CA$1="","",'Total Value'!CA31/'Total Value'!BZ31-1)</f>
        <v>-2.0152736529486237E-3</v>
      </c>
      <c r="CB19" s="14">
        <f ca="1">IF(CB$1="","",'Total Value'!CB31/'Total Value'!CA31-1)</f>
        <v>-1.7536401317887251E-2</v>
      </c>
      <c r="CC19" s="14">
        <f ca="1">IF(CC$1="","",'Total Value'!CC31/'Total Value'!CB31-1)</f>
        <v>1.6767633059281639E-2</v>
      </c>
      <c r="CD19" s="14">
        <f ca="1">IF(CD$1="","",'Total Value'!CD31/'Total Value'!CC31-1)</f>
        <v>6.0644749441431944E-3</v>
      </c>
      <c r="CE19" s="14">
        <f ca="1">IF(CE$1="","",'Total Value'!CE31/'Total Value'!CD31-1)</f>
        <v>3.5215736040608903E-2</v>
      </c>
      <c r="CF19" s="14" t="str">
        <f ca="1">IF(CF$1="","",'Total Value'!CF31/'Total Value'!CE31-1)</f>
        <v/>
      </c>
      <c r="CG19" s="14" t="str">
        <f ca="1">IF(CG$1="","",'Total Value'!CG31/'Total Value'!CF31-1)</f>
        <v/>
      </c>
      <c r="CH19" s="14" t="str">
        <f ca="1">IF(CH$1="","",'Total Value'!CH31/'Total Value'!CG31-1)</f>
        <v/>
      </c>
      <c r="CI19" s="14" t="str">
        <f ca="1">IF(CI$1="","",'Total Value'!CI31/'Total Value'!CH31-1)</f>
        <v/>
      </c>
      <c r="CJ19" s="14" t="str">
        <f ca="1">IF(CJ$1="","",'Total Value'!CJ31/'Total Value'!CI31-1)</f>
        <v/>
      </c>
      <c r="CK19" s="14" t="str">
        <f ca="1">IF(CK$1="","",'Total Value'!CK31/'Total Value'!CJ31-1)</f>
        <v/>
      </c>
      <c r="CL19" s="14" t="str">
        <f ca="1">IF(CL$1="","",'Total Value'!CL31/'Total Value'!CK31-1)</f>
        <v/>
      </c>
      <c r="CM19" s="14" t="str">
        <f ca="1">IF(CM$1="","",'Total Value'!CM31/'Total Value'!CL31-1)</f>
        <v/>
      </c>
      <c r="CN19" s="14" t="str">
        <f ca="1">IF(CN$1="","",'Total Value'!CN31/'Total Value'!CM31-1)</f>
        <v/>
      </c>
      <c r="CO19" s="14" t="str">
        <f ca="1">IF(CO$1="","",'Total Value'!CO31/'Total Value'!CN31-1)</f>
        <v/>
      </c>
      <c r="CP19" s="14" t="str">
        <f ca="1">IF(CP$1="","",'Total Value'!CP31/'Total Value'!CO31-1)</f>
        <v/>
      </c>
      <c r="CQ19" s="14" t="str">
        <f ca="1">IF(CQ$1="","",'Total Value'!CQ31/'Total Value'!CP31-1)</f>
        <v/>
      </c>
      <c r="CR19" s="14" t="str">
        <f ca="1">IF(CR$1="","",'Total Value'!CR31/'Total Value'!CQ31-1)</f>
        <v/>
      </c>
      <c r="CS19" s="14" t="str">
        <f ca="1">IF(CS$1="","",'Total Value'!CS31/'Total Value'!CR31-1)</f>
        <v/>
      </c>
      <c r="CT19" s="14" t="str">
        <f ca="1">IF(CT$1="","",'Total Value'!CT31/'Total Value'!CS31-1)</f>
        <v/>
      </c>
      <c r="CU19" s="14" t="str">
        <f ca="1">IF(CU$1="","",'Total Value'!CU31/'Total Value'!CT31-1)</f>
        <v/>
      </c>
      <c r="CV19" s="14" t="str">
        <f ca="1">IF(CV$1="","",'Total Value'!CV31/'Total Value'!CU31-1)</f>
        <v/>
      </c>
      <c r="CW19" s="14" t="str">
        <f ca="1">IF(CW$1="","",'Total Value'!CW31/'Total Value'!CV31-1)</f>
        <v/>
      </c>
      <c r="CX19" s="14" t="str">
        <f ca="1">IF(CX$1="","",'Total Value'!CX31/'Total Value'!CW31-1)</f>
        <v/>
      </c>
      <c r="CY19" s="14" t="str">
        <f ca="1">IF(CY$1="","",'Total Value'!CY31/'Total Value'!CX31-1)</f>
        <v/>
      </c>
      <c r="CZ19" s="14" t="str">
        <f ca="1">IF(CZ$1="","",'Total Value'!CZ31/'Total Value'!CY31-1)</f>
        <v/>
      </c>
      <c r="DA19" s="14" t="str">
        <f ca="1">IF(DA$1="","",'Total Value'!DA31/'Total Value'!CZ31-1)</f>
        <v/>
      </c>
      <c r="DB19" s="14" t="str">
        <f ca="1">IF(DB$1="","",'Total Value'!DB31/'Total Value'!DA31-1)</f>
        <v/>
      </c>
      <c r="DC19" s="14" t="str">
        <f ca="1">IF(DC$1="","",'Total Value'!DC31/'Total Value'!DB31-1)</f>
        <v/>
      </c>
      <c r="DD19" s="14" t="str">
        <f ca="1">IF(DD$1="","",'Total Value'!DD31/'Total Value'!DC31-1)</f>
        <v/>
      </c>
      <c r="DE19" s="14" t="str">
        <f ca="1">IF(DE$1="","",'Total Value'!DE31/'Total Value'!DD31-1)</f>
        <v/>
      </c>
      <c r="DF19" s="14" t="str">
        <f ca="1">IF(DF$1="","",'Total Value'!DF31/'Total Value'!DE31-1)</f>
        <v/>
      </c>
      <c r="DG19" s="14" t="str">
        <f ca="1">IF(DG$1="","",'Total Value'!DG31/'Total Value'!DF31-1)</f>
        <v/>
      </c>
      <c r="DH19" s="14" t="str">
        <f ca="1">IF(DH$1="","",'Total Value'!DH31/'Total Value'!DG31-1)</f>
        <v/>
      </c>
      <c r="DI19" s="14" t="str">
        <f ca="1">IF(DI$1="","",'Total Value'!DI31/'Total Value'!DH31-1)</f>
        <v/>
      </c>
      <c r="DJ19" s="14" t="str">
        <f ca="1">IF(DJ$1="","",'Total Value'!DJ31/'Total Value'!DI31-1)</f>
        <v/>
      </c>
      <c r="DK19" s="14" t="str">
        <f ca="1">IF(DK$1="","",'Total Value'!DK31/'Total Value'!DJ31-1)</f>
        <v/>
      </c>
      <c r="DL19" s="14" t="str">
        <f ca="1">IF(DL$1="","",'Total Value'!DL31/'Total Value'!DK31-1)</f>
        <v/>
      </c>
      <c r="DM19" s="14" t="str">
        <f ca="1">IF(DM$1="","",'Total Value'!DM31/'Total Value'!DL31-1)</f>
        <v/>
      </c>
      <c r="DN19" s="14" t="str">
        <f ca="1">IF(DN$1="","",'Total Value'!DN31/'Total Value'!DM31-1)</f>
        <v/>
      </c>
      <c r="DO19" s="14" t="str">
        <f ca="1">IF(DO$1="","",'Total Value'!DO31/'Total Value'!DN31-1)</f>
        <v/>
      </c>
      <c r="DP19" s="14" t="str">
        <f ca="1">IF(DP$1="","",'Total Value'!DP31/'Total Value'!DO31-1)</f>
        <v/>
      </c>
      <c r="DQ19" s="14" t="str">
        <f ca="1">IF(DQ$1="","",'Total Value'!DQ31/'Total Value'!DP31-1)</f>
        <v/>
      </c>
      <c r="DR19" s="14" t="str">
        <f ca="1">IF(DR$1="","",'Total Value'!DR31/'Total Value'!DQ31-1)</f>
        <v/>
      </c>
      <c r="DS19" s="14" t="str">
        <f ca="1">IF(DS$1="","",'Total Value'!DS31/'Total Value'!DR31-1)</f>
        <v/>
      </c>
      <c r="DT19" s="14" t="str">
        <f ca="1">IF(DT$1="","",'Total Value'!DT31/'Total Value'!DS31-1)</f>
        <v/>
      </c>
      <c r="DU19" s="14" t="str">
        <f ca="1">IF(DU$1="","",'Total Value'!DU31/'Total Value'!DT31-1)</f>
        <v/>
      </c>
      <c r="DV19" s="14" t="str">
        <f ca="1">IF(DV$1="","",'Total Value'!DV31/'Total Value'!DU31-1)</f>
        <v/>
      </c>
      <c r="DW19" s="14" t="str">
        <f ca="1">IF(DW$1="","",'Total Value'!DW31/'Total Value'!DV31-1)</f>
        <v/>
      </c>
      <c r="DX19" s="14" t="str">
        <f ca="1">IF(DX$1="","",'Total Value'!DX31/'Total Value'!DW31-1)</f>
        <v/>
      </c>
      <c r="DY19" s="14" t="str">
        <f ca="1">IF(DY$1="","",'Total Value'!DY31/'Total Value'!DX31-1)</f>
        <v/>
      </c>
      <c r="DZ19" s="14" t="str">
        <f ca="1">IF(DZ$1="","",'Total Value'!DZ31/'Total Value'!DY31-1)</f>
        <v/>
      </c>
      <c r="EA19" s="14" t="str">
        <f ca="1">IF(EA$1="","",'Total Value'!EA31/'Total Value'!DZ31-1)</f>
        <v/>
      </c>
      <c r="EB19" s="14" t="str">
        <f ca="1">IF(EB$1="","",'Total Value'!EB31/'Total Value'!EA31-1)</f>
        <v/>
      </c>
      <c r="EC19" s="14" t="str">
        <f ca="1">IF(EC$1="","",'Total Value'!EC31/'Total Value'!EB31-1)</f>
        <v/>
      </c>
      <c r="ED19" s="14" t="str">
        <f ca="1">IF(ED$1="","",'Total Value'!ED31/'Total Value'!EC31-1)</f>
        <v/>
      </c>
      <c r="EE19" s="14" t="str">
        <f ca="1">IF(EE$1="","",'Total Value'!EE31/'Total Value'!ED31-1)</f>
        <v/>
      </c>
      <c r="EF19" s="14" t="str">
        <f ca="1">IF(EF$1="","",'Total Value'!EF31/'Total Value'!EE31-1)</f>
        <v/>
      </c>
      <c r="EG19" s="14" t="str">
        <f ca="1">IF(EG$1="","",'Total Value'!EG31/'Total Value'!EF31-1)</f>
        <v/>
      </c>
      <c r="EH19" s="14" t="str">
        <f ca="1">IF(EH$1="","",'Total Value'!EH31/'Total Value'!EG31-1)</f>
        <v/>
      </c>
      <c r="EI19" s="14" t="str">
        <f ca="1">IF(EI$1="","",'Total Value'!EI31/'Total Value'!EH31-1)</f>
        <v/>
      </c>
      <c r="EJ19" s="14" t="str">
        <f ca="1">IF(EJ$1="","",'Total Value'!EJ31/'Total Value'!EI31-1)</f>
        <v/>
      </c>
      <c r="EK19" s="14" t="str">
        <f ca="1">IF(EK$1="","",'Total Value'!EK31/'Total Value'!EJ31-1)</f>
        <v/>
      </c>
      <c r="EL19" s="14" t="str">
        <f ca="1">IF(EL$1="","",'Total Value'!EL31/'Total Value'!EK31-1)</f>
        <v/>
      </c>
      <c r="EM19" s="14" t="str">
        <f ca="1">IF(EM$1="","",'Total Value'!EM31/'Total Value'!EL31-1)</f>
        <v/>
      </c>
      <c r="EN19" s="14" t="str">
        <f ca="1">IF(EN$1="","",'Total Value'!EN31/'Total Value'!EM31-1)</f>
        <v/>
      </c>
      <c r="EO19" s="14" t="str">
        <f ca="1">IF(EO$1="","",'Total Value'!EO31/'Total Value'!EN31-1)</f>
        <v/>
      </c>
      <c r="EP19" s="14" t="str">
        <f ca="1">IF(EP$1="","",'Total Value'!EP31/'Total Value'!EO31-1)</f>
        <v/>
      </c>
      <c r="EQ19" s="14" t="str">
        <f ca="1">IF(EQ$1="","",'Total Value'!EQ31/'Total Value'!EP31-1)</f>
        <v/>
      </c>
      <c r="ER19" s="14" t="str">
        <f ca="1">IF(ER$1="","",'Total Value'!ER31/'Total Value'!EQ31-1)</f>
        <v/>
      </c>
      <c r="ES19" s="14" t="str">
        <f ca="1">IF(ES$1="","",'Total Value'!ES31/'Total Value'!ER31-1)</f>
        <v/>
      </c>
      <c r="ET19" s="14" t="str">
        <f ca="1">IF(ET$1="","",'Total Value'!ET31/'Total Value'!ES31-1)</f>
        <v/>
      </c>
      <c r="EU19" s="14" t="str">
        <f ca="1">IF(EU$1="","",'Total Value'!EU31/'Total Value'!ET31-1)</f>
        <v/>
      </c>
      <c r="EV19" s="14" t="str">
        <f ca="1">IF(EV$1="","",'Total Value'!EV31/'Total Value'!EU31-1)</f>
        <v/>
      </c>
      <c r="EW19" s="14" t="str">
        <f ca="1">IF(EW$1="","",'Total Value'!EW31/'Total Value'!EV31-1)</f>
        <v/>
      </c>
      <c r="EX19" s="14" t="str">
        <f ca="1">IF(EX$1="","",'Total Value'!EX31/'Total Value'!EW31-1)</f>
        <v/>
      </c>
      <c r="EY19" s="14" t="str">
        <f ca="1">IF(EY$1="","",'Total Value'!EY31/'Total Value'!EX31-1)</f>
        <v/>
      </c>
      <c r="EZ19" s="14" t="str">
        <f ca="1">IF(EZ$1="","",'Total Value'!EZ31/'Total Value'!EY31-1)</f>
        <v/>
      </c>
      <c r="FA19" s="14" t="str">
        <f ca="1">IF(FA$1="","",'Total Value'!FA31/'Total Value'!EZ31-1)</f>
        <v/>
      </c>
      <c r="FB19" s="14" t="str">
        <f ca="1">IF(FB$1="","",'Total Value'!FB31/'Total Value'!FA31-1)</f>
        <v/>
      </c>
      <c r="FC19" s="14" t="str">
        <f ca="1">IF(FC$1="","",'Total Value'!FC31/'Total Value'!FB31-1)</f>
        <v/>
      </c>
      <c r="FD19" s="14" t="str">
        <f ca="1">IF(FD$1="","",'Total Value'!FD31/'Total Value'!FC31-1)</f>
        <v/>
      </c>
      <c r="FE19" s="14" t="str">
        <f ca="1">IF(FE$1="","",'Total Value'!FE31/'Total Value'!FD31-1)</f>
        <v/>
      </c>
      <c r="FF19" s="14" t="str">
        <f ca="1">IF(FF$1="","",'Total Value'!FF31/'Total Value'!FE31-1)</f>
        <v/>
      </c>
      <c r="FG19" s="14" t="str">
        <f ca="1">IF(FG$1="","",'Total Value'!FG31/'Total Value'!FF31-1)</f>
        <v/>
      </c>
      <c r="FH19" s="14" t="str">
        <f ca="1">IF(FH$1="","",'Total Value'!FH31/'Total Value'!FG31-1)</f>
        <v/>
      </c>
      <c r="FI19" s="14" t="str">
        <f ca="1">IF(FI$1="","",'Total Value'!FI31/'Total Value'!FH31-1)</f>
        <v/>
      </c>
      <c r="FJ19" s="14" t="str">
        <f ca="1">IF(FJ$1="","",'Total Value'!FJ31/'Total Value'!FI31-1)</f>
        <v/>
      </c>
      <c r="FK19" s="14" t="str">
        <f ca="1">IF(FK$1="","",'Total Value'!FK31/'Total Value'!FJ31-1)</f>
        <v/>
      </c>
      <c r="FL19" s="14" t="str">
        <f ca="1">IF(FL$1="","",'Total Value'!FL31/'Total Value'!FK31-1)</f>
        <v/>
      </c>
      <c r="FM19" s="14" t="str">
        <f ca="1">IF(FM$1="","",'Total Value'!FM31/'Total Value'!FL31-1)</f>
        <v/>
      </c>
      <c r="FN19" s="14" t="str">
        <f ca="1">IF(FN$1="","",'Total Value'!FN31/'Total Value'!FM31-1)</f>
        <v/>
      </c>
      <c r="FO19" s="14" t="str">
        <f ca="1">IF(FO$1="","",'Total Value'!FO31/'Total Value'!FN31-1)</f>
        <v/>
      </c>
      <c r="FP19" s="14" t="str">
        <f ca="1">IF(FP$1="","",'Total Value'!FP31/'Total Value'!FO31-1)</f>
        <v/>
      </c>
      <c r="FQ19" s="14" t="str">
        <f ca="1">IF(FQ$1="","",'Total Value'!FQ31/'Total Value'!FP31-1)</f>
        <v/>
      </c>
      <c r="FR19" s="14" t="str">
        <f ca="1">IF(FR$1="","",'Total Value'!FR31/'Total Value'!FQ31-1)</f>
        <v/>
      </c>
      <c r="FS19" s="14" t="str">
        <f ca="1">IF(FS$1="","",'Total Value'!FS31/'Total Value'!FR31-1)</f>
        <v/>
      </c>
      <c r="FT19" s="14" t="str">
        <f ca="1">IF(FT$1="","",'Total Value'!FT31/'Total Value'!FS31-1)</f>
        <v/>
      </c>
      <c r="FU19" s="14" t="str">
        <f ca="1">IF(FU$1="","",'Total Value'!FU31/'Total Value'!FT31-1)</f>
        <v/>
      </c>
      <c r="FV19" s="14" t="str">
        <f ca="1">IF(FV$1="","",'Total Value'!FV31/'Total Value'!FU31-1)</f>
        <v/>
      </c>
      <c r="FW19" s="14" t="str">
        <f ca="1">IF(FW$1="","",'Total Value'!FW31/'Total Value'!FV31-1)</f>
        <v/>
      </c>
      <c r="FX19" s="14" t="str">
        <f ca="1">IF(FX$1="","",'Total Value'!FX31/'Total Value'!FW31-1)</f>
        <v/>
      </c>
      <c r="FY19" s="14" t="str">
        <f ca="1">IF(FY$1="","",'Total Value'!FY31/'Total Value'!FX31-1)</f>
        <v/>
      </c>
      <c r="FZ19" s="14" t="str">
        <f ca="1">IF(FZ$1="","",'Total Value'!FZ31/'Total Value'!FY31-1)</f>
        <v/>
      </c>
      <c r="GA19" s="14" t="str">
        <f ca="1">IF(GA$1="","",'Total Value'!GA31/'Total Value'!FZ31-1)</f>
        <v/>
      </c>
      <c r="GB19" s="14" t="str">
        <f ca="1">IF(GB$1="","",'Total Value'!GB31/'Total Value'!GA31-1)</f>
        <v/>
      </c>
      <c r="GC19" s="14" t="str">
        <f ca="1">IF(GC$1="","",'Total Value'!GC31/'Total Value'!GB31-1)</f>
        <v/>
      </c>
      <c r="GD19" s="14" t="str">
        <f ca="1">IF(GD$1="","",'Total Value'!GD31/'Total Value'!GC31-1)</f>
        <v/>
      </c>
      <c r="GE19" s="14" t="str">
        <f ca="1">IF(GE$1="","",'Total Value'!GE31/'Total Value'!GD31-1)</f>
        <v/>
      </c>
      <c r="GF19" s="14" t="str">
        <f ca="1">IF(GF$1="","",'Total Value'!GF31/'Total Value'!GE31-1)</f>
        <v/>
      </c>
      <c r="GG19" s="14" t="str">
        <f ca="1">IF(GG$1="","",'Total Value'!GG31/'Total Value'!GF31-1)</f>
        <v/>
      </c>
      <c r="GH19" s="14" t="str">
        <f ca="1">IF(GH$1="","",'Total Value'!GH31/'Total Value'!GG31-1)</f>
        <v/>
      </c>
      <c r="GI19" s="14" t="str">
        <f ca="1">IF(GI$1="","",'Total Value'!GI31/'Total Value'!GH31-1)</f>
        <v/>
      </c>
      <c r="GJ19" s="14" t="str">
        <f ca="1">IF(GJ$1="","",'Total Value'!GJ31/'Total Value'!GI31-1)</f>
        <v/>
      </c>
      <c r="GK19" s="14" t="str">
        <f ca="1">IF(GK$1="","",'Total Value'!GK31/'Total Value'!GJ31-1)</f>
        <v/>
      </c>
      <c r="GL19" s="14" t="str">
        <f ca="1">IF(GL$1="","",'Total Value'!GL31/'Total Value'!GK31-1)</f>
        <v/>
      </c>
      <c r="GM19" s="14" t="str">
        <f ca="1">IF(GM$1="","",'Total Value'!GM31/'Total Value'!GL31-1)</f>
        <v/>
      </c>
      <c r="GN19" s="14" t="str">
        <f ca="1">IF(GN$1="","",'Total Value'!GN31/'Total Value'!GM31-1)</f>
        <v/>
      </c>
      <c r="GO19" s="14" t="str">
        <f ca="1">IF(GO$1="","",'Total Value'!GO31/'Total Value'!GN31-1)</f>
        <v/>
      </c>
      <c r="GP19" s="14" t="str">
        <f ca="1">IF(GP$1="","",'Total Value'!GP31/'Total Value'!GO31-1)</f>
        <v/>
      </c>
      <c r="GQ19" s="14" t="str">
        <f ca="1">IF(GQ$1="","",'Total Value'!GQ31/'Total Value'!GP31-1)</f>
        <v/>
      </c>
      <c r="GR19" s="14" t="str">
        <f ca="1">IF(GR$1="","",'Total Value'!GR31/'Total Value'!GQ31-1)</f>
        <v/>
      </c>
      <c r="GS19" s="14" t="str">
        <f ca="1">IF(GS$1="","",'Total Value'!GS31/'Total Value'!GR31-1)</f>
        <v/>
      </c>
      <c r="GT19" s="14" t="str">
        <f ca="1">IF(GT$1="","",'Total Value'!GT31/'Total Value'!GS31-1)</f>
        <v/>
      </c>
      <c r="GU19" s="14" t="str">
        <f ca="1">IF(GU$1="","",'Total Value'!GU31/'Total Value'!GT31-1)</f>
        <v/>
      </c>
      <c r="GV19" s="14" t="str">
        <f ca="1">IF(GV$1="","",'Total Value'!GV31/'Total Value'!GU31-1)</f>
        <v/>
      </c>
      <c r="GW19" s="14" t="str">
        <f ca="1">IF(GW$1="","",'Total Value'!GW31/'Total Value'!GV31-1)</f>
        <v/>
      </c>
      <c r="GX19" s="14" t="str">
        <f ca="1">IF(GX$1="","",'Total Value'!GX31/'Total Value'!GW31-1)</f>
        <v/>
      </c>
      <c r="GY19" s="14" t="str">
        <f ca="1">IF(GY$1="","",'Total Value'!GY31/'Total Value'!GX31-1)</f>
        <v/>
      </c>
      <c r="GZ19" s="14" t="str">
        <f ca="1">IF(GZ$1="","",'Total Value'!GZ31/'Total Value'!GY31-1)</f>
        <v/>
      </c>
      <c r="HA19" s="14" t="str">
        <f ca="1">IF(HA$1="","",'Total Value'!HA31/'Total Value'!GZ31-1)</f>
        <v/>
      </c>
      <c r="HB19" s="14" t="str">
        <f ca="1">IF(HB$1="","",'Total Value'!HB31/'Total Value'!HA31-1)</f>
        <v/>
      </c>
      <c r="HC19" s="14" t="str">
        <f ca="1">IF(HC$1="","",'Total Value'!HC31/'Total Value'!HB31-1)</f>
        <v/>
      </c>
      <c r="HD19" s="14" t="str">
        <f ca="1">IF(HD$1="","",'Total Value'!HD31/'Total Value'!HC31-1)</f>
        <v/>
      </c>
      <c r="HE19" s="14" t="str">
        <f ca="1">IF(HE$1="","",'Total Value'!HE31/'Total Value'!HD31-1)</f>
        <v/>
      </c>
      <c r="HF19" s="14" t="str">
        <f ca="1">IF(HF$1="","",'Total Value'!HF31/'Total Value'!HE31-1)</f>
        <v/>
      </c>
      <c r="HG19" s="14" t="str">
        <f ca="1">IF(HG$1="","",'Total Value'!HG31/'Total Value'!HF31-1)</f>
        <v/>
      </c>
      <c r="HH19" s="14" t="str">
        <f ca="1">IF(HH$1="","",'Total Value'!HH31/'Total Value'!HG31-1)</f>
        <v/>
      </c>
      <c r="HI19" s="14" t="str">
        <f ca="1">IF(HI$1="","",'Total Value'!HI31/'Total Value'!HH31-1)</f>
        <v/>
      </c>
      <c r="HJ19" s="14" t="str">
        <f ca="1">IF(HJ$1="","",'Total Value'!HJ31/'Total Value'!HI31-1)</f>
        <v/>
      </c>
      <c r="HK19" s="14" t="str">
        <f ca="1">IF(HK$1="","",'Total Value'!HK31/'Total Value'!HJ31-1)</f>
        <v/>
      </c>
      <c r="HL19" s="14" t="str">
        <f ca="1">IF(HL$1="","",'Total Value'!HL31/'Total Value'!HK31-1)</f>
        <v/>
      </c>
      <c r="HM19" s="14" t="str">
        <f ca="1">IF(HM$1="","",'Total Value'!HM31/'Total Value'!HL31-1)</f>
        <v/>
      </c>
      <c r="HN19" s="14" t="str">
        <f ca="1">IF(HN$1="","",'Total Value'!HN31/'Total Value'!HM31-1)</f>
        <v/>
      </c>
      <c r="HO19" s="14" t="str">
        <f ca="1">IF(HO$1="","",'Total Value'!HO31/'Total Value'!HN31-1)</f>
        <v/>
      </c>
      <c r="HP19" s="14" t="str">
        <f ca="1">IF(HP$1="","",'Total Value'!HP31/'Total Value'!HO31-1)</f>
        <v/>
      </c>
      <c r="HQ19" s="14" t="str">
        <f ca="1">IF(HQ$1="","",'Total Value'!HQ31/'Total Value'!HP31-1)</f>
        <v/>
      </c>
      <c r="HR19" s="14" t="str">
        <f ca="1">IF(HR$1="","",'Total Value'!HR31/'Total Value'!HQ31-1)</f>
        <v/>
      </c>
      <c r="HS19" s="14" t="str">
        <f ca="1">IF(HS$1="","",'Total Value'!HS31/'Total Value'!HR31-1)</f>
        <v/>
      </c>
      <c r="HT19" s="14" t="str">
        <f ca="1">IF(HT$1="","",'Total Value'!HT31/'Total Value'!HS31-1)</f>
        <v/>
      </c>
      <c r="HU19" s="14" t="str">
        <f ca="1">IF(HU$1="","",'Total Value'!HU31/'Total Value'!HT31-1)</f>
        <v/>
      </c>
      <c r="HV19" s="14" t="str">
        <f ca="1">IF(HV$1="","",'Total Value'!HV31/'Total Value'!HU31-1)</f>
        <v/>
      </c>
      <c r="HW19" s="14" t="str">
        <f ca="1">IF(HW$1="","",'Total Value'!HW31/'Total Value'!HV31-1)</f>
        <v/>
      </c>
      <c r="HX19" s="14" t="str">
        <f ca="1">IF(HX$1="","",'Total Value'!HX31/'Total Value'!HW31-1)</f>
        <v/>
      </c>
      <c r="HY19" s="14" t="str">
        <f ca="1">IF(HY$1="","",'Total Value'!HY31/'Total Value'!HX31-1)</f>
        <v/>
      </c>
      <c r="HZ19" s="14" t="str">
        <f ca="1">IF(HZ$1="","",'Total Value'!HZ31/'Total Value'!HY31-1)</f>
        <v/>
      </c>
      <c r="IA19" s="14" t="str">
        <f ca="1">IF(IA$1="","",'Total Value'!IA31/'Total Value'!HZ31-1)</f>
        <v/>
      </c>
      <c r="IB19" s="14" t="str">
        <f ca="1">IF(IB$1="","",'Total Value'!IB31/'Total Value'!IA31-1)</f>
        <v/>
      </c>
      <c r="IC19" s="14" t="str">
        <f ca="1">IF(IC$1="","",'Total Value'!IC31/'Total Value'!IB31-1)</f>
        <v/>
      </c>
      <c r="ID19" s="14" t="str">
        <f ca="1">IF(ID$1="","",'Total Value'!ID31/'Total Value'!IC31-1)</f>
        <v/>
      </c>
      <c r="IE19" s="14" t="str">
        <f ca="1">IF(IE$1="","",'Total Value'!IE31/'Total Value'!ID31-1)</f>
        <v/>
      </c>
      <c r="IF19" s="14" t="str">
        <f ca="1">IF(IF$1="","",'Total Value'!IF31/'Total Value'!IE31-1)</f>
        <v/>
      </c>
      <c r="IG19" s="14" t="str">
        <f ca="1">IF(IG$1="","",'Total Value'!IG31/'Total Value'!IF31-1)</f>
        <v/>
      </c>
      <c r="IH19" s="14" t="str">
        <f ca="1">IF(IH$1="","",'Total Value'!IH31/'Total Value'!IG31-1)</f>
        <v/>
      </c>
      <c r="II19" s="14" t="str">
        <f ca="1">IF(II$1="","",'Total Value'!II31/'Total Value'!IH31-1)</f>
        <v/>
      </c>
      <c r="IJ19" s="14" t="str">
        <f ca="1">IF(IJ$1="","",'Total Value'!IJ31/'Total Value'!II31-1)</f>
        <v/>
      </c>
      <c r="IK19" s="14" t="str">
        <f ca="1">IF(IK$1="","",'Total Value'!IK31/'Total Value'!IJ31-1)</f>
        <v/>
      </c>
      <c r="IL19" s="14" t="str">
        <f ca="1">IF(IL$1="","",'Total Value'!IL31/'Total Value'!IK31-1)</f>
        <v/>
      </c>
      <c r="IM19" s="14" t="str">
        <f ca="1">IF(IM$1="","",'Total Value'!IM31/'Total Value'!IL31-1)</f>
        <v/>
      </c>
      <c r="IN19" s="14" t="str">
        <f ca="1">IF(IN$1="","",'Total Value'!IN31/'Total Value'!IM31-1)</f>
        <v/>
      </c>
      <c r="IO19" s="14" t="str">
        <f ca="1">IF(IO$1="","",'Total Value'!IO31/'Total Value'!IN31-1)</f>
        <v/>
      </c>
      <c r="IP19" s="14" t="str">
        <f ca="1">IF(IP$1="","",'Total Value'!IP31/'Total Value'!IO31-1)</f>
        <v/>
      </c>
      <c r="IQ19" s="14" t="str">
        <f ca="1">IF(IQ$1="","",'Total Value'!IQ31/'Total Value'!IP31-1)</f>
        <v/>
      </c>
      <c r="IR19" s="14" t="str">
        <f ca="1">IF(IR$1="","",'Total Value'!IR31/'Total Value'!IQ31-1)</f>
        <v/>
      </c>
      <c r="IS19" s="14" t="str">
        <f ca="1">IF(IS$1="","",'Total Value'!IS31/'Total Value'!IR31-1)</f>
        <v/>
      </c>
      <c r="IT19" s="14" t="str">
        <f ca="1">IF(IT$1="","",'Total Value'!IT31/'Total Value'!IS31-1)</f>
        <v/>
      </c>
      <c r="IU19" s="14" t="str">
        <f ca="1">IF(IU$1="","",'Total Value'!IU31/'Total Value'!IT31-1)</f>
        <v/>
      </c>
      <c r="IV19" s="14" t="str">
        <f ca="1">IF(IV$1="","",'Total Value'!IV31/'Total Value'!IU31-1)</f>
        <v/>
      </c>
      <c r="IW19" s="14" t="str">
        <f ca="1">IF(IW$1="","",'Total Value'!IW31/'Total Value'!IV31-1)</f>
        <v/>
      </c>
      <c r="IX19" s="14" t="str">
        <f ca="1">IF(IX$1="","",'Total Value'!IX31/'Total Value'!IW31-1)</f>
        <v/>
      </c>
      <c r="IY19" s="14" t="str">
        <f ca="1">IF(IY$1="","",'Total Value'!IY31/'Total Value'!IX31-1)</f>
        <v/>
      </c>
      <c r="IZ19" s="14" t="str">
        <f ca="1">IF(IZ$1="","",'Total Value'!IZ31/'Total Value'!IY31-1)</f>
        <v/>
      </c>
      <c r="JA19" s="14" t="str">
        <f ca="1">IF(JA$1="","",'Total Value'!JA31/'Total Value'!IZ31-1)</f>
        <v/>
      </c>
      <c r="JB19" s="14" t="str">
        <f ca="1">IF(JB$1="","",'Total Value'!JB31/'Total Value'!JA31-1)</f>
        <v/>
      </c>
      <c r="JC19" s="14" t="str">
        <f ca="1">IF(JC$1="","",'Total Value'!JC31/'Total Value'!JB31-1)</f>
        <v/>
      </c>
      <c r="JD19" s="14" t="str">
        <f ca="1">IF(JD$1="","",'Total Value'!JD31/'Total Value'!JC31-1)</f>
        <v/>
      </c>
      <c r="JE19" s="14" t="str">
        <f ca="1">IF(JE$1="","",'Total Value'!JE31/'Total Value'!JD31-1)</f>
        <v/>
      </c>
      <c r="JF19" s="14" t="str">
        <f ca="1">IF(JF$1="","",'Total Value'!JF31/'Total Value'!JE31-1)</f>
        <v/>
      </c>
      <c r="JG19" s="14" t="str">
        <f ca="1">IF(JG$1="","",'Total Value'!JG31/'Total Value'!JF31-1)</f>
        <v/>
      </c>
      <c r="JH19" s="14" t="str">
        <f ca="1">IF(JH$1="","",'Total Value'!JH31/'Total Value'!JG31-1)</f>
        <v/>
      </c>
      <c r="JI19" s="14" t="str">
        <f ca="1">IF(JI$1="","",'Total Value'!JI31/'Total Value'!JH31-1)</f>
        <v/>
      </c>
      <c r="JJ19" s="14" t="str">
        <f ca="1">IF(JJ$1="","",'Total Value'!JJ31/'Total Value'!JI31-1)</f>
        <v/>
      </c>
      <c r="JK19" s="14" t="str">
        <f ca="1">IF(JK$1="","",'Total Value'!JK31/'Total Value'!JJ31-1)</f>
        <v/>
      </c>
      <c r="JL19" s="14" t="str">
        <f ca="1">IF(JL$1="","",'Total Value'!JL31/'Total Value'!JK31-1)</f>
        <v/>
      </c>
      <c r="JM19" s="14" t="str">
        <f ca="1">IF(JM$1="","",'Total Value'!JM31/'Total Value'!JL31-1)</f>
        <v/>
      </c>
      <c r="JN19" s="14" t="str">
        <f ca="1">IF(JN$1="","",'Total Value'!JN31/'Total Value'!JM31-1)</f>
        <v/>
      </c>
      <c r="JO19" s="14" t="str">
        <f ca="1">IF(JO$1="","",'Total Value'!JO31/'Total Value'!JN31-1)</f>
        <v/>
      </c>
      <c r="JP19" s="14" t="str">
        <f ca="1">IF(JP$1="","",'Total Value'!JP31/'Total Value'!JO31-1)</f>
        <v/>
      </c>
      <c r="JQ19" s="14" t="str">
        <f ca="1">IF(JQ$1="","",'Total Value'!JQ31/'Total Value'!JP31-1)</f>
        <v/>
      </c>
      <c r="JR19" s="14" t="str">
        <f ca="1">IF(JR$1="","",'Total Value'!JR31/'Total Value'!JQ31-1)</f>
        <v/>
      </c>
      <c r="JS19" s="14" t="str">
        <f ca="1">IF(JS$1="","",'Total Value'!JS31/'Total Value'!JR31-1)</f>
        <v/>
      </c>
      <c r="JT19" s="14" t="str">
        <f ca="1">IF(JT$1="","",'Total Value'!JT31/'Total Value'!JS31-1)</f>
        <v/>
      </c>
      <c r="JU19" s="14" t="str">
        <f ca="1">IF(JU$1="","",'Total Value'!JU31/'Total Value'!JT31-1)</f>
        <v/>
      </c>
      <c r="JV19" s="14" t="str">
        <f ca="1">IF(JV$1="","",'Total Value'!JV31/'Total Value'!JU31-1)</f>
        <v/>
      </c>
      <c r="JW19" s="14" t="str">
        <f ca="1">IF(JW$1="","",'Total Value'!JW31/'Total Value'!JV31-1)</f>
        <v/>
      </c>
      <c r="JX19" s="14" t="str">
        <f ca="1">IF(JX$1="","",'Total Value'!JX31/'Total Value'!JW31-1)</f>
        <v/>
      </c>
      <c r="JY19" s="14" t="str">
        <f ca="1">IF(JY$1="","",'Total Value'!JY31/'Total Value'!JX31-1)</f>
        <v/>
      </c>
      <c r="JZ19" s="14" t="str">
        <f ca="1">IF(JZ$1="","",'Total Value'!JZ31/'Total Value'!JY31-1)</f>
        <v/>
      </c>
      <c r="KA19" s="14" t="str">
        <f ca="1">IF(KA$1="","",'Total Value'!KA31/'Total Value'!JZ31-1)</f>
        <v/>
      </c>
      <c r="KB19" s="14" t="str">
        <f ca="1">IF(KB$1="","",'Total Value'!KB31/'Total Value'!KA31-1)</f>
        <v/>
      </c>
    </row>
    <row r="20" spans="1:288" ht="15.75" customHeight="1">
      <c r="A20" s="22" t="s">
        <v>30</v>
      </c>
      <c r="B20" s="6" t="s">
        <v>65</v>
      </c>
      <c r="C20" s="26">
        <v>51</v>
      </c>
      <c r="D20" s="13">
        <v>0</v>
      </c>
      <c r="E20" s="14">
        <f ca="1">IF(E$1="","",'Total Value'!E32/'Total Value'!D32-1)</f>
        <v>-1.2513484358144478E-2</v>
      </c>
      <c r="F20" s="14">
        <f ca="1">IF(F$1="","",'Total Value'!F32/'Total Value'!E32-1)</f>
        <v>-5.0251256281407253E-3</v>
      </c>
      <c r="G20" s="14">
        <f ca="1">IF(G$1="","",'Total Value'!G32/'Total Value'!F32-1)</f>
        <v>-1.7127799736495475E-2</v>
      </c>
      <c r="H20" s="14">
        <f ca="1">IF(H$1="","",'Total Value'!H32/'Total Value'!G32-1)</f>
        <v>-5.8087578194815359E-3</v>
      </c>
      <c r="I20" s="14">
        <f ca="1">IF(I$1="","",'Total Value'!I32/'Total Value'!H32-1)</f>
        <v>-1.573033707865179E-2</v>
      </c>
      <c r="J20" s="14">
        <f ca="1">IF(J$1="","",'Total Value'!J32/'Total Value'!I32-1)</f>
        <v>-2.2831050228310557E-2</v>
      </c>
      <c r="K20" s="14">
        <f ca="1">IF(K$1="","",'Total Value'!K32/'Total Value'!J32-1)</f>
        <v>-1.9859813084111888E-2</v>
      </c>
      <c r="L20" s="14">
        <f ca="1">IF(L$1="","",'Total Value'!L32/'Total Value'!K32-1)</f>
        <v>-3.0274135876043107E-2</v>
      </c>
      <c r="M20" s="14">
        <f ca="1">IF(M$1="","",'Total Value'!M32/'Total Value'!L32-1)</f>
        <v>3.1956735496558863E-3</v>
      </c>
      <c r="N20" s="14">
        <f ca="1">IF(N$1="","",'Total Value'!N32/'Total Value'!M32-1)</f>
        <v>-2.4993874050477816E-2</v>
      </c>
      <c r="O20" s="14">
        <f ca="1">IF(O$1="","",'Total Value'!O32/'Total Value'!N32-1)</f>
        <v>-1.3822568484543885E-2</v>
      </c>
      <c r="P20" s="14">
        <f ca="1">IF(P$1="","",'Total Value'!P32/'Total Value'!O32-1)</f>
        <v>-1.885830784913356E-2</v>
      </c>
      <c r="Q20" s="14">
        <f ca="1">IF(Q$1="","",'Total Value'!Q32/'Total Value'!P32-1)</f>
        <v>1.3506493506493689E-2</v>
      </c>
      <c r="R20" s="14">
        <f ca="1">IF(R$1="","",'Total Value'!R32/'Total Value'!Q32-1)</f>
        <v>2.0246027678113787E-2</v>
      </c>
      <c r="S20" s="14">
        <f ca="1">IF(S$1="","",'Total Value'!S32/'Total Value'!R32-1)</f>
        <v>1.4318010550113058E-2</v>
      </c>
      <c r="T20" s="14">
        <f ca="1">IF(T$1="","",'Total Value'!T32/'Total Value'!S32-1)</f>
        <v>-5.9435364041604544E-3</v>
      </c>
      <c r="U20" s="14">
        <f ca="1">IF(U$1="","",'Total Value'!U32/'Total Value'!T32-1)</f>
        <v>-2.5909317389138042E-2</v>
      </c>
      <c r="V20" s="14">
        <f ca="1">IF(V$1="","",'Total Value'!V32/'Total Value'!U32-1)</f>
        <v>2.8132992327365436E-3</v>
      </c>
      <c r="W20" s="14">
        <f ca="1">IF(W$1="","",'Total Value'!W32/'Total Value'!V32-1)</f>
        <v>1.3006885998469775E-2</v>
      </c>
      <c r="X20" s="14">
        <f ca="1">IF(X$1="","",'Total Value'!X32/'Total Value'!W32-1)</f>
        <v>4.2799597180261939E-2</v>
      </c>
      <c r="Y20" s="14">
        <f ca="1">IF(Y$1="","",'Total Value'!Y32/'Total Value'!X32-1)</f>
        <v>2.6074360212457792E-2</v>
      </c>
      <c r="Z20" s="14">
        <f ca="1">IF(Z$1="","",'Total Value'!Z32/'Total Value'!Y32-1)</f>
        <v>-6.3529411764705612E-3</v>
      </c>
      <c r="AA20" s="14">
        <f ca="1">IF(AA$1="","",'Total Value'!AA32/'Total Value'!Z32-1)</f>
        <v>-2.3679848448969976E-2</v>
      </c>
      <c r="AB20" s="14">
        <f ca="1">IF(AB$1="","",'Total Value'!AB32/'Total Value'!AA32-1)</f>
        <v>4.1232112539413279E-3</v>
      </c>
      <c r="AC20" s="14">
        <f ca="1">IF(AC$1="","",'Total Value'!AC32/'Total Value'!AB32-1)</f>
        <v>4.8309178743961345E-2</v>
      </c>
      <c r="AD20" s="14">
        <f ca="1">IF(AD$1="","",'Total Value'!AD32/'Total Value'!AC32-1)</f>
        <v>1.1290322580645107E-2</v>
      </c>
      <c r="AE20" s="14">
        <f ca="1">IF(AE$1="","",'Total Value'!AE32/'Total Value'!AD32-1)</f>
        <v>-2.6201868307131337E-2</v>
      </c>
      <c r="AF20" s="14">
        <f ca="1">IF(AF$1="","",'Total Value'!AF32/'Total Value'!AE32-1)</f>
        <v>5.2877866167524434E-2</v>
      </c>
      <c r="AG20" s="14">
        <f ca="1">IF(AG$1="","",'Total Value'!AG32/'Total Value'!AF32-1)</f>
        <v>-4.6666666666667078E-3</v>
      </c>
      <c r="AH20" s="14">
        <f ca="1">IF(AH$1="","",'Total Value'!AH32/'Total Value'!AG32-1)</f>
        <v>-1.0716677829872734E-2</v>
      </c>
      <c r="AI20" s="14">
        <f ca="1">IF(AI$1="","",'Total Value'!AI32/'Total Value'!AH32-1)</f>
        <v>-1.0381403746332674E-2</v>
      </c>
      <c r="AJ20" s="14">
        <f ca="1">IF(AJ$1="","",'Total Value'!AJ32/'Total Value'!AI32-1)</f>
        <v>2.6453819840364767E-2</v>
      </c>
      <c r="AK20" s="14">
        <f ca="1">IF(AK$1="","",'Total Value'!AK32/'Total Value'!AJ32-1)</f>
        <v>-7.2206176405243294E-2</v>
      </c>
      <c r="AL20" s="14">
        <f ca="1">IF(AL$1="","",'Total Value'!AL32/'Total Value'!AK32-1)</f>
        <v>-6.2260536398467403E-2</v>
      </c>
      <c r="AM20" s="14">
        <f ca="1">IF(AM$1="","",'Total Value'!AM32/'Total Value'!AL32-1)</f>
        <v>4.2900919305413732E-2</v>
      </c>
      <c r="AN20" s="14">
        <f ca="1">IF(AN$1="","",'Total Value'!AN32/'Total Value'!AM32-1)</f>
        <v>-4.2360430950049044E-2</v>
      </c>
      <c r="AO20" s="14">
        <f ca="1">IF(AO$1="","",'Total Value'!AO32/'Total Value'!AN32-1)</f>
        <v>-6.5456405011505958E-2</v>
      </c>
      <c r="AP20" s="14">
        <f ca="1">IF(AP$1="","",'Total Value'!AP32/'Total Value'!AO32-1)</f>
        <v>-8.0711354309165428E-2</v>
      </c>
      <c r="AQ20" s="14">
        <f ca="1">IF(AQ$1="","",'Total Value'!AQ32/'Total Value'!AP32-1)</f>
        <v>6.0416666666666563E-2</v>
      </c>
      <c r="AR20" s="14">
        <f ca="1">IF(AR$1="","",'Total Value'!AR32/'Total Value'!AQ32-1)</f>
        <v>8.1392085321358998E-3</v>
      </c>
      <c r="AS20" s="14">
        <f ca="1">IF(AS$1="","",'Total Value'!AS32/'Total Value'!AR32-1)</f>
        <v>-2.7839643652571855E-4</v>
      </c>
      <c r="AT20" s="14">
        <f ca="1">IF(AT$1="","",'Total Value'!AT32/'Total Value'!AS32-1)</f>
        <v>4.2328042328042548E-2</v>
      </c>
      <c r="AU20" s="14">
        <f ca="1">IF(AU$1="","",'Total Value'!AU32/'Total Value'!AT32-1)</f>
        <v>2.644937216136789E-2</v>
      </c>
      <c r="AV20" s="14">
        <f ca="1">IF(AV$1="","",'Total Value'!AV32/'Total Value'!AU32-1)</f>
        <v>3.8261322228006156E-2</v>
      </c>
      <c r="AW20" s="14">
        <f ca="1">IF(AW$1="","",'Total Value'!AW32/'Total Value'!AV32-1)</f>
        <v>3.7352719979944826E-2</v>
      </c>
      <c r="AX20" s="14">
        <f ca="1">IF(AX$1="","",'Total Value'!AX32/'Total Value'!AW32-1)</f>
        <v>3.6249395843404031E-3</v>
      </c>
      <c r="AY20" s="14">
        <f ca="1">IF(AY$1="","",'Total Value'!AY32/'Total Value'!AX32-1)</f>
        <v>1.4447387430772896E-2</v>
      </c>
      <c r="AZ20" s="14">
        <f ca="1">IF(AZ$1="","",'Total Value'!AZ32/'Total Value'!AY32-1)</f>
        <v>-4.7472110135293732E-4</v>
      </c>
      <c r="BA20" s="14">
        <f ca="1">IF(BA$1="","",'Total Value'!BA32/'Total Value'!AZ32-1)</f>
        <v>2.7546900973640431E-2</v>
      </c>
      <c r="BB20" s="14">
        <f ca="1">IF(BB$1="","",'Total Value'!BB32/'Total Value'!BA32-1)</f>
        <v>-6.702103073723098E-3</v>
      </c>
      <c r="BC20" s="14">
        <f ca="1">IF(BC$1="","",'Total Value'!BC32/'Total Value'!BB32-1)</f>
        <v>1.9543973941368087E-2</v>
      </c>
      <c r="BD20" s="14">
        <f ca="1">IF(BD$1="","",'Total Value'!BD32/'Total Value'!BC32-1)</f>
        <v>2.0082154267457852E-2</v>
      </c>
      <c r="BE20" s="14">
        <f ca="1">IF(BE$1="","",'Total Value'!BE32/'Total Value'!BD32-1)</f>
        <v>8.0536912751676404E-3</v>
      </c>
      <c r="BF20" s="14">
        <f ca="1">IF(BF$1="","",'Total Value'!BF32/'Total Value'!BE32-1)</f>
        <v>3.3288948069241098E-3</v>
      </c>
      <c r="BG20" s="14">
        <f ca="1">IF(BG$1="","",'Total Value'!BG32/'Total Value'!BF32-1)</f>
        <v>-1.5483300154833124E-2</v>
      </c>
      <c r="BH20" s="14">
        <f ca="1">IF(BH$1="","",'Total Value'!BH32/'Total Value'!BG32-1)</f>
        <v>3.1453605931253126E-3</v>
      </c>
      <c r="BI20" s="14">
        <f ca="1">IF(BI$1="","",'Total Value'!BI32/'Total Value'!BH32-1)</f>
        <v>-6.2709966405376516E-3</v>
      </c>
      <c r="BJ20" s="14">
        <f ca="1">IF(BJ$1="","",'Total Value'!BJ32/'Total Value'!BI32-1)</f>
        <v>-8.3389677710163923E-3</v>
      </c>
      <c r="BK20" s="14">
        <f ca="1">IF(BK$1="","",'Total Value'!BK32/'Total Value'!BJ32-1)</f>
        <v>-2.1363636363636362E-2</v>
      </c>
      <c r="BL20" s="14">
        <f ca="1">IF(BL$1="","",'Total Value'!BL32/'Total Value'!BK32-1)</f>
        <v>-1.207617278216444E-2</v>
      </c>
      <c r="BM20" s="14">
        <f ca="1">IF(BM$1="","",'Total Value'!BM32/'Total Value'!BL32-1)</f>
        <v>-7.0521861777149697E-3</v>
      </c>
      <c r="BN20" s="14">
        <f ca="1">IF(BN$1="","",'Total Value'!BN32/'Total Value'!BM32-1)</f>
        <v>-1.1126893939394034E-2</v>
      </c>
      <c r="BO20" s="14">
        <f ca="1">IF(BO$1="","",'Total Value'!BO32/'Total Value'!BN32-1)</f>
        <v>5.2669379937755334E-3</v>
      </c>
      <c r="BP20" s="14">
        <f ca="1">IF(BP$1="","",'Total Value'!BP32/'Total Value'!BO32-1)</f>
        <v>-9.0497737556561875E-3</v>
      </c>
      <c r="BQ20" s="14">
        <f ca="1">IF(BQ$1="","",'Total Value'!BQ32/'Total Value'!BP32-1)</f>
        <v>2.9079548185532378E-2</v>
      </c>
      <c r="BR20" s="14">
        <f ca="1">IF(BR$1="","",'Total Value'!BR32/'Total Value'!BQ32-1)</f>
        <v>1.1676786548341811E-2</v>
      </c>
      <c r="BS20" s="14">
        <f ca="1">IF(BS$1="","",'Total Value'!BS32/'Total Value'!BR32-1)</f>
        <v>4.1551246537394615E-3</v>
      </c>
      <c r="BT20" s="14">
        <f ca="1">IF(BT$1="","",'Total Value'!BT32/'Total Value'!BS32-1)</f>
        <v>4.1839080459770139E-2</v>
      </c>
      <c r="BU20" s="14">
        <f ca="1">IF(BU$1="","",'Total Value'!BU32/'Total Value'!BT32-1)</f>
        <v>4.6337157987643707E-3</v>
      </c>
      <c r="BV20" s="14">
        <f ca="1">IF(BV$1="","",'Total Value'!BV32/'Total Value'!BU32-1)</f>
        <v>-5.4908851306830764E-3</v>
      </c>
      <c r="BW20" s="14">
        <f ca="1">IF(BW$1="","",'Total Value'!BW32/'Total Value'!BV32-1)</f>
        <v>-2.0759717314487669E-2</v>
      </c>
      <c r="BX20" s="14">
        <f ca="1">IF(BX$1="","",'Total Value'!BX32/'Total Value'!BW32-1)</f>
        <v>-1.3080739738385416E-2</v>
      </c>
      <c r="BY20" s="14">
        <f ca="1">IF(BY$1="","",'Total Value'!BY32/'Total Value'!BX32-1)</f>
        <v>-5.0502742230347342E-2</v>
      </c>
      <c r="BZ20" s="14">
        <f ca="1">IF(BZ$1="","",'Total Value'!BZ32/'Total Value'!BY32-1)</f>
        <v>-1.6365824308062549E-2</v>
      </c>
      <c r="CA20" s="14">
        <f ca="1">IF(CA$1="","",'Total Value'!CA32/'Total Value'!BZ32-1)</f>
        <v>2.0308294592610965E-2</v>
      </c>
      <c r="CB20" s="14">
        <f ca="1">IF(CB$1="","",'Total Value'!CB32/'Total Value'!CA32-1)</f>
        <v>-3.4052757793765043E-2</v>
      </c>
      <c r="CC20" s="14">
        <f ca="1">IF(CC$1="","",'Total Value'!CC32/'Total Value'!CB32-1)</f>
        <v>-6.4548162859979774E-3</v>
      </c>
      <c r="CD20" s="14">
        <f ca="1">IF(CD$1="","",'Total Value'!CD32/'Total Value'!CC32-1)</f>
        <v>1.4242878560719596E-2</v>
      </c>
      <c r="CE20" s="14">
        <f ca="1">IF(CE$1="","",'Total Value'!CE32/'Total Value'!CD32-1)</f>
        <v>1.3796501601379685E-2</v>
      </c>
      <c r="CF20" s="14" t="str">
        <f ca="1">IF(CF$1="","",'Total Value'!CF32/'Total Value'!CE32-1)</f>
        <v/>
      </c>
      <c r="CG20" s="14" t="str">
        <f ca="1">IF(CG$1="","",'Total Value'!CG32/'Total Value'!CF32-1)</f>
        <v/>
      </c>
      <c r="CH20" s="14" t="str">
        <f ca="1">IF(CH$1="","",'Total Value'!CH32/'Total Value'!CG32-1)</f>
        <v/>
      </c>
      <c r="CI20" s="14" t="str">
        <f ca="1">IF(CI$1="","",'Total Value'!CI32/'Total Value'!CH32-1)</f>
        <v/>
      </c>
      <c r="CJ20" s="14" t="str">
        <f ca="1">IF(CJ$1="","",'Total Value'!CJ32/'Total Value'!CI32-1)</f>
        <v/>
      </c>
      <c r="CK20" s="14" t="str">
        <f ca="1">IF(CK$1="","",'Total Value'!CK32/'Total Value'!CJ32-1)</f>
        <v/>
      </c>
      <c r="CL20" s="14" t="str">
        <f ca="1">IF(CL$1="","",'Total Value'!CL32/'Total Value'!CK32-1)</f>
        <v/>
      </c>
      <c r="CM20" s="14" t="str">
        <f ca="1">IF(CM$1="","",'Total Value'!CM32/'Total Value'!CL32-1)</f>
        <v/>
      </c>
      <c r="CN20" s="14" t="str">
        <f ca="1">IF(CN$1="","",'Total Value'!CN32/'Total Value'!CM32-1)</f>
        <v/>
      </c>
      <c r="CO20" s="14" t="str">
        <f ca="1">IF(CO$1="","",'Total Value'!CO32/'Total Value'!CN32-1)</f>
        <v/>
      </c>
      <c r="CP20" s="14" t="str">
        <f ca="1">IF(CP$1="","",'Total Value'!CP32/'Total Value'!CO32-1)</f>
        <v/>
      </c>
      <c r="CQ20" s="14" t="str">
        <f ca="1">IF(CQ$1="","",'Total Value'!CQ32/'Total Value'!CP32-1)</f>
        <v/>
      </c>
      <c r="CR20" s="14" t="str">
        <f ca="1">IF(CR$1="","",'Total Value'!CR32/'Total Value'!CQ32-1)</f>
        <v/>
      </c>
      <c r="CS20" s="14" t="str">
        <f ca="1">IF(CS$1="","",'Total Value'!CS32/'Total Value'!CR32-1)</f>
        <v/>
      </c>
      <c r="CT20" s="14" t="str">
        <f ca="1">IF(CT$1="","",'Total Value'!CT32/'Total Value'!CS32-1)</f>
        <v/>
      </c>
      <c r="CU20" s="14" t="str">
        <f ca="1">IF(CU$1="","",'Total Value'!CU32/'Total Value'!CT32-1)</f>
        <v/>
      </c>
      <c r="CV20" s="14" t="str">
        <f ca="1">IF(CV$1="","",'Total Value'!CV32/'Total Value'!CU32-1)</f>
        <v/>
      </c>
      <c r="CW20" s="14" t="str">
        <f ca="1">IF(CW$1="","",'Total Value'!CW32/'Total Value'!CV32-1)</f>
        <v/>
      </c>
      <c r="CX20" s="14" t="str">
        <f ca="1">IF(CX$1="","",'Total Value'!CX32/'Total Value'!CW32-1)</f>
        <v/>
      </c>
      <c r="CY20" s="14" t="str">
        <f ca="1">IF(CY$1="","",'Total Value'!CY32/'Total Value'!CX32-1)</f>
        <v/>
      </c>
      <c r="CZ20" s="14" t="str">
        <f ca="1">IF(CZ$1="","",'Total Value'!CZ32/'Total Value'!CY32-1)</f>
        <v/>
      </c>
      <c r="DA20" s="14" t="str">
        <f ca="1">IF(DA$1="","",'Total Value'!DA32/'Total Value'!CZ32-1)</f>
        <v/>
      </c>
      <c r="DB20" s="14" t="str">
        <f ca="1">IF(DB$1="","",'Total Value'!DB32/'Total Value'!DA32-1)</f>
        <v/>
      </c>
      <c r="DC20" s="14" t="str">
        <f ca="1">IF(DC$1="","",'Total Value'!DC32/'Total Value'!DB32-1)</f>
        <v/>
      </c>
      <c r="DD20" s="14" t="str">
        <f ca="1">IF(DD$1="","",'Total Value'!DD32/'Total Value'!DC32-1)</f>
        <v/>
      </c>
      <c r="DE20" s="14" t="str">
        <f ca="1">IF(DE$1="","",'Total Value'!DE32/'Total Value'!DD32-1)</f>
        <v/>
      </c>
      <c r="DF20" s="14" t="str">
        <f ca="1">IF(DF$1="","",'Total Value'!DF32/'Total Value'!DE32-1)</f>
        <v/>
      </c>
      <c r="DG20" s="14" t="str">
        <f ca="1">IF(DG$1="","",'Total Value'!DG32/'Total Value'!DF32-1)</f>
        <v/>
      </c>
      <c r="DH20" s="14" t="str">
        <f ca="1">IF(DH$1="","",'Total Value'!DH32/'Total Value'!DG32-1)</f>
        <v/>
      </c>
      <c r="DI20" s="14" t="str">
        <f ca="1">IF(DI$1="","",'Total Value'!DI32/'Total Value'!DH32-1)</f>
        <v/>
      </c>
      <c r="DJ20" s="14" t="str">
        <f ca="1">IF(DJ$1="","",'Total Value'!DJ32/'Total Value'!DI32-1)</f>
        <v/>
      </c>
      <c r="DK20" s="14" t="str">
        <f ca="1">IF(DK$1="","",'Total Value'!DK32/'Total Value'!DJ32-1)</f>
        <v/>
      </c>
      <c r="DL20" s="14" t="str">
        <f ca="1">IF(DL$1="","",'Total Value'!DL32/'Total Value'!DK32-1)</f>
        <v/>
      </c>
      <c r="DM20" s="14" t="str">
        <f ca="1">IF(DM$1="","",'Total Value'!DM32/'Total Value'!DL32-1)</f>
        <v/>
      </c>
      <c r="DN20" s="14" t="str">
        <f ca="1">IF(DN$1="","",'Total Value'!DN32/'Total Value'!DM32-1)</f>
        <v/>
      </c>
      <c r="DO20" s="14" t="str">
        <f ca="1">IF(DO$1="","",'Total Value'!DO32/'Total Value'!DN32-1)</f>
        <v/>
      </c>
      <c r="DP20" s="14" t="str">
        <f ca="1">IF(DP$1="","",'Total Value'!DP32/'Total Value'!DO32-1)</f>
        <v/>
      </c>
      <c r="DQ20" s="14" t="str">
        <f ca="1">IF(DQ$1="","",'Total Value'!DQ32/'Total Value'!DP32-1)</f>
        <v/>
      </c>
      <c r="DR20" s="14" t="str">
        <f ca="1">IF(DR$1="","",'Total Value'!DR32/'Total Value'!DQ32-1)</f>
        <v/>
      </c>
      <c r="DS20" s="14" t="str">
        <f ca="1">IF(DS$1="","",'Total Value'!DS32/'Total Value'!DR32-1)</f>
        <v/>
      </c>
      <c r="DT20" s="14" t="str">
        <f ca="1">IF(DT$1="","",'Total Value'!DT32/'Total Value'!DS32-1)</f>
        <v/>
      </c>
      <c r="DU20" s="14" t="str">
        <f ca="1">IF(DU$1="","",'Total Value'!DU32/'Total Value'!DT32-1)</f>
        <v/>
      </c>
      <c r="DV20" s="14" t="str">
        <f ca="1">IF(DV$1="","",'Total Value'!DV32/'Total Value'!DU32-1)</f>
        <v/>
      </c>
      <c r="DW20" s="14" t="str">
        <f ca="1">IF(DW$1="","",'Total Value'!DW32/'Total Value'!DV32-1)</f>
        <v/>
      </c>
      <c r="DX20" s="14" t="str">
        <f ca="1">IF(DX$1="","",'Total Value'!DX32/'Total Value'!DW32-1)</f>
        <v/>
      </c>
      <c r="DY20" s="14" t="str">
        <f ca="1">IF(DY$1="","",'Total Value'!DY32/'Total Value'!DX32-1)</f>
        <v/>
      </c>
      <c r="DZ20" s="14" t="str">
        <f ca="1">IF(DZ$1="","",'Total Value'!DZ32/'Total Value'!DY32-1)</f>
        <v/>
      </c>
      <c r="EA20" s="14" t="str">
        <f ca="1">IF(EA$1="","",'Total Value'!EA32/'Total Value'!DZ32-1)</f>
        <v/>
      </c>
      <c r="EB20" s="14" t="str">
        <f ca="1">IF(EB$1="","",'Total Value'!EB32/'Total Value'!EA32-1)</f>
        <v/>
      </c>
      <c r="EC20" s="14" t="str">
        <f ca="1">IF(EC$1="","",'Total Value'!EC32/'Total Value'!EB32-1)</f>
        <v/>
      </c>
      <c r="ED20" s="14" t="str">
        <f ca="1">IF(ED$1="","",'Total Value'!ED32/'Total Value'!EC32-1)</f>
        <v/>
      </c>
      <c r="EE20" s="14" t="str">
        <f ca="1">IF(EE$1="","",'Total Value'!EE32/'Total Value'!ED32-1)</f>
        <v/>
      </c>
      <c r="EF20" s="14" t="str">
        <f ca="1">IF(EF$1="","",'Total Value'!EF32/'Total Value'!EE32-1)</f>
        <v/>
      </c>
      <c r="EG20" s="14" t="str">
        <f ca="1">IF(EG$1="","",'Total Value'!EG32/'Total Value'!EF32-1)</f>
        <v/>
      </c>
      <c r="EH20" s="14" t="str">
        <f ca="1">IF(EH$1="","",'Total Value'!EH32/'Total Value'!EG32-1)</f>
        <v/>
      </c>
      <c r="EI20" s="14" t="str">
        <f ca="1">IF(EI$1="","",'Total Value'!EI32/'Total Value'!EH32-1)</f>
        <v/>
      </c>
      <c r="EJ20" s="14" t="str">
        <f ca="1">IF(EJ$1="","",'Total Value'!EJ32/'Total Value'!EI32-1)</f>
        <v/>
      </c>
      <c r="EK20" s="14" t="str">
        <f ca="1">IF(EK$1="","",'Total Value'!EK32/'Total Value'!EJ32-1)</f>
        <v/>
      </c>
      <c r="EL20" s="14" t="str">
        <f ca="1">IF(EL$1="","",'Total Value'!EL32/'Total Value'!EK32-1)</f>
        <v/>
      </c>
      <c r="EM20" s="14" t="str">
        <f ca="1">IF(EM$1="","",'Total Value'!EM32/'Total Value'!EL32-1)</f>
        <v/>
      </c>
      <c r="EN20" s="14" t="str">
        <f ca="1">IF(EN$1="","",'Total Value'!EN32/'Total Value'!EM32-1)</f>
        <v/>
      </c>
      <c r="EO20" s="14" t="str">
        <f ca="1">IF(EO$1="","",'Total Value'!EO32/'Total Value'!EN32-1)</f>
        <v/>
      </c>
      <c r="EP20" s="14" t="str">
        <f ca="1">IF(EP$1="","",'Total Value'!EP32/'Total Value'!EO32-1)</f>
        <v/>
      </c>
      <c r="EQ20" s="14" t="str">
        <f ca="1">IF(EQ$1="","",'Total Value'!EQ32/'Total Value'!EP32-1)</f>
        <v/>
      </c>
      <c r="ER20" s="14" t="str">
        <f ca="1">IF(ER$1="","",'Total Value'!ER32/'Total Value'!EQ32-1)</f>
        <v/>
      </c>
      <c r="ES20" s="14" t="str">
        <f ca="1">IF(ES$1="","",'Total Value'!ES32/'Total Value'!ER32-1)</f>
        <v/>
      </c>
      <c r="ET20" s="14" t="str">
        <f ca="1">IF(ET$1="","",'Total Value'!ET32/'Total Value'!ES32-1)</f>
        <v/>
      </c>
      <c r="EU20" s="14" t="str">
        <f ca="1">IF(EU$1="","",'Total Value'!EU32/'Total Value'!ET32-1)</f>
        <v/>
      </c>
      <c r="EV20" s="14" t="str">
        <f ca="1">IF(EV$1="","",'Total Value'!EV32/'Total Value'!EU32-1)</f>
        <v/>
      </c>
      <c r="EW20" s="14" t="str">
        <f ca="1">IF(EW$1="","",'Total Value'!EW32/'Total Value'!EV32-1)</f>
        <v/>
      </c>
      <c r="EX20" s="14" t="str">
        <f ca="1">IF(EX$1="","",'Total Value'!EX32/'Total Value'!EW32-1)</f>
        <v/>
      </c>
      <c r="EY20" s="14" t="str">
        <f ca="1">IF(EY$1="","",'Total Value'!EY32/'Total Value'!EX32-1)</f>
        <v/>
      </c>
      <c r="EZ20" s="14" t="str">
        <f ca="1">IF(EZ$1="","",'Total Value'!EZ32/'Total Value'!EY32-1)</f>
        <v/>
      </c>
      <c r="FA20" s="14" t="str">
        <f ca="1">IF(FA$1="","",'Total Value'!FA32/'Total Value'!EZ32-1)</f>
        <v/>
      </c>
      <c r="FB20" s="14" t="str">
        <f ca="1">IF(FB$1="","",'Total Value'!FB32/'Total Value'!FA32-1)</f>
        <v/>
      </c>
      <c r="FC20" s="14" t="str">
        <f ca="1">IF(FC$1="","",'Total Value'!FC32/'Total Value'!FB32-1)</f>
        <v/>
      </c>
      <c r="FD20" s="14" t="str">
        <f ca="1">IF(FD$1="","",'Total Value'!FD32/'Total Value'!FC32-1)</f>
        <v/>
      </c>
      <c r="FE20" s="14" t="str">
        <f ca="1">IF(FE$1="","",'Total Value'!FE32/'Total Value'!FD32-1)</f>
        <v/>
      </c>
      <c r="FF20" s="14" t="str">
        <f ca="1">IF(FF$1="","",'Total Value'!FF32/'Total Value'!FE32-1)</f>
        <v/>
      </c>
      <c r="FG20" s="14" t="str">
        <f ca="1">IF(FG$1="","",'Total Value'!FG32/'Total Value'!FF32-1)</f>
        <v/>
      </c>
      <c r="FH20" s="14" t="str">
        <f ca="1">IF(FH$1="","",'Total Value'!FH32/'Total Value'!FG32-1)</f>
        <v/>
      </c>
      <c r="FI20" s="14" t="str">
        <f ca="1">IF(FI$1="","",'Total Value'!FI32/'Total Value'!FH32-1)</f>
        <v/>
      </c>
      <c r="FJ20" s="14" t="str">
        <f ca="1">IF(FJ$1="","",'Total Value'!FJ32/'Total Value'!FI32-1)</f>
        <v/>
      </c>
      <c r="FK20" s="14" t="str">
        <f ca="1">IF(FK$1="","",'Total Value'!FK32/'Total Value'!FJ32-1)</f>
        <v/>
      </c>
      <c r="FL20" s="14" t="str">
        <f ca="1">IF(FL$1="","",'Total Value'!FL32/'Total Value'!FK32-1)</f>
        <v/>
      </c>
      <c r="FM20" s="14" t="str">
        <f ca="1">IF(FM$1="","",'Total Value'!FM32/'Total Value'!FL32-1)</f>
        <v/>
      </c>
      <c r="FN20" s="14" t="str">
        <f ca="1">IF(FN$1="","",'Total Value'!FN32/'Total Value'!FM32-1)</f>
        <v/>
      </c>
      <c r="FO20" s="14" t="str">
        <f ca="1">IF(FO$1="","",'Total Value'!FO32/'Total Value'!FN32-1)</f>
        <v/>
      </c>
      <c r="FP20" s="14" t="str">
        <f ca="1">IF(FP$1="","",'Total Value'!FP32/'Total Value'!FO32-1)</f>
        <v/>
      </c>
      <c r="FQ20" s="14" t="str">
        <f ca="1">IF(FQ$1="","",'Total Value'!FQ32/'Total Value'!FP32-1)</f>
        <v/>
      </c>
      <c r="FR20" s="14" t="str">
        <f ca="1">IF(FR$1="","",'Total Value'!FR32/'Total Value'!FQ32-1)</f>
        <v/>
      </c>
      <c r="FS20" s="14" t="str">
        <f ca="1">IF(FS$1="","",'Total Value'!FS32/'Total Value'!FR32-1)</f>
        <v/>
      </c>
      <c r="FT20" s="14" t="str">
        <f ca="1">IF(FT$1="","",'Total Value'!FT32/'Total Value'!FS32-1)</f>
        <v/>
      </c>
      <c r="FU20" s="14" t="str">
        <f ca="1">IF(FU$1="","",'Total Value'!FU32/'Total Value'!FT32-1)</f>
        <v/>
      </c>
      <c r="FV20" s="14" t="str">
        <f ca="1">IF(FV$1="","",'Total Value'!FV32/'Total Value'!FU32-1)</f>
        <v/>
      </c>
      <c r="FW20" s="14" t="str">
        <f ca="1">IF(FW$1="","",'Total Value'!FW32/'Total Value'!FV32-1)</f>
        <v/>
      </c>
      <c r="FX20" s="14" t="str">
        <f ca="1">IF(FX$1="","",'Total Value'!FX32/'Total Value'!FW32-1)</f>
        <v/>
      </c>
      <c r="FY20" s="14" t="str">
        <f ca="1">IF(FY$1="","",'Total Value'!FY32/'Total Value'!FX32-1)</f>
        <v/>
      </c>
      <c r="FZ20" s="14" t="str">
        <f ca="1">IF(FZ$1="","",'Total Value'!FZ32/'Total Value'!FY32-1)</f>
        <v/>
      </c>
      <c r="GA20" s="14" t="str">
        <f ca="1">IF(GA$1="","",'Total Value'!GA32/'Total Value'!FZ32-1)</f>
        <v/>
      </c>
      <c r="GB20" s="14" t="str">
        <f ca="1">IF(GB$1="","",'Total Value'!GB32/'Total Value'!GA32-1)</f>
        <v/>
      </c>
      <c r="GC20" s="14" t="str">
        <f ca="1">IF(GC$1="","",'Total Value'!GC32/'Total Value'!GB32-1)</f>
        <v/>
      </c>
      <c r="GD20" s="14" t="str">
        <f ca="1">IF(GD$1="","",'Total Value'!GD32/'Total Value'!GC32-1)</f>
        <v/>
      </c>
      <c r="GE20" s="14" t="str">
        <f ca="1">IF(GE$1="","",'Total Value'!GE32/'Total Value'!GD32-1)</f>
        <v/>
      </c>
      <c r="GF20" s="14" t="str">
        <f ca="1">IF(GF$1="","",'Total Value'!GF32/'Total Value'!GE32-1)</f>
        <v/>
      </c>
      <c r="GG20" s="14" t="str">
        <f ca="1">IF(GG$1="","",'Total Value'!GG32/'Total Value'!GF32-1)</f>
        <v/>
      </c>
      <c r="GH20" s="14" t="str">
        <f ca="1">IF(GH$1="","",'Total Value'!GH32/'Total Value'!GG32-1)</f>
        <v/>
      </c>
      <c r="GI20" s="14" t="str">
        <f ca="1">IF(GI$1="","",'Total Value'!GI32/'Total Value'!GH32-1)</f>
        <v/>
      </c>
      <c r="GJ20" s="14" t="str">
        <f ca="1">IF(GJ$1="","",'Total Value'!GJ32/'Total Value'!GI32-1)</f>
        <v/>
      </c>
      <c r="GK20" s="14" t="str">
        <f ca="1">IF(GK$1="","",'Total Value'!GK32/'Total Value'!GJ32-1)</f>
        <v/>
      </c>
      <c r="GL20" s="14" t="str">
        <f ca="1">IF(GL$1="","",'Total Value'!GL32/'Total Value'!GK32-1)</f>
        <v/>
      </c>
      <c r="GM20" s="14" t="str">
        <f ca="1">IF(GM$1="","",'Total Value'!GM32/'Total Value'!GL32-1)</f>
        <v/>
      </c>
      <c r="GN20" s="14" t="str">
        <f ca="1">IF(GN$1="","",'Total Value'!GN32/'Total Value'!GM32-1)</f>
        <v/>
      </c>
      <c r="GO20" s="14" t="str">
        <f ca="1">IF(GO$1="","",'Total Value'!GO32/'Total Value'!GN32-1)</f>
        <v/>
      </c>
      <c r="GP20" s="14" t="str">
        <f ca="1">IF(GP$1="","",'Total Value'!GP32/'Total Value'!GO32-1)</f>
        <v/>
      </c>
      <c r="GQ20" s="14" t="str">
        <f ca="1">IF(GQ$1="","",'Total Value'!GQ32/'Total Value'!GP32-1)</f>
        <v/>
      </c>
      <c r="GR20" s="14" t="str">
        <f ca="1">IF(GR$1="","",'Total Value'!GR32/'Total Value'!GQ32-1)</f>
        <v/>
      </c>
      <c r="GS20" s="14" t="str">
        <f ca="1">IF(GS$1="","",'Total Value'!GS32/'Total Value'!GR32-1)</f>
        <v/>
      </c>
      <c r="GT20" s="14" t="str">
        <f ca="1">IF(GT$1="","",'Total Value'!GT32/'Total Value'!GS32-1)</f>
        <v/>
      </c>
      <c r="GU20" s="14" t="str">
        <f ca="1">IF(GU$1="","",'Total Value'!GU32/'Total Value'!GT32-1)</f>
        <v/>
      </c>
      <c r="GV20" s="14" t="str">
        <f ca="1">IF(GV$1="","",'Total Value'!GV32/'Total Value'!GU32-1)</f>
        <v/>
      </c>
      <c r="GW20" s="14" t="str">
        <f ca="1">IF(GW$1="","",'Total Value'!GW32/'Total Value'!GV32-1)</f>
        <v/>
      </c>
      <c r="GX20" s="14" t="str">
        <f ca="1">IF(GX$1="","",'Total Value'!GX32/'Total Value'!GW32-1)</f>
        <v/>
      </c>
      <c r="GY20" s="14" t="str">
        <f ca="1">IF(GY$1="","",'Total Value'!GY32/'Total Value'!GX32-1)</f>
        <v/>
      </c>
      <c r="GZ20" s="14" t="str">
        <f ca="1">IF(GZ$1="","",'Total Value'!GZ32/'Total Value'!GY32-1)</f>
        <v/>
      </c>
      <c r="HA20" s="14" t="str">
        <f ca="1">IF(HA$1="","",'Total Value'!HA32/'Total Value'!GZ32-1)</f>
        <v/>
      </c>
      <c r="HB20" s="14" t="str">
        <f ca="1">IF(HB$1="","",'Total Value'!HB32/'Total Value'!HA32-1)</f>
        <v/>
      </c>
      <c r="HC20" s="14" t="str">
        <f ca="1">IF(HC$1="","",'Total Value'!HC32/'Total Value'!HB32-1)</f>
        <v/>
      </c>
      <c r="HD20" s="14" t="str">
        <f ca="1">IF(HD$1="","",'Total Value'!HD32/'Total Value'!HC32-1)</f>
        <v/>
      </c>
      <c r="HE20" s="14" t="str">
        <f ca="1">IF(HE$1="","",'Total Value'!HE32/'Total Value'!HD32-1)</f>
        <v/>
      </c>
      <c r="HF20" s="14" t="str">
        <f ca="1">IF(HF$1="","",'Total Value'!HF32/'Total Value'!HE32-1)</f>
        <v/>
      </c>
      <c r="HG20" s="14" t="str">
        <f ca="1">IF(HG$1="","",'Total Value'!HG32/'Total Value'!HF32-1)</f>
        <v/>
      </c>
      <c r="HH20" s="14" t="str">
        <f ca="1">IF(HH$1="","",'Total Value'!HH32/'Total Value'!HG32-1)</f>
        <v/>
      </c>
      <c r="HI20" s="14" t="str">
        <f ca="1">IF(HI$1="","",'Total Value'!HI32/'Total Value'!HH32-1)</f>
        <v/>
      </c>
      <c r="HJ20" s="14" t="str">
        <f ca="1">IF(HJ$1="","",'Total Value'!HJ32/'Total Value'!HI32-1)</f>
        <v/>
      </c>
      <c r="HK20" s="14" t="str">
        <f ca="1">IF(HK$1="","",'Total Value'!HK32/'Total Value'!HJ32-1)</f>
        <v/>
      </c>
      <c r="HL20" s="14" t="str">
        <f ca="1">IF(HL$1="","",'Total Value'!HL32/'Total Value'!HK32-1)</f>
        <v/>
      </c>
      <c r="HM20" s="14" t="str">
        <f ca="1">IF(HM$1="","",'Total Value'!HM32/'Total Value'!HL32-1)</f>
        <v/>
      </c>
      <c r="HN20" s="14" t="str">
        <f ca="1">IF(HN$1="","",'Total Value'!HN32/'Total Value'!HM32-1)</f>
        <v/>
      </c>
      <c r="HO20" s="14" t="str">
        <f ca="1">IF(HO$1="","",'Total Value'!HO32/'Total Value'!HN32-1)</f>
        <v/>
      </c>
      <c r="HP20" s="14" t="str">
        <f ca="1">IF(HP$1="","",'Total Value'!HP32/'Total Value'!HO32-1)</f>
        <v/>
      </c>
      <c r="HQ20" s="14" t="str">
        <f ca="1">IF(HQ$1="","",'Total Value'!HQ32/'Total Value'!HP32-1)</f>
        <v/>
      </c>
      <c r="HR20" s="14" t="str">
        <f ca="1">IF(HR$1="","",'Total Value'!HR32/'Total Value'!HQ32-1)</f>
        <v/>
      </c>
      <c r="HS20" s="14" t="str">
        <f ca="1">IF(HS$1="","",'Total Value'!HS32/'Total Value'!HR32-1)</f>
        <v/>
      </c>
      <c r="HT20" s="14" t="str">
        <f ca="1">IF(HT$1="","",'Total Value'!HT32/'Total Value'!HS32-1)</f>
        <v/>
      </c>
      <c r="HU20" s="14" t="str">
        <f ca="1">IF(HU$1="","",'Total Value'!HU32/'Total Value'!HT32-1)</f>
        <v/>
      </c>
      <c r="HV20" s="14" t="str">
        <f ca="1">IF(HV$1="","",'Total Value'!HV32/'Total Value'!HU32-1)</f>
        <v/>
      </c>
      <c r="HW20" s="14" t="str">
        <f ca="1">IF(HW$1="","",'Total Value'!HW32/'Total Value'!HV32-1)</f>
        <v/>
      </c>
      <c r="HX20" s="14" t="str">
        <f ca="1">IF(HX$1="","",'Total Value'!HX32/'Total Value'!HW32-1)</f>
        <v/>
      </c>
      <c r="HY20" s="14" t="str">
        <f ca="1">IF(HY$1="","",'Total Value'!HY32/'Total Value'!HX32-1)</f>
        <v/>
      </c>
      <c r="HZ20" s="14" t="str">
        <f ca="1">IF(HZ$1="","",'Total Value'!HZ32/'Total Value'!HY32-1)</f>
        <v/>
      </c>
      <c r="IA20" s="14" t="str">
        <f ca="1">IF(IA$1="","",'Total Value'!IA32/'Total Value'!HZ32-1)</f>
        <v/>
      </c>
      <c r="IB20" s="14" t="str">
        <f ca="1">IF(IB$1="","",'Total Value'!IB32/'Total Value'!IA32-1)</f>
        <v/>
      </c>
      <c r="IC20" s="14" t="str">
        <f ca="1">IF(IC$1="","",'Total Value'!IC32/'Total Value'!IB32-1)</f>
        <v/>
      </c>
      <c r="ID20" s="14" t="str">
        <f ca="1">IF(ID$1="","",'Total Value'!ID32/'Total Value'!IC32-1)</f>
        <v/>
      </c>
      <c r="IE20" s="14" t="str">
        <f ca="1">IF(IE$1="","",'Total Value'!IE32/'Total Value'!ID32-1)</f>
        <v/>
      </c>
      <c r="IF20" s="14" t="str">
        <f ca="1">IF(IF$1="","",'Total Value'!IF32/'Total Value'!IE32-1)</f>
        <v/>
      </c>
      <c r="IG20" s="14" t="str">
        <f ca="1">IF(IG$1="","",'Total Value'!IG32/'Total Value'!IF32-1)</f>
        <v/>
      </c>
      <c r="IH20" s="14" t="str">
        <f ca="1">IF(IH$1="","",'Total Value'!IH32/'Total Value'!IG32-1)</f>
        <v/>
      </c>
      <c r="II20" s="14" t="str">
        <f ca="1">IF(II$1="","",'Total Value'!II32/'Total Value'!IH32-1)</f>
        <v/>
      </c>
      <c r="IJ20" s="14" t="str">
        <f ca="1">IF(IJ$1="","",'Total Value'!IJ32/'Total Value'!II32-1)</f>
        <v/>
      </c>
      <c r="IK20" s="14" t="str">
        <f ca="1">IF(IK$1="","",'Total Value'!IK32/'Total Value'!IJ32-1)</f>
        <v/>
      </c>
      <c r="IL20" s="14" t="str">
        <f ca="1">IF(IL$1="","",'Total Value'!IL32/'Total Value'!IK32-1)</f>
        <v/>
      </c>
      <c r="IM20" s="14" t="str">
        <f ca="1">IF(IM$1="","",'Total Value'!IM32/'Total Value'!IL32-1)</f>
        <v/>
      </c>
      <c r="IN20" s="14" t="str">
        <f ca="1">IF(IN$1="","",'Total Value'!IN32/'Total Value'!IM32-1)</f>
        <v/>
      </c>
      <c r="IO20" s="14" t="str">
        <f ca="1">IF(IO$1="","",'Total Value'!IO32/'Total Value'!IN32-1)</f>
        <v/>
      </c>
      <c r="IP20" s="14" t="str">
        <f ca="1">IF(IP$1="","",'Total Value'!IP32/'Total Value'!IO32-1)</f>
        <v/>
      </c>
      <c r="IQ20" s="14" t="str">
        <f ca="1">IF(IQ$1="","",'Total Value'!IQ32/'Total Value'!IP32-1)</f>
        <v/>
      </c>
      <c r="IR20" s="14" t="str">
        <f ca="1">IF(IR$1="","",'Total Value'!IR32/'Total Value'!IQ32-1)</f>
        <v/>
      </c>
      <c r="IS20" s="14" t="str">
        <f ca="1">IF(IS$1="","",'Total Value'!IS32/'Total Value'!IR32-1)</f>
        <v/>
      </c>
      <c r="IT20" s="14" t="str">
        <f ca="1">IF(IT$1="","",'Total Value'!IT32/'Total Value'!IS32-1)</f>
        <v/>
      </c>
      <c r="IU20" s="14" t="str">
        <f ca="1">IF(IU$1="","",'Total Value'!IU32/'Total Value'!IT32-1)</f>
        <v/>
      </c>
      <c r="IV20" s="14" t="str">
        <f ca="1">IF(IV$1="","",'Total Value'!IV32/'Total Value'!IU32-1)</f>
        <v/>
      </c>
      <c r="IW20" s="14" t="str">
        <f ca="1">IF(IW$1="","",'Total Value'!IW32/'Total Value'!IV32-1)</f>
        <v/>
      </c>
      <c r="IX20" s="14" t="str">
        <f ca="1">IF(IX$1="","",'Total Value'!IX32/'Total Value'!IW32-1)</f>
        <v/>
      </c>
      <c r="IY20" s="14" t="str">
        <f ca="1">IF(IY$1="","",'Total Value'!IY32/'Total Value'!IX32-1)</f>
        <v/>
      </c>
      <c r="IZ20" s="14" t="str">
        <f ca="1">IF(IZ$1="","",'Total Value'!IZ32/'Total Value'!IY32-1)</f>
        <v/>
      </c>
      <c r="JA20" s="14" t="str">
        <f ca="1">IF(JA$1="","",'Total Value'!JA32/'Total Value'!IZ32-1)</f>
        <v/>
      </c>
      <c r="JB20" s="14" t="str">
        <f ca="1">IF(JB$1="","",'Total Value'!JB32/'Total Value'!JA32-1)</f>
        <v/>
      </c>
      <c r="JC20" s="14" t="str">
        <f ca="1">IF(JC$1="","",'Total Value'!JC32/'Total Value'!JB32-1)</f>
        <v/>
      </c>
      <c r="JD20" s="14" t="str">
        <f ca="1">IF(JD$1="","",'Total Value'!JD32/'Total Value'!JC32-1)</f>
        <v/>
      </c>
      <c r="JE20" s="14" t="str">
        <f ca="1">IF(JE$1="","",'Total Value'!JE32/'Total Value'!JD32-1)</f>
        <v/>
      </c>
      <c r="JF20" s="14" t="str">
        <f ca="1">IF(JF$1="","",'Total Value'!JF32/'Total Value'!JE32-1)</f>
        <v/>
      </c>
      <c r="JG20" s="14" t="str">
        <f ca="1">IF(JG$1="","",'Total Value'!JG32/'Total Value'!JF32-1)</f>
        <v/>
      </c>
      <c r="JH20" s="14" t="str">
        <f ca="1">IF(JH$1="","",'Total Value'!JH32/'Total Value'!JG32-1)</f>
        <v/>
      </c>
      <c r="JI20" s="14" t="str">
        <f ca="1">IF(JI$1="","",'Total Value'!JI32/'Total Value'!JH32-1)</f>
        <v/>
      </c>
      <c r="JJ20" s="14" t="str">
        <f ca="1">IF(JJ$1="","",'Total Value'!JJ32/'Total Value'!JI32-1)</f>
        <v/>
      </c>
      <c r="JK20" s="14" t="str">
        <f ca="1">IF(JK$1="","",'Total Value'!JK32/'Total Value'!JJ32-1)</f>
        <v/>
      </c>
      <c r="JL20" s="14" t="str">
        <f ca="1">IF(JL$1="","",'Total Value'!JL32/'Total Value'!JK32-1)</f>
        <v/>
      </c>
      <c r="JM20" s="14" t="str">
        <f ca="1">IF(JM$1="","",'Total Value'!JM32/'Total Value'!JL32-1)</f>
        <v/>
      </c>
      <c r="JN20" s="14" t="str">
        <f ca="1">IF(JN$1="","",'Total Value'!JN32/'Total Value'!JM32-1)</f>
        <v/>
      </c>
      <c r="JO20" s="14" t="str">
        <f ca="1">IF(JO$1="","",'Total Value'!JO32/'Total Value'!JN32-1)</f>
        <v/>
      </c>
      <c r="JP20" s="14" t="str">
        <f ca="1">IF(JP$1="","",'Total Value'!JP32/'Total Value'!JO32-1)</f>
        <v/>
      </c>
      <c r="JQ20" s="14" t="str">
        <f ca="1">IF(JQ$1="","",'Total Value'!JQ32/'Total Value'!JP32-1)</f>
        <v/>
      </c>
      <c r="JR20" s="14" t="str">
        <f ca="1">IF(JR$1="","",'Total Value'!JR32/'Total Value'!JQ32-1)</f>
        <v/>
      </c>
      <c r="JS20" s="14" t="str">
        <f ca="1">IF(JS$1="","",'Total Value'!JS32/'Total Value'!JR32-1)</f>
        <v/>
      </c>
      <c r="JT20" s="14" t="str">
        <f ca="1">IF(JT$1="","",'Total Value'!JT32/'Total Value'!JS32-1)</f>
        <v/>
      </c>
      <c r="JU20" s="14" t="str">
        <f ca="1">IF(JU$1="","",'Total Value'!JU32/'Total Value'!JT32-1)</f>
        <v/>
      </c>
      <c r="JV20" s="14" t="str">
        <f ca="1">IF(JV$1="","",'Total Value'!JV32/'Total Value'!JU32-1)</f>
        <v/>
      </c>
      <c r="JW20" s="14" t="str">
        <f ca="1">IF(JW$1="","",'Total Value'!JW32/'Total Value'!JV32-1)</f>
        <v/>
      </c>
      <c r="JX20" s="14" t="str">
        <f ca="1">IF(JX$1="","",'Total Value'!JX32/'Total Value'!JW32-1)</f>
        <v/>
      </c>
      <c r="JY20" s="14" t="str">
        <f ca="1">IF(JY$1="","",'Total Value'!JY32/'Total Value'!JX32-1)</f>
        <v/>
      </c>
      <c r="JZ20" s="14" t="str">
        <f ca="1">IF(JZ$1="","",'Total Value'!JZ32/'Total Value'!JY32-1)</f>
        <v/>
      </c>
      <c r="KA20" s="14" t="str">
        <f ca="1">IF(KA$1="","",'Total Value'!KA32/'Total Value'!JZ32-1)</f>
        <v/>
      </c>
      <c r="KB20" s="14" t="str">
        <f ca="1">IF(KB$1="","",'Total Value'!KB32/'Total Value'!KA32-1)</f>
        <v/>
      </c>
    </row>
    <row r="21" spans="1:288" ht="15.75" customHeight="1">
      <c r="A21" s="22" t="s">
        <v>30</v>
      </c>
      <c r="B21" s="6" t="s">
        <v>66</v>
      </c>
      <c r="C21" s="26">
        <v>74</v>
      </c>
      <c r="D21" s="13">
        <v>0</v>
      </c>
      <c r="E21" s="14">
        <f ca="1">IF(E$1="","",'Total Value'!E33/'Total Value'!D33-1)</f>
        <v>2.0851433536055453E-2</v>
      </c>
      <c r="F21" s="14">
        <f ca="1">IF(F$1="","",'Total Value'!F33/'Total Value'!E33-1)</f>
        <v>-1.0780141843971802E-2</v>
      </c>
      <c r="G21" s="14">
        <f ca="1">IF(G$1="","",'Total Value'!G33/'Total Value'!F33-1)</f>
        <v>-3.7281330656723233E-3</v>
      </c>
      <c r="H21" s="14">
        <f ca="1">IF(H$1="","",'Total Value'!H33/'Total Value'!G33-1)</f>
        <v>-5.4691997697180472E-3</v>
      </c>
      <c r="I21" s="14">
        <f ca="1">IF(I$1="","",'Total Value'!I33/'Total Value'!H33-1)</f>
        <v>-3.1837916063675697E-2</v>
      </c>
      <c r="J21" s="14">
        <f ca="1">IF(J$1="","",'Total Value'!J33/'Total Value'!I33-1)</f>
        <v>-2.9895366218246622E-4</v>
      </c>
      <c r="K21" s="14">
        <f ca="1">IF(K$1="","",'Total Value'!K33/'Total Value'!J33-1)</f>
        <v>-8.0741626794258448E-3</v>
      </c>
      <c r="L21" s="14">
        <f ca="1">IF(L$1="","",'Total Value'!L33/'Total Value'!K33-1)</f>
        <v>3.3162496231535776E-3</v>
      </c>
      <c r="M21" s="14">
        <f ca="1">IF(M$1="","",'Total Value'!M33/'Total Value'!L33-1)</f>
        <v>1.7728365384615197E-2</v>
      </c>
      <c r="N21" s="14">
        <f ca="1">IF(N$1="","",'Total Value'!N33/'Total Value'!M33-1)</f>
        <v>-3.7201062887511016E-2</v>
      </c>
      <c r="O21" s="14">
        <f ca="1">IF(O$1="","",'Total Value'!O33/'Total Value'!N33-1)</f>
        <v>-1.1652867218644558E-2</v>
      </c>
      <c r="P21" s="14">
        <f ca="1">IF(P$1="","",'Total Value'!P33/'Total Value'!O33-1)</f>
        <v>2.1718895439031272E-3</v>
      </c>
      <c r="Q21" s="14">
        <f ca="1">IF(Q$1="","",'Total Value'!Q33/'Total Value'!P33-1)</f>
        <v>6.3777089783281671E-2</v>
      </c>
      <c r="R21" s="14">
        <f ca="1">IF(R$1="","",'Total Value'!R33/'Total Value'!Q33-1)</f>
        <v>2.9103608847491635E-4</v>
      </c>
      <c r="S21" s="14">
        <f ca="1">IF(S$1="","",'Total Value'!S33/'Total Value'!R33-1)</f>
        <v>2.3276112889150102E-3</v>
      </c>
      <c r="T21" s="14">
        <f ca="1">IF(T$1="","",'Total Value'!T33/'Total Value'!S33-1)</f>
        <v>-1.1611030478955175E-2</v>
      </c>
      <c r="U21" s="14">
        <f ca="1">IF(U$1="","",'Total Value'!U33/'Total Value'!T33-1)</f>
        <v>-2.8193832599118784E-2</v>
      </c>
      <c r="V21" s="14">
        <f ca="1">IF(V$1="","",'Total Value'!V33/'Total Value'!U33-1)</f>
        <v>9.0661831368965551E-4</v>
      </c>
      <c r="W21" s="14">
        <f ca="1">IF(W$1="","",'Total Value'!W33/'Total Value'!V33-1)</f>
        <v>1.4794685990338285E-2</v>
      </c>
      <c r="X21" s="14">
        <f ca="1">IF(X$1="","",'Total Value'!X33/'Total Value'!W33-1)</f>
        <v>3.8678964593872323E-3</v>
      </c>
      <c r="Y21" s="14">
        <f ca="1">IF(Y$1="","",'Total Value'!Y33/'Total Value'!X33-1)</f>
        <v>2.2525192649673897E-2</v>
      </c>
      <c r="Z21" s="14">
        <f ca="1">IF(Z$1="","",'Total Value'!Z33/'Total Value'!Y33-1)</f>
        <v>-1.3623188405797015E-2</v>
      </c>
      <c r="AA21" s="14">
        <f ca="1">IF(AA$1="","",'Total Value'!AA33/'Total Value'!Z33-1)</f>
        <v>-8.8157508081105895E-3</v>
      </c>
      <c r="AB21" s="14">
        <f ca="1">IF(AB$1="","",'Total Value'!AB33/'Total Value'!AA33-1)</f>
        <v>8.8941595019265129E-4</v>
      </c>
      <c r="AC21" s="14">
        <f ca="1">IF(AC$1="","",'Total Value'!AC33/'Total Value'!AB33-1)</f>
        <v>3.199052132701441E-2</v>
      </c>
      <c r="AD21" s="14">
        <f ca="1">IF(AD$1="","",'Total Value'!AD33/'Total Value'!AC33-1)</f>
        <v>8.0367393800226949E-3</v>
      </c>
      <c r="AE21" s="14">
        <f ca="1">IF(AE$1="","",'Total Value'!AE33/'Total Value'!AD33-1)</f>
        <v>-3.6161731207289161E-2</v>
      </c>
      <c r="AF21" s="14">
        <f ca="1">IF(AF$1="","",'Total Value'!AF33/'Total Value'!AE33-1)</f>
        <v>-2.3338257016248143E-2</v>
      </c>
      <c r="AG21" s="14">
        <f ca="1">IF(AG$1="","",'Total Value'!AG33/'Total Value'!AF33-1)</f>
        <v>4.2347247428917711E-3</v>
      </c>
      <c r="AH21" s="14">
        <f ca="1">IF(AH$1="","",'Total Value'!AH33/'Total Value'!AG33-1)</f>
        <v>-1.626506024096408E-2</v>
      </c>
      <c r="AI21" s="14">
        <f ca="1">IF(AI$1="","",'Total Value'!AI33/'Total Value'!AH33-1)</f>
        <v>2.8169014084507227E-2</v>
      </c>
      <c r="AJ21" s="14">
        <f ca="1">IF(AJ$1="","",'Total Value'!AJ33/'Total Value'!AI33-1)</f>
        <v>2.1143537820131009E-2</v>
      </c>
      <c r="AK21" s="14">
        <f ca="1">IF(AK$1="","",'Total Value'!AK33/'Total Value'!AJ33-1)</f>
        <v>-2.2455526392534231E-2</v>
      </c>
      <c r="AL21" s="14">
        <f ca="1">IF(AL$1="","",'Total Value'!AL33/'Total Value'!AK33-1)</f>
        <v>-5.4594272076372352E-2</v>
      </c>
      <c r="AM21" s="14">
        <f ca="1">IF(AM$1="","",'Total Value'!AM33/'Total Value'!AL33-1)</f>
        <v>2.7137898390659387E-2</v>
      </c>
      <c r="AN21" s="14">
        <f ca="1">IF(AN$1="","",'Total Value'!AN33/'Total Value'!AM33-1)</f>
        <v>7.0660522273426896E-3</v>
      </c>
      <c r="AO21" s="14">
        <f ca="1">IF(AO$1="","",'Total Value'!AO33/'Total Value'!AN33-1)</f>
        <v>-2.1049420378279393E-2</v>
      </c>
      <c r="AP21" s="14">
        <f ca="1">IF(AP$1="","",'Total Value'!AP33/'Total Value'!AO33-1)</f>
        <v>-1.7762542848239415E-2</v>
      </c>
      <c r="AQ21" s="14">
        <f ca="1">IF(AQ$1="","",'Total Value'!AQ33/'Total Value'!AP33-1)</f>
        <v>1.9035532994924331E-3</v>
      </c>
      <c r="AR21" s="14">
        <f ca="1">IF(AR$1="","",'Total Value'!AR33/'Total Value'!AQ33-1)</f>
        <v>3.4198860037998546E-2</v>
      </c>
      <c r="AS21" s="14">
        <f ca="1">IF(AS$1="","",'Total Value'!AS33/'Total Value'!AR33-1)</f>
        <v>-1.5921616656460302E-2</v>
      </c>
      <c r="AT21" s="14">
        <f ca="1">IF(AT$1="","",'Total Value'!AT33/'Total Value'!AS33-1)</f>
        <v>-1.6490354698195486E-2</v>
      </c>
      <c r="AU21" s="14">
        <f ca="1">IF(AU$1="","",'Total Value'!AU33/'Total Value'!AT33-1)</f>
        <v>-3.4799114204364656E-3</v>
      </c>
      <c r="AV21" s="14">
        <f ca="1">IF(AV$1="","",'Total Value'!AV33/'Total Value'!AU33-1)</f>
        <v>1.5555555555555545E-2</v>
      </c>
      <c r="AW21" s="14">
        <f ca="1">IF(AW$1="","",'Total Value'!AW33/'Total Value'!AV33-1)</f>
        <v>2.6258205689277947E-2</v>
      </c>
      <c r="AX21" s="14">
        <f ca="1">IF(AX$1="","",'Total Value'!AX33/'Total Value'!AW33-1)</f>
        <v>3.6551934206519032E-3</v>
      </c>
      <c r="AY21" s="14">
        <f ca="1">IF(AY$1="","",'Total Value'!AY33/'Total Value'!AX33-1)</f>
        <v>9.4081942336872171E-3</v>
      </c>
      <c r="AZ21" s="14">
        <f ca="1">IF(AZ$1="","",'Total Value'!AZ33/'Total Value'!AY33-1)</f>
        <v>1.0523150932050473E-2</v>
      </c>
      <c r="BA21" s="14">
        <f ca="1">IF(BA$1="","",'Total Value'!BA33/'Total Value'!AZ33-1)</f>
        <v>-4.1654269562630963E-3</v>
      </c>
      <c r="BB21" s="14">
        <f ca="1">IF(BB$1="","",'Total Value'!BB33/'Total Value'!BA33-1)</f>
        <v>-2.6292201971914952E-2</v>
      </c>
      <c r="BC21" s="14">
        <f ca="1">IF(BC$1="","",'Total Value'!BC33/'Total Value'!BB33-1)</f>
        <v>1.227370359005775E-3</v>
      </c>
      <c r="BD21" s="14">
        <f ca="1">IF(BD$1="","",'Total Value'!BD33/'Total Value'!BC33-1)</f>
        <v>-2.1452650934723483E-3</v>
      </c>
      <c r="BE21" s="14">
        <f ca="1">IF(BE$1="","",'Total Value'!BE33/'Total Value'!BD33-1)</f>
        <v>-1.5356265356266663E-3</v>
      </c>
      <c r="BF21" s="14">
        <f ca="1">IF(BF$1="","",'Total Value'!BF33/'Total Value'!BE33-1)</f>
        <v>2.3069824669332606E-2</v>
      </c>
      <c r="BG21" s="14">
        <f ca="1">IF(BG$1="","",'Total Value'!BG33/'Total Value'!BF33-1)</f>
        <v>-2.9164161154539903E-2</v>
      </c>
      <c r="BH21" s="14">
        <f ca="1">IF(BH$1="","",'Total Value'!BH33/'Total Value'!BG33-1)</f>
        <v>-2.477547228244048E-2</v>
      </c>
      <c r="BI21" s="14">
        <f ca="1">IF(BI$1="","",'Total Value'!BI33/'Total Value'!BH33-1)</f>
        <v>-4.5728802794537726E-2</v>
      </c>
      <c r="BJ21" s="14">
        <f ca="1">IF(BJ$1="","",'Total Value'!BJ33/'Total Value'!BI33-1)</f>
        <v>-1.4309484193011701E-2</v>
      </c>
      <c r="BK21" s="14">
        <f ca="1">IF(BK$1="","",'Total Value'!BK33/'Total Value'!BJ33-1)</f>
        <v>-2.9709655638082588E-2</v>
      </c>
      <c r="BL21" s="14">
        <f ca="1">IF(BL$1="","",'Total Value'!BL33/'Total Value'!BK33-1)</f>
        <v>-4.7668754349338704E-2</v>
      </c>
      <c r="BM21" s="14">
        <f ca="1">IF(BM$1="","",'Total Value'!BM33/'Total Value'!BL33-1)</f>
        <v>-2.5575447570332477E-2</v>
      </c>
      <c r="BN21" s="14">
        <f ca="1">IF(BN$1="","",'Total Value'!BN33/'Total Value'!BM33-1)</f>
        <v>2.624671916010346E-3</v>
      </c>
      <c r="BO21" s="14">
        <f ca="1">IF(BO$1="","",'Total Value'!BO33/'Total Value'!BN33-1)</f>
        <v>3.2161555721765156E-2</v>
      </c>
      <c r="BP21" s="14">
        <f ca="1">IF(BP$1="","",'Total Value'!BP33/'Total Value'!BO33-1)</f>
        <v>-1.6666666666666607E-2</v>
      </c>
      <c r="BQ21" s="14">
        <f ca="1">IF(BQ$1="","",'Total Value'!BQ33/'Total Value'!BP33-1)</f>
        <v>6.2638172439202222E-3</v>
      </c>
      <c r="BR21" s="14">
        <f ca="1">IF(BR$1="","",'Total Value'!BR33/'Total Value'!BQ33-1)</f>
        <v>6.5909923105089696E-3</v>
      </c>
      <c r="BS21" s="14">
        <f ca="1">IF(BS$1="","",'Total Value'!BS33/'Total Value'!BR33-1)</f>
        <v>1.2004365223717617E-2</v>
      </c>
      <c r="BT21" s="14">
        <f ca="1">IF(BT$1="","",'Total Value'!BT33/'Total Value'!BS33-1)</f>
        <v>2.6599568655643502E-2</v>
      </c>
      <c r="BU21" s="14">
        <f ca="1">IF(BU$1="","",'Total Value'!BU33/'Total Value'!BT33-1)</f>
        <v>1.6456582633053385E-2</v>
      </c>
      <c r="BV21" s="14">
        <f ca="1">IF(BV$1="","",'Total Value'!BV33/'Total Value'!BU33-1)</f>
        <v>-1.6879090595935287E-2</v>
      </c>
      <c r="BW21" s="14">
        <f ca="1">IF(BW$1="","",'Total Value'!BW33/'Total Value'!BV33-1)</f>
        <v>-6.6573230553608198E-3</v>
      </c>
      <c r="BX21" s="14">
        <f ca="1">IF(BX$1="","",'Total Value'!BX33/'Total Value'!BW33-1)</f>
        <v>1.7636684303350414E-3</v>
      </c>
      <c r="BY21" s="14">
        <f ca="1">IF(BY$1="","",'Total Value'!BY33/'Total Value'!BX33-1)</f>
        <v>-4.5422535211267601E-2</v>
      </c>
      <c r="BZ21" s="14">
        <f ca="1">IF(BZ$1="","",'Total Value'!BZ33/'Total Value'!BY33-1)</f>
        <v>-7.746219107340413E-3</v>
      </c>
      <c r="CA21" s="14">
        <f ca="1">IF(CA$1="","",'Total Value'!CA33/'Total Value'!BZ33-1)</f>
        <v>3.6802973977695386E-2</v>
      </c>
      <c r="CB21" s="14">
        <f ca="1">IF(CB$1="","",'Total Value'!CB33/'Total Value'!CA33-1)</f>
        <v>-9.6808892076013509E-3</v>
      </c>
      <c r="CC21" s="14">
        <f ca="1">IF(CC$1="","",'Total Value'!CC33/'Total Value'!CB33-1)</f>
        <v>3.6205648081089059E-4</v>
      </c>
      <c r="CD21" s="14">
        <f ca="1">IF(CD$1="","",'Total Value'!CD33/'Total Value'!CC33-1)</f>
        <v>4.3431053203040193E-3</v>
      </c>
      <c r="CE21" s="14">
        <f ca="1">IF(CE$1="","",'Total Value'!CE33/'Total Value'!CD33-1)</f>
        <v>2.630630630630626E-2</v>
      </c>
      <c r="CF21" s="14" t="str">
        <f ca="1">IF(CF$1="","",'Total Value'!CF33/'Total Value'!CE33-1)</f>
        <v/>
      </c>
      <c r="CG21" s="14" t="str">
        <f ca="1">IF(CG$1="","",'Total Value'!CG33/'Total Value'!CF33-1)</f>
        <v/>
      </c>
      <c r="CH21" s="14" t="str">
        <f ca="1">IF(CH$1="","",'Total Value'!CH33/'Total Value'!CG33-1)</f>
        <v/>
      </c>
      <c r="CI21" s="14" t="str">
        <f ca="1">IF(CI$1="","",'Total Value'!CI33/'Total Value'!CH33-1)</f>
        <v/>
      </c>
      <c r="CJ21" s="14" t="str">
        <f ca="1">IF(CJ$1="","",'Total Value'!CJ33/'Total Value'!CI33-1)</f>
        <v/>
      </c>
      <c r="CK21" s="14" t="str">
        <f ca="1">IF(CK$1="","",'Total Value'!CK33/'Total Value'!CJ33-1)</f>
        <v/>
      </c>
      <c r="CL21" s="14" t="str">
        <f ca="1">IF(CL$1="","",'Total Value'!CL33/'Total Value'!CK33-1)</f>
        <v/>
      </c>
      <c r="CM21" s="14" t="str">
        <f ca="1">IF(CM$1="","",'Total Value'!CM33/'Total Value'!CL33-1)</f>
        <v/>
      </c>
      <c r="CN21" s="14" t="str">
        <f ca="1">IF(CN$1="","",'Total Value'!CN33/'Total Value'!CM33-1)</f>
        <v/>
      </c>
      <c r="CO21" s="14" t="str">
        <f ca="1">IF(CO$1="","",'Total Value'!CO33/'Total Value'!CN33-1)</f>
        <v/>
      </c>
      <c r="CP21" s="14" t="str">
        <f ca="1">IF(CP$1="","",'Total Value'!CP33/'Total Value'!CO33-1)</f>
        <v/>
      </c>
      <c r="CQ21" s="14" t="str">
        <f ca="1">IF(CQ$1="","",'Total Value'!CQ33/'Total Value'!CP33-1)</f>
        <v/>
      </c>
      <c r="CR21" s="14" t="str">
        <f ca="1">IF(CR$1="","",'Total Value'!CR33/'Total Value'!CQ33-1)</f>
        <v/>
      </c>
      <c r="CS21" s="14" t="str">
        <f ca="1">IF(CS$1="","",'Total Value'!CS33/'Total Value'!CR33-1)</f>
        <v/>
      </c>
      <c r="CT21" s="14" t="str">
        <f ca="1">IF(CT$1="","",'Total Value'!CT33/'Total Value'!CS33-1)</f>
        <v/>
      </c>
      <c r="CU21" s="14" t="str">
        <f ca="1">IF(CU$1="","",'Total Value'!CU33/'Total Value'!CT33-1)</f>
        <v/>
      </c>
      <c r="CV21" s="14" t="str">
        <f ca="1">IF(CV$1="","",'Total Value'!CV33/'Total Value'!CU33-1)</f>
        <v/>
      </c>
      <c r="CW21" s="14" t="str">
        <f ca="1">IF(CW$1="","",'Total Value'!CW33/'Total Value'!CV33-1)</f>
        <v/>
      </c>
      <c r="CX21" s="14" t="str">
        <f ca="1">IF(CX$1="","",'Total Value'!CX33/'Total Value'!CW33-1)</f>
        <v/>
      </c>
      <c r="CY21" s="14" t="str">
        <f ca="1">IF(CY$1="","",'Total Value'!CY33/'Total Value'!CX33-1)</f>
        <v/>
      </c>
      <c r="CZ21" s="14" t="str">
        <f ca="1">IF(CZ$1="","",'Total Value'!CZ33/'Total Value'!CY33-1)</f>
        <v/>
      </c>
      <c r="DA21" s="14" t="str">
        <f ca="1">IF(DA$1="","",'Total Value'!DA33/'Total Value'!CZ33-1)</f>
        <v/>
      </c>
      <c r="DB21" s="14" t="str">
        <f ca="1">IF(DB$1="","",'Total Value'!DB33/'Total Value'!DA33-1)</f>
        <v/>
      </c>
      <c r="DC21" s="14" t="str">
        <f ca="1">IF(DC$1="","",'Total Value'!DC33/'Total Value'!DB33-1)</f>
        <v/>
      </c>
      <c r="DD21" s="14" t="str">
        <f ca="1">IF(DD$1="","",'Total Value'!DD33/'Total Value'!DC33-1)</f>
        <v/>
      </c>
      <c r="DE21" s="14" t="str">
        <f ca="1">IF(DE$1="","",'Total Value'!DE33/'Total Value'!DD33-1)</f>
        <v/>
      </c>
      <c r="DF21" s="14" t="str">
        <f ca="1">IF(DF$1="","",'Total Value'!DF33/'Total Value'!DE33-1)</f>
        <v/>
      </c>
      <c r="DG21" s="14" t="str">
        <f ca="1">IF(DG$1="","",'Total Value'!DG33/'Total Value'!DF33-1)</f>
        <v/>
      </c>
      <c r="DH21" s="14" t="str">
        <f ca="1">IF(DH$1="","",'Total Value'!DH33/'Total Value'!DG33-1)</f>
        <v/>
      </c>
      <c r="DI21" s="14" t="str">
        <f ca="1">IF(DI$1="","",'Total Value'!DI33/'Total Value'!DH33-1)</f>
        <v/>
      </c>
      <c r="DJ21" s="14" t="str">
        <f ca="1">IF(DJ$1="","",'Total Value'!DJ33/'Total Value'!DI33-1)</f>
        <v/>
      </c>
      <c r="DK21" s="14" t="str">
        <f ca="1">IF(DK$1="","",'Total Value'!DK33/'Total Value'!DJ33-1)</f>
        <v/>
      </c>
      <c r="DL21" s="14" t="str">
        <f ca="1">IF(DL$1="","",'Total Value'!DL33/'Total Value'!DK33-1)</f>
        <v/>
      </c>
      <c r="DM21" s="14" t="str">
        <f ca="1">IF(DM$1="","",'Total Value'!DM33/'Total Value'!DL33-1)</f>
        <v/>
      </c>
      <c r="DN21" s="14" t="str">
        <f ca="1">IF(DN$1="","",'Total Value'!DN33/'Total Value'!DM33-1)</f>
        <v/>
      </c>
      <c r="DO21" s="14" t="str">
        <f ca="1">IF(DO$1="","",'Total Value'!DO33/'Total Value'!DN33-1)</f>
        <v/>
      </c>
      <c r="DP21" s="14" t="str">
        <f ca="1">IF(DP$1="","",'Total Value'!DP33/'Total Value'!DO33-1)</f>
        <v/>
      </c>
      <c r="DQ21" s="14" t="str">
        <f ca="1">IF(DQ$1="","",'Total Value'!DQ33/'Total Value'!DP33-1)</f>
        <v/>
      </c>
      <c r="DR21" s="14" t="str">
        <f ca="1">IF(DR$1="","",'Total Value'!DR33/'Total Value'!DQ33-1)</f>
        <v/>
      </c>
      <c r="DS21" s="14" t="str">
        <f ca="1">IF(DS$1="","",'Total Value'!DS33/'Total Value'!DR33-1)</f>
        <v/>
      </c>
      <c r="DT21" s="14" t="str">
        <f ca="1">IF(DT$1="","",'Total Value'!DT33/'Total Value'!DS33-1)</f>
        <v/>
      </c>
      <c r="DU21" s="14" t="str">
        <f ca="1">IF(DU$1="","",'Total Value'!DU33/'Total Value'!DT33-1)</f>
        <v/>
      </c>
      <c r="DV21" s="14" t="str">
        <f ca="1">IF(DV$1="","",'Total Value'!DV33/'Total Value'!DU33-1)</f>
        <v/>
      </c>
      <c r="DW21" s="14" t="str">
        <f ca="1">IF(DW$1="","",'Total Value'!DW33/'Total Value'!DV33-1)</f>
        <v/>
      </c>
      <c r="DX21" s="14" t="str">
        <f ca="1">IF(DX$1="","",'Total Value'!DX33/'Total Value'!DW33-1)</f>
        <v/>
      </c>
      <c r="DY21" s="14" t="str">
        <f ca="1">IF(DY$1="","",'Total Value'!DY33/'Total Value'!DX33-1)</f>
        <v/>
      </c>
      <c r="DZ21" s="14" t="str">
        <f ca="1">IF(DZ$1="","",'Total Value'!DZ33/'Total Value'!DY33-1)</f>
        <v/>
      </c>
      <c r="EA21" s="14" t="str">
        <f ca="1">IF(EA$1="","",'Total Value'!EA33/'Total Value'!DZ33-1)</f>
        <v/>
      </c>
      <c r="EB21" s="14" t="str">
        <f ca="1">IF(EB$1="","",'Total Value'!EB33/'Total Value'!EA33-1)</f>
        <v/>
      </c>
      <c r="EC21" s="14" t="str">
        <f ca="1">IF(EC$1="","",'Total Value'!EC33/'Total Value'!EB33-1)</f>
        <v/>
      </c>
      <c r="ED21" s="14" t="str">
        <f ca="1">IF(ED$1="","",'Total Value'!ED33/'Total Value'!EC33-1)</f>
        <v/>
      </c>
      <c r="EE21" s="14" t="str">
        <f ca="1">IF(EE$1="","",'Total Value'!EE33/'Total Value'!ED33-1)</f>
        <v/>
      </c>
      <c r="EF21" s="14" t="str">
        <f ca="1">IF(EF$1="","",'Total Value'!EF33/'Total Value'!EE33-1)</f>
        <v/>
      </c>
      <c r="EG21" s="14" t="str">
        <f ca="1">IF(EG$1="","",'Total Value'!EG33/'Total Value'!EF33-1)</f>
        <v/>
      </c>
      <c r="EH21" s="14" t="str">
        <f ca="1">IF(EH$1="","",'Total Value'!EH33/'Total Value'!EG33-1)</f>
        <v/>
      </c>
      <c r="EI21" s="14" t="str">
        <f ca="1">IF(EI$1="","",'Total Value'!EI33/'Total Value'!EH33-1)</f>
        <v/>
      </c>
      <c r="EJ21" s="14" t="str">
        <f ca="1">IF(EJ$1="","",'Total Value'!EJ33/'Total Value'!EI33-1)</f>
        <v/>
      </c>
      <c r="EK21" s="14" t="str">
        <f ca="1">IF(EK$1="","",'Total Value'!EK33/'Total Value'!EJ33-1)</f>
        <v/>
      </c>
      <c r="EL21" s="14" t="str">
        <f ca="1">IF(EL$1="","",'Total Value'!EL33/'Total Value'!EK33-1)</f>
        <v/>
      </c>
      <c r="EM21" s="14" t="str">
        <f ca="1">IF(EM$1="","",'Total Value'!EM33/'Total Value'!EL33-1)</f>
        <v/>
      </c>
      <c r="EN21" s="14" t="str">
        <f ca="1">IF(EN$1="","",'Total Value'!EN33/'Total Value'!EM33-1)</f>
        <v/>
      </c>
      <c r="EO21" s="14" t="str">
        <f ca="1">IF(EO$1="","",'Total Value'!EO33/'Total Value'!EN33-1)</f>
        <v/>
      </c>
      <c r="EP21" s="14" t="str">
        <f ca="1">IF(EP$1="","",'Total Value'!EP33/'Total Value'!EO33-1)</f>
        <v/>
      </c>
      <c r="EQ21" s="14" t="str">
        <f ca="1">IF(EQ$1="","",'Total Value'!EQ33/'Total Value'!EP33-1)</f>
        <v/>
      </c>
      <c r="ER21" s="14" t="str">
        <f ca="1">IF(ER$1="","",'Total Value'!ER33/'Total Value'!EQ33-1)</f>
        <v/>
      </c>
      <c r="ES21" s="14" t="str">
        <f ca="1">IF(ES$1="","",'Total Value'!ES33/'Total Value'!ER33-1)</f>
        <v/>
      </c>
      <c r="ET21" s="14" t="str">
        <f ca="1">IF(ET$1="","",'Total Value'!ET33/'Total Value'!ES33-1)</f>
        <v/>
      </c>
      <c r="EU21" s="14" t="str">
        <f ca="1">IF(EU$1="","",'Total Value'!EU33/'Total Value'!ET33-1)</f>
        <v/>
      </c>
      <c r="EV21" s="14" t="str">
        <f ca="1">IF(EV$1="","",'Total Value'!EV33/'Total Value'!EU33-1)</f>
        <v/>
      </c>
      <c r="EW21" s="14" t="str">
        <f ca="1">IF(EW$1="","",'Total Value'!EW33/'Total Value'!EV33-1)</f>
        <v/>
      </c>
      <c r="EX21" s="14" t="str">
        <f ca="1">IF(EX$1="","",'Total Value'!EX33/'Total Value'!EW33-1)</f>
        <v/>
      </c>
      <c r="EY21" s="14" t="str">
        <f ca="1">IF(EY$1="","",'Total Value'!EY33/'Total Value'!EX33-1)</f>
        <v/>
      </c>
      <c r="EZ21" s="14" t="str">
        <f ca="1">IF(EZ$1="","",'Total Value'!EZ33/'Total Value'!EY33-1)</f>
        <v/>
      </c>
      <c r="FA21" s="14" t="str">
        <f ca="1">IF(FA$1="","",'Total Value'!FA33/'Total Value'!EZ33-1)</f>
        <v/>
      </c>
      <c r="FB21" s="14" t="str">
        <f ca="1">IF(FB$1="","",'Total Value'!FB33/'Total Value'!FA33-1)</f>
        <v/>
      </c>
      <c r="FC21" s="14" t="str">
        <f ca="1">IF(FC$1="","",'Total Value'!FC33/'Total Value'!FB33-1)</f>
        <v/>
      </c>
      <c r="FD21" s="14" t="str">
        <f ca="1">IF(FD$1="","",'Total Value'!FD33/'Total Value'!FC33-1)</f>
        <v/>
      </c>
      <c r="FE21" s="14" t="str">
        <f ca="1">IF(FE$1="","",'Total Value'!FE33/'Total Value'!FD33-1)</f>
        <v/>
      </c>
      <c r="FF21" s="14" t="str">
        <f ca="1">IF(FF$1="","",'Total Value'!FF33/'Total Value'!FE33-1)</f>
        <v/>
      </c>
      <c r="FG21" s="14" t="str">
        <f ca="1">IF(FG$1="","",'Total Value'!FG33/'Total Value'!FF33-1)</f>
        <v/>
      </c>
      <c r="FH21" s="14" t="str">
        <f ca="1">IF(FH$1="","",'Total Value'!FH33/'Total Value'!FG33-1)</f>
        <v/>
      </c>
      <c r="FI21" s="14" t="str">
        <f ca="1">IF(FI$1="","",'Total Value'!FI33/'Total Value'!FH33-1)</f>
        <v/>
      </c>
      <c r="FJ21" s="14" t="str">
        <f ca="1">IF(FJ$1="","",'Total Value'!FJ33/'Total Value'!FI33-1)</f>
        <v/>
      </c>
      <c r="FK21" s="14" t="str">
        <f ca="1">IF(FK$1="","",'Total Value'!FK33/'Total Value'!FJ33-1)</f>
        <v/>
      </c>
      <c r="FL21" s="14" t="str">
        <f ca="1">IF(FL$1="","",'Total Value'!FL33/'Total Value'!FK33-1)</f>
        <v/>
      </c>
      <c r="FM21" s="14" t="str">
        <f ca="1">IF(FM$1="","",'Total Value'!FM33/'Total Value'!FL33-1)</f>
        <v/>
      </c>
      <c r="FN21" s="14" t="str">
        <f ca="1">IF(FN$1="","",'Total Value'!FN33/'Total Value'!FM33-1)</f>
        <v/>
      </c>
      <c r="FO21" s="14" t="str">
        <f ca="1">IF(FO$1="","",'Total Value'!FO33/'Total Value'!FN33-1)</f>
        <v/>
      </c>
      <c r="FP21" s="14" t="str">
        <f ca="1">IF(FP$1="","",'Total Value'!FP33/'Total Value'!FO33-1)</f>
        <v/>
      </c>
      <c r="FQ21" s="14" t="str">
        <f ca="1">IF(FQ$1="","",'Total Value'!FQ33/'Total Value'!FP33-1)</f>
        <v/>
      </c>
      <c r="FR21" s="14" t="str">
        <f ca="1">IF(FR$1="","",'Total Value'!FR33/'Total Value'!FQ33-1)</f>
        <v/>
      </c>
      <c r="FS21" s="14" t="str">
        <f ca="1">IF(FS$1="","",'Total Value'!FS33/'Total Value'!FR33-1)</f>
        <v/>
      </c>
      <c r="FT21" s="14" t="str">
        <f ca="1">IF(FT$1="","",'Total Value'!FT33/'Total Value'!FS33-1)</f>
        <v/>
      </c>
      <c r="FU21" s="14" t="str">
        <f ca="1">IF(FU$1="","",'Total Value'!FU33/'Total Value'!FT33-1)</f>
        <v/>
      </c>
      <c r="FV21" s="14" t="str">
        <f ca="1">IF(FV$1="","",'Total Value'!FV33/'Total Value'!FU33-1)</f>
        <v/>
      </c>
      <c r="FW21" s="14" t="str">
        <f ca="1">IF(FW$1="","",'Total Value'!FW33/'Total Value'!FV33-1)</f>
        <v/>
      </c>
      <c r="FX21" s="14" t="str">
        <f ca="1">IF(FX$1="","",'Total Value'!FX33/'Total Value'!FW33-1)</f>
        <v/>
      </c>
      <c r="FY21" s="14" t="str">
        <f ca="1">IF(FY$1="","",'Total Value'!FY33/'Total Value'!FX33-1)</f>
        <v/>
      </c>
      <c r="FZ21" s="14" t="str">
        <f ca="1">IF(FZ$1="","",'Total Value'!FZ33/'Total Value'!FY33-1)</f>
        <v/>
      </c>
      <c r="GA21" s="14" t="str">
        <f ca="1">IF(GA$1="","",'Total Value'!GA33/'Total Value'!FZ33-1)</f>
        <v/>
      </c>
      <c r="GB21" s="14" t="str">
        <f ca="1">IF(GB$1="","",'Total Value'!GB33/'Total Value'!GA33-1)</f>
        <v/>
      </c>
      <c r="GC21" s="14" t="str">
        <f ca="1">IF(GC$1="","",'Total Value'!GC33/'Total Value'!GB33-1)</f>
        <v/>
      </c>
      <c r="GD21" s="14" t="str">
        <f ca="1">IF(GD$1="","",'Total Value'!GD33/'Total Value'!GC33-1)</f>
        <v/>
      </c>
      <c r="GE21" s="14" t="str">
        <f ca="1">IF(GE$1="","",'Total Value'!GE33/'Total Value'!GD33-1)</f>
        <v/>
      </c>
      <c r="GF21" s="14" t="str">
        <f ca="1">IF(GF$1="","",'Total Value'!GF33/'Total Value'!GE33-1)</f>
        <v/>
      </c>
      <c r="GG21" s="14" t="str">
        <f ca="1">IF(GG$1="","",'Total Value'!GG33/'Total Value'!GF33-1)</f>
        <v/>
      </c>
      <c r="GH21" s="14" t="str">
        <f ca="1">IF(GH$1="","",'Total Value'!GH33/'Total Value'!GG33-1)</f>
        <v/>
      </c>
      <c r="GI21" s="14" t="str">
        <f ca="1">IF(GI$1="","",'Total Value'!GI33/'Total Value'!GH33-1)</f>
        <v/>
      </c>
      <c r="GJ21" s="14" t="str">
        <f ca="1">IF(GJ$1="","",'Total Value'!GJ33/'Total Value'!GI33-1)</f>
        <v/>
      </c>
      <c r="GK21" s="14" t="str">
        <f ca="1">IF(GK$1="","",'Total Value'!GK33/'Total Value'!GJ33-1)</f>
        <v/>
      </c>
      <c r="GL21" s="14" t="str">
        <f ca="1">IF(GL$1="","",'Total Value'!GL33/'Total Value'!GK33-1)</f>
        <v/>
      </c>
      <c r="GM21" s="14" t="str">
        <f ca="1">IF(GM$1="","",'Total Value'!GM33/'Total Value'!GL33-1)</f>
        <v/>
      </c>
      <c r="GN21" s="14" t="str">
        <f ca="1">IF(GN$1="","",'Total Value'!GN33/'Total Value'!GM33-1)</f>
        <v/>
      </c>
      <c r="GO21" s="14" t="str">
        <f ca="1">IF(GO$1="","",'Total Value'!GO33/'Total Value'!GN33-1)</f>
        <v/>
      </c>
      <c r="GP21" s="14" t="str">
        <f ca="1">IF(GP$1="","",'Total Value'!GP33/'Total Value'!GO33-1)</f>
        <v/>
      </c>
      <c r="GQ21" s="14" t="str">
        <f ca="1">IF(GQ$1="","",'Total Value'!GQ33/'Total Value'!GP33-1)</f>
        <v/>
      </c>
      <c r="GR21" s="14" t="str">
        <f ca="1">IF(GR$1="","",'Total Value'!GR33/'Total Value'!GQ33-1)</f>
        <v/>
      </c>
      <c r="GS21" s="14" t="str">
        <f ca="1">IF(GS$1="","",'Total Value'!GS33/'Total Value'!GR33-1)</f>
        <v/>
      </c>
      <c r="GT21" s="14" t="str">
        <f ca="1">IF(GT$1="","",'Total Value'!GT33/'Total Value'!GS33-1)</f>
        <v/>
      </c>
      <c r="GU21" s="14" t="str">
        <f ca="1">IF(GU$1="","",'Total Value'!GU33/'Total Value'!GT33-1)</f>
        <v/>
      </c>
      <c r="GV21" s="14" t="str">
        <f ca="1">IF(GV$1="","",'Total Value'!GV33/'Total Value'!GU33-1)</f>
        <v/>
      </c>
      <c r="GW21" s="14" t="str">
        <f ca="1">IF(GW$1="","",'Total Value'!GW33/'Total Value'!GV33-1)</f>
        <v/>
      </c>
      <c r="GX21" s="14" t="str">
        <f ca="1">IF(GX$1="","",'Total Value'!GX33/'Total Value'!GW33-1)</f>
        <v/>
      </c>
      <c r="GY21" s="14" t="str">
        <f ca="1">IF(GY$1="","",'Total Value'!GY33/'Total Value'!GX33-1)</f>
        <v/>
      </c>
      <c r="GZ21" s="14" t="str">
        <f ca="1">IF(GZ$1="","",'Total Value'!GZ33/'Total Value'!GY33-1)</f>
        <v/>
      </c>
      <c r="HA21" s="14" t="str">
        <f ca="1">IF(HA$1="","",'Total Value'!HA33/'Total Value'!GZ33-1)</f>
        <v/>
      </c>
      <c r="HB21" s="14" t="str">
        <f ca="1">IF(HB$1="","",'Total Value'!HB33/'Total Value'!HA33-1)</f>
        <v/>
      </c>
      <c r="HC21" s="14" t="str">
        <f ca="1">IF(HC$1="","",'Total Value'!HC33/'Total Value'!HB33-1)</f>
        <v/>
      </c>
      <c r="HD21" s="14" t="str">
        <f ca="1">IF(HD$1="","",'Total Value'!HD33/'Total Value'!HC33-1)</f>
        <v/>
      </c>
      <c r="HE21" s="14" t="str">
        <f ca="1">IF(HE$1="","",'Total Value'!HE33/'Total Value'!HD33-1)</f>
        <v/>
      </c>
      <c r="HF21" s="14" t="str">
        <f ca="1">IF(HF$1="","",'Total Value'!HF33/'Total Value'!HE33-1)</f>
        <v/>
      </c>
      <c r="HG21" s="14" t="str">
        <f ca="1">IF(HG$1="","",'Total Value'!HG33/'Total Value'!HF33-1)</f>
        <v/>
      </c>
      <c r="HH21" s="14" t="str">
        <f ca="1">IF(HH$1="","",'Total Value'!HH33/'Total Value'!HG33-1)</f>
        <v/>
      </c>
      <c r="HI21" s="14" t="str">
        <f ca="1">IF(HI$1="","",'Total Value'!HI33/'Total Value'!HH33-1)</f>
        <v/>
      </c>
      <c r="HJ21" s="14" t="str">
        <f ca="1">IF(HJ$1="","",'Total Value'!HJ33/'Total Value'!HI33-1)</f>
        <v/>
      </c>
      <c r="HK21" s="14" t="str">
        <f ca="1">IF(HK$1="","",'Total Value'!HK33/'Total Value'!HJ33-1)</f>
        <v/>
      </c>
      <c r="HL21" s="14" t="str">
        <f ca="1">IF(HL$1="","",'Total Value'!HL33/'Total Value'!HK33-1)</f>
        <v/>
      </c>
      <c r="HM21" s="14" t="str">
        <f ca="1">IF(HM$1="","",'Total Value'!HM33/'Total Value'!HL33-1)</f>
        <v/>
      </c>
      <c r="HN21" s="14" t="str">
        <f ca="1">IF(HN$1="","",'Total Value'!HN33/'Total Value'!HM33-1)</f>
        <v/>
      </c>
      <c r="HO21" s="14" t="str">
        <f ca="1">IF(HO$1="","",'Total Value'!HO33/'Total Value'!HN33-1)</f>
        <v/>
      </c>
      <c r="HP21" s="14" t="str">
        <f ca="1">IF(HP$1="","",'Total Value'!HP33/'Total Value'!HO33-1)</f>
        <v/>
      </c>
      <c r="HQ21" s="14" t="str">
        <f ca="1">IF(HQ$1="","",'Total Value'!HQ33/'Total Value'!HP33-1)</f>
        <v/>
      </c>
      <c r="HR21" s="14" t="str">
        <f ca="1">IF(HR$1="","",'Total Value'!HR33/'Total Value'!HQ33-1)</f>
        <v/>
      </c>
      <c r="HS21" s="14" t="str">
        <f ca="1">IF(HS$1="","",'Total Value'!HS33/'Total Value'!HR33-1)</f>
        <v/>
      </c>
      <c r="HT21" s="14" t="str">
        <f ca="1">IF(HT$1="","",'Total Value'!HT33/'Total Value'!HS33-1)</f>
        <v/>
      </c>
      <c r="HU21" s="14" t="str">
        <f ca="1">IF(HU$1="","",'Total Value'!HU33/'Total Value'!HT33-1)</f>
        <v/>
      </c>
      <c r="HV21" s="14" t="str">
        <f ca="1">IF(HV$1="","",'Total Value'!HV33/'Total Value'!HU33-1)</f>
        <v/>
      </c>
      <c r="HW21" s="14" t="str">
        <f ca="1">IF(HW$1="","",'Total Value'!HW33/'Total Value'!HV33-1)</f>
        <v/>
      </c>
      <c r="HX21" s="14" t="str">
        <f ca="1">IF(HX$1="","",'Total Value'!HX33/'Total Value'!HW33-1)</f>
        <v/>
      </c>
      <c r="HY21" s="14" t="str">
        <f ca="1">IF(HY$1="","",'Total Value'!HY33/'Total Value'!HX33-1)</f>
        <v/>
      </c>
      <c r="HZ21" s="14" t="str">
        <f ca="1">IF(HZ$1="","",'Total Value'!HZ33/'Total Value'!HY33-1)</f>
        <v/>
      </c>
      <c r="IA21" s="14" t="str">
        <f ca="1">IF(IA$1="","",'Total Value'!IA33/'Total Value'!HZ33-1)</f>
        <v/>
      </c>
      <c r="IB21" s="14" t="str">
        <f ca="1">IF(IB$1="","",'Total Value'!IB33/'Total Value'!IA33-1)</f>
        <v/>
      </c>
      <c r="IC21" s="14" t="str">
        <f ca="1">IF(IC$1="","",'Total Value'!IC33/'Total Value'!IB33-1)</f>
        <v/>
      </c>
      <c r="ID21" s="14" t="str">
        <f ca="1">IF(ID$1="","",'Total Value'!ID33/'Total Value'!IC33-1)</f>
        <v/>
      </c>
      <c r="IE21" s="14" t="str">
        <f ca="1">IF(IE$1="","",'Total Value'!IE33/'Total Value'!ID33-1)</f>
        <v/>
      </c>
      <c r="IF21" s="14" t="str">
        <f ca="1">IF(IF$1="","",'Total Value'!IF33/'Total Value'!IE33-1)</f>
        <v/>
      </c>
      <c r="IG21" s="14" t="str">
        <f ca="1">IF(IG$1="","",'Total Value'!IG33/'Total Value'!IF33-1)</f>
        <v/>
      </c>
      <c r="IH21" s="14" t="str">
        <f ca="1">IF(IH$1="","",'Total Value'!IH33/'Total Value'!IG33-1)</f>
        <v/>
      </c>
      <c r="II21" s="14" t="str">
        <f ca="1">IF(II$1="","",'Total Value'!II33/'Total Value'!IH33-1)</f>
        <v/>
      </c>
      <c r="IJ21" s="14" t="str">
        <f ca="1">IF(IJ$1="","",'Total Value'!IJ33/'Total Value'!II33-1)</f>
        <v/>
      </c>
      <c r="IK21" s="14" t="str">
        <f ca="1">IF(IK$1="","",'Total Value'!IK33/'Total Value'!IJ33-1)</f>
        <v/>
      </c>
      <c r="IL21" s="14" t="str">
        <f ca="1">IF(IL$1="","",'Total Value'!IL33/'Total Value'!IK33-1)</f>
        <v/>
      </c>
      <c r="IM21" s="14" t="str">
        <f ca="1">IF(IM$1="","",'Total Value'!IM33/'Total Value'!IL33-1)</f>
        <v/>
      </c>
      <c r="IN21" s="14" t="str">
        <f ca="1">IF(IN$1="","",'Total Value'!IN33/'Total Value'!IM33-1)</f>
        <v/>
      </c>
      <c r="IO21" s="14" t="str">
        <f ca="1">IF(IO$1="","",'Total Value'!IO33/'Total Value'!IN33-1)</f>
        <v/>
      </c>
      <c r="IP21" s="14" t="str">
        <f ca="1">IF(IP$1="","",'Total Value'!IP33/'Total Value'!IO33-1)</f>
        <v/>
      </c>
      <c r="IQ21" s="14" t="str">
        <f ca="1">IF(IQ$1="","",'Total Value'!IQ33/'Total Value'!IP33-1)</f>
        <v/>
      </c>
      <c r="IR21" s="14" t="str">
        <f ca="1">IF(IR$1="","",'Total Value'!IR33/'Total Value'!IQ33-1)</f>
        <v/>
      </c>
      <c r="IS21" s="14" t="str">
        <f ca="1">IF(IS$1="","",'Total Value'!IS33/'Total Value'!IR33-1)</f>
        <v/>
      </c>
      <c r="IT21" s="14" t="str">
        <f ca="1">IF(IT$1="","",'Total Value'!IT33/'Total Value'!IS33-1)</f>
        <v/>
      </c>
      <c r="IU21" s="14" t="str">
        <f ca="1">IF(IU$1="","",'Total Value'!IU33/'Total Value'!IT33-1)</f>
        <v/>
      </c>
      <c r="IV21" s="14" t="str">
        <f ca="1">IF(IV$1="","",'Total Value'!IV33/'Total Value'!IU33-1)</f>
        <v/>
      </c>
      <c r="IW21" s="14" t="str">
        <f ca="1">IF(IW$1="","",'Total Value'!IW33/'Total Value'!IV33-1)</f>
        <v/>
      </c>
      <c r="IX21" s="14" t="str">
        <f ca="1">IF(IX$1="","",'Total Value'!IX33/'Total Value'!IW33-1)</f>
        <v/>
      </c>
      <c r="IY21" s="14" t="str">
        <f ca="1">IF(IY$1="","",'Total Value'!IY33/'Total Value'!IX33-1)</f>
        <v/>
      </c>
      <c r="IZ21" s="14" t="str">
        <f ca="1">IF(IZ$1="","",'Total Value'!IZ33/'Total Value'!IY33-1)</f>
        <v/>
      </c>
      <c r="JA21" s="14" t="str">
        <f ca="1">IF(JA$1="","",'Total Value'!JA33/'Total Value'!IZ33-1)</f>
        <v/>
      </c>
      <c r="JB21" s="14" t="str">
        <f ca="1">IF(JB$1="","",'Total Value'!JB33/'Total Value'!JA33-1)</f>
        <v/>
      </c>
      <c r="JC21" s="14" t="str">
        <f ca="1">IF(JC$1="","",'Total Value'!JC33/'Total Value'!JB33-1)</f>
        <v/>
      </c>
      <c r="JD21" s="14" t="str">
        <f ca="1">IF(JD$1="","",'Total Value'!JD33/'Total Value'!JC33-1)</f>
        <v/>
      </c>
      <c r="JE21" s="14" t="str">
        <f ca="1">IF(JE$1="","",'Total Value'!JE33/'Total Value'!JD33-1)</f>
        <v/>
      </c>
      <c r="JF21" s="14" t="str">
        <f ca="1">IF(JF$1="","",'Total Value'!JF33/'Total Value'!JE33-1)</f>
        <v/>
      </c>
      <c r="JG21" s="14" t="str">
        <f ca="1">IF(JG$1="","",'Total Value'!JG33/'Total Value'!JF33-1)</f>
        <v/>
      </c>
      <c r="JH21" s="14" t="str">
        <f ca="1">IF(JH$1="","",'Total Value'!JH33/'Total Value'!JG33-1)</f>
        <v/>
      </c>
      <c r="JI21" s="14" t="str">
        <f ca="1">IF(JI$1="","",'Total Value'!JI33/'Total Value'!JH33-1)</f>
        <v/>
      </c>
      <c r="JJ21" s="14" t="str">
        <f ca="1">IF(JJ$1="","",'Total Value'!JJ33/'Total Value'!JI33-1)</f>
        <v/>
      </c>
      <c r="JK21" s="14" t="str">
        <f ca="1">IF(JK$1="","",'Total Value'!JK33/'Total Value'!JJ33-1)</f>
        <v/>
      </c>
      <c r="JL21" s="14" t="str">
        <f ca="1">IF(JL$1="","",'Total Value'!JL33/'Total Value'!JK33-1)</f>
        <v/>
      </c>
      <c r="JM21" s="14" t="str">
        <f ca="1">IF(JM$1="","",'Total Value'!JM33/'Total Value'!JL33-1)</f>
        <v/>
      </c>
      <c r="JN21" s="14" t="str">
        <f ca="1">IF(JN$1="","",'Total Value'!JN33/'Total Value'!JM33-1)</f>
        <v/>
      </c>
      <c r="JO21" s="14" t="str">
        <f ca="1">IF(JO$1="","",'Total Value'!JO33/'Total Value'!JN33-1)</f>
        <v/>
      </c>
      <c r="JP21" s="14" t="str">
        <f ca="1">IF(JP$1="","",'Total Value'!JP33/'Total Value'!JO33-1)</f>
        <v/>
      </c>
      <c r="JQ21" s="14" t="str">
        <f ca="1">IF(JQ$1="","",'Total Value'!JQ33/'Total Value'!JP33-1)</f>
        <v/>
      </c>
      <c r="JR21" s="14" t="str">
        <f ca="1">IF(JR$1="","",'Total Value'!JR33/'Total Value'!JQ33-1)</f>
        <v/>
      </c>
      <c r="JS21" s="14" t="str">
        <f ca="1">IF(JS$1="","",'Total Value'!JS33/'Total Value'!JR33-1)</f>
        <v/>
      </c>
      <c r="JT21" s="14" t="str">
        <f ca="1">IF(JT$1="","",'Total Value'!JT33/'Total Value'!JS33-1)</f>
        <v/>
      </c>
      <c r="JU21" s="14" t="str">
        <f ca="1">IF(JU$1="","",'Total Value'!JU33/'Total Value'!JT33-1)</f>
        <v/>
      </c>
      <c r="JV21" s="14" t="str">
        <f ca="1">IF(JV$1="","",'Total Value'!JV33/'Total Value'!JU33-1)</f>
        <v/>
      </c>
      <c r="JW21" s="14" t="str">
        <f ca="1">IF(JW$1="","",'Total Value'!JW33/'Total Value'!JV33-1)</f>
        <v/>
      </c>
      <c r="JX21" s="14" t="str">
        <f ca="1">IF(JX$1="","",'Total Value'!JX33/'Total Value'!JW33-1)</f>
        <v/>
      </c>
      <c r="JY21" s="14" t="str">
        <f ca="1">IF(JY$1="","",'Total Value'!JY33/'Total Value'!JX33-1)</f>
        <v/>
      </c>
      <c r="JZ21" s="14" t="str">
        <f ca="1">IF(JZ$1="","",'Total Value'!JZ33/'Total Value'!JY33-1)</f>
        <v/>
      </c>
      <c r="KA21" s="14" t="str">
        <f ca="1">IF(KA$1="","",'Total Value'!KA33/'Total Value'!JZ33-1)</f>
        <v/>
      </c>
      <c r="KB21" s="14" t="str">
        <f ca="1">IF(KB$1="","",'Total Value'!KB33/'Total Value'!KA33-1)</f>
        <v/>
      </c>
    </row>
    <row r="22" spans="1:288" ht="15.75" customHeight="1">
      <c r="A22" s="22" t="s">
        <v>30</v>
      </c>
      <c r="B22" s="6" t="s">
        <v>31</v>
      </c>
      <c r="C22" s="26">
        <v>67</v>
      </c>
      <c r="D22" s="13">
        <v>0</v>
      </c>
      <c r="E22" s="14">
        <f ca="1">IF(E$1="","",'Total Value'!E34/'Total Value'!D34-1)</f>
        <v>1.567681640036156E-2</v>
      </c>
      <c r="F22" s="14">
        <f ca="1">IF(F$1="","",'Total Value'!F34/'Total Value'!E34-1)</f>
        <v>-9.4983674680914065E-3</v>
      </c>
      <c r="G22" s="14">
        <f ca="1">IF(G$1="","",'Total Value'!G34/'Total Value'!F34-1)</f>
        <v>-1.0788133053640903E-2</v>
      </c>
      <c r="H22" s="14">
        <f ca="1">IF(H$1="","",'Total Value'!H34/'Total Value'!G34-1)</f>
        <v>1.2723417146319305E-2</v>
      </c>
      <c r="I22" s="14">
        <f ca="1">IF(I$1="","",'Total Value'!I34/'Total Value'!H34-1)</f>
        <v>-4.7262937481304057E-2</v>
      </c>
      <c r="J22" s="14">
        <f ca="1">IF(J$1="","",'Total Value'!J34/'Total Value'!I34-1)</f>
        <v>-2.0722135007849363E-2</v>
      </c>
      <c r="K22" s="14">
        <f ca="1">IF(K$1="","",'Total Value'!K34/'Total Value'!J34-1)</f>
        <v>-9.2978518756012818E-3</v>
      </c>
      <c r="L22" s="14">
        <f ca="1">IF(L$1="","",'Total Value'!L34/'Total Value'!K34-1)</f>
        <v>-4.1747572815533873E-2</v>
      </c>
      <c r="M22" s="14">
        <f ca="1">IF(M$1="","",'Total Value'!M34/'Total Value'!L34-1)</f>
        <v>3.0732860520094496E-2</v>
      </c>
      <c r="N22" s="14">
        <f ca="1">IF(N$1="","",'Total Value'!N34/'Total Value'!M34-1)</f>
        <v>-6.8152031454783657E-2</v>
      </c>
      <c r="O22" s="14">
        <f ca="1">IF(O$1="","",'Total Value'!O34/'Total Value'!N34-1)</f>
        <v>-2.8481012658227889E-2</v>
      </c>
      <c r="P22" s="14">
        <f ca="1">IF(P$1="","",'Total Value'!P34/'Total Value'!O34-1)</f>
        <v>-6.2975027144408169E-2</v>
      </c>
      <c r="Q22" s="14">
        <f ca="1">IF(Q$1="","",'Total Value'!Q34/'Total Value'!P34-1)</f>
        <v>2.9354963306295723E-2</v>
      </c>
      <c r="R22" s="14">
        <f ca="1">IF(R$1="","",'Total Value'!R34/'Total Value'!Q34-1)</f>
        <v>0.12082551594746715</v>
      </c>
      <c r="S22" s="14">
        <f ca="1">IF(S$1="","",'Total Value'!S34/'Total Value'!R34-1)</f>
        <v>-4.8208905256109769E-2</v>
      </c>
      <c r="T22" s="14">
        <f ca="1">IF(T$1="","",'Total Value'!T34/'Total Value'!S34-1)</f>
        <v>-4.1153710868800486E-2</v>
      </c>
      <c r="U22" s="14">
        <f ca="1">IF(U$1="","",'Total Value'!U34/'Total Value'!T34-1)</f>
        <v>-7.9603815113719834E-2</v>
      </c>
      <c r="V22" s="14">
        <f ca="1">IF(V$1="","",'Total Value'!V34/'Total Value'!U34-1)</f>
        <v>7.2937425269031575E-2</v>
      </c>
      <c r="W22" s="14">
        <f ca="1">IF(W$1="","",'Total Value'!W34/'Total Value'!V34-1)</f>
        <v>-4.0861812778604234E-3</v>
      </c>
      <c r="X22" s="14">
        <f ca="1">IF(X$1="","",'Total Value'!X34/'Total Value'!W34-1)</f>
        <v>3.2077582991421272E-2</v>
      </c>
      <c r="Y22" s="14">
        <f ca="1">IF(Y$1="","",'Total Value'!Y34/'Total Value'!X34-1)</f>
        <v>3.8308637513552624E-2</v>
      </c>
      <c r="Z22" s="14">
        <f ca="1">IF(Z$1="","",'Total Value'!Z34/'Total Value'!Y34-1)</f>
        <v>-1.3922728854856015E-3</v>
      </c>
      <c r="AA22" s="14">
        <f ca="1">IF(AA$1="","",'Total Value'!AA34/'Total Value'!Z34-1)</f>
        <v>-1.7427675148135258E-2</v>
      </c>
      <c r="AB22" s="14">
        <f ca="1">IF(AB$1="","",'Total Value'!AB34/'Total Value'!AA34-1)</f>
        <v>3.4054629301170536E-2</v>
      </c>
      <c r="AC22" s="14">
        <f ca="1">IF(AC$1="","",'Total Value'!AC34/'Total Value'!AB34-1)</f>
        <v>5.8319039451115717E-3</v>
      </c>
      <c r="AD22" s="14">
        <f ca="1">IF(AD$1="","",'Total Value'!AD34/'Total Value'!AC34-1)</f>
        <v>-2.2851296043656211E-2</v>
      </c>
      <c r="AE22" s="14">
        <f ca="1">IF(AE$1="","",'Total Value'!AE34/'Total Value'!AD34-1)</f>
        <v>-6.1082024432809745E-2</v>
      </c>
      <c r="AF22" s="14">
        <f ca="1">IF(AF$1="","",'Total Value'!AF34/'Total Value'!AE34-1)</f>
        <v>-8.5873605947955345E-2</v>
      </c>
      <c r="AG22" s="14">
        <f ca="1">IF(AG$1="","",'Total Value'!AG34/'Total Value'!AF34-1)</f>
        <v>-4.4733631557543063E-3</v>
      </c>
      <c r="AH22" s="14">
        <f ca="1">IF(AH$1="","",'Total Value'!AH34/'Total Value'!AG34-1)</f>
        <v>-6.7401960784313819E-2</v>
      </c>
      <c r="AI22" s="14">
        <f ca="1">IF(AI$1="","",'Total Value'!AI34/'Total Value'!AH34-1)</f>
        <v>6.6141042487954493E-2</v>
      </c>
      <c r="AJ22" s="14">
        <f ca="1">IF(AJ$1="","",'Total Value'!AJ34/'Total Value'!AI34-1)</f>
        <v>-0.25636811832374684</v>
      </c>
      <c r="AK22" s="14">
        <f ca="1">IF(AK$1="","",'Total Value'!AK34/'Total Value'!AJ34-1)</f>
        <v>0.12044198895027614</v>
      </c>
      <c r="AL22" s="14">
        <f ca="1">IF(AL$1="","",'Total Value'!AL34/'Total Value'!AK34-1)</f>
        <v>0.15976331360946738</v>
      </c>
      <c r="AM22" s="14">
        <f ca="1">IF(AM$1="","",'Total Value'!AM34/'Total Value'!AL34-1)</f>
        <v>-1.7006802721087899E-3</v>
      </c>
      <c r="AN22" s="14">
        <f ca="1">IF(AN$1="","",'Total Value'!AN34/'Total Value'!AM34-1)</f>
        <v>-2.0017035775127812E-2</v>
      </c>
      <c r="AO22" s="14">
        <f ca="1">IF(AO$1="","",'Total Value'!AO34/'Total Value'!AN34-1)</f>
        <v>-4.3893959148196493E-2</v>
      </c>
      <c r="AP22" s="14">
        <f ca="1">IF(AP$1="","",'Total Value'!AP34/'Total Value'!AO34-1)</f>
        <v>-1.7727272727272814E-2</v>
      </c>
      <c r="AQ22" s="14">
        <f ca="1">IF(AQ$1="","",'Total Value'!AQ34/'Total Value'!AP34-1)</f>
        <v>7.0337806571032058E-2</v>
      </c>
      <c r="AR22" s="14">
        <f ca="1">IF(AR$1="","",'Total Value'!AR34/'Total Value'!AQ34-1)</f>
        <v>7.5659316904453044E-2</v>
      </c>
      <c r="AS22" s="14">
        <f ca="1">IF(AS$1="","",'Total Value'!AS34/'Total Value'!AR34-1)</f>
        <v>-2.8938906752411619E-2</v>
      </c>
      <c r="AT22" s="14">
        <f ca="1">IF(AT$1="","",'Total Value'!AT34/'Total Value'!AS34-1)</f>
        <v>-5.5463576158940375E-2</v>
      </c>
      <c r="AU22" s="14">
        <f ca="1">IF(AU$1="","",'Total Value'!AU34/'Total Value'!AT34-1)</f>
        <v>-6.9237510955302395E-2</v>
      </c>
      <c r="AV22" s="14">
        <f ca="1">IF(AV$1="","",'Total Value'!AV34/'Total Value'!AU34-1)</f>
        <v>-2.4952919020715503E-2</v>
      </c>
      <c r="AW22" s="14">
        <f ca="1">IF(AW$1="","",'Total Value'!AW34/'Total Value'!AV34-1)</f>
        <v>0.15789473684210509</v>
      </c>
      <c r="AX22" s="14">
        <f ca="1">IF(AX$1="","",'Total Value'!AX34/'Total Value'!AW34-1)</f>
        <v>2.4603836530441958E-2</v>
      </c>
      <c r="AY22" s="14">
        <f ca="1">IF(AY$1="","",'Total Value'!AY34/'Total Value'!AX34-1)</f>
        <v>2.238502238502238E-2</v>
      </c>
      <c r="AZ22" s="14">
        <f ca="1">IF(AZ$1="","",'Total Value'!AZ34/'Total Value'!AY34-1)</f>
        <v>-2.5875796178343902E-2</v>
      </c>
      <c r="BA22" s="14">
        <f ca="1">IF(BA$1="","",'Total Value'!BA34/'Total Value'!AZ34-1)</f>
        <v>3.4736411932979161E-2</v>
      </c>
      <c r="BB22" s="14">
        <f ca="1">IF(BB$1="","",'Total Value'!BB34/'Total Value'!BA34-1)</f>
        <v>-1.8167456556082207E-2</v>
      </c>
      <c r="BC22" s="14">
        <f ca="1">IF(BC$1="","",'Total Value'!BC34/'Total Value'!BB34-1)</f>
        <v>5.2292839903460564E-3</v>
      </c>
      <c r="BD22" s="14">
        <f ca="1">IF(BD$1="","",'Total Value'!BD34/'Total Value'!BC34-1)</f>
        <v>-4.3617446978791552E-2</v>
      </c>
      <c r="BE22" s="14">
        <f ca="1">IF(BE$1="","",'Total Value'!BE34/'Total Value'!BD34-1)</f>
        <v>1.2133891213389258E-2</v>
      </c>
      <c r="BF22" s="14">
        <f ca="1">IF(BF$1="","",'Total Value'!BF34/'Total Value'!BE34-1)</f>
        <v>7.0276973956180377E-2</v>
      </c>
      <c r="BG22" s="14">
        <f ca="1">IF(BG$1="","",'Total Value'!BG34/'Total Value'!BF34-1)</f>
        <v>-4.2487446890691505E-2</v>
      </c>
      <c r="BH22" s="14">
        <f ca="1">IF(BH$1="","",'Total Value'!BH34/'Total Value'!BG34-1)</f>
        <v>-1.4925373134328179E-2</v>
      </c>
      <c r="BI22" s="14">
        <f ca="1">IF(BI$1="","",'Total Value'!BI34/'Total Value'!BH34-1)</f>
        <v>1.8427518427518441E-2</v>
      </c>
      <c r="BJ22" s="14">
        <f ca="1">IF(BJ$1="","",'Total Value'!BJ34/'Total Value'!BI34-1)</f>
        <v>5.0261359067149236E-2</v>
      </c>
      <c r="BK22" s="14">
        <f ca="1">IF(BK$1="","",'Total Value'!BK34/'Total Value'!BJ34-1)</f>
        <v>-1.225114854517606E-2</v>
      </c>
      <c r="BL22" s="14">
        <f ca="1">IF(BL$1="","",'Total Value'!BL34/'Total Value'!BK34-1)</f>
        <v>-3.9922480620155132E-2</v>
      </c>
      <c r="BM22" s="14">
        <f ca="1">IF(BM$1="","",'Total Value'!BM34/'Total Value'!BL34-1)</f>
        <v>9.28542591844983E-3</v>
      </c>
      <c r="BN22" s="14">
        <f ca="1">IF(BN$1="","",'Total Value'!BN34/'Total Value'!BM34-1)</f>
        <v>2.079999999999993E-2</v>
      </c>
      <c r="BO22" s="14">
        <f ca="1">IF(BO$1="","",'Total Value'!BO34/'Total Value'!BN34-1)</f>
        <v>-4.7021943573667402E-3</v>
      </c>
      <c r="BP22" s="14">
        <f ca="1">IF(BP$1="","",'Total Value'!BP34/'Total Value'!BO34-1)</f>
        <v>2.7952755905511717E-2</v>
      </c>
      <c r="BQ22" s="14">
        <f ca="1">IF(BQ$1="","",'Total Value'!BQ34/'Total Value'!BP34-1)</f>
        <v>2.6809651474530849E-3</v>
      </c>
      <c r="BR22" s="14">
        <f ca="1">IF(BR$1="","",'Total Value'!BR34/'Total Value'!BQ34-1)</f>
        <v>-3.6669213139801315E-2</v>
      </c>
      <c r="BS22" s="14">
        <f ca="1">IF(BS$1="","",'Total Value'!BS34/'Total Value'!BR34-1)</f>
        <v>-3.4892942109436942E-2</v>
      </c>
      <c r="BT22" s="14">
        <f ca="1">IF(BT$1="","",'Total Value'!BT34/'Total Value'!BS34-1)</f>
        <v>3.9030402629416594E-2</v>
      </c>
      <c r="BU22" s="14">
        <f ca="1">IF(BU$1="","",'Total Value'!BU34/'Total Value'!BT34-1)</f>
        <v>-3.716884143930399E-2</v>
      </c>
      <c r="BV22" s="14">
        <f ca="1">IF(BV$1="","",'Total Value'!BV34/'Total Value'!BU34-1)</f>
        <v>-2.2176591375770105E-2</v>
      </c>
      <c r="BW22" s="14">
        <f ca="1">IF(BW$1="","",'Total Value'!BW34/'Total Value'!BV34-1)</f>
        <v>-1.2599748005039824E-2</v>
      </c>
      <c r="BX22" s="14">
        <f ca="1">IF(BX$1="","",'Total Value'!BX34/'Total Value'!BW34-1)</f>
        <v>1.4036580178647284E-2</v>
      </c>
      <c r="BY22" s="14">
        <f ca="1">IF(BY$1="","",'Total Value'!BY34/'Total Value'!BX34-1)</f>
        <v>-8.5570469798657567E-2</v>
      </c>
      <c r="BZ22" s="14">
        <f ca="1">IF(BZ$1="","",'Total Value'!BZ34/'Total Value'!BY34-1)</f>
        <v>-3.1192660550458884E-2</v>
      </c>
      <c r="CA22" s="14">
        <f ca="1">IF(CA$1="","",'Total Value'!CA34/'Total Value'!BZ34-1)</f>
        <v>6.0606060606060552E-2</v>
      </c>
      <c r="CB22" s="14">
        <f ca="1">IF(CB$1="","",'Total Value'!CB34/'Total Value'!CA34-1)</f>
        <v>9.8214285714286476E-3</v>
      </c>
      <c r="CC22" s="14">
        <f ca="1">IF(CC$1="","",'Total Value'!CC34/'Total Value'!CB34-1)</f>
        <v>3.1388152077807208E-2</v>
      </c>
      <c r="CD22" s="14">
        <f ca="1">IF(CD$1="","",'Total Value'!CD34/'Total Value'!CC34-1)</f>
        <v>-6.3866266609515554E-2</v>
      </c>
      <c r="CE22" s="14">
        <f ca="1">IF(CE$1="","",'Total Value'!CE34/'Total Value'!CD34-1)</f>
        <v>1.4194139194139144E-2</v>
      </c>
      <c r="CF22" s="14" t="str">
        <f ca="1">IF(CF$1="","",'Total Value'!CF34/'Total Value'!CE34-1)</f>
        <v/>
      </c>
      <c r="CG22" s="14" t="str">
        <f ca="1">IF(CG$1="","",'Total Value'!CG34/'Total Value'!CF34-1)</f>
        <v/>
      </c>
      <c r="CH22" s="14" t="str">
        <f ca="1">IF(CH$1="","",'Total Value'!CH34/'Total Value'!CG34-1)</f>
        <v/>
      </c>
      <c r="CI22" s="14" t="str">
        <f ca="1">IF(CI$1="","",'Total Value'!CI34/'Total Value'!CH34-1)</f>
        <v/>
      </c>
      <c r="CJ22" s="14" t="str">
        <f ca="1">IF(CJ$1="","",'Total Value'!CJ34/'Total Value'!CI34-1)</f>
        <v/>
      </c>
      <c r="CK22" s="14" t="str">
        <f ca="1">IF(CK$1="","",'Total Value'!CK34/'Total Value'!CJ34-1)</f>
        <v/>
      </c>
      <c r="CL22" s="14" t="str">
        <f ca="1">IF(CL$1="","",'Total Value'!CL34/'Total Value'!CK34-1)</f>
        <v/>
      </c>
      <c r="CM22" s="14" t="str">
        <f ca="1">IF(CM$1="","",'Total Value'!CM34/'Total Value'!CL34-1)</f>
        <v/>
      </c>
      <c r="CN22" s="14" t="str">
        <f ca="1">IF(CN$1="","",'Total Value'!CN34/'Total Value'!CM34-1)</f>
        <v/>
      </c>
      <c r="CO22" s="14" t="str">
        <f ca="1">IF(CO$1="","",'Total Value'!CO34/'Total Value'!CN34-1)</f>
        <v/>
      </c>
      <c r="CP22" s="14" t="str">
        <f ca="1">IF(CP$1="","",'Total Value'!CP34/'Total Value'!CO34-1)</f>
        <v/>
      </c>
      <c r="CQ22" s="14" t="str">
        <f ca="1">IF(CQ$1="","",'Total Value'!CQ34/'Total Value'!CP34-1)</f>
        <v/>
      </c>
      <c r="CR22" s="14" t="str">
        <f ca="1">IF(CR$1="","",'Total Value'!CR34/'Total Value'!CQ34-1)</f>
        <v/>
      </c>
      <c r="CS22" s="14" t="str">
        <f ca="1">IF(CS$1="","",'Total Value'!CS34/'Total Value'!CR34-1)</f>
        <v/>
      </c>
      <c r="CT22" s="14" t="str">
        <f ca="1">IF(CT$1="","",'Total Value'!CT34/'Total Value'!CS34-1)</f>
        <v/>
      </c>
      <c r="CU22" s="14" t="str">
        <f ca="1">IF(CU$1="","",'Total Value'!CU34/'Total Value'!CT34-1)</f>
        <v/>
      </c>
      <c r="CV22" s="14" t="str">
        <f ca="1">IF(CV$1="","",'Total Value'!CV34/'Total Value'!CU34-1)</f>
        <v/>
      </c>
      <c r="CW22" s="14" t="str">
        <f ca="1">IF(CW$1="","",'Total Value'!CW34/'Total Value'!CV34-1)</f>
        <v/>
      </c>
      <c r="CX22" s="14" t="str">
        <f ca="1">IF(CX$1="","",'Total Value'!CX34/'Total Value'!CW34-1)</f>
        <v/>
      </c>
      <c r="CY22" s="14" t="str">
        <f ca="1">IF(CY$1="","",'Total Value'!CY34/'Total Value'!CX34-1)</f>
        <v/>
      </c>
      <c r="CZ22" s="14" t="str">
        <f ca="1">IF(CZ$1="","",'Total Value'!CZ34/'Total Value'!CY34-1)</f>
        <v/>
      </c>
      <c r="DA22" s="14" t="str">
        <f ca="1">IF(DA$1="","",'Total Value'!DA34/'Total Value'!CZ34-1)</f>
        <v/>
      </c>
      <c r="DB22" s="14" t="str">
        <f ca="1">IF(DB$1="","",'Total Value'!DB34/'Total Value'!DA34-1)</f>
        <v/>
      </c>
      <c r="DC22" s="14" t="str">
        <f ca="1">IF(DC$1="","",'Total Value'!DC34/'Total Value'!DB34-1)</f>
        <v/>
      </c>
      <c r="DD22" s="14" t="str">
        <f ca="1">IF(DD$1="","",'Total Value'!DD34/'Total Value'!DC34-1)</f>
        <v/>
      </c>
      <c r="DE22" s="14" t="str">
        <f ca="1">IF(DE$1="","",'Total Value'!DE34/'Total Value'!DD34-1)</f>
        <v/>
      </c>
      <c r="DF22" s="14" t="str">
        <f ca="1">IF(DF$1="","",'Total Value'!DF34/'Total Value'!DE34-1)</f>
        <v/>
      </c>
      <c r="DG22" s="14" t="str">
        <f ca="1">IF(DG$1="","",'Total Value'!DG34/'Total Value'!DF34-1)</f>
        <v/>
      </c>
      <c r="DH22" s="14" t="str">
        <f ca="1">IF(DH$1="","",'Total Value'!DH34/'Total Value'!DG34-1)</f>
        <v/>
      </c>
      <c r="DI22" s="14" t="str">
        <f ca="1">IF(DI$1="","",'Total Value'!DI34/'Total Value'!DH34-1)</f>
        <v/>
      </c>
      <c r="DJ22" s="14" t="str">
        <f ca="1">IF(DJ$1="","",'Total Value'!DJ34/'Total Value'!DI34-1)</f>
        <v/>
      </c>
      <c r="DK22" s="14" t="str">
        <f ca="1">IF(DK$1="","",'Total Value'!DK34/'Total Value'!DJ34-1)</f>
        <v/>
      </c>
      <c r="DL22" s="14" t="str">
        <f ca="1">IF(DL$1="","",'Total Value'!DL34/'Total Value'!DK34-1)</f>
        <v/>
      </c>
      <c r="DM22" s="14" t="str">
        <f ca="1">IF(DM$1="","",'Total Value'!DM34/'Total Value'!DL34-1)</f>
        <v/>
      </c>
      <c r="DN22" s="14" t="str">
        <f ca="1">IF(DN$1="","",'Total Value'!DN34/'Total Value'!DM34-1)</f>
        <v/>
      </c>
      <c r="DO22" s="14" t="str">
        <f ca="1">IF(DO$1="","",'Total Value'!DO34/'Total Value'!DN34-1)</f>
        <v/>
      </c>
      <c r="DP22" s="14" t="str">
        <f ca="1">IF(DP$1="","",'Total Value'!DP34/'Total Value'!DO34-1)</f>
        <v/>
      </c>
      <c r="DQ22" s="14" t="str">
        <f ca="1">IF(DQ$1="","",'Total Value'!DQ34/'Total Value'!DP34-1)</f>
        <v/>
      </c>
      <c r="DR22" s="14" t="str">
        <f ca="1">IF(DR$1="","",'Total Value'!DR34/'Total Value'!DQ34-1)</f>
        <v/>
      </c>
      <c r="DS22" s="14" t="str">
        <f ca="1">IF(DS$1="","",'Total Value'!DS34/'Total Value'!DR34-1)</f>
        <v/>
      </c>
      <c r="DT22" s="14" t="str">
        <f ca="1">IF(DT$1="","",'Total Value'!DT34/'Total Value'!DS34-1)</f>
        <v/>
      </c>
      <c r="DU22" s="14" t="str">
        <f ca="1">IF(DU$1="","",'Total Value'!DU34/'Total Value'!DT34-1)</f>
        <v/>
      </c>
      <c r="DV22" s="14" t="str">
        <f ca="1">IF(DV$1="","",'Total Value'!DV34/'Total Value'!DU34-1)</f>
        <v/>
      </c>
      <c r="DW22" s="14" t="str">
        <f ca="1">IF(DW$1="","",'Total Value'!DW34/'Total Value'!DV34-1)</f>
        <v/>
      </c>
      <c r="DX22" s="14" t="str">
        <f ca="1">IF(DX$1="","",'Total Value'!DX34/'Total Value'!DW34-1)</f>
        <v/>
      </c>
      <c r="DY22" s="14" t="str">
        <f ca="1">IF(DY$1="","",'Total Value'!DY34/'Total Value'!DX34-1)</f>
        <v/>
      </c>
      <c r="DZ22" s="14" t="str">
        <f ca="1">IF(DZ$1="","",'Total Value'!DZ34/'Total Value'!DY34-1)</f>
        <v/>
      </c>
      <c r="EA22" s="14" t="str">
        <f ca="1">IF(EA$1="","",'Total Value'!EA34/'Total Value'!DZ34-1)</f>
        <v/>
      </c>
      <c r="EB22" s="14" t="str">
        <f ca="1">IF(EB$1="","",'Total Value'!EB34/'Total Value'!EA34-1)</f>
        <v/>
      </c>
      <c r="EC22" s="14" t="str">
        <f ca="1">IF(EC$1="","",'Total Value'!EC34/'Total Value'!EB34-1)</f>
        <v/>
      </c>
      <c r="ED22" s="14" t="str">
        <f ca="1">IF(ED$1="","",'Total Value'!ED34/'Total Value'!EC34-1)</f>
        <v/>
      </c>
      <c r="EE22" s="14" t="str">
        <f ca="1">IF(EE$1="","",'Total Value'!EE34/'Total Value'!ED34-1)</f>
        <v/>
      </c>
      <c r="EF22" s="14" t="str">
        <f ca="1">IF(EF$1="","",'Total Value'!EF34/'Total Value'!EE34-1)</f>
        <v/>
      </c>
      <c r="EG22" s="14" t="str">
        <f ca="1">IF(EG$1="","",'Total Value'!EG34/'Total Value'!EF34-1)</f>
        <v/>
      </c>
      <c r="EH22" s="14" t="str">
        <f ca="1">IF(EH$1="","",'Total Value'!EH34/'Total Value'!EG34-1)</f>
        <v/>
      </c>
      <c r="EI22" s="14" t="str">
        <f ca="1">IF(EI$1="","",'Total Value'!EI34/'Total Value'!EH34-1)</f>
        <v/>
      </c>
      <c r="EJ22" s="14" t="str">
        <f ca="1">IF(EJ$1="","",'Total Value'!EJ34/'Total Value'!EI34-1)</f>
        <v/>
      </c>
      <c r="EK22" s="14" t="str">
        <f ca="1">IF(EK$1="","",'Total Value'!EK34/'Total Value'!EJ34-1)</f>
        <v/>
      </c>
      <c r="EL22" s="14" t="str">
        <f ca="1">IF(EL$1="","",'Total Value'!EL34/'Total Value'!EK34-1)</f>
        <v/>
      </c>
      <c r="EM22" s="14" t="str">
        <f ca="1">IF(EM$1="","",'Total Value'!EM34/'Total Value'!EL34-1)</f>
        <v/>
      </c>
      <c r="EN22" s="14" t="str">
        <f ca="1">IF(EN$1="","",'Total Value'!EN34/'Total Value'!EM34-1)</f>
        <v/>
      </c>
      <c r="EO22" s="14" t="str">
        <f ca="1">IF(EO$1="","",'Total Value'!EO34/'Total Value'!EN34-1)</f>
        <v/>
      </c>
      <c r="EP22" s="14" t="str">
        <f ca="1">IF(EP$1="","",'Total Value'!EP34/'Total Value'!EO34-1)</f>
        <v/>
      </c>
      <c r="EQ22" s="14" t="str">
        <f ca="1">IF(EQ$1="","",'Total Value'!EQ34/'Total Value'!EP34-1)</f>
        <v/>
      </c>
      <c r="ER22" s="14" t="str">
        <f ca="1">IF(ER$1="","",'Total Value'!ER34/'Total Value'!EQ34-1)</f>
        <v/>
      </c>
      <c r="ES22" s="14" t="str">
        <f ca="1">IF(ES$1="","",'Total Value'!ES34/'Total Value'!ER34-1)</f>
        <v/>
      </c>
      <c r="ET22" s="14" t="str">
        <f ca="1">IF(ET$1="","",'Total Value'!ET34/'Total Value'!ES34-1)</f>
        <v/>
      </c>
      <c r="EU22" s="14" t="str">
        <f ca="1">IF(EU$1="","",'Total Value'!EU34/'Total Value'!ET34-1)</f>
        <v/>
      </c>
      <c r="EV22" s="14" t="str">
        <f ca="1">IF(EV$1="","",'Total Value'!EV34/'Total Value'!EU34-1)</f>
        <v/>
      </c>
      <c r="EW22" s="14" t="str">
        <f ca="1">IF(EW$1="","",'Total Value'!EW34/'Total Value'!EV34-1)</f>
        <v/>
      </c>
      <c r="EX22" s="14" t="str">
        <f ca="1">IF(EX$1="","",'Total Value'!EX34/'Total Value'!EW34-1)</f>
        <v/>
      </c>
      <c r="EY22" s="14" t="str">
        <f ca="1">IF(EY$1="","",'Total Value'!EY34/'Total Value'!EX34-1)</f>
        <v/>
      </c>
      <c r="EZ22" s="14" t="str">
        <f ca="1">IF(EZ$1="","",'Total Value'!EZ34/'Total Value'!EY34-1)</f>
        <v/>
      </c>
      <c r="FA22" s="14" t="str">
        <f ca="1">IF(FA$1="","",'Total Value'!FA34/'Total Value'!EZ34-1)</f>
        <v/>
      </c>
      <c r="FB22" s="14" t="str">
        <f ca="1">IF(FB$1="","",'Total Value'!FB34/'Total Value'!FA34-1)</f>
        <v/>
      </c>
      <c r="FC22" s="14" t="str">
        <f ca="1">IF(FC$1="","",'Total Value'!FC34/'Total Value'!FB34-1)</f>
        <v/>
      </c>
      <c r="FD22" s="14" t="str">
        <f ca="1">IF(FD$1="","",'Total Value'!FD34/'Total Value'!FC34-1)</f>
        <v/>
      </c>
      <c r="FE22" s="14" t="str">
        <f ca="1">IF(FE$1="","",'Total Value'!FE34/'Total Value'!FD34-1)</f>
        <v/>
      </c>
      <c r="FF22" s="14" t="str">
        <f ca="1">IF(FF$1="","",'Total Value'!FF34/'Total Value'!FE34-1)</f>
        <v/>
      </c>
      <c r="FG22" s="14" t="str">
        <f ca="1">IF(FG$1="","",'Total Value'!FG34/'Total Value'!FF34-1)</f>
        <v/>
      </c>
      <c r="FH22" s="14" t="str">
        <f ca="1">IF(FH$1="","",'Total Value'!FH34/'Total Value'!FG34-1)</f>
        <v/>
      </c>
      <c r="FI22" s="14" t="str">
        <f ca="1">IF(FI$1="","",'Total Value'!FI34/'Total Value'!FH34-1)</f>
        <v/>
      </c>
      <c r="FJ22" s="14" t="str">
        <f ca="1">IF(FJ$1="","",'Total Value'!FJ34/'Total Value'!FI34-1)</f>
        <v/>
      </c>
      <c r="FK22" s="14" t="str">
        <f ca="1">IF(FK$1="","",'Total Value'!FK34/'Total Value'!FJ34-1)</f>
        <v/>
      </c>
      <c r="FL22" s="14" t="str">
        <f ca="1">IF(FL$1="","",'Total Value'!FL34/'Total Value'!FK34-1)</f>
        <v/>
      </c>
      <c r="FM22" s="14" t="str">
        <f ca="1">IF(FM$1="","",'Total Value'!FM34/'Total Value'!FL34-1)</f>
        <v/>
      </c>
      <c r="FN22" s="14" t="str">
        <f ca="1">IF(FN$1="","",'Total Value'!FN34/'Total Value'!FM34-1)</f>
        <v/>
      </c>
      <c r="FO22" s="14" t="str">
        <f ca="1">IF(FO$1="","",'Total Value'!FO34/'Total Value'!FN34-1)</f>
        <v/>
      </c>
      <c r="FP22" s="14" t="str">
        <f ca="1">IF(FP$1="","",'Total Value'!FP34/'Total Value'!FO34-1)</f>
        <v/>
      </c>
      <c r="FQ22" s="14" t="str">
        <f ca="1">IF(FQ$1="","",'Total Value'!FQ34/'Total Value'!FP34-1)</f>
        <v/>
      </c>
      <c r="FR22" s="14" t="str">
        <f ca="1">IF(FR$1="","",'Total Value'!FR34/'Total Value'!FQ34-1)</f>
        <v/>
      </c>
      <c r="FS22" s="14" t="str">
        <f ca="1">IF(FS$1="","",'Total Value'!FS34/'Total Value'!FR34-1)</f>
        <v/>
      </c>
      <c r="FT22" s="14" t="str">
        <f ca="1">IF(FT$1="","",'Total Value'!FT34/'Total Value'!FS34-1)</f>
        <v/>
      </c>
      <c r="FU22" s="14" t="str">
        <f ca="1">IF(FU$1="","",'Total Value'!FU34/'Total Value'!FT34-1)</f>
        <v/>
      </c>
      <c r="FV22" s="14" t="str">
        <f ca="1">IF(FV$1="","",'Total Value'!FV34/'Total Value'!FU34-1)</f>
        <v/>
      </c>
      <c r="FW22" s="14" t="str">
        <f ca="1">IF(FW$1="","",'Total Value'!FW34/'Total Value'!FV34-1)</f>
        <v/>
      </c>
      <c r="FX22" s="14" t="str">
        <f ca="1">IF(FX$1="","",'Total Value'!FX34/'Total Value'!FW34-1)</f>
        <v/>
      </c>
      <c r="FY22" s="14" t="str">
        <f ca="1">IF(FY$1="","",'Total Value'!FY34/'Total Value'!FX34-1)</f>
        <v/>
      </c>
      <c r="FZ22" s="14" t="str">
        <f ca="1">IF(FZ$1="","",'Total Value'!FZ34/'Total Value'!FY34-1)</f>
        <v/>
      </c>
      <c r="GA22" s="14" t="str">
        <f ca="1">IF(GA$1="","",'Total Value'!GA34/'Total Value'!FZ34-1)</f>
        <v/>
      </c>
      <c r="GB22" s="14" t="str">
        <f ca="1">IF(GB$1="","",'Total Value'!GB34/'Total Value'!GA34-1)</f>
        <v/>
      </c>
      <c r="GC22" s="14" t="str">
        <f ca="1">IF(GC$1="","",'Total Value'!GC34/'Total Value'!GB34-1)</f>
        <v/>
      </c>
      <c r="GD22" s="14" t="str">
        <f ca="1">IF(GD$1="","",'Total Value'!GD34/'Total Value'!GC34-1)</f>
        <v/>
      </c>
      <c r="GE22" s="14" t="str">
        <f ca="1">IF(GE$1="","",'Total Value'!GE34/'Total Value'!GD34-1)</f>
        <v/>
      </c>
      <c r="GF22" s="14" t="str">
        <f ca="1">IF(GF$1="","",'Total Value'!GF34/'Total Value'!GE34-1)</f>
        <v/>
      </c>
      <c r="GG22" s="14" t="str">
        <f ca="1">IF(GG$1="","",'Total Value'!GG34/'Total Value'!GF34-1)</f>
        <v/>
      </c>
      <c r="GH22" s="14" t="str">
        <f ca="1">IF(GH$1="","",'Total Value'!GH34/'Total Value'!GG34-1)</f>
        <v/>
      </c>
      <c r="GI22" s="14" t="str">
        <f ca="1">IF(GI$1="","",'Total Value'!GI34/'Total Value'!GH34-1)</f>
        <v/>
      </c>
      <c r="GJ22" s="14" t="str">
        <f ca="1">IF(GJ$1="","",'Total Value'!GJ34/'Total Value'!GI34-1)</f>
        <v/>
      </c>
      <c r="GK22" s="14" t="str">
        <f ca="1">IF(GK$1="","",'Total Value'!GK34/'Total Value'!GJ34-1)</f>
        <v/>
      </c>
      <c r="GL22" s="14" t="str">
        <f ca="1">IF(GL$1="","",'Total Value'!GL34/'Total Value'!GK34-1)</f>
        <v/>
      </c>
      <c r="GM22" s="14" t="str">
        <f ca="1">IF(GM$1="","",'Total Value'!GM34/'Total Value'!GL34-1)</f>
        <v/>
      </c>
      <c r="GN22" s="14" t="str">
        <f ca="1">IF(GN$1="","",'Total Value'!GN34/'Total Value'!GM34-1)</f>
        <v/>
      </c>
      <c r="GO22" s="14" t="str">
        <f ca="1">IF(GO$1="","",'Total Value'!GO34/'Total Value'!GN34-1)</f>
        <v/>
      </c>
      <c r="GP22" s="14" t="str">
        <f ca="1">IF(GP$1="","",'Total Value'!GP34/'Total Value'!GO34-1)</f>
        <v/>
      </c>
      <c r="GQ22" s="14" t="str">
        <f ca="1">IF(GQ$1="","",'Total Value'!GQ34/'Total Value'!GP34-1)</f>
        <v/>
      </c>
      <c r="GR22" s="14" t="str">
        <f ca="1">IF(GR$1="","",'Total Value'!GR34/'Total Value'!GQ34-1)</f>
        <v/>
      </c>
      <c r="GS22" s="14" t="str">
        <f ca="1">IF(GS$1="","",'Total Value'!GS34/'Total Value'!GR34-1)</f>
        <v/>
      </c>
      <c r="GT22" s="14" t="str">
        <f ca="1">IF(GT$1="","",'Total Value'!GT34/'Total Value'!GS34-1)</f>
        <v/>
      </c>
      <c r="GU22" s="14" t="str">
        <f ca="1">IF(GU$1="","",'Total Value'!GU34/'Total Value'!GT34-1)</f>
        <v/>
      </c>
      <c r="GV22" s="14" t="str">
        <f ca="1">IF(GV$1="","",'Total Value'!GV34/'Total Value'!GU34-1)</f>
        <v/>
      </c>
      <c r="GW22" s="14" t="str">
        <f ca="1">IF(GW$1="","",'Total Value'!GW34/'Total Value'!GV34-1)</f>
        <v/>
      </c>
      <c r="GX22" s="14" t="str">
        <f ca="1">IF(GX$1="","",'Total Value'!GX34/'Total Value'!GW34-1)</f>
        <v/>
      </c>
      <c r="GY22" s="14" t="str">
        <f ca="1">IF(GY$1="","",'Total Value'!GY34/'Total Value'!GX34-1)</f>
        <v/>
      </c>
      <c r="GZ22" s="14" t="str">
        <f ca="1">IF(GZ$1="","",'Total Value'!GZ34/'Total Value'!GY34-1)</f>
        <v/>
      </c>
      <c r="HA22" s="14" t="str">
        <f ca="1">IF(HA$1="","",'Total Value'!HA34/'Total Value'!GZ34-1)</f>
        <v/>
      </c>
      <c r="HB22" s="14" t="str">
        <f ca="1">IF(HB$1="","",'Total Value'!HB34/'Total Value'!HA34-1)</f>
        <v/>
      </c>
      <c r="HC22" s="14" t="str">
        <f ca="1">IF(HC$1="","",'Total Value'!HC34/'Total Value'!HB34-1)</f>
        <v/>
      </c>
      <c r="HD22" s="14" t="str">
        <f ca="1">IF(HD$1="","",'Total Value'!HD34/'Total Value'!HC34-1)</f>
        <v/>
      </c>
      <c r="HE22" s="14" t="str">
        <f ca="1">IF(HE$1="","",'Total Value'!HE34/'Total Value'!HD34-1)</f>
        <v/>
      </c>
      <c r="HF22" s="14" t="str">
        <f ca="1">IF(HF$1="","",'Total Value'!HF34/'Total Value'!HE34-1)</f>
        <v/>
      </c>
      <c r="HG22" s="14" t="str">
        <f ca="1">IF(HG$1="","",'Total Value'!HG34/'Total Value'!HF34-1)</f>
        <v/>
      </c>
      <c r="HH22" s="14" t="str">
        <f ca="1">IF(HH$1="","",'Total Value'!HH34/'Total Value'!HG34-1)</f>
        <v/>
      </c>
      <c r="HI22" s="14" t="str">
        <f ca="1">IF(HI$1="","",'Total Value'!HI34/'Total Value'!HH34-1)</f>
        <v/>
      </c>
      <c r="HJ22" s="14" t="str">
        <f ca="1">IF(HJ$1="","",'Total Value'!HJ34/'Total Value'!HI34-1)</f>
        <v/>
      </c>
      <c r="HK22" s="14" t="str">
        <f ca="1">IF(HK$1="","",'Total Value'!HK34/'Total Value'!HJ34-1)</f>
        <v/>
      </c>
      <c r="HL22" s="14" t="str">
        <f ca="1">IF(HL$1="","",'Total Value'!HL34/'Total Value'!HK34-1)</f>
        <v/>
      </c>
      <c r="HM22" s="14" t="str">
        <f ca="1">IF(HM$1="","",'Total Value'!HM34/'Total Value'!HL34-1)</f>
        <v/>
      </c>
      <c r="HN22" s="14" t="str">
        <f ca="1">IF(HN$1="","",'Total Value'!HN34/'Total Value'!HM34-1)</f>
        <v/>
      </c>
      <c r="HO22" s="14" t="str">
        <f ca="1">IF(HO$1="","",'Total Value'!HO34/'Total Value'!HN34-1)</f>
        <v/>
      </c>
      <c r="HP22" s="14" t="str">
        <f ca="1">IF(HP$1="","",'Total Value'!HP34/'Total Value'!HO34-1)</f>
        <v/>
      </c>
      <c r="HQ22" s="14" t="str">
        <f ca="1">IF(HQ$1="","",'Total Value'!HQ34/'Total Value'!HP34-1)</f>
        <v/>
      </c>
      <c r="HR22" s="14" t="str">
        <f ca="1">IF(HR$1="","",'Total Value'!HR34/'Total Value'!HQ34-1)</f>
        <v/>
      </c>
      <c r="HS22" s="14" t="str">
        <f ca="1">IF(HS$1="","",'Total Value'!HS34/'Total Value'!HR34-1)</f>
        <v/>
      </c>
      <c r="HT22" s="14" t="str">
        <f ca="1">IF(HT$1="","",'Total Value'!HT34/'Total Value'!HS34-1)</f>
        <v/>
      </c>
      <c r="HU22" s="14" t="str">
        <f ca="1">IF(HU$1="","",'Total Value'!HU34/'Total Value'!HT34-1)</f>
        <v/>
      </c>
      <c r="HV22" s="14" t="str">
        <f ca="1">IF(HV$1="","",'Total Value'!HV34/'Total Value'!HU34-1)</f>
        <v/>
      </c>
      <c r="HW22" s="14" t="str">
        <f ca="1">IF(HW$1="","",'Total Value'!HW34/'Total Value'!HV34-1)</f>
        <v/>
      </c>
      <c r="HX22" s="14" t="str">
        <f ca="1">IF(HX$1="","",'Total Value'!HX34/'Total Value'!HW34-1)</f>
        <v/>
      </c>
      <c r="HY22" s="14" t="str">
        <f ca="1">IF(HY$1="","",'Total Value'!HY34/'Total Value'!HX34-1)</f>
        <v/>
      </c>
      <c r="HZ22" s="14" t="str">
        <f ca="1">IF(HZ$1="","",'Total Value'!HZ34/'Total Value'!HY34-1)</f>
        <v/>
      </c>
      <c r="IA22" s="14" t="str">
        <f ca="1">IF(IA$1="","",'Total Value'!IA34/'Total Value'!HZ34-1)</f>
        <v/>
      </c>
      <c r="IB22" s="14" t="str">
        <f ca="1">IF(IB$1="","",'Total Value'!IB34/'Total Value'!IA34-1)</f>
        <v/>
      </c>
      <c r="IC22" s="14" t="str">
        <f ca="1">IF(IC$1="","",'Total Value'!IC34/'Total Value'!IB34-1)</f>
        <v/>
      </c>
      <c r="ID22" s="14" t="str">
        <f ca="1">IF(ID$1="","",'Total Value'!ID34/'Total Value'!IC34-1)</f>
        <v/>
      </c>
      <c r="IE22" s="14" t="str">
        <f ca="1">IF(IE$1="","",'Total Value'!IE34/'Total Value'!ID34-1)</f>
        <v/>
      </c>
      <c r="IF22" s="14" t="str">
        <f ca="1">IF(IF$1="","",'Total Value'!IF34/'Total Value'!IE34-1)</f>
        <v/>
      </c>
      <c r="IG22" s="14" t="str">
        <f ca="1">IF(IG$1="","",'Total Value'!IG34/'Total Value'!IF34-1)</f>
        <v/>
      </c>
      <c r="IH22" s="14" t="str">
        <f ca="1">IF(IH$1="","",'Total Value'!IH34/'Total Value'!IG34-1)</f>
        <v/>
      </c>
      <c r="II22" s="14" t="str">
        <f ca="1">IF(II$1="","",'Total Value'!II34/'Total Value'!IH34-1)</f>
        <v/>
      </c>
      <c r="IJ22" s="14" t="str">
        <f ca="1">IF(IJ$1="","",'Total Value'!IJ34/'Total Value'!II34-1)</f>
        <v/>
      </c>
      <c r="IK22" s="14" t="str">
        <f ca="1">IF(IK$1="","",'Total Value'!IK34/'Total Value'!IJ34-1)</f>
        <v/>
      </c>
      <c r="IL22" s="14" t="str">
        <f ca="1">IF(IL$1="","",'Total Value'!IL34/'Total Value'!IK34-1)</f>
        <v/>
      </c>
      <c r="IM22" s="14" t="str">
        <f ca="1">IF(IM$1="","",'Total Value'!IM34/'Total Value'!IL34-1)</f>
        <v/>
      </c>
      <c r="IN22" s="14" t="str">
        <f ca="1">IF(IN$1="","",'Total Value'!IN34/'Total Value'!IM34-1)</f>
        <v/>
      </c>
      <c r="IO22" s="14" t="str">
        <f ca="1">IF(IO$1="","",'Total Value'!IO34/'Total Value'!IN34-1)</f>
        <v/>
      </c>
      <c r="IP22" s="14" t="str">
        <f ca="1">IF(IP$1="","",'Total Value'!IP34/'Total Value'!IO34-1)</f>
        <v/>
      </c>
      <c r="IQ22" s="14" t="str">
        <f ca="1">IF(IQ$1="","",'Total Value'!IQ34/'Total Value'!IP34-1)</f>
        <v/>
      </c>
      <c r="IR22" s="14" t="str">
        <f ca="1">IF(IR$1="","",'Total Value'!IR34/'Total Value'!IQ34-1)</f>
        <v/>
      </c>
      <c r="IS22" s="14" t="str">
        <f ca="1">IF(IS$1="","",'Total Value'!IS34/'Total Value'!IR34-1)</f>
        <v/>
      </c>
      <c r="IT22" s="14" t="str">
        <f ca="1">IF(IT$1="","",'Total Value'!IT34/'Total Value'!IS34-1)</f>
        <v/>
      </c>
      <c r="IU22" s="14" t="str">
        <f ca="1">IF(IU$1="","",'Total Value'!IU34/'Total Value'!IT34-1)</f>
        <v/>
      </c>
      <c r="IV22" s="14" t="str">
        <f ca="1">IF(IV$1="","",'Total Value'!IV34/'Total Value'!IU34-1)</f>
        <v/>
      </c>
      <c r="IW22" s="14" t="str">
        <f ca="1">IF(IW$1="","",'Total Value'!IW34/'Total Value'!IV34-1)</f>
        <v/>
      </c>
      <c r="IX22" s="14" t="str">
        <f ca="1">IF(IX$1="","",'Total Value'!IX34/'Total Value'!IW34-1)</f>
        <v/>
      </c>
      <c r="IY22" s="14" t="str">
        <f ca="1">IF(IY$1="","",'Total Value'!IY34/'Total Value'!IX34-1)</f>
        <v/>
      </c>
      <c r="IZ22" s="14" t="str">
        <f ca="1">IF(IZ$1="","",'Total Value'!IZ34/'Total Value'!IY34-1)</f>
        <v/>
      </c>
      <c r="JA22" s="14" t="str">
        <f ca="1">IF(JA$1="","",'Total Value'!JA34/'Total Value'!IZ34-1)</f>
        <v/>
      </c>
      <c r="JB22" s="14" t="str">
        <f ca="1">IF(JB$1="","",'Total Value'!JB34/'Total Value'!JA34-1)</f>
        <v/>
      </c>
      <c r="JC22" s="14" t="str">
        <f ca="1">IF(JC$1="","",'Total Value'!JC34/'Total Value'!JB34-1)</f>
        <v/>
      </c>
      <c r="JD22" s="14" t="str">
        <f ca="1">IF(JD$1="","",'Total Value'!JD34/'Total Value'!JC34-1)</f>
        <v/>
      </c>
      <c r="JE22" s="14" t="str">
        <f ca="1">IF(JE$1="","",'Total Value'!JE34/'Total Value'!JD34-1)</f>
        <v/>
      </c>
      <c r="JF22" s="14" t="str">
        <f ca="1">IF(JF$1="","",'Total Value'!JF34/'Total Value'!JE34-1)</f>
        <v/>
      </c>
      <c r="JG22" s="14" t="str">
        <f ca="1">IF(JG$1="","",'Total Value'!JG34/'Total Value'!JF34-1)</f>
        <v/>
      </c>
      <c r="JH22" s="14" t="str">
        <f ca="1">IF(JH$1="","",'Total Value'!JH34/'Total Value'!JG34-1)</f>
        <v/>
      </c>
      <c r="JI22" s="14" t="str">
        <f ca="1">IF(JI$1="","",'Total Value'!JI34/'Total Value'!JH34-1)</f>
        <v/>
      </c>
      <c r="JJ22" s="14" t="str">
        <f ca="1">IF(JJ$1="","",'Total Value'!JJ34/'Total Value'!JI34-1)</f>
        <v/>
      </c>
      <c r="JK22" s="14" t="str">
        <f ca="1">IF(JK$1="","",'Total Value'!JK34/'Total Value'!JJ34-1)</f>
        <v/>
      </c>
      <c r="JL22" s="14" t="str">
        <f ca="1">IF(JL$1="","",'Total Value'!JL34/'Total Value'!JK34-1)</f>
        <v/>
      </c>
      <c r="JM22" s="14" t="str">
        <f ca="1">IF(JM$1="","",'Total Value'!JM34/'Total Value'!JL34-1)</f>
        <v/>
      </c>
      <c r="JN22" s="14" t="str">
        <f ca="1">IF(JN$1="","",'Total Value'!JN34/'Total Value'!JM34-1)</f>
        <v/>
      </c>
      <c r="JO22" s="14" t="str">
        <f ca="1">IF(JO$1="","",'Total Value'!JO34/'Total Value'!JN34-1)</f>
        <v/>
      </c>
      <c r="JP22" s="14" t="str">
        <f ca="1">IF(JP$1="","",'Total Value'!JP34/'Total Value'!JO34-1)</f>
        <v/>
      </c>
      <c r="JQ22" s="14" t="str">
        <f ca="1">IF(JQ$1="","",'Total Value'!JQ34/'Total Value'!JP34-1)</f>
        <v/>
      </c>
      <c r="JR22" s="14" t="str">
        <f ca="1">IF(JR$1="","",'Total Value'!JR34/'Total Value'!JQ34-1)</f>
        <v/>
      </c>
      <c r="JS22" s="14" t="str">
        <f ca="1">IF(JS$1="","",'Total Value'!JS34/'Total Value'!JR34-1)</f>
        <v/>
      </c>
      <c r="JT22" s="14" t="str">
        <f ca="1">IF(JT$1="","",'Total Value'!JT34/'Total Value'!JS34-1)</f>
        <v/>
      </c>
      <c r="JU22" s="14" t="str">
        <f ca="1">IF(JU$1="","",'Total Value'!JU34/'Total Value'!JT34-1)</f>
        <v/>
      </c>
      <c r="JV22" s="14" t="str">
        <f ca="1">IF(JV$1="","",'Total Value'!JV34/'Total Value'!JU34-1)</f>
        <v/>
      </c>
      <c r="JW22" s="14" t="str">
        <f ca="1">IF(JW$1="","",'Total Value'!JW34/'Total Value'!JV34-1)</f>
        <v/>
      </c>
      <c r="JX22" s="14" t="str">
        <f ca="1">IF(JX$1="","",'Total Value'!JX34/'Total Value'!JW34-1)</f>
        <v/>
      </c>
      <c r="JY22" s="14" t="str">
        <f ca="1">IF(JY$1="","",'Total Value'!JY34/'Total Value'!JX34-1)</f>
        <v/>
      </c>
      <c r="JZ22" s="14" t="str">
        <f ca="1">IF(JZ$1="","",'Total Value'!JZ34/'Total Value'!JY34-1)</f>
        <v/>
      </c>
      <c r="KA22" s="14" t="str">
        <f ca="1">IF(KA$1="","",'Total Value'!KA34/'Total Value'!JZ34-1)</f>
        <v/>
      </c>
      <c r="KB22" s="14" t="str">
        <f ca="1">IF(KB$1="","",'Total Value'!KB34/'Total Value'!KA34-1)</f>
        <v/>
      </c>
    </row>
    <row r="23" spans="1:288" ht="15.75" customHeight="1">
      <c r="A23" s="22" t="s">
        <v>30</v>
      </c>
      <c r="B23" s="6" t="s">
        <v>67</v>
      </c>
      <c r="C23" s="26">
        <v>7</v>
      </c>
      <c r="D23" s="13">
        <v>0</v>
      </c>
      <c r="E23" s="14">
        <f ca="1">IF(E$1="","",'Total Value'!E35/'Total Value'!D35-1)</f>
        <v>3.0241250424736688E-2</v>
      </c>
      <c r="F23" s="14">
        <f ca="1">IF(F$1="","",'Total Value'!F35/'Total Value'!E35-1)</f>
        <v>-7.9155672823220113E-3</v>
      </c>
      <c r="G23" s="14">
        <f ca="1">IF(G$1="","",'Total Value'!G35/'Total Value'!F35-1)</f>
        <v>8.6436170212778052E-4</v>
      </c>
      <c r="H23" s="14">
        <f ca="1">IF(H$1="","",'Total Value'!H35/'Total Value'!G35-1)</f>
        <v>-7.7725370358068258E-3</v>
      </c>
      <c r="I23" s="14">
        <f ca="1">IF(I$1="","",'Total Value'!I35/'Total Value'!H35-1)</f>
        <v>-1.9148366363149427E-2</v>
      </c>
      <c r="J23" s="14">
        <f ca="1">IF(J$1="","",'Total Value'!J35/'Total Value'!I35-1)</f>
        <v>-1.7610921501706511E-2</v>
      </c>
      <c r="K23" s="14">
        <f ca="1">IF(K$1="","",'Total Value'!K35/'Total Value'!J35-1)</f>
        <v>-3.3838243468593432E-2</v>
      </c>
      <c r="L23" s="14">
        <f ca="1">IF(L$1="","",'Total Value'!L35/'Total Value'!K35-1)</f>
        <v>-1.1578568860122429E-2</v>
      </c>
      <c r="M23" s="14">
        <f ca="1">IF(M$1="","",'Total Value'!M35/'Total Value'!L35-1)</f>
        <v>2.5174621653085039E-2</v>
      </c>
      <c r="N23" s="14">
        <f ca="1">IF(N$1="","",'Total Value'!N35/'Total Value'!M35-1)</f>
        <v>-2.931156848828953E-2</v>
      </c>
      <c r="O23" s="14">
        <f ca="1">IF(O$1="","",'Total Value'!O35/'Total Value'!N35-1)</f>
        <v>-2.1715288440447456E-2</v>
      </c>
      <c r="P23" s="14">
        <f ca="1">IF(P$1="","",'Total Value'!P35/'Total Value'!O35-1)</f>
        <v>-1.6442451420030091E-2</v>
      </c>
      <c r="Q23" s="14">
        <f ca="1">IF(Q$1="","",'Total Value'!Q35/'Total Value'!P35-1)</f>
        <v>3.7993920972645423E-3</v>
      </c>
      <c r="R23" s="14">
        <f ca="1">IF(R$1="","",'Total Value'!R35/'Total Value'!Q35-1)</f>
        <v>2.1953065859197762E-2</v>
      </c>
      <c r="S23" s="14">
        <f ca="1">IF(S$1="","",'Total Value'!S35/'Total Value'!R35-1)</f>
        <v>4.4444444444444731E-3</v>
      </c>
      <c r="T23" s="14">
        <f ca="1">IF(T$1="","",'Total Value'!T35/'Total Value'!S35-1)</f>
        <v>-4.8672566371681381E-3</v>
      </c>
      <c r="U23" s="14">
        <f ca="1">IF(U$1="","",'Total Value'!U35/'Total Value'!T35-1)</f>
        <v>-2.3269601304283127E-2</v>
      </c>
      <c r="V23" s="14">
        <f ca="1">IF(V$1="","",'Total Value'!V35/'Total Value'!U35-1)</f>
        <v>-1.3429438543247407E-2</v>
      </c>
      <c r="W23" s="14">
        <f ca="1">IF(W$1="","",'Total Value'!W35/'Total Value'!V35-1)</f>
        <v>3.3223102360993462E-2</v>
      </c>
      <c r="X23" s="14">
        <f ca="1">IF(X$1="","",'Total Value'!X35/'Total Value'!W35-1)</f>
        <v>1.808708596948283E-2</v>
      </c>
      <c r="Y23" s="14">
        <f ca="1">IF(Y$1="","",'Total Value'!Y35/'Total Value'!X35-1)</f>
        <v>6.4336891358385273E-3</v>
      </c>
      <c r="Z23" s="14">
        <f ca="1">IF(Z$1="","",'Total Value'!Z35/'Total Value'!Y35-1)</f>
        <v>-3.4432660177248331E-2</v>
      </c>
      <c r="AA23" s="14">
        <f ca="1">IF(AA$1="","",'Total Value'!AA35/'Total Value'!Z35-1)</f>
        <v>-1.0457417995786811E-2</v>
      </c>
      <c r="AB23" s="14">
        <f ca="1">IF(AB$1="","",'Total Value'!AB35/'Total Value'!AA35-1)</f>
        <v>6.5384322968142783E-3</v>
      </c>
      <c r="AC23" s="14">
        <f ca="1">IF(AC$1="","",'Total Value'!AC35/'Total Value'!AB35-1)</f>
        <v>1.3671727471863404E-2</v>
      </c>
      <c r="AD23" s="14">
        <f ca="1">IF(AD$1="","",'Total Value'!AD35/'Total Value'!AC35-1)</f>
        <v>8.7183308494784839E-3</v>
      </c>
      <c r="AE23" s="14">
        <f ca="1">IF(AE$1="","",'Total Value'!AE35/'Total Value'!AD35-1)</f>
        <v>-2.1865996897392326E-2</v>
      </c>
      <c r="AF23" s="14">
        <f ca="1">IF(AF$1="","",'Total Value'!AF35/'Total Value'!AE35-1)</f>
        <v>-6.9481157012309946E-3</v>
      </c>
      <c r="AG23" s="14">
        <f ca="1">IF(AG$1="","",'Total Value'!AG35/'Total Value'!AF35-1)</f>
        <v>-2.106624077876651E-2</v>
      </c>
      <c r="AH23" s="14">
        <f ca="1">IF(AH$1="","",'Total Value'!AH35/'Total Value'!AG35-1)</f>
        <v>-0.19383157240522064</v>
      </c>
      <c r="AI23" s="14">
        <f ca="1">IF(AI$1="","",'Total Value'!AI35/'Total Value'!AH35-1)</f>
        <v>7.5166233015322437E-3</v>
      </c>
      <c r="AJ23" s="14">
        <f ca="1">IF(AJ$1="","",'Total Value'!AJ35/'Total Value'!AI35-1)</f>
        <v>6.1214729794356604E-2</v>
      </c>
      <c r="AK23" s="14">
        <f ca="1">IF(AK$1="","",'Total Value'!AK35/'Total Value'!AJ35-1)</f>
        <v>2.1811626858945443E-2</v>
      </c>
      <c r="AL23" s="14">
        <f ca="1">IF(AL$1="","",'Total Value'!AL35/'Total Value'!AK35-1)</f>
        <v>-4.5691099938255375E-2</v>
      </c>
      <c r="AM23" s="14">
        <f ca="1">IF(AM$1="","",'Total Value'!AM35/'Total Value'!AL35-1)</f>
        <v>4.3442092614844441E-2</v>
      </c>
      <c r="AN23" s="14">
        <f ca="1">IF(AN$1="","",'Total Value'!AN35/'Total Value'!AM35-1)</f>
        <v>-5.6692355390203231E-3</v>
      </c>
      <c r="AO23" s="14">
        <f ca="1">IF(AO$1="","",'Total Value'!AO35/'Total Value'!AN35-1)</f>
        <v>-2.6636971046770541E-2</v>
      </c>
      <c r="AP23" s="14">
        <f ca="1">IF(AP$1="","",'Total Value'!AP35/'Total Value'!AO35-1)</f>
        <v>-1.976935749588149E-2</v>
      </c>
      <c r="AQ23" s="14">
        <f ca="1">IF(AQ$1="","",'Total Value'!AQ35/'Total Value'!AP35-1)</f>
        <v>9.3370681605975392E-3</v>
      </c>
      <c r="AR23" s="14">
        <f ca="1">IF(AR$1="","",'Total Value'!AR35/'Total Value'!AQ35-1)</f>
        <v>7.2155411655874246E-3</v>
      </c>
      <c r="AS23" s="14">
        <f ca="1">IF(AS$1="","",'Total Value'!AS35/'Total Value'!AR35-1)</f>
        <v>-7.5312270389418234E-3</v>
      </c>
      <c r="AT23" s="14">
        <f ca="1">IF(AT$1="","",'Total Value'!AT35/'Total Value'!AS35-1)</f>
        <v>2.3135295206366813E-3</v>
      </c>
      <c r="AU23" s="14">
        <f ca="1">IF(AU$1="","",'Total Value'!AU35/'Total Value'!AT35-1)</f>
        <v>-1.6249653771581607E-2</v>
      </c>
      <c r="AV23" s="14">
        <f ca="1">IF(AV$1="","",'Total Value'!AV35/'Total Value'!AU35-1)</f>
        <v>3.2285312060065685E-2</v>
      </c>
      <c r="AW23" s="14">
        <f ca="1">IF(AW$1="","",'Total Value'!AW35/'Total Value'!AV35-1)</f>
        <v>3.9003545776888915E-2</v>
      </c>
      <c r="AX23" s="14">
        <f ca="1">IF(AX$1="","",'Total Value'!AX35/'Total Value'!AW35-1)</f>
        <v>-1.3650682534126823E-2</v>
      </c>
      <c r="AY23" s="14">
        <f ca="1">IF(AY$1="","",'Total Value'!AY35/'Total Value'!AX35-1)</f>
        <v>4.0809084457061884E-2</v>
      </c>
      <c r="AZ23" s="14">
        <f ca="1">IF(AZ$1="","",'Total Value'!AZ35/'Total Value'!AY35-1)</f>
        <v>-2.676440504602795E-2</v>
      </c>
      <c r="BA23" s="14">
        <f ca="1">IF(BA$1="","",'Total Value'!BA35/'Total Value'!AZ35-1)</f>
        <v>2.478542651953064E-2</v>
      </c>
      <c r="BB23" s="14">
        <f ca="1">IF(BB$1="","",'Total Value'!BB35/'Total Value'!BA35-1)</f>
        <v>-1.4101358858217283E-2</v>
      </c>
      <c r="BC23" s="14">
        <f ca="1">IF(BC$1="","",'Total Value'!BC35/'Total Value'!BB35-1)</f>
        <v>2.01976421636616E-2</v>
      </c>
      <c r="BD23" s="14">
        <f ca="1">IF(BD$1="","",'Total Value'!BD35/'Total Value'!BC35-1)</f>
        <v>-1.9627835839918339E-2</v>
      </c>
      <c r="BE23" s="14">
        <f ca="1">IF(BE$1="","",'Total Value'!BE35/'Total Value'!BD35-1)</f>
        <v>-3.7268157392962298E-3</v>
      </c>
      <c r="BF23" s="14">
        <f ca="1">IF(BF$1="","",'Total Value'!BF35/'Total Value'!BE35-1)</f>
        <v>2.940408873423217E-2</v>
      </c>
      <c r="BG23" s="14">
        <f ca="1">IF(BG$1="","",'Total Value'!BG35/'Total Value'!BF35-1)</f>
        <v>-3.971942871630163E-3</v>
      </c>
      <c r="BH23" s="14">
        <f ca="1">IF(BH$1="","",'Total Value'!BH35/'Total Value'!BG35-1)</f>
        <v>5.1756321058882282E-3</v>
      </c>
      <c r="BI23" s="14">
        <f ca="1">IF(BI$1="","",'Total Value'!BI35/'Total Value'!BH35-1)</f>
        <v>2.3550265890098787E-2</v>
      </c>
      <c r="BJ23" s="14">
        <f ca="1">IF(BJ$1="","",'Total Value'!BJ35/'Total Value'!BI35-1)</f>
        <v>-6.9272637308263052E-3</v>
      </c>
      <c r="BK23" s="14">
        <f ca="1">IF(BK$1="","",'Total Value'!BK35/'Total Value'!BJ35-1)</f>
        <v>-4.1770470021591177E-2</v>
      </c>
      <c r="BL23" s="14">
        <f ca="1">IF(BL$1="","",'Total Value'!BL35/'Total Value'!BK35-1)</f>
        <v>-2.7472051304272549E-2</v>
      </c>
      <c r="BM23" s="14">
        <f ca="1">IF(BM$1="","",'Total Value'!BM35/'Total Value'!BL35-1)</f>
        <v>-9.9803956513990766E-3</v>
      </c>
      <c r="BN23" s="14">
        <f ca="1">IF(BN$1="","",'Total Value'!BN35/'Total Value'!BM35-1)</f>
        <v>-2.4662466246624604E-2</v>
      </c>
      <c r="BO23" s="14">
        <f ca="1">IF(BO$1="","",'Total Value'!BO35/'Total Value'!BN35-1)</f>
        <v>2.122554448135805E-3</v>
      </c>
      <c r="BP23" s="14">
        <f ca="1">IF(BP$1="","",'Total Value'!BP35/'Total Value'!BO35-1)</f>
        <v>-2.2101482641128101E-3</v>
      </c>
      <c r="BQ23" s="14">
        <f ca="1">IF(BQ$1="","",'Total Value'!BQ35/'Total Value'!BP35-1)</f>
        <v>9.8754037840333986E-3</v>
      </c>
      <c r="BR23" s="14">
        <f ca="1">IF(BR$1="","",'Total Value'!BR35/'Total Value'!BQ35-1)</f>
        <v>-3.8384207640286272E-3</v>
      </c>
      <c r="BS23" s="14">
        <f ca="1">IF(BS$1="","",'Total Value'!BS35/'Total Value'!BR35-1)</f>
        <v>-6.1467889908257689E-3</v>
      </c>
      <c r="BT23" s="14">
        <f ca="1">IF(BT$1="","",'Total Value'!BT35/'Total Value'!BS35-1)</f>
        <v>3.3508723345333724E-2</v>
      </c>
      <c r="BU23" s="14">
        <f ca="1">IF(BU$1="","",'Total Value'!BU35/'Total Value'!BT35-1)</f>
        <v>-3.9299749910681747E-3</v>
      </c>
      <c r="BV23" s="14">
        <f ca="1">IF(BV$1="","",'Total Value'!BV35/'Total Value'!BU35-1)</f>
        <v>-7.5322812051650256E-3</v>
      </c>
      <c r="BW23" s="14">
        <f ca="1">IF(BW$1="","",'Total Value'!BW35/'Total Value'!BV35-1)</f>
        <v>-3.153234550054218E-2</v>
      </c>
      <c r="BX23" s="14">
        <f ca="1">IF(BX$1="","",'Total Value'!BX35/'Total Value'!BW35-1)</f>
        <v>1.4553596417576475E-2</v>
      </c>
      <c r="BY23" s="14">
        <f ca="1">IF(BY$1="","",'Total Value'!BY35/'Total Value'!BX35-1)</f>
        <v>-5.7747126436781704E-2</v>
      </c>
      <c r="BZ23" s="14">
        <f ca="1">IF(BZ$1="","",'Total Value'!BZ35/'Total Value'!BY35-1)</f>
        <v>0.11008099931687321</v>
      </c>
      <c r="CA23" s="14">
        <f ca="1">IF(CA$1="","",'Total Value'!CA35/'Total Value'!BZ35-1)</f>
        <v>4.5098901098901134E-2</v>
      </c>
      <c r="CB23" s="14">
        <f ca="1">IF(CB$1="","",'Total Value'!CB35/'Total Value'!CA35-1)</f>
        <v>-8.3277254374157783E-3</v>
      </c>
      <c r="CC23" s="14">
        <f ca="1">IF(CC$1="","",'Total Value'!CC35/'Total Value'!CB35-1)</f>
        <v>1.9340062770379252E-2</v>
      </c>
      <c r="CD23" s="14">
        <f ca="1">IF(CD$1="","",'Total Value'!CD35/'Total Value'!CC35-1)</f>
        <v>9.4033452608803803E-3</v>
      </c>
      <c r="CE23" s="14">
        <f ca="1">IF(CE$1="","",'Total Value'!CE35/'Total Value'!CD35-1)</f>
        <v>3.8252267106347881E-2</v>
      </c>
      <c r="CF23" s="14" t="str">
        <f ca="1">IF(CF$1="","",'Total Value'!CF35/'Total Value'!CE35-1)</f>
        <v/>
      </c>
      <c r="CG23" s="14" t="str">
        <f ca="1">IF(CG$1="","",'Total Value'!CG35/'Total Value'!CF35-1)</f>
        <v/>
      </c>
      <c r="CH23" s="14" t="str">
        <f ca="1">IF(CH$1="","",'Total Value'!CH35/'Total Value'!CG35-1)</f>
        <v/>
      </c>
      <c r="CI23" s="14" t="str">
        <f ca="1">IF(CI$1="","",'Total Value'!CI35/'Total Value'!CH35-1)</f>
        <v/>
      </c>
      <c r="CJ23" s="14" t="str">
        <f ca="1">IF(CJ$1="","",'Total Value'!CJ35/'Total Value'!CI35-1)</f>
        <v/>
      </c>
      <c r="CK23" s="14" t="str">
        <f ca="1">IF(CK$1="","",'Total Value'!CK35/'Total Value'!CJ35-1)</f>
        <v/>
      </c>
      <c r="CL23" s="14" t="str">
        <f ca="1">IF(CL$1="","",'Total Value'!CL35/'Total Value'!CK35-1)</f>
        <v/>
      </c>
      <c r="CM23" s="14" t="str">
        <f ca="1">IF(CM$1="","",'Total Value'!CM35/'Total Value'!CL35-1)</f>
        <v/>
      </c>
      <c r="CN23" s="14" t="str">
        <f ca="1">IF(CN$1="","",'Total Value'!CN35/'Total Value'!CM35-1)</f>
        <v/>
      </c>
      <c r="CO23" s="14" t="str">
        <f ca="1">IF(CO$1="","",'Total Value'!CO35/'Total Value'!CN35-1)</f>
        <v/>
      </c>
      <c r="CP23" s="14" t="str">
        <f ca="1">IF(CP$1="","",'Total Value'!CP35/'Total Value'!CO35-1)</f>
        <v/>
      </c>
      <c r="CQ23" s="14" t="str">
        <f ca="1">IF(CQ$1="","",'Total Value'!CQ35/'Total Value'!CP35-1)</f>
        <v/>
      </c>
      <c r="CR23" s="14" t="str">
        <f ca="1">IF(CR$1="","",'Total Value'!CR35/'Total Value'!CQ35-1)</f>
        <v/>
      </c>
      <c r="CS23" s="14" t="str">
        <f ca="1">IF(CS$1="","",'Total Value'!CS35/'Total Value'!CR35-1)</f>
        <v/>
      </c>
      <c r="CT23" s="14" t="str">
        <f ca="1">IF(CT$1="","",'Total Value'!CT35/'Total Value'!CS35-1)</f>
        <v/>
      </c>
      <c r="CU23" s="14" t="str">
        <f ca="1">IF(CU$1="","",'Total Value'!CU35/'Total Value'!CT35-1)</f>
        <v/>
      </c>
      <c r="CV23" s="14" t="str">
        <f ca="1">IF(CV$1="","",'Total Value'!CV35/'Total Value'!CU35-1)</f>
        <v/>
      </c>
      <c r="CW23" s="14" t="str">
        <f ca="1">IF(CW$1="","",'Total Value'!CW35/'Total Value'!CV35-1)</f>
        <v/>
      </c>
      <c r="CX23" s="14" t="str">
        <f ca="1">IF(CX$1="","",'Total Value'!CX35/'Total Value'!CW35-1)</f>
        <v/>
      </c>
      <c r="CY23" s="14" t="str">
        <f ca="1">IF(CY$1="","",'Total Value'!CY35/'Total Value'!CX35-1)</f>
        <v/>
      </c>
      <c r="CZ23" s="14" t="str">
        <f ca="1">IF(CZ$1="","",'Total Value'!CZ35/'Total Value'!CY35-1)</f>
        <v/>
      </c>
      <c r="DA23" s="14" t="str">
        <f ca="1">IF(DA$1="","",'Total Value'!DA35/'Total Value'!CZ35-1)</f>
        <v/>
      </c>
      <c r="DB23" s="14" t="str">
        <f ca="1">IF(DB$1="","",'Total Value'!DB35/'Total Value'!DA35-1)</f>
        <v/>
      </c>
      <c r="DC23" s="14" t="str">
        <f ca="1">IF(DC$1="","",'Total Value'!DC35/'Total Value'!DB35-1)</f>
        <v/>
      </c>
      <c r="DD23" s="14" t="str">
        <f ca="1">IF(DD$1="","",'Total Value'!DD35/'Total Value'!DC35-1)</f>
        <v/>
      </c>
      <c r="DE23" s="14" t="str">
        <f ca="1">IF(DE$1="","",'Total Value'!DE35/'Total Value'!DD35-1)</f>
        <v/>
      </c>
      <c r="DF23" s="14" t="str">
        <f ca="1">IF(DF$1="","",'Total Value'!DF35/'Total Value'!DE35-1)</f>
        <v/>
      </c>
      <c r="DG23" s="14" t="str">
        <f ca="1">IF(DG$1="","",'Total Value'!DG35/'Total Value'!DF35-1)</f>
        <v/>
      </c>
      <c r="DH23" s="14" t="str">
        <f ca="1">IF(DH$1="","",'Total Value'!DH35/'Total Value'!DG35-1)</f>
        <v/>
      </c>
      <c r="DI23" s="14" t="str">
        <f ca="1">IF(DI$1="","",'Total Value'!DI35/'Total Value'!DH35-1)</f>
        <v/>
      </c>
      <c r="DJ23" s="14" t="str">
        <f ca="1">IF(DJ$1="","",'Total Value'!DJ35/'Total Value'!DI35-1)</f>
        <v/>
      </c>
      <c r="DK23" s="14" t="str">
        <f ca="1">IF(DK$1="","",'Total Value'!DK35/'Total Value'!DJ35-1)</f>
        <v/>
      </c>
      <c r="DL23" s="14" t="str">
        <f ca="1">IF(DL$1="","",'Total Value'!DL35/'Total Value'!DK35-1)</f>
        <v/>
      </c>
      <c r="DM23" s="14" t="str">
        <f ca="1">IF(DM$1="","",'Total Value'!DM35/'Total Value'!DL35-1)</f>
        <v/>
      </c>
      <c r="DN23" s="14" t="str">
        <f ca="1">IF(DN$1="","",'Total Value'!DN35/'Total Value'!DM35-1)</f>
        <v/>
      </c>
      <c r="DO23" s="14" t="str">
        <f ca="1">IF(DO$1="","",'Total Value'!DO35/'Total Value'!DN35-1)</f>
        <v/>
      </c>
      <c r="DP23" s="14" t="str">
        <f ca="1">IF(DP$1="","",'Total Value'!DP35/'Total Value'!DO35-1)</f>
        <v/>
      </c>
      <c r="DQ23" s="14" t="str">
        <f ca="1">IF(DQ$1="","",'Total Value'!DQ35/'Total Value'!DP35-1)</f>
        <v/>
      </c>
      <c r="DR23" s="14" t="str">
        <f ca="1">IF(DR$1="","",'Total Value'!DR35/'Total Value'!DQ35-1)</f>
        <v/>
      </c>
      <c r="DS23" s="14" t="str">
        <f ca="1">IF(DS$1="","",'Total Value'!DS35/'Total Value'!DR35-1)</f>
        <v/>
      </c>
      <c r="DT23" s="14" t="str">
        <f ca="1">IF(DT$1="","",'Total Value'!DT35/'Total Value'!DS35-1)</f>
        <v/>
      </c>
      <c r="DU23" s="14" t="str">
        <f ca="1">IF(DU$1="","",'Total Value'!DU35/'Total Value'!DT35-1)</f>
        <v/>
      </c>
      <c r="DV23" s="14" t="str">
        <f ca="1">IF(DV$1="","",'Total Value'!DV35/'Total Value'!DU35-1)</f>
        <v/>
      </c>
      <c r="DW23" s="14" t="str">
        <f ca="1">IF(DW$1="","",'Total Value'!DW35/'Total Value'!DV35-1)</f>
        <v/>
      </c>
      <c r="DX23" s="14" t="str">
        <f ca="1">IF(DX$1="","",'Total Value'!DX35/'Total Value'!DW35-1)</f>
        <v/>
      </c>
      <c r="DY23" s="14" t="str">
        <f ca="1">IF(DY$1="","",'Total Value'!DY35/'Total Value'!DX35-1)</f>
        <v/>
      </c>
      <c r="DZ23" s="14" t="str">
        <f ca="1">IF(DZ$1="","",'Total Value'!DZ35/'Total Value'!DY35-1)</f>
        <v/>
      </c>
      <c r="EA23" s="14" t="str">
        <f ca="1">IF(EA$1="","",'Total Value'!EA35/'Total Value'!DZ35-1)</f>
        <v/>
      </c>
      <c r="EB23" s="14" t="str">
        <f ca="1">IF(EB$1="","",'Total Value'!EB35/'Total Value'!EA35-1)</f>
        <v/>
      </c>
      <c r="EC23" s="14" t="str">
        <f ca="1">IF(EC$1="","",'Total Value'!EC35/'Total Value'!EB35-1)</f>
        <v/>
      </c>
      <c r="ED23" s="14" t="str">
        <f ca="1">IF(ED$1="","",'Total Value'!ED35/'Total Value'!EC35-1)</f>
        <v/>
      </c>
      <c r="EE23" s="14" t="str">
        <f ca="1">IF(EE$1="","",'Total Value'!EE35/'Total Value'!ED35-1)</f>
        <v/>
      </c>
      <c r="EF23" s="14" t="str">
        <f ca="1">IF(EF$1="","",'Total Value'!EF35/'Total Value'!EE35-1)</f>
        <v/>
      </c>
      <c r="EG23" s="14" t="str">
        <f ca="1">IF(EG$1="","",'Total Value'!EG35/'Total Value'!EF35-1)</f>
        <v/>
      </c>
      <c r="EH23" s="14" t="str">
        <f ca="1">IF(EH$1="","",'Total Value'!EH35/'Total Value'!EG35-1)</f>
        <v/>
      </c>
      <c r="EI23" s="14" t="str">
        <f ca="1">IF(EI$1="","",'Total Value'!EI35/'Total Value'!EH35-1)</f>
        <v/>
      </c>
      <c r="EJ23" s="14" t="str">
        <f ca="1">IF(EJ$1="","",'Total Value'!EJ35/'Total Value'!EI35-1)</f>
        <v/>
      </c>
      <c r="EK23" s="14" t="str">
        <f ca="1">IF(EK$1="","",'Total Value'!EK35/'Total Value'!EJ35-1)</f>
        <v/>
      </c>
      <c r="EL23" s="14" t="str">
        <f ca="1">IF(EL$1="","",'Total Value'!EL35/'Total Value'!EK35-1)</f>
        <v/>
      </c>
      <c r="EM23" s="14" t="str">
        <f ca="1">IF(EM$1="","",'Total Value'!EM35/'Total Value'!EL35-1)</f>
        <v/>
      </c>
      <c r="EN23" s="14" t="str">
        <f ca="1">IF(EN$1="","",'Total Value'!EN35/'Total Value'!EM35-1)</f>
        <v/>
      </c>
      <c r="EO23" s="14" t="str">
        <f ca="1">IF(EO$1="","",'Total Value'!EO35/'Total Value'!EN35-1)</f>
        <v/>
      </c>
      <c r="EP23" s="14" t="str">
        <f ca="1">IF(EP$1="","",'Total Value'!EP35/'Total Value'!EO35-1)</f>
        <v/>
      </c>
      <c r="EQ23" s="14" t="str">
        <f ca="1">IF(EQ$1="","",'Total Value'!EQ35/'Total Value'!EP35-1)</f>
        <v/>
      </c>
      <c r="ER23" s="14" t="str">
        <f ca="1">IF(ER$1="","",'Total Value'!ER35/'Total Value'!EQ35-1)</f>
        <v/>
      </c>
      <c r="ES23" s="14" t="str">
        <f ca="1">IF(ES$1="","",'Total Value'!ES35/'Total Value'!ER35-1)</f>
        <v/>
      </c>
      <c r="ET23" s="14" t="str">
        <f ca="1">IF(ET$1="","",'Total Value'!ET35/'Total Value'!ES35-1)</f>
        <v/>
      </c>
      <c r="EU23" s="14" t="str">
        <f ca="1">IF(EU$1="","",'Total Value'!EU35/'Total Value'!ET35-1)</f>
        <v/>
      </c>
      <c r="EV23" s="14" t="str">
        <f ca="1">IF(EV$1="","",'Total Value'!EV35/'Total Value'!EU35-1)</f>
        <v/>
      </c>
      <c r="EW23" s="14" t="str">
        <f ca="1">IF(EW$1="","",'Total Value'!EW35/'Total Value'!EV35-1)</f>
        <v/>
      </c>
      <c r="EX23" s="14" t="str">
        <f ca="1">IF(EX$1="","",'Total Value'!EX35/'Total Value'!EW35-1)</f>
        <v/>
      </c>
      <c r="EY23" s="14" t="str">
        <f ca="1">IF(EY$1="","",'Total Value'!EY35/'Total Value'!EX35-1)</f>
        <v/>
      </c>
      <c r="EZ23" s="14" t="str">
        <f ca="1">IF(EZ$1="","",'Total Value'!EZ35/'Total Value'!EY35-1)</f>
        <v/>
      </c>
      <c r="FA23" s="14" t="str">
        <f ca="1">IF(FA$1="","",'Total Value'!FA35/'Total Value'!EZ35-1)</f>
        <v/>
      </c>
      <c r="FB23" s="14" t="str">
        <f ca="1">IF(FB$1="","",'Total Value'!FB35/'Total Value'!FA35-1)</f>
        <v/>
      </c>
      <c r="FC23" s="14" t="str">
        <f ca="1">IF(FC$1="","",'Total Value'!FC35/'Total Value'!FB35-1)</f>
        <v/>
      </c>
      <c r="FD23" s="14" t="str">
        <f ca="1">IF(FD$1="","",'Total Value'!FD35/'Total Value'!FC35-1)</f>
        <v/>
      </c>
      <c r="FE23" s="14" t="str">
        <f ca="1">IF(FE$1="","",'Total Value'!FE35/'Total Value'!FD35-1)</f>
        <v/>
      </c>
      <c r="FF23" s="14" t="str">
        <f ca="1">IF(FF$1="","",'Total Value'!FF35/'Total Value'!FE35-1)</f>
        <v/>
      </c>
      <c r="FG23" s="14" t="str">
        <f ca="1">IF(FG$1="","",'Total Value'!FG35/'Total Value'!FF35-1)</f>
        <v/>
      </c>
      <c r="FH23" s="14" t="str">
        <f ca="1">IF(FH$1="","",'Total Value'!FH35/'Total Value'!FG35-1)</f>
        <v/>
      </c>
      <c r="FI23" s="14" t="str">
        <f ca="1">IF(FI$1="","",'Total Value'!FI35/'Total Value'!FH35-1)</f>
        <v/>
      </c>
      <c r="FJ23" s="14" t="str">
        <f ca="1">IF(FJ$1="","",'Total Value'!FJ35/'Total Value'!FI35-1)</f>
        <v/>
      </c>
      <c r="FK23" s="14" t="str">
        <f ca="1">IF(FK$1="","",'Total Value'!FK35/'Total Value'!FJ35-1)</f>
        <v/>
      </c>
      <c r="FL23" s="14" t="str">
        <f ca="1">IF(FL$1="","",'Total Value'!FL35/'Total Value'!FK35-1)</f>
        <v/>
      </c>
      <c r="FM23" s="14" t="str">
        <f ca="1">IF(FM$1="","",'Total Value'!FM35/'Total Value'!FL35-1)</f>
        <v/>
      </c>
      <c r="FN23" s="14" t="str">
        <f ca="1">IF(FN$1="","",'Total Value'!FN35/'Total Value'!FM35-1)</f>
        <v/>
      </c>
      <c r="FO23" s="14" t="str">
        <f ca="1">IF(FO$1="","",'Total Value'!FO35/'Total Value'!FN35-1)</f>
        <v/>
      </c>
      <c r="FP23" s="14" t="str">
        <f ca="1">IF(FP$1="","",'Total Value'!FP35/'Total Value'!FO35-1)</f>
        <v/>
      </c>
      <c r="FQ23" s="14" t="str">
        <f ca="1">IF(FQ$1="","",'Total Value'!FQ35/'Total Value'!FP35-1)</f>
        <v/>
      </c>
      <c r="FR23" s="14" t="str">
        <f ca="1">IF(FR$1="","",'Total Value'!FR35/'Total Value'!FQ35-1)</f>
        <v/>
      </c>
      <c r="FS23" s="14" t="str">
        <f ca="1">IF(FS$1="","",'Total Value'!FS35/'Total Value'!FR35-1)</f>
        <v/>
      </c>
      <c r="FT23" s="14" t="str">
        <f ca="1">IF(FT$1="","",'Total Value'!FT35/'Total Value'!FS35-1)</f>
        <v/>
      </c>
      <c r="FU23" s="14" t="str">
        <f ca="1">IF(FU$1="","",'Total Value'!FU35/'Total Value'!FT35-1)</f>
        <v/>
      </c>
      <c r="FV23" s="14" t="str">
        <f ca="1">IF(FV$1="","",'Total Value'!FV35/'Total Value'!FU35-1)</f>
        <v/>
      </c>
      <c r="FW23" s="14" t="str">
        <f ca="1">IF(FW$1="","",'Total Value'!FW35/'Total Value'!FV35-1)</f>
        <v/>
      </c>
      <c r="FX23" s="14" t="str">
        <f ca="1">IF(FX$1="","",'Total Value'!FX35/'Total Value'!FW35-1)</f>
        <v/>
      </c>
      <c r="FY23" s="14" t="str">
        <f ca="1">IF(FY$1="","",'Total Value'!FY35/'Total Value'!FX35-1)</f>
        <v/>
      </c>
      <c r="FZ23" s="14" t="str">
        <f ca="1">IF(FZ$1="","",'Total Value'!FZ35/'Total Value'!FY35-1)</f>
        <v/>
      </c>
      <c r="GA23" s="14" t="str">
        <f ca="1">IF(GA$1="","",'Total Value'!GA35/'Total Value'!FZ35-1)</f>
        <v/>
      </c>
      <c r="GB23" s="14" t="str">
        <f ca="1">IF(GB$1="","",'Total Value'!GB35/'Total Value'!GA35-1)</f>
        <v/>
      </c>
      <c r="GC23" s="14" t="str">
        <f ca="1">IF(GC$1="","",'Total Value'!GC35/'Total Value'!GB35-1)</f>
        <v/>
      </c>
      <c r="GD23" s="14" t="str">
        <f ca="1">IF(GD$1="","",'Total Value'!GD35/'Total Value'!GC35-1)</f>
        <v/>
      </c>
      <c r="GE23" s="14" t="str">
        <f ca="1">IF(GE$1="","",'Total Value'!GE35/'Total Value'!GD35-1)</f>
        <v/>
      </c>
      <c r="GF23" s="14" t="str">
        <f ca="1">IF(GF$1="","",'Total Value'!GF35/'Total Value'!GE35-1)</f>
        <v/>
      </c>
      <c r="GG23" s="14" t="str">
        <f ca="1">IF(GG$1="","",'Total Value'!GG35/'Total Value'!GF35-1)</f>
        <v/>
      </c>
      <c r="GH23" s="14" t="str">
        <f ca="1">IF(GH$1="","",'Total Value'!GH35/'Total Value'!GG35-1)</f>
        <v/>
      </c>
      <c r="GI23" s="14" t="str">
        <f ca="1">IF(GI$1="","",'Total Value'!GI35/'Total Value'!GH35-1)</f>
        <v/>
      </c>
      <c r="GJ23" s="14" t="str">
        <f ca="1">IF(GJ$1="","",'Total Value'!GJ35/'Total Value'!GI35-1)</f>
        <v/>
      </c>
      <c r="GK23" s="14" t="str">
        <f ca="1">IF(GK$1="","",'Total Value'!GK35/'Total Value'!GJ35-1)</f>
        <v/>
      </c>
      <c r="GL23" s="14" t="str">
        <f ca="1">IF(GL$1="","",'Total Value'!GL35/'Total Value'!GK35-1)</f>
        <v/>
      </c>
      <c r="GM23" s="14" t="str">
        <f ca="1">IF(GM$1="","",'Total Value'!GM35/'Total Value'!GL35-1)</f>
        <v/>
      </c>
      <c r="GN23" s="14" t="str">
        <f ca="1">IF(GN$1="","",'Total Value'!GN35/'Total Value'!GM35-1)</f>
        <v/>
      </c>
      <c r="GO23" s="14" t="str">
        <f ca="1">IF(GO$1="","",'Total Value'!GO35/'Total Value'!GN35-1)</f>
        <v/>
      </c>
      <c r="GP23" s="14" t="str">
        <f ca="1">IF(GP$1="","",'Total Value'!GP35/'Total Value'!GO35-1)</f>
        <v/>
      </c>
      <c r="GQ23" s="14" t="str">
        <f ca="1">IF(GQ$1="","",'Total Value'!GQ35/'Total Value'!GP35-1)</f>
        <v/>
      </c>
      <c r="GR23" s="14" t="str">
        <f ca="1">IF(GR$1="","",'Total Value'!GR35/'Total Value'!GQ35-1)</f>
        <v/>
      </c>
      <c r="GS23" s="14" t="str">
        <f ca="1">IF(GS$1="","",'Total Value'!GS35/'Total Value'!GR35-1)</f>
        <v/>
      </c>
      <c r="GT23" s="14" t="str">
        <f ca="1">IF(GT$1="","",'Total Value'!GT35/'Total Value'!GS35-1)</f>
        <v/>
      </c>
      <c r="GU23" s="14" t="str">
        <f ca="1">IF(GU$1="","",'Total Value'!GU35/'Total Value'!GT35-1)</f>
        <v/>
      </c>
      <c r="GV23" s="14" t="str">
        <f ca="1">IF(GV$1="","",'Total Value'!GV35/'Total Value'!GU35-1)</f>
        <v/>
      </c>
      <c r="GW23" s="14" t="str">
        <f ca="1">IF(GW$1="","",'Total Value'!GW35/'Total Value'!GV35-1)</f>
        <v/>
      </c>
      <c r="GX23" s="14" t="str">
        <f ca="1">IF(GX$1="","",'Total Value'!GX35/'Total Value'!GW35-1)</f>
        <v/>
      </c>
      <c r="GY23" s="14" t="str">
        <f ca="1">IF(GY$1="","",'Total Value'!GY35/'Total Value'!GX35-1)</f>
        <v/>
      </c>
      <c r="GZ23" s="14" t="str">
        <f ca="1">IF(GZ$1="","",'Total Value'!GZ35/'Total Value'!GY35-1)</f>
        <v/>
      </c>
      <c r="HA23" s="14" t="str">
        <f ca="1">IF(HA$1="","",'Total Value'!HA35/'Total Value'!GZ35-1)</f>
        <v/>
      </c>
      <c r="HB23" s="14" t="str">
        <f ca="1">IF(HB$1="","",'Total Value'!HB35/'Total Value'!HA35-1)</f>
        <v/>
      </c>
      <c r="HC23" s="14" t="str">
        <f ca="1">IF(HC$1="","",'Total Value'!HC35/'Total Value'!HB35-1)</f>
        <v/>
      </c>
      <c r="HD23" s="14" t="str">
        <f ca="1">IF(HD$1="","",'Total Value'!HD35/'Total Value'!HC35-1)</f>
        <v/>
      </c>
      <c r="HE23" s="14" t="str">
        <f ca="1">IF(HE$1="","",'Total Value'!HE35/'Total Value'!HD35-1)</f>
        <v/>
      </c>
      <c r="HF23" s="14" t="str">
        <f ca="1">IF(HF$1="","",'Total Value'!HF35/'Total Value'!HE35-1)</f>
        <v/>
      </c>
      <c r="HG23" s="14" t="str">
        <f ca="1">IF(HG$1="","",'Total Value'!HG35/'Total Value'!HF35-1)</f>
        <v/>
      </c>
      <c r="HH23" s="14" t="str">
        <f ca="1">IF(HH$1="","",'Total Value'!HH35/'Total Value'!HG35-1)</f>
        <v/>
      </c>
      <c r="HI23" s="14" t="str">
        <f ca="1">IF(HI$1="","",'Total Value'!HI35/'Total Value'!HH35-1)</f>
        <v/>
      </c>
      <c r="HJ23" s="14" t="str">
        <f ca="1">IF(HJ$1="","",'Total Value'!HJ35/'Total Value'!HI35-1)</f>
        <v/>
      </c>
      <c r="HK23" s="14" t="str">
        <f ca="1">IF(HK$1="","",'Total Value'!HK35/'Total Value'!HJ35-1)</f>
        <v/>
      </c>
      <c r="HL23" s="14" t="str">
        <f ca="1">IF(HL$1="","",'Total Value'!HL35/'Total Value'!HK35-1)</f>
        <v/>
      </c>
      <c r="HM23" s="14" t="str">
        <f ca="1">IF(HM$1="","",'Total Value'!HM35/'Total Value'!HL35-1)</f>
        <v/>
      </c>
      <c r="HN23" s="14" t="str">
        <f ca="1">IF(HN$1="","",'Total Value'!HN35/'Total Value'!HM35-1)</f>
        <v/>
      </c>
      <c r="HO23" s="14" t="str">
        <f ca="1">IF(HO$1="","",'Total Value'!HO35/'Total Value'!HN35-1)</f>
        <v/>
      </c>
      <c r="HP23" s="14" t="str">
        <f ca="1">IF(HP$1="","",'Total Value'!HP35/'Total Value'!HO35-1)</f>
        <v/>
      </c>
      <c r="HQ23" s="14" t="str">
        <f ca="1">IF(HQ$1="","",'Total Value'!HQ35/'Total Value'!HP35-1)</f>
        <v/>
      </c>
      <c r="HR23" s="14" t="str">
        <f ca="1">IF(HR$1="","",'Total Value'!HR35/'Total Value'!HQ35-1)</f>
        <v/>
      </c>
      <c r="HS23" s="14" t="str">
        <f ca="1">IF(HS$1="","",'Total Value'!HS35/'Total Value'!HR35-1)</f>
        <v/>
      </c>
      <c r="HT23" s="14" t="str">
        <f ca="1">IF(HT$1="","",'Total Value'!HT35/'Total Value'!HS35-1)</f>
        <v/>
      </c>
      <c r="HU23" s="14" t="str">
        <f ca="1">IF(HU$1="","",'Total Value'!HU35/'Total Value'!HT35-1)</f>
        <v/>
      </c>
      <c r="HV23" s="14" t="str">
        <f ca="1">IF(HV$1="","",'Total Value'!HV35/'Total Value'!HU35-1)</f>
        <v/>
      </c>
      <c r="HW23" s="14" t="str">
        <f ca="1">IF(HW$1="","",'Total Value'!HW35/'Total Value'!HV35-1)</f>
        <v/>
      </c>
      <c r="HX23" s="14" t="str">
        <f ca="1">IF(HX$1="","",'Total Value'!HX35/'Total Value'!HW35-1)</f>
        <v/>
      </c>
      <c r="HY23" s="14" t="str">
        <f ca="1">IF(HY$1="","",'Total Value'!HY35/'Total Value'!HX35-1)</f>
        <v/>
      </c>
      <c r="HZ23" s="14" t="str">
        <f ca="1">IF(HZ$1="","",'Total Value'!HZ35/'Total Value'!HY35-1)</f>
        <v/>
      </c>
      <c r="IA23" s="14" t="str">
        <f ca="1">IF(IA$1="","",'Total Value'!IA35/'Total Value'!HZ35-1)</f>
        <v/>
      </c>
      <c r="IB23" s="14" t="str">
        <f ca="1">IF(IB$1="","",'Total Value'!IB35/'Total Value'!IA35-1)</f>
        <v/>
      </c>
      <c r="IC23" s="14" t="str">
        <f ca="1">IF(IC$1="","",'Total Value'!IC35/'Total Value'!IB35-1)</f>
        <v/>
      </c>
      <c r="ID23" s="14" t="str">
        <f ca="1">IF(ID$1="","",'Total Value'!ID35/'Total Value'!IC35-1)</f>
        <v/>
      </c>
      <c r="IE23" s="14" t="str">
        <f ca="1">IF(IE$1="","",'Total Value'!IE35/'Total Value'!ID35-1)</f>
        <v/>
      </c>
      <c r="IF23" s="14" t="str">
        <f ca="1">IF(IF$1="","",'Total Value'!IF35/'Total Value'!IE35-1)</f>
        <v/>
      </c>
      <c r="IG23" s="14" t="str">
        <f ca="1">IF(IG$1="","",'Total Value'!IG35/'Total Value'!IF35-1)</f>
        <v/>
      </c>
      <c r="IH23" s="14" t="str">
        <f ca="1">IF(IH$1="","",'Total Value'!IH35/'Total Value'!IG35-1)</f>
        <v/>
      </c>
      <c r="II23" s="14" t="str">
        <f ca="1">IF(II$1="","",'Total Value'!II35/'Total Value'!IH35-1)</f>
        <v/>
      </c>
      <c r="IJ23" s="14" t="str">
        <f ca="1">IF(IJ$1="","",'Total Value'!IJ35/'Total Value'!II35-1)</f>
        <v/>
      </c>
      <c r="IK23" s="14" t="str">
        <f ca="1">IF(IK$1="","",'Total Value'!IK35/'Total Value'!IJ35-1)</f>
        <v/>
      </c>
      <c r="IL23" s="14" t="str">
        <f ca="1">IF(IL$1="","",'Total Value'!IL35/'Total Value'!IK35-1)</f>
        <v/>
      </c>
      <c r="IM23" s="14" t="str">
        <f ca="1">IF(IM$1="","",'Total Value'!IM35/'Total Value'!IL35-1)</f>
        <v/>
      </c>
      <c r="IN23" s="14" t="str">
        <f ca="1">IF(IN$1="","",'Total Value'!IN35/'Total Value'!IM35-1)</f>
        <v/>
      </c>
      <c r="IO23" s="14" t="str">
        <f ca="1">IF(IO$1="","",'Total Value'!IO35/'Total Value'!IN35-1)</f>
        <v/>
      </c>
      <c r="IP23" s="14" t="str">
        <f ca="1">IF(IP$1="","",'Total Value'!IP35/'Total Value'!IO35-1)</f>
        <v/>
      </c>
      <c r="IQ23" s="14" t="str">
        <f ca="1">IF(IQ$1="","",'Total Value'!IQ35/'Total Value'!IP35-1)</f>
        <v/>
      </c>
      <c r="IR23" s="14" t="str">
        <f ca="1">IF(IR$1="","",'Total Value'!IR35/'Total Value'!IQ35-1)</f>
        <v/>
      </c>
      <c r="IS23" s="14" t="str">
        <f ca="1">IF(IS$1="","",'Total Value'!IS35/'Total Value'!IR35-1)</f>
        <v/>
      </c>
      <c r="IT23" s="14" t="str">
        <f ca="1">IF(IT$1="","",'Total Value'!IT35/'Total Value'!IS35-1)</f>
        <v/>
      </c>
      <c r="IU23" s="14" t="str">
        <f ca="1">IF(IU$1="","",'Total Value'!IU35/'Total Value'!IT35-1)</f>
        <v/>
      </c>
      <c r="IV23" s="14" t="str">
        <f ca="1">IF(IV$1="","",'Total Value'!IV35/'Total Value'!IU35-1)</f>
        <v/>
      </c>
      <c r="IW23" s="14" t="str">
        <f ca="1">IF(IW$1="","",'Total Value'!IW35/'Total Value'!IV35-1)</f>
        <v/>
      </c>
      <c r="IX23" s="14" t="str">
        <f ca="1">IF(IX$1="","",'Total Value'!IX35/'Total Value'!IW35-1)</f>
        <v/>
      </c>
      <c r="IY23" s="14" t="str">
        <f ca="1">IF(IY$1="","",'Total Value'!IY35/'Total Value'!IX35-1)</f>
        <v/>
      </c>
      <c r="IZ23" s="14" t="str">
        <f ca="1">IF(IZ$1="","",'Total Value'!IZ35/'Total Value'!IY35-1)</f>
        <v/>
      </c>
      <c r="JA23" s="14" t="str">
        <f ca="1">IF(JA$1="","",'Total Value'!JA35/'Total Value'!IZ35-1)</f>
        <v/>
      </c>
      <c r="JB23" s="14" t="str">
        <f ca="1">IF(JB$1="","",'Total Value'!JB35/'Total Value'!JA35-1)</f>
        <v/>
      </c>
      <c r="JC23" s="14" t="str">
        <f ca="1">IF(JC$1="","",'Total Value'!JC35/'Total Value'!JB35-1)</f>
        <v/>
      </c>
      <c r="JD23" s="14" t="str">
        <f ca="1">IF(JD$1="","",'Total Value'!JD35/'Total Value'!JC35-1)</f>
        <v/>
      </c>
      <c r="JE23" s="14" t="str">
        <f ca="1">IF(JE$1="","",'Total Value'!JE35/'Total Value'!JD35-1)</f>
        <v/>
      </c>
      <c r="JF23" s="14" t="str">
        <f ca="1">IF(JF$1="","",'Total Value'!JF35/'Total Value'!JE35-1)</f>
        <v/>
      </c>
      <c r="JG23" s="14" t="str">
        <f ca="1">IF(JG$1="","",'Total Value'!JG35/'Total Value'!JF35-1)</f>
        <v/>
      </c>
      <c r="JH23" s="14" t="str">
        <f ca="1">IF(JH$1="","",'Total Value'!JH35/'Total Value'!JG35-1)</f>
        <v/>
      </c>
      <c r="JI23" s="14" t="str">
        <f ca="1">IF(JI$1="","",'Total Value'!JI35/'Total Value'!JH35-1)</f>
        <v/>
      </c>
      <c r="JJ23" s="14" t="str">
        <f ca="1">IF(JJ$1="","",'Total Value'!JJ35/'Total Value'!JI35-1)</f>
        <v/>
      </c>
      <c r="JK23" s="14" t="str">
        <f ca="1">IF(JK$1="","",'Total Value'!JK35/'Total Value'!JJ35-1)</f>
        <v/>
      </c>
      <c r="JL23" s="14" t="str">
        <f ca="1">IF(JL$1="","",'Total Value'!JL35/'Total Value'!JK35-1)</f>
        <v/>
      </c>
      <c r="JM23" s="14" t="str">
        <f ca="1">IF(JM$1="","",'Total Value'!JM35/'Total Value'!JL35-1)</f>
        <v/>
      </c>
      <c r="JN23" s="14" t="str">
        <f ca="1">IF(JN$1="","",'Total Value'!JN35/'Total Value'!JM35-1)</f>
        <v/>
      </c>
      <c r="JO23" s="14" t="str">
        <f ca="1">IF(JO$1="","",'Total Value'!JO35/'Total Value'!JN35-1)</f>
        <v/>
      </c>
      <c r="JP23" s="14" t="str">
        <f ca="1">IF(JP$1="","",'Total Value'!JP35/'Total Value'!JO35-1)</f>
        <v/>
      </c>
      <c r="JQ23" s="14" t="str">
        <f ca="1">IF(JQ$1="","",'Total Value'!JQ35/'Total Value'!JP35-1)</f>
        <v/>
      </c>
      <c r="JR23" s="14" t="str">
        <f ca="1">IF(JR$1="","",'Total Value'!JR35/'Total Value'!JQ35-1)</f>
        <v/>
      </c>
      <c r="JS23" s="14" t="str">
        <f ca="1">IF(JS$1="","",'Total Value'!JS35/'Total Value'!JR35-1)</f>
        <v/>
      </c>
      <c r="JT23" s="14" t="str">
        <f ca="1">IF(JT$1="","",'Total Value'!JT35/'Total Value'!JS35-1)</f>
        <v/>
      </c>
      <c r="JU23" s="14" t="str">
        <f ca="1">IF(JU$1="","",'Total Value'!JU35/'Total Value'!JT35-1)</f>
        <v/>
      </c>
      <c r="JV23" s="14" t="str">
        <f ca="1">IF(JV$1="","",'Total Value'!JV35/'Total Value'!JU35-1)</f>
        <v/>
      </c>
      <c r="JW23" s="14" t="str">
        <f ca="1">IF(JW$1="","",'Total Value'!JW35/'Total Value'!JV35-1)</f>
        <v/>
      </c>
      <c r="JX23" s="14" t="str">
        <f ca="1">IF(JX$1="","",'Total Value'!JX35/'Total Value'!JW35-1)</f>
        <v/>
      </c>
      <c r="JY23" s="14" t="str">
        <f ca="1">IF(JY$1="","",'Total Value'!JY35/'Total Value'!JX35-1)</f>
        <v/>
      </c>
      <c r="JZ23" s="14" t="str">
        <f ca="1">IF(JZ$1="","",'Total Value'!JZ35/'Total Value'!JY35-1)</f>
        <v/>
      </c>
      <c r="KA23" s="14" t="str">
        <f ca="1">IF(KA$1="","",'Total Value'!KA35/'Total Value'!JZ35-1)</f>
        <v/>
      </c>
      <c r="KB23" s="14" t="str">
        <f ca="1">IF(KB$1="","",'Total Value'!KB35/'Total Value'!KA35-1)</f>
        <v/>
      </c>
    </row>
    <row r="24" spans="1:288" ht="15.75" customHeight="1">
      <c r="A24" s="22" t="s">
        <v>30</v>
      </c>
      <c r="B24" s="6" t="s">
        <v>68</v>
      </c>
      <c r="C24" s="26">
        <v>115</v>
      </c>
      <c r="D24" s="13">
        <v>0</v>
      </c>
      <c r="E24" s="14">
        <f ca="1">IF(E$1="","",'Total Value'!E36/'Total Value'!D36-1)</f>
        <v>7.0779220779220831E-2</v>
      </c>
      <c r="F24" s="14">
        <f ca="1">IF(F$1="","",'Total Value'!F36/'Total Value'!E36-1)</f>
        <v>-5.3972104305639701E-2</v>
      </c>
      <c r="G24" s="14">
        <f ca="1">IF(G$1="","",'Total Value'!G36/'Total Value'!F36-1)</f>
        <v>-2.9487179487179382E-2</v>
      </c>
      <c r="H24" s="14">
        <f ca="1">IF(H$1="","",'Total Value'!H36/'Total Value'!G36-1)</f>
        <v>-1.9815059445179584E-3</v>
      </c>
      <c r="I24" s="14">
        <f ca="1">IF(I$1="","",'Total Value'!I36/'Total Value'!H36-1)</f>
        <v>-6.75049636002647E-2</v>
      </c>
      <c r="J24" s="14">
        <f ca="1">IF(J$1="","",'Total Value'!J36/'Total Value'!I36-1)</f>
        <v>-2.5550035486160305E-2</v>
      </c>
      <c r="K24" s="14">
        <f ca="1">IF(K$1="","",'Total Value'!K36/'Total Value'!J36-1)</f>
        <v>-1.6023306627822365E-2</v>
      </c>
      <c r="L24" s="14">
        <f ca="1">IF(L$1="","",'Total Value'!L36/'Total Value'!K36-1)</f>
        <v>-5.9215396002960663E-2</v>
      </c>
      <c r="M24" s="14">
        <f ca="1">IF(M$1="","",'Total Value'!M36/'Total Value'!L36-1)</f>
        <v>2.67505900865459E-2</v>
      </c>
      <c r="N24" s="14">
        <f ca="1">IF(N$1="","",'Total Value'!N36/'Total Value'!M36-1)</f>
        <v>-3.9080459770114984E-2</v>
      </c>
      <c r="O24" s="14">
        <f ca="1">IF(O$1="","",'Total Value'!O36/'Total Value'!N36-1)</f>
        <v>-1.3556618819776656E-2</v>
      </c>
      <c r="P24" s="14">
        <f ca="1">IF(P$1="","",'Total Value'!P36/'Total Value'!O36-1)</f>
        <v>-3.8803556992724197E-2</v>
      </c>
      <c r="Q24" s="14">
        <f ca="1">IF(Q$1="","",'Total Value'!Q36/'Total Value'!P36-1)</f>
        <v>4.8780487804878092E-2</v>
      </c>
      <c r="R24" s="14">
        <f ca="1">IF(R$1="","",'Total Value'!R36/'Total Value'!Q36-1)</f>
        <v>8.8211708099438457E-2</v>
      </c>
      <c r="S24" s="14">
        <f ca="1">IF(S$1="","",'Total Value'!S36/'Total Value'!R36-1)</f>
        <v>2.4318349299926378E-2</v>
      </c>
      <c r="T24" s="14">
        <f ca="1">IF(T$1="","",'Total Value'!T36/'Total Value'!S36-1)</f>
        <v>-4.8920863309352414E-2</v>
      </c>
      <c r="U24" s="14">
        <f ca="1">IF(U$1="","",'Total Value'!U36/'Total Value'!T36-1)</f>
        <v>-9.6066565809379889E-2</v>
      </c>
      <c r="V24" s="14">
        <f ca="1">IF(V$1="","",'Total Value'!V36/'Total Value'!U36-1)</f>
        <v>0.16234309623430976</v>
      </c>
      <c r="W24" s="14">
        <f ca="1">IF(W$1="","",'Total Value'!W36/'Total Value'!V36-1)</f>
        <v>-1.2239020878329732E-2</v>
      </c>
      <c r="X24" s="14">
        <f ca="1">IF(X$1="","",'Total Value'!X36/'Total Value'!W36-1)</f>
        <v>3.498542274052463E-2</v>
      </c>
      <c r="Y24" s="14">
        <f ca="1">IF(Y$1="","",'Total Value'!Y36/'Total Value'!X36-1)</f>
        <v>2.3239436619718168E-2</v>
      </c>
      <c r="Z24" s="14">
        <f ca="1">IF(Z$1="","",'Total Value'!Z36/'Total Value'!Y36-1)</f>
        <v>-3.7164487267721813E-2</v>
      </c>
      <c r="AA24" s="14">
        <f ca="1">IF(AA$1="","",'Total Value'!AA36/'Total Value'!Z36-1)</f>
        <v>-4.9320943531093731E-2</v>
      </c>
      <c r="AB24" s="14">
        <f ca="1">IF(AB$1="","",'Total Value'!AB36/'Total Value'!AA36-1)</f>
        <v>0</v>
      </c>
      <c r="AC24" s="14">
        <f ca="1">IF(AC$1="","",'Total Value'!AC36/'Total Value'!AB36-1)</f>
        <v>4.8872180451127845E-2</v>
      </c>
      <c r="AD24" s="14">
        <f ca="1">IF(AD$1="","",'Total Value'!AD36/'Total Value'!AC36-1)</f>
        <v>-6.3799283154121755E-2</v>
      </c>
      <c r="AE24" s="14">
        <f ca="1">IF(AE$1="","",'Total Value'!AE36/'Total Value'!AD36-1)</f>
        <v>-3.8284839203675314E-2</v>
      </c>
      <c r="AF24" s="14">
        <f ca="1">IF(AF$1="","",'Total Value'!AF36/'Total Value'!AE36-1)</f>
        <v>-0.1066878980891719</v>
      </c>
      <c r="AG24" s="14">
        <f ca="1">IF(AG$1="","",'Total Value'!AG36/'Total Value'!AF36-1)</f>
        <v>4.3672014260249581E-2</v>
      </c>
      <c r="AH24" s="14">
        <f ca="1">IF(AH$1="","",'Total Value'!AH36/'Total Value'!AG36-1)</f>
        <v>-3.1596925704526213E-2</v>
      </c>
      <c r="AI24" s="14">
        <f ca="1">IF(AI$1="","",'Total Value'!AI36/'Total Value'!AH36-1)</f>
        <v>0.18430335097001782</v>
      </c>
      <c r="AJ24" s="14">
        <f ca="1">IF(AJ$1="","",'Total Value'!AJ36/'Total Value'!AI36-1)</f>
        <v>5.3611317944899373E-2</v>
      </c>
      <c r="AK24" s="14">
        <f ca="1">IF(AK$1="","",'Total Value'!AK36/'Total Value'!AJ36-1)</f>
        <v>3.0388692579505383E-2</v>
      </c>
      <c r="AL24" s="14">
        <f ca="1">IF(AL$1="","",'Total Value'!AL36/'Total Value'!AK36-1)</f>
        <v>-5.7613168724279795E-2</v>
      </c>
      <c r="AM24" s="14">
        <f ca="1">IF(AM$1="","",'Total Value'!AM36/'Total Value'!AL36-1)</f>
        <v>-2.1834061135371785E-3</v>
      </c>
      <c r="AN24" s="14">
        <f ca="1">IF(AN$1="","",'Total Value'!AN36/'Total Value'!AM36-1)</f>
        <v>-5.9810357403355163E-2</v>
      </c>
      <c r="AO24" s="14">
        <f ca="1">IF(AO$1="","",'Total Value'!AO36/'Total Value'!AN36-1)</f>
        <v>-1.8619084561675825E-2</v>
      </c>
      <c r="AP24" s="14">
        <f ca="1">IF(AP$1="","",'Total Value'!AP36/'Total Value'!AO36-1)</f>
        <v>-6.956521739130439E-2</v>
      </c>
      <c r="AQ24" s="14">
        <f ca="1">IF(AQ$1="","",'Total Value'!AQ36/'Total Value'!AP36-1)</f>
        <v>1.954120645709434E-2</v>
      </c>
      <c r="AR24" s="14">
        <f ca="1">IF(AR$1="","",'Total Value'!AR36/'Total Value'!AQ36-1)</f>
        <v>3.6666666666666625E-2</v>
      </c>
      <c r="AS24" s="14">
        <f ca="1">IF(AS$1="","",'Total Value'!AS36/'Total Value'!AR36-1)</f>
        <v>-3.938906752411564E-2</v>
      </c>
      <c r="AT24" s="14">
        <f ca="1">IF(AT$1="","",'Total Value'!AT36/'Total Value'!AS36-1)</f>
        <v>-7.615062761506286E-2</v>
      </c>
      <c r="AU24" s="14">
        <f ca="1">IF(AU$1="","",'Total Value'!AU36/'Total Value'!AT36-1)</f>
        <v>-4.6195652173913082E-2</v>
      </c>
      <c r="AV24" s="14">
        <f ca="1">IF(AV$1="","",'Total Value'!AV36/'Total Value'!AU36-1)</f>
        <v>3.7037037037037202E-2</v>
      </c>
      <c r="AW24" s="14">
        <f ca="1">IF(AW$1="","",'Total Value'!AW36/'Total Value'!AV36-1)</f>
        <v>0.12271062271062272</v>
      </c>
      <c r="AX24" s="14">
        <f ca="1">IF(AX$1="","",'Total Value'!AX36/'Total Value'!AW36-1)</f>
        <v>5.6280587275693517E-2</v>
      </c>
      <c r="AY24" s="14">
        <f ca="1">IF(AY$1="","",'Total Value'!AY36/'Total Value'!AX36-1)</f>
        <v>3.6293436293436176E-2</v>
      </c>
      <c r="AZ24" s="14">
        <f ca="1">IF(AZ$1="","",'Total Value'!AZ36/'Total Value'!AY36-1)</f>
        <v>-1.7883755588673611E-2</v>
      </c>
      <c r="BA24" s="14">
        <f ca="1">IF(BA$1="","",'Total Value'!BA36/'Total Value'!AZ36-1)</f>
        <v>2.6555386949923987E-2</v>
      </c>
      <c r="BB24" s="14">
        <f ca="1">IF(BB$1="","",'Total Value'!BB36/'Total Value'!BA36-1)</f>
        <v>-2.5868440502586743E-2</v>
      </c>
      <c r="BC24" s="14">
        <f ca="1">IF(BC$1="","",'Total Value'!BC36/'Total Value'!BB36-1)</f>
        <v>2.9590288315629598E-2</v>
      </c>
      <c r="BD24" s="14">
        <f ca="1">IF(BD$1="","",'Total Value'!BD36/'Total Value'!BC36-1)</f>
        <v>-1.3264554163596065E-2</v>
      </c>
      <c r="BE24" s="14">
        <f ca="1">IF(BE$1="","",'Total Value'!BE36/'Total Value'!BD36-1)</f>
        <v>3.2113517550410586E-2</v>
      </c>
      <c r="BF24" s="14">
        <f ca="1">IF(BF$1="","",'Total Value'!BF36/'Total Value'!BE36-1)</f>
        <v>6.6570188133140418E-2</v>
      </c>
      <c r="BG24" s="14">
        <f ca="1">IF(BG$1="","",'Total Value'!BG36/'Total Value'!BF36-1)</f>
        <v>-5.1560379918588972E-2</v>
      </c>
      <c r="BH24" s="14">
        <f ca="1">IF(BH$1="","",'Total Value'!BH36/'Total Value'!BG36-1)</f>
        <v>-5.507868383404857E-2</v>
      </c>
      <c r="BI24" s="14">
        <f ca="1">IF(BI$1="","",'Total Value'!BI36/'Total Value'!BH36-1)</f>
        <v>2.1196063588190706E-2</v>
      </c>
      <c r="BJ24" s="14">
        <f ca="1">IF(BJ$1="","",'Total Value'!BJ36/'Total Value'!BI36-1)</f>
        <v>5.4114158636026755E-2</v>
      </c>
      <c r="BK24" s="14">
        <f ca="1">IF(BK$1="","",'Total Value'!BK36/'Total Value'!BJ36-1)</f>
        <v>-3.0942334739803345E-2</v>
      </c>
      <c r="BL24" s="14">
        <f ca="1">IF(BL$1="","",'Total Value'!BL36/'Total Value'!BK36-1)</f>
        <v>-6.748911465892582E-2</v>
      </c>
      <c r="BM24" s="14">
        <f ca="1">IF(BM$1="","",'Total Value'!BM36/'Total Value'!BL36-1)</f>
        <v>-1.634241245136181E-2</v>
      </c>
      <c r="BN24" s="14">
        <f ca="1">IF(BN$1="","",'Total Value'!BN36/'Total Value'!BM36-1)</f>
        <v>-4.6677215189873555E-2</v>
      </c>
      <c r="BO24" s="14">
        <f ca="1">IF(BO$1="","",'Total Value'!BO36/'Total Value'!BN36-1)</f>
        <v>-4.1493775933609811E-3</v>
      </c>
      <c r="BP24" s="14">
        <f ca="1">IF(BP$1="","",'Total Value'!BP36/'Total Value'!BO36-1)</f>
        <v>-1.3333333333333419E-2</v>
      </c>
      <c r="BQ24" s="14">
        <f ca="1">IF(BQ$1="","",'Total Value'!BQ36/'Total Value'!BP36-1)</f>
        <v>-1.0979729729729604E-2</v>
      </c>
      <c r="BR24" s="14">
        <f ca="1">IF(BR$1="","",'Total Value'!BR36/'Total Value'!BQ36-1)</f>
        <v>-4.3552519214346774E-2</v>
      </c>
      <c r="BS24" s="14">
        <f ca="1">IF(BS$1="","",'Total Value'!BS36/'Total Value'!BR36-1)</f>
        <v>-1.4285714285714346E-2</v>
      </c>
      <c r="BT24" s="14">
        <f ca="1">IF(BT$1="","",'Total Value'!BT36/'Total Value'!BS36-1)</f>
        <v>5.7971014492753659E-2</v>
      </c>
      <c r="BU24" s="14">
        <f ca="1">IF(BU$1="","",'Total Value'!BU36/'Total Value'!BT36-1)</f>
        <v>5.821917808219168E-2</v>
      </c>
      <c r="BV24" s="14">
        <f ca="1">IF(BV$1="","",'Total Value'!BV36/'Total Value'!BU36-1)</f>
        <v>-6.3106796116504715E-2</v>
      </c>
      <c r="BW24" s="14">
        <f ca="1">IF(BW$1="","",'Total Value'!BW36/'Total Value'!BV36-1)</f>
        <v>-5.3540587219343627E-2</v>
      </c>
      <c r="BX24" s="14">
        <f ca="1">IF(BX$1="","",'Total Value'!BX36/'Total Value'!BW36-1)</f>
        <v>1.9160583941605802E-2</v>
      </c>
      <c r="BY24" s="14">
        <f ca="1">IF(BY$1="","",'Total Value'!BY36/'Total Value'!BX36-1)</f>
        <v>-7.5201432408236291E-2</v>
      </c>
      <c r="BZ24" s="14">
        <f ca="1">IF(BZ$1="","",'Total Value'!BZ36/'Total Value'!BY36-1)</f>
        <v>-4.5498547918683574E-2</v>
      </c>
      <c r="CA24" s="14">
        <f ca="1">IF(CA$1="","",'Total Value'!CA36/'Total Value'!BZ36-1)</f>
        <v>3.9553752535496978E-2</v>
      </c>
      <c r="CB24" s="14">
        <f ca="1">IF(CB$1="","",'Total Value'!CB36/'Total Value'!CA36-1)</f>
        <v>-5.8536585365853711E-2</v>
      </c>
      <c r="CC24" s="14">
        <f ca="1">IF(CC$1="","",'Total Value'!CC36/'Total Value'!CB36-1)</f>
        <v>6.2176165803108807E-2</v>
      </c>
      <c r="CD24" s="14">
        <f ca="1">IF(CD$1="","",'Total Value'!CD36/'Total Value'!CC36-1)</f>
        <v>-1.3658536585365977E-2</v>
      </c>
      <c r="CE24" s="14">
        <f ca="1">IF(CE$1="","",'Total Value'!CE36/'Total Value'!CD36-1)</f>
        <v>5.0445103857566842E-2</v>
      </c>
      <c r="CF24" s="14" t="str">
        <f ca="1">IF(CF$1="","",'Total Value'!CF36/'Total Value'!CE36-1)</f>
        <v/>
      </c>
      <c r="CG24" s="14" t="str">
        <f ca="1">IF(CG$1="","",'Total Value'!CG36/'Total Value'!CF36-1)</f>
        <v/>
      </c>
      <c r="CH24" s="14" t="str">
        <f ca="1">IF(CH$1="","",'Total Value'!CH36/'Total Value'!CG36-1)</f>
        <v/>
      </c>
      <c r="CI24" s="14" t="str">
        <f ca="1">IF(CI$1="","",'Total Value'!CI36/'Total Value'!CH36-1)</f>
        <v/>
      </c>
      <c r="CJ24" s="14" t="str">
        <f ca="1">IF(CJ$1="","",'Total Value'!CJ36/'Total Value'!CI36-1)</f>
        <v/>
      </c>
      <c r="CK24" s="14" t="str">
        <f ca="1">IF(CK$1="","",'Total Value'!CK36/'Total Value'!CJ36-1)</f>
        <v/>
      </c>
      <c r="CL24" s="14" t="str">
        <f ca="1">IF(CL$1="","",'Total Value'!CL36/'Total Value'!CK36-1)</f>
        <v/>
      </c>
      <c r="CM24" s="14" t="str">
        <f ca="1">IF(CM$1="","",'Total Value'!CM36/'Total Value'!CL36-1)</f>
        <v/>
      </c>
      <c r="CN24" s="14" t="str">
        <f ca="1">IF(CN$1="","",'Total Value'!CN36/'Total Value'!CM36-1)</f>
        <v/>
      </c>
      <c r="CO24" s="14" t="str">
        <f ca="1">IF(CO$1="","",'Total Value'!CO36/'Total Value'!CN36-1)</f>
        <v/>
      </c>
      <c r="CP24" s="14" t="str">
        <f ca="1">IF(CP$1="","",'Total Value'!CP36/'Total Value'!CO36-1)</f>
        <v/>
      </c>
      <c r="CQ24" s="14" t="str">
        <f ca="1">IF(CQ$1="","",'Total Value'!CQ36/'Total Value'!CP36-1)</f>
        <v/>
      </c>
      <c r="CR24" s="14" t="str">
        <f ca="1">IF(CR$1="","",'Total Value'!CR36/'Total Value'!CQ36-1)</f>
        <v/>
      </c>
      <c r="CS24" s="14" t="str">
        <f ca="1">IF(CS$1="","",'Total Value'!CS36/'Total Value'!CR36-1)</f>
        <v/>
      </c>
      <c r="CT24" s="14" t="str">
        <f ca="1">IF(CT$1="","",'Total Value'!CT36/'Total Value'!CS36-1)</f>
        <v/>
      </c>
      <c r="CU24" s="14" t="str">
        <f ca="1">IF(CU$1="","",'Total Value'!CU36/'Total Value'!CT36-1)</f>
        <v/>
      </c>
      <c r="CV24" s="14" t="str">
        <f ca="1">IF(CV$1="","",'Total Value'!CV36/'Total Value'!CU36-1)</f>
        <v/>
      </c>
      <c r="CW24" s="14" t="str">
        <f ca="1">IF(CW$1="","",'Total Value'!CW36/'Total Value'!CV36-1)</f>
        <v/>
      </c>
      <c r="CX24" s="14" t="str">
        <f ca="1">IF(CX$1="","",'Total Value'!CX36/'Total Value'!CW36-1)</f>
        <v/>
      </c>
      <c r="CY24" s="14" t="str">
        <f ca="1">IF(CY$1="","",'Total Value'!CY36/'Total Value'!CX36-1)</f>
        <v/>
      </c>
      <c r="CZ24" s="14" t="str">
        <f ca="1">IF(CZ$1="","",'Total Value'!CZ36/'Total Value'!CY36-1)</f>
        <v/>
      </c>
      <c r="DA24" s="14" t="str">
        <f ca="1">IF(DA$1="","",'Total Value'!DA36/'Total Value'!CZ36-1)</f>
        <v/>
      </c>
      <c r="DB24" s="14" t="str">
        <f ca="1">IF(DB$1="","",'Total Value'!DB36/'Total Value'!DA36-1)</f>
        <v/>
      </c>
      <c r="DC24" s="14" t="str">
        <f ca="1">IF(DC$1="","",'Total Value'!DC36/'Total Value'!DB36-1)</f>
        <v/>
      </c>
      <c r="DD24" s="14" t="str">
        <f ca="1">IF(DD$1="","",'Total Value'!DD36/'Total Value'!DC36-1)</f>
        <v/>
      </c>
      <c r="DE24" s="14" t="str">
        <f ca="1">IF(DE$1="","",'Total Value'!DE36/'Total Value'!DD36-1)</f>
        <v/>
      </c>
      <c r="DF24" s="14" t="str">
        <f ca="1">IF(DF$1="","",'Total Value'!DF36/'Total Value'!DE36-1)</f>
        <v/>
      </c>
      <c r="DG24" s="14" t="str">
        <f ca="1">IF(DG$1="","",'Total Value'!DG36/'Total Value'!DF36-1)</f>
        <v/>
      </c>
      <c r="DH24" s="14" t="str">
        <f ca="1">IF(DH$1="","",'Total Value'!DH36/'Total Value'!DG36-1)</f>
        <v/>
      </c>
      <c r="DI24" s="14" t="str">
        <f ca="1">IF(DI$1="","",'Total Value'!DI36/'Total Value'!DH36-1)</f>
        <v/>
      </c>
      <c r="DJ24" s="14" t="str">
        <f ca="1">IF(DJ$1="","",'Total Value'!DJ36/'Total Value'!DI36-1)</f>
        <v/>
      </c>
      <c r="DK24" s="14" t="str">
        <f ca="1">IF(DK$1="","",'Total Value'!DK36/'Total Value'!DJ36-1)</f>
        <v/>
      </c>
      <c r="DL24" s="14" t="str">
        <f ca="1">IF(DL$1="","",'Total Value'!DL36/'Total Value'!DK36-1)</f>
        <v/>
      </c>
      <c r="DM24" s="14" t="str">
        <f ca="1">IF(DM$1="","",'Total Value'!DM36/'Total Value'!DL36-1)</f>
        <v/>
      </c>
      <c r="DN24" s="14" t="str">
        <f ca="1">IF(DN$1="","",'Total Value'!DN36/'Total Value'!DM36-1)</f>
        <v/>
      </c>
      <c r="DO24" s="14" t="str">
        <f ca="1">IF(DO$1="","",'Total Value'!DO36/'Total Value'!DN36-1)</f>
        <v/>
      </c>
      <c r="DP24" s="14" t="str">
        <f ca="1">IF(DP$1="","",'Total Value'!DP36/'Total Value'!DO36-1)</f>
        <v/>
      </c>
      <c r="DQ24" s="14" t="str">
        <f ca="1">IF(DQ$1="","",'Total Value'!DQ36/'Total Value'!DP36-1)</f>
        <v/>
      </c>
      <c r="DR24" s="14" t="str">
        <f ca="1">IF(DR$1="","",'Total Value'!DR36/'Total Value'!DQ36-1)</f>
        <v/>
      </c>
      <c r="DS24" s="14" t="str">
        <f ca="1">IF(DS$1="","",'Total Value'!DS36/'Total Value'!DR36-1)</f>
        <v/>
      </c>
      <c r="DT24" s="14" t="str">
        <f ca="1">IF(DT$1="","",'Total Value'!DT36/'Total Value'!DS36-1)</f>
        <v/>
      </c>
      <c r="DU24" s="14" t="str">
        <f ca="1">IF(DU$1="","",'Total Value'!DU36/'Total Value'!DT36-1)</f>
        <v/>
      </c>
      <c r="DV24" s="14" t="str">
        <f ca="1">IF(DV$1="","",'Total Value'!DV36/'Total Value'!DU36-1)</f>
        <v/>
      </c>
      <c r="DW24" s="14" t="str">
        <f ca="1">IF(DW$1="","",'Total Value'!DW36/'Total Value'!DV36-1)</f>
        <v/>
      </c>
      <c r="DX24" s="14" t="str">
        <f ca="1">IF(DX$1="","",'Total Value'!DX36/'Total Value'!DW36-1)</f>
        <v/>
      </c>
      <c r="DY24" s="14" t="str">
        <f ca="1">IF(DY$1="","",'Total Value'!DY36/'Total Value'!DX36-1)</f>
        <v/>
      </c>
      <c r="DZ24" s="14" t="str">
        <f ca="1">IF(DZ$1="","",'Total Value'!DZ36/'Total Value'!DY36-1)</f>
        <v/>
      </c>
      <c r="EA24" s="14" t="str">
        <f ca="1">IF(EA$1="","",'Total Value'!EA36/'Total Value'!DZ36-1)</f>
        <v/>
      </c>
      <c r="EB24" s="14" t="str">
        <f ca="1">IF(EB$1="","",'Total Value'!EB36/'Total Value'!EA36-1)</f>
        <v/>
      </c>
      <c r="EC24" s="14" t="str">
        <f ca="1">IF(EC$1="","",'Total Value'!EC36/'Total Value'!EB36-1)</f>
        <v/>
      </c>
      <c r="ED24" s="14" t="str">
        <f ca="1">IF(ED$1="","",'Total Value'!ED36/'Total Value'!EC36-1)</f>
        <v/>
      </c>
      <c r="EE24" s="14" t="str">
        <f ca="1">IF(EE$1="","",'Total Value'!EE36/'Total Value'!ED36-1)</f>
        <v/>
      </c>
      <c r="EF24" s="14" t="str">
        <f ca="1">IF(EF$1="","",'Total Value'!EF36/'Total Value'!EE36-1)</f>
        <v/>
      </c>
      <c r="EG24" s="14" t="str">
        <f ca="1">IF(EG$1="","",'Total Value'!EG36/'Total Value'!EF36-1)</f>
        <v/>
      </c>
      <c r="EH24" s="14" t="str">
        <f ca="1">IF(EH$1="","",'Total Value'!EH36/'Total Value'!EG36-1)</f>
        <v/>
      </c>
      <c r="EI24" s="14" t="str">
        <f ca="1">IF(EI$1="","",'Total Value'!EI36/'Total Value'!EH36-1)</f>
        <v/>
      </c>
      <c r="EJ24" s="14" t="str">
        <f ca="1">IF(EJ$1="","",'Total Value'!EJ36/'Total Value'!EI36-1)</f>
        <v/>
      </c>
      <c r="EK24" s="14" t="str">
        <f ca="1">IF(EK$1="","",'Total Value'!EK36/'Total Value'!EJ36-1)</f>
        <v/>
      </c>
      <c r="EL24" s="14" t="str">
        <f ca="1">IF(EL$1="","",'Total Value'!EL36/'Total Value'!EK36-1)</f>
        <v/>
      </c>
      <c r="EM24" s="14" t="str">
        <f ca="1">IF(EM$1="","",'Total Value'!EM36/'Total Value'!EL36-1)</f>
        <v/>
      </c>
      <c r="EN24" s="14" t="str">
        <f ca="1">IF(EN$1="","",'Total Value'!EN36/'Total Value'!EM36-1)</f>
        <v/>
      </c>
      <c r="EO24" s="14" t="str">
        <f ca="1">IF(EO$1="","",'Total Value'!EO36/'Total Value'!EN36-1)</f>
        <v/>
      </c>
      <c r="EP24" s="14" t="str">
        <f ca="1">IF(EP$1="","",'Total Value'!EP36/'Total Value'!EO36-1)</f>
        <v/>
      </c>
      <c r="EQ24" s="14" t="str">
        <f ca="1">IF(EQ$1="","",'Total Value'!EQ36/'Total Value'!EP36-1)</f>
        <v/>
      </c>
      <c r="ER24" s="14" t="str">
        <f ca="1">IF(ER$1="","",'Total Value'!ER36/'Total Value'!EQ36-1)</f>
        <v/>
      </c>
      <c r="ES24" s="14" t="str">
        <f ca="1">IF(ES$1="","",'Total Value'!ES36/'Total Value'!ER36-1)</f>
        <v/>
      </c>
      <c r="ET24" s="14" t="str">
        <f ca="1">IF(ET$1="","",'Total Value'!ET36/'Total Value'!ES36-1)</f>
        <v/>
      </c>
      <c r="EU24" s="14" t="str">
        <f ca="1">IF(EU$1="","",'Total Value'!EU36/'Total Value'!ET36-1)</f>
        <v/>
      </c>
      <c r="EV24" s="14" t="str">
        <f ca="1">IF(EV$1="","",'Total Value'!EV36/'Total Value'!EU36-1)</f>
        <v/>
      </c>
      <c r="EW24" s="14" t="str">
        <f ca="1">IF(EW$1="","",'Total Value'!EW36/'Total Value'!EV36-1)</f>
        <v/>
      </c>
      <c r="EX24" s="14" t="str">
        <f ca="1">IF(EX$1="","",'Total Value'!EX36/'Total Value'!EW36-1)</f>
        <v/>
      </c>
      <c r="EY24" s="14" t="str">
        <f ca="1">IF(EY$1="","",'Total Value'!EY36/'Total Value'!EX36-1)</f>
        <v/>
      </c>
      <c r="EZ24" s="14" t="str">
        <f ca="1">IF(EZ$1="","",'Total Value'!EZ36/'Total Value'!EY36-1)</f>
        <v/>
      </c>
      <c r="FA24" s="14" t="str">
        <f ca="1">IF(FA$1="","",'Total Value'!FA36/'Total Value'!EZ36-1)</f>
        <v/>
      </c>
      <c r="FB24" s="14" t="str">
        <f ca="1">IF(FB$1="","",'Total Value'!FB36/'Total Value'!FA36-1)</f>
        <v/>
      </c>
      <c r="FC24" s="14" t="str">
        <f ca="1">IF(FC$1="","",'Total Value'!FC36/'Total Value'!FB36-1)</f>
        <v/>
      </c>
      <c r="FD24" s="14" t="str">
        <f ca="1">IF(FD$1="","",'Total Value'!FD36/'Total Value'!FC36-1)</f>
        <v/>
      </c>
      <c r="FE24" s="14" t="str">
        <f ca="1">IF(FE$1="","",'Total Value'!FE36/'Total Value'!FD36-1)</f>
        <v/>
      </c>
      <c r="FF24" s="14" t="str">
        <f ca="1">IF(FF$1="","",'Total Value'!FF36/'Total Value'!FE36-1)</f>
        <v/>
      </c>
      <c r="FG24" s="14" t="str">
        <f ca="1">IF(FG$1="","",'Total Value'!FG36/'Total Value'!FF36-1)</f>
        <v/>
      </c>
      <c r="FH24" s="14" t="str">
        <f ca="1">IF(FH$1="","",'Total Value'!FH36/'Total Value'!FG36-1)</f>
        <v/>
      </c>
      <c r="FI24" s="14" t="str">
        <f ca="1">IF(FI$1="","",'Total Value'!FI36/'Total Value'!FH36-1)</f>
        <v/>
      </c>
      <c r="FJ24" s="14" t="str">
        <f ca="1">IF(FJ$1="","",'Total Value'!FJ36/'Total Value'!FI36-1)</f>
        <v/>
      </c>
      <c r="FK24" s="14" t="str">
        <f ca="1">IF(FK$1="","",'Total Value'!FK36/'Total Value'!FJ36-1)</f>
        <v/>
      </c>
      <c r="FL24" s="14" t="str">
        <f ca="1">IF(FL$1="","",'Total Value'!FL36/'Total Value'!FK36-1)</f>
        <v/>
      </c>
      <c r="FM24" s="14" t="str">
        <f ca="1">IF(FM$1="","",'Total Value'!FM36/'Total Value'!FL36-1)</f>
        <v/>
      </c>
      <c r="FN24" s="14" t="str">
        <f ca="1">IF(FN$1="","",'Total Value'!FN36/'Total Value'!FM36-1)</f>
        <v/>
      </c>
      <c r="FO24" s="14" t="str">
        <f ca="1">IF(FO$1="","",'Total Value'!FO36/'Total Value'!FN36-1)</f>
        <v/>
      </c>
      <c r="FP24" s="14" t="str">
        <f ca="1">IF(FP$1="","",'Total Value'!FP36/'Total Value'!FO36-1)</f>
        <v/>
      </c>
      <c r="FQ24" s="14" t="str">
        <f ca="1">IF(FQ$1="","",'Total Value'!FQ36/'Total Value'!FP36-1)</f>
        <v/>
      </c>
      <c r="FR24" s="14" t="str">
        <f ca="1">IF(FR$1="","",'Total Value'!FR36/'Total Value'!FQ36-1)</f>
        <v/>
      </c>
      <c r="FS24" s="14" t="str">
        <f ca="1">IF(FS$1="","",'Total Value'!FS36/'Total Value'!FR36-1)</f>
        <v/>
      </c>
      <c r="FT24" s="14" t="str">
        <f ca="1">IF(FT$1="","",'Total Value'!FT36/'Total Value'!FS36-1)</f>
        <v/>
      </c>
      <c r="FU24" s="14" t="str">
        <f ca="1">IF(FU$1="","",'Total Value'!FU36/'Total Value'!FT36-1)</f>
        <v/>
      </c>
      <c r="FV24" s="14" t="str">
        <f ca="1">IF(FV$1="","",'Total Value'!FV36/'Total Value'!FU36-1)</f>
        <v/>
      </c>
      <c r="FW24" s="14" t="str">
        <f ca="1">IF(FW$1="","",'Total Value'!FW36/'Total Value'!FV36-1)</f>
        <v/>
      </c>
      <c r="FX24" s="14" t="str">
        <f ca="1">IF(FX$1="","",'Total Value'!FX36/'Total Value'!FW36-1)</f>
        <v/>
      </c>
      <c r="FY24" s="14" t="str">
        <f ca="1">IF(FY$1="","",'Total Value'!FY36/'Total Value'!FX36-1)</f>
        <v/>
      </c>
      <c r="FZ24" s="14" t="str">
        <f ca="1">IF(FZ$1="","",'Total Value'!FZ36/'Total Value'!FY36-1)</f>
        <v/>
      </c>
      <c r="GA24" s="14" t="str">
        <f ca="1">IF(GA$1="","",'Total Value'!GA36/'Total Value'!FZ36-1)</f>
        <v/>
      </c>
      <c r="GB24" s="14" t="str">
        <f ca="1">IF(GB$1="","",'Total Value'!GB36/'Total Value'!GA36-1)</f>
        <v/>
      </c>
      <c r="GC24" s="14" t="str">
        <f ca="1">IF(GC$1="","",'Total Value'!GC36/'Total Value'!GB36-1)</f>
        <v/>
      </c>
      <c r="GD24" s="14" t="str">
        <f ca="1">IF(GD$1="","",'Total Value'!GD36/'Total Value'!GC36-1)</f>
        <v/>
      </c>
      <c r="GE24" s="14" t="str">
        <f ca="1">IF(GE$1="","",'Total Value'!GE36/'Total Value'!GD36-1)</f>
        <v/>
      </c>
      <c r="GF24" s="14" t="str">
        <f ca="1">IF(GF$1="","",'Total Value'!GF36/'Total Value'!GE36-1)</f>
        <v/>
      </c>
      <c r="GG24" s="14" t="str">
        <f ca="1">IF(GG$1="","",'Total Value'!GG36/'Total Value'!GF36-1)</f>
        <v/>
      </c>
      <c r="GH24" s="14" t="str">
        <f ca="1">IF(GH$1="","",'Total Value'!GH36/'Total Value'!GG36-1)</f>
        <v/>
      </c>
      <c r="GI24" s="14" t="str">
        <f ca="1">IF(GI$1="","",'Total Value'!GI36/'Total Value'!GH36-1)</f>
        <v/>
      </c>
      <c r="GJ24" s="14" t="str">
        <f ca="1">IF(GJ$1="","",'Total Value'!GJ36/'Total Value'!GI36-1)</f>
        <v/>
      </c>
      <c r="GK24" s="14" t="str">
        <f ca="1">IF(GK$1="","",'Total Value'!GK36/'Total Value'!GJ36-1)</f>
        <v/>
      </c>
      <c r="GL24" s="14" t="str">
        <f ca="1">IF(GL$1="","",'Total Value'!GL36/'Total Value'!GK36-1)</f>
        <v/>
      </c>
      <c r="GM24" s="14" t="str">
        <f ca="1">IF(GM$1="","",'Total Value'!GM36/'Total Value'!GL36-1)</f>
        <v/>
      </c>
      <c r="GN24" s="14" t="str">
        <f ca="1">IF(GN$1="","",'Total Value'!GN36/'Total Value'!GM36-1)</f>
        <v/>
      </c>
      <c r="GO24" s="14" t="str">
        <f ca="1">IF(GO$1="","",'Total Value'!GO36/'Total Value'!GN36-1)</f>
        <v/>
      </c>
      <c r="GP24" s="14" t="str">
        <f ca="1">IF(GP$1="","",'Total Value'!GP36/'Total Value'!GO36-1)</f>
        <v/>
      </c>
      <c r="GQ24" s="14" t="str">
        <f ca="1">IF(GQ$1="","",'Total Value'!GQ36/'Total Value'!GP36-1)</f>
        <v/>
      </c>
      <c r="GR24" s="14" t="str">
        <f ca="1">IF(GR$1="","",'Total Value'!GR36/'Total Value'!GQ36-1)</f>
        <v/>
      </c>
      <c r="GS24" s="14" t="str">
        <f ca="1">IF(GS$1="","",'Total Value'!GS36/'Total Value'!GR36-1)</f>
        <v/>
      </c>
      <c r="GT24" s="14" t="str">
        <f ca="1">IF(GT$1="","",'Total Value'!GT36/'Total Value'!GS36-1)</f>
        <v/>
      </c>
      <c r="GU24" s="14" t="str">
        <f ca="1">IF(GU$1="","",'Total Value'!GU36/'Total Value'!GT36-1)</f>
        <v/>
      </c>
      <c r="GV24" s="14" t="str">
        <f ca="1">IF(GV$1="","",'Total Value'!GV36/'Total Value'!GU36-1)</f>
        <v/>
      </c>
      <c r="GW24" s="14" t="str">
        <f ca="1">IF(GW$1="","",'Total Value'!GW36/'Total Value'!GV36-1)</f>
        <v/>
      </c>
      <c r="GX24" s="14" t="str">
        <f ca="1">IF(GX$1="","",'Total Value'!GX36/'Total Value'!GW36-1)</f>
        <v/>
      </c>
      <c r="GY24" s="14" t="str">
        <f ca="1">IF(GY$1="","",'Total Value'!GY36/'Total Value'!GX36-1)</f>
        <v/>
      </c>
      <c r="GZ24" s="14" t="str">
        <f ca="1">IF(GZ$1="","",'Total Value'!GZ36/'Total Value'!GY36-1)</f>
        <v/>
      </c>
      <c r="HA24" s="14" t="str">
        <f ca="1">IF(HA$1="","",'Total Value'!HA36/'Total Value'!GZ36-1)</f>
        <v/>
      </c>
      <c r="HB24" s="14" t="str">
        <f ca="1">IF(HB$1="","",'Total Value'!HB36/'Total Value'!HA36-1)</f>
        <v/>
      </c>
      <c r="HC24" s="14" t="str">
        <f ca="1">IF(HC$1="","",'Total Value'!HC36/'Total Value'!HB36-1)</f>
        <v/>
      </c>
      <c r="HD24" s="14" t="str">
        <f ca="1">IF(HD$1="","",'Total Value'!HD36/'Total Value'!HC36-1)</f>
        <v/>
      </c>
      <c r="HE24" s="14" t="str">
        <f ca="1">IF(HE$1="","",'Total Value'!HE36/'Total Value'!HD36-1)</f>
        <v/>
      </c>
      <c r="HF24" s="14" t="str">
        <f ca="1">IF(HF$1="","",'Total Value'!HF36/'Total Value'!HE36-1)</f>
        <v/>
      </c>
      <c r="HG24" s="14" t="str">
        <f ca="1">IF(HG$1="","",'Total Value'!HG36/'Total Value'!HF36-1)</f>
        <v/>
      </c>
      <c r="HH24" s="14" t="str">
        <f ca="1">IF(HH$1="","",'Total Value'!HH36/'Total Value'!HG36-1)</f>
        <v/>
      </c>
      <c r="HI24" s="14" t="str">
        <f ca="1">IF(HI$1="","",'Total Value'!HI36/'Total Value'!HH36-1)</f>
        <v/>
      </c>
      <c r="HJ24" s="14" t="str">
        <f ca="1">IF(HJ$1="","",'Total Value'!HJ36/'Total Value'!HI36-1)</f>
        <v/>
      </c>
      <c r="HK24" s="14" t="str">
        <f ca="1">IF(HK$1="","",'Total Value'!HK36/'Total Value'!HJ36-1)</f>
        <v/>
      </c>
      <c r="HL24" s="14" t="str">
        <f ca="1">IF(HL$1="","",'Total Value'!HL36/'Total Value'!HK36-1)</f>
        <v/>
      </c>
      <c r="HM24" s="14" t="str">
        <f ca="1">IF(HM$1="","",'Total Value'!HM36/'Total Value'!HL36-1)</f>
        <v/>
      </c>
      <c r="HN24" s="14" t="str">
        <f ca="1">IF(HN$1="","",'Total Value'!HN36/'Total Value'!HM36-1)</f>
        <v/>
      </c>
      <c r="HO24" s="14" t="str">
        <f ca="1">IF(HO$1="","",'Total Value'!HO36/'Total Value'!HN36-1)</f>
        <v/>
      </c>
      <c r="HP24" s="14" t="str">
        <f ca="1">IF(HP$1="","",'Total Value'!HP36/'Total Value'!HO36-1)</f>
        <v/>
      </c>
      <c r="HQ24" s="14" t="str">
        <f ca="1">IF(HQ$1="","",'Total Value'!HQ36/'Total Value'!HP36-1)</f>
        <v/>
      </c>
      <c r="HR24" s="14" t="str">
        <f ca="1">IF(HR$1="","",'Total Value'!HR36/'Total Value'!HQ36-1)</f>
        <v/>
      </c>
      <c r="HS24" s="14" t="str">
        <f ca="1">IF(HS$1="","",'Total Value'!HS36/'Total Value'!HR36-1)</f>
        <v/>
      </c>
      <c r="HT24" s="14" t="str">
        <f ca="1">IF(HT$1="","",'Total Value'!HT36/'Total Value'!HS36-1)</f>
        <v/>
      </c>
      <c r="HU24" s="14" t="str">
        <f ca="1">IF(HU$1="","",'Total Value'!HU36/'Total Value'!HT36-1)</f>
        <v/>
      </c>
      <c r="HV24" s="14" t="str">
        <f ca="1">IF(HV$1="","",'Total Value'!HV36/'Total Value'!HU36-1)</f>
        <v/>
      </c>
      <c r="HW24" s="14" t="str">
        <f ca="1">IF(HW$1="","",'Total Value'!HW36/'Total Value'!HV36-1)</f>
        <v/>
      </c>
      <c r="HX24" s="14" t="str">
        <f ca="1">IF(HX$1="","",'Total Value'!HX36/'Total Value'!HW36-1)</f>
        <v/>
      </c>
      <c r="HY24" s="14" t="str">
        <f ca="1">IF(HY$1="","",'Total Value'!HY36/'Total Value'!HX36-1)</f>
        <v/>
      </c>
      <c r="HZ24" s="14" t="str">
        <f ca="1">IF(HZ$1="","",'Total Value'!HZ36/'Total Value'!HY36-1)</f>
        <v/>
      </c>
      <c r="IA24" s="14" t="str">
        <f ca="1">IF(IA$1="","",'Total Value'!IA36/'Total Value'!HZ36-1)</f>
        <v/>
      </c>
      <c r="IB24" s="14" t="str">
        <f ca="1">IF(IB$1="","",'Total Value'!IB36/'Total Value'!IA36-1)</f>
        <v/>
      </c>
      <c r="IC24" s="14" t="str">
        <f ca="1">IF(IC$1="","",'Total Value'!IC36/'Total Value'!IB36-1)</f>
        <v/>
      </c>
      <c r="ID24" s="14" t="str">
        <f ca="1">IF(ID$1="","",'Total Value'!ID36/'Total Value'!IC36-1)</f>
        <v/>
      </c>
      <c r="IE24" s="14" t="str">
        <f ca="1">IF(IE$1="","",'Total Value'!IE36/'Total Value'!ID36-1)</f>
        <v/>
      </c>
      <c r="IF24" s="14" t="str">
        <f ca="1">IF(IF$1="","",'Total Value'!IF36/'Total Value'!IE36-1)</f>
        <v/>
      </c>
      <c r="IG24" s="14" t="str">
        <f ca="1">IF(IG$1="","",'Total Value'!IG36/'Total Value'!IF36-1)</f>
        <v/>
      </c>
      <c r="IH24" s="14" t="str">
        <f ca="1">IF(IH$1="","",'Total Value'!IH36/'Total Value'!IG36-1)</f>
        <v/>
      </c>
      <c r="II24" s="14" t="str">
        <f ca="1">IF(II$1="","",'Total Value'!II36/'Total Value'!IH36-1)</f>
        <v/>
      </c>
      <c r="IJ24" s="14" t="str">
        <f ca="1">IF(IJ$1="","",'Total Value'!IJ36/'Total Value'!II36-1)</f>
        <v/>
      </c>
      <c r="IK24" s="14" t="str">
        <f ca="1">IF(IK$1="","",'Total Value'!IK36/'Total Value'!IJ36-1)</f>
        <v/>
      </c>
      <c r="IL24" s="14" t="str">
        <f ca="1">IF(IL$1="","",'Total Value'!IL36/'Total Value'!IK36-1)</f>
        <v/>
      </c>
      <c r="IM24" s="14" t="str">
        <f ca="1">IF(IM$1="","",'Total Value'!IM36/'Total Value'!IL36-1)</f>
        <v/>
      </c>
      <c r="IN24" s="14" t="str">
        <f ca="1">IF(IN$1="","",'Total Value'!IN36/'Total Value'!IM36-1)</f>
        <v/>
      </c>
      <c r="IO24" s="14" t="str">
        <f ca="1">IF(IO$1="","",'Total Value'!IO36/'Total Value'!IN36-1)</f>
        <v/>
      </c>
      <c r="IP24" s="14" t="str">
        <f ca="1">IF(IP$1="","",'Total Value'!IP36/'Total Value'!IO36-1)</f>
        <v/>
      </c>
      <c r="IQ24" s="14" t="str">
        <f ca="1">IF(IQ$1="","",'Total Value'!IQ36/'Total Value'!IP36-1)</f>
        <v/>
      </c>
      <c r="IR24" s="14" t="str">
        <f ca="1">IF(IR$1="","",'Total Value'!IR36/'Total Value'!IQ36-1)</f>
        <v/>
      </c>
      <c r="IS24" s="14" t="str">
        <f ca="1">IF(IS$1="","",'Total Value'!IS36/'Total Value'!IR36-1)</f>
        <v/>
      </c>
      <c r="IT24" s="14" t="str">
        <f ca="1">IF(IT$1="","",'Total Value'!IT36/'Total Value'!IS36-1)</f>
        <v/>
      </c>
      <c r="IU24" s="14" t="str">
        <f ca="1">IF(IU$1="","",'Total Value'!IU36/'Total Value'!IT36-1)</f>
        <v/>
      </c>
      <c r="IV24" s="14" t="str">
        <f ca="1">IF(IV$1="","",'Total Value'!IV36/'Total Value'!IU36-1)</f>
        <v/>
      </c>
      <c r="IW24" s="14" t="str">
        <f ca="1">IF(IW$1="","",'Total Value'!IW36/'Total Value'!IV36-1)</f>
        <v/>
      </c>
      <c r="IX24" s="14" t="str">
        <f ca="1">IF(IX$1="","",'Total Value'!IX36/'Total Value'!IW36-1)</f>
        <v/>
      </c>
      <c r="IY24" s="14" t="str">
        <f ca="1">IF(IY$1="","",'Total Value'!IY36/'Total Value'!IX36-1)</f>
        <v/>
      </c>
      <c r="IZ24" s="14" t="str">
        <f ca="1">IF(IZ$1="","",'Total Value'!IZ36/'Total Value'!IY36-1)</f>
        <v/>
      </c>
      <c r="JA24" s="14" t="str">
        <f ca="1">IF(JA$1="","",'Total Value'!JA36/'Total Value'!IZ36-1)</f>
        <v/>
      </c>
      <c r="JB24" s="14" t="str">
        <f ca="1">IF(JB$1="","",'Total Value'!JB36/'Total Value'!JA36-1)</f>
        <v/>
      </c>
      <c r="JC24" s="14" t="str">
        <f ca="1">IF(JC$1="","",'Total Value'!JC36/'Total Value'!JB36-1)</f>
        <v/>
      </c>
      <c r="JD24" s="14" t="str">
        <f ca="1">IF(JD$1="","",'Total Value'!JD36/'Total Value'!JC36-1)</f>
        <v/>
      </c>
      <c r="JE24" s="14" t="str">
        <f ca="1">IF(JE$1="","",'Total Value'!JE36/'Total Value'!JD36-1)</f>
        <v/>
      </c>
      <c r="JF24" s="14" t="str">
        <f ca="1">IF(JF$1="","",'Total Value'!JF36/'Total Value'!JE36-1)</f>
        <v/>
      </c>
      <c r="JG24" s="14" t="str">
        <f ca="1">IF(JG$1="","",'Total Value'!JG36/'Total Value'!JF36-1)</f>
        <v/>
      </c>
      <c r="JH24" s="14" t="str">
        <f ca="1">IF(JH$1="","",'Total Value'!JH36/'Total Value'!JG36-1)</f>
        <v/>
      </c>
      <c r="JI24" s="14" t="str">
        <f ca="1">IF(JI$1="","",'Total Value'!JI36/'Total Value'!JH36-1)</f>
        <v/>
      </c>
      <c r="JJ24" s="14" t="str">
        <f ca="1">IF(JJ$1="","",'Total Value'!JJ36/'Total Value'!JI36-1)</f>
        <v/>
      </c>
      <c r="JK24" s="14" t="str">
        <f ca="1">IF(JK$1="","",'Total Value'!JK36/'Total Value'!JJ36-1)</f>
        <v/>
      </c>
      <c r="JL24" s="14" t="str">
        <f ca="1">IF(JL$1="","",'Total Value'!JL36/'Total Value'!JK36-1)</f>
        <v/>
      </c>
      <c r="JM24" s="14" t="str">
        <f ca="1">IF(JM$1="","",'Total Value'!JM36/'Total Value'!JL36-1)</f>
        <v/>
      </c>
      <c r="JN24" s="14" t="str">
        <f ca="1">IF(JN$1="","",'Total Value'!JN36/'Total Value'!JM36-1)</f>
        <v/>
      </c>
      <c r="JO24" s="14" t="str">
        <f ca="1">IF(JO$1="","",'Total Value'!JO36/'Total Value'!JN36-1)</f>
        <v/>
      </c>
      <c r="JP24" s="14" t="str">
        <f ca="1">IF(JP$1="","",'Total Value'!JP36/'Total Value'!JO36-1)</f>
        <v/>
      </c>
      <c r="JQ24" s="14" t="str">
        <f ca="1">IF(JQ$1="","",'Total Value'!JQ36/'Total Value'!JP36-1)</f>
        <v/>
      </c>
      <c r="JR24" s="14" t="str">
        <f ca="1">IF(JR$1="","",'Total Value'!JR36/'Total Value'!JQ36-1)</f>
        <v/>
      </c>
      <c r="JS24" s="14" t="str">
        <f ca="1">IF(JS$1="","",'Total Value'!JS36/'Total Value'!JR36-1)</f>
        <v/>
      </c>
      <c r="JT24" s="14" t="str">
        <f ca="1">IF(JT$1="","",'Total Value'!JT36/'Total Value'!JS36-1)</f>
        <v/>
      </c>
      <c r="JU24" s="14" t="str">
        <f ca="1">IF(JU$1="","",'Total Value'!JU36/'Total Value'!JT36-1)</f>
        <v/>
      </c>
      <c r="JV24" s="14" t="str">
        <f ca="1">IF(JV$1="","",'Total Value'!JV36/'Total Value'!JU36-1)</f>
        <v/>
      </c>
      <c r="JW24" s="14" t="str">
        <f ca="1">IF(JW$1="","",'Total Value'!JW36/'Total Value'!JV36-1)</f>
        <v/>
      </c>
      <c r="JX24" s="14" t="str">
        <f ca="1">IF(JX$1="","",'Total Value'!JX36/'Total Value'!JW36-1)</f>
        <v/>
      </c>
      <c r="JY24" s="14" t="str">
        <f ca="1">IF(JY$1="","",'Total Value'!JY36/'Total Value'!JX36-1)</f>
        <v/>
      </c>
      <c r="JZ24" s="14" t="str">
        <f ca="1">IF(JZ$1="","",'Total Value'!JZ36/'Total Value'!JY36-1)</f>
        <v/>
      </c>
      <c r="KA24" s="14" t="str">
        <f ca="1">IF(KA$1="","",'Total Value'!KA36/'Total Value'!JZ36-1)</f>
        <v/>
      </c>
      <c r="KB24" s="14" t="str">
        <f ca="1">IF(KB$1="","",'Total Value'!KB36/'Total Value'!KA36-1)</f>
        <v/>
      </c>
    </row>
    <row r="25" spans="1:288" ht="15.75" customHeight="1">
      <c r="A25" s="22" t="s">
        <v>30</v>
      </c>
      <c r="B25" s="6" t="s">
        <v>69</v>
      </c>
      <c r="C25" s="26">
        <v>23</v>
      </c>
      <c r="D25" s="13">
        <v>0</v>
      </c>
      <c r="E25" s="14">
        <f ca="1">IF(E$1="","",'Total Value'!E37/'Total Value'!D37-1)</f>
        <v>3.7270273743734705E-3</v>
      </c>
      <c r="F25" s="14">
        <f ca="1">IF(F$1="","",'Total Value'!F37/'Total Value'!E37-1)</f>
        <v>2.2535211267605604E-2</v>
      </c>
      <c r="G25" s="14">
        <f ca="1">IF(G$1="","",'Total Value'!G37/'Total Value'!F37-1)</f>
        <v>-4.5078888054094213E-3</v>
      </c>
      <c r="H25" s="14">
        <f ca="1">IF(H$1="","",'Total Value'!H37/'Total Value'!G37-1)</f>
        <v>-6.5408805031444972E-3</v>
      </c>
      <c r="I25" s="14">
        <f ca="1">IF(I$1="","",'Total Value'!I37/'Total Value'!H37-1)</f>
        <v>-1.8738921245885165E-2</v>
      </c>
      <c r="J25" s="14">
        <f ca="1">IF(J$1="","",'Total Value'!J37/'Total Value'!I37-1)</f>
        <v>-4.7741935483872622E-3</v>
      </c>
      <c r="K25" s="14">
        <f ca="1">IF(K$1="","",'Total Value'!K37/'Total Value'!J37-1)</f>
        <v>-1.25761701024244E-2</v>
      </c>
      <c r="L25" s="14">
        <f ca="1">IF(L$1="","",'Total Value'!L37/'Total Value'!K37-1)</f>
        <v>-1.5231092436974736E-2</v>
      </c>
      <c r="M25" s="14">
        <f ca="1">IF(M$1="","",'Total Value'!M37/'Total Value'!L37-1)</f>
        <v>1.1466666666666736E-2</v>
      </c>
      <c r="N25" s="14">
        <f ca="1">IF(N$1="","",'Total Value'!N37/'Total Value'!M37-1)</f>
        <v>-3.0319008700237182E-2</v>
      </c>
      <c r="O25" s="14">
        <f ca="1">IF(O$1="","",'Total Value'!O37/'Total Value'!N37-1)</f>
        <v>-1.9847743338771151E-2</v>
      </c>
      <c r="P25" s="14">
        <f ca="1">IF(P$1="","",'Total Value'!P37/'Total Value'!O37-1)</f>
        <v>-1.9972260748959858E-2</v>
      </c>
      <c r="Q25" s="14">
        <f ca="1">IF(Q$1="","",'Total Value'!Q37/'Total Value'!P37-1)</f>
        <v>2.2219077271441012E-2</v>
      </c>
      <c r="R25" s="14">
        <f ca="1">IF(R$1="","",'Total Value'!R37/'Total Value'!Q37-1)</f>
        <v>1.3290876367160198E-2</v>
      </c>
      <c r="S25" s="14">
        <f ca="1">IF(S$1="","",'Total Value'!S37/'Total Value'!R37-1)</f>
        <v>1.2296761852712335E-2</v>
      </c>
      <c r="T25" s="14">
        <f ca="1">IF(T$1="","",'Total Value'!T37/'Total Value'!S37-1)</f>
        <v>9.4479686867310342E-4</v>
      </c>
      <c r="U25" s="14">
        <f ca="1">IF(U$1="","",'Total Value'!U37/'Total Value'!T37-1)</f>
        <v>-2.2923408845738846E-2</v>
      </c>
      <c r="V25" s="14">
        <f ca="1">IF(V$1="","",'Total Value'!V37/'Total Value'!U37-1)</f>
        <v>-9.798509522495169E-3</v>
      </c>
      <c r="W25" s="14">
        <f ca="1">IF(W$1="","",'Total Value'!W37/'Total Value'!V37-1)</f>
        <v>-1.1289198606271866E-2</v>
      </c>
      <c r="X25" s="14">
        <f ca="1">IF(X$1="","",'Total Value'!X37/'Total Value'!W37-1)</f>
        <v>2.227234282492252E-2</v>
      </c>
      <c r="Y25" s="14">
        <f ca="1">IF(Y$1="","",'Total Value'!Y37/'Total Value'!X37-1)</f>
        <v>3.7093215664644408E-2</v>
      </c>
      <c r="Z25" s="14">
        <f ca="1">IF(Z$1="","",'Total Value'!Z37/'Total Value'!Y37-1)</f>
        <v>-1.6753091344235971E-2</v>
      </c>
      <c r="AA25" s="14">
        <f ca="1">IF(AA$1="","",'Total Value'!AA37/'Total Value'!Z37-1)</f>
        <v>-4.8681541582149546E-3</v>
      </c>
      <c r="AB25" s="14">
        <f ca="1">IF(AB$1="","",'Total Value'!AB37/'Total Value'!AA37-1)</f>
        <v>1.8888435928794634E-2</v>
      </c>
      <c r="AC25" s="14">
        <f ca="1">IF(AC$1="","",'Total Value'!AC37/'Total Value'!AB37-1)</f>
        <v>2.0938917044545091E-2</v>
      </c>
      <c r="AD25" s="14">
        <f ca="1">IF(AD$1="","",'Total Value'!AD37/'Total Value'!AC37-1)</f>
        <v>5.3951665578053642E-2</v>
      </c>
      <c r="AE25" s="14">
        <f ca="1">IF(AE$1="","",'Total Value'!AE37/'Total Value'!AD37-1)</f>
        <v>-2.5409023301933731E-2</v>
      </c>
      <c r="AF25" s="14">
        <f ca="1">IF(AF$1="","",'Total Value'!AF37/'Total Value'!AE37-1)</f>
        <v>6.3588960956395546E-4</v>
      </c>
      <c r="AG25" s="14">
        <f ca="1">IF(AG$1="","",'Total Value'!AG37/'Total Value'!AF37-1)</f>
        <v>-2.9867819013726593E-2</v>
      </c>
      <c r="AH25" s="14">
        <f ca="1">IF(AH$1="","",'Total Value'!AH37/'Total Value'!AG37-1)</f>
        <v>-3.1442421066422033E-2</v>
      </c>
      <c r="AI25" s="14">
        <f ca="1">IF(AI$1="","",'Total Value'!AI37/'Total Value'!AH37-1)</f>
        <v>2.2453672392803936E-2</v>
      </c>
      <c r="AJ25" s="14">
        <f ca="1">IF(AJ$1="","",'Total Value'!AJ37/'Total Value'!AI37-1)</f>
        <v>2.6326233628786833E-2</v>
      </c>
      <c r="AK25" s="14">
        <f ca="1">IF(AK$1="","",'Total Value'!AK37/'Total Value'!AJ37-1)</f>
        <v>1.6241299303944468E-2</v>
      </c>
      <c r="AL25" s="14">
        <f ca="1">IF(AL$1="","",'Total Value'!AL37/'Total Value'!AK37-1)</f>
        <v>-1.4586504312531834E-2</v>
      </c>
      <c r="AM25" s="14">
        <f ca="1">IF(AM$1="","",'Total Value'!AM37/'Total Value'!AL37-1)</f>
        <v>3.8357574977474718E-2</v>
      </c>
      <c r="AN25" s="14">
        <f ca="1">IF(AN$1="","",'Total Value'!AN37/'Total Value'!AM37-1)</f>
        <v>-3.9667782323045131E-3</v>
      </c>
      <c r="AO25" s="14">
        <f ca="1">IF(AO$1="","",'Total Value'!AO37/'Total Value'!AN37-1)</f>
        <v>-1.6428126944617261E-2</v>
      </c>
      <c r="AP25" s="14">
        <f ca="1">IF(AP$1="","",'Total Value'!AP37/'Total Value'!AO37-1)</f>
        <v>-2.9102872326964402E-2</v>
      </c>
      <c r="AQ25" s="14">
        <f ca="1">IF(AQ$1="","",'Total Value'!AQ37/'Total Value'!AP37-1)</f>
        <v>-6.1253746904731399E-3</v>
      </c>
      <c r="AR25" s="14">
        <f ca="1">IF(AR$1="","",'Total Value'!AR37/'Total Value'!AQ37-1)</f>
        <v>4.3928665093102559E-2</v>
      </c>
      <c r="AS25" s="14">
        <f ca="1">IF(AS$1="","",'Total Value'!AS37/'Total Value'!AR37-1)</f>
        <v>-8.1648034166562633E-3</v>
      </c>
      <c r="AT25" s="14">
        <f ca="1">IF(AT$1="","",'Total Value'!AT37/'Total Value'!AS37-1)</f>
        <v>2.9128672745692974E-3</v>
      </c>
      <c r="AU25" s="14">
        <f ca="1">IF(AU$1="","",'Total Value'!AU37/'Total Value'!AT37-1)</f>
        <v>-2.1593635560045343E-2</v>
      </c>
      <c r="AV25" s="14">
        <f ca="1">IF(AV$1="","",'Total Value'!AV37/'Total Value'!AU37-1)</f>
        <v>1.432627774909645E-2</v>
      </c>
      <c r="AW25" s="14">
        <f ca="1">IF(AW$1="","",'Total Value'!AW37/'Total Value'!AV37-1)</f>
        <v>4.5680111973533499E-2</v>
      </c>
      <c r="AX25" s="14">
        <f ca="1">IF(AX$1="","",'Total Value'!AX37/'Total Value'!AW37-1)</f>
        <v>1.9347773180822481E-2</v>
      </c>
      <c r="AY25" s="14">
        <f ca="1">IF(AY$1="","",'Total Value'!AY37/'Total Value'!AX37-1)</f>
        <v>5.8493494090965381E-3</v>
      </c>
      <c r="AZ25" s="14">
        <f ca="1">IF(AZ$1="","",'Total Value'!AZ37/'Total Value'!AY37-1)</f>
        <v>9.4944220270587465E-4</v>
      </c>
      <c r="BA25" s="14">
        <f ca="1">IF(BA$1="","",'Total Value'!BA37/'Total Value'!AZ37-1)</f>
        <v>-3.319895660422123E-3</v>
      </c>
      <c r="BB25" s="14">
        <f ca="1">IF(BB$1="","",'Total Value'!BB37/'Total Value'!BA37-1)</f>
        <v>-3.1168213181061222E-2</v>
      </c>
      <c r="BC25" s="14">
        <f ca="1">IF(BC$1="","",'Total Value'!BC37/'Total Value'!BB37-1)</f>
        <v>3.8064833005895249E-3</v>
      </c>
      <c r="BD25" s="14">
        <f ca="1">IF(BD$1="","",'Total Value'!BD37/'Total Value'!BC37-1)</f>
        <v>-1.174311926605498E-2</v>
      </c>
      <c r="BE25" s="14">
        <f ca="1">IF(BE$1="","",'Total Value'!BE37/'Total Value'!BD37-1)</f>
        <v>7.6742171060772968E-3</v>
      </c>
      <c r="BF25" s="14">
        <f ca="1">IF(BF$1="","",'Total Value'!BF37/'Total Value'!BE37-1)</f>
        <v>7.1244318879746249E-3</v>
      </c>
      <c r="BG25" s="14">
        <f ca="1">IF(BG$1="","",'Total Value'!BG37/'Total Value'!BF37-1)</f>
        <v>-6.830101231857455E-3</v>
      </c>
      <c r="BH25" s="14">
        <f ca="1">IF(BH$1="","",'Total Value'!BH37/'Total Value'!BG37-1)</f>
        <v>-2.5789021245241406E-2</v>
      </c>
      <c r="BI25" s="14">
        <f ca="1">IF(BI$1="","",'Total Value'!BI37/'Total Value'!BH37-1)</f>
        <v>-6.7313752678683891E-2</v>
      </c>
      <c r="BJ25" s="14">
        <f ca="1">IF(BJ$1="","",'Total Value'!BJ37/'Total Value'!BI37-1)</f>
        <v>-1.6759021489390458E-2</v>
      </c>
      <c r="BK25" s="14">
        <f ca="1">IF(BK$1="","",'Total Value'!BK37/'Total Value'!BJ37-1)</f>
        <v>-6.9140893470790443E-2</v>
      </c>
      <c r="BL25" s="14">
        <f ca="1">IF(BL$1="","",'Total Value'!BL37/'Total Value'!BK37-1)</f>
        <v>-3.3668044890726612E-2</v>
      </c>
      <c r="BM25" s="14">
        <f ca="1">IF(BM$1="","",'Total Value'!BM37/'Total Value'!BL37-1)</f>
        <v>-2.3227383863080542E-2</v>
      </c>
      <c r="BN25" s="14">
        <f ca="1">IF(BN$1="","",'Total Value'!BN37/'Total Value'!BM37-1)</f>
        <v>-1.2672090112640921E-2</v>
      </c>
      <c r="BO25" s="14">
        <f ca="1">IF(BO$1="","",'Total Value'!BO37/'Total Value'!BN37-1)</f>
        <v>-1.9014419267945337E-3</v>
      </c>
      <c r="BP25" s="14">
        <f ca="1">IF(BP$1="","",'Total Value'!BP37/'Total Value'!BO37-1)</f>
        <v>4.7626607398010279E-4</v>
      </c>
      <c r="BQ25" s="14">
        <f ca="1">IF(BQ$1="","",'Total Value'!BQ37/'Total Value'!BP37-1)</f>
        <v>2.9197080291970767E-2</v>
      </c>
      <c r="BR25" s="14">
        <f ca="1">IF(BR$1="","",'Total Value'!BR37/'Total Value'!BQ37-1)</f>
        <v>-1.2950971322849281E-2</v>
      </c>
      <c r="BS25" s="14">
        <f ca="1">IF(BS$1="","",'Total Value'!BS37/'Total Value'!BR37-1)</f>
        <v>5.9356451109029429E-3</v>
      </c>
      <c r="BT25" s="14">
        <f ca="1">IF(BT$1="","",'Total Value'!BT37/'Total Value'!BS37-1)</f>
        <v>3.0745341614906607E-2</v>
      </c>
      <c r="BU25" s="14">
        <f ca="1">IF(BU$1="","",'Total Value'!BU37/'Total Value'!BT37-1)</f>
        <v>1.8981620970171864E-2</v>
      </c>
      <c r="BV25" s="14">
        <f ca="1">IF(BV$1="","",'Total Value'!BV37/'Total Value'!BU37-1)</f>
        <v>5.6179775280897903E-3</v>
      </c>
      <c r="BW25" s="14">
        <f ca="1">IF(BW$1="","",'Total Value'!BW37/'Total Value'!BV37-1)</f>
        <v>-8.2328726845044553E-3</v>
      </c>
      <c r="BX25" s="14">
        <f ca="1">IF(BX$1="","",'Total Value'!BX37/'Total Value'!BW37-1)</f>
        <v>3.0981322265045907E-2</v>
      </c>
      <c r="BY25" s="14">
        <f ca="1">IF(BY$1="","",'Total Value'!BY37/'Total Value'!BX37-1)</f>
        <v>-2.2861250898634E-2</v>
      </c>
      <c r="BZ25" s="14">
        <f ca="1">IF(BZ$1="","",'Total Value'!BZ37/'Total Value'!BY37-1)</f>
        <v>4.2672160094172629E-3</v>
      </c>
      <c r="CA25" s="14">
        <f ca="1">IF(CA$1="","",'Total Value'!CA37/'Total Value'!BZ37-1)</f>
        <v>3.9706959706959699E-2</v>
      </c>
      <c r="CB25" s="14">
        <f ca="1">IF(CB$1="","",'Total Value'!CB37/'Total Value'!CA37-1)</f>
        <v>-1.4937993235625613E-2</v>
      </c>
      <c r="CC25" s="14">
        <f ca="1">IF(CC$1="","",'Total Value'!CC37/'Total Value'!CB37-1)</f>
        <v>1.645207439198848E-2</v>
      </c>
      <c r="CD25" s="14">
        <f ca="1">IF(CD$1="","",'Total Value'!CD37/'Total Value'!CC37-1)</f>
        <v>2.603800140745971E-2</v>
      </c>
      <c r="CE25" s="14">
        <f ca="1">IF(CE$1="","",'Total Value'!CE37/'Total Value'!CD37-1)</f>
        <v>3.8683127572016307E-2</v>
      </c>
      <c r="CF25" s="14" t="str">
        <f ca="1">IF(CF$1="","",'Total Value'!CF37/'Total Value'!CE37-1)</f>
        <v/>
      </c>
      <c r="CG25" s="14" t="str">
        <f ca="1">IF(CG$1="","",'Total Value'!CG37/'Total Value'!CF37-1)</f>
        <v/>
      </c>
      <c r="CH25" s="14" t="str">
        <f ca="1">IF(CH$1="","",'Total Value'!CH37/'Total Value'!CG37-1)</f>
        <v/>
      </c>
      <c r="CI25" s="14" t="str">
        <f ca="1">IF(CI$1="","",'Total Value'!CI37/'Total Value'!CH37-1)</f>
        <v/>
      </c>
      <c r="CJ25" s="14" t="str">
        <f ca="1">IF(CJ$1="","",'Total Value'!CJ37/'Total Value'!CI37-1)</f>
        <v/>
      </c>
      <c r="CK25" s="14" t="str">
        <f ca="1">IF(CK$1="","",'Total Value'!CK37/'Total Value'!CJ37-1)</f>
        <v/>
      </c>
      <c r="CL25" s="14" t="str">
        <f ca="1">IF(CL$1="","",'Total Value'!CL37/'Total Value'!CK37-1)</f>
        <v/>
      </c>
      <c r="CM25" s="14" t="str">
        <f ca="1">IF(CM$1="","",'Total Value'!CM37/'Total Value'!CL37-1)</f>
        <v/>
      </c>
      <c r="CN25" s="14" t="str">
        <f ca="1">IF(CN$1="","",'Total Value'!CN37/'Total Value'!CM37-1)</f>
        <v/>
      </c>
      <c r="CO25" s="14" t="str">
        <f ca="1">IF(CO$1="","",'Total Value'!CO37/'Total Value'!CN37-1)</f>
        <v/>
      </c>
      <c r="CP25" s="14" t="str">
        <f ca="1">IF(CP$1="","",'Total Value'!CP37/'Total Value'!CO37-1)</f>
        <v/>
      </c>
      <c r="CQ25" s="14" t="str">
        <f ca="1">IF(CQ$1="","",'Total Value'!CQ37/'Total Value'!CP37-1)</f>
        <v/>
      </c>
      <c r="CR25" s="14" t="str">
        <f ca="1">IF(CR$1="","",'Total Value'!CR37/'Total Value'!CQ37-1)</f>
        <v/>
      </c>
      <c r="CS25" s="14" t="str">
        <f ca="1">IF(CS$1="","",'Total Value'!CS37/'Total Value'!CR37-1)</f>
        <v/>
      </c>
      <c r="CT25" s="14" t="str">
        <f ca="1">IF(CT$1="","",'Total Value'!CT37/'Total Value'!CS37-1)</f>
        <v/>
      </c>
      <c r="CU25" s="14" t="str">
        <f ca="1">IF(CU$1="","",'Total Value'!CU37/'Total Value'!CT37-1)</f>
        <v/>
      </c>
      <c r="CV25" s="14" t="str">
        <f ca="1">IF(CV$1="","",'Total Value'!CV37/'Total Value'!CU37-1)</f>
        <v/>
      </c>
      <c r="CW25" s="14" t="str">
        <f ca="1">IF(CW$1="","",'Total Value'!CW37/'Total Value'!CV37-1)</f>
        <v/>
      </c>
      <c r="CX25" s="14" t="str">
        <f ca="1">IF(CX$1="","",'Total Value'!CX37/'Total Value'!CW37-1)</f>
        <v/>
      </c>
      <c r="CY25" s="14" t="str">
        <f ca="1">IF(CY$1="","",'Total Value'!CY37/'Total Value'!CX37-1)</f>
        <v/>
      </c>
      <c r="CZ25" s="14" t="str">
        <f ca="1">IF(CZ$1="","",'Total Value'!CZ37/'Total Value'!CY37-1)</f>
        <v/>
      </c>
      <c r="DA25" s="14" t="str">
        <f ca="1">IF(DA$1="","",'Total Value'!DA37/'Total Value'!CZ37-1)</f>
        <v/>
      </c>
      <c r="DB25" s="14" t="str">
        <f ca="1">IF(DB$1="","",'Total Value'!DB37/'Total Value'!DA37-1)</f>
        <v/>
      </c>
      <c r="DC25" s="14" t="str">
        <f ca="1">IF(DC$1="","",'Total Value'!DC37/'Total Value'!DB37-1)</f>
        <v/>
      </c>
      <c r="DD25" s="14" t="str">
        <f ca="1">IF(DD$1="","",'Total Value'!DD37/'Total Value'!DC37-1)</f>
        <v/>
      </c>
      <c r="DE25" s="14" t="str">
        <f ca="1">IF(DE$1="","",'Total Value'!DE37/'Total Value'!DD37-1)</f>
        <v/>
      </c>
      <c r="DF25" s="14" t="str">
        <f ca="1">IF(DF$1="","",'Total Value'!DF37/'Total Value'!DE37-1)</f>
        <v/>
      </c>
      <c r="DG25" s="14" t="str">
        <f ca="1">IF(DG$1="","",'Total Value'!DG37/'Total Value'!DF37-1)</f>
        <v/>
      </c>
      <c r="DH25" s="14" t="str">
        <f ca="1">IF(DH$1="","",'Total Value'!DH37/'Total Value'!DG37-1)</f>
        <v/>
      </c>
      <c r="DI25" s="14" t="str">
        <f ca="1">IF(DI$1="","",'Total Value'!DI37/'Total Value'!DH37-1)</f>
        <v/>
      </c>
      <c r="DJ25" s="14" t="str">
        <f ca="1">IF(DJ$1="","",'Total Value'!DJ37/'Total Value'!DI37-1)</f>
        <v/>
      </c>
      <c r="DK25" s="14" t="str">
        <f ca="1">IF(DK$1="","",'Total Value'!DK37/'Total Value'!DJ37-1)</f>
        <v/>
      </c>
      <c r="DL25" s="14" t="str">
        <f ca="1">IF(DL$1="","",'Total Value'!DL37/'Total Value'!DK37-1)</f>
        <v/>
      </c>
      <c r="DM25" s="14" t="str">
        <f ca="1">IF(DM$1="","",'Total Value'!DM37/'Total Value'!DL37-1)</f>
        <v/>
      </c>
      <c r="DN25" s="14" t="str">
        <f ca="1">IF(DN$1="","",'Total Value'!DN37/'Total Value'!DM37-1)</f>
        <v/>
      </c>
      <c r="DO25" s="14" t="str">
        <f ca="1">IF(DO$1="","",'Total Value'!DO37/'Total Value'!DN37-1)</f>
        <v/>
      </c>
      <c r="DP25" s="14" t="str">
        <f ca="1">IF(DP$1="","",'Total Value'!DP37/'Total Value'!DO37-1)</f>
        <v/>
      </c>
      <c r="DQ25" s="14" t="str">
        <f ca="1">IF(DQ$1="","",'Total Value'!DQ37/'Total Value'!DP37-1)</f>
        <v/>
      </c>
      <c r="DR25" s="14" t="str">
        <f ca="1">IF(DR$1="","",'Total Value'!DR37/'Total Value'!DQ37-1)</f>
        <v/>
      </c>
      <c r="DS25" s="14" t="str">
        <f ca="1">IF(DS$1="","",'Total Value'!DS37/'Total Value'!DR37-1)</f>
        <v/>
      </c>
      <c r="DT25" s="14" t="str">
        <f ca="1">IF(DT$1="","",'Total Value'!DT37/'Total Value'!DS37-1)</f>
        <v/>
      </c>
      <c r="DU25" s="14" t="str">
        <f ca="1">IF(DU$1="","",'Total Value'!DU37/'Total Value'!DT37-1)</f>
        <v/>
      </c>
      <c r="DV25" s="14" t="str">
        <f ca="1">IF(DV$1="","",'Total Value'!DV37/'Total Value'!DU37-1)</f>
        <v/>
      </c>
      <c r="DW25" s="14" t="str">
        <f ca="1">IF(DW$1="","",'Total Value'!DW37/'Total Value'!DV37-1)</f>
        <v/>
      </c>
      <c r="DX25" s="14" t="str">
        <f ca="1">IF(DX$1="","",'Total Value'!DX37/'Total Value'!DW37-1)</f>
        <v/>
      </c>
      <c r="DY25" s="14" t="str">
        <f ca="1">IF(DY$1="","",'Total Value'!DY37/'Total Value'!DX37-1)</f>
        <v/>
      </c>
      <c r="DZ25" s="14" t="str">
        <f ca="1">IF(DZ$1="","",'Total Value'!DZ37/'Total Value'!DY37-1)</f>
        <v/>
      </c>
      <c r="EA25" s="14" t="str">
        <f ca="1">IF(EA$1="","",'Total Value'!EA37/'Total Value'!DZ37-1)</f>
        <v/>
      </c>
      <c r="EB25" s="14" t="str">
        <f ca="1">IF(EB$1="","",'Total Value'!EB37/'Total Value'!EA37-1)</f>
        <v/>
      </c>
      <c r="EC25" s="14" t="str">
        <f ca="1">IF(EC$1="","",'Total Value'!EC37/'Total Value'!EB37-1)</f>
        <v/>
      </c>
      <c r="ED25" s="14" t="str">
        <f ca="1">IF(ED$1="","",'Total Value'!ED37/'Total Value'!EC37-1)</f>
        <v/>
      </c>
      <c r="EE25" s="14" t="str">
        <f ca="1">IF(EE$1="","",'Total Value'!EE37/'Total Value'!ED37-1)</f>
        <v/>
      </c>
      <c r="EF25" s="14" t="str">
        <f ca="1">IF(EF$1="","",'Total Value'!EF37/'Total Value'!EE37-1)</f>
        <v/>
      </c>
      <c r="EG25" s="14" t="str">
        <f ca="1">IF(EG$1="","",'Total Value'!EG37/'Total Value'!EF37-1)</f>
        <v/>
      </c>
      <c r="EH25" s="14" t="str">
        <f ca="1">IF(EH$1="","",'Total Value'!EH37/'Total Value'!EG37-1)</f>
        <v/>
      </c>
      <c r="EI25" s="14" t="str">
        <f ca="1">IF(EI$1="","",'Total Value'!EI37/'Total Value'!EH37-1)</f>
        <v/>
      </c>
      <c r="EJ25" s="14" t="str">
        <f ca="1">IF(EJ$1="","",'Total Value'!EJ37/'Total Value'!EI37-1)</f>
        <v/>
      </c>
      <c r="EK25" s="14" t="str">
        <f ca="1">IF(EK$1="","",'Total Value'!EK37/'Total Value'!EJ37-1)</f>
        <v/>
      </c>
      <c r="EL25" s="14" t="str">
        <f ca="1">IF(EL$1="","",'Total Value'!EL37/'Total Value'!EK37-1)</f>
        <v/>
      </c>
      <c r="EM25" s="14" t="str">
        <f ca="1">IF(EM$1="","",'Total Value'!EM37/'Total Value'!EL37-1)</f>
        <v/>
      </c>
      <c r="EN25" s="14" t="str">
        <f ca="1">IF(EN$1="","",'Total Value'!EN37/'Total Value'!EM37-1)</f>
        <v/>
      </c>
      <c r="EO25" s="14" t="str">
        <f ca="1">IF(EO$1="","",'Total Value'!EO37/'Total Value'!EN37-1)</f>
        <v/>
      </c>
      <c r="EP25" s="14" t="str">
        <f ca="1">IF(EP$1="","",'Total Value'!EP37/'Total Value'!EO37-1)</f>
        <v/>
      </c>
      <c r="EQ25" s="14" t="str">
        <f ca="1">IF(EQ$1="","",'Total Value'!EQ37/'Total Value'!EP37-1)</f>
        <v/>
      </c>
      <c r="ER25" s="14" t="str">
        <f ca="1">IF(ER$1="","",'Total Value'!ER37/'Total Value'!EQ37-1)</f>
        <v/>
      </c>
      <c r="ES25" s="14" t="str">
        <f ca="1">IF(ES$1="","",'Total Value'!ES37/'Total Value'!ER37-1)</f>
        <v/>
      </c>
      <c r="ET25" s="14" t="str">
        <f ca="1">IF(ET$1="","",'Total Value'!ET37/'Total Value'!ES37-1)</f>
        <v/>
      </c>
      <c r="EU25" s="14" t="str">
        <f ca="1">IF(EU$1="","",'Total Value'!EU37/'Total Value'!ET37-1)</f>
        <v/>
      </c>
      <c r="EV25" s="14" t="str">
        <f ca="1">IF(EV$1="","",'Total Value'!EV37/'Total Value'!EU37-1)</f>
        <v/>
      </c>
      <c r="EW25" s="14" t="str">
        <f ca="1">IF(EW$1="","",'Total Value'!EW37/'Total Value'!EV37-1)</f>
        <v/>
      </c>
      <c r="EX25" s="14" t="str">
        <f ca="1">IF(EX$1="","",'Total Value'!EX37/'Total Value'!EW37-1)</f>
        <v/>
      </c>
      <c r="EY25" s="14" t="str">
        <f ca="1">IF(EY$1="","",'Total Value'!EY37/'Total Value'!EX37-1)</f>
        <v/>
      </c>
      <c r="EZ25" s="14" t="str">
        <f ca="1">IF(EZ$1="","",'Total Value'!EZ37/'Total Value'!EY37-1)</f>
        <v/>
      </c>
      <c r="FA25" s="14" t="str">
        <f ca="1">IF(FA$1="","",'Total Value'!FA37/'Total Value'!EZ37-1)</f>
        <v/>
      </c>
      <c r="FB25" s="14" t="str">
        <f ca="1">IF(FB$1="","",'Total Value'!FB37/'Total Value'!FA37-1)</f>
        <v/>
      </c>
      <c r="FC25" s="14" t="str">
        <f ca="1">IF(FC$1="","",'Total Value'!FC37/'Total Value'!FB37-1)</f>
        <v/>
      </c>
      <c r="FD25" s="14" t="str">
        <f ca="1">IF(FD$1="","",'Total Value'!FD37/'Total Value'!FC37-1)</f>
        <v/>
      </c>
      <c r="FE25" s="14" t="str">
        <f ca="1">IF(FE$1="","",'Total Value'!FE37/'Total Value'!FD37-1)</f>
        <v/>
      </c>
      <c r="FF25" s="14" t="str">
        <f ca="1">IF(FF$1="","",'Total Value'!FF37/'Total Value'!FE37-1)</f>
        <v/>
      </c>
      <c r="FG25" s="14" t="str">
        <f ca="1">IF(FG$1="","",'Total Value'!FG37/'Total Value'!FF37-1)</f>
        <v/>
      </c>
      <c r="FH25" s="14" t="str">
        <f ca="1">IF(FH$1="","",'Total Value'!FH37/'Total Value'!FG37-1)</f>
        <v/>
      </c>
      <c r="FI25" s="14" t="str">
        <f ca="1">IF(FI$1="","",'Total Value'!FI37/'Total Value'!FH37-1)</f>
        <v/>
      </c>
      <c r="FJ25" s="14" t="str">
        <f ca="1">IF(FJ$1="","",'Total Value'!FJ37/'Total Value'!FI37-1)</f>
        <v/>
      </c>
      <c r="FK25" s="14" t="str">
        <f ca="1">IF(FK$1="","",'Total Value'!FK37/'Total Value'!FJ37-1)</f>
        <v/>
      </c>
      <c r="FL25" s="14" t="str">
        <f ca="1">IF(FL$1="","",'Total Value'!FL37/'Total Value'!FK37-1)</f>
        <v/>
      </c>
      <c r="FM25" s="14" t="str">
        <f ca="1">IF(FM$1="","",'Total Value'!FM37/'Total Value'!FL37-1)</f>
        <v/>
      </c>
      <c r="FN25" s="14" t="str">
        <f ca="1">IF(FN$1="","",'Total Value'!FN37/'Total Value'!FM37-1)</f>
        <v/>
      </c>
      <c r="FO25" s="14" t="str">
        <f ca="1">IF(FO$1="","",'Total Value'!FO37/'Total Value'!FN37-1)</f>
        <v/>
      </c>
      <c r="FP25" s="14" t="str">
        <f ca="1">IF(FP$1="","",'Total Value'!FP37/'Total Value'!FO37-1)</f>
        <v/>
      </c>
      <c r="FQ25" s="14" t="str">
        <f ca="1">IF(FQ$1="","",'Total Value'!FQ37/'Total Value'!FP37-1)</f>
        <v/>
      </c>
      <c r="FR25" s="14" t="str">
        <f ca="1">IF(FR$1="","",'Total Value'!FR37/'Total Value'!FQ37-1)</f>
        <v/>
      </c>
      <c r="FS25" s="14" t="str">
        <f ca="1">IF(FS$1="","",'Total Value'!FS37/'Total Value'!FR37-1)</f>
        <v/>
      </c>
      <c r="FT25" s="14" t="str">
        <f ca="1">IF(FT$1="","",'Total Value'!FT37/'Total Value'!FS37-1)</f>
        <v/>
      </c>
      <c r="FU25" s="14" t="str">
        <f ca="1">IF(FU$1="","",'Total Value'!FU37/'Total Value'!FT37-1)</f>
        <v/>
      </c>
      <c r="FV25" s="14" t="str">
        <f ca="1">IF(FV$1="","",'Total Value'!FV37/'Total Value'!FU37-1)</f>
        <v/>
      </c>
      <c r="FW25" s="14" t="str">
        <f ca="1">IF(FW$1="","",'Total Value'!FW37/'Total Value'!FV37-1)</f>
        <v/>
      </c>
      <c r="FX25" s="14" t="str">
        <f ca="1">IF(FX$1="","",'Total Value'!FX37/'Total Value'!FW37-1)</f>
        <v/>
      </c>
      <c r="FY25" s="14" t="str">
        <f ca="1">IF(FY$1="","",'Total Value'!FY37/'Total Value'!FX37-1)</f>
        <v/>
      </c>
      <c r="FZ25" s="14" t="str">
        <f ca="1">IF(FZ$1="","",'Total Value'!FZ37/'Total Value'!FY37-1)</f>
        <v/>
      </c>
      <c r="GA25" s="14" t="str">
        <f ca="1">IF(GA$1="","",'Total Value'!GA37/'Total Value'!FZ37-1)</f>
        <v/>
      </c>
      <c r="GB25" s="14" t="str">
        <f ca="1">IF(GB$1="","",'Total Value'!GB37/'Total Value'!GA37-1)</f>
        <v/>
      </c>
      <c r="GC25" s="14" t="str">
        <f ca="1">IF(GC$1="","",'Total Value'!GC37/'Total Value'!GB37-1)</f>
        <v/>
      </c>
      <c r="GD25" s="14" t="str">
        <f ca="1">IF(GD$1="","",'Total Value'!GD37/'Total Value'!GC37-1)</f>
        <v/>
      </c>
      <c r="GE25" s="14" t="str">
        <f ca="1">IF(GE$1="","",'Total Value'!GE37/'Total Value'!GD37-1)</f>
        <v/>
      </c>
      <c r="GF25" s="14" t="str">
        <f ca="1">IF(GF$1="","",'Total Value'!GF37/'Total Value'!GE37-1)</f>
        <v/>
      </c>
      <c r="GG25" s="14" t="str">
        <f ca="1">IF(GG$1="","",'Total Value'!GG37/'Total Value'!GF37-1)</f>
        <v/>
      </c>
      <c r="GH25" s="14" t="str">
        <f ca="1">IF(GH$1="","",'Total Value'!GH37/'Total Value'!GG37-1)</f>
        <v/>
      </c>
      <c r="GI25" s="14" t="str">
        <f ca="1">IF(GI$1="","",'Total Value'!GI37/'Total Value'!GH37-1)</f>
        <v/>
      </c>
      <c r="GJ25" s="14" t="str">
        <f ca="1">IF(GJ$1="","",'Total Value'!GJ37/'Total Value'!GI37-1)</f>
        <v/>
      </c>
      <c r="GK25" s="14" t="str">
        <f ca="1">IF(GK$1="","",'Total Value'!GK37/'Total Value'!GJ37-1)</f>
        <v/>
      </c>
      <c r="GL25" s="14" t="str">
        <f ca="1">IF(GL$1="","",'Total Value'!GL37/'Total Value'!GK37-1)</f>
        <v/>
      </c>
      <c r="GM25" s="14" t="str">
        <f ca="1">IF(GM$1="","",'Total Value'!GM37/'Total Value'!GL37-1)</f>
        <v/>
      </c>
      <c r="GN25" s="14" t="str">
        <f ca="1">IF(GN$1="","",'Total Value'!GN37/'Total Value'!GM37-1)</f>
        <v/>
      </c>
      <c r="GO25" s="14" t="str">
        <f ca="1">IF(GO$1="","",'Total Value'!GO37/'Total Value'!GN37-1)</f>
        <v/>
      </c>
      <c r="GP25" s="14" t="str">
        <f ca="1">IF(GP$1="","",'Total Value'!GP37/'Total Value'!GO37-1)</f>
        <v/>
      </c>
      <c r="GQ25" s="14" t="str">
        <f ca="1">IF(GQ$1="","",'Total Value'!GQ37/'Total Value'!GP37-1)</f>
        <v/>
      </c>
      <c r="GR25" s="14" t="str">
        <f ca="1">IF(GR$1="","",'Total Value'!GR37/'Total Value'!GQ37-1)</f>
        <v/>
      </c>
      <c r="GS25" s="14" t="str">
        <f ca="1">IF(GS$1="","",'Total Value'!GS37/'Total Value'!GR37-1)</f>
        <v/>
      </c>
      <c r="GT25" s="14" t="str">
        <f ca="1">IF(GT$1="","",'Total Value'!GT37/'Total Value'!GS37-1)</f>
        <v/>
      </c>
      <c r="GU25" s="14" t="str">
        <f ca="1">IF(GU$1="","",'Total Value'!GU37/'Total Value'!GT37-1)</f>
        <v/>
      </c>
      <c r="GV25" s="14" t="str">
        <f ca="1">IF(GV$1="","",'Total Value'!GV37/'Total Value'!GU37-1)</f>
        <v/>
      </c>
      <c r="GW25" s="14" t="str">
        <f ca="1">IF(GW$1="","",'Total Value'!GW37/'Total Value'!GV37-1)</f>
        <v/>
      </c>
      <c r="GX25" s="14" t="str">
        <f ca="1">IF(GX$1="","",'Total Value'!GX37/'Total Value'!GW37-1)</f>
        <v/>
      </c>
      <c r="GY25" s="14" t="str">
        <f ca="1">IF(GY$1="","",'Total Value'!GY37/'Total Value'!GX37-1)</f>
        <v/>
      </c>
      <c r="GZ25" s="14" t="str">
        <f ca="1">IF(GZ$1="","",'Total Value'!GZ37/'Total Value'!GY37-1)</f>
        <v/>
      </c>
      <c r="HA25" s="14" t="str">
        <f ca="1">IF(HA$1="","",'Total Value'!HA37/'Total Value'!GZ37-1)</f>
        <v/>
      </c>
      <c r="HB25" s="14" t="str">
        <f ca="1">IF(HB$1="","",'Total Value'!HB37/'Total Value'!HA37-1)</f>
        <v/>
      </c>
      <c r="HC25" s="14" t="str">
        <f ca="1">IF(HC$1="","",'Total Value'!HC37/'Total Value'!HB37-1)</f>
        <v/>
      </c>
      <c r="HD25" s="14" t="str">
        <f ca="1">IF(HD$1="","",'Total Value'!HD37/'Total Value'!HC37-1)</f>
        <v/>
      </c>
      <c r="HE25" s="14" t="str">
        <f ca="1">IF(HE$1="","",'Total Value'!HE37/'Total Value'!HD37-1)</f>
        <v/>
      </c>
      <c r="HF25" s="14" t="str">
        <f ca="1">IF(HF$1="","",'Total Value'!HF37/'Total Value'!HE37-1)</f>
        <v/>
      </c>
      <c r="HG25" s="14" t="str">
        <f ca="1">IF(HG$1="","",'Total Value'!HG37/'Total Value'!HF37-1)</f>
        <v/>
      </c>
      <c r="HH25" s="14" t="str">
        <f ca="1">IF(HH$1="","",'Total Value'!HH37/'Total Value'!HG37-1)</f>
        <v/>
      </c>
      <c r="HI25" s="14" t="str">
        <f ca="1">IF(HI$1="","",'Total Value'!HI37/'Total Value'!HH37-1)</f>
        <v/>
      </c>
      <c r="HJ25" s="14" t="str">
        <f ca="1">IF(HJ$1="","",'Total Value'!HJ37/'Total Value'!HI37-1)</f>
        <v/>
      </c>
      <c r="HK25" s="14" t="str">
        <f ca="1">IF(HK$1="","",'Total Value'!HK37/'Total Value'!HJ37-1)</f>
        <v/>
      </c>
      <c r="HL25" s="14" t="str">
        <f ca="1">IF(HL$1="","",'Total Value'!HL37/'Total Value'!HK37-1)</f>
        <v/>
      </c>
      <c r="HM25" s="14" t="str">
        <f ca="1">IF(HM$1="","",'Total Value'!HM37/'Total Value'!HL37-1)</f>
        <v/>
      </c>
      <c r="HN25" s="14" t="str">
        <f ca="1">IF(HN$1="","",'Total Value'!HN37/'Total Value'!HM37-1)</f>
        <v/>
      </c>
      <c r="HO25" s="14" t="str">
        <f ca="1">IF(HO$1="","",'Total Value'!HO37/'Total Value'!HN37-1)</f>
        <v/>
      </c>
      <c r="HP25" s="14" t="str">
        <f ca="1">IF(HP$1="","",'Total Value'!HP37/'Total Value'!HO37-1)</f>
        <v/>
      </c>
      <c r="HQ25" s="14" t="str">
        <f ca="1">IF(HQ$1="","",'Total Value'!HQ37/'Total Value'!HP37-1)</f>
        <v/>
      </c>
      <c r="HR25" s="14" t="str">
        <f ca="1">IF(HR$1="","",'Total Value'!HR37/'Total Value'!HQ37-1)</f>
        <v/>
      </c>
      <c r="HS25" s="14" t="str">
        <f ca="1">IF(HS$1="","",'Total Value'!HS37/'Total Value'!HR37-1)</f>
        <v/>
      </c>
      <c r="HT25" s="14" t="str">
        <f ca="1">IF(HT$1="","",'Total Value'!HT37/'Total Value'!HS37-1)</f>
        <v/>
      </c>
      <c r="HU25" s="14" t="str">
        <f ca="1">IF(HU$1="","",'Total Value'!HU37/'Total Value'!HT37-1)</f>
        <v/>
      </c>
      <c r="HV25" s="14" t="str">
        <f ca="1">IF(HV$1="","",'Total Value'!HV37/'Total Value'!HU37-1)</f>
        <v/>
      </c>
      <c r="HW25" s="14" t="str">
        <f ca="1">IF(HW$1="","",'Total Value'!HW37/'Total Value'!HV37-1)</f>
        <v/>
      </c>
      <c r="HX25" s="14" t="str">
        <f ca="1">IF(HX$1="","",'Total Value'!HX37/'Total Value'!HW37-1)</f>
        <v/>
      </c>
      <c r="HY25" s="14" t="str">
        <f ca="1">IF(HY$1="","",'Total Value'!HY37/'Total Value'!HX37-1)</f>
        <v/>
      </c>
      <c r="HZ25" s="14" t="str">
        <f ca="1">IF(HZ$1="","",'Total Value'!HZ37/'Total Value'!HY37-1)</f>
        <v/>
      </c>
      <c r="IA25" s="14" t="str">
        <f ca="1">IF(IA$1="","",'Total Value'!IA37/'Total Value'!HZ37-1)</f>
        <v/>
      </c>
      <c r="IB25" s="14" t="str">
        <f ca="1">IF(IB$1="","",'Total Value'!IB37/'Total Value'!IA37-1)</f>
        <v/>
      </c>
      <c r="IC25" s="14" t="str">
        <f ca="1">IF(IC$1="","",'Total Value'!IC37/'Total Value'!IB37-1)</f>
        <v/>
      </c>
      <c r="ID25" s="14" t="str">
        <f ca="1">IF(ID$1="","",'Total Value'!ID37/'Total Value'!IC37-1)</f>
        <v/>
      </c>
      <c r="IE25" s="14" t="str">
        <f ca="1">IF(IE$1="","",'Total Value'!IE37/'Total Value'!ID37-1)</f>
        <v/>
      </c>
      <c r="IF25" s="14" t="str">
        <f ca="1">IF(IF$1="","",'Total Value'!IF37/'Total Value'!IE37-1)</f>
        <v/>
      </c>
      <c r="IG25" s="14" t="str">
        <f ca="1">IF(IG$1="","",'Total Value'!IG37/'Total Value'!IF37-1)</f>
        <v/>
      </c>
      <c r="IH25" s="14" t="str">
        <f ca="1">IF(IH$1="","",'Total Value'!IH37/'Total Value'!IG37-1)</f>
        <v/>
      </c>
      <c r="II25" s="14" t="str">
        <f ca="1">IF(II$1="","",'Total Value'!II37/'Total Value'!IH37-1)</f>
        <v/>
      </c>
      <c r="IJ25" s="14" t="str">
        <f ca="1">IF(IJ$1="","",'Total Value'!IJ37/'Total Value'!II37-1)</f>
        <v/>
      </c>
      <c r="IK25" s="14" t="str">
        <f ca="1">IF(IK$1="","",'Total Value'!IK37/'Total Value'!IJ37-1)</f>
        <v/>
      </c>
      <c r="IL25" s="14" t="str">
        <f ca="1">IF(IL$1="","",'Total Value'!IL37/'Total Value'!IK37-1)</f>
        <v/>
      </c>
      <c r="IM25" s="14" t="str">
        <f ca="1">IF(IM$1="","",'Total Value'!IM37/'Total Value'!IL37-1)</f>
        <v/>
      </c>
      <c r="IN25" s="14" t="str">
        <f ca="1">IF(IN$1="","",'Total Value'!IN37/'Total Value'!IM37-1)</f>
        <v/>
      </c>
      <c r="IO25" s="14" t="str">
        <f ca="1">IF(IO$1="","",'Total Value'!IO37/'Total Value'!IN37-1)</f>
        <v/>
      </c>
      <c r="IP25" s="14" t="str">
        <f ca="1">IF(IP$1="","",'Total Value'!IP37/'Total Value'!IO37-1)</f>
        <v/>
      </c>
      <c r="IQ25" s="14" t="str">
        <f ca="1">IF(IQ$1="","",'Total Value'!IQ37/'Total Value'!IP37-1)</f>
        <v/>
      </c>
      <c r="IR25" s="14" t="str">
        <f ca="1">IF(IR$1="","",'Total Value'!IR37/'Total Value'!IQ37-1)</f>
        <v/>
      </c>
      <c r="IS25" s="14" t="str">
        <f ca="1">IF(IS$1="","",'Total Value'!IS37/'Total Value'!IR37-1)</f>
        <v/>
      </c>
      <c r="IT25" s="14" t="str">
        <f ca="1">IF(IT$1="","",'Total Value'!IT37/'Total Value'!IS37-1)</f>
        <v/>
      </c>
      <c r="IU25" s="14" t="str">
        <f ca="1">IF(IU$1="","",'Total Value'!IU37/'Total Value'!IT37-1)</f>
        <v/>
      </c>
      <c r="IV25" s="14" t="str">
        <f ca="1">IF(IV$1="","",'Total Value'!IV37/'Total Value'!IU37-1)</f>
        <v/>
      </c>
      <c r="IW25" s="14" t="str">
        <f ca="1">IF(IW$1="","",'Total Value'!IW37/'Total Value'!IV37-1)</f>
        <v/>
      </c>
      <c r="IX25" s="14" t="str">
        <f ca="1">IF(IX$1="","",'Total Value'!IX37/'Total Value'!IW37-1)</f>
        <v/>
      </c>
      <c r="IY25" s="14" t="str">
        <f ca="1">IF(IY$1="","",'Total Value'!IY37/'Total Value'!IX37-1)</f>
        <v/>
      </c>
      <c r="IZ25" s="14" t="str">
        <f ca="1">IF(IZ$1="","",'Total Value'!IZ37/'Total Value'!IY37-1)</f>
        <v/>
      </c>
      <c r="JA25" s="14" t="str">
        <f ca="1">IF(JA$1="","",'Total Value'!JA37/'Total Value'!IZ37-1)</f>
        <v/>
      </c>
      <c r="JB25" s="14" t="str">
        <f ca="1">IF(JB$1="","",'Total Value'!JB37/'Total Value'!JA37-1)</f>
        <v/>
      </c>
      <c r="JC25" s="14" t="str">
        <f ca="1">IF(JC$1="","",'Total Value'!JC37/'Total Value'!JB37-1)</f>
        <v/>
      </c>
      <c r="JD25" s="14" t="str">
        <f ca="1">IF(JD$1="","",'Total Value'!JD37/'Total Value'!JC37-1)</f>
        <v/>
      </c>
      <c r="JE25" s="14" t="str">
        <f ca="1">IF(JE$1="","",'Total Value'!JE37/'Total Value'!JD37-1)</f>
        <v/>
      </c>
      <c r="JF25" s="14" t="str">
        <f ca="1">IF(JF$1="","",'Total Value'!JF37/'Total Value'!JE37-1)</f>
        <v/>
      </c>
      <c r="JG25" s="14" t="str">
        <f ca="1">IF(JG$1="","",'Total Value'!JG37/'Total Value'!JF37-1)</f>
        <v/>
      </c>
      <c r="JH25" s="14" t="str">
        <f ca="1">IF(JH$1="","",'Total Value'!JH37/'Total Value'!JG37-1)</f>
        <v/>
      </c>
      <c r="JI25" s="14" t="str">
        <f ca="1">IF(JI$1="","",'Total Value'!JI37/'Total Value'!JH37-1)</f>
        <v/>
      </c>
      <c r="JJ25" s="14" t="str">
        <f ca="1">IF(JJ$1="","",'Total Value'!JJ37/'Total Value'!JI37-1)</f>
        <v/>
      </c>
      <c r="JK25" s="14" t="str">
        <f ca="1">IF(JK$1="","",'Total Value'!JK37/'Total Value'!JJ37-1)</f>
        <v/>
      </c>
      <c r="JL25" s="14" t="str">
        <f ca="1">IF(JL$1="","",'Total Value'!JL37/'Total Value'!JK37-1)</f>
        <v/>
      </c>
      <c r="JM25" s="14" t="str">
        <f ca="1">IF(JM$1="","",'Total Value'!JM37/'Total Value'!JL37-1)</f>
        <v/>
      </c>
      <c r="JN25" s="14" t="str">
        <f ca="1">IF(JN$1="","",'Total Value'!JN37/'Total Value'!JM37-1)</f>
        <v/>
      </c>
      <c r="JO25" s="14" t="str">
        <f ca="1">IF(JO$1="","",'Total Value'!JO37/'Total Value'!JN37-1)</f>
        <v/>
      </c>
      <c r="JP25" s="14" t="str">
        <f ca="1">IF(JP$1="","",'Total Value'!JP37/'Total Value'!JO37-1)</f>
        <v/>
      </c>
      <c r="JQ25" s="14" t="str">
        <f ca="1">IF(JQ$1="","",'Total Value'!JQ37/'Total Value'!JP37-1)</f>
        <v/>
      </c>
      <c r="JR25" s="14" t="str">
        <f ca="1">IF(JR$1="","",'Total Value'!JR37/'Total Value'!JQ37-1)</f>
        <v/>
      </c>
      <c r="JS25" s="14" t="str">
        <f ca="1">IF(JS$1="","",'Total Value'!JS37/'Total Value'!JR37-1)</f>
        <v/>
      </c>
      <c r="JT25" s="14" t="str">
        <f ca="1">IF(JT$1="","",'Total Value'!JT37/'Total Value'!JS37-1)</f>
        <v/>
      </c>
      <c r="JU25" s="14" t="str">
        <f ca="1">IF(JU$1="","",'Total Value'!JU37/'Total Value'!JT37-1)</f>
        <v/>
      </c>
      <c r="JV25" s="14" t="str">
        <f ca="1">IF(JV$1="","",'Total Value'!JV37/'Total Value'!JU37-1)</f>
        <v/>
      </c>
      <c r="JW25" s="14" t="str">
        <f ca="1">IF(JW$1="","",'Total Value'!JW37/'Total Value'!JV37-1)</f>
        <v/>
      </c>
      <c r="JX25" s="14" t="str">
        <f ca="1">IF(JX$1="","",'Total Value'!JX37/'Total Value'!JW37-1)</f>
        <v/>
      </c>
      <c r="JY25" s="14" t="str">
        <f ca="1">IF(JY$1="","",'Total Value'!JY37/'Total Value'!JX37-1)</f>
        <v/>
      </c>
      <c r="JZ25" s="14" t="str">
        <f ca="1">IF(JZ$1="","",'Total Value'!JZ37/'Total Value'!JY37-1)</f>
        <v/>
      </c>
      <c r="KA25" s="14" t="str">
        <f ca="1">IF(KA$1="","",'Total Value'!KA37/'Total Value'!JZ37-1)</f>
        <v/>
      </c>
      <c r="KB25" s="14" t="str">
        <f ca="1">IF(KB$1="","",'Total Value'!KB37/'Total Value'!KA37-1)</f>
        <v/>
      </c>
    </row>
    <row r="26" spans="1:288" ht="15.75" customHeight="1">
      <c r="A26" s="22" t="s">
        <v>30</v>
      </c>
      <c r="B26" s="6" t="s">
        <v>70</v>
      </c>
      <c r="C26" s="26">
        <v>65</v>
      </c>
      <c r="D26" s="13">
        <v>0</v>
      </c>
      <c r="E26" s="14">
        <f ca="1">IF(E$1="","",'Total Value'!E38/'Total Value'!D38-1)</f>
        <v>4.6982291290205147E-3</v>
      </c>
      <c r="F26" s="14">
        <f ca="1">IF(F$1="","",'Total Value'!F38/'Total Value'!E38-1)</f>
        <v>1.4388489208632116E-3</v>
      </c>
      <c r="G26" s="14">
        <f ca="1">IF(G$1="","",'Total Value'!G38/'Total Value'!F38-1)</f>
        <v>1.1853448275862322E-2</v>
      </c>
      <c r="H26" s="14">
        <f ca="1">IF(H$1="","",'Total Value'!H38/'Total Value'!G38-1)</f>
        <v>2.9463968761093362E-2</v>
      </c>
      <c r="I26" s="14">
        <f ca="1">IF(I$1="","",'Total Value'!I38/'Total Value'!H38-1)</f>
        <v>-3.6206896551724155E-2</v>
      </c>
      <c r="J26" s="14">
        <f ca="1">IF(J$1="","",'Total Value'!J38/'Total Value'!I38-1)</f>
        <v>-2.3971377459749532E-2</v>
      </c>
      <c r="K26" s="14">
        <f ca="1">IF(K$1="","",'Total Value'!K38/'Total Value'!J38-1)</f>
        <v>-1.0997067448680342E-3</v>
      </c>
      <c r="L26" s="14">
        <f ca="1">IF(L$1="","",'Total Value'!L38/'Total Value'!K38-1)</f>
        <v>-1.2844036697247652E-2</v>
      </c>
      <c r="M26" s="14">
        <f ca="1">IF(M$1="","",'Total Value'!M38/'Total Value'!L38-1)</f>
        <v>1.0408921933085624E-2</v>
      </c>
      <c r="N26" s="14">
        <f ca="1">IF(N$1="","",'Total Value'!N38/'Total Value'!M38-1)</f>
        <v>-7.3583517292126199E-3</v>
      </c>
      <c r="O26" s="14">
        <f ca="1">IF(O$1="","",'Total Value'!O38/'Total Value'!N38-1)</f>
        <v>1.111934766493694E-2</v>
      </c>
      <c r="P26" s="14">
        <f ca="1">IF(P$1="","",'Total Value'!P38/'Total Value'!O38-1)</f>
        <v>-2.5659824046920909E-2</v>
      </c>
      <c r="Q26" s="14">
        <f ca="1">IF(Q$1="","",'Total Value'!Q38/'Total Value'!P38-1)</f>
        <v>-7.5244544770503019E-4</v>
      </c>
      <c r="R26" s="14">
        <f ca="1">IF(R$1="","",'Total Value'!R38/'Total Value'!Q38-1)</f>
        <v>-2.2590361445782303E-3</v>
      </c>
      <c r="S26" s="14">
        <f ca="1">IF(S$1="","",'Total Value'!S38/'Total Value'!R38-1)</f>
        <v>4.9433962264150866E-2</v>
      </c>
      <c r="T26" s="14">
        <f ca="1">IF(T$1="","",'Total Value'!T38/'Total Value'!S38-1)</f>
        <v>5.0341603739663121E-3</v>
      </c>
      <c r="U26" s="14">
        <f ca="1">IF(U$1="","",'Total Value'!U38/'Total Value'!T38-1)</f>
        <v>-1.610017889087656E-2</v>
      </c>
      <c r="V26" s="14">
        <f ca="1">IF(V$1="","",'Total Value'!V38/'Total Value'!U38-1)</f>
        <v>-6.9090909090909758E-3</v>
      </c>
      <c r="W26" s="14">
        <f ca="1">IF(W$1="","",'Total Value'!W38/'Total Value'!V38-1)</f>
        <v>4.0278286342001479E-3</v>
      </c>
      <c r="X26" s="14">
        <f ca="1">IF(X$1="","",'Total Value'!X38/'Total Value'!W38-1)</f>
        <v>3.4646243617797001E-2</v>
      </c>
      <c r="Y26" s="14">
        <f ca="1">IF(Y$1="","",'Total Value'!Y38/'Total Value'!X38-1)</f>
        <v>3.0313711667254273E-2</v>
      </c>
      <c r="Z26" s="14">
        <f ca="1">IF(Z$1="","",'Total Value'!Z38/'Total Value'!Y38-1)</f>
        <v>-5.1317139924735855E-3</v>
      </c>
      <c r="AA26" s="14">
        <f ca="1">IF(AA$1="","",'Total Value'!AA38/'Total Value'!Z38-1)</f>
        <v>-1.5818431911966968E-2</v>
      </c>
      <c r="AB26" s="14">
        <f ca="1">IF(AB$1="","",'Total Value'!AB38/'Total Value'!AA38-1)</f>
        <v>-1.1180992313067795E-2</v>
      </c>
      <c r="AC26" s="14">
        <f ca="1">IF(AC$1="","",'Total Value'!AC38/'Total Value'!AB38-1)</f>
        <v>4.2049469964664299E-2</v>
      </c>
      <c r="AD26" s="14">
        <f ca="1">IF(AD$1="","",'Total Value'!AD38/'Total Value'!AC38-1)</f>
        <v>2.4415055951169995E-2</v>
      </c>
      <c r="AE26" s="14">
        <f ca="1">IF(AE$1="","",'Total Value'!AE38/'Total Value'!AD38-1)</f>
        <v>-1.8536908308507183E-2</v>
      </c>
      <c r="AF26" s="14">
        <f ca="1">IF(AF$1="","",'Total Value'!AF38/'Total Value'!AE38-1)</f>
        <v>-1.180438448566612E-2</v>
      </c>
      <c r="AG26" s="14">
        <f ca="1">IF(AG$1="","",'Total Value'!AG38/'Total Value'!AF38-1)</f>
        <v>-2.3890784982935065E-3</v>
      </c>
      <c r="AH26" s="14">
        <f ca="1">IF(AH$1="","",'Total Value'!AH38/'Total Value'!AG38-1)</f>
        <v>-2.4290112897707883E-2</v>
      </c>
      <c r="AI26" s="14">
        <f ca="1">IF(AI$1="","",'Total Value'!AI38/'Total Value'!AH38-1)</f>
        <v>-3.8569424964935983E-3</v>
      </c>
      <c r="AJ26" s="14">
        <f ca="1">IF(AJ$1="","",'Total Value'!AJ38/'Total Value'!AI38-1)</f>
        <v>7.2157690953889464E-2</v>
      </c>
      <c r="AK26" s="14">
        <f ca="1">IF(AK$1="","",'Total Value'!AK38/'Total Value'!AJ38-1)</f>
        <v>8.2074852265265896E-3</v>
      </c>
      <c r="AL26" s="14">
        <f ca="1">IF(AL$1="","",'Total Value'!AL38/'Total Value'!AK38-1)</f>
        <v>-2.9632041680234478E-2</v>
      </c>
      <c r="AM26" s="14">
        <f ca="1">IF(AM$1="","",'Total Value'!AM38/'Total Value'!AL38-1)</f>
        <v>4.3288590604026789E-2</v>
      </c>
      <c r="AN26" s="14">
        <f ca="1">IF(AN$1="","",'Total Value'!AN38/'Total Value'!AM38-1)</f>
        <v>-6.4329366355739825E-3</v>
      </c>
      <c r="AO26" s="14">
        <f ca="1">IF(AO$1="","",'Total Value'!AO38/'Total Value'!AN38-1)</f>
        <v>-5.2767886047264456E-2</v>
      </c>
      <c r="AP26" s="14">
        <f ca="1">IF(AP$1="","",'Total Value'!AP38/'Total Value'!AO38-1)</f>
        <v>-5.5023923444976086E-2</v>
      </c>
      <c r="AQ26" s="14">
        <f ca="1">IF(AQ$1="","",'Total Value'!AQ38/'Total Value'!AP38-1)</f>
        <v>1.4104882459312851E-2</v>
      </c>
      <c r="AR26" s="14">
        <f ca="1">IF(AR$1="","",'Total Value'!AR38/'Total Value'!AQ38-1)</f>
        <v>5.2781740370898778E-2</v>
      </c>
      <c r="AS26" s="14">
        <f ca="1">IF(AS$1="","",'Total Value'!AS38/'Total Value'!AR38-1)</f>
        <v>1.1178861788617933E-2</v>
      </c>
      <c r="AT26" s="14">
        <f ca="1">IF(AT$1="","",'Total Value'!AT38/'Total Value'!AS38-1)</f>
        <v>2.6800670016750461E-2</v>
      </c>
      <c r="AU26" s="14">
        <f ca="1">IF(AU$1="","",'Total Value'!AU38/'Total Value'!AT38-1)</f>
        <v>3.947797716150081E-2</v>
      </c>
      <c r="AV26" s="14">
        <f ca="1">IF(AV$1="","",'Total Value'!AV38/'Total Value'!AU38-1)</f>
        <v>9.4161958568736992E-3</v>
      </c>
      <c r="AW26" s="14">
        <f ca="1">IF(AW$1="","",'Total Value'!AW38/'Total Value'!AV38-1)</f>
        <v>1.5547263681592094E-2</v>
      </c>
      <c r="AX26" s="14">
        <f ca="1">IF(AX$1="","",'Total Value'!AX38/'Total Value'!AW38-1)</f>
        <v>1.1022657685242132E-2</v>
      </c>
      <c r="AY26" s="14">
        <f ca="1">IF(AY$1="","",'Total Value'!AY38/'Total Value'!AX38-1)</f>
        <v>-1.5445184736523343E-2</v>
      </c>
      <c r="AZ26" s="14">
        <f ca="1">IF(AZ$1="","",'Total Value'!AZ38/'Total Value'!AY38-1)</f>
        <v>-1.2303906490311878E-3</v>
      </c>
      <c r="BA26" s="14">
        <f ca="1">IF(BA$1="","",'Total Value'!BA38/'Total Value'!AZ38-1)</f>
        <v>4.0344933785032566E-2</v>
      </c>
      <c r="BB26" s="14">
        <f ca="1">IF(BB$1="","",'Total Value'!BB38/'Total Value'!BA38-1)</f>
        <v>-9.4730609828301837E-3</v>
      </c>
      <c r="BC26" s="14">
        <f ca="1">IF(BC$1="","",'Total Value'!BC38/'Total Value'!BB38-1)</f>
        <v>1.4943215780036656E-3</v>
      </c>
      <c r="BD26" s="14">
        <f ca="1">IF(BD$1="","",'Total Value'!BD38/'Total Value'!BC38-1)</f>
        <v>-3.2826022082961259E-3</v>
      </c>
      <c r="BE26" s="14">
        <f ca="1">IF(BE$1="","",'Total Value'!BE38/'Total Value'!BD38-1)</f>
        <v>-1.4970059880239472E-2</v>
      </c>
      <c r="BF26" s="14">
        <f ca="1">IF(BF$1="","",'Total Value'!BF38/'Total Value'!BE38-1)</f>
        <v>1.5197568389058169E-3</v>
      </c>
      <c r="BG26" s="14">
        <f ca="1">IF(BG$1="","",'Total Value'!BG38/'Total Value'!BF38-1)</f>
        <v>-2.0333839150227462E-2</v>
      </c>
      <c r="BH26" s="14">
        <f ca="1">IF(BH$1="","",'Total Value'!BH38/'Total Value'!BG38-1)</f>
        <v>-4.3370508054524359E-3</v>
      </c>
      <c r="BI26" s="14">
        <f ca="1">IF(BI$1="","",'Total Value'!BI38/'Total Value'!BH38-1)</f>
        <v>-9.3341630367138606E-4</v>
      </c>
      <c r="BJ26" s="14">
        <f ca="1">IF(BJ$1="","",'Total Value'!BJ38/'Total Value'!BI38-1)</f>
        <v>-5.9171597633135287E-3</v>
      </c>
      <c r="BK26" s="14">
        <f ca="1">IF(BK$1="","",'Total Value'!BK38/'Total Value'!BJ38-1)</f>
        <v>-9.7117794486215603E-3</v>
      </c>
      <c r="BL26" s="14">
        <f ca="1">IF(BL$1="","",'Total Value'!BL38/'Total Value'!BK38-1)</f>
        <v>-2.6890224612464375E-2</v>
      </c>
      <c r="BM26" s="14">
        <f ca="1">IF(BM$1="","",'Total Value'!BM38/'Total Value'!BL38-1)</f>
        <v>-1.2678803641092418E-2</v>
      </c>
      <c r="BN26" s="14">
        <f ca="1">IF(BN$1="","",'Total Value'!BN38/'Total Value'!BM38-1)</f>
        <v>-3.6219953901875934E-3</v>
      </c>
      <c r="BO26" s="14">
        <f ca="1">IF(BO$1="","",'Total Value'!BO38/'Total Value'!BN38-1)</f>
        <v>-1.3218770654329637E-3</v>
      </c>
      <c r="BP26" s="14">
        <f ca="1">IF(BP$1="","",'Total Value'!BP38/'Total Value'!BO38-1)</f>
        <v>-4.3017868960952832E-3</v>
      </c>
      <c r="BQ26" s="14">
        <f ca="1">IF(BQ$1="","",'Total Value'!BQ38/'Total Value'!BP38-1)</f>
        <v>3.2236623462944536E-2</v>
      </c>
      <c r="BR26" s="14">
        <f ca="1">IF(BR$1="","",'Total Value'!BR38/'Total Value'!BQ38-1)</f>
        <v>-8.3708950418543981E-3</v>
      </c>
      <c r="BS26" s="14">
        <f ca="1">IF(BS$1="","",'Total Value'!BS38/'Total Value'!BR38-1)</f>
        <v>-6.8181818181818343E-3</v>
      </c>
      <c r="BT26" s="14">
        <f ca="1">IF(BT$1="","",'Total Value'!BT38/'Total Value'!BS38-1)</f>
        <v>3.0728996404053799E-2</v>
      </c>
      <c r="BU26" s="14">
        <f ca="1">IF(BU$1="","",'Total Value'!BU38/'Total Value'!BT38-1)</f>
        <v>1.5540754836663506E-2</v>
      </c>
      <c r="BV26" s="14">
        <f ca="1">IF(BV$1="","",'Total Value'!BV38/'Total Value'!BU38-1)</f>
        <v>-7.807620237351709E-3</v>
      </c>
      <c r="BW26" s="14">
        <f ca="1">IF(BW$1="","",'Total Value'!BW38/'Total Value'!BV38-1)</f>
        <v>-3.7141957821844596E-2</v>
      </c>
      <c r="BX26" s="14">
        <f ca="1">IF(BX$1="","",'Total Value'!BX38/'Total Value'!BW38-1)</f>
        <v>0</v>
      </c>
      <c r="BY26" s="14">
        <f ca="1">IF(BY$1="","",'Total Value'!BY38/'Total Value'!BX38-1)</f>
        <v>-3.5959463877084041E-2</v>
      </c>
      <c r="BZ26" s="14">
        <f ca="1">IF(BZ$1="","",'Total Value'!BZ38/'Total Value'!BY38-1)</f>
        <v>8.1383519837232576E-3</v>
      </c>
      <c r="CA26" s="14">
        <f ca="1">IF(CA$1="","",'Total Value'!CA38/'Total Value'!BZ38-1)</f>
        <v>3.3636057854002921E-4</v>
      </c>
      <c r="CB26" s="14">
        <f ca="1">IF(CB$1="","",'Total Value'!CB38/'Total Value'!CA38-1)</f>
        <v>-2.0847343644922689E-2</v>
      </c>
      <c r="CC26" s="14">
        <f ca="1">IF(CC$1="","",'Total Value'!CC38/'Total Value'!CB38-1)</f>
        <v>9.6153846153845812E-3</v>
      </c>
      <c r="CD26" s="14">
        <f ca="1">IF(CD$1="","",'Total Value'!CD38/'Total Value'!CC38-1)</f>
        <v>3.2653061224489743E-2</v>
      </c>
      <c r="CE26" s="14">
        <f ca="1">IF(CE$1="","",'Total Value'!CE38/'Total Value'!CD38-1)</f>
        <v>1.8774703557312256E-2</v>
      </c>
      <c r="CF26" s="14" t="str">
        <f ca="1">IF(CF$1="","",'Total Value'!CF38/'Total Value'!CE38-1)</f>
        <v/>
      </c>
      <c r="CG26" s="14" t="str">
        <f ca="1">IF(CG$1="","",'Total Value'!CG38/'Total Value'!CF38-1)</f>
        <v/>
      </c>
      <c r="CH26" s="14" t="str">
        <f ca="1">IF(CH$1="","",'Total Value'!CH38/'Total Value'!CG38-1)</f>
        <v/>
      </c>
      <c r="CI26" s="14" t="str">
        <f ca="1">IF(CI$1="","",'Total Value'!CI38/'Total Value'!CH38-1)</f>
        <v/>
      </c>
      <c r="CJ26" s="14" t="str">
        <f ca="1">IF(CJ$1="","",'Total Value'!CJ38/'Total Value'!CI38-1)</f>
        <v/>
      </c>
      <c r="CK26" s="14" t="str">
        <f ca="1">IF(CK$1="","",'Total Value'!CK38/'Total Value'!CJ38-1)</f>
        <v/>
      </c>
      <c r="CL26" s="14" t="str">
        <f ca="1">IF(CL$1="","",'Total Value'!CL38/'Total Value'!CK38-1)</f>
        <v/>
      </c>
      <c r="CM26" s="14" t="str">
        <f ca="1">IF(CM$1="","",'Total Value'!CM38/'Total Value'!CL38-1)</f>
        <v/>
      </c>
      <c r="CN26" s="14" t="str">
        <f ca="1">IF(CN$1="","",'Total Value'!CN38/'Total Value'!CM38-1)</f>
        <v/>
      </c>
      <c r="CO26" s="14" t="str">
        <f ca="1">IF(CO$1="","",'Total Value'!CO38/'Total Value'!CN38-1)</f>
        <v/>
      </c>
      <c r="CP26" s="14" t="str">
        <f ca="1">IF(CP$1="","",'Total Value'!CP38/'Total Value'!CO38-1)</f>
        <v/>
      </c>
      <c r="CQ26" s="14" t="str">
        <f ca="1">IF(CQ$1="","",'Total Value'!CQ38/'Total Value'!CP38-1)</f>
        <v/>
      </c>
      <c r="CR26" s="14" t="str">
        <f ca="1">IF(CR$1="","",'Total Value'!CR38/'Total Value'!CQ38-1)</f>
        <v/>
      </c>
      <c r="CS26" s="14" t="str">
        <f ca="1">IF(CS$1="","",'Total Value'!CS38/'Total Value'!CR38-1)</f>
        <v/>
      </c>
      <c r="CT26" s="14" t="str">
        <f ca="1">IF(CT$1="","",'Total Value'!CT38/'Total Value'!CS38-1)</f>
        <v/>
      </c>
      <c r="CU26" s="14" t="str">
        <f ca="1">IF(CU$1="","",'Total Value'!CU38/'Total Value'!CT38-1)</f>
        <v/>
      </c>
      <c r="CV26" s="14" t="str">
        <f ca="1">IF(CV$1="","",'Total Value'!CV38/'Total Value'!CU38-1)</f>
        <v/>
      </c>
      <c r="CW26" s="14" t="str">
        <f ca="1">IF(CW$1="","",'Total Value'!CW38/'Total Value'!CV38-1)</f>
        <v/>
      </c>
      <c r="CX26" s="14" t="str">
        <f ca="1">IF(CX$1="","",'Total Value'!CX38/'Total Value'!CW38-1)</f>
        <v/>
      </c>
      <c r="CY26" s="14" t="str">
        <f ca="1">IF(CY$1="","",'Total Value'!CY38/'Total Value'!CX38-1)</f>
        <v/>
      </c>
      <c r="CZ26" s="14" t="str">
        <f ca="1">IF(CZ$1="","",'Total Value'!CZ38/'Total Value'!CY38-1)</f>
        <v/>
      </c>
      <c r="DA26" s="14" t="str">
        <f ca="1">IF(DA$1="","",'Total Value'!DA38/'Total Value'!CZ38-1)</f>
        <v/>
      </c>
      <c r="DB26" s="14" t="str">
        <f ca="1">IF(DB$1="","",'Total Value'!DB38/'Total Value'!DA38-1)</f>
        <v/>
      </c>
      <c r="DC26" s="14" t="str">
        <f ca="1">IF(DC$1="","",'Total Value'!DC38/'Total Value'!DB38-1)</f>
        <v/>
      </c>
      <c r="DD26" s="14" t="str">
        <f ca="1">IF(DD$1="","",'Total Value'!DD38/'Total Value'!DC38-1)</f>
        <v/>
      </c>
      <c r="DE26" s="14" t="str">
        <f ca="1">IF(DE$1="","",'Total Value'!DE38/'Total Value'!DD38-1)</f>
        <v/>
      </c>
      <c r="DF26" s="14" t="str">
        <f ca="1">IF(DF$1="","",'Total Value'!DF38/'Total Value'!DE38-1)</f>
        <v/>
      </c>
      <c r="DG26" s="14" t="str">
        <f ca="1">IF(DG$1="","",'Total Value'!DG38/'Total Value'!DF38-1)</f>
        <v/>
      </c>
      <c r="DH26" s="14" t="str">
        <f ca="1">IF(DH$1="","",'Total Value'!DH38/'Total Value'!DG38-1)</f>
        <v/>
      </c>
      <c r="DI26" s="14" t="str">
        <f ca="1">IF(DI$1="","",'Total Value'!DI38/'Total Value'!DH38-1)</f>
        <v/>
      </c>
      <c r="DJ26" s="14" t="str">
        <f ca="1">IF(DJ$1="","",'Total Value'!DJ38/'Total Value'!DI38-1)</f>
        <v/>
      </c>
      <c r="DK26" s="14" t="str">
        <f ca="1">IF(DK$1="","",'Total Value'!DK38/'Total Value'!DJ38-1)</f>
        <v/>
      </c>
      <c r="DL26" s="14" t="str">
        <f ca="1">IF(DL$1="","",'Total Value'!DL38/'Total Value'!DK38-1)</f>
        <v/>
      </c>
      <c r="DM26" s="14" t="str">
        <f ca="1">IF(DM$1="","",'Total Value'!DM38/'Total Value'!DL38-1)</f>
        <v/>
      </c>
      <c r="DN26" s="14" t="str">
        <f ca="1">IF(DN$1="","",'Total Value'!DN38/'Total Value'!DM38-1)</f>
        <v/>
      </c>
      <c r="DO26" s="14" t="str">
        <f ca="1">IF(DO$1="","",'Total Value'!DO38/'Total Value'!DN38-1)</f>
        <v/>
      </c>
      <c r="DP26" s="14" t="str">
        <f ca="1">IF(DP$1="","",'Total Value'!DP38/'Total Value'!DO38-1)</f>
        <v/>
      </c>
      <c r="DQ26" s="14" t="str">
        <f ca="1">IF(DQ$1="","",'Total Value'!DQ38/'Total Value'!DP38-1)</f>
        <v/>
      </c>
      <c r="DR26" s="14" t="str">
        <f ca="1">IF(DR$1="","",'Total Value'!DR38/'Total Value'!DQ38-1)</f>
        <v/>
      </c>
      <c r="DS26" s="14" t="str">
        <f ca="1">IF(DS$1="","",'Total Value'!DS38/'Total Value'!DR38-1)</f>
        <v/>
      </c>
      <c r="DT26" s="14" t="str">
        <f ca="1">IF(DT$1="","",'Total Value'!DT38/'Total Value'!DS38-1)</f>
        <v/>
      </c>
      <c r="DU26" s="14" t="str">
        <f ca="1">IF(DU$1="","",'Total Value'!DU38/'Total Value'!DT38-1)</f>
        <v/>
      </c>
      <c r="DV26" s="14" t="str">
        <f ca="1">IF(DV$1="","",'Total Value'!DV38/'Total Value'!DU38-1)</f>
        <v/>
      </c>
      <c r="DW26" s="14" t="str">
        <f ca="1">IF(DW$1="","",'Total Value'!DW38/'Total Value'!DV38-1)</f>
        <v/>
      </c>
      <c r="DX26" s="14" t="str">
        <f ca="1">IF(DX$1="","",'Total Value'!DX38/'Total Value'!DW38-1)</f>
        <v/>
      </c>
      <c r="DY26" s="14" t="str">
        <f ca="1">IF(DY$1="","",'Total Value'!DY38/'Total Value'!DX38-1)</f>
        <v/>
      </c>
      <c r="DZ26" s="14" t="str">
        <f ca="1">IF(DZ$1="","",'Total Value'!DZ38/'Total Value'!DY38-1)</f>
        <v/>
      </c>
      <c r="EA26" s="14" t="str">
        <f ca="1">IF(EA$1="","",'Total Value'!EA38/'Total Value'!DZ38-1)</f>
        <v/>
      </c>
      <c r="EB26" s="14" t="str">
        <f ca="1">IF(EB$1="","",'Total Value'!EB38/'Total Value'!EA38-1)</f>
        <v/>
      </c>
      <c r="EC26" s="14" t="str">
        <f ca="1">IF(EC$1="","",'Total Value'!EC38/'Total Value'!EB38-1)</f>
        <v/>
      </c>
      <c r="ED26" s="14" t="str">
        <f ca="1">IF(ED$1="","",'Total Value'!ED38/'Total Value'!EC38-1)</f>
        <v/>
      </c>
      <c r="EE26" s="14" t="str">
        <f ca="1">IF(EE$1="","",'Total Value'!EE38/'Total Value'!ED38-1)</f>
        <v/>
      </c>
      <c r="EF26" s="14" t="str">
        <f ca="1">IF(EF$1="","",'Total Value'!EF38/'Total Value'!EE38-1)</f>
        <v/>
      </c>
      <c r="EG26" s="14" t="str">
        <f ca="1">IF(EG$1="","",'Total Value'!EG38/'Total Value'!EF38-1)</f>
        <v/>
      </c>
      <c r="EH26" s="14" t="str">
        <f ca="1">IF(EH$1="","",'Total Value'!EH38/'Total Value'!EG38-1)</f>
        <v/>
      </c>
      <c r="EI26" s="14" t="str">
        <f ca="1">IF(EI$1="","",'Total Value'!EI38/'Total Value'!EH38-1)</f>
        <v/>
      </c>
      <c r="EJ26" s="14" t="str">
        <f ca="1">IF(EJ$1="","",'Total Value'!EJ38/'Total Value'!EI38-1)</f>
        <v/>
      </c>
      <c r="EK26" s="14" t="str">
        <f ca="1">IF(EK$1="","",'Total Value'!EK38/'Total Value'!EJ38-1)</f>
        <v/>
      </c>
      <c r="EL26" s="14" t="str">
        <f ca="1">IF(EL$1="","",'Total Value'!EL38/'Total Value'!EK38-1)</f>
        <v/>
      </c>
      <c r="EM26" s="14" t="str">
        <f ca="1">IF(EM$1="","",'Total Value'!EM38/'Total Value'!EL38-1)</f>
        <v/>
      </c>
      <c r="EN26" s="14" t="str">
        <f ca="1">IF(EN$1="","",'Total Value'!EN38/'Total Value'!EM38-1)</f>
        <v/>
      </c>
      <c r="EO26" s="14" t="str">
        <f ca="1">IF(EO$1="","",'Total Value'!EO38/'Total Value'!EN38-1)</f>
        <v/>
      </c>
      <c r="EP26" s="14" t="str">
        <f ca="1">IF(EP$1="","",'Total Value'!EP38/'Total Value'!EO38-1)</f>
        <v/>
      </c>
      <c r="EQ26" s="14" t="str">
        <f ca="1">IF(EQ$1="","",'Total Value'!EQ38/'Total Value'!EP38-1)</f>
        <v/>
      </c>
      <c r="ER26" s="14" t="str">
        <f ca="1">IF(ER$1="","",'Total Value'!ER38/'Total Value'!EQ38-1)</f>
        <v/>
      </c>
      <c r="ES26" s="14" t="str">
        <f ca="1">IF(ES$1="","",'Total Value'!ES38/'Total Value'!ER38-1)</f>
        <v/>
      </c>
      <c r="ET26" s="14" t="str">
        <f ca="1">IF(ET$1="","",'Total Value'!ET38/'Total Value'!ES38-1)</f>
        <v/>
      </c>
      <c r="EU26" s="14" t="str">
        <f ca="1">IF(EU$1="","",'Total Value'!EU38/'Total Value'!ET38-1)</f>
        <v/>
      </c>
      <c r="EV26" s="14" t="str">
        <f ca="1">IF(EV$1="","",'Total Value'!EV38/'Total Value'!EU38-1)</f>
        <v/>
      </c>
      <c r="EW26" s="14" t="str">
        <f ca="1">IF(EW$1="","",'Total Value'!EW38/'Total Value'!EV38-1)</f>
        <v/>
      </c>
      <c r="EX26" s="14" t="str">
        <f ca="1">IF(EX$1="","",'Total Value'!EX38/'Total Value'!EW38-1)</f>
        <v/>
      </c>
      <c r="EY26" s="14" t="str">
        <f ca="1">IF(EY$1="","",'Total Value'!EY38/'Total Value'!EX38-1)</f>
        <v/>
      </c>
      <c r="EZ26" s="14" t="str">
        <f ca="1">IF(EZ$1="","",'Total Value'!EZ38/'Total Value'!EY38-1)</f>
        <v/>
      </c>
      <c r="FA26" s="14" t="str">
        <f ca="1">IF(FA$1="","",'Total Value'!FA38/'Total Value'!EZ38-1)</f>
        <v/>
      </c>
      <c r="FB26" s="14" t="str">
        <f ca="1">IF(FB$1="","",'Total Value'!FB38/'Total Value'!FA38-1)</f>
        <v/>
      </c>
      <c r="FC26" s="14" t="str">
        <f ca="1">IF(FC$1="","",'Total Value'!FC38/'Total Value'!FB38-1)</f>
        <v/>
      </c>
      <c r="FD26" s="14" t="str">
        <f ca="1">IF(FD$1="","",'Total Value'!FD38/'Total Value'!FC38-1)</f>
        <v/>
      </c>
      <c r="FE26" s="14" t="str">
        <f ca="1">IF(FE$1="","",'Total Value'!FE38/'Total Value'!FD38-1)</f>
        <v/>
      </c>
      <c r="FF26" s="14" t="str">
        <f ca="1">IF(FF$1="","",'Total Value'!FF38/'Total Value'!FE38-1)</f>
        <v/>
      </c>
      <c r="FG26" s="14" t="str">
        <f ca="1">IF(FG$1="","",'Total Value'!FG38/'Total Value'!FF38-1)</f>
        <v/>
      </c>
      <c r="FH26" s="14" t="str">
        <f ca="1">IF(FH$1="","",'Total Value'!FH38/'Total Value'!FG38-1)</f>
        <v/>
      </c>
      <c r="FI26" s="14" t="str">
        <f ca="1">IF(FI$1="","",'Total Value'!FI38/'Total Value'!FH38-1)</f>
        <v/>
      </c>
      <c r="FJ26" s="14" t="str">
        <f ca="1">IF(FJ$1="","",'Total Value'!FJ38/'Total Value'!FI38-1)</f>
        <v/>
      </c>
      <c r="FK26" s="14" t="str">
        <f ca="1">IF(FK$1="","",'Total Value'!FK38/'Total Value'!FJ38-1)</f>
        <v/>
      </c>
      <c r="FL26" s="14" t="str">
        <f ca="1">IF(FL$1="","",'Total Value'!FL38/'Total Value'!FK38-1)</f>
        <v/>
      </c>
      <c r="FM26" s="14" t="str">
        <f ca="1">IF(FM$1="","",'Total Value'!FM38/'Total Value'!FL38-1)</f>
        <v/>
      </c>
      <c r="FN26" s="14" t="str">
        <f ca="1">IF(FN$1="","",'Total Value'!FN38/'Total Value'!FM38-1)</f>
        <v/>
      </c>
      <c r="FO26" s="14" t="str">
        <f ca="1">IF(FO$1="","",'Total Value'!FO38/'Total Value'!FN38-1)</f>
        <v/>
      </c>
      <c r="FP26" s="14" t="str">
        <f ca="1">IF(FP$1="","",'Total Value'!FP38/'Total Value'!FO38-1)</f>
        <v/>
      </c>
      <c r="FQ26" s="14" t="str">
        <f ca="1">IF(FQ$1="","",'Total Value'!FQ38/'Total Value'!FP38-1)</f>
        <v/>
      </c>
      <c r="FR26" s="14" t="str">
        <f ca="1">IF(FR$1="","",'Total Value'!FR38/'Total Value'!FQ38-1)</f>
        <v/>
      </c>
      <c r="FS26" s="14" t="str">
        <f ca="1">IF(FS$1="","",'Total Value'!FS38/'Total Value'!FR38-1)</f>
        <v/>
      </c>
      <c r="FT26" s="14" t="str">
        <f ca="1">IF(FT$1="","",'Total Value'!FT38/'Total Value'!FS38-1)</f>
        <v/>
      </c>
      <c r="FU26" s="14" t="str">
        <f ca="1">IF(FU$1="","",'Total Value'!FU38/'Total Value'!FT38-1)</f>
        <v/>
      </c>
      <c r="FV26" s="14" t="str">
        <f ca="1">IF(FV$1="","",'Total Value'!FV38/'Total Value'!FU38-1)</f>
        <v/>
      </c>
      <c r="FW26" s="14" t="str">
        <f ca="1">IF(FW$1="","",'Total Value'!FW38/'Total Value'!FV38-1)</f>
        <v/>
      </c>
      <c r="FX26" s="14" t="str">
        <f ca="1">IF(FX$1="","",'Total Value'!FX38/'Total Value'!FW38-1)</f>
        <v/>
      </c>
      <c r="FY26" s="14" t="str">
        <f ca="1">IF(FY$1="","",'Total Value'!FY38/'Total Value'!FX38-1)</f>
        <v/>
      </c>
      <c r="FZ26" s="14" t="str">
        <f ca="1">IF(FZ$1="","",'Total Value'!FZ38/'Total Value'!FY38-1)</f>
        <v/>
      </c>
      <c r="GA26" s="14" t="str">
        <f ca="1">IF(GA$1="","",'Total Value'!GA38/'Total Value'!FZ38-1)</f>
        <v/>
      </c>
      <c r="GB26" s="14" t="str">
        <f ca="1">IF(GB$1="","",'Total Value'!GB38/'Total Value'!GA38-1)</f>
        <v/>
      </c>
      <c r="GC26" s="14" t="str">
        <f ca="1">IF(GC$1="","",'Total Value'!GC38/'Total Value'!GB38-1)</f>
        <v/>
      </c>
      <c r="GD26" s="14" t="str">
        <f ca="1">IF(GD$1="","",'Total Value'!GD38/'Total Value'!GC38-1)</f>
        <v/>
      </c>
      <c r="GE26" s="14" t="str">
        <f ca="1">IF(GE$1="","",'Total Value'!GE38/'Total Value'!GD38-1)</f>
        <v/>
      </c>
      <c r="GF26" s="14" t="str">
        <f ca="1">IF(GF$1="","",'Total Value'!GF38/'Total Value'!GE38-1)</f>
        <v/>
      </c>
      <c r="GG26" s="14" t="str">
        <f ca="1">IF(GG$1="","",'Total Value'!GG38/'Total Value'!GF38-1)</f>
        <v/>
      </c>
      <c r="GH26" s="14" t="str">
        <f ca="1">IF(GH$1="","",'Total Value'!GH38/'Total Value'!GG38-1)</f>
        <v/>
      </c>
      <c r="GI26" s="14" t="str">
        <f ca="1">IF(GI$1="","",'Total Value'!GI38/'Total Value'!GH38-1)</f>
        <v/>
      </c>
      <c r="GJ26" s="14" t="str">
        <f ca="1">IF(GJ$1="","",'Total Value'!GJ38/'Total Value'!GI38-1)</f>
        <v/>
      </c>
      <c r="GK26" s="14" t="str">
        <f ca="1">IF(GK$1="","",'Total Value'!GK38/'Total Value'!GJ38-1)</f>
        <v/>
      </c>
      <c r="GL26" s="14" t="str">
        <f ca="1">IF(GL$1="","",'Total Value'!GL38/'Total Value'!GK38-1)</f>
        <v/>
      </c>
      <c r="GM26" s="14" t="str">
        <f ca="1">IF(GM$1="","",'Total Value'!GM38/'Total Value'!GL38-1)</f>
        <v/>
      </c>
      <c r="GN26" s="14" t="str">
        <f ca="1">IF(GN$1="","",'Total Value'!GN38/'Total Value'!GM38-1)</f>
        <v/>
      </c>
      <c r="GO26" s="14" t="str">
        <f ca="1">IF(GO$1="","",'Total Value'!GO38/'Total Value'!GN38-1)</f>
        <v/>
      </c>
      <c r="GP26" s="14" t="str">
        <f ca="1">IF(GP$1="","",'Total Value'!GP38/'Total Value'!GO38-1)</f>
        <v/>
      </c>
      <c r="GQ26" s="14" t="str">
        <f ca="1">IF(GQ$1="","",'Total Value'!GQ38/'Total Value'!GP38-1)</f>
        <v/>
      </c>
      <c r="GR26" s="14" t="str">
        <f ca="1">IF(GR$1="","",'Total Value'!GR38/'Total Value'!GQ38-1)</f>
        <v/>
      </c>
      <c r="GS26" s="14" t="str">
        <f ca="1">IF(GS$1="","",'Total Value'!GS38/'Total Value'!GR38-1)</f>
        <v/>
      </c>
      <c r="GT26" s="14" t="str">
        <f ca="1">IF(GT$1="","",'Total Value'!GT38/'Total Value'!GS38-1)</f>
        <v/>
      </c>
      <c r="GU26" s="14" t="str">
        <f ca="1">IF(GU$1="","",'Total Value'!GU38/'Total Value'!GT38-1)</f>
        <v/>
      </c>
      <c r="GV26" s="14" t="str">
        <f ca="1">IF(GV$1="","",'Total Value'!GV38/'Total Value'!GU38-1)</f>
        <v/>
      </c>
      <c r="GW26" s="14" t="str">
        <f ca="1">IF(GW$1="","",'Total Value'!GW38/'Total Value'!GV38-1)</f>
        <v/>
      </c>
      <c r="GX26" s="14" t="str">
        <f ca="1">IF(GX$1="","",'Total Value'!GX38/'Total Value'!GW38-1)</f>
        <v/>
      </c>
      <c r="GY26" s="14" t="str">
        <f ca="1">IF(GY$1="","",'Total Value'!GY38/'Total Value'!GX38-1)</f>
        <v/>
      </c>
      <c r="GZ26" s="14" t="str">
        <f ca="1">IF(GZ$1="","",'Total Value'!GZ38/'Total Value'!GY38-1)</f>
        <v/>
      </c>
      <c r="HA26" s="14" t="str">
        <f ca="1">IF(HA$1="","",'Total Value'!HA38/'Total Value'!GZ38-1)</f>
        <v/>
      </c>
      <c r="HB26" s="14" t="str">
        <f ca="1">IF(HB$1="","",'Total Value'!HB38/'Total Value'!HA38-1)</f>
        <v/>
      </c>
      <c r="HC26" s="14" t="str">
        <f ca="1">IF(HC$1="","",'Total Value'!HC38/'Total Value'!HB38-1)</f>
        <v/>
      </c>
      <c r="HD26" s="14" t="str">
        <f ca="1">IF(HD$1="","",'Total Value'!HD38/'Total Value'!HC38-1)</f>
        <v/>
      </c>
      <c r="HE26" s="14" t="str">
        <f ca="1">IF(HE$1="","",'Total Value'!HE38/'Total Value'!HD38-1)</f>
        <v/>
      </c>
      <c r="HF26" s="14" t="str">
        <f ca="1">IF(HF$1="","",'Total Value'!HF38/'Total Value'!HE38-1)</f>
        <v/>
      </c>
      <c r="HG26" s="14" t="str">
        <f ca="1">IF(HG$1="","",'Total Value'!HG38/'Total Value'!HF38-1)</f>
        <v/>
      </c>
      <c r="HH26" s="14" t="str">
        <f ca="1">IF(HH$1="","",'Total Value'!HH38/'Total Value'!HG38-1)</f>
        <v/>
      </c>
      <c r="HI26" s="14" t="str">
        <f ca="1">IF(HI$1="","",'Total Value'!HI38/'Total Value'!HH38-1)</f>
        <v/>
      </c>
      <c r="HJ26" s="14" t="str">
        <f ca="1">IF(HJ$1="","",'Total Value'!HJ38/'Total Value'!HI38-1)</f>
        <v/>
      </c>
      <c r="HK26" s="14" t="str">
        <f ca="1">IF(HK$1="","",'Total Value'!HK38/'Total Value'!HJ38-1)</f>
        <v/>
      </c>
      <c r="HL26" s="14" t="str">
        <f ca="1">IF(HL$1="","",'Total Value'!HL38/'Total Value'!HK38-1)</f>
        <v/>
      </c>
      <c r="HM26" s="14" t="str">
        <f ca="1">IF(HM$1="","",'Total Value'!HM38/'Total Value'!HL38-1)</f>
        <v/>
      </c>
      <c r="HN26" s="14" t="str">
        <f ca="1">IF(HN$1="","",'Total Value'!HN38/'Total Value'!HM38-1)</f>
        <v/>
      </c>
      <c r="HO26" s="14" t="str">
        <f ca="1">IF(HO$1="","",'Total Value'!HO38/'Total Value'!HN38-1)</f>
        <v/>
      </c>
      <c r="HP26" s="14" t="str">
        <f ca="1">IF(HP$1="","",'Total Value'!HP38/'Total Value'!HO38-1)</f>
        <v/>
      </c>
      <c r="HQ26" s="14" t="str">
        <f ca="1">IF(HQ$1="","",'Total Value'!HQ38/'Total Value'!HP38-1)</f>
        <v/>
      </c>
      <c r="HR26" s="14" t="str">
        <f ca="1">IF(HR$1="","",'Total Value'!HR38/'Total Value'!HQ38-1)</f>
        <v/>
      </c>
      <c r="HS26" s="14" t="str">
        <f ca="1">IF(HS$1="","",'Total Value'!HS38/'Total Value'!HR38-1)</f>
        <v/>
      </c>
      <c r="HT26" s="14" t="str">
        <f ca="1">IF(HT$1="","",'Total Value'!HT38/'Total Value'!HS38-1)</f>
        <v/>
      </c>
      <c r="HU26" s="14" t="str">
        <f ca="1">IF(HU$1="","",'Total Value'!HU38/'Total Value'!HT38-1)</f>
        <v/>
      </c>
      <c r="HV26" s="14" t="str">
        <f ca="1">IF(HV$1="","",'Total Value'!HV38/'Total Value'!HU38-1)</f>
        <v/>
      </c>
      <c r="HW26" s="14" t="str">
        <f ca="1">IF(HW$1="","",'Total Value'!HW38/'Total Value'!HV38-1)</f>
        <v/>
      </c>
      <c r="HX26" s="14" t="str">
        <f ca="1">IF(HX$1="","",'Total Value'!HX38/'Total Value'!HW38-1)</f>
        <v/>
      </c>
      <c r="HY26" s="14" t="str">
        <f ca="1">IF(HY$1="","",'Total Value'!HY38/'Total Value'!HX38-1)</f>
        <v/>
      </c>
      <c r="HZ26" s="14" t="str">
        <f ca="1">IF(HZ$1="","",'Total Value'!HZ38/'Total Value'!HY38-1)</f>
        <v/>
      </c>
      <c r="IA26" s="14" t="str">
        <f ca="1">IF(IA$1="","",'Total Value'!IA38/'Total Value'!HZ38-1)</f>
        <v/>
      </c>
      <c r="IB26" s="14" t="str">
        <f ca="1">IF(IB$1="","",'Total Value'!IB38/'Total Value'!IA38-1)</f>
        <v/>
      </c>
      <c r="IC26" s="14" t="str">
        <f ca="1">IF(IC$1="","",'Total Value'!IC38/'Total Value'!IB38-1)</f>
        <v/>
      </c>
      <c r="ID26" s="14" t="str">
        <f ca="1">IF(ID$1="","",'Total Value'!ID38/'Total Value'!IC38-1)</f>
        <v/>
      </c>
      <c r="IE26" s="14" t="str">
        <f ca="1">IF(IE$1="","",'Total Value'!IE38/'Total Value'!ID38-1)</f>
        <v/>
      </c>
      <c r="IF26" s="14" t="str">
        <f ca="1">IF(IF$1="","",'Total Value'!IF38/'Total Value'!IE38-1)</f>
        <v/>
      </c>
      <c r="IG26" s="14" t="str">
        <f ca="1">IF(IG$1="","",'Total Value'!IG38/'Total Value'!IF38-1)</f>
        <v/>
      </c>
      <c r="IH26" s="14" t="str">
        <f ca="1">IF(IH$1="","",'Total Value'!IH38/'Total Value'!IG38-1)</f>
        <v/>
      </c>
      <c r="II26" s="14" t="str">
        <f ca="1">IF(II$1="","",'Total Value'!II38/'Total Value'!IH38-1)</f>
        <v/>
      </c>
      <c r="IJ26" s="14" t="str">
        <f ca="1">IF(IJ$1="","",'Total Value'!IJ38/'Total Value'!II38-1)</f>
        <v/>
      </c>
      <c r="IK26" s="14" t="str">
        <f ca="1">IF(IK$1="","",'Total Value'!IK38/'Total Value'!IJ38-1)</f>
        <v/>
      </c>
      <c r="IL26" s="14" t="str">
        <f ca="1">IF(IL$1="","",'Total Value'!IL38/'Total Value'!IK38-1)</f>
        <v/>
      </c>
      <c r="IM26" s="14" t="str">
        <f ca="1">IF(IM$1="","",'Total Value'!IM38/'Total Value'!IL38-1)</f>
        <v/>
      </c>
      <c r="IN26" s="14" t="str">
        <f ca="1">IF(IN$1="","",'Total Value'!IN38/'Total Value'!IM38-1)</f>
        <v/>
      </c>
      <c r="IO26" s="14" t="str">
        <f ca="1">IF(IO$1="","",'Total Value'!IO38/'Total Value'!IN38-1)</f>
        <v/>
      </c>
      <c r="IP26" s="14" t="str">
        <f ca="1">IF(IP$1="","",'Total Value'!IP38/'Total Value'!IO38-1)</f>
        <v/>
      </c>
      <c r="IQ26" s="14" t="str">
        <f ca="1">IF(IQ$1="","",'Total Value'!IQ38/'Total Value'!IP38-1)</f>
        <v/>
      </c>
      <c r="IR26" s="14" t="str">
        <f ca="1">IF(IR$1="","",'Total Value'!IR38/'Total Value'!IQ38-1)</f>
        <v/>
      </c>
      <c r="IS26" s="14" t="str">
        <f ca="1">IF(IS$1="","",'Total Value'!IS38/'Total Value'!IR38-1)</f>
        <v/>
      </c>
      <c r="IT26" s="14" t="str">
        <f ca="1">IF(IT$1="","",'Total Value'!IT38/'Total Value'!IS38-1)</f>
        <v/>
      </c>
      <c r="IU26" s="14" t="str">
        <f ca="1">IF(IU$1="","",'Total Value'!IU38/'Total Value'!IT38-1)</f>
        <v/>
      </c>
      <c r="IV26" s="14" t="str">
        <f ca="1">IF(IV$1="","",'Total Value'!IV38/'Total Value'!IU38-1)</f>
        <v/>
      </c>
      <c r="IW26" s="14" t="str">
        <f ca="1">IF(IW$1="","",'Total Value'!IW38/'Total Value'!IV38-1)</f>
        <v/>
      </c>
      <c r="IX26" s="14" t="str">
        <f ca="1">IF(IX$1="","",'Total Value'!IX38/'Total Value'!IW38-1)</f>
        <v/>
      </c>
      <c r="IY26" s="14" t="str">
        <f ca="1">IF(IY$1="","",'Total Value'!IY38/'Total Value'!IX38-1)</f>
        <v/>
      </c>
      <c r="IZ26" s="14" t="str">
        <f ca="1">IF(IZ$1="","",'Total Value'!IZ38/'Total Value'!IY38-1)</f>
        <v/>
      </c>
      <c r="JA26" s="14" t="str">
        <f ca="1">IF(JA$1="","",'Total Value'!JA38/'Total Value'!IZ38-1)</f>
        <v/>
      </c>
      <c r="JB26" s="14" t="str">
        <f ca="1">IF(JB$1="","",'Total Value'!JB38/'Total Value'!JA38-1)</f>
        <v/>
      </c>
      <c r="JC26" s="14" t="str">
        <f ca="1">IF(JC$1="","",'Total Value'!JC38/'Total Value'!JB38-1)</f>
        <v/>
      </c>
      <c r="JD26" s="14" t="str">
        <f ca="1">IF(JD$1="","",'Total Value'!JD38/'Total Value'!JC38-1)</f>
        <v/>
      </c>
      <c r="JE26" s="14" t="str">
        <f ca="1">IF(JE$1="","",'Total Value'!JE38/'Total Value'!JD38-1)</f>
        <v/>
      </c>
      <c r="JF26" s="14" t="str">
        <f ca="1">IF(JF$1="","",'Total Value'!JF38/'Total Value'!JE38-1)</f>
        <v/>
      </c>
      <c r="JG26" s="14" t="str">
        <f ca="1">IF(JG$1="","",'Total Value'!JG38/'Total Value'!JF38-1)</f>
        <v/>
      </c>
      <c r="JH26" s="14" t="str">
        <f ca="1">IF(JH$1="","",'Total Value'!JH38/'Total Value'!JG38-1)</f>
        <v/>
      </c>
      <c r="JI26" s="14" t="str">
        <f ca="1">IF(JI$1="","",'Total Value'!JI38/'Total Value'!JH38-1)</f>
        <v/>
      </c>
      <c r="JJ26" s="14" t="str">
        <f ca="1">IF(JJ$1="","",'Total Value'!JJ38/'Total Value'!JI38-1)</f>
        <v/>
      </c>
      <c r="JK26" s="14" t="str">
        <f ca="1">IF(JK$1="","",'Total Value'!JK38/'Total Value'!JJ38-1)</f>
        <v/>
      </c>
      <c r="JL26" s="14" t="str">
        <f ca="1">IF(JL$1="","",'Total Value'!JL38/'Total Value'!JK38-1)</f>
        <v/>
      </c>
      <c r="JM26" s="14" t="str">
        <f ca="1">IF(JM$1="","",'Total Value'!JM38/'Total Value'!JL38-1)</f>
        <v/>
      </c>
      <c r="JN26" s="14" t="str">
        <f ca="1">IF(JN$1="","",'Total Value'!JN38/'Total Value'!JM38-1)</f>
        <v/>
      </c>
      <c r="JO26" s="14" t="str">
        <f ca="1">IF(JO$1="","",'Total Value'!JO38/'Total Value'!JN38-1)</f>
        <v/>
      </c>
      <c r="JP26" s="14" t="str">
        <f ca="1">IF(JP$1="","",'Total Value'!JP38/'Total Value'!JO38-1)</f>
        <v/>
      </c>
      <c r="JQ26" s="14" t="str">
        <f ca="1">IF(JQ$1="","",'Total Value'!JQ38/'Total Value'!JP38-1)</f>
        <v/>
      </c>
      <c r="JR26" s="14" t="str">
        <f ca="1">IF(JR$1="","",'Total Value'!JR38/'Total Value'!JQ38-1)</f>
        <v/>
      </c>
      <c r="JS26" s="14" t="str">
        <f ca="1">IF(JS$1="","",'Total Value'!JS38/'Total Value'!JR38-1)</f>
        <v/>
      </c>
      <c r="JT26" s="14" t="str">
        <f ca="1">IF(JT$1="","",'Total Value'!JT38/'Total Value'!JS38-1)</f>
        <v/>
      </c>
      <c r="JU26" s="14" t="str">
        <f ca="1">IF(JU$1="","",'Total Value'!JU38/'Total Value'!JT38-1)</f>
        <v/>
      </c>
      <c r="JV26" s="14" t="str">
        <f ca="1">IF(JV$1="","",'Total Value'!JV38/'Total Value'!JU38-1)</f>
        <v/>
      </c>
      <c r="JW26" s="14" t="str">
        <f ca="1">IF(JW$1="","",'Total Value'!JW38/'Total Value'!JV38-1)</f>
        <v/>
      </c>
      <c r="JX26" s="14" t="str">
        <f ca="1">IF(JX$1="","",'Total Value'!JX38/'Total Value'!JW38-1)</f>
        <v/>
      </c>
      <c r="JY26" s="14" t="str">
        <f ca="1">IF(JY$1="","",'Total Value'!JY38/'Total Value'!JX38-1)</f>
        <v/>
      </c>
      <c r="JZ26" s="14" t="str">
        <f ca="1">IF(JZ$1="","",'Total Value'!JZ38/'Total Value'!JY38-1)</f>
        <v/>
      </c>
      <c r="KA26" s="14" t="str">
        <f ca="1">IF(KA$1="","",'Total Value'!KA38/'Total Value'!JZ38-1)</f>
        <v/>
      </c>
      <c r="KB26" s="14" t="str">
        <f ca="1">IF(KB$1="","",'Total Value'!KB38/'Total Value'!KA38-1)</f>
        <v/>
      </c>
    </row>
    <row r="27" spans="1:288" ht="15.75" customHeight="1">
      <c r="A27" s="22" t="s">
        <v>30</v>
      </c>
      <c r="B27" s="6" t="s">
        <v>71</v>
      </c>
      <c r="C27" s="26">
        <v>129</v>
      </c>
      <c r="D27" s="13">
        <v>0</v>
      </c>
      <c r="E27" s="14">
        <f ca="1">IF(E$1="","",'Total Value'!E39/'Total Value'!D39-1)</f>
        <v>-1.3556618819776767E-2</v>
      </c>
      <c r="F27" s="14">
        <f ca="1">IF(F$1="","",'Total Value'!F39/'Total Value'!E39-1)</f>
        <v>-7.275666936135794E-3</v>
      </c>
      <c r="G27" s="14">
        <f ca="1">IF(G$1="","",'Total Value'!G39/'Total Value'!F39-1)</f>
        <v>-2.280130293159599E-2</v>
      </c>
      <c r="H27" s="14">
        <f ca="1">IF(H$1="","",'Total Value'!H39/'Total Value'!G39-1)</f>
        <v>8.3333333333333037E-3</v>
      </c>
      <c r="I27" s="14">
        <f ca="1">IF(I$1="","",'Total Value'!I39/'Total Value'!H39-1)</f>
        <v>-3.1404958677685779E-2</v>
      </c>
      <c r="J27" s="14">
        <f ca="1">IF(J$1="","",'Total Value'!J39/'Total Value'!I39-1)</f>
        <v>3.5836177474402708E-2</v>
      </c>
      <c r="K27" s="14">
        <f ca="1">IF(K$1="","",'Total Value'!K39/'Total Value'!J39-1)</f>
        <v>-2.9654036243822235E-2</v>
      </c>
      <c r="L27" s="14">
        <f ca="1">IF(L$1="","",'Total Value'!L39/'Total Value'!K39-1)</f>
        <v>-7.045840407470283E-2</v>
      </c>
      <c r="M27" s="14">
        <f ca="1">IF(M$1="","",'Total Value'!M39/'Total Value'!L39-1)</f>
        <v>2.1004566210045761E-2</v>
      </c>
      <c r="N27" s="14">
        <f ca="1">IF(N$1="","",'Total Value'!N39/'Total Value'!M39-1)</f>
        <v>-2.5044722719141266E-2</v>
      </c>
      <c r="O27" s="14">
        <f ca="1">IF(O$1="","",'Total Value'!O39/'Total Value'!N39-1)</f>
        <v>-2.2935779816513735E-2</v>
      </c>
      <c r="P27" s="14">
        <f ca="1">IF(P$1="","",'Total Value'!P39/'Total Value'!O39-1)</f>
        <v>-2.7230046948357067E-2</v>
      </c>
      <c r="Q27" s="14">
        <f ca="1">IF(Q$1="","",'Total Value'!Q39/'Total Value'!P39-1)</f>
        <v>2.7992277992278325E-2</v>
      </c>
      <c r="R27" s="14">
        <f ca="1">IF(R$1="","",'Total Value'!R39/'Total Value'!Q39-1)</f>
        <v>4.4131455399060826E-2</v>
      </c>
      <c r="S27" s="14">
        <f ca="1">IF(S$1="","",'Total Value'!S39/'Total Value'!R39-1)</f>
        <v>-5.3956834532372655E-3</v>
      </c>
      <c r="T27" s="14">
        <f ca="1">IF(T$1="","",'Total Value'!T39/'Total Value'!S39-1)</f>
        <v>-4.9728752260397857E-2</v>
      </c>
      <c r="U27" s="14">
        <f ca="1">IF(U$1="","",'Total Value'!U39/'Total Value'!T39-1)</f>
        <v>-5.5185537583253952E-2</v>
      </c>
      <c r="V27" s="14">
        <f ca="1">IF(V$1="","",'Total Value'!V39/'Total Value'!U39-1)</f>
        <v>5.3373615307150235E-2</v>
      </c>
      <c r="W27" s="14">
        <f ca="1">IF(W$1="","",'Total Value'!W39/'Total Value'!V39-1)</f>
        <v>1.1472275334607929E-2</v>
      </c>
      <c r="X27" s="14">
        <f ca="1">IF(X$1="","",'Total Value'!X39/'Total Value'!W39-1)</f>
        <v>8.5066162570890391E-3</v>
      </c>
      <c r="Y27" s="14">
        <f ca="1">IF(Y$1="","",'Total Value'!Y39/'Total Value'!X39-1)</f>
        <v>5.7169634489222076E-2</v>
      </c>
      <c r="Z27" s="14">
        <f ca="1">IF(Z$1="","",'Total Value'!Z39/'Total Value'!Y39-1)</f>
        <v>-2.0390070921985748E-2</v>
      </c>
      <c r="AA27" s="14">
        <f ca="1">IF(AA$1="","",'Total Value'!AA39/'Total Value'!Z39-1)</f>
        <v>-1.2669683257918507E-2</v>
      </c>
      <c r="AB27" s="14">
        <f ca="1">IF(AB$1="","",'Total Value'!AB39/'Total Value'!AA39-1)</f>
        <v>-4.5829514207151867E-3</v>
      </c>
      <c r="AC27" s="14">
        <f ca="1">IF(AC$1="","",'Total Value'!AC39/'Total Value'!AB39-1)</f>
        <v>2.9465930018416353E-2</v>
      </c>
      <c r="AD27" s="14">
        <f ca="1">IF(AD$1="","",'Total Value'!AD39/'Total Value'!AC39-1)</f>
        <v>8.944543828264262E-4</v>
      </c>
      <c r="AE27" s="14">
        <f ca="1">IF(AE$1="","",'Total Value'!AE39/'Total Value'!AD39-1)</f>
        <v>-4.4682752457551378E-2</v>
      </c>
      <c r="AF27" s="14">
        <f ca="1">IF(AF$1="","",'Total Value'!AF39/'Total Value'!AE39-1)</f>
        <v>-1.3096351730589317E-2</v>
      </c>
      <c r="AG27" s="14">
        <f ca="1">IF(AG$1="","",'Total Value'!AG39/'Total Value'!AF39-1)</f>
        <v>-2.0853080568720483E-2</v>
      </c>
      <c r="AH27" s="14">
        <f ca="1">IF(AH$1="","",'Total Value'!AH39/'Total Value'!AG39-1)</f>
        <v>-5.3242981606970052E-2</v>
      </c>
      <c r="AI27" s="14">
        <f ca="1">IF(AI$1="","",'Total Value'!AI39/'Total Value'!AH39-1)</f>
        <v>4.2944785276073594E-2</v>
      </c>
      <c r="AJ27" s="14">
        <f ca="1">IF(AJ$1="","",'Total Value'!AJ39/'Total Value'!AI39-1)</f>
        <v>-2.1568627450980316E-2</v>
      </c>
      <c r="AK27" s="14">
        <f ca="1">IF(AK$1="","",'Total Value'!AK39/'Total Value'!AJ39-1)</f>
        <v>2.6052104208416749E-2</v>
      </c>
      <c r="AL27" s="14">
        <f ca="1">IF(AL$1="","",'Total Value'!AL39/'Total Value'!AK39-1)</f>
        <v>7.2265625E-2</v>
      </c>
      <c r="AM27" s="14">
        <f ca="1">IF(AM$1="","",'Total Value'!AM39/'Total Value'!AL39-1)</f>
        <v>-2.0947176684881663E-2</v>
      </c>
      <c r="AN27" s="14">
        <f ca="1">IF(AN$1="","",'Total Value'!AN39/'Total Value'!AM39-1)</f>
        <v>-1.3953488372093092E-2</v>
      </c>
      <c r="AO27" s="14">
        <f ca="1">IF(AO$1="","",'Total Value'!AO39/'Total Value'!AN39-1)</f>
        <v>-9.4339622641508303E-3</v>
      </c>
      <c r="AP27" s="14">
        <f ca="1">IF(AP$1="","",'Total Value'!AP39/'Total Value'!AO39-1)</f>
        <v>-3.6190476190476328E-2</v>
      </c>
      <c r="AQ27" s="14">
        <f ca="1">IF(AQ$1="","",'Total Value'!AQ39/'Total Value'!AP39-1)</f>
        <v>2.1739130434782705E-2</v>
      </c>
      <c r="AR27" s="14">
        <f ca="1">IF(AR$1="","",'Total Value'!AR39/'Total Value'!AQ39-1)</f>
        <v>6.8665377176015507E-2</v>
      </c>
      <c r="AS27" s="14">
        <f ca="1">IF(AS$1="","",'Total Value'!AS39/'Total Value'!AR39-1)</f>
        <v>-1.0859728506787292E-2</v>
      </c>
      <c r="AT27" s="14">
        <f ca="1">IF(AT$1="","",'Total Value'!AT39/'Total Value'!AS39-1)</f>
        <v>-2.7447392497712553E-2</v>
      </c>
      <c r="AU27" s="14">
        <f ca="1">IF(AU$1="","",'Total Value'!AU39/'Total Value'!AT39-1)</f>
        <v>-0.60865475070555042</v>
      </c>
      <c r="AV27" s="14">
        <f ca="1">IF(AV$1="","",'Total Value'!AV39/'Total Value'!AU39-1)</f>
        <v>7.6923076923077094E-2</v>
      </c>
      <c r="AW27" s="14">
        <f ca="1">IF(AW$1="","",'Total Value'!AW39/'Total Value'!AV39-1)</f>
        <v>3.3482142857142794E-2</v>
      </c>
      <c r="AX27" s="14">
        <f ca="1">IF(AX$1="","",'Total Value'!AX39/'Total Value'!AW39-1)</f>
        <v>0.1965442764578833</v>
      </c>
      <c r="AY27" s="14">
        <f ca="1">IF(AY$1="","",'Total Value'!AY39/'Total Value'!AX39-1)</f>
        <v>1.0830324909747224E-2</v>
      </c>
      <c r="AZ27" s="14">
        <f ca="1">IF(AZ$1="","",'Total Value'!AZ39/'Total Value'!AY39-1)</f>
        <v>1.6071428571428736E-2</v>
      </c>
      <c r="BA27" s="14">
        <f ca="1">IF(BA$1="","",'Total Value'!BA39/'Total Value'!AZ39-1)</f>
        <v>6.8541300527240612E-2</v>
      </c>
      <c r="BB27" s="14">
        <f ca="1">IF(BB$1="","",'Total Value'!BB39/'Total Value'!BA39-1)</f>
        <v>1.4802631578947345E-2</v>
      </c>
      <c r="BC27" s="14">
        <f ca="1">IF(BC$1="","",'Total Value'!BC39/'Total Value'!BB39-1)</f>
        <v>-4.8622366288492591E-2</v>
      </c>
      <c r="BD27" s="14">
        <f ca="1">IF(BD$1="","",'Total Value'!BD39/'Total Value'!BC39-1)</f>
        <v>-4.2589437819420817E-2</v>
      </c>
      <c r="BE27" s="14">
        <f ca="1">IF(BE$1="","",'Total Value'!BE39/'Total Value'!BD39-1)</f>
        <v>-1.2455516014235002E-2</v>
      </c>
      <c r="BF27" s="14">
        <f ca="1">IF(BF$1="","",'Total Value'!BF39/'Total Value'!BE39-1)</f>
        <v>3.6036036036036112E-2</v>
      </c>
      <c r="BG27" s="14">
        <f ca="1">IF(BG$1="","",'Total Value'!BG39/'Total Value'!BF39-1)</f>
        <v>-3.130434782608682E-2</v>
      </c>
      <c r="BH27" s="14">
        <f ca="1">IF(BH$1="","",'Total Value'!BH39/'Total Value'!BG39-1)</f>
        <v>-3.2315978456014527E-2</v>
      </c>
      <c r="BI27" s="14">
        <f ca="1">IF(BI$1="","",'Total Value'!BI39/'Total Value'!BH39-1)</f>
        <v>3.710575139146588E-2</v>
      </c>
      <c r="BJ27" s="14">
        <f ca="1">IF(BJ$1="","",'Total Value'!BJ39/'Total Value'!BI39-1)</f>
        <v>2.5044722719141488E-2</v>
      </c>
      <c r="BK27" s="14">
        <f ca="1">IF(BK$1="","",'Total Value'!BK39/'Total Value'!BJ39-1)</f>
        <v>-1.5706806282722696E-2</v>
      </c>
      <c r="BL27" s="14">
        <f ca="1">IF(BL$1="","",'Total Value'!BL39/'Total Value'!BK39-1)</f>
        <v>1.7730496453900901E-2</v>
      </c>
      <c r="BM27" s="14">
        <f ca="1">IF(BM$1="","",'Total Value'!BM39/'Total Value'!BL39-1)</f>
        <v>5.2264808362367798E-3</v>
      </c>
      <c r="BN27" s="14">
        <f ca="1">IF(BN$1="","",'Total Value'!BN39/'Total Value'!BM39-1)</f>
        <v>-4.5060658578856105E-2</v>
      </c>
      <c r="BO27" s="14">
        <f ca="1">IF(BO$1="","",'Total Value'!BO39/'Total Value'!BN39-1)</f>
        <v>1.6333938294010864E-2</v>
      </c>
      <c r="BP27" s="14">
        <f ca="1">IF(BP$1="","",'Total Value'!BP39/'Total Value'!BO39-1)</f>
        <v>1.9642857142857295E-2</v>
      </c>
      <c r="BQ27" s="14">
        <f ca="1">IF(BQ$1="","",'Total Value'!BQ39/'Total Value'!BP39-1)</f>
        <v>8.0560420315236358E-2</v>
      </c>
      <c r="BR27" s="14">
        <f ca="1">IF(BR$1="","",'Total Value'!BR39/'Total Value'!BQ39-1)</f>
        <v>-1.6207455429496642E-3</v>
      </c>
      <c r="BS27" s="14">
        <f ca="1">IF(BS$1="","",'Total Value'!BS39/'Total Value'!BR39-1)</f>
        <v>-0.23051948051948046</v>
      </c>
      <c r="BT27" s="14">
        <f ca="1">IF(BT$1="","",'Total Value'!BT39/'Total Value'!BS39-1)</f>
        <v>-2.320675105485237E-2</v>
      </c>
      <c r="BU27" s="14">
        <f ca="1">IF(BU$1="","",'Total Value'!BU39/'Total Value'!BT39-1)</f>
        <v>6.4794816414686096E-3</v>
      </c>
      <c r="BV27" s="14">
        <f ca="1">IF(BV$1="","",'Total Value'!BV39/'Total Value'!BU39-1)</f>
        <v>-3.4334763948497882E-2</v>
      </c>
      <c r="BW27" s="14">
        <f ca="1">IF(BW$1="","",'Total Value'!BW39/'Total Value'!BV39-1)</f>
        <v>1.3333333333333197E-2</v>
      </c>
      <c r="BX27" s="14">
        <f ca="1">IF(BX$1="","",'Total Value'!BX39/'Total Value'!BW39-1)</f>
        <v>3.5087719298245723E-2</v>
      </c>
      <c r="BY27" s="14">
        <f ca="1">IF(BY$1="","",'Total Value'!BY39/'Total Value'!BX39-1)</f>
        <v>-8.2627118644067687E-2</v>
      </c>
      <c r="BZ27" s="14">
        <f ca="1">IF(BZ$1="","",'Total Value'!BZ39/'Total Value'!BY39-1)</f>
        <v>-1.616628175519641E-2</v>
      </c>
      <c r="CA27" s="14">
        <f ca="1">IF(CA$1="","",'Total Value'!CA39/'Total Value'!BZ39-1)</f>
        <v>-1.1737089201877771E-2</v>
      </c>
      <c r="CB27" s="14">
        <f ca="1">IF(CB$1="","",'Total Value'!CB39/'Total Value'!CA39-1)</f>
        <v>-1.9002375296912177E-2</v>
      </c>
      <c r="CC27" s="14">
        <f ca="1">IF(CC$1="","",'Total Value'!CC39/'Total Value'!CB39-1)</f>
        <v>8.9588377723970991E-2</v>
      </c>
      <c r="CD27" s="14">
        <f ca="1">IF(CD$1="","",'Total Value'!CD39/'Total Value'!CC39-1)</f>
        <v>2.2222222222221255E-3</v>
      </c>
      <c r="CE27" s="14">
        <f ca="1">IF(CE$1="","",'Total Value'!CE39/'Total Value'!CD39-1)</f>
        <v>3.3259423503325891E-2</v>
      </c>
      <c r="CF27" s="14" t="str">
        <f ca="1">IF(CF$1="","",'Total Value'!CF39/'Total Value'!CE39-1)</f>
        <v/>
      </c>
      <c r="CG27" s="14" t="str">
        <f ca="1">IF(CG$1="","",'Total Value'!CG39/'Total Value'!CF39-1)</f>
        <v/>
      </c>
      <c r="CH27" s="14" t="str">
        <f ca="1">IF(CH$1="","",'Total Value'!CH39/'Total Value'!CG39-1)</f>
        <v/>
      </c>
      <c r="CI27" s="14" t="str">
        <f ca="1">IF(CI$1="","",'Total Value'!CI39/'Total Value'!CH39-1)</f>
        <v/>
      </c>
      <c r="CJ27" s="14" t="str">
        <f ca="1">IF(CJ$1="","",'Total Value'!CJ39/'Total Value'!CI39-1)</f>
        <v/>
      </c>
      <c r="CK27" s="14" t="str">
        <f ca="1">IF(CK$1="","",'Total Value'!CK39/'Total Value'!CJ39-1)</f>
        <v/>
      </c>
      <c r="CL27" s="14" t="str">
        <f ca="1">IF(CL$1="","",'Total Value'!CL39/'Total Value'!CK39-1)</f>
        <v/>
      </c>
      <c r="CM27" s="14" t="str">
        <f ca="1">IF(CM$1="","",'Total Value'!CM39/'Total Value'!CL39-1)</f>
        <v/>
      </c>
      <c r="CN27" s="14" t="str">
        <f ca="1">IF(CN$1="","",'Total Value'!CN39/'Total Value'!CM39-1)</f>
        <v/>
      </c>
      <c r="CO27" s="14" t="str">
        <f ca="1">IF(CO$1="","",'Total Value'!CO39/'Total Value'!CN39-1)</f>
        <v/>
      </c>
      <c r="CP27" s="14" t="str">
        <f ca="1">IF(CP$1="","",'Total Value'!CP39/'Total Value'!CO39-1)</f>
        <v/>
      </c>
      <c r="CQ27" s="14" t="str">
        <f ca="1">IF(CQ$1="","",'Total Value'!CQ39/'Total Value'!CP39-1)</f>
        <v/>
      </c>
      <c r="CR27" s="14" t="str">
        <f ca="1">IF(CR$1="","",'Total Value'!CR39/'Total Value'!CQ39-1)</f>
        <v/>
      </c>
      <c r="CS27" s="14" t="str">
        <f ca="1">IF(CS$1="","",'Total Value'!CS39/'Total Value'!CR39-1)</f>
        <v/>
      </c>
      <c r="CT27" s="14" t="str">
        <f ca="1">IF(CT$1="","",'Total Value'!CT39/'Total Value'!CS39-1)</f>
        <v/>
      </c>
      <c r="CU27" s="14" t="str">
        <f ca="1">IF(CU$1="","",'Total Value'!CU39/'Total Value'!CT39-1)</f>
        <v/>
      </c>
      <c r="CV27" s="14" t="str">
        <f ca="1">IF(CV$1="","",'Total Value'!CV39/'Total Value'!CU39-1)</f>
        <v/>
      </c>
      <c r="CW27" s="14" t="str">
        <f ca="1">IF(CW$1="","",'Total Value'!CW39/'Total Value'!CV39-1)</f>
        <v/>
      </c>
      <c r="CX27" s="14" t="str">
        <f ca="1">IF(CX$1="","",'Total Value'!CX39/'Total Value'!CW39-1)</f>
        <v/>
      </c>
      <c r="CY27" s="14" t="str">
        <f ca="1">IF(CY$1="","",'Total Value'!CY39/'Total Value'!CX39-1)</f>
        <v/>
      </c>
      <c r="CZ27" s="14" t="str">
        <f ca="1">IF(CZ$1="","",'Total Value'!CZ39/'Total Value'!CY39-1)</f>
        <v/>
      </c>
      <c r="DA27" s="14" t="str">
        <f ca="1">IF(DA$1="","",'Total Value'!DA39/'Total Value'!CZ39-1)</f>
        <v/>
      </c>
      <c r="DB27" s="14" t="str">
        <f ca="1">IF(DB$1="","",'Total Value'!DB39/'Total Value'!DA39-1)</f>
        <v/>
      </c>
      <c r="DC27" s="14" t="str">
        <f ca="1">IF(DC$1="","",'Total Value'!DC39/'Total Value'!DB39-1)</f>
        <v/>
      </c>
      <c r="DD27" s="14" t="str">
        <f ca="1">IF(DD$1="","",'Total Value'!DD39/'Total Value'!DC39-1)</f>
        <v/>
      </c>
      <c r="DE27" s="14" t="str">
        <f ca="1">IF(DE$1="","",'Total Value'!DE39/'Total Value'!DD39-1)</f>
        <v/>
      </c>
      <c r="DF27" s="14" t="str">
        <f ca="1">IF(DF$1="","",'Total Value'!DF39/'Total Value'!DE39-1)</f>
        <v/>
      </c>
      <c r="DG27" s="14" t="str">
        <f ca="1">IF(DG$1="","",'Total Value'!DG39/'Total Value'!DF39-1)</f>
        <v/>
      </c>
      <c r="DH27" s="14" t="str">
        <f ca="1">IF(DH$1="","",'Total Value'!DH39/'Total Value'!DG39-1)</f>
        <v/>
      </c>
      <c r="DI27" s="14" t="str">
        <f ca="1">IF(DI$1="","",'Total Value'!DI39/'Total Value'!DH39-1)</f>
        <v/>
      </c>
      <c r="DJ27" s="14" t="str">
        <f ca="1">IF(DJ$1="","",'Total Value'!DJ39/'Total Value'!DI39-1)</f>
        <v/>
      </c>
      <c r="DK27" s="14" t="str">
        <f ca="1">IF(DK$1="","",'Total Value'!DK39/'Total Value'!DJ39-1)</f>
        <v/>
      </c>
      <c r="DL27" s="14" t="str">
        <f ca="1">IF(DL$1="","",'Total Value'!DL39/'Total Value'!DK39-1)</f>
        <v/>
      </c>
      <c r="DM27" s="14" t="str">
        <f ca="1">IF(DM$1="","",'Total Value'!DM39/'Total Value'!DL39-1)</f>
        <v/>
      </c>
      <c r="DN27" s="14" t="str">
        <f ca="1">IF(DN$1="","",'Total Value'!DN39/'Total Value'!DM39-1)</f>
        <v/>
      </c>
      <c r="DO27" s="14" t="str">
        <f ca="1">IF(DO$1="","",'Total Value'!DO39/'Total Value'!DN39-1)</f>
        <v/>
      </c>
      <c r="DP27" s="14" t="str">
        <f ca="1">IF(DP$1="","",'Total Value'!DP39/'Total Value'!DO39-1)</f>
        <v/>
      </c>
      <c r="DQ27" s="14" t="str">
        <f ca="1">IF(DQ$1="","",'Total Value'!DQ39/'Total Value'!DP39-1)</f>
        <v/>
      </c>
      <c r="DR27" s="14" t="str">
        <f ca="1">IF(DR$1="","",'Total Value'!DR39/'Total Value'!DQ39-1)</f>
        <v/>
      </c>
      <c r="DS27" s="14" t="str">
        <f ca="1">IF(DS$1="","",'Total Value'!DS39/'Total Value'!DR39-1)</f>
        <v/>
      </c>
      <c r="DT27" s="14" t="str">
        <f ca="1">IF(DT$1="","",'Total Value'!DT39/'Total Value'!DS39-1)</f>
        <v/>
      </c>
      <c r="DU27" s="14" t="str">
        <f ca="1">IF(DU$1="","",'Total Value'!DU39/'Total Value'!DT39-1)</f>
        <v/>
      </c>
      <c r="DV27" s="14" t="str">
        <f ca="1">IF(DV$1="","",'Total Value'!DV39/'Total Value'!DU39-1)</f>
        <v/>
      </c>
      <c r="DW27" s="14" t="str">
        <f ca="1">IF(DW$1="","",'Total Value'!DW39/'Total Value'!DV39-1)</f>
        <v/>
      </c>
      <c r="DX27" s="14" t="str">
        <f ca="1">IF(DX$1="","",'Total Value'!DX39/'Total Value'!DW39-1)</f>
        <v/>
      </c>
      <c r="DY27" s="14" t="str">
        <f ca="1">IF(DY$1="","",'Total Value'!DY39/'Total Value'!DX39-1)</f>
        <v/>
      </c>
      <c r="DZ27" s="14" t="str">
        <f ca="1">IF(DZ$1="","",'Total Value'!DZ39/'Total Value'!DY39-1)</f>
        <v/>
      </c>
      <c r="EA27" s="14" t="str">
        <f ca="1">IF(EA$1="","",'Total Value'!EA39/'Total Value'!DZ39-1)</f>
        <v/>
      </c>
      <c r="EB27" s="14" t="str">
        <f ca="1">IF(EB$1="","",'Total Value'!EB39/'Total Value'!EA39-1)</f>
        <v/>
      </c>
      <c r="EC27" s="14" t="str">
        <f ca="1">IF(EC$1="","",'Total Value'!EC39/'Total Value'!EB39-1)</f>
        <v/>
      </c>
      <c r="ED27" s="14" t="str">
        <f ca="1">IF(ED$1="","",'Total Value'!ED39/'Total Value'!EC39-1)</f>
        <v/>
      </c>
      <c r="EE27" s="14" t="str">
        <f ca="1">IF(EE$1="","",'Total Value'!EE39/'Total Value'!ED39-1)</f>
        <v/>
      </c>
      <c r="EF27" s="14" t="str">
        <f ca="1">IF(EF$1="","",'Total Value'!EF39/'Total Value'!EE39-1)</f>
        <v/>
      </c>
      <c r="EG27" s="14" t="str">
        <f ca="1">IF(EG$1="","",'Total Value'!EG39/'Total Value'!EF39-1)</f>
        <v/>
      </c>
      <c r="EH27" s="14" t="str">
        <f ca="1">IF(EH$1="","",'Total Value'!EH39/'Total Value'!EG39-1)</f>
        <v/>
      </c>
      <c r="EI27" s="14" t="str">
        <f ca="1">IF(EI$1="","",'Total Value'!EI39/'Total Value'!EH39-1)</f>
        <v/>
      </c>
      <c r="EJ27" s="14" t="str">
        <f ca="1">IF(EJ$1="","",'Total Value'!EJ39/'Total Value'!EI39-1)</f>
        <v/>
      </c>
      <c r="EK27" s="14" t="str">
        <f ca="1">IF(EK$1="","",'Total Value'!EK39/'Total Value'!EJ39-1)</f>
        <v/>
      </c>
      <c r="EL27" s="14" t="str">
        <f ca="1">IF(EL$1="","",'Total Value'!EL39/'Total Value'!EK39-1)</f>
        <v/>
      </c>
      <c r="EM27" s="14" t="str">
        <f ca="1">IF(EM$1="","",'Total Value'!EM39/'Total Value'!EL39-1)</f>
        <v/>
      </c>
      <c r="EN27" s="14" t="str">
        <f ca="1">IF(EN$1="","",'Total Value'!EN39/'Total Value'!EM39-1)</f>
        <v/>
      </c>
      <c r="EO27" s="14" t="str">
        <f ca="1">IF(EO$1="","",'Total Value'!EO39/'Total Value'!EN39-1)</f>
        <v/>
      </c>
      <c r="EP27" s="14" t="str">
        <f ca="1">IF(EP$1="","",'Total Value'!EP39/'Total Value'!EO39-1)</f>
        <v/>
      </c>
      <c r="EQ27" s="14" t="str">
        <f ca="1">IF(EQ$1="","",'Total Value'!EQ39/'Total Value'!EP39-1)</f>
        <v/>
      </c>
      <c r="ER27" s="14" t="str">
        <f ca="1">IF(ER$1="","",'Total Value'!ER39/'Total Value'!EQ39-1)</f>
        <v/>
      </c>
      <c r="ES27" s="14" t="str">
        <f ca="1">IF(ES$1="","",'Total Value'!ES39/'Total Value'!ER39-1)</f>
        <v/>
      </c>
      <c r="ET27" s="14" t="str">
        <f ca="1">IF(ET$1="","",'Total Value'!ET39/'Total Value'!ES39-1)</f>
        <v/>
      </c>
      <c r="EU27" s="14" t="str">
        <f ca="1">IF(EU$1="","",'Total Value'!EU39/'Total Value'!ET39-1)</f>
        <v/>
      </c>
      <c r="EV27" s="14" t="str">
        <f ca="1">IF(EV$1="","",'Total Value'!EV39/'Total Value'!EU39-1)</f>
        <v/>
      </c>
      <c r="EW27" s="14" t="str">
        <f ca="1">IF(EW$1="","",'Total Value'!EW39/'Total Value'!EV39-1)</f>
        <v/>
      </c>
      <c r="EX27" s="14" t="str">
        <f ca="1">IF(EX$1="","",'Total Value'!EX39/'Total Value'!EW39-1)</f>
        <v/>
      </c>
      <c r="EY27" s="14" t="str">
        <f ca="1">IF(EY$1="","",'Total Value'!EY39/'Total Value'!EX39-1)</f>
        <v/>
      </c>
      <c r="EZ27" s="14" t="str">
        <f ca="1">IF(EZ$1="","",'Total Value'!EZ39/'Total Value'!EY39-1)</f>
        <v/>
      </c>
      <c r="FA27" s="14" t="str">
        <f ca="1">IF(FA$1="","",'Total Value'!FA39/'Total Value'!EZ39-1)</f>
        <v/>
      </c>
      <c r="FB27" s="14" t="str">
        <f ca="1">IF(FB$1="","",'Total Value'!FB39/'Total Value'!FA39-1)</f>
        <v/>
      </c>
      <c r="FC27" s="14" t="str">
        <f ca="1">IF(FC$1="","",'Total Value'!FC39/'Total Value'!FB39-1)</f>
        <v/>
      </c>
      <c r="FD27" s="14" t="str">
        <f ca="1">IF(FD$1="","",'Total Value'!FD39/'Total Value'!FC39-1)</f>
        <v/>
      </c>
      <c r="FE27" s="14" t="str">
        <f ca="1">IF(FE$1="","",'Total Value'!FE39/'Total Value'!FD39-1)</f>
        <v/>
      </c>
      <c r="FF27" s="14" t="str">
        <f ca="1">IF(FF$1="","",'Total Value'!FF39/'Total Value'!FE39-1)</f>
        <v/>
      </c>
      <c r="FG27" s="14" t="str">
        <f ca="1">IF(FG$1="","",'Total Value'!FG39/'Total Value'!FF39-1)</f>
        <v/>
      </c>
      <c r="FH27" s="14" t="str">
        <f ca="1">IF(FH$1="","",'Total Value'!FH39/'Total Value'!FG39-1)</f>
        <v/>
      </c>
      <c r="FI27" s="14" t="str">
        <f ca="1">IF(FI$1="","",'Total Value'!FI39/'Total Value'!FH39-1)</f>
        <v/>
      </c>
      <c r="FJ27" s="14" t="str">
        <f ca="1">IF(FJ$1="","",'Total Value'!FJ39/'Total Value'!FI39-1)</f>
        <v/>
      </c>
      <c r="FK27" s="14" t="str">
        <f ca="1">IF(FK$1="","",'Total Value'!FK39/'Total Value'!FJ39-1)</f>
        <v/>
      </c>
      <c r="FL27" s="14" t="str">
        <f ca="1">IF(FL$1="","",'Total Value'!FL39/'Total Value'!FK39-1)</f>
        <v/>
      </c>
      <c r="FM27" s="14" t="str">
        <f ca="1">IF(FM$1="","",'Total Value'!FM39/'Total Value'!FL39-1)</f>
        <v/>
      </c>
      <c r="FN27" s="14" t="str">
        <f ca="1">IF(FN$1="","",'Total Value'!FN39/'Total Value'!FM39-1)</f>
        <v/>
      </c>
      <c r="FO27" s="14" t="str">
        <f ca="1">IF(FO$1="","",'Total Value'!FO39/'Total Value'!FN39-1)</f>
        <v/>
      </c>
      <c r="FP27" s="14" t="str">
        <f ca="1">IF(FP$1="","",'Total Value'!FP39/'Total Value'!FO39-1)</f>
        <v/>
      </c>
      <c r="FQ27" s="14" t="str">
        <f ca="1">IF(FQ$1="","",'Total Value'!FQ39/'Total Value'!FP39-1)</f>
        <v/>
      </c>
      <c r="FR27" s="14" t="str">
        <f ca="1">IF(FR$1="","",'Total Value'!FR39/'Total Value'!FQ39-1)</f>
        <v/>
      </c>
      <c r="FS27" s="14" t="str">
        <f ca="1">IF(FS$1="","",'Total Value'!FS39/'Total Value'!FR39-1)</f>
        <v/>
      </c>
      <c r="FT27" s="14" t="str">
        <f ca="1">IF(FT$1="","",'Total Value'!FT39/'Total Value'!FS39-1)</f>
        <v/>
      </c>
      <c r="FU27" s="14" t="str">
        <f ca="1">IF(FU$1="","",'Total Value'!FU39/'Total Value'!FT39-1)</f>
        <v/>
      </c>
      <c r="FV27" s="14" t="str">
        <f ca="1">IF(FV$1="","",'Total Value'!FV39/'Total Value'!FU39-1)</f>
        <v/>
      </c>
      <c r="FW27" s="14" t="str">
        <f ca="1">IF(FW$1="","",'Total Value'!FW39/'Total Value'!FV39-1)</f>
        <v/>
      </c>
      <c r="FX27" s="14" t="str">
        <f ca="1">IF(FX$1="","",'Total Value'!FX39/'Total Value'!FW39-1)</f>
        <v/>
      </c>
      <c r="FY27" s="14" t="str">
        <f ca="1">IF(FY$1="","",'Total Value'!FY39/'Total Value'!FX39-1)</f>
        <v/>
      </c>
      <c r="FZ27" s="14" t="str">
        <f ca="1">IF(FZ$1="","",'Total Value'!FZ39/'Total Value'!FY39-1)</f>
        <v/>
      </c>
      <c r="GA27" s="14" t="str">
        <f ca="1">IF(GA$1="","",'Total Value'!GA39/'Total Value'!FZ39-1)</f>
        <v/>
      </c>
      <c r="GB27" s="14" t="str">
        <f ca="1">IF(GB$1="","",'Total Value'!GB39/'Total Value'!GA39-1)</f>
        <v/>
      </c>
      <c r="GC27" s="14" t="str">
        <f ca="1">IF(GC$1="","",'Total Value'!GC39/'Total Value'!GB39-1)</f>
        <v/>
      </c>
      <c r="GD27" s="14" t="str">
        <f ca="1">IF(GD$1="","",'Total Value'!GD39/'Total Value'!GC39-1)</f>
        <v/>
      </c>
      <c r="GE27" s="14" t="str">
        <f ca="1">IF(GE$1="","",'Total Value'!GE39/'Total Value'!GD39-1)</f>
        <v/>
      </c>
      <c r="GF27" s="14" t="str">
        <f ca="1">IF(GF$1="","",'Total Value'!GF39/'Total Value'!GE39-1)</f>
        <v/>
      </c>
      <c r="GG27" s="14" t="str">
        <f ca="1">IF(GG$1="","",'Total Value'!GG39/'Total Value'!GF39-1)</f>
        <v/>
      </c>
      <c r="GH27" s="14" t="str">
        <f ca="1">IF(GH$1="","",'Total Value'!GH39/'Total Value'!GG39-1)</f>
        <v/>
      </c>
      <c r="GI27" s="14" t="str">
        <f ca="1">IF(GI$1="","",'Total Value'!GI39/'Total Value'!GH39-1)</f>
        <v/>
      </c>
      <c r="GJ27" s="14" t="str">
        <f ca="1">IF(GJ$1="","",'Total Value'!GJ39/'Total Value'!GI39-1)</f>
        <v/>
      </c>
      <c r="GK27" s="14" t="str">
        <f ca="1">IF(GK$1="","",'Total Value'!GK39/'Total Value'!GJ39-1)</f>
        <v/>
      </c>
      <c r="GL27" s="14" t="str">
        <f ca="1">IF(GL$1="","",'Total Value'!GL39/'Total Value'!GK39-1)</f>
        <v/>
      </c>
      <c r="GM27" s="14" t="str">
        <f ca="1">IF(GM$1="","",'Total Value'!GM39/'Total Value'!GL39-1)</f>
        <v/>
      </c>
      <c r="GN27" s="14" t="str">
        <f ca="1">IF(GN$1="","",'Total Value'!GN39/'Total Value'!GM39-1)</f>
        <v/>
      </c>
      <c r="GO27" s="14" t="str">
        <f ca="1">IF(GO$1="","",'Total Value'!GO39/'Total Value'!GN39-1)</f>
        <v/>
      </c>
      <c r="GP27" s="14" t="str">
        <f ca="1">IF(GP$1="","",'Total Value'!GP39/'Total Value'!GO39-1)</f>
        <v/>
      </c>
      <c r="GQ27" s="14" t="str">
        <f ca="1">IF(GQ$1="","",'Total Value'!GQ39/'Total Value'!GP39-1)</f>
        <v/>
      </c>
      <c r="GR27" s="14" t="str">
        <f ca="1">IF(GR$1="","",'Total Value'!GR39/'Total Value'!GQ39-1)</f>
        <v/>
      </c>
      <c r="GS27" s="14" t="str">
        <f ca="1">IF(GS$1="","",'Total Value'!GS39/'Total Value'!GR39-1)</f>
        <v/>
      </c>
      <c r="GT27" s="14" t="str">
        <f ca="1">IF(GT$1="","",'Total Value'!GT39/'Total Value'!GS39-1)</f>
        <v/>
      </c>
      <c r="GU27" s="14" t="str">
        <f ca="1">IF(GU$1="","",'Total Value'!GU39/'Total Value'!GT39-1)</f>
        <v/>
      </c>
      <c r="GV27" s="14" t="str">
        <f ca="1">IF(GV$1="","",'Total Value'!GV39/'Total Value'!GU39-1)</f>
        <v/>
      </c>
      <c r="GW27" s="14" t="str">
        <f ca="1">IF(GW$1="","",'Total Value'!GW39/'Total Value'!GV39-1)</f>
        <v/>
      </c>
      <c r="GX27" s="14" t="str">
        <f ca="1">IF(GX$1="","",'Total Value'!GX39/'Total Value'!GW39-1)</f>
        <v/>
      </c>
      <c r="GY27" s="14" t="str">
        <f ca="1">IF(GY$1="","",'Total Value'!GY39/'Total Value'!GX39-1)</f>
        <v/>
      </c>
      <c r="GZ27" s="14" t="str">
        <f ca="1">IF(GZ$1="","",'Total Value'!GZ39/'Total Value'!GY39-1)</f>
        <v/>
      </c>
      <c r="HA27" s="14" t="str">
        <f ca="1">IF(HA$1="","",'Total Value'!HA39/'Total Value'!GZ39-1)</f>
        <v/>
      </c>
      <c r="HB27" s="14" t="str">
        <f ca="1">IF(HB$1="","",'Total Value'!HB39/'Total Value'!HA39-1)</f>
        <v/>
      </c>
      <c r="HC27" s="14" t="str">
        <f ca="1">IF(HC$1="","",'Total Value'!HC39/'Total Value'!HB39-1)</f>
        <v/>
      </c>
      <c r="HD27" s="14" t="str">
        <f ca="1">IF(HD$1="","",'Total Value'!HD39/'Total Value'!HC39-1)</f>
        <v/>
      </c>
      <c r="HE27" s="14" t="str">
        <f ca="1">IF(HE$1="","",'Total Value'!HE39/'Total Value'!HD39-1)</f>
        <v/>
      </c>
      <c r="HF27" s="14" t="str">
        <f ca="1">IF(HF$1="","",'Total Value'!HF39/'Total Value'!HE39-1)</f>
        <v/>
      </c>
      <c r="HG27" s="14" t="str">
        <f ca="1">IF(HG$1="","",'Total Value'!HG39/'Total Value'!HF39-1)</f>
        <v/>
      </c>
      <c r="HH27" s="14" t="str">
        <f ca="1">IF(HH$1="","",'Total Value'!HH39/'Total Value'!HG39-1)</f>
        <v/>
      </c>
      <c r="HI27" s="14" t="str">
        <f ca="1">IF(HI$1="","",'Total Value'!HI39/'Total Value'!HH39-1)</f>
        <v/>
      </c>
      <c r="HJ27" s="14" t="str">
        <f ca="1">IF(HJ$1="","",'Total Value'!HJ39/'Total Value'!HI39-1)</f>
        <v/>
      </c>
      <c r="HK27" s="14" t="str">
        <f ca="1">IF(HK$1="","",'Total Value'!HK39/'Total Value'!HJ39-1)</f>
        <v/>
      </c>
      <c r="HL27" s="14" t="str">
        <f ca="1">IF(HL$1="","",'Total Value'!HL39/'Total Value'!HK39-1)</f>
        <v/>
      </c>
      <c r="HM27" s="14" t="str">
        <f ca="1">IF(HM$1="","",'Total Value'!HM39/'Total Value'!HL39-1)</f>
        <v/>
      </c>
      <c r="HN27" s="14" t="str">
        <f ca="1">IF(HN$1="","",'Total Value'!HN39/'Total Value'!HM39-1)</f>
        <v/>
      </c>
      <c r="HO27" s="14" t="str">
        <f ca="1">IF(HO$1="","",'Total Value'!HO39/'Total Value'!HN39-1)</f>
        <v/>
      </c>
      <c r="HP27" s="14" t="str">
        <f ca="1">IF(HP$1="","",'Total Value'!HP39/'Total Value'!HO39-1)</f>
        <v/>
      </c>
      <c r="HQ27" s="14" t="str">
        <f ca="1">IF(HQ$1="","",'Total Value'!HQ39/'Total Value'!HP39-1)</f>
        <v/>
      </c>
      <c r="HR27" s="14" t="str">
        <f ca="1">IF(HR$1="","",'Total Value'!HR39/'Total Value'!HQ39-1)</f>
        <v/>
      </c>
      <c r="HS27" s="14" t="str">
        <f ca="1">IF(HS$1="","",'Total Value'!HS39/'Total Value'!HR39-1)</f>
        <v/>
      </c>
      <c r="HT27" s="14" t="str">
        <f ca="1">IF(HT$1="","",'Total Value'!HT39/'Total Value'!HS39-1)</f>
        <v/>
      </c>
      <c r="HU27" s="14" t="str">
        <f ca="1">IF(HU$1="","",'Total Value'!HU39/'Total Value'!HT39-1)</f>
        <v/>
      </c>
      <c r="HV27" s="14" t="str">
        <f ca="1">IF(HV$1="","",'Total Value'!HV39/'Total Value'!HU39-1)</f>
        <v/>
      </c>
      <c r="HW27" s="14" t="str">
        <f ca="1">IF(HW$1="","",'Total Value'!HW39/'Total Value'!HV39-1)</f>
        <v/>
      </c>
      <c r="HX27" s="14" t="str">
        <f ca="1">IF(HX$1="","",'Total Value'!HX39/'Total Value'!HW39-1)</f>
        <v/>
      </c>
      <c r="HY27" s="14" t="str">
        <f ca="1">IF(HY$1="","",'Total Value'!HY39/'Total Value'!HX39-1)</f>
        <v/>
      </c>
      <c r="HZ27" s="14" t="str">
        <f ca="1">IF(HZ$1="","",'Total Value'!HZ39/'Total Value'!HY39-1)</f>
        <v/>
      </c>
      <c r="IA27" s="14" t="str">
        <f ca="1">IF(IA$1="","",'Total Value'!IA39/'Total Value'!HZ39-1)</f>
        <v/>
      </c>
      <c r="IB27" s="14" t="str">
        <f ca="1">IF(IB$1="","",'Total Value'!IB39/'Total Value'!IA39-1)</f>
        <v/>
      </c>
      <c r="IC27" s="14" t="str">
        <f ca="1">IF(IC$1="","",'Total Value'!IC39/'Total Value'!IB39-1)</f>
        <v/>
      </c>
      <c r="ID27" s="14" t="str">
        <f ca="1">IF(ID$1="","",'Total Value'!ID39/'Total Value'!IC39-1)</f>
        <v/>
      </c>
      <c r="IE27" s="14" t="str">
        <f ca="1">IF(IE$1="","",'Total Value'!IE39/'Total Value'!ID39-1)</f>
        <v/>
      </c>
      <c r="IF27" s="14" t="str">
        <f ca="1">IF(IF$1="","",'Total Value'!IF39/'Total Value'!IE39-1)</f>
        <v/>
      </c>
      <c r="IG27" s="14" t="str">
        <f ca="1">IF(IG$1="","",'Total Value'!IG39/'Total Value'!IF39-1)</f>
        <v/>
      </c>
      <c r="IH27" s="14" t="str">
        <f ca="1">IF(IH$1="","",'Total Value'!IH39/'Total Value'!IG39-1)</f>
        <v/>
      </c>
      <c r="II27" s="14" t="str">
        <f ca="1">IF(II$1="","",'Total Value'!II39/'Total Value'!IH39-1)</f>
        <v/>
      </c>
      <c r="IJ27" s="14" t="str">
        <f ca="1">IF(IJ$1="","",'Total Value'!IJ39/'Total Value'!II39-1)</f>
        <v/>
      </c>
      <c r="IK27" s="14" t="str">
        <f ca="1">IF(IK$1="","",'Total Value'!IK39/'Total Value'!IJ39-1)</f>
        <v/>
      </c>
      <c r="IL27" s="14" t="str">
        <f ca="1">IF(IL$1="","",'Total Value'!IL39/'Total Value'!IK39-1)</f>
        <v/>
      </c>
      <c r="IM27" s="14" t="str">
        <f ca="1">IF(IM$1="","",'Total Value'!IM39/'Total Value'!IL39-1)</f>
        <v/>
      </c>
      <c r="IN27" s="14" t="str">
        <f ca="1">IF(IN$1="","",'Total Value'!IN39/'Total Value'!IM39-1)</f>
        <v/>
      </c>
      <c r="IO27" s="14" t="str">
        <f ca="1">IF(IO$1="","",'Total Value'!IO39/'Total Value'!IN39-1)</f>
        <v/>
      </c>
      <c r="IP27" s="14" t="str">
        <f ca="1">IF(IP$1="","",'Total Value'!IP39/'Total Value'!IO39-1)</f>
        <v/>
      </c>
      <c r="IQ27" s="14" t="str">
        <f ca="1">IF(IQ$1="","",'Total Value'!IQ39/'Total Value'!IP39-1)</f>
        <v/>
      </c>
      <c r="IR27" s="14" t="str">
        <f ca="1">IF(IR$1="","",'Total Value'!IR39/'Total Value'!IQ39-1)</f>
        <v/>
      </c>
      <c r="IS27" s="14" t="str">
        <f ca="1">IF(IS$1="","",'Total Value'!IS39/'Total Value'!IR39-1)</f>
        <v/>
      </c>
      <c r="IT27" s="14" t="str">
        <f ca="1">IF(IT$1="","",'Total Value'!IT39/'Total Value'!IS39-1)</f>
        <v/>
      </c>
      <c r="IU27" s="14" t="str">
        <f ca="1">IF(IU$1="","",'Total Value'!IU39/'Total Value'!IT39-1)</f>
        <v/>
      </c>
      <c r="IV27" s="14" t="str">
        <f ca="1">IF(IV$1="","",'Total Value'!IV39/'Total Value'!IU39-1)</f>
        <v/>
      </c>
      <c r="IW27" s="14" t="str">
        <f ca="1">IF(IW$1="","",'Total Value'!IW39/'Total Value'!IV39-1)</f>
        <v/>
      </c>
      <c r="IX27" s="14" t="str">
        <f ca="1">IF(IX$1="","",'Total Value'!IX39/'Total Value'!IW39-1)</f>
        <v/>
      </c>
      <c r="IY27" s="14" t="str">
        <f ca="1">IF(IY$1="","",'Total Value'!IY39/'Total Value'!IX39-1)</f>
        <v/>
      </c>
      <c r="IZ27" s="14" t="str">
        <f ca="1">IF(IZ$1="","",'Total Value'!IZ39/'Total Value'!IY39-1)</f>
        <v/>
      </c>
      <c r="JA27" s="14" t="str">
        <f ca="1">IF(JA$1="","",'Total Value'!JA39/'Total Value'!IZ39-1)</f>
        <v/>
      </c>
      <c r="JB27" s="14" t="str">
        <f ca="1">IF(JB$1="","",'Total Value'!JB39/'Total Value'!JA39-1)</f>
        <v/>
      </c>
      <c r="JC27" s="14" t="str">
        <f ca="1">IF(JC$1="","",'Total Value'!JC39/'Total Value'!JB39-1)</f>
        <v/>
      </c>
      <c r="JD27" s="14" t="str">
        <f ca="1">IF(JD$1="","",'Total Value'!JD39/'Total Value'!JC39-1)</f>
        <v/>
      </c>
      <c r="JE27" s="14" t="str">
        <f ca="1">IF(JE$1="","",'Total Value'!JE39/'Total Value'!JD39-1)</f>
        <v/>
      </c>
      <c r="JF27" s="14" t="str">
        <f ca="1">IF(JF$1="","",'Total Value'!JF39/'Total Value'!JE39-1)</f>
        <v/>
      </c>
      <c r="JG27" s="14" t="str">
        <f ca="1">IF(JG$1="","",'Total Value'!JG39/'Total Value'!JF39-1)</f>
        <v/>
      </c>
      <c r="JH27" s="14" t="str">
        <f ca="1">IF(JH$1="","",'Total Value'!JH39/'Total Value'!JG39-1)</f>
        <v/>
      </c>
      <c r="JI27" s="14" t="str">
        <f ca="1">IF(JI$1="","",'Total Value'!JI39/'Total Value'!JH39-1)</f>
        <v/>
      </c>
      <c r="JJ27" s="14" t="str">
        <f ca="1">IF(JJ$1="","",'Total Value'!JJ39/'Total Value'!JI39-1)</f>
        <v/>
      </c>
      <c r="JK27" s="14" t="str">
        <f ca="1">IF(JK$1="","",'Total Value'!JK39/'Total Value'!JJ39-1)</f>
        <v/>
      </c>
      <c r="JL27" s="14" t="str">
        <f ca="1">IF(JL$1="","",'Total Value'!JL39/'Total Value'!JK39-1)</f>
        <v/>
      </c>
      <c r="JM27" s="14" t="str">
        <f ca="1">IF(JM$1="","",'Total Value'!JM39/'Total Value'!JL39-1)</f>
        <v/>
      </c>
      <c r="JN27" s="14" t="str">
        <f ca="1">IF(JN$1="","",'Total Value'!JN39/'Total Value'!JM39-1)</f>
        <v/>
      </c>
      <c r="JO27" s="14" t="str">
        <f ca="1">IF(JO$1="","",'Total Value'!JO39/'Total Value'!JN39-1)</f>
        <v/>
      </c>
      <c r="JP27" s="14" t="str">
        <f ca="1">IF(JP$1="","",'Total Value'!JP39/'Total Value'!JO39-1)</f>
        <v/>
      </c>
      <c r="JQ27" s="14" t="str">
        <f ca="1">IF(JQ$1="","",'Total Value'!JQ39/'Total Value'!JP39-1)</f>
        <v/>
      </c>
      <c r="JR27" s="14" t="str">
        <f ca="1">IF(JR$1="","",'Total Value'!JR39/'Total Value'!JQ39-1)</f>
        <v/>
      </c>
      <c r="JS27" s="14" t="str">
        <f ca="1">IF(JS$1="","",'Total Value'!JS39/'Total Value'!JR39-1)</f>
        <v/>
      </c>
      <c r="JT27" s="14" t="str">
        <f ca="1">IF(JT$1="","",'Total Value'!JT39/'Total Value'!JS39-1)</f>
        <v/>
      </c>
      <c r="JU27" s="14" t="str">
        <f ca="1">IF(JU$1="","",'Total Value'!JU39/'Total Value'!JT39-1)</f>
        <v/>
      </c>
      <c r="JV27" s="14" t="str">
        <f ca="1">IF(JV$1="","",'Total Value'!JV39/'Total Value'!JU39-1)</f>
        <v/>
      </c>
      <c r="JW27" s="14" t="str">
        <f ca="1">IF(JW$1="","",'Total Value'!JW39/'Total Value'!JV39-1)</f>
        <v/>
      </c>
      <c r="JX27" s="14" t="str">
        <f ca="1">IF(JX$1="","",'Total Value'!JX39/'Total Value'!JW39-1)</f>
        <v/>
      </c>
      <c r="JY27" s="14" t="str">
        <f ca="1">IF(JY$1="","",'Total Value'!JY39/'Total Value'!JX39-1)</f>
        <v/>
      </c>
      <c r="JZ27" s="14" t="str">
        <f ca="1">IF(JZ$1="","",'Total Value'!JZ39/'Total Value'!JY39-1)</f>
        <v/>
      </c>
      <c r="KA27" s="14" t="str">
        <f ca="1">IF(KA$1="","",'Total Value'!KA39/'Total Value'!JZ39-1)</f>
        <v/>
      </c>
      <c r="KB27" s="14" t="str">
        <f ca="1">IF(KB$1="","",'Total Value'!KB39/'Total Value'!KA39-1)</f>
        <v/>
      </c>
    </row>
    <row r="28" spans="1:288" ht="15.75" customHeight="1">
      <c r="A28" s="22" t="s">
        <v>30</v>
      </c>
      <c r="B28" s="6" t="s">
        <v>72</v>
      </c>
      <c r="C28" s="26">
        <v>67</v>
      </c>
      <c r="D28" s="13">
        <v>0</v>
      </c>
      <c r="E28" s="14">
        <f ca="1">IF(E$1="","",'Total Value'!E40/'Total Value'!D40-1)</f>
        <v>0</v>
      </c>
      <c r="F28" s="14">
        <f ca="1">IF(F$1="","",'Total Value'!F40/'Total Value'!E40-1)</f>
        <v>3.0315278900565845E-2</v>
      </c>
      <c r="G28" s="14">
        <f ca="1">IF(G$1="","",'Total Value'!G40/'Total Value'!F40-1)</f>
        <v>5.4923499411534404E-3</v>
      </c>
      <c r="H28" s="14">
        <f ca="1">IF(H$1="","",'Total Value'!H40/'Total Value'!G40-1)</f>
        <v>2.1069059695669079E-2</v>
      </c>
      <c r="I28" s="14">
        <f ca="1">IF(I$1="","",'Total Value'!I40/'Total Value'!H40-1)</f>
        <v>-1.5284677111196077E-2</v>
      </c>
      <c r="J28" s="14">
        <f ca="1">IF(J$1="","",'Total Value'!J40/'Total Value'!I40-1)</f>
        <v>7.7609623593311028E-4</v>
      </c>
      <c r="K28" s="14">
        <f ca="1">IF(K$1="","",'Total Value'!K40/'Total Value'!J40-1)</f>
        <v>-1.667312911981389E-2</v>
      </c>
      <c r="L28" s="14">
        <f ca="1">IF(L$1="","",'Total Value'!L40/'Total Value'!K40-1)</f>
        <v>-4.219242902208209E-2</v>
      </c>
      <c r="M28" s="14">
        <f ca="1">IF(M$1="","",'Total Value'!M40/'Total Value'!L40-1)</f>
        <v>3.1700288184438152E-2</v>
      </c>
      <c r="N28" s="14">
        <f ca="1">IF(N$1="","",'Total Value'!N40/'Total Value'!M40-1)</f>
        <v>-3.9106145251396662E-2</v>
      </c>
      <c r="O28" s="14">
        <f ca="1">IF(O$1="","",'Total Value'!O40/'Total Value'!N40-1)</f>
        <v>-1.8687707641195983E-2</v>
      </c>
      <c r="P28" s="14">
        <f ca="1">IF(P$1="","",'Total Value'!P40/'Total Value'!O40-1)</f>
        <v>-3.2585696148963228E-2</v>
      </c>
      <c r="Q28" s="14">
        <f ca="1">IF(Q$1="","",'Total Value'!Q40/'Total Value'!P40-1)</f>
        <v>3.0183727034120977E-2</v>
      </c>
      <c r="R28" s="14">
        <f ca="1">IF(R$1="","",'Total Value'!R40/'Total Value'!Q40-1)</f>
        <v>5.2229299363057313E-2</v>
      </c>
      <c r="S28" s="14">
        <f ca="1">IF(S$1="","",'Total Value'!S40/'Total Value'!R40-1)</f>
        <v>1.4527845036319764E-2</v>
      </c>
      <c r="T28" s="14">
        <f ca="1">IF(T$1="","",'Total Value'!T40/'Total Value'!S40-1)</f>
        <v>-1.3126491646778149E-2</v>
      </c>
      <c r="U28" s="14">
        <f ca="1">IF(U$1="","",'Total Value'!U40/'Total Value'!T40-1)</f>
        <v>-4.4740024183796967E-2</v>
      </c>
      <c r="V28" s="14">
        <f ca="1">IF(V$1="","",'Total Value'!V40/'Total Value'!U40-1)</f>
        <v>-1.4345991561181437E-2</v>
      </c>
      <c r="W28" s="14">
        <f ca="1">IF(W$1="","",'Total Value'!W40/'Total Value'!V40-1)</f>
        <v>1.9263698630137105E-2</v>
      </c>
      <c r="X28" s="14">
        <f ca="1">IF(X$1="","",'Total Value'!X40/'Total Value'!W40-1)</f>
        <v>1.5539689206215845E-2</v>
      </c>
      <c r="Y28" s="14">
        <f ca="1">IF(Y$1="","",'Total Value'!Y40/'Total Value'!X40-1)</f>
        <v>3.8461538461538325E-2</v>
      </c>
      <c r="Z28" s="14">
        <f ca="1">IF(Z$1="","",'Total Value'!Z40/'Total Value'!Y40-1)</f>
        <v>-2.9470330545599333E-2</v>
      </c>
      <c r="AA28" s="14">
        <f ca="1">IF(AA$1="","",'Total Value'!AA40/'Total Value'!Z40-1)</f>
        <v>-5.7447681575707454E-3</v>
      </c>
      <c r="AB28" s="14">
        <f ca="1">IF(AB$1="","",'Total Value'!AB40/'Total Value'!AA40-1)</f>
        <v>5.7779612051176432E-3</v>
      </c>
      <c r="AC28" s="14">
        <f ca="1">IF(AC$1="","",'Total Value'!AC40/'Total Value'!AB40-1)</f>
        <v>1.8465326220763245E-2</v>
      </c>
      <c r="AD28" s="14">
        <f ca="1">IF(AD$1="","",'Total Value'!AD40/'Total Value'!AC40-1)</f>
        <v>7.8565672844480128E-2</v>
      </c>
      <c r="AE28" s="14">
        <f ca="1">IF(AE$1="","",'Total Value'!AE40/'Total Value'!AD40-1)</f>
        <v>-2.4280911468061217E-2</v>
      </c>
      <c r="AF28" s="14">
        <f ca="1">IF(AF$1="","",'Total Value'!AF40/'Total Value'!AE40-1)</f>
        <v>-2.2588055130168483E-2</v>
      </c>
      <c r="AG28" s="14">
        <f ca="1">IF(AG$1="","",'Total Value'!AG40/'Total Value'!AF40-1)</f>
        <v>-1.292596944770863E-2</v>
      </c>
      <c r="AH28" s="14">
        <f ca="1">IF(AH$1="","",'Total Value'!AH40/'Total Value'!AG40-1)</f>
        <v>-4.7222222222222054E-2</v>
      </c>
      <c r="AI28" s="14">
        <f ca="1">IF(AI$1="","",'Total Value'!AI40/'Total Value'!AH40-1)</f>
        <v>4.6647230320699729E-2</v>
      </c>
      <c r="AJ28" s="14">
        <f ca="1">IF(AJ$1="","",'Total Value'!AJ40/'Total Value'!AI40-1)</f>
        <v>1.3927576601671321E-2</v>
      </c>
      <c r="AK28" s="14">
        <f ca="1">IF(AK$1="","",'Total Value'!AK40/'Total Value'!AJ40-1)</f>
        <v>1.0204081632652962E-2</v>
      </c>
      <c r="AL28" s="14">
        <f ca="1">IF(AL$1="","",'Total Value'!AL40/'Total Value'!AK40-1)</f>
        <v>-8.5470085470085166E-3</v>
      </c>
      <c r="AM28" s="14">
        <f ca="1">IF(AM$1="","",'Total Value'!AM40/'Total Value'!AL40-1)</f>
        <v>1.0579937304075138E-2</v>
      </c>
      <c r="AN28" s="14">
        <f ca="1">IF(AN$1="","",'Total Value'!AN40/'Total Value'!AM40-1)</f>
        <v>-1.0081426909654856E-2</v>
      </c>
      <c r="AO28" s="14">
        <f ca="1">IF(AO$1="","",'Total Value'!AO40/'Total Value'!AN40-1)</f>
        <v>-3.5644339992166096E-2</v>
      </c>
      <c r="AP28" s="14">
        <f ca="1">IF(AP$1="","",'Total Value'!AP40/'Total Value'!AO40-1)</f>
        <v>-3.3712428919577708E-2</v>
      </c>
      <c r="AQ28" s="14">
        <f ca="1">IF(AQ$1="","",'Total Value'!AQ40/'Total Value'!AP40-1)</f>
        <v>3.0685161832702867E-2</v>
      </c>
      <c r="AR28" s="14">
        <f ca="1">IF(AR$1="","",'Total Value'!AR40/'Total Value'!AQ40-1)</f>
        <v>3.5889070146818858E-2</v>
      </c>
      <c r="AS28" s="14">
        <f ca="1">IF(AS$1="","",'Total Value'!AS40/'Total Value'!AR40-1)</f>
        <v>-5.1181102362204411E-3</v>
      </c>
      <c r="AT28" s="14">
        <f ca="1">IF(AT$1="","",'Total Value'!AT40/'Total Value'!AS40-1)</f>
        <v>0</v>
      </c>
      <c r="AU28" s="14">
        <f ca="1">IF(AU$1="","",'Total Value'!AU40/'Total Value'!AT40-1)</f>
        <v>-2.0577760189948502E-2</v>
      </c>
      <c r="AV28" s="14">
        <f ca="1">IF(AV$1="","",'Total Value'!AV40/'Total Value'!AU40-1)</f>
        <v>3.1919191919191903E-2</v>
      </c>
      <c r="AW28" s="14">
        <f ca="1">IF(AW$1="","",'Total Value'!AW40/'Total Value'!AV40-1)</f>
        <v>4.3069694596711283E-2</v>
      </c>
      <c r="AX28" s="14">
        <f ca="1">IF(AX$1="","",'Total Value'!AX40/'Total Value'!AW40-1)</f>
        <v>-1.5015015015015232E-3</v>
      </c>
      <c r="AY28" s="14">
        <f ca="1">IF(AY$1="","",'Total Value'!AY40/'Total Value'!AX40-1)</f>
        <v>-1.879699248120259E-3</v>
      </c>
      <c r="AZ28" s="14">
        <f ca="1">IF(AZ$1="","",'Total Value'!AZ40/'Total Value'!AY40-1)</f>
        <v>-9.4161958568738102E-3</v>
      </c>
      <c r="BA28" s="14">
        <f ca="1">IF(BA$1="","",'Total Value'!BA40/'Total Value'!AZ40-1)</f>
        <v>7.6045627376424285E-3</v>
      </c>
      <c r="BB28" s="14">
        <f ca="1">IF(BB$1="","",'Total Value'!BB40/'Total Value'!BA40-1)</f>
        <v>-3.3584905660377418E-2</v>
      </c>
      <c r="BC28" s="14">
        <f ca="1">IF(BC$1="","",'Total Value'!BC40/'Total Value'!BB40-1)</f>
        <v>-2.8504490433424401E-2</v>
      </c>
      <c r="BD28" s="14">
        <f ca="1">IF(BD$1="","",'Total Value'!BD40/'Total Value'!BC40-1)</f>
        <v>-4.8231511254018811E-3</v>
      </c>
      <c r="BE28" s="14">
        <f ca="1">IF(BE$1="","",'Total Value'!BE40/'Total Value'!BD40-1)</f>
        <v>-8.0775444264957752E-4</v>
      </c>
      <c r="BF28" s="14">
        <f ca="1">IF(BF$1="","",'Total Value'!BF40/'Total Value'!BE40-1)</f>
        <v>3.7590945836701861E-2</v>
      </c>
      <c r="BG28" s="14">
        <f ca="1">IF(BG$1="","",'Total Value'!BG40/'Total Value'!BF40-1)</f>
        <v>-4.5188936501753041E-2</v>
      </c>
      <c r="BH28" s="14">
        <f ca="1">IF(BH$1="","",'Total Value'!BH40/'Total Value'!BG40-1)</f>
        <v>-2.774377804977568E-2</v>
      </c>
      <c r="BI28" s="14">
        <f ca="1">IF(BI$1="","",'Total Value'!BI40/'Total Value'!BH40-1)</f>
        <v>2.6437263953000611E-2</v>
      </c>
      <c r="BJ28" s="14">
        <f ca="1">IF(BJ$1="","",'Total Value'!BJ40/'Total Value'!BI40-1)</f>
        <v>-1.1856091578086758E-2</v>
      </c>
      <c r="BK28" s="14">
        <f ca="1">IF(BK$1="","",'Total Value'!BK40/'Total Value'!BJ40-1)</f>
        <v>-7.0335126189491115E-2</v>
      </c>
      <c r="BL28" s="14">
        <f ca="1">IF(BL$1="","",'Total Value'!BL40/'Total Value'!BK40-1)</f>
        <v>-3.8273253226524306E-2</v>
      </c>
      <c r="BM28" s="14">
        <f ca="1">IF(BM$1="","",'Total Value'!BM40/'Total Value'!BL40-1)</f>
        <v>1.1105969458583997E-2</v>
      </c>
      <c r="BN28" s="14">
        <f ca="1">IF(BN$1="","",'Total Value'!BN40/'Total Value'!BM40-1)</f>
        <v>-1.7848970251716167E-2</v>
      </c>
      <c r="BO28" s="14">
        <f ca="1">IF(BO$1="","",'Total Value'!BO40/'Total Value'!BN40-1)</f>
        <v>1.3979496738116826E-3</v>
      </c>
      <c r="BP28" s="14">
        <f ca="1">IF(BP$1="","",'Total Value'!BP40/'Total Value'!BO40-1)</f>
        <v>1.6286644951140072E-2</v>
      </c>
      <c r="BQ28" s="14">
        <f ca="1">IF(BQ$1="","",'Total Value'!BQ40/'Total Value'!BP40-1)</f>
        <v>5.5860805860805884E-2</v>
      </c>
      <c r="BR28" s="14">
        <f ca="1">IF(BR$1="","",'Total Value'!BR40/'Total Value'!BQ40-1)</f>
        <v>-9.9739809193408746E-3</v>
      </c>
      <c r="BS28" s="14">
        <f ca="1">IF(BS$1="","",'Total Value'!BS40/'Total Value'!BR40-1)</f>
        <v>-5.2562417871220291E-3</v>
      </c>
      <c r="BT28" s="14">
        <f ca="1">IF(BT$1="","",'Total Value'!BT40/'Total Value'!BS40-1)</f>
        <v>4.3593130779392197E-2</v>
      </c>
      <c r="BU28" s="14">
        <f ca="1">IF(BU$1="","",'Total Value'!BU40/'Total Value'!BT40-1)</f>
        <v>2.8691983122362874E-2</v>
      </c>
      <c r="BV28" s="14">
        <f ca="1">IF(BV$1="","",'Total Value'!BV40/'Total Value'!BU40-1)</f>
        <v>-2.9122231337161519E-2</v>
      </c>
      <c r="BW28" s="14">
        <f ca="1">IF(BW$1="","",'Total Value'!BW40/'Total Value'!BV40-1)</f>
        <v>-2.7883396704689534E-2</v>
      </c>
      <c r="BX28" s="14">
        <f ca="1">IF(BX$1="","",'Total Value'!BX40/'Total Value'!BW40-1)</f>
        <v>9.5610604085181183E-3</v>
      </c>
      <c r="BY28" s="14">
        <f ca="1">IF(BY$1="","",'Total Value'!BY40/'Total Value'!BX40-1)</f>
        <v>-2.06629358588033E-2</v>
      </c>
      <c r="BZ28" s="14">
        <f ca="1">IF(BZ$1="","",'Total Value'!BZ40/'Total Value'!BY40-1)</f>
        <v>-1.7582417582416854E-3</v>
      </c>
      <c r="CA28" s="14">
        <f ca="1">IF(CA$1="","",'Total Value'!CA40/'Total Value'!BZ40-1)</f>
        <v>4.2272126816380373E-2</v>
      </c>
      <c r="CB28" s="14">
        <f ca="1">IF(CB$1="","",'Total Value'!CB40/'Total Value'!CA40-1)</f>
        <v>-4.9852133502323759E-2</v>
      </c>
      <c r="CC28" s="14">
        <f ca="1">IF(CC$1="","",'Total Value'!CC40/'Total Value'!CB40-1)</f>
        <v>3.7794575366829841E-2</v>
      </c>
      <c r="CD28" s="14">
        <f ca="1">IF(CD$1="","",'Total Value'!CD40/'Total Value'!CC40-1)</f>
        <v>1.2425021422450833E-2</v>
      </c>
      <c r="CE28" s="14">
        <f ca="1">IF(CE$1="","",'Total Value'!CE40/'Total Value'!CD40-1)</f>
        <v>0.10156580617858646</v>
      </c>
      <c r="CF28" s="14" t="str">
        <f ca="1">IF(CF$1="","",'Total Value'!CF40/'Total Value'!CE40-1)</f>
        <v/>
      </c>
      <c r="CG28" s="14" t="str">
        <f ca="1">IF(CG$1="","",'Total Value'!CG40/'Total Value'!CF40-1)</f>
        <v/>
      </c>
      <c r="CH28" s="14" t="str">
        <f ca="1">IF(CH$1="","",'Total Value'!CH40/'Total Value'!CG40-1)</f>
        <v/>
      </c>
      <c r="CI28" s="14" t="str">
        <f ca="1">IF(CI$1="","",'Total Value'!CI40/'Total Value'!CH40-1)</f>
        <v/>
      </c>
      <c r="CJ28" s="14" t="str">
        <f ca="1">IF(CJ$1="","",'Total Value'!CJ40/'Total Value'!CI40-1)</f>
        <v/>
      </c>
      <c r="CK28" s="14" t="str">
        <f ca="1">IF(CK$1="","",'Total Value'!CK40/'Total Value'!CJ40-1)</f>
        <v/>
      </c>
      <c r="CL28" s="14" t="str">
        <f ca="1">IF(CL$1="","",'Total Value'!CL40/'Total Value'!CK40-1)</f>
        <v/>
      </c>
      <c r="CM28" s="14" t="str">
        <f ca="1">IF(CM$1="","",'Total Value'!CM40/'Total Value'!CL40-1)</f>
        <v/>
      </c>
      <c r="CN28" s="14" t="str">
        <f ca="1">IF(CN$1="","",'Total Value'!CN40/'Total Value'!CM40-1)</f>
        <v/>
      </c>
      <c r="CO28" s="14" t="str">
        <f ca="1">IF(CO$1="","",'Total Value'!CO40/'Total Value'!CN40-1)</f>
        <v/>
      </c>
      <c r="CP28" s="14" t="str">
        <f ca="1">IF(CP$1="","",'Total Value'!CP40/'Total Value'!CO40-1)</f>
        <v/>
      </c>
      <c r="CQ28" s="14" t="str">
        <f ca="1">IF(CQ$1="","",'Total Value'!CQ40/'Total Value'!CP40-1)</f>
        <v/>
      </c>
      <c r="CR28" s="14" t="str">
        <f ca="1">IF(CR$1="","",'Total Value'!CR40/'Total Value'!CQ40-1)</f>
        <v/>
      </c>
      <c r="CS28" s="14" t="str">
        <f ca="1">IF(CS$1="","",'Total Value'!CS40/'Total Value'!CR40-1)</f>
        <v/>
      </c>
      <c r="CT28" s="14" t="str">
        <f ca="1">IF(CT$1="","",'Total Value'!CT40/'Total Value'!CS40-1)</f>
        <v/>
      </c>
      <c r="CU28" s="14" t="str">
        <f ca="1">IF(CU$1="","",'Total Value'!CU40/'Total Value'!CT40-1)</f>
        <v/>
      </c>
      <c r="CV28" s="14" t="str">
        <f ca="1">IF(CV$1="","",'Total Value'!CV40/'Total Value'!CU40-1)</f>
        <v/>
      </c>
      <c r="CW28" s="14" t="str">
        <f ca="1">IF(CW$1="","",'Total Value'!CW40/'Total Value'!CV40-1)</f>
        <v/>
      </c>
      <c r="CX28" s="14" t="str">
        <f ca="1">IF(CX$1="","",'Total Value'!CX40/'Total Value'!CW40-1)</f>
        <v/>
      </c>
      <c r="CY28" s="14" t="str">
        <f ca="1">IF(CY$1="","",'Total Value'!CY40/'Total Value'!CX40-1)</f>
        <v/>
      </c>
      <c r="CZ28" s="14" t="str">
        <f ca="1">IF(CZ$1="","",'Total Value'!CZ40/'Total Value'!CY40-1)</f>
        <v/>
      </c>
      <c r="DA28" s="14" t="str">
        <f ca="1">IF(DA$1="","",'Total Value'!DA40/'Total Value'!CZ40-1)</f>
        <v/>
      </c>
      <c r="DB28" s="14" t="str">
        <f ca="1">IF(DB$1="","",'Total Value'!DB40/'Total Value'!DA40-1)</f>
        <v/>
      </c>
      <c r="DC28" s="14" t="str">
        <f ca="1">IF(DC$1="","",'Total Value'!DC40/'Total Value'!DB40-1)</f>
        <v/>
      </c>
      <c r="DD28" s="14" t="str">
        <f ca="1">IF(DD$1="","",'Total Value'!DD40/'Total Value'!DC40-1)</f>
        <v/>
      </c>
      <c r="DE28" s="14" t="str">
        <f ca="1">IF(DE$1="","",'Total Value'!DE40/'Total Value'!DD40-1)</f>
        <v/>
      </c>
      <c r="DF28" s="14" t="str">
        <f ca="1">IF(DF$1="","",'Total Value'!DF40/'Total Value'!DE40-1)</f>
        <v/>
      </c>
      <c r="DG28" s="14" t="str">
        <f ca="1">IF(DG$1="","",'Total Value'!DG40/'Total Value'!DF40-1)</f>
        <v/>
      </c>
      <c r="DH28" s="14" t="str">
        <f ca="1">IF(DH$1="","",'Total Value'!DH40/'Total Value'!DG40-1)</f>
        <v/>
      </c>
      <c r="DI28" s="14" t="str">
        <f ca="1">IF(DI$1="","",'Total Value'!DI40/'Total Value'!DH40-1)</f>
        <v/>
      </c>
      <c r="DJ28" s="14" t="str">
        <f ca="1">IF(DJ$1="","",'Total Value'!DJ40/'Total Value'!DI40-1)</f>
        <v/>
      </c>
      <c r="DK28" s="14" t="str">
        <f ca="1">IF(DK$1="","",'Total Value'!DK40/'Total Value'!DJ40-1)</f>
        <v/>
      </c>
      <c r="DL28" s="14" t="str">
        <f ca="1">IF(DL$1="","",'Total Value'!DL40/'Total Value'!DK40-1)</f>
        <v/>
      </c>
      <c r="DM28" s="14" t="str">
        <f ca="1">IF(DM$1="","",'Total Value'!DM40/'Total Value'!DL40-1)</f>
        <v/>
      </c>
      <c r="DN28" s="14" t="str">
        <f ca="1">IF(DN$1="","",'Total Value'!DN40/'Total Value'!DM40-1)</f>
        <v/>
      </c>
      <c r="DO28" s="14" t="str">
        <f ca="1">IF(DO$1="","",'Total Value'!DO40/'Total Value'!DN40-1)</f>
        <v/>
      </c>
      <c r="DP28" s="14" t="str">
        <f ca="1">IF(DP$1="","",'Total Value'!DP40/'Total Value'!DO40-1)</f>
        <v/>
      </c>
      <c r="DQ28" s="14" t="str">
        <f ca="1">IF(DQ$1="","",'Total Value'!DQ40/'Total Value'!DP40-1)</f>
        <v/>
      </c>
      <c r="DR28" s="14" t="str">
        <f ca="1">IF(DR$1="","",'Total Value'!DR40/'Total Value'!DQ40-1)</f>
        <v/>
      </c>
      <c r="DS28" s="14" t="str">
        <f ca="1">IF(DS$1="","",'Total Value'!DS40/'Total Value'!DR40-1)</f>
        <v/>
      </c>
      <c r="DT28" s="14" t="str">
        <f ca="1">IF(DT$1="","",'Total Value'!DT40/'Total Value'!DS40-1)</f>
        <v/>
      </c>
      <c r="DU28" s="14" t="str">
        <f ca="1">IF(DU$1="","",'Total Value'!DU40/'Total Value'!DT40-1)</f>
        <v/>
      </c>
      <c r="DV28" s="14" t="str">
        <f ca="1">IF(DV$1="","",'Total Value'!DV40/'Total Value'!DU40-1)</f>
        <v/>
      </c>
      <c r="DW28" s="14" t="str">
        <f ca="1">IF(DW$1="","",'Total Value'!DW40/'Total Value'!DV40-1)</f>
        <v/>
      </c>
      <c r="DX28" s="14" t="str">
        <f ca="1">IF(DX$1="","",'Total Value'!DX40/'Total Value'!DW40-1)</f>
        <v/>
      </c>
      <c r="DY28" s="14" t="str">
        <f ca="1">IF(DY$1="","",'Total Value'!DY40/'Total Value'!DX40-1)</f>
        <v/>
      </c>
      <c r="DZ28" s="14" t="str">
        <f ca="1">IF(DZ$1="","",'Total Value'!DZ40/'Total Value'!DY40-1)</f>
        <v/>
      </c>
      <c r="EA28" s="14" t="str">
        <f ca="1">IF(EA$1="","",'Total Value'!EA40/'Total Value'!DZ40-1)</f>
        <v/>
      </c>
      <c r="EB28" s="14" t="str">
        <f ca="1">IF(EB$1="","",'Total Value'!EB40/'Total Value'!EA40-1)</f>
        <v/>
      </c>
      <c r="EC28" s="14" t="str">
        <f ca="1">IF(EC$1="","",'Total Value'!EC40/'Total Value'!EB40-1)</f>
        <v/>
      </c>
      <c r="ED28" s="14" t="str">
        <f ca="1">IF(ED$1="","",'Total Value'!ED40/'Total Value'!EC40-1)</f>
        <v/>
      </c>
      <c r="EE28" s="14" t="str">
        <f ca="1">IF(EE$1="","",'Total Value'!EE40/'Total Value'!ED40-1)</f>
        <v/>
      </c>
      <c r="EF28" s="14" t="str">
        <f ca="1">IF(EF$1="","",'Total Value'!EF40/'Total Value'!EE40-1)</f>
        <v/>
      </c>
      <c r="EG28" s="14" t="str">
        <f ca="1">IF(EG$1="","",'Total Value'!EG40/'Total Value'!EF40-1)</f>
        <v/>
      </c>
      <c r="EH28" s="14" t="str">
        <f ca="1">IF(EH$1="","",'Total Value'!EH40/'Total Value'!EG40-1)</f>
        <v/>
      </c>
      <c r="EI28" s="14" t="str">
        <f ca="1">IF(EI$1="","",'Total Value'!EI40/'Total Value'!EH40-1)</f>
        <v/>
      </c>
      <c r="EJ28" s="14" t="str">
        <f ca="1">IF(EJ$1="","",'Total Value'!EJ40/'Total Value'!EI40-1)</f>
        <v/>
      </c>
      <c r="EK28" s="14" t="str">
        <f ca="1">IF(EK$1="","",'Total Value'!EK40/'Total Value'!EJ40-1)</f>
        <v/>
      </c>
      <c r="EL28" s="14" t="str">
        <f ca="1">IF(EL$1="","",'Total Value'!EL40/'Total Value'!EK40-1)</f>
        <v/>
      </c>
      <c r="EM28" s="14" t="str">
        <f ca="1">IF(EM$1="","",'Total Value'!EM40/'Total Value'!EL40-1)</f>
        <v/>
      </c>
      <c r="EN28" s="14" t="str">
        <f ca="1">IF(EN$1="","",'Total Value'!EN40/'Total Value'!EM40-1)</f>
        <v/>
      </c>
      <c r="EO28" s="14" t="str">
        <f ca="1">IF(EO$1="","",'Total Value'!EO40/'Total Value'!EN40-1)</f>
        <v/>
      </c>
      <c r="EP28" s="14" t="str">
        <f ca="1">IF(EP$1="","",'Total Value'!EP40/'Total Value'!EO40-1)</f>
        <v/>
      </c>
      <c r="EQ28" s="14" t="str">
        <f ca="1">IF(EQ$1="","",'Total Value'!EQ40/'Total Value'!EP40-1)</f>
        <v/>
      </c>
      <c r="ER28" s="14" t="str">
        <f ca="1">IF(ER$1="","",'Total Value'!ER40/'Total Value'!EQ40-1)</f>
        <v/>
      </c>
      <c r="ES28" s="14" t="str">
        <f ca="1">IF(ES$1="","",'Total Value'!ES40/'Total Value'!ER40-1)</f>
        <v/>
      </c>
      <c r="ET28" s="14" t="str">
        <f ca="1">IF(ET$1="","",'Total Value'!ET40/'Total Value'!ES40-1)</f>
        <v/>
      </c>
      <c r="EU28" s="14" t="str">
        <f ca="1">IF(EU$1="","",'Total Value'!EU40/'Total Value'!ET40-1)</f>
        <v/>
      </c>
      <c r="EV28" s="14" t="str">
        <f ca="1">IF(EV$1="","",'Total Value'!EV40/'Total Value'!EU40-1)</f>
        <v/>
      </c>
      <c r="EW28" s="14" t="str">
        <f ca="1">IF(EW$1="","",'Total Value'!EW40/'Total Value'!EV40-1)</f>
        <v/>
      </c>
      <c r="EX28" s="14" t="str">
        <f ca="1">IF(EX$1="","",'Total Value'!EX40/'Total Value'!EW40-1)</f>
        <v/>
      </c>
      <c r="EY28" s="14" t="str">
        <f ca="1">IF(EY$1="","",'Total Value'!EY40/'Total Value'!EX40-1)</f>
        <v/>
      </c>
      <c r="EZ28" s="14" t="str">
        <f ca="1">IF(EZ$1="","",'Total Value'!EZ40/'Total Value'!EY40-1)</f>
        <v/>
      </c>
      <c r="FA28" s="14" t="str">
        <f ca="1">IF(FA$1="","",'Total Value'!FA40/'Total Value'!EZ40-1)</f>
        <v/>
      </c>
      <c r="FB28" s="14" t="str">
        <f ca="1">IF(FB$1="","",'Total Value'!FB40/'Total Value'!FA40-1)</f>
        <v/>
      </c>
      <c r="FC28" s="14" t="str">
        <f ca="1">IF(FC$1="","",'Total Value'!FC40/'Total Value'!FB40-1)</f>
        <v/>
      </c>
      <c r="FD28" s="14" t="str">
        <f ca="1">IF(FD$1="","",'Total Value'!FD40/'Total Value'!FC40-1)</f>
        <v/>
      </c>
      <c r="FE28" s="14" t="str">
        <f ca="1">IF(FE$1="","",'Total Value'!FE40/'Total Value'!FD40-1)</f>
        <v/>
      </c>
      <c r="FF28" s="14" t="str">
        <f ca="1">IF(FF$1="","",'Total Value'!FF40/'Total Value'!FE40-1)</f>
        <v/>
      </c>
      <c r="FG28" s="14" t="str">
        <f ca="1">IF(FG$1="","",'Total Value'!FG40/'Total Value'!FF40-1)</f>
        <v/>
      </c>
      <c r="FH28" s="14" t="str">
        <f ca="1">IF(FH$1="","",'Total Value'!FH40/'Total Value'!FG40-1)</f>
        <v/>
      </c>
      <c r="FI28" s="14" t="str">
        <f ca="1">IF(FI$1="","",'Total Value'!FI40/'Total Value'!FH40-1)</f>
        <v/>
      </c>
      <c r="FJ28" s="14" t="str">
        <f ca="1">IF(FJ$1="","",'Total Value'!FJ40/'Total Value'!FI40-1)</f>
        <v/>
      </c>
      <c r="FK28" s="14" t="str">
        <f ca="1">IF(FK$1="","",'Total Value'!FK40/'Total Value'!FJ40-1)</f>
        <v/>
      </c>
      <c r="FL28" s="14" t="str">
        <f ca="1">IF(FL$1="","",'Total Value'!FL40/'Total Value'!FK40-1)</f>
        <v/>
      </c>
      <c r="FM28" s="14" t="str">
        <f ca="1">IF(FM$1="","",'Total Value'!FM40/'Total Value'!FL40-1)</f>
        <v/>
      </c>
      <c r="FN28" s="14" t="str">
        <f ca="1">IF(FN$1="","",'Total Value'!FN40/'Total Value'!FM40-1)</f>
        <v/>
      </c>
      <c r="FO28" s="14" t="str">
        <f ca="1">IF(FO$1="","",'Total Value'!FO40/'Total Value'!FN40-1)</f>
        <v/>
      </c>
      <c r="FP28" s="14" t="str">
        <f ca="1">IF(FP$1="","",'Total Value'!FP40/'Total Value'!FO40-1)</f>
        <v/>
      </c>
      <c r="FQ28" s="14" t="str">
        <f ca="1">IF(FQ$1="","",'Total Value'!FQ40/'Total Value'!FP40-1)</f>
        <v/>
      </c>
      <c r="FR28" s="14" t="str">
        <f ca="1">IF(FR$1="","",'Total Value'!FR40/'Total Value'!FQ40-1)</f>
        <v/>
      </c>
      <c r="FS28" s="14" t="str">
        <f ca="1">IF(FS$1="","",'Total Value'!FS40/'Total Value'!FR40-1)</f>
        <v/>
      </c>
      <c r="FT28" s="14" t="str">
        <f ca="1">IF(FT$1="","",'Total Value'!FT40/'Total Value'!FS40-1)</f>
        <v/>
      </c>
      <c r="FU28" s="14" t="str">
        <f ca="1">IF(FU$1="","",'Total Value'!FU40/'Total Value'!FT40-1)</f>
        <v/>
      </c>
      <c r="FV28" s="14" t="str">
        <f ca="1">IF(FV$1="","",'Total Value'!FV40/'Total Value'!FU40-1)</f>
        <v/>
      </c>
      <c r="FW28" s="14" t="str">
        <f ca="1">IF(FW$1="","",'Total Value'!FW40/'Total Value'!FV40-1)</f>
        <v/>
      </c>
      <c r="FX28" s="14" t="str">
        <f ca="1">IF(FX$1="","",'Total Value'!FX40/'Total Value'!FW40-1)</f>
        <v/>
      </c>
      <c r="FY28" s="14" t="str">
        <f ca="1">IF(FY$1="","",'Total Value'!FY40/'Total Value'!FX40-1)</f>
        <v/>
      </c>
      <c r="FZ28" s="14" t="str">
        <f ca="1">IF(FZ$1="","",'Total Value'!FZ40/'Total Value'!FY40-1)</f>
        <v/>
      </c>
      <c r="GA28" s="14" t="str">
        <f ca="1">IF(GA$1="","",'Total Value'!GA40/'Total Value'!FZ40-1)</f>
        <v/>
      </c>
      <c r="GB28" s="14" t="str">
        <f ca="1">IF(GB$1="","",'Total Value'!GB40/'Total Value'!GA40-1)</f>
        <v/>
      </c>
      <c r="GC28" s="14" t="str">
        <f ca="1">IF(GC$1="","",'Total Value'!GC40/'Total Value'!GB40-1)</f>
        <v/>
      </c>
      <c r="GD28" s="14" t="str">
        <f ca="1">IF(GD$1="","",'Total Value'!GD40/'Total Value'!GC40-1)</f>
        <v/>
      </c>
      <c r="GE28" s="14" t="str">
        <f ca="1">IF(GE$1="","",'Total Value'!GE40/'Total Value'!GD40-1)</f>
        <v/>
      </c>
      <c r="GF28" s="14" t="str">
        <f ca="1">IF(GF$1="","",'Total Value'!GF40/'Total Value'!GE40-1)</f>
        <v/>
      </c>
      <c r="GG28" s="14" t="str">
        <f ca="1">IF(GG$1="","",'Total Value'!GG40/'Total Value'!GF40-1)</f>
        <v/>
      </c>
      <c r="GH28" s="14" t="str">
        <f ca="1">IF(GH$1="","",'Total Value'!GH40/'Total Value'!GG40-1)</f>
        <v/>
      </c>
      <c r="GI28" s="14" t="str">
        <f ca="1">IF(GI$1="","",'Total Value'!GI40/'Total Value'!GH40-1)</f>
        <v/>
      </c>
      <c r="GJ28" s="14" t="str">
        <f ca="1">IF(GJ$1="","",'Total Value'!GJ40/'Total Value'!GI40-1)</f>
        <v/>
      </c>
      <c r="GK28" s="14" t="str">
        <f ca="1">IF(GK$1="","",'Total Value'!GK40/'Total Value'!GJ40-1)</f>
        <v/>
      </c>
      <c r="GL28" s="14" t="str">
        <f ca="1">IF(GL$1="","",'Total Value'!GL40/'Total Value'!GK40-1)</f>
        <v/>
      </c>
      <c r="GM28" s="14" t="str">
        <f ca="1">IF(GM$1="","",'Total Value'!GM40/'Total Value'!GL40-1)</f>
        <v/>
      </c>
      <c r="GN28" s="14" t="str">
        <f ca="1">IF(GN$1="","",'Total Value'!GN40/'Total Value'!GM40-1)</f>
        <v/>
      </c>
      <c r="GO28" s="14" t="str">
        <f ca="1">IF(GO$1="","",'Total Value'!GO40/'Total Value'!GN40-1)</f>
        <v/>
      </c>
      <c r="GP28" s="14" t="str">
        <f ca="1">IF(GP$1="","",'Total Value'!GP40/'Total Value'!GO40-1)</f>
        <v/>
      </c>
      <c r="GQ28" s="14" t="str">
        <f ca="1">IF(GQ$1="","",'Total Value'!GQ40/'Total Value'!GP40-1)</f>
        <v/>
      </c>
      <c r="GR28" s="14" t="str">
        <f ca="1">IF(GR$1="","",'Total Value'!GR40/'Total Value'!GQ40-1)</f>
        <v/>
      </c>
      <c r="GS28" s="14" t="str">
        <f ca="1">IF(GS$1="","",'Total Value'!GS40/'Total Value'!GR40-1)</f>
        <v/>
      </c>
      <c r="GT28" s="14" t="str">
        <f ca="1">IF(GT$1="","",'Total Value'!GT40/'Total Value'!GS40-1)</f>
        <v/>
      </c>
      <c r="GU28" s="14" t="str">
        <f ca="1">IF(GU$1="","",'Total Value'!GU40/'Total Value'!GT40-1)</f>
        <v/>
      </c>
      <c r="GV28" s="14" t="str">
        <f ca="1">IF(GV$1="","",'Total Value'!GV40/'Total Value'!GU40-1)</f>
        <v/>
      </c>
      <c r="GW28" s="14" t="str">
        <f ca="1">IF(GW$1="","",'Total Value'!GW40/'Total Value'!GV40-1)</f>
        <v/>
      </c>
      <c r="GX28" s="14" t="str">
        <f ca="1">IF(GX$1="","",'Total Value'!GX40/'Total Value'!GW40-1)</f>
        <v/>
      </c>
      <c r="GY28" s="14" t="str">
        <f ca="1">IF(GY$1="","",'Total Value'!GY40/'Total Value'!GX40-1)</f>
        <v/>
      </c>
      <c r="GZ28" s="14" t="str">
        <f ca="1">IF(GZ$1="","",'Total Value'!GZ40/'Total Value'!GY40-1)</f>
        <v/>
      </c>
      <c r="HA28" s="14" t="str">
        <f ca="1">IF(HA$1="","",'Total Value'!HA40/'Total Value'!GZ40-1)</f>
        <v/>
      </c>
      <c r="HB28" s="14" t="str">
        <f ca="1">IF(HB$1="","",'Total Value'!HB40/'Total Value'!HA40-1)</f>
        <v/>
      </c>
      <c r="HC28" s="14" t="str">
        <f ca="1">IF(HC$1="","",'Total Value'!HC40/'Total Value'!HB40-1)</f>
        <v/>
      </c>
      <c r="HD28" s="14" t="str">
        <f ca="1">IF(HD$1="","",'Total Value'!HD40/'Total Value'!HC40-1)</f>
        <v/>
      </c>
      <c r="HE28" s="14" t="str">
        <f ca="1">IF(HE$1="","",'Total Value'!HE40/'Total Value'!HD40-1)</f>
        <v/>
      </c>
      <c r="HF28" s="14" t="str">
        <f ca="1">IF(HF$1="","",'Total Value'!HF40/'Total Value'!HE40-1)</f>
        <v/>
      </c>
      <c r="HG28" s="14" t="str">
        <f ca="1">IF(HG$1="","",'Total Value'!HG40/'Total Value'!HF40-1)</f>
        <v/>
      </c>
      <c r="HH28" s="14" t="str">
        <f ca="1">IF(HH$1="","",'Total Value'!HH40/'Total Value'!HG40-1)</f>
        <v/>
      </c>
      <c r="HI28" s="14" t="str">
        <f ca="1">IF(HI$1="","",'Total Value'!HI40/'Total Value'!HH40-1)</f>
        <v/>
      </c>
      <c r="HJ28" s="14" t="str">
        <f ca="1">IF(HJ$1="","",'Total Value'!HJ40/'Total Value'!HI40-1)</f>
        <v/>
      </c>
      <c r="HK28" s="14" t="str">
        <f ca="1">IF(HK$1="","",'Total Value'!HK40/'Total Value'!HJ40-1)</f>
        <v/>
      </c>
      <c r="HL28" s="14" t="str">
        <f ca="1">IF(HL$1="","",'Total Value'!HL40/'Total Value'!HK40-1)</f>
        <v/>
      </c>
      <c r="HM28" s="14" t="str">
        <f ca="1">IF(HM$1="","",'Total Value'!HM40/'Total Value'!HL40-1)</f>
        <v/>
      </c>
      <c r="HN28" s="14" t="str">
        <f ca="1">IF(HN$1="","",'Total Value'!HN40/'Total Value'!HM40-1)</f>
        <v/>
      </c>
      <c r="HO28" s="14" t="str">
        <f ca="1">IF(HO$1="","",'Total Value'!HO40/'Total Value'!HN40-1)</f>
        <v/>
      </c>
      <c r="HP28" s="14" t="str">
        <f ca="1">IF(HP$1="","",'Total Value'!HP40/'Total Value'!HO40-1)</f>
        <v/>
      </c>
      <c r="HQ28" s="14" t="str">
        <f ca="1">IF(HQ$1="","",'Total Value'!HQ40/'Total Value'!HP40-1)</f>
        <v/>
      </c>
      <c r="HR28" s="14" t="str">
        <f ca="1">IF(HR$1="","",'Total Value'!HR40/'Total Value'!HQ40-1)</f>
        <v/>
      </c>
      <c r="HS28" s="14" t="str">
        <f ca="1">IF(HS$1="","",'Total Value'!HS40/'Total Value'!HR40-1)</f>
        <v/>
      </c>
      <c r="HT28" s="14" t="str">
        <f ca="1">IF(HT$1="","",'Total Value'!HT40/'Total Value'!HS40-1)</f>
        <v/>
      </c>
      <c r="HU28" s="14" t="str">
        <f ca="1">IF(HU$1="","",'Total Value'!HU40/'Total Value'!HT40-1)</f>
        <v/>
      </c>
      <c r="HV28" s="14" t="str">
        <f ca="1">IF(HV$1="","",'Total Value'!HV40/'Total Value'!HU40-1)</f>
        <v/>
      </c>
      <c r="HW28" s="14" t="str">
        <f ca="1">IF(HW$1="","",'Total Value'!HW40/'Total Value'!HV40-1)</f>
        <v/>
      </c>
      <c r="HX28" s="14" t="str">
        <f ca="1">IF(HX$1="","",'Total Value'!HX40/'Total Value'!HW40-1)</f>
        <v/>
      </c>
      <c r="HY28" s="14" t="str">
        <f ca="1">IF(HY$1="","",'Total Value'!HY40/'Total Value'!HX40-1)</f>
        <v/>
      </c>
      <c r="HZ28" s="14" t="str">
        <f ca="1">IF(HZ$1="","",'Total Value'!HZ40/'Total Value'!HY40-1)</f>
        <v/>
      </c>
      <c r="IA28" s="14" t="str">
        <f ca="1">IF(IA$1="","",'Total Value'!IA40/'Total Value'!HZ40-1)</f>
        <v/>
      </c>
      <c r="IB28" s="14" t="str">
        <f ca="1">IF(IB$1="","",'Total Value'!IB40/'Total Value'!IA40-1)</f>
        <v/>
      </c>
      <c r="IC28" s="14" t="str">
        <f ca="1">IF(IC$1="","",'Total Value'!IC40/'Total Value'!IB40-1)</f>
        <v/>
      </c>
      <c r="ID28" s="14" t="str">
        <f ca="1">IF(ID$1="","",'Total Value'!ID40/'Total Value'!IC40-1)</f>
        <v/>
      </c>
      <c r="IE28" s="14" t="str">
        <f ca="1">IF(IE$1="","",'Total Value'!IE40/'Total Value'!ID40-1)</f>
        <v/>
      </c>
      <c r="IF28" s="14" t="str">
        <f ca="1">IF(IF$1="","",'Total Value'!IF40/'Total Value'!IE40-1)</f>
        <v/>
      </c>
      <c r="IG28" s="14" t="str">
        <f ca="1">IF(IG$1="","",'Total Value'!IG40/'Total Value'!IF40-1)</f>
        <v/>
      </c>
      <c r="IH28" s="14" t="str">
        <f ca="1">IF(IH$1="","",'Total Value'!IH40/'Total Value'!IG40-1)</f>
        <v/>
      </c>
      <c r="II28" s="14" t="str">
        <f ca="1">IF(II$1="","",'Total Value'!II40/'Total Value'!IH40-1)</f>
        <v/>
      </c>
      <c r="IJ28" s="14" t="str">
        <f ca="1">IF(IJ$1="","",'Total Value'!IJ40/'Total Value'!II40-1)</f>
        <v/>
      </c>
      <c r="IK28" s="14" t="str">
        <f ca="1">IF(IK$1="","",'Total Value'!IK40/'Total Value'!IJ40-1)</f>
        <v/>
      </c>
      <c r="IL28" s="14" t="str">
        <f ca="1">IF(IL$1="","",'Total Value'!IL40/'Total Value'!IK40-1)</f>
        <v/>
      </c>
      <c r="IM28" s="14" t="str">
        <f ca="1">IF(IM$1="","",'Total Value'!IM40/'Total Value'!IL40-1)</f>
        <v/>
      </c>
      <c r="IN28" s="14" t="str">
        <f ca="1">IF(IN$1="","",'Total Value'!IN40/'Total Value'!IM40-1)</f>
        <v/>
      </c>
      <c r="IO28" s="14" t="str">
        <f ca="1">IF(IO$1="","",'Total Value'!IO40/'Total Value'!IN40-1)</f>
        <v/>
      </c>
      <c r="IP28" s="14" t="str">
        <f ca="1">IF(IP$1="","",'Total Value'!IP40/'Total Value'!IO40-1)</f>
        <v/>
      </c>
      <c r="IQ28" s="14" t="str">
        <f ca="1">IF(IQ$1="","",'Total Value'!IQ40/'Total Value'!IP40-1)</f>
        <v/>
      </c>
      <c r="IR28" s="14" t="str">
        <f ca="1">IF(IR$1="","",'Total Value'!IR40/'Total Value'!IQ40-1)</f>
        <v/>
      </c>
      <c r="IS28" s="14" t="str">
        <f ca="1">IF(IS$1="","",'Total Value'!IS40/'Total Value'!IR40-1)</f>
        <v/>
      </c>
      <c r="IT28" s="14" t="str">
        <f ca="1">IF(IT$1="","",'Total Value'!IT40/'Total Value'!IS40-1)</f>
        <v/>
      </c>
      <c r="IU28" s="14" t="str">
        <f ca="1">IF(IU$1="","",'Total Value'!IU40/'Total Value'!IT40-1)</f>
        <v/>
      </c>
      <c r="IV28" s="14" t="str">
        <f ca="1">IF(IV$1="","",'Total Value'!IV40/'Total Value'!IU40-1)</f>
        <v/>
      </c>
      <c r="IW28" s="14" t="str">
        <f ca="1">IF(IW$1="","",'Total Value'!IW40/'Total Value'!IV40-1)</f>
        <v/>
      </c>
      <c r="IX28" s="14" t="str">
        <f ca="1">IF(IX$1="","",'Total Value'!IX40/'Total Value'!IW40-1)</f>
        <v/>
      </c>
      <c r="IY28" s="14" t="str">
        <f ca="1">IF(IY$1="","",'Total Value'!IY40/'Total Value'!IX40-1)</f>
        <v/>
      </c>
      <c r="IZ28" s="14" t="str">
        <f ca="1">IF(IZ$1="","",'Total Value'!IZ40/'Total Value'!IY40-1)</f>
        <v/>
      </c>
      <c r="JA28" s="14" t="str">
        <f ca="1">IF(JA$1="","",'Total Value'!JA40/'Total Value'!IZ40-1)</f>
        <v/>
      </c>
      <c r="JB28" s="14" t="str">
        <f ca="1">IF(JB$1="","",'Total Value'!JB40/'Total Value'!JA40-1)</f>
        <v/>
      </c>
      <c r="JC28" s="14" t="str">
        <f ca="1">IF(JC$1="","",'Total Value'!JC40/'Total Value'!JB40-1)</f>
        <v/>
      </c>
      <c r="JD28" s="14" t="str">
        <f ca="1">IF(JD$1="","",'Total Value'!JD40/'Total Value'!JC40-1)</f>
        <v/>
      </c>
      <c r="JE28" s="14" t="str">
        <f ca="1">IF(JE$1="","",'Total Value'!JE40/'Total Value'!JD40-1)</f>
        <v/>
      </c>
      <c r="JF28" s="14" t="str">
        <f ca="1">IF(JF$1="","",'Total Value'!JF40/'Total Value'!JE40-1)</f>
        <v/>
      </c>
      <c r="JG28" s="14" t="str">
        <f ca="1">IF(JG$1="","",'Total Value'!JG40/'Total Value'!JF40-1)</f>
        <v/>
      </c>
      <c r="JH28" s="14" t="str">
        <f ca="1">IF(JH$1="","",'Total Value'!JH40/'Total Value'!JG40-1)</f>
        <v/>
      </c>
      <c r="JI28" s="14" t="str">
        <f ca="1">IF(JI$1="","",'Total Value'!JI40/'Total Value'!JH40-1)</f>
        <v/>
      </c>
      <c r="JJ28" s="14" t="str">
        <f ca="1">IF(JJ$1="","",'Total Value'!JJ40/'Total Value'!JI40-1)</f>
        <v/>
      </c>
      <c r="JK28" s="14" t="str">
        <f ca="1">IF(JK$1="","",'Total Value'!JK40/'Total Value'!JJ40-1)</f>
        <v/>
      </c>
      <c r="JL28" s="14" t="str">
        <f ca="1">IF(JL$1="","",'Total Value'!JL40/'Total Value'!JK40-1)</f>
        <v/>
      </c>
      <c r="JM28" s="14" t="str">
        <f ca="1">IF(JM$1="","",'Total Value'!JM40/'Total Value'!JL40-1)</f>
        <v/>
      </c>
      <c r="JN28" s="14" t="str">
        <f ca="1">IF(JN$1="","",'Total Value'!JN40/'Total Value'!JM40-1)</f>
        <v/>
      </c>
      <c r="JO28" s="14" t="str">
        <f ca="1">IF(JO$1="","",'Total Value'!JO40/'Total Value'!JN40-1)</f>
        <v/>
      </c>
      <c r="JP28" s="14" t="str">
        <f ca="1">IF(JP$1="","",'Total Value'!JP40/'Total Value'!JO40-1)</f>
        <v/>
      </c>
      <c r="JQ28" s="14" t="str">
        <f ca="1">IF(JQ$1="","",'Total Value'!JQ40/'Total Value'!JP40-1)</f>
        <v/>
      </c>
      <c r="JR28" s="14" t="str">
        <f ca="1">IF(JR$1="","",'Total Value'!JR40/'Total Value'!JQ40-1)</f>
        <v/>
      </c>
      <c r="JS28" s="14" t="str">
        <f ca="1">IF(JS$1="","",'Total Value'!JS40/'Total Value'!JR40-1)</f>
        <v/>
      </c>
      <c r="JT28" s="14" t="str">
        <f ca="1">IF(JT$1="","",'Total Value'!JT40/'Total Value'!JS40-1)</f>
        <v/>
      </c>
      <c r="JU28" s="14" t="str">
        <f ca="1">IF(JU$1="","",'Total Value'!JU40/'Total Value'!JT40-1)</f>
        <v/>
      </c>
      <c r="JV28" s="14" t="str">
        <f ca="1">IF(JV$1="","",'Total Value'!JV40/'Total Value'!JU40-1)</f>
        <v/>
      </c>
      <c r="JW28" s="14" t="str">
        <f ca="1">IF(JW$1="","",'Total Value'!JW40/'Total Value'!JV40-1)</f>
        <v/>
      </c>
      <c r="JX28" s="14" t="str">
        <f ca="1">IF(JX$1="","",'Total Value'!JX40/'Total Value'!JW40-1)</f>
        <v/>
      </c>
      <c r="JY28" s="14" t="str">
        <f ca="1">IF(JY$1="","",'Total Value'!JY40/'Total Value'!JX40-1)</f>
        <v/>
      </c>
      <c r="JZ28" s="14" t="str">
        <f ca="1">IF(JZ$1="","",'Total Value'!JZ40/'Total Value'!JY40-1)</f>
        <v/>
      </c>
      <c r="KA28" s="14" t="str">
        <f ca="1">IF(KA$1="","",'Total Value'!KA40/'Total Value'!JZ40-1)</f>
        <v/>
      </c>
      <c r="KB28" s="14" t="str">
        <f ca="1">IF(KB$1="","",'Total Value'!KB40/'Total Value'!KA40-1)</f>
        <v/>
      </c>
    </row>
    <row r="29" spans="1:288" ht="15.75" customHeight="1">
      <c r="A29" s="22" t="s">
        <v>30</v>
      </c>
      <c r="B29" s="6" t="s">
        <v>73</v>
      </c>
      <c r="C29" s="26">
        <v>52</v>
      </c>
      <c r="D29" s="13">
        <v>0</v>
      </c>
      <c r="E29" s="14">
        <f ca="1">IF(E$1="","",'Total Value'!E41/'Total Value'!D41-1)</f>
        <v>3.6338704148097367E-2</v>
      </c>
      <c r="F29" s="14">
        <f ca="1">IF(F$1="","",'Total Value'!F41/'Total Value'!E41-1)</f>
        <v>-3.5395302679457563E-2</v>
      </c>
      <c r="G29" s="14">
        <f ca="1">IF(G$1="","",'Total Value'!G41/'Total Value'!F41-1)</f>
        <v>-4.90397805212619E-2</v>
      </c>
      <c r="H29" s="14">
        <f ca="1">IF(H$1="","",'Total Value'!H41/'Total Value'!G41-1)</f>
        <v>4.5438153624233646E-2</v>
      </c>
      <c r="I29" s="14">
        <f ca="1">IF(I$1="","",'Total Value'!I41/'Total Value'!H41-1)</f>
        <v>-5.3811659192825156E-2</v>
      </c>
      <c r="J29" s="14">
        <f ca="1">IF(J$1="","",'Total Value'!J41/'Total Value'!I41-1)</f>
        <v>1.4947138169887131E-2</v>
      </c>
      <c r="K29" s="14">
        <f ca="1">IF(K$1="","",'Total Value'!K41/'Total Value'!J41-1)</f>
        <v>-3.7715517241379448E-2</v>
      </c>
      <c r="L29" s="14">
        <f ca="1">IF(L$1="","",'Total Value'!L41/'Total Value'!K41-1)</f>
        <v>-9.3318402388951061E-3</v>
      </c>
      <c r="M29" s="14">
        <f ca="1">IF(M$1="","",'Total Value'!M41/'Total Value'!L41-1)</f>
        <v>4.2200452147701517E-2</v>
      </c>
      <c r="N29" s="14">
        <f ca="1">IF(N$1="","",'Total Value'!N41/'Total Value'!M41-1)</f>
        <v>-3.0007230657989936E-2</v>
      </c>
      <c r="O29" s="14">
        <f ca="1">IF(O$1="","",'Total Value'!O41/'Total Value'!N41-1)</f>
        <v>-1.1926947446887715E-2</v>
      </c>
      <c r="P29" s="14">
        <f ca="1">IF(P$1="","",'Total Value'!P41/'Total Value'!O41-1)</f>
        <v>-3.1308940022633069E-2</v>
      </c>
      <c r="Q29" s="14">
        <f ca="1">IF(Q$1="","",'Total Value'!Q41/'Total Value'!P41-1)</f>
        <v>6.775700934579465E-2</v>
      </c>
      <c r="R29" s="14">
        <f ca="1">IF(R$1="","",'Total Value'!R41/'Total Value'!Q41-1)</f>
        <v>5.2151714077315781E-2</v>
      </c>
      <c r="S29" s="14">
        <f ca="1">IF(S$1="","",'Total Value'!S41/'Total Value'!R41-1)</f>
        <v>1.6637781629115889E-2</v>
      </c>
      <c r="T29" s="14">
        <f ca="1">IF(T$1="","",'Total Value'!T41/'Total Value'!S41-1)</f>
        <v>-4.1936583702693375E-2</v>
      </c>
      <c r="U29" s="14">
        <f ca="1">IF(U$1="","",'Total Value'!U41/'Total Value'!T41-1)</f>
        <v>-2.9537366548042732E-2</v>
      </c>
      <c r="V29" s="14">
        <f ca="1">IF(V$1="","",'Total Value'!V41/'Total Value'!U41-1)</f>
        <v>1.1734506784011778E-2</v>
      </c>
      <c r="W29" s="14">
        <f ca="1">IF(W$1="","",'Total Value'!W41/'Total Value'!V41-1)</f>
        <v>4.3856469735411352E-2</v>
      </c>
      <c r="X29" s="14">
        <f ca="1">IF(X$1="","",'Total Value'!X41/'Total Value'!W41-1)</f>
        <v>8.3333333333333037E-3</v>
      </c>
      <c r="Y29" s="14">
        <f ca="1">IF(Y$1="","",'Total Value'!Y41/'Total Value'!X41-1)</f>
        <v>4.8553719008264329E-2</v>
      </c>
      <c r="Z29" s="14">
        <f ca="1">IF(Z$1="","",'Total Value'!Z41/'Total Value'!Y41-1)</f>
        <v>1.313628899835817E-2</v>
      </c>
      <c r="AA29" s="14">
        <f ca="1">IF(AA$1="","",'Total Value'!AA41/'Total Value'!Z41-1)</f>
        <v>-1.6207455429496642E-3</v>
      </c>
      <c r="AB29" s="14">
        <f ca="1">IF(AB$1="","",'Total Value'!AB41/'Total Value'!AA41-1)</f>
        <v>-1.1363636363636576E-2</v>
      </c>
      <c r="AC29" s="14">
        <f ca="1">IF(AC$1="","",'Total Value'!AC41/'Total Value'!AB41-1)</f>
        <v>5.1888341543514072E-2</v>
      </c>
      <c r="AD29" s="14">
        <f ca="1">IF(AD$1="","",'Total Value'!AD41/'Total Value'!AC41-1)</f>
        <v>7.5241960661879492E-2</v>
      </c>
      <c r="AE29" s="14">
        <f ca="1">IF(AE$1="","",'Total Value'!AE41/'Total Value'!AD41-1)</f>
        <v>-4.181184668989546E-2</v>
      </c>
      <c r="AF29" s="14">
        <f ca="1">IF(AF$1="","",'Total Value'!AF41/'Total Value'!AE41-1)</f>
        <v>-1.4545454545454417E-2</v>
      </c>
      <c r="AG29" s="14">
        <f ca="1">IF(AG$1="","",'Total Value'!AG41/'Total Value'!AF41-1)</f>
        <v>-3.9975399753997665E-2</v>
      </c>
      <c r="AH29" s="14">
        <f ca="1">IF(AH$1="","",'Total Value'!AH41/'Total Value'!AG41-1)</f>
        <v>-7.8155028827674666E-2</v>
      </c>
      <c r="AI29" s="14">
        <f ca="1">IF(AI$1="","",'Total Value'!AI41/'Total Value'!AH41-1)</f>
        <v>4.9339819318971356E-2</v>
      </c>
      <c r="AJ29" s="14">
        <f ca="1">IF(AJ$1="","",'Total Value'!AJ41/'Total Value'!AI41-1)</f>
        <v>-1.1920529801324409E-2</v>
      </c>
      <c r="AK29" s="14">
        <f ca="1">IF(AK$1="","",'Total Value'!AK41/'Total Value'!AJ41-1)</f>
        <v>1.2064343163538771E-2</v>
      </c>
      <c r="AL29" s="14">
        <f ca="1">IF(AL$1="","",'Total Value'!AL41/'Total Value'!AK41-1)</f>
        <v>-1.0927152317880662E-2</v>
      </c>
      <c r="AM29" s="14">
        <f ca="1">IF(AM$1="","",'Total Value'!AM41/'Total Value'!AL41-1)</f>
        <v>-3.1134917977904242E-2</v>
      </c>
      <c r="AN29" s="14">
        <f ca="1">IF(AN$1="","",'Total Value'!AN41/'Total Value'!AM41-1)</f>
        <v>-1.5549412577747113E-2</v>
      </c>
      <c r="AO29" s="14">
        <f ca="1">IF(AO$1="","",'Total Value'!AO41/'Total Value'!AN41-1)</f>
        <v>-3.3696033696033689E-2</v>
      </c>
      <c r="AP29" s="14">
        <f ca="1">IF(AP$1="","",'Total Value'!AP41/'Total Value'!AO41-1)</f>
        <v>1.2713403559752923E-2</v>
      </c>
      <c r="AQ29" s="14">
        <f ca="1">IF(AQ$1="","",'Total Value'!AQ41/'Total Value'!AP41-1)</f>
        <v>2.8335724533716133E-2</v>
      </c>
      <c r="AR29" s="14">
        <f ca="1">IF(AR$1="","",'Total Value'!AR41/'Total Value'!AQ41-1)</f>
        <v>1.8835019183815804E-2</v>
      </c>
      <c r="AS29" s="14">
        <f ca="1">IF(AS$1="","",'Total Value'!AS41/'Total Value'!AR41-1)</f>
        <v>-2.0883259157822631E-2</v>
      </c>
      <c r="AT29" s="14">
        <f ca="1">IF(AT$1="","",'Total Value'!AT41/'Total Value'!AS41-1)</f>
        <v>-2.7622377622377736E-2</v>
      </c>
      <c r="AU29" s="14">
        <f ca="1">IF(AU$1="","",'Total Value'!AU41/'Total Value'!AT41-1)</f>
        <v>2.0855807263574277E-2</v>
      </c>
      <c r="AV29" s="14">
        <f ca="1">IF(AV$1="","",'Total Value'!AV41/'Total Value'!AU41-1)</f>
        <v>1.6202888340965282E-2</v>
      </c>
      <c r="AW29" s="14">
        <f ca="1">IF(AW$1="","",'Total Value'!AW41/'Total Value'!AV41-1)</f>
        <v>4.4367417677642962E-2</v>
      </c>
      <c r="AX29" s="14">
        <f ca="1">IF(AX$1="","",'Total Value'!AX41/'Total Value'!AW41-1)</f>
        <v>3.5180882841022276E-2</v>
      </c>
      <c r="AY29" s="14">
        <f ca="1">IF(AY$1="","",'Total Value'!AY41/'Total Value'!AX41-1)</f>
        <v>4.4886181468419384E-2</v>
      </c>
      <c r="AZ29" s="14">
        <f ca="1">IF(AZ$1="","",'Total Value'!AZ41/'Total Value'!AY41-1)</f>
        <v>-1.3501073949064302E-2</v>
      </c>
      <c r="BA29" s="14">
        <f ca="1">IF(BA$1="","",'Total Value'!BA41/'Total Value'!AZ41-1)</f>
        <v>4.7278382581648737E-2</v>
      </c>
      <c r="BB29" s="14">
        <f ca="1">IF(BB$1="","",'Total Value'!BB41/'Total Value'!BA41-1)</f>
        <v>-3.2670032670032434E-3</v>
      </c>
      <c r="BC29" s="14">
        <f ca="1">IF(BC$1="","",'Total Value'!BC41/'Total Value'!BB41-1)</f>
        <v>3.8438617401668651E-2</v>
      </c>
      <c r="BD29" s="14">
        <f ca="1">IF(BD$1="","",'Total Value'!BD41/'Total Value'!BC41-1)</f>
        <v>-1.176470588235301E-2</v>
      </c>
      <c r="BE29" s="14">
        <f ca="1">IF(BE$1="","",'Total Value'!BE41/'Total Value'!BD41-1)</f>
        <v>2.4390243902439046E-2</v>
      </c>
      <c r="BF29" s="14">
        <f ca="1">IF(BF$1="","",'Total Value'!BF41/'Total Value'!BE41-1)</f>
        <v>8.7868480725625808E-3</v>
      </c>
      <c r="BG29" s="14">
        <f ca="1">IF(BG$1="","",'Total Value'!BG41/'Total Value'!BF41-1)</f>
        <v>-1.798257937622938E-2</v>
      </c>
      <c r="BH29" s="14">
        <f ca="1">IF(BH$1="","",'Total Value'!BH41/'Total Value'!BG41-1)</f>
        <v>-8.8698140200287323E-3</v>
      </c>
      <c r="BI29" s="14">
        <f ca="1">IF(BI$1="","",'Total Value'!BI41/'Total Value'!BH41-1)</f>
        <v>3.666281755196299E-2</v>
      </c>
      <c r="BJ29" s="14">
        <f ca="1">IF(BJ$1="","",'Total Value'!BJ41/'Total Value'!BI41-1)</f>
        <v>3.8707880813144024E-2</v>
      </c>
      <c r="BK29" s="14">
        <f ca="1">IF(BK$1="","",'Total Value'!BK41/'Total Value'!BJ41-1)</f>
        <v>2.412868632707843E-3</v>
      </c>
      <c r="BL29" s="14">
        <f ca="1">IF(BL$1="","",'Total Value'!BL41/'Total Value'!BK41-1)</f>
        <v>-1.3907461888205463E-2</v>
      </c>
      <c r="BM29" s="14">
        <f ca="1">IF(BM$1="","",'Total Value'!BM41/'Total Value'!BL41-1)</f>
        <v>-2.2240303770002634E-2</v>
      </c>
      <c r="BN29" s="14">
        <f ca="1">IF(BN$1="","",'Total Value'!BN41/'Total Value'!BM41-1)</f>
        <v>-3.4674063800277377E-2</v>
      </c>
      <c r="BO29" s="14">
        <f ca="1">IF(BO$1="","",'Total Value'!BO41/'Total Value'!BN41-1)</f>
        <v>-2.1839080459770122E-2</v>
      </c>
      <c r="BP29" s="14">
        <f ca="1">IF(BP$1="","",'Total Value'!BP41/'Total Value'!BO41-1)</f>
        <v>2.8495887191539504E-2</v>
      </c>
      <c r="BQ29" s="14">
        <f ca="1">IF(BQ$1="","",'Total Value'!BQ41/'Total Value'!BP41-1)</f>
        <v>3.0277063696086959E-2</v>
      </c>
      <c r="BR29" s="14">
        <f ca="1">IF(BR$1="","",'Total Value'!BR41/'Total Value'!BQ41-1)</f>
        <v>-1.7466038258941108E-2</v>
      </c>
      <c r="BS29" s="14">
        <f ca="1">IF(BS$1="","",'Total Value'!BS41/'Total Value'!BR41-1)</f>
        <v>-4.0067720090293246E-2</v>
      </c>
      <c r="BT29" s="14">
        <f ca="1">IF(BT$1="","",'Total Value'!BT41/'Total Value'!BS41-1)</f>
        <v>1.9694297472075073E-2</v>
      </c>
      <c r="BU29" s="14">
        <f ca="1">IF(BU$1="","",'Total Value'!BU41/'Total Value'!BT41-1)</f>
        <v>2.7961948688382643E-2</v>
      </c>
      <c r="BV29" s="14">
        <f ca="1">IF(BV$1="","",'Total Value'!BV41/'Total Value'!BU41-1)</f>
        <v>-2.9444756029164187E-2</v>
      </c>
      <c r="BW29" s="14">
        <f ca="1">IF(BW$1="","",'Total Value'!BW41/'Total Value'!BV41-1)</f>
        <v>-3.669459693730126E-2</v>
      </c>
      <c r="BX29" s="14">
        <f ca="1">IF(BX$1="","",'Total Value'!BX41/'Total Value'!BW41-1)</f>
        <v>4.4991001799639996E-2</v>
      </c>
      <c r="BY29" s="14">
        <f ca="1">IF(BY$1="","",'Total Value'!BY41/'Total Value'!BX41-1)</f>
        <v>-5.9988518943743019E-2</v>
      </c>
      <c r="BZ29" s="14">
        <f ca="1">IF(BZ$1="","",'Total Value'!BZ41/'Total Value'!BY41-1)</f>
        <v>-1.2519083969465439E-2</v>
      </c>
      <c r="CA29" s="14">
        <f ca="1">IF(CA$1="","",'Total Value'!CA41/'Total Value'!BZ41-1)</f>
        <v>-9.5856524427955225E-3</v>
      </c>
      <c r="CB29" s="14">
        <f ca="1">IF(CB$1="","",'Total Value'!CB41/'Total Value'!CA41-1)</f>
        <v>-4.1523571651576718E-2</v>
      </c>
      <c r="CC29" s="14">
        <f ca="1">IF(CC$1="","",'Total Value'!CC41/'Total Value'!CB41-1)</f>
        <v>4.5276872964169712E-2</v>
      </c>
      <c r="CD29" s="14">
        <f ca="1">IF(CD$1="","",'Total Value'!CD41/'Total Value'!CC41-1)</f>
        <v>-1.5581177937054047E-3</v>
      </c>
      <c r="CE29" s="14">
        <f ca="1">IF(CE$1="","",'Total Value'!CE41/'Total Value'!CD41-1)</f>
        <v>3.4332084893882175E-3</v>
      </c>
      <c r="CF29" s="14" t="str">
        <f ca="1">IF(CF$1="","",'Total Value'!CF41/'Total Value'!CE41-1)</f>
        <v/>
      </c>
      <c r="CG29" s="14" t="str">
        <f ca="1">IF(CG$1="","",'Total Value'!CG41/'Total Value'!CF41-1)</f>
        <v/>
      </c>
      <c r="CH29" s="14" t="str">
        <f ca="1">IF(CH$1="","",'Total Value'!CH41/'Total Value'!CG41-1)</f>
        <v/>
      </c>
      <c r="CI29" s="14" t="str">
        <f ca="1">IF(CI$1="","",'Total Value'!CI41/'Total Value'!CH41-1)</f>
        <v/>
      </c>
      <c r="CJ29" s="14" t="str">
        <f ca="1">IF(CJ$1="","",'Total Value'!CJ41/'Total Value'!CI41-1)</f>
        <v/>
      </c>
      <c r="CK29" s="14" t="str">
        <f ca="1">IF(CK$1="","",'Total Value'!CK41/'Total Value'!CJ41-1)</f>
        <v/>
      </c>
      <c r="CL29" s="14" t="str">
        <f ca="1">IF(CL$1="","",'Total Value'!CL41/'Total Value'!CK41-1)</f>
        <v/>
      </c>
      <c r="CM29" s="14" t="str">
        <f ca="1">IF(CM$1="","",'Total Value'!CM41/'Total Value'!CL41-1)</f>
        <v/>
      </c>
      <c r="CN29" s="14" t="str">
        <f ca="1">IF(CN$1="","",'Total Value'!CN41/'Total Value'!CM41-1)</f>
        <v/>
      </c>
      <c r="CO29" s="14" t="str">
        <f ca="1">IF(CO$1="","",'Total Value'!CO41/'Total Value'!CN41-1)</f>
        <v/>
      </c>
      <c r="CP29" s="14" t="str">
        <f ca="1">IF(CP$1="","",'Total Value'!CP41/'Total Value'!CO41-1)</f>
        <v/>
      </c>
      <c r="CQ29" s="14" t="str">
        <f ca="1">IF(CQ$1="","",'Total Value'!CQ41/'Total Value'!CP41-1)</f>
        <v/>
      </c>
      <c r="CR29" s="14" t="str">
        <f ca="1">IF(CR$1="","",'Total Value'!CR41/'Total Value'!CQ41-1)</f>
        <v/>
      </c>
      <c r="CS29" s="14" t="str">
        <f ca="1">IF(CS$1="","",'Total Value'!CS41/'Total Value'!CR41-1)</f>
        <v/>
      </c>
      <c r="CT29" s="14" t="str">
        <f ca="1">IF(CT$1="","",'Total Value'!CT41/'Total Value'!CS41-1)</f>
        <v/>
      </c>
      <c r="CU29" s="14" t="str">
        <f ca="1">IF(CU$1="","",'Total Value'!CU41/'Total Value'!CT41-1)</f>
        <v/>
      </c>
      <c r="CV29" s="14" t="str">
        <f ca="1">IF(CV$1="","",'Total Value'!CV41/'Total Value'!CU41-1)</f>
        <v/>
      </c>
      <c r="CW29" s="14" t="str">
        <f ca="1">IF(CW$1="","",'Total Value'!CW41/'Total Value'!CV41-1)</f>
        <v/>
      </c>
      <c r="CX29" s="14" t="str">
        <f ca="1">IF(CX$1="","",'Total Value'!CX41/'Total Value'!CW41-1)</f>
        <v/>
      </c>
      <c r="CY29" s="14" t="str">
        <f ca="1">IF(CY$1="","",'Total Value'!CY41/'Total Value'!CX41-1)</f>
        <v/>
      </c>
      <c r="CZ29" s="14" t="str">
        <f ca="1">IF(CZ$1="","",'Total Value'!CZ41/'Total Value'!CY41-1)</f>
        <v/>
      </c>
      <c r="DA29" s="14" t="str">
        <f ca="1">IF(DA$1="","",'Total Value'!DA41/'Total Value'!CZ41-1)</f>
        <v/>
      </c>
      <c r="DB29" s="14" t="str">
        <f ca="1">IF(DB$1="","",'Total Value'!DB41/'Total Value'!DA41-1)</f>
        <v/>
      </c>
      <c r="DC29" s="14" t="str">
        <f ca="1">IF(DC$1="","",'Total Value'!DC41/'Total Value'!DB41-1)</f>
        <v/>
      </c>
      <c r="DD29" s="14" t="str">
        <f ca="1">IF(DD$1="","",'Total Value'!DD41/'Total Value'!DC41-1)</f>
        <v/>
      </c>
      <c r="DE29" s="14" t="str">
        <f ca="1">IF(DE$1="","",'Total Value'!DE41/'Total Value'!DD41-1)</f>
        <v/>
      </c>
      <c r="DF29" s="14" t="str">
        <f ca="1">IF(DF$1="","",'Total Value'!DF41/'Total Value'!DE41-1)</f>
        <v/>
      </c>
      <c r="DG29" s="14" t="str">
        <f ca="1">IF(DG$1="","",'Total Value'!DG41/'Total Value'!DF41-1)</f>
        <v/>
      </c>
      <c r="DH29" s="14" t="str">
        <f ca="1">IF(DH$1="","",'Total Value'!DH41/'Total Value'!DG41-1)</f>
        <v/>
      </c>
      <c r="DI29" s="14" t="str">
        <f ca="1">IF(DI$1="","",'Total Value'!DI41/'Total Value'!DH41-1)</f>
        <v/>
      </c>
      <c r="DJ29" s="14" t="str">
        <f ca="1">IF(DJ$1="","",'Total Value'!DJ41/'Total Value'!DI41-1)</f>
        <v/>
      </c>
      <c r="DK29" s="14" t="str">
        <f ca="1">IF(DK$1="","",'Total Value'!DK41/'Total Value'!DJ41-1)</f>
        <v/>
      </c>
      <c r="DL29" s="14" t="str">
        <f ca="1">IF(DL$1="","",'Total Value'!DL41/'Total Value'!DK41-1)</f>
        <v/>
      </c>
      <c r="DM29" s="14" t="str">
        <f ca="1">IF(DM$1="","",'Total Value'!DM41/'Total Value'!DL41-1)</f>
        <v/>
      </c>
      <c r="DN29" s="14" t="str">
        <f ca="1">IF(DN$1="","",'Total Value'!DN41/'Total Value'!DM41-1)</f>
        <v/>
      </c>
      <c r="DO29" s="14" t="str">
        <f ca="1">IF(DO$1="","",'Total Value'!DO41/'Total Value'!DN41-1)</f>
        <v/>
      </c>
      <c r="DP29" s="14" t="str">
        <f ca="1">IF(DP$1="","",'Total Value'!DP41/'Total Value'!DO41-1)</f>
        <v/>
      </c>
      <c r="DQ29" s="14" t="str">
        <f ca="1">IF(DQ$1="","",'Total Value'!DQ41/'Total Value'!DP41-1)</f>
        <v/>
      </c>
      <c r="DR29" s="14" t="str">
        <f ca="1">IF(DR$1="","",'Total Value'!DR41/'Total Value'!DQ41-1)</f>
        <v/>
      </c>
      <c r="DS29" s="14" t="str">
        <f ca="1">IF(DS$1="","",'Total Value'!DS41/'Total Value'!DR41-1)</f>
        <v/>
      </c>
      <c r="DT29" s="14" t="str">
        <f ca="1">IF(DT$1="","",'Total Value'!DT41/'Total Value'!DS41-1)</f>
        <v/>
      </c>
      <c r="DU29" s="14" t="str">
        <f ca="1">IF(DU$1="","",'Total Value'!DU41/'Total Value'!DT41-1)</f>
        <v/>
      </c>
      <c r="DV29" s="14" t="str">
        <f ca="1">IF(DV$1="","",'Total Value'!DV41/'Total Value'!DU41-1)</f>
        <v/>
      </c>
      <c r="DW29" s="14" t="str">
        <f ca="1">IF(DW$1="","",'Total Value'!DW41/'Total Value'!DV41-1)</f>
        <v/>
      </c>
      <c r="DX29" s="14" t="str">
        <f ca="1">IF(DX$1="","",'Total Value'!DX41/'Total Value'!DW41-1)</f>
        <v/>
      </c>
      <c r="DY29" s="14" t="str">
        <f ca="1">IF(DY$1="","",'Total Value'!DY41/'Total Value'!DX41-1)</f>
        <v/>
      </c>
      <c r="DZ29" s="14" t="str">
        <f ca="1">IF(DZ$1="","",'Total Value'!DZ41/'Total Value'!DY41-1)</f>
        <v/>
      </c>
      <c r="EA29" s="14" t="str">
        <f ca="1">IF(EA$1="","",'Total Value'!EA41/'Total Value'!DZ41-1)</f>
        <v/>
      </c>
      <c r="EB29" s="14" t="str">
        <f ca="1">IF(EB$1="","",'Total Value'!EB41/'Total Value'!EA41-1)</f>
        <v/>
      </c>
      <c r="EC29" s="14" t="str">
        <f ca="1">IF(EC$1="","",'Total Value'!EC41/'Total Value'!EB41-1)</f>
        <v/>
      </c>
      <c r="ED29" s="14" t="str">
        <f ca="1">IF(ED$1="","",'Total Value'!ED41/'Total Value'!EC41-1)</f>
        <v/>
      </c>
      <c r="EE29" s="14" t="str">
        <f ca="1">IF(EE$1="","",'Total Value'!EE41/'Total Value'!ED41-1)</f>
        <v/>
      </c>
      <c r="EF29" s="14" t="str">
        <f ca="1">IF(EF$1="","",'Total Value'!EF41/'Total Value'!EE41-1)</f>
        <v/>
      </c>
      <c r="EG29" s="14" t="str">
        <f ca="1">IF(EG$1="","",'Total Value'!EG41/'Total Value'!EF41-1)</f>
        <v/>
      </c>
      <c r="EH29" s="14" t="str">
        <f ca="1">IF(EH$1="","",'Total Value'!EH41/'Total Value'!EG41-1)</f>
        <v/>
      </c>
      <c r="EI29" s="14" t="str">
        <f ca="1">IF(EI$1="","",'Total Value'!EI41/'Total Value'!EH41-1)</f>
        <v/>
      </c>
      <c r="EJ29" s="14" t="str">
        <f ca="1">IF(EJ$1="","",'Total Value'!EJ41/'Total Value'!EI41-1)</f>
        <v/>
      </c>
      <c r="EK29" s="14" t="str">
        <f ca="1">IF(EK$1="","",'Total Value'!EK41/'Total Value'!EJ41-1)</f>
        <v/>
      </c>
      <c r="EL29" s="14" t="str">
        <f ca="1">IF(EL$1="","",'Total Value'!EL41/'Total Value'!EK41-1)</f>
        <v/>
      </c>
      <c r="EM29" s="14" t="str">
        <f ca="1">IF(EM$1="","",'Total Value'!EM41/'Total Value'!EL41-1)</f>
        <v/>
      </c>
      <c r="EN29" s="14" t="str">
        <f ca="1">IF(EN$1="","",'Total Value'!EN41/'Total Value'!EM41-1)</f>
        <v/>
      </c>
      <c r="EO29" s="14" t="str">
        <f ca="1">IF(EO$1="","",'Total Value'!EO41/'Total Value'!EN41-1)</f>
        <v/>
      </c>
      <c r="EP29" s="14" t="str">
        <f ca="1">IF(EP$1="","",'Total Value'!EP41/'Total Value'!EO41-1)</f>
        <v/>
      </c>
      <c r="EQ29" s="14" t="str">
        <f ca="1">IF(EQ$1="","",'Total Value'!EQ41/'Total Value'!EP41-1)</f>
        <v/>
      </c>
      <c r="ER29" s="14" t="str">
        <f ca="1">IF(ER$1="","",'Total Value'!ER41/'Total Value'!EQ41-1)</f>
        <v/>
      </c>
      <c r="ES29" s="14" t="str">
        <f ca="1">IF(ES$1="","",'Total Value'!ES41/'Total Value'!ER41-1)</f>
        <v/>
      </c>
      <c r="ET29" s="14" t="str">
        <f ca="1">IF(ET$1="","",'Total Value'!ET41/'Total Value'!ES41-1)</f>
        <v/>
      </c>
      <c r="EU29" s="14" t="str">
        <f ca="1">IF(EU$1="","",'Total Value'!EU41/'Total Value'!ET41-1)</f>
        <v/>
      </c>
      <c r="EV29" s="14" t="str">
        <f ca="1">IF(EV$1="","",'Total Value'!EV41/'Total Value'!EU41-1)</f>
        <v/>
      </c>
      <c r="EW29" s="14" t="str">
        <f ca="1">IF(EW$1="","",'Total Value'!EW41/'Total Value'!EV41-1)</f>
        <v/>
      </c>
      <c r="EX29" s="14" t="str">
        <f ca="1">IF(EX$1="","",'Total Value'!EX41/'Total Value'!EW41-1)</f>
        <v/>
      </c>
      <c r="EY29" s="14" t="str">
        <f ca="1">IF(EY$1="","",'Total Value'!EY41/'Total Value'!EX41-1)</f>
        <v/>
      </c>
      <c r="EZ29" s="14" t="str">
        <f ca="1">IF(EZ$1="","",'Total Value'!EZ41/'Total Value'!EY41-1)</f>
        <v/>
      </c>
      <c r="FA29" s="14" t="str">
        <f ca="1">IF(FA$1="","",'Total Value'!FA41/'Total Value'!EZ41-1)</f>
        <v/>
      </c>
      <c r="FB29" s="14" t="str">
        <f ca="1">IF(FB$1="","",'Total Value'!FB41/'Total Value'!FA41-1)</f>
        <v/>
      </c>
      <c r="FC29" s="14" t="str">
        <f ca="1">IF(FC$1="","",'Total Value'!FC41/'Total Value'!FB41-1)</f>
        <v/>
      </c>
      <c r="FD29" s="14" t="str">
        <f ca="1">IF(FD$1="","",'Total Value'!FD41/'Total Value'!FC41-1)</f>
        <v/>
      </c>
      <c r="FE29" s="14" t="str">
        <f ca="1">IF(FE$1="","",'Total Value'!FE41/'Total Value'!FD41-1)</f>
        <v/>
      </c>
      <c r="FF29" s="14" t="str">
        <f ca="1">IF(FF$1="","",'Total Value'!FF41/'Total Value'!FE41-1)</f>
        <v/>
      </c>
      <c r="FG29" s="14" t="str">
        <f ca="1">IF(FG$1="","",'Total Value'!FG41/'Total Value'!FF41-1)</f>
        <v/>
      </c>
      <c r="FH29" s="14" t="str">
        <f ca="1">IF(FH$1="","",'Total Value'!FH41/'Total Value'!FG41-1)</f>
        <v/>
      </c>
      <c r="FI29" s="14" t="str">
        <f ca="1">IF(FI$1="","",'Total Value'!FI41/'Total Value'!FH41-1)</f>
        <v/>
      </c>
      <c r="FJ29" s="14" t="str">
        <f ca="1">IF(FJ$1="","",'Total Value'!FJ41/'Total Value'!FI41-1)</f>
        <v/>
      </c>
      <c r="FK29" s="14" t="str">
        <f ca="1">IF(FK$1="","",'Total Value'!FK41/'Total Value'!FJ41-1)</f>
        <v/>
      </c>
      <c r="FL29" s="14" t="str">
        <f ca="1">IF(FL$1="","",'Total Value'!FL41/'Total Value'!FK41-1)</f>
        <v/>
      </c>
      <c r="FM29" s="14" t="str">
        <f ca="1">IF(FM$1="","",'Total Value'!FM41/'Total Value'!FL41-1)</f>
        <v/>
      </c>
      <c r="FN29" s="14" t="str">
        <f ca="1">IF(FN$1="","",'Total Value'!FN41/'Total Value'!FM41-1)</f>
        <v/>
      </c>
      <c r="FO29" s="14" t="str">
        <f ca="1">IF(FO$1="","",'Total Value'!FO41/'Total Value'!FN41-1)</f>
        <v/>
      </c>
      <c r="FP29" s="14" t="str">
        <f ca="1">IF(FP$1="","",'Total Value'!FP41/'Total Value'!FO41-1)</f>
        <v/>
      </c>
      <c r="FQ29" s="14" t="str">
        <f ca="1">IF(FQ$1="","",'Total Value'!FQ41/'Total Value'!FP41-1)</f>
        <v/>
      </c>
      <c r="FR29" s="14" t="str">
        <f ca="1">IF(FR$1="","",'Total Value'!FR41/'Total Value'!FQ41-1)</f>
        <v/>
      </c>
      <c r="FS29" s="14" t="str">
        <f ca="1">IF(FS$1="","",'Total Value'!FS41/'Total Value'!FR41-1)</f>
        <v/>
      </c>
      <c r="FT29" s="14" t="str">
        <f ca="1">IF(FT$1="","",'Total Value'!FT41/'Total Value'!FS41-1)</f>
        <v/>
      </c>
      <c r="FU29" s="14" t="str">
        <f ca="1">IF(FU$1="","",'Total Value'!FU41/'Total Value'!FT41-1)</f>
        <v/>
      </c>
      <c r="FV29" s="14" t="str">
        <f ca="1">IF(FV$1="","",'Total Value'!FV41/'Total Value'!FU41-1)</f>
        <v/>
      </c>
      <c r="FW29" s="14" t="str">
        <f ca="1">IF(FW$1="","",'Total Value'!FW41/'Total Value'!FV41-1)</f>
        <v/>
      </c>
      <c r="FX29" s="14" t="str">
        <f ca="1">IF(FX$1="","",'Total Value'!FX41/'Total Value'!FW41-1)</f>
        <v/>
      </c>
      <c r="FY29" s="14" t="str">
        <f ca="1">IF(FY$1="","",'Total Value'!FY41/'Total Value'!FX41-1)</f>
        <v/>
      </c>
      <c r="FZ29" s="14" t="str">
        <f ca="1">IF(FZ$1="","",'Total Value'!FZ41/'Total Value'!FY41-1)</f>
        <v/>
      </c>
      <c r="GA29" s="14" t="str">
        <f ca="1">IF(GA$1="","",'Total Value'!GA41/'Total Value'!FZ41-1)</f>
        <v/>
      </c>
      <c r="GB29" s="14" t="str">
        <f ca="1">IF(GB$1="","",'Total Value'!GB41/'Total Value'!GA41-1)</f>
        <v/>
      </c>
      <c r="GC29" s="14" t="str">
        <f ca="1">IF(GC$1="","",'Total Value'!GC41/'Total Value'!GB41-1)</f>
        <v/>
      </c>
      <c r="GD29" s="14" t="str">
        <f ca="1">IF(GD$1="","",'Total Value'!GD41/'Total Value'!GC41-1)</f>
        <v/>
      </c>
      <c r="GE29" s="14" t="str">
        <f ca="1">IF(GE$1="","",'Total Value'!GE41/'Total Value'!GD41-1)</f>
        <v/>
      </c>
      <c r="GF29" s="14" t="str">
        <f ca="1">IF(GF$1="","",'Total Value'!GF41/'Total Value'!GE41-1)</f>
        <v/>
      </c>
      <c r="GG29" s="14" t="str">
        <f ca="1">IF(GG$1="","",'Total Value'!GG41/'Total Value'!GF41-1)</f>
        <v/>
      </c>
      <c r="GH29" s="14" t="str">
        <f ca="1">IF(GH$1="","",'Total Value'!GH41/'Total Value'!GG41-1)</f>
        <v/>
      </c>
      <c r="GI29" s="14" t="str">
        <f ca="1">IF(GI$1="","",'Total Value'!GI41/'Total Value'!GH41-1)</f>
        <v/>
      </c>
      <c r="GJ29" s="14" t="str">
        <f ca="1">IF(GJ$1="","",'Total Value'!GJ41/'Total Value'!GI41-1)</f>
        <v/>
      </c>
      <c r="GK29" s="14" t="str">
        <f ca="1">IF(GK$1="","",'Total Value'!GK41/'Total Value'!GJ41-1)</f>
        <v/>
      </c>
      <c r="GL29" s="14" t="str">
        <f ca="1">IF(GL$1="","",'Total Value'!GL41/'Total Value'!GK41-1)</f>
        <v/>
      </c>
      <c r="GM29" s="14" t="str">
        <f ca="1">IF(GM$1="","",'Total Value'!GM41/'Total Value'!GL41-1)</f>
        <v/>
      </c>
      <c r="GN29" s="14" t="str">
        <f ca="1">IF(GN$1="","",'Total Value'!GN41/'Total Value'!GM41-1)</f>
        <v/>
      </c>
      <c r="GO29" s="14" t="str">
        <f ca="1">IF(GO$1="","",'Total Value'!GO41/'Total Value'!GN41-1)</f>
        <v/>
      </c>
      <c r="GP29" s="14" t="str">
        <f ca="1">IF(GP$1="","",'Total Value'!GP41/'Total Value'!GO41-1)</f>
        <v/>
      </c>
      <c r="GQ29" s="14" t="str">
        <f ca="1">IF(GQ$1="","",'Total Value'!GQ41/'Total Value'!GP41-1)</f>
        <v/>
      </c>
      <c r="GR29" s="14" t="str">
        <f ca="1">IF(GR$1="","",'Total Value'!GR41/'Total Value'!GQ41-1)</f>
        <v/>
      </c>
      <c r="GS29" s="14" t="str">
        <f ca="1">IF(GS$1="","",'Total Value'!GS41/'Total Value'!GR41-1)</f>
        <v/>
      </c>
      <c r="GT29" s="14" t="str">
        <f ca="1">IF(GT$1="","",'Total Value'!GT41/'Total Value'!GS41-1)</f>
        <v/>
      </c>
      <c r="GU29" s="14" t="str">
        <f ca="1">IF(GU$1="","",'Total Value'!GU41/'Total Value'!GT41-1)</f>
        <v/>
      </c>
      <c r="GV29" s="14" t="str">
        <f ca="1">IF(GV$1="","",'Total Value'!GV41/'Total Value'!GU41-1)</f>
        <v/>
      </c>
      <c r="GW29" s="14" t="str">
        <f ca="1">IF(GW$1="","",'Total Value'!GW41/'Total Value'!GV41-1)</f>
        <v/>
      </c>
      <c r="GX29" s="14" t="str">
        <f ca="1">IF(GX$1="","",'Total Value'!GX41/'Total Value'!GW41-1)</f>
        <v/>
      </c>
      <c r="GY29" s="14" t="str">
        <f ca="1">IF(GY$1="","",'Total Value'!GY41/'Total Value'!GX41-1)</f>
        <v/>
      </c>
      <c r="GZ29" s="14" t="str">
        <f ca="1">IF(GZ$1="","",'Total Value'!GZ41/'Total Value'!GY41-1)</f>
        <v/>
      </c>
      <c r="HA29" s="14" t="str">
        <f ca="1">IF(HA$1="","",'Total Value'!HA41/'Total Value'!GZ41-1)</f>
        <v/>
      </c>
      <c r="HB29" s="14" t="str">
        <f ca="1">IF(HB$1="","",'Total Value'!HB41/'Total Value'!HA41-1)</f>
        <v/>
      </c>
      <c r="HC29" s="14" t="str">
        <f ca="1">IF(HC$1="","",'Total Value'!HC41/'Total Value'!HB41-1)</f>
        <v/>
      </c>
      <c r="HD29" s="14" t="str">
        <f ca="1">IF(HD$1="","",'Total Value'!HD41/'Total Value'!HC41-1)</f>
        <v/>
      </c>
      <c r="HE29" s="14" t="str">
        <f ca="1">IF(HE$1="","",'Total Value'!HE41/'Total Value'!HD41-1)</f>
        <v/>
      </c>
      <c r="HF29" s="14" t="str">
        <f ca="1">IF(HF$1="","",'Total Value'!HF41/'Total Value'!HE41-1)</f>
        <v/>
      </c>
      <c r="HG29" s="14" t="str">
        <f ca="1">IF(HG$1="","",'Total Value'!HG41/'Total Value'!HF41-1)</f>
        <v/>
      </c>
      <c r="HH29" s="14" t="str">
        <f ca="1">IF(HH$1="","",'Total Value'!HH41/'Total Value'!HG41-1)</f>
        <v/>
      </c>
      <c r="HI29" s="14" t="str">
        <f ca="1">IF(HI$1="","",'Total Value'!HI41/'Total Value'!HH41-1)</f>
        <v/>
      </c>
      <c r="HJ29" s="14" t="str">
        <f ca="1">IF(HJ$1="","",'Total Value'!HJ41/'Total Value'!HI41-1)</f>
        <v/>
      </c>
      <c r="HK29" s="14" t="str">
        <f ca="1">IF(HK$1="","",'Total Value'!HK41/'Total Value'!HJ41-1)</f>
        <v/>
      </c>
      <c r="HL29" s="14" t="str">
        <f ca="1">IF(HL$1="","",'Total Value'!HL41/'Total Value'!HK41-1)</f>
        <v/>
      </c>
      <c r="HM29" s="14" t="str">
        <f ca="1">IF(HM$1="","",'Total Value'!HM41/'Total Value'!HL41-1)</f>
        <v/>
      </c>
      <c r="HN29" s="14" t="str">
        <f ca="1">IF(HN$1="","",'Total Value'!HN41/'Total Value'!HM41-1)</f>
        <v/>
      </c>
      <c r="HO29" s="14" t="str">
        <f ca="1">IF(HO$1="","",'Total Value'!HO41/'Total Value'!HN41-1)</f>
        <v/>
      </c>
      <c r="HP29" s="14" t="str">
        <f ca="1">IF(HP$1="","",'Total Value'!HP41/'Total Value'!HO41-1)</f>
        <v/>
      </c>
      <c r="HQ29" s="14" t="str">
        <f ca="1">IF(HQ$1="","",'Total Value'!HQ41/'Total Value'!HP41-1)</f>
        <v/>
      </c>
      <c r="HR29" s="14" t="str">
        <f ca="1">IF(HR$1="","",'Total Value'!HR41/'Total Value'!HQ41-1)</f>
        <v/>
      </c>
      <c r="HS29" s="14" t="str">
        <f ca="1">IF(HS$1="","",'Total Value'!HS41/'Total Value'!HR41-1)</f>
        <v/>
      </c>
      <c r="HT29" s="14" t="str">
        <f ca="1">IF(HT$1="","",'Total Value'!HT41/'Total Value'!HS41-1)</f>
        <v/>
      </c>
      <c r="HU29" s="14" t="str">
        <f ca="1">IF(HU$1="","",'Total Value'!HU41/'Total Value'!HT41-1)</f>
        <v/>
      </c>
      <c r="HV29" s="14" t="str">
        <f ca="1">IF(HV$1="","",'Total Value'!HV41/'Total Value'!HU41-1)</f>
        <v/>
      </c>
      <c r="HW29" s="14" t="str">
        <f ca="1">IF(HW$1="","",'Total Value'!HW41/'Total Value'!HV41-1)</f>
        <v/>
      </c>
      <c r="HX29" s="14" t="str">
        <f ca="1">IF(HX$1="","",'Total Value'!HX41/'Total Value'!HW41-1)</f>
        <v/>
      </c>
      <c r="HY29" s="14" t="str">
        <f ca="1">IF(HY$1="","",'Total Value'!HY41/'Total Value'!HX41-1)</f>
        <v/>
      </c>
      <c r="HZ29" s="14" t="str">
        <f ca="1">IF(HZ$1="","",'Total Value'!HZ41/'Total Value'!HY41-1)</f>
        <v/>
      </c>
      <c r="IA29" s="14" t="str">
        <f ca="1">IF(IA$1="","",'Total Value'!IA41/'Total Value'!HZ41-1)</f>
        <v/>
      </c>
      <c r="IB29" s="14" t="str">
        <f ca="1">IF(IB$1="","",'Total Value'!IB41/'Total Value'!IA41-1)</f>
        <v/>
      </c>
      <c r="IC29" s="14" t="str">
        <f ca="1">IF(IC$1="","",'Total Value'!IC41/'Total Value'!IB41-1)</f>
        <v/>
      </c>
      <c r="ID29" s="14" t="str">
        <f ca="1">IF(ID$1="","",'Total Value'!ID41/'Total Value'!IC41-1)</f>
        <v/>
      </c>
      <c r="IE29" s="14" t="str">
        <f ca="1">IF(IE$1="","",'Total Value'!IE41/'Total Value'!ID41-1)</f>
        <v/>
      </c>
      <c r="IF29" s="14" t="str">
        <f ca="1">IF(IF$1="","",'Total Value'!IF41/'Total Value'!IE41-1)</f>
        <v/>
      </c>
      <c r="IG29" s="14" t="str">
        <f ca="1">IF(IG$1="","",'Total Value'!IG41/'Total Value'!IF41-1)</f>
        <v/>
      </c>
      <c r="IH29" s="14" t="str">
        <f ca="1">IF(IH$1="","",'Total Value'!IH41/'Total Value'!IG41-1)</f>
        <v/>
      </c>
      <c r="II29" s="14" t="str">
        <f ca="1">IF(II$1="","",'Total Value'!II41/'Total Value'!IH41-1)</f>
        <v/>
      </c>
      <c r="IJ29" s="14" t="str">
        <f ca="1">IF(IJ$1="","",'Total Value'!IJ41/'Total Value'!II41-1)</f>
        <v/>
      </c>
      <c r="IK29" s="14" t="str">
        <f ca="1">IF(IK$1="","",'Total Value'!IK41/'Total Value'!IJ41-1)</f>
        <v/>
      </c>
      <c r="IL29" s="14" t="str">
        <f ca="1">IF(IL$1="","",'Total Value'!IL41/'Total Value'!IK41-1)</f>
        <v/>
      </c>
      <c r="IM29" s="14" t="str">
        <f ca="1">IF(IM$1="","",'Total Value'!IM41/'Total Value'!IL41-1)</f>
        <v/>
      </c>
      <c r="IN29" s="14" t="str">
        <f ca="1">IF(IN$1="","",'Total Value'!IN41/'Total Value'!IM41-1)</f>
        <v/>
      </c>
      <c r="IO29" s="14" t="str">
        <f ca="1">IF(IO$1="","",'Total Value'!IO41/'Total Value'!IN41-1)</f>
        <v/>
      </c>
      <c r="IP29" s="14" t="str">
        <f ca="1">IF(IP$1="","",'Total Value'!IP41/'Total Value'!IO41-1)</f>
        <v/>
      </c>
      <c r="IQ29" s="14" t="str">
        <f ca="1">IF(IQ$1="","",'Total Value'!IQ41/'Total Value'!IP41-1)</f>
        <v/>
      </c>
      <c r="IR29" s="14" t="str">
        <f ca="1">IF(IR$1="","",'Total Value'!IR41/'Total Value'!IQ41-1)</f>
        <v/>
      </c>
      <c r="IS29" s="14" t="str">
        <f ca="1">IF(IS$1="","",'Total Value'!IS41/'Total Value'!IR41-1)</f>
        <v/>
      </c>
      <c r="IT29" s="14" t="str">
        <f ca="1">IF(IT$1="","",'Total Value'!IT41/'Total Value'!IS41-1)</f>
        <v/>
      </c>
      <c r="IU29" s="14" t="str">
        <f ca="1">IF(IU$1="","",'Total Value'!IU41/'Total Value'!IT41-1)</f>
        <v/>
      </c>
      <c r="IV29" s="14" t="str">
        <f ca="1">IF(IV$1="","",'Total Value'!IV41/'Total Value'!IU41-1)</f>
        <v/>
      </c>
      <c r="IW29" s="14" t="str">
        <f ca="1">IF(IW$1="","",'Total Value'!IW41/'Total Value'!IV41-1)</f>
        <v/>
      </c>
      <c r="IX29" s="14" t="str">
        <f ca="1">IF(IX$1="","",'Total Value'!IX41/'Total Value'!IW41-1)</f>
        <v/>
      </c>
      <c r="IY29" s="14" t="str">
        <f ca="1">IF(IY$1="","",'Total Value'!IY41/'Total Value'!IX41-1)</f>
        <v/>
      </c>
      <c r="IZ29" s="14" t="str">
        <f ca="1">IF(IZ$1="","",'Total Value'!IZ41/'Total Value'!IY41-1)</f>
        <v/>
      </c>
      <c r="JA29" s="14" t="str">
        <f ca="1">IF(JA$1="","",'Total Value'!JA41/'Total Value'!IZ41-1)</f>
        <v/>
      </c>
      <c r="JB29" s="14" t="str">
        <f ca="1">IF(JB$1="","",'Total Value'!JB41/'Total Value'!JA41-1)</f>
        <v/>
      </c>
      <c r="JC29" s="14" t="str">
        <f ca="1">IF(JC$1="","",'Total Value'!JC41/'Total Value'!JB41-1)</f>
        <v/>
      </c>
      <c r="JD29" s="14" t="str">
        <f ca="1">IF(JD$1="","",'Total Value'!JD41/'Total Value'!JC41-1)</f>
        <v/>
      </c>
      <c r="JE29" s="14" t="str">
        <f ca="1">IF(JE$1="","",'Total Value'!JE41/'Total Value'!JD41-1)</f>
        <v/>
      </c>
      <c r="JF29" s="14" t="str">
        <f ca="1">IF(JF$1="","",'Total Value'!JF41/'Total Value'!JE41-1)</f>
        <v/>
      </c>
      <c r="JG29" s="14" t="str">
        <f ca="1">IF(JG$1="","",'Total Value'!JG41/'Total Value'!JF41-1)</f>
        <v/>
      </c>
      <c r="JH29" s="14" t="str">
        <f ca="1">IF(JH$1="","",'Total Value'!JH41/'Total Value'!JG41-1)</f>
        <v/>
      </c>
      <c r="JI29" s="14" t="str">
        <f ca="1">IF(JI$1="","",'Total Value'!JI41/'Total Value'!JH41-1)</f>
        <v/>
      </c>
      <c r="JJ29" s="14" t="str">
        <f ca="1">IF(JJ$1="","",'Total Value'!JJ41/'Total Value'!JI41-1)</f>
        <v/>
      </c>
      <c r="JK29" s="14" t="str">
        <f ca="1">IF(JK$1="","",'Total Value'!JK41/'Total Value'!JJ41-1)</f>
        <v/>
      </c>
      <c r="JL29" s="14" t="str">
        <f ca="1">IF(JL$1="","",'Total Value'!JL41/'Total Value'!JK41-1)</f>
        <v/>
      </c>
      <c r="JM29" s="14" t="str">
        <f ca="1">IF(JM$1="","",'Total Value'!JM41/'Total Value'!JL41-1)</f>
        <v/>
      </c>
      <c r="JN29" s="14" t="str">
        <f ca="1">IF(JN$1="","",'Total Value'!JN41/'Total Value'!JM41-1)</f>
        <v/>
      </c>
      <c r="JO29" s="14" t="str">
        <f ca="1">IF(JO$1="","",'Total Value'!JO41/'Total Value'!JN41-1)</f>
        <v/>
      </c>
      <c r="JP29" s="14" t="str">
        <f ca="1">IF(JP$1="","",'Total Value'!JP41/'Total Value'!JO41-1)</f>
        <v/>
      </c>
      <c r="JQ29" s="14" t="str">
        <f ca="1">IF(JQ$1="","",'Total Value'!JQ41/'Total Value'!JP41-1)</f>
        <v/>
      </c>
      <c r="JR29" s="14" t="str">
        <f ca="1">IF(JR$1="","",'Total Value'!JR41/'Total Value'!JQ41-1)</f>
        <v/>
      </c>
      <c r="JS29" s="14" t="str">
        <f ca="1">IF(JS$1="","",'Total Value'!JS41/'Total Value'!JR41-1)</f>
        <v/>
      </c>
      <c r="JT29" s="14" t="str">
        <f ca="1">IF(JT$1="","",'Total Value'!JT41/'Total Value'!JS41-1)</f>
        <v/>
      </c>
      <c r="JU29" s="14" t="str">
        <f ca="1">IF(JU$1="","",'Total Value'!JU41/'Total Value'!JT41-1)</f>
        <v/>
      </c>
      <c r="JV29" s="14" t="str">
        <f ca="1">IF(JV$1="","",'Total Value'!JV41/'Total Value'!JU41-1)</f>
        <v/>
      </c>
      <c r="JW29" s="14" t="str">
        <f ca="1">IF(JW$1="","",'Total Value'!JW41/'Total Value'!JV41-1)</f>
        <v/>
      </c>
      <c r="JX29" s="14" t="str">
        <f ca="1">IF(JX$1="","",'Total Value'!JX41/'Total Value'!JW41-1)</f>
        <v/>
      </c>
      <c r="JY29" s="14" t="str">
        <f ca="1">IF(JY$1="","",'Total Value'!JY41/'Total Value'!JX41-1)</f>
        <v/>
      </c>
      <c r="JZ29" s="14" t="str">
        <f ca="1">IF(JZ$1="","",'Total Value'!JZ41/'Total Value'!JY41-1)</f>
        <v/>
      </c>
      <c r="KA29" s="14" t="str">
        <f ca="1">IF(KA$1="","",'Total Value'!KA41/'Total Value'!JZ41-1)</f>
        <v/>
      </c>
      <c r="KB29" s="14" t="str">
        <f ca="1">IF(KB$1="","",'Total Value'!KB41/'Total Value'!KA41-1)</f>
        <v/>
      </c>
    </row>
    <row r="30" spans="1:288" ht="15.75" customHeight="1">
      <c r="A30" s="22" t="s">
        <v>30</v>
      </c>
      <c r="B30" s="6" t="s">
        <v>74</v>
      </c>
      <c r="C30" s="26">
        <v>26</v>
      </c>
      <c r="D30" s="13">
        <v>0</v>
      </c>
      <c r="E30" s="14">
        <f ca="1">IF(E$1="","",'Total Value'!E42/'Total Value'!D42-1)</f>
        <v>1.0309278350515427E-2</v>
      </c>
      <c r="F30" s="14">
        <f ca="1">IF(F$1="","",'Total Value'!F42/'Total Value'!E42-1)</f>
        <v>6.802721088436936E-4</v>
      </c>
      <c r="G30" s="14">
        <f ca="1">IF(G$1="","",'Total Value'!G42/'Total Value'!F42-1)</f>
        <v>1.7505098572399458E-2</v>
      </c>
      <c r="H30" s="14">
        <f ca="1">IF(H$1="","",'Total Value'!H42/'Total Value'!G42-1)</f>
        <v>1.9876398864205891E-2</v>
      </c>
      <c r="I30" s="14">
        <f ca="1">IF(I$1="","",'Total Value'!I42/'Total Value'!H42-1)</f>
        <v>-1.6704880445463477E-2</v>
      </c>
      <c r="J30" s="14">
        <f ca="1">IF(J$1="","",'Total Value'!J42/'Total Value'!I42-1)</f>
        <v>-3.2644903397734848E-2</v>
      </c>
      <c r="K30" s="14">
        <f ca="1">IF(K$1="","",'Total Value'!K42/'Total Value'!J42-1)</f>
        <v>-2.8753443526170819E-2</v>
      </c>
      <c r="L30" s="14">
        <f ca="1">IF(L$1="","",'Total Value'!L42/'Total Value'!K42-1)</f>
        <v>-1.3827335578797895E-2</v>
      </c>
      <c r="M30" s="14">
        <f ca="1">IF(M$1="","",'Total Value'!M42/'Total Value'!L42-1)</f>
        <v>3.4154233327339245E-3</v>
      </c>
      <c r="N30" s="14">
        <f ca="1">IF(N$1="","",'Total Value'!N42/'Total Value'!M42-1)</f>
        <v>-5.7327122895018956E-3</v>
      </c>
      <c r="O30" s="14">
        <f ca="1">IF(O$1="","",'Total Value'!O42/'Total Value'!N42-1)</f>
        <v>-1.4414414414414378E-2</v>
      </c>
      <c r="P30" s="14">
        <f ca="1">IF(P$1="","",'Total Value'!P42/'Total Value'!O42-1)</f>
        <v>-8.2266910420475403E-3</v>
      </c>
      <c r="Q30" s="14">
        <f ca="1">IF(Q$1="","",'Total Value'!Q42/'Total Value'!P42-1)</f>
        <v>2.5253456221198123E-2</v>
      </c>
      <c r="R30" s="14">
        <f ca="1">IF(R$1="","",'Total Value'!R42/'Total Value'!Q42-1)</f>
        <v>-1.1326860841423869E-2</v>
      </c>
      <c r="S30" s="14">
        <f ca="1">IF(S$1="","",'Total Value'!S42/'Total Value'!R42-1)</f>
        <v>0.13093289689034382</v>
      </c>
      <c r="T30" s="14">
        <f ca="1">IF(T$1="","",'Total Value'!T42/'Total Value'!S42-1)</f>
        <v>2.1064479819906667E-2</v>
      </c>
      <c r="U30" s="14">
        <f ca="1">IF(U$1="","",'Total Value'!U42/'Total Value'!T42-1)</f>
        <v>-2.1574803149606248E-2</v>
      </c>
      <c r="V30" s="14">
        <f ca="1">IF(V$1="","",'Total Value'!V42/'Total Value'!U42-1)</f>
        <v>5.1504909061643733E-3</v>
      </c>
      <c r="W30" s="14">
        <f ca="1">IF(W$1="","",'Total Value'!W42/'Total Value'!V42-1)</f>
        <v>2.1777421937549946E-2</v>
      </c>
      <c r="X30" s="14">
        <f ca="1">IF(X$1="","",'Total Value'!X42/'Total Value'!W42-1)</f>
        <v>6.9111424541608013E-2</v>
      </c>
      <c r="Y30" s="14">
        <f ca="1">IF(Y$1="","",'Total Value'!Y42/'Total Value'!X42-1)</f>
        <v>1.5244796247434911E-2</v>
      </c>
      <c r="Z30" s="14">
        <f ca="1">IF(Z$1="","",'Total Value'!Z42/'Total Value'!Y42-1)</f>
        <v>1.2128212532486193E-2</v>
      </c>
      <c r="AA30" s="14">
        <f ca="1">IF(AA$1="","",'Total Value'!AA42/'Total Value'!Z42-1)</f>
        <v>-9.8430813124108507E-3</v>
      </c>
      <c r="AB30" s="14">
        <f ca="1">IF(AB$1="","",'Total Value'!AB42/'Total Value'!AA42-1)</f>
        <v>4.466215242760585E-3</v>
      </c>
      <c r="AC30" s="14">
        <f ca="1">IF(AC$1="","",'Total Value'!AC42/'Total Value'!AB42-1)</f>
        <v>4.3459552495697107E-2</v>
      </c>
      <c r="AD30" s="14">
        <f ca="1">IF(AD$1="","",'Total Value'!AD42/'Total Value'!AC42-1)</f>
        <v>2.4192439862543047E-2</v>
      </c>
      <c r="AE30" s="14">
        <f ca="1">IF(AE$1="","",'Total Value'!AE42/'Total Value'!AD42-1)</f>
        <v>-1.0736813850490079E-2</v>
      </c>
      <c r="AF30" s="14">
        <f ca="1">IF(AF$1="","",'Total Value'!AF42/'Total Value'!AE42-1)</f>
        <v>5.2910052910053462E-3</v>
      </c>
      <c r="AG30" s="14">
        <f ca="1">IF(AG$1="","",'Total Value'!AG42/'Total Value'!AF42-1)</f>
        <v>-1.9973009446693557E-2</v>
      </c>
      <c r="AH30" s="14">
        <f ca="1">IF(AH$1="","",'Total Value'!AH42/'Total Value'!AG42-1)</f>
        <v>-8.9507022858716923E-3</v>
      </c>
      <c r="AI30" s="14">
        <f ca="1">IF(AI$1="","",'Total Value'!AI42/'Total Value'!AH42-1)</f>
        <v>1.8063081839654327E-3</v>
      </c>
      <c r="AJ30" s="14">
        <f ca="1">IF(AJ$1="","",'Total Value'!AJ42/'Total Value'!AI42-1)</f>
        <v>2.7323162274618396E-2</v>
      </c>
      <c r="AK30" s="14">
        <f ca="1">IF(AK$1="","",'Total Value'!AK42/'Total Value'!AJ42-1)</f>
        <v>-1.2285675712164101E-2</v>
      </c>
      <c r="AL30" s="14">
        <f ca="1">IF(AL$1="","",'Total Value'!AL42/'Total Value'!AK42-1)</f>
        <v>-1.585565882996165E-2</v>
      </c>
      <c r="AM30" s="14">
        <f ca="1">IF(AM$1="","",'Total Value'!AM42/'Total Value'!AL42-1)</f>
        <v>1.7083333333333339E-2</v>
      </c>
      <c r="AN30" s="14">
        <f ca="1">IF(AN$1="","",'Total Value'!AN42/'Total Value'!AM42-1)</f>
        <v>-7.6471391506213182E-3</v>
      </c>
      <c r="AO30" s="14">
        <f ca="1">IF(AO$1="","",'Total Value'!AO42/'Total Value'!AN42-1)</f>
        <v>-1.0733452593917669E-2</v>
      </c>
      <c r="AP30" s="14">
        <f ca="1">IF(AP$1="","",'Total Value'!AP42/'Total Value'!AO42-1)</f>
        <v>-5.4249547920434127E-2</v>
      </c>
      <c r="AQ30" s="14">
        <f ca="1">IF(AQ$1="","",'Total Value'!AQ42/'Total Value'!AP42-1)</f>
        <v>1.1325194881600442E-2</v>
      </c>
      <c r="AR30" s="14">
        <f ca="1">IF(AR$1="","",'Total Value'!AR42/'Total Value'!AQ42-1)</f>
        <v>3.2867946480511723E-2</v>
      </c>
      <c r="AS30" s="14">
        <f ca="1">IF(AS$1="","",'Total Value'!AS42/'Total Value'!AR42-1)</f>
        <v>1.0419600112644423E-2</v>
      </c>
      <c r="AT30" s="14">
        <f ca="1">IF(AT$1="","",'Total Value'!AT42/'Total Value'!AS42-1)</f>
        <v>-2.2575250836120442E-2</v>
      </c>
      <c r="AU30" s="14">
        <f ca="1">IF(AU$1="","",'Total Value'!AU42/'Total Value'!AT42-1)</f>
        <v>7.8414599372682581E-3</v>
      </c>
      <c r="AV30" s="14">
        <f ca="1">IF(AV$1="","",'Total Value'!AV42/'Total Value'!AU42-1)</f>
        <v>-1.1175555241193957E-2</v>
      </c>
      <c r="AW30" s="14">
        <f ca="1">IF(AW$1="","",'Total Value'!AW42/'Total Value'!AV42-1)</f>
        <v>1.2875536480686511E-2</v>
      </c>
      <c r="AX30" s="14">
        <f ca="1">IF(AX$1="","",'Total Value'!AX42/'Total Value'!AW42-1)</f>
        <v>4.2372881355934311E-4</v>
      </c>
      <c r="AY30" s="14">
        <f ca="1">IF(AY$1="","",'Total Value'!AY42/'Total Value'!AX42-1)</f>
        <v>-8.4709868699706092E-4</v>
      </c>
      <c r="AZ30" s="14">
        <f ca="1">IF(AZ$1="","",'Total Value'!AZ42/'Total Value'!AY42-1)</f>
        <v>1.1304224954076236E-3</v>
      </c>
      <c r="BA30" s="14">
        <f ca="1">IF(BA$1="","",'Total Value'!BA42/'Total Value'!AZ42-1)</f>
        <v>-1.9054340155257532E-2</v>
      </c>
      <c r="BB30" s="14">
        <f ca="1">IF(BB$1="","",'Total Value'!BB42/'Total Value'!BA42-1)</f>
        <v>-6.1870503597123427E-3</v>
      </c>
      <c r="BC30" s="14">
        <f ca="1">IF(BC$1="","",'Total Value'!BC42/'Total Value'!BB42-1)</f>
        <v>3.4747357753004415E-3</v>
      </c>
      <c r="BD30" s="14">
        <f ca="1">IF(BD$1="","",'Total Value'!BD42/'Total Value'!BC42-1)</f>
        <v>1.3417977203866505E-2</v>
      </c>
      <c r="BE30" s="14">
        <f ca="1">IF(BE$1="","",'Total Value'!BE42/'Total Value'!BD42-1)</f>
        <v>9.3963553530753696E-3</v>
      </c>
      <c r="BF30" s="14">
        <f ca="1">IF(BF$1="","",'Total Value'!BF42/'Total Value'!BE42-1)</f>
        <v>2.9619181946403117E-3</v>
      </c>
      <c r="BG30" s="14">
        <f ca="1">IF(BG$1="","",'Total Value'!BG42/'Total Value'!BF42-1)</f>
        <v>-1.4625228519195677E-2</v>
      </c>
      <c r="BH30" s="14">
        <f ca="1">IF(BH$1="","",'Total Value'!BH42/'Total Value'!BG42-1)</f>
        <v>-2.3690595119166491E-2</v>
      </c>
      <c r="BI30" s="14">
        <f ca="1">IF(BI$1="","",'Total Value'!BI42/'Total Value'!BH42-1)</f>
        <v>-5.4085659991227608E-3</v>
      </c>
      <c r="BJ30" s="14">
        <f ca="1">IF(BJ$1="","",'Total Value'!BJ42/'Total Value'!BI42-1)</f>
        <v>4.4091710758342728E-4</v>
      </c>
      <c r="BK30" s="14">
        <f ca="1">IF(BK$1="","",'Total Value'!BK42/'Total Value'!BJ42-1)</f>
        <v>-2.9234611429410751E-2</v>
      </c>
      <c r="BL30" s="14">
        <f ca="1">IF(BL$1="","",'Total Value'!BL42/'Total Value'!BK42-1)</f>
        <v>-1.9521791767554308E-2</v>
      </c>
      <c r="BM30" s="14">
        <f ca="1">IF(BM$1="","",'Total Value'!BM42/'Total Value'!BL42-1)</f>
        <v>9.2606883778345583E-4</v>
      </c>
      <c r="BN30" s="14">
        <f ca="1">IF(BN$1="","",'Total Value'!BN42/'Total Value'!BM42-1)</f>
        <v>7.7101002313029188E-3</v>
      </c>
      <c r="BO30" s="14">
        <f ca="1">IF(BO$1="","",'Total Value'!BO42/'Total Value'!BN42-1)</f>
        <v>5.355776587605332E-3</v>
      </c>
      <c r="BP30" s="14">
        <f ca="1">IF(BP$1="","",'Total Value'!BP42/'Total Value'!BO42-1)</f>
        <v>1.8264840182646847E-3</v>
      </c>
      <c r="BQ30" s="14">
        <f ca="1">IF(BQ$1="","",'Total Value'!BQ42/'Total Value'!BP42-1)</f>
        <v>2.2637496201762586E-2</v>
      </c>
      <c r="BR30" s="14">
        <f ca="1">IF(BR$1="","",'Total Value'!BR42/'Total Value'!BQ42-1)</f>
        <v>-2.9713266973704355E-3</v>
      </c>
      <c r="BS30" s="14">
        <f ca="1">IF(BS$1="","",'Total Value'!BS42/'Total Value'!BR42-1)</f>
        <v>4.619281776188533E-3</v>
      </c>
      <c r="BT30" s="14">
        <f ca="1">IF(BT$1="","",'Total Value'!BT42/'Total Value'!BS42-1)</f>
        <v>2.7291604865025354E-2</v>
      </c>
      <c r="BU30" s="14">
        <f ca="1">IF(BU$1="","",'Total Value'!BU42/'Total Value'!BT42-1)</f>
        <v>2.1513138896910089E-2</v>
      </c>
      <c r="BV30" s="14">
        <f ca="1">IF(BV$1="","",'Total Value'!BV42/'Total Value'!BU42-1)</f>
        <v>-7.0671378091873294E-3</v>
      </c>
      <c r="BW30" s="14">
        <f ca="1">IF(BW$1="","",'Total Value'!BW42/'Total Value'!BV42-1)</f>
        <v>-3.70106761565836E-2</v>
      </c>
      <c r="BX30" s="14">
        <f ca="1">IF(BX$1="","",'Total Value'!BX42/'Total Value'!BW42-1)</f>
        <v>-1.3599408721360007E-2</v>
      </c>
      <c r="BY30" s="14">
        <f ca="1">IF(BY$1="","",'Total Value'!BY42/'Total Value'!BX42-1)</f>
        <v>-1.3936760077925991E-2</v>
      </c>
      <c r="BZ30" s="14">
        <f ca="1">IF(BZ$1="","",'Total Value'!BZ42/'Total Value'!BY42-1)</f>
        <v>3.3434650455927972E-3</v>
      </c>
      <c r="CA30" s="14">
        <f ca="1">IF(CA$1="","",'Total Value'!CA42/'Total Value'!BZ42-1)</f>
        <v>8.3308088458040608E-3</v>
      </c>
      <c r="CB30" s="14">
        <f ca="1">IF(CB$1="","",'Total Value'!CB42/'Total Value'!CA42-1)</f>
        <v>-1.0815682739972798E-2</v>
      </c>
      <c r="CC30" s="14">
        <f ca="1">IF(CC$1="","",'Total Value'!CC42/'Total Value'!CB42-1)</f>
        <v>6.3781321184510631E-3</v>
      </c>
      <c r="CD30" s="14">
        <f ca="1">IF(CD$1="","",'Total Value'!CD42/'Total Value'!CC42-1)</f>
        <v>4.9494492228761011E-2</v>
      </c>
      <c r="CE30" s="14">
        <f ca="1">IF(CE$1="","",'Total Value'!CE42/'Total Value'!CD42-1)</f>
        <v>1.75413371675055E-2</v>
      </c>
      <c r="CF30" s="14" t="str">
        <f ca="1">IF(CF$1="","",'Total Value'!CF42/'Total Value'!CE42-1)</f>
        <v/>
      </c>
      <c r="CG30" s="14" t="str">
        <f ca="1">IF(CG$1="","",'Total Value'!CG42/'Total Value'!CF42-1)</f>
        <v/>
      </c>
      <c r="CH30" s="14" t="str">
        <f ca="1">IF(CH$1="","",'Total Value'!CH42/'Total Value'!CG42-1)</f>
        <v/>
      </c>
      <c r="CI30" s="14" t="str">
        <f ca="1">IF(CI$1="","",'Total Value'!CI42/'Total Value'!CH42-1)</f>
        <v/>
      </c>
      <c r="CJ30" s="14" t="str">
        <f ca="1">IF(CJ$1="","",'Total Value'!CJ42/'Total Value'!CI42-1)</f>
        <v/>
      </c>
      <c r="CK30" s="14" t="str">
        <f ca="1">IF(CK$1="","",'Total Value'!CK42/'Total Value'!CJ42-1)</f>
        <v/>
      </c>
      <c r="CL30" s="14" t="str">
        <f ca="1">IF(CL$1="","",'Total Value'!CL42/'Total Value'!CK42-1)</f>
        <v/>
      </c>
      <c r="CM30" s="14" t="str">
        <f ca="1">IF(CM$1="","",'Total Value'!CM42/'Total Value'!CL42-1)</f>
        <v/>
      </c>
      <c r="CN30" s="14" t="str">
        <f ca="1">IF(CN$1="","",'Total Value'!CN42/'Total Value'!CM42-1)</f>
        <v/>
      </c>
      <c r="CO30" s="14" t="str">
        <f ca="1">IF(CO$1="","",'Total Value'!CO42/'Total Value'!CN42-1)</f>
        <v/>
      </c>
      <c r="CP30" s="14" t="str">
        <f ca="1">IF(CP$1="","",'Total Value'!CP42/'Total Value'!CO42-1)</f>
        <v/>
      </c>
      <c r="CQ30" s="14" t="str">
        <f ca="1">IF(CQ$1="","",'Total Value'!CQ42/'Total Value'!CP42-1)</f>
        <v/>
      </c>
      <c r="CR30" s="14" t="str">
        <f ca="1">IF(CR$1="","",'Total Value'!CR42/'Total Value'!CQ42-1)</f>
        <v/>
      </c>
      <c r="CS30" s="14" t="str">
        <f ca="1">IF(CS$1="","",'Total Value'!CS42/'Total Value'!CR42-1)</f>
        <v/>
      </c>
      <c r="CT30" s="14" t="str">
        <f ca="1">IF(CT$1="","",'Total Value'!CT42/'Total Value'!CS42-1)</f>
        <v/>
      </c>
      <c r="CU30" s="14" t="str">
        <f ca="1">IF(CU$1="","",'Total Value'!CU42/'Total Value'!CT42-1)</f>
        <v/>
      </c>
      <c r="CV30" s="14" t="str">
        <f ca="1">IF(CV$1="","",'Total Value'!CV42/'Total Value'!CU42-1)</f>
        <v/>
      </c>
      <c r="CW30" s="14" t="str">
        <f ca="1">IF(CW$1="","",'Total Value'!CW42/'Total Value'!CV42-1)</f>
        <v/>
      </c>
      <c r="CX30" s="14" t="str">
        <f ca="1">IF(CX$1="","",'Total Value'!CX42/'Total Value'!CW42-1)</f>
        <v/>
      </c>
      <c r="CY30" s="14" t="str">
        <f ca="1">IF(CY$1="","",'Total Value'!CY42/'Total Value'!CX42-1)</f>
        <v/>
      </c>
      <c r="CZ30" s="14" t="str">
        <f ca="1">IF(CZ$1="","",'Total Value'!CZ42/'Total Value'!CY42-1)</f>
        <v/>
      </c>
      <c r="DA30" s="14" t="str">
        <f ca="1">IF(DA$1="","",'Total Value'!DA42/'Total Value'!CZ42-1)</f>
        <v/>
      </c>
      <c r="DB30" s="14" t="str">
        <f ca="1">IF(DB$1="","",'Total Value'!DB42/'Total Value'!DA42-1)</f>
        <v/>
      </c>
      <c r="DC30" s="14" t="str">
        <f ca="1">IF(DC$1="","",'Total Value'!DC42/'Total Value'!DB42-1)</f>
        <v/>
      </c>
      <c r="DD30" s="14" t="str">
        <f ca="1">IF(DD$1="","",'Total Value'!DD42/'Total Value'!DC42-1)</f>
        <v/>
      </c>
      <c r="DE30" s="14" t="str">
        <f ca="1">IF(DE$1="","",'Total Value'!DE42/'Total Value'!DD42-1)</f>
        <v/>
      </c>
      <c r="DF30" s="14" t="str">
        <f ca="1">IF(DF$1="","",'Total Value'!DF42/'Total Value'!DE42-1)</f>
        <v/>
      </c>
      <c r="DG30" s="14" t="str">
        <f ca="1">IF(DG$1="","",'Total Value'!DG42/'Total Value'!DF42-1)</f>
        <v/>
      </c>
      <c r="DH30" s="14" t="str">
        <f ca="1">IF(DH$1="","",'Total Value'!DH42/'Total Value'!DG42-1)</f>
        <v/>
      </c>
      <c r="DI30" s="14" t="str">
        <f ca="1">IF(DI$1="","",'Total Value'!DI42/'Total Value'!DH42-1)</f>
        <v/>
      </c>
      <c r="DJ30" s="14" t="str">
        <f ca="1">IF(DJ$1="","",'Total Value'!DJ42/'Total Value'!DI42-1)</f>
        <v/>
      </c>
      <c r="DK30" s="14" t="str">
        <f ca="1">IF(DK$1="","",'Total Value'!DK42/'Total Value'!DJ42-1)</f>
        <v/>
      </c>
      <c r="DL30" s="14" t="str">
        <f ca="1">IF(DL$1="","",'Total Value'!DL42/'Total Value'!DK42-1)</f>
        <v/>
      </c>
      <c r="DM30" s="14" t="str">
        <f ca="1">IF(DM$1="","",'Total Value'!DM42/'Total Value'!DL42-1)</f>
        <v/>
      </c>
      <c r="DN30" s="14" t="str">
        <f ca="1">IF(DN$1="","",'Total Value'!DN42/'Total Value'!DM42-1)</f>
        <v/>
      </c>
      <c r="DO30" s="14" t="str">
        <f ca="1">IF(DO$1="","",'Total Value'!DO42/'Total Value'!DN42-1)</f>
        <v/>
      </c>
      <c r="DP30" s="14" t="str">
        <f ca="1">IF(DP$1="","",'Total Value'!DP42/'Total Value'!DO42-1)</f>
        <v/>
      </c>
      <c r="DQ30" s="14" t="str">
        <f ca="1">IF(DQ$1="","",'Total Value'!DQ42/'Total Value'!DP42-1)</f>
        <v/>
      </c>
      <c r="DR30" s="14" t="str">
        <f ca="1">IF(DR$1="","",'Total Value'!DR42/'Total Value'!DQ42-1)</f>
        <v/>
      </c>
      <c r="DS30" s="14" t="str">
        <f ca="1">IF(DS$1="","",'Total Value'!DS42/'Total Value'!DR42-1)</f>
        <v/>
      </c>
      <c r="DT30" s="14" t="str">
        <f ca="1">IF(DT$1="","",'Total Value'!DT42/'Total Value'!DS42-1)</f>
        <v/>
      </c>
      <c r="DU30" s="14" t="str">
        <f ca="1">IF(DU$1="","",'Total Value'!DU42/'Total Value'!DT42-1)</f>
        <v/>
      </c>
      <c r="DV30" s="14" t="str">
        <f ca="1">IF(DV$1="","",'Total Value'!DV42/'Total Value'!DU42-1)</f>
        <v/>
      </c>
      <c r="DW30" s="14" t="str">
        <f ca="1">IF(DW$1="","",'Total Value'!DW42/'Total Value'!DV42-1)</f>
        <v/>
      </c>
      <c r="DX30" s="14" t="str">
        <f ca="1">IF(DX$1="","",'Total Value'!DX42/'Total Value'!DW42-1)</f>
        <v/>
      </c>
      <c r="DY30" s="14" t="str">
        <f ca="1">IF(DY$1="","",'Total Value'!DY42/'Total Value'!DX42-1)</f>
        <v/>
      </c>
      <c r="DZ30" s="14" t="str">
        <f ca="1">IF(DZ$1="","",'Total Value'!DZ42/'Total Value'!DY42-1)</f>
        <v/>
      </c>
      <c r="EA30" s="14" t="str">
        <f ca="1">IF(EA$1="","",'Total Value'!EA42/'Total Value'!DZ42-1)</f>
        <v/>
      </c>
      <c r="EB30" s="14" t="str">
        <f ca="1">IF(EB$1="","",'Total Value'!EB42/'Total Value'!EA42-1)</f>
        <v/>
      </c>
      <c r="EC30" s="14" t="str">
        <f ca="1">IF(EC$1="","",'Total Value'!EC42/'Total Value'!EB42-1)</f>
        <v/>
      </c>
      <c r="ED30" s="14" t="str">
        <f ca="1">IF(ED$1="","",'Total Value'!ED42/'Total Value'!EC42-1)</f>
        <v/>
      </c>
      <c r="EE30" s="14" t="str">
        <f ca="1">IF(EE$1="","",'Total Value'!EE42/'Total Value'!ED42-1)</f>
        <v/>
      </c>
      <c r="EF30" s="14" t="str">
        <f ca="1">IF(EF$1="","",'Total Value'!EF42/'Total Value'!EE42-1)</f>
        <v/>
      </c>
      <c r="EG30" s="14" t="str">
        <f ca="1">IF(EG$1="","",'Total Value'!EG42/'Total Value'!EF42-1)</f>
        <v/>
      </c>
      <c r="EH30" s="14" t="str">
        <f ca="1">IF(EH$1="","",'Total Value'!EH42/'Total Value'!EG42-1)</f>
        <v/>
      </c>
      <c r="EI30" s="14" t="str">
        <f ca="1">IF(EI$1="","",'Total Value'!EI42/'Total Value'!EH42-1)</f>
        <v/>
      </c>
      <c r="EJ30" s="14" t="str">
        <f ca="1">IF(EJ$1="","",'Total Value'!EJ42/'Total Value'!EI42-1)</f>
        <v/>
      </c>
      <c r="EK30" s="14" t="str">
        <f ca="1">IF(EK$1="","",'Total Value'!EK42/'Total Value'!EJ42-1)</f>
        <v/>
      </c>
      <c r="EL30" s="14" t="str">
        <f ca="1">IF(EL$1="","",'Total Value'!EL42/'Total Value'!EK42-1)</f>
        <v/>
      </c>
      <c r="EM30" s="14" t="str">
        <f ca="1">IF(EM$1="","",'Total Value'!EM42/'Total Value'!EL42-1)</f>
        <v/>
      </c>
      <c r="EN30" s="14" t="str">
        <f ca="1">IF(EN$1="","",'Total Value'!EN42/'Total Value'!EM42-1)</f>
        <v/>
      </c>
      <c r="EO30" s="14" t="str">
        <f ca="1">IF(EO$1="","",'Total Value'!EO42/'Total Value'!EN42-1)</f>
        <v/>
      </c>
      <c r="EP30" s="14" t="str">
        <f ca="1">IF(EP$1="","",'Total Value'!EP42/'Total Value'!EO42-1)</f>
        <v/>
      </c>
      <c r="EQ30" s="14" t="str">
        <f ca="1">IF(EQ$1="","",'Total Value'!EQ42/'Total Value'!EP42-1)</f>
        <v/>
      </c>
      <c r="ER30" s="14" t="str">
        <f ca="1">IF(ER$1="","",'Total Value'!ER42/'Total Value'!EQ42-1)</f>
        <v/>
      </c>
      <c r="ES30" s="14" t="str">
        <f ca="1">IF(ES$1="","",'Total Value'!ES42/'Total Value'!ER42-1)</f>
        <v/>
      </c>
      <c r="ET30" s="14" t="str">
        <f ca="1">IF(ET$1="","",'Total Value'!ET42/'Total Value'!ES42-1)</f>
        <v/>
      </c>
      <c r="EU30" s="14" t="str">
        <f ca="1">IF(EU$1="","",'Total Value'!EU42/'Total Value'!ET42-1)</f>
        <v/>
      </c>
      <c r="EV30" s="14" t="str">
        <f ca="1">IF(EV$1="","",'Total Value'!EV42/'Total Value'!EU42-1)</f>
        <v/>
      </c>
      <c r="EW30" s="14" t="str">
        <f ca="1">IF(EW$1="","",'Total Value'!EW42/'Total Value'!EV42-1)</f>
        <v/>
      </c>
      <c r="EX30" s="14" t="str">
        <f ca="1">IF(EX$1="","",'Total Value'!EX42/'Total Value'!EW42-1)</f>
        <v/>
      </c>
      <c r="EY30" s="14" t="str">
        <f ca="1">IF(EY$1="","",'Total Value'!EY42/'Total Value'!EX42-1)</f>
        <v/>
      </c>
      <c r="EZ30" s="14" t="str">
        <f ca="1">IF(EZ$1="","",'Total Value'!EZ42/'Total Value'!EY42-1)</f>
        <v/>
      </c>
      <c r="FA30" s="14" t="str">
        <f ca="1">IF(FA$1="","",'Total Value'!FA42/'Total Value'!EZ42-1)</f>
        <v/>
      </c>
      <c r="FB30" s="14" t="str">
        <f ca="1">IF(FB$1="","",'Total Value'!FB42/'Total Value'!FA42-1)</f>
        <v/>
      </c>
      <c r="FC30" s="14" t="str">
        <f ca="1">IF(FC$1="","",'Total Value'!FC42/'Total Value'!FB42-1)</f>
        <v/>
      </c>
      <c r="FD30" s="14" t="str">
        <f ca="1">IF(FD$1="","",'Total Value'!FD42/'Total Value'!FC42-1)</f>
        <v/>
      </c>
      <c r="FE30" s="14" t="str">
        <f ca="1">IF(FE$1="","",'Total Value'!FE42/'Total Value'!FD42-1)</f>
        <v/>
      </c>
      <c r="FF30" s="14" t="str">
        <f ca="1">IF(FF$1="","",'Total Value'!FF42/'Total Value'!FE42-1)</f>
        <v/>
      </c>
      <c r="FG30" s="14" t="str">
        <f ca="1">IF(FG$1="","",'Total Value'!FG42/'Total Value'!FF42-1)</f>
        <v/>
      </c>
      <c r="FH30" s="14" t="str">
        <f ca="1">IF(FH$1="","",'Total Value'!FH42/'Total Value'!FG42-1)</f>
        <v/>
      </c>
      <c r="FI30" s="14" t="str">
        <f ca="1">IF(FI$1="","",'Total Value'!FI42/'Total Value'!FH42-1)</f>
        <v/>
      </c>
      <c r="FJ30" s="14" t="str">
        <f ca="1">IF(FJ$1="","",'Total Value'!FJ42/'Total Value'!FI42-1)</f>
        <v/>
      </c>
      <c r="FK30" s="14" t="str">
        <f ca="1">IF(FK$1="","",'Total Value'!FK42/'Total Value'!FJ42-1)</f>
        <v/>
      </c>
      <c r="FL30" s="14" t="str">
        <f ca="1">IF(FL$1="","",'Total Value'!FL42/'Total Value'!FK42-1)</f>
        <v/>
      </c>
      <c r="FM30" s="14" t="str">
        <f ca="1">IF(FM$1="","",'Total Value'!FM42/'Total Value'!FL42-1)</f>
        <v/>
      </c>
      <c r="FN30" s="14" t="str">
        <f ca="1">IF(FN$1="","",'Total Value'!FN42/'Total Value'!FM42-1)</f>
        <v/>
      </c>
      <c r="FO30" s="14" t="str">
        <f ca="1">IF(FO$1="","",'Total Value'!FO42/'Total Value'!FN42-1)</f>
        <v/>
      </c>
      <c r="FP30" s="14" t="str">
        <f ca="1">IF(FP$1="","",'Total Value'!FP42/'Total Value'!FO42-1)</f>
        <v/>
      </c>
      <c r="FQ30" s="14" t="str">
        <f ca="1">IF(FQ$1="","",'Total Value'!FQ42/'Total Value'!FP42-1)</f>
        <v/>
      </c>
      <c r="FR30" s="14" t="str">
        <f ca="1">IF(FR$1="","",'Total Value'!FR42/'Total Value'!FQ42-1)</f>
        <v/>
      </c>
      <c r="FS30" s="14" t="str">
        <f ca="1">IF(FS$1="","",'Total Value'!FS42/'Total Value'!FR42-1)</f>
        <v/>
      </c>
      <c r="FT30" s="14" t="str">
        <f ca="1">IF(FT$1="","",'Total Value'!FT42/'Total Value'!FS42-1)</f>
        <v/>
      </c>
      <c r="FU30" s="14" t="str">
        <f ca="1">IF(FU$1="","",'Total Value'!FU42/'Total Value'!FT42-1)</f>
        <v/>
      </c>
      <c r="FV30" s="14" t="str">
        <f ca="1">IF(FV$1="","",'Total Value'!FV42/'Total Value'!FU42-1)</f>
        <v/>
      </c>
      <c r="FW30" s="14" t="str">
        <f ca="1">IF(FW$1="","",'Total Value'!FW42/'Total Value'!FV42-1)</f>
        <v/>
      </c>
      <c r="FX30" s="14" t="str">
        <f ca="1">IF(FX$1="","",'Total Value'!FX42/'Total Value'!FW42-1)</f>
        <v/>
      </c>
      <c r="FY30" s="14" t="str">
        <f ca="1">IF(FY$1="","",'Total Value'!FY42/'Total Value'!FX42-1)</f>
        <v/>
      </c>
      <c r="FZ30" s="14" t="str">
        <f ca="1">IF(FZ$1="","",'Total Value'!FZ42/'Total Value'!FY42-1)</f>
        <v/>
      </c>
      <c r="GA30" s="14" t="str">
        <f ca="1">IF(GA$1="","",'Total Value'!GA42/'Total Value'!FZ42-1)</f>
        <v/>
      </c>
      <c r="GB30" s="14" t="str">
        <f ca="1">IF(GB$1="","",'Total Value'!GB42/'Total Value'!GA42-1)</f>
        <v/>
      </c>
      <c r="GC30" s="14" t="str">
        <f ca="1">IF(GC$1="","",'Total Value'!GC42/'Total Value'!GB42-1)</f>
        <v/>
      </c>
      <c r="GD30" s="14" t="str">
        <f ca="1">IF(GD$1="","",'Total Value'!GD42/'Total Value'!GC42-1)</f>
        <v/>
      </c>
      <c r="GE30" s="14" t="str">
        <f ca="1">IF(GE$1="","",'Total Value'!GE42/'Total Value'!GD42-1)</f>
        <v/>
      </c>
      <c r="GF30" s="14" t="str">
        <f ca="1">IF(GF$1="","",'Total Value'!GF42/'Total Value'!GE42-1)</f>
        <v/>
      </c>
      <c r="GG30" s="14" t="str">
        <f ca="1">IF(GG$1="","",'Total Value'!GG42/'Total Value'!GF42-1)</f>
        <v/>
      </c>
      <c r="GH30" s="14" t="str">
        <f ca="1">IF(GH$1="","",'Total Value'!GH42/'Total Value'!GG42-1)</f>
        <v/>
      </c>
      <c r="GI30" s="14" t="str">
        <f ca="1">IF(GI$1="","",'Total Value'!GI42/'Total Value'!GH42-1)</f>
        <v/>
      </c>
      <c r="GJ30" s="14" t="str">
        <f ca="1">IF(GJ$1="","",'Total Value'!GJ42/'Total Value'!GI42-1)</f>
        <v/>
      </c>
      <c r="GK30" s="14" t="str">
        <f ca="1">IF(GK$1="","",'Total Value'!GK42/'Total Value'!GJ42-1)</f>
        <v/>
      </c>
      <c r="GL30" s="14" t="str">
        <f ca="1">IF(GL$1="","",'Total Value'!GL42/'Total Value'!GK42-1)</f>
        <v/>
      </c>
      <c r="GM30" s="14" t="str">
        <f ca="1">IF(GM$1="","",'Total Value'!GM42/'Total Value'!GL42-1)</f>
        <v/>
      </c>
      <c r="GN30" s="14" t="str">
        <f ca="1">IF(GN$1="","",'Total Value'!GN42/'Total Value'!GM42-1)</f>
        <v/>
      </c>
      <c r="GO30" s="14" t="str">
        <f ca="1">IF(GO$1="","",'Total Value'!GO42/'Total Value'!GN42-1)</f>
        <v/>
      </c>
      <c r="GP30" s="14" t="str">
        <f ca="1">IF(GP$1="","",'Total Value'!GP42/'Total Value'!GO42-1)</f>
        <v/>
      </c>
      <c r="GQ30" s="14" t="str">
        <f ca="1">IF(GQ$1="","",'Total Value'!GQ42/'Total Value'!GP42-1)</f>
        <v/>
      </c>
      <c r="GR30" s="14" t="str">
        <f ca="1">IF(GR$1="","",'Total Value'!GR42/'Total Value'!GQ42-1)</f>
        <v/>
      </c>
      <c r="GS30" s="14" t="str">
        <f ca="1">IF(GS$1="","",'Total Value'!GS42/'Total Value'!GR42-1)</f>
        <v/>
      </c>
      <c r="GT30" s="14" t="str">
        <f ca="1">IF(GT$1="","",'Total Value'!GT42/'Total Value'!GS42-1)</f>
        <v/>
      </c>
      <c r="GU30" s="14" t="str">
        <f ca="1">IF(GU$1="","",'Total Value'!GU42/'Total Value'!GT42-1)</f>
        <v/>
      </c>
      <c r="GV30" s="14" t="str">
        <f ca="1">IF(GV$1="","",'Total Value'!GV42/'Total Value'!GU42-1)</f>
        <v/>
      </c>
      <c r="GW30" s="14" t="str">
        <f ca="1">IF(GW$1="","",'Total Value'!GW42/'Total Value'!GV42-1)</f>
        <v/>
      </c>
      <c r="GX30" s="14" t="str">
        <f ca="1">IF(GX$1="","",'Total Value'!GX42/'Total Value'!GW42-1)</f>
        <v/>
      </c>
      <c r="GY30" s="14" t="str">
        <f ca="1">IF(GY$1="","",'Total Value'!GY42/'Total Value'!GX42-1)</f>
        <v/>
      </c>
      <c r="GZ30" s="14" t="str">
        <f ca="1">IF(GZ$1="","",'Total Value'!GZ42/'Total Value'!GY42-1)</f>
        <v/>
      </c>
      <c r="HA30" s="14" t="str">
        <f ca="1">IF(HA$1="","",'Total Value'!HA42/'Total Value'!GZ42-1)</f>
        <v/>
      </c>
      <c r="HB30" s="14" t="str">
        <f ca="1">IF(HB$1="","",'Total Value'!HB42/'Total Value'!HA42-1)</f>
        <v/>
      </c>
      <c r="HC30" s="14" t="str">
        <f ca="1">IF(HC$1="","",'Total Value'!HC42/'Total Value'!HB42-1)</f>
        <v/>
      </c>
      <c r="HD30" s="14" t="str">
        <f ca="1">IF(HD$1="","",'Total Value'!HD42/'Total Value'!HC42-1)</f>
        <v/>
      </c>
      <c r="HE30" s="14" t="str">
        <f ca="1">IF(HE$1="","",'Total Value'!HE42/'Total Value'!HD42-1)</f>
        <v/>
      </c>
      <c r="HF30" s="14" t="str">
        <f ca="1">IF(HF$1="","",'Total Value'!HF42/'Total Value'!HE42-1)</f>
        <v/>
      </c>
      <c r="HG30" s="14" t="str">
        <f ca="1">IF(HG$1="","",'Total Value'!HG42/'Total Value'!HF42-1)</f>
        <v/>
      </c>
      <c r="HH30" s="14" t="str">
        <f ca="1">IF(HH$1="","",'Total Value'!HH42/'Total Value'!HG42-1)</f>
        <v/>
      </c>
      <c r="HI30" s="14" t="str">
        <f ca="1">IF(HI$1="","",'Total Value'!HI42/'Total Value'!HH42-1)</f>
        <v/>
      </c>
      <c r="HJ30" s="14" t="str">
        <f ca="1">IF(HJ$1="","",'Total Value'!HJ42/'Total Value'!HI42-1)</f>
        <v/>
      </c>
      <c r="HK30" s="14" t="str">
        <f ca="1">IF(HK$1="","",'Total Value'!HK42/'Total Value'!HJ42-1)</f>
        <v/>
      </c>
      <c r="HL30" s="14" t="str">
        <f ca="1">IF(HL$1="","",'Total Value'!HL42/'Total Value'!HK42-1)</f>
        <v/>
      </c>
      <c r="HM30" s="14" t="str">
        <f ca="1">IF(HM$1="","",'Total Value'!HM42/'Total Value'!HL42-1)</f>
        <v/>
      </c>
      <c r="HN30" s="14" t="str">
        <f ca="1">IF(HN$1="","",'Total Value'!HN42/'Total Value'!HM42-1)</f>
        <v/>
      </c>
      <c r="HO30" s="14" t="str">
        <f ca="1">IF(HO$1="","",'Total Value'!HO42/'Total Value'!HN42-1)</f>
        <v/>
      </c>
      <c r="HP30" s="14" t="str">
        <f ca="1">IF(HP$1="","",'Total Value'!HP42/'Total Value'!HO42-1)</f>
        <v/>
      </c>
      <c r="HQ30" s="14" t="str">
        <f ca="1">IF(HQ$1="","",'Total Value'!HQ42/'Total Value'!HP42-1)</f>
        <v/>
      </c>
      <c r="HR30" s="14" t="str">
        <f ca="1">IF(HR$1="","",'Total Value'!HR42/'Total Value'!HQ42-1)</f>
        <v/>
      </c>
      <c r="HS30" s="14" t="str">
        <f ca="1">IF(HS$1="","",'Total Value'!HS42/'Total Value'!HR42-1)</f>
        <v/>
      </c>
      <c r="HT30" s="14" t="str">
        <f ca="1">IF(HT$1="","",'Total Value'!HT42/'Total Value'!HS42-1)</f>
        <v/>
      </c>
      <c r="HU30" s="14" t="str">
        <f ca="1">IF(HU$1="","",'Total Value'!HU42/'Total Value'!HT42-1)</f>
        <v/>
      </c>
      <c r="HV30" s="14" t="str">
        <f ca="1">IF(HV$1="","",'Total Value'!HV42/'Total Value'!HU42-1)</f>
        <v/>
      </c>
      <c r="HW30" s="14" t="str">
        <f ca="1">IF(HW$1="","",'Total Value'!HW42/'Total Value'!HV42-1)</f>
        <v/>
      </c>
      <c r="HX30" s="14" t="str">
        <f ca="1">IF(HX$1="","",'Total Value'!HX42/'Total Value'!HW42-1)</f>
        <v/>
      </c>
      <c r="HY30" s="14" t="str">
        <f ca="1">IF(HY$1="","",'Total Value'!HY42/'Total Value'!HX42-1)</f>
        <v/>
      </c>
      <c r="HZ30" s="14" t="str">
        <f ca="1">IF(HZ$1="","",'Total Value'!HZ42/'Total Value'!HY42-1)</f>
        <v/>
      </c>
      <c r="IA30" s="14" t="str">
        <f ca="1">IF(IA$1="","",'Total Value'!IA42/'Total Value'!HZ42-1)</f>
        <v/>
      </c>
      <c r="IB30" s="14" t="str">
        <f ca="1">IF(IB$1="","",'Total Value'!IB42/'Total Value'!IA42-1)</f>
        <v/>
      </c>
      <c r="IC30" s="14" t="str">
        <f ca="1">IF(IC$1="","",'Total Value'!IC42/'Total Value'!IB42-1)</f>
        <v/>
      </c>
      <c r="ID30" s="14" t="str">
        <f ca="1">IF(ID$1="","",'Total Value'!ID42/'Total Value'!IC42-1)</f>
        <v/>
      </c>
      <c r="IE30" s="14" t="str">
        <f ca="1">IF(IE$1="","",'Total Value'!IE42/'Total Value'!ID42-1)</f>
        <v/>
      </c>
      <c r="IF30" s="14" t="str">
        <f ca="1">IF(IF$1="","",'Total Value'!IF42/'Total Value'!IE42-1)</f>
        <v/>
      </c>
      <c r="IG30" s="14" t="str">
        <f ca="1">IF(IG$1="","",'Total Value'!IG42/'Total Value'!IF42-1)</f>
        <v/>
      </c>
      <c r="IH30" s="14" t="str">
        <f ca="1">IF(IH$1="","",'Total Value'!IH42/'Total Value'!IG42-1)</f>
        <v/>
      </c>
      <c r="II30" s="14" t="str">
        <f ca="1">IF(II$1="","",'Total Value'!II42/'Total Value'!IH42-1)</f>
        <v/>
      </c>
      <c r="IJ30" s="14" t="str">
        <f ca="1">IF(IJ$1="","",'Total Value'!IJ42/'Total Value'!II42-1)</f>
        <v/>
      </c>
      <c r="IK30" s="14" t="str">
        <f ca="1">IF(IK$1="","",'Total Value'!IK42/'Total Value'!IJ42-1)</f>
        <v/>
      </c>
      <c r="IL30" s="14" t="str">
        <f ca="1">IF(IL$1="","",'Total Value'!IL42/'Total Value'!IK42-1)</f>
        <v/>
      </c>
      <c r="IM30" s="14" t="str">
        <f ca="1">IF(IM$1="","",'Total Value'!IM42/'Total Value'!IL42-1)</f>
        <v/>
      </c>
      <c r="IN30" s="14" t="str">
        <f ca="1">IF(IN$1="","",'Total Value'!IN42/'Total Value'!IM42-1)</f>
        <v/>
      </c>
      <c r="IO30" s="14" t="str">
        <f ca="1">IF(IO$1="","",'Total Value'!IO42/'Total Value'!IN42-1)</f>
        <v/>
      </c>
      <c r="IP30" s="14" t="str">
        <f ca="1">IF(IP$1="","",'Total Value'!IP42/'Total Value'!IO42-1)</f>
        <v/>
      </c>
      <c r="IQ30" s="14" t="str">
        <f ca="1">IF(IQ$1="","",'Total Value'!IQ42/'Total Value'!IP42-1)</f>
        <v/>
      </c>
      <c r="IR30" s="14" t="str">
        <f ca="1">IF(IR$1="","",'Total Value'!IR42/'Total Value'!IQ42-1)</f>
        <v/>
      </c>
      <c r="IS30" s="14" t="str">
        <f ca="1">IF(IS$1="","",'Total Value'!IS42/'Total Value'!IR42-1)</f>
        <v/>
      </c>
      <c r="IT30" s="14" t="str">
        <f ca="1">IF(IT$1="","",'Total Value'!IT42/'Total Value'!IS42-1)</f>
        <v/>
      </c>
      <c r="IU30" s="14" t="str">
        <f ca="1">IF(IU$1="","",'Total Value'!IU42/'Total Value'!IT42-1)</f>
        <v/>
      </c>
      <c r="IV30" s="14" t="str">
        <f ca="1">IF(IV$1="","",'Total Value'!IV42/'Total Value'!IU42-1)</f>
        <v/>
      </c>
      <c r="IW30" s="14" t="str">
        <f ca="1">IF(IW$1="","",'Total Value'!IW42/'Total Value'!IV42-1)</f>
        <v/>
      </c>
      <c r="IX30" s="14" t="str">
        <f ca="1">IF(IX$1="","",'Total Value'!IX42/'Total Value'!IW42-1)</f>
        <v/>
      </c>
      <c r="IY30" s="14" t="str">
        <f ca="1">IF(IY$1="","",'Total Value'!IY42/'Total Value'!IX42-1)</f>
        <v/>
      </c>
      <c r="IZ30" s="14" t="str">
        <f ca="1">IF(IZ$1="","",'Total Value'!IZ42/'Total Value'!IY42-1)</f>
        <v/>
      </c>
      <c r="JA30" s="14" t="str">
        <f ca="1">IF(JA$1="","",'Total Value'!JA42/'Total Value'!IZ42-1)</f>
        <v/>
      </c>
      <c r="JB30" s="14" t="str">
        <f ca="1">IF(JB$1="","",'Total Value'!JB42/'Total Value'!JA42-1)</f>
        <v/>
      </c>
      <c r="JC30" s="14" t="str">
        <f ca="1">IF(JC$1="","",'Total Value'!JC42/'Total Value'!JB42-1)</f>
        <v/>
      </c>
      <c r="JD30" s="14" t="str">
        <f ca="1">IF(JD$1="","",'Total Value'!JD42/'Total Value'!JC42-1)</f>
        <v/>
      </c>
      <c r="JE30" s="14" t="str">
        <f ca="1">IF(JE$1="","",'Total Value'!JE42/'Total Value'!JD42-1)</f>
        <v/>
      </c>
      <c r="JF30" s="14" t="str">
        <f ca="1">IF(JF$1="","",'Total Value'!JF42/'Total Value'!JE42-1)</f>
        <v/>
      </c>
      <c r="JG30" s="14" t="str">
        <f ca="1">IF(JG$1="","",'Total Value'!JG42/'Total Value'!JF42-1)</f>
        <v/>
      </c>
      <c r="JH30" s="14" t="str">
        <f ca="1">IF(JH$1="","",'Total Value'!JH42/'Total Value'!JG42-1)</f>
        <v/>
      </c>
      <c r="JI30" s="14" t="str">
        <f ca="1">IF(JI$1="","",'Total Value'!JI42/'Total Value'!JH42-1)</f>
        <v/>
      </c>
      <c r="JJ30" s="14" t="str">
        <f ca="1">IF(JJ$1="","",'Total Value'!JJ42/'Total Value'!JI42-1)</f>
        <v/>
      </c>
      <c r="JK30" s="14" t="str">
        <f ca="1">IF(JK$1="","",'Total Value'!JK42/'Total Value'!JJ42-1)</f>
        <v/>
      </c>
      <c r="JL30" s="14" t="str">
        <f ca="1">IF(JL$1="","",'Total Value'!JL42/'Total Value'!JK42-1)</f>
        <v/>
      </c>
      <c r="JM30" s="14" t="str">
        <f ca="1">IF(JM$1="","",'Total Value'!JM42/'Total Value'!JL42-1)</f>
        <v/>
      </c>
      <c r="JN30" s="14" t="str">
        <f ca="1">IF(JN$1="","",'Total Value'!JN42/'Total Value'!JM42-1)</f>
        <v/>
      </c>
      <c r="JO30" s="14" t="str">
        <f ca="1">IF(JO$1="","",'Total Value'!JO42/'Total Value'!JN42-1)</f>
        <v/>
      </c>
      <c r="JP30" s="14" t="str">
        <f ca="1">IF(JP$1="","",'Total Value'!JP42/'Total Value'!JO42-1)</f>
        <v/>
      </c>
      <c r="JQ30" s="14" t="str">
        <f ca="1">IF(JQ$1="","",'Total Value'!JQ42/'Total Value'!JP42-1)</f>
        <v/>
      </c>
      <c r="JR30" s="14" t="str">
        <f ca="1">IF(JR$1="","",'Total Value'!JR42/'Total Value'!JQ42-1)</f>
        <v/>
      </c>
      <c r="JS30" s="14" t="str">
        <f ca="1">IF(JS$1="","",'Total Value'!JS42/'Total Value'!JR42-1)</f>
        <v/>
      </c>
      <c r="JT30" s="14" t="str">
        <f ca="1">IF(JT$1="","",'Total Value'!JT42/'Total Value'!JS42-1)</f>
        <v/>
      </c>
      <c r="JU30" s="14" t="str">
        <f ca="1">IF(JU$1="","",'Total Value'!JU42/'Total Value'!JT42-1)</f>
        <v/>
      </c>
      <c r="JV30" s="14" t="str">
        <f ca="1">IF(JV$1="","",'Total Value'!JV42/'Total Value'!JU42-1)</f>
        <v/>
      </c>
      <c r="JW30" s="14" t="str">
        <f ca="1">IF(JW$1="","",'Total Value'!JW42/'Total Value'!JV42-1)</f>
        <v/>
      </c>
      <c r="JX30" s="14" t="str">
        <f ca="1">IF(JX$1="","",'Total Value'!JX42/'Total Value'!JW42-1)</f>
        <v/>
      </c>
      <c r="JY30" s="14" t="str">
        <f ca="1">IF(JY$1="","",'Total Value'!JY42/'Total Value'!JX42-1)</f>
        <v/>
      </c>
      <c r="JZ30" s="14" t="str">
        <f ca="1">IF(JZ$1="","",'Total Value'!JZ42/'Total Value'!JY42-1)</f>
        <v/>
      </c>
      <c r="KA30" s="14" t="str">
        <f ca="1">IF(KA$1="","",'Total Value'!KA42/'Total Value'!JZ42-1)</f>
        <v/>
      </c>
      <c r="KB30" s="14" t="str">
        <f ca="1">IF(KB$1="","",'Total Value'!KB42/'Total Value'!KA42-1)</f>
        <v/>
      </c>
    </row>
    <row r="31" spans="1:288" ht="15.75" customHeight="1">
      <c r="A31" s="22" t="s">
        <v>30</v>
      </c>
      <c r="B31" s="6" t="s">
        <v>75</v>
      </c>
      <c r="C31" s="26">
        <v>88</v>
      </c>
      <c r="D31" s="13">
        <v>0</v>
      </c>
      <c r="E31" s="14">
        <f ca="1">IF(E$1="","",'Total Value'!E43/'Total Value'!D43-1)</f>
        <v>6.1728395061728669E-3</v>
      </c>
      <c r="F31" s="14">
        <f ca="1">IF(F$1="","",'Total Value'!F43/'Total Value'!E43-1)</f>
        <v>1.4570552147239235E-2</v>
      </c>
      <c r="G31" s="14">
        <f ca="1">IF(G$1="","",'Total Value'!G43/'Total Value'!F43-1)</f>
        <v>5.1398337112622761E-2</v>
      </c>
      <c r="H31" s="14">
        <f ca="1">IF(H$1="","",'Total Value'!H43/'Total Value'!G43-1)</f>
        <v>2.659956865564328E-2</v>
      </c>
      <c r="I31" s="14">
        <f ca="1">IF(I$1="","",'Total Value'!I43/'Total Value'!H43-1)</f>
        <v>-1.1904761904761973E-2</v>
      </c>
      <c r="J31" s="14">
        <f ca="1">IF(J$1="","",'Total Value'!J43/'Total Value'!I43-1)</f>
        <v>2.5513819985825803E-2</v>
      </c>
      <c r="K31" s="14">
        <f ca="1">IF(K$1="","",'Total Value'!K43/'Total Value'!J43-1)</f>
        <v>-5.183137525915682E-2</v>
      </c>
      <c r="L31" s="14">
        <f ca="1">IF(L$1="","",'Total Value'!L43/'Total Value'!K43-1)</f>
        <v>-3.3527696793003159E-2</v>
      </c>
      <c r="M31" s="14">
        <f ca="1">IF(M$1="","",'Total Value'!M43/'Total Value'!L43-1)</f>
        <v>-3.7707390648565875E-3</v>
      </c>
      <c r="N31" s="14">
        <f ca="1">IF(N$1="","",'Total Value'!N43/'Total Value'!M43-1)</f>
        <v>-1.5140045420136361E-2</v>
      </c>
      <c r="O31" s="14">
        <f ca="1">IF(O$1="","",'Total Value'!O43/'Total Value'!N43-1)</f>
        <v>-9.9923136049191452E-3</v>
      </c>
      <c r="P31" s="14">
        <f ca="1">IF(P$1="","",'Total Value'!P43/'Total Value'!O43-1)</f>
        <v>2.0962732919254545E-2</v>
      </c>
      <c r="Q31" s="14">
        <f ca="1">IF(Q$1="","",'Total Value'!Q43/'Total Value'!P43-1)</f>
        <v>-6.8441064638783411E-3</v>
      </c>
      <c r="R31" s="14">
        <f ca="1">IF(R$1="","",'Total Value'!R43/'Total Value'!Q43-1)</f>
        <v>1.9142419601837712E-2</v>
      </c>
      <c r="S31" s="14">
        <f ca="1">IF(S$1="","",'Total Value'!S43/'Total Value'!R43-1)</f>
        <v>2.2539444027047217E-2</v>
      </c>
      <c r="T31" s="14">
        <f ca="1">IF(T$1="","",'Total Value'!T43/'Total Value'!S43-1)</f>
        <v>3.012490815576796E-2</v>
      </c>
      <c r="U31" s="14">
        <f ca="1">IF(U$1="","",'Total Value'!U43/'Total Value'!T43-1)</f>
        <v>-9.9857346647646006E-3</v>
      </c>
      <c r="V31" s="14">
        <f ca="1">IF(V$1="","",'Total Value'!V43/'Total Value'!U43-1)</f>
        <v>-5.0432276657060848E-3</v>
      </c>
      <c r="W31" s="14">
        <f ca="1">IF(W$1="","",'Total Value'!W43/'Total Value'!V43-1)</f>
        <v>-1.8102824040550303E-2</v>
      </c>
      <c r="X31" s="14">
        <f ca="1">IF(X$1="","",'Total Value'!X43/'Total Value'!W43-1)</f>
        <v>2.3598820058997161E-2</v>
      </c>
      <c r="Y31" s="14">
        <f ca="1">IF(Y$1="","",'Total Value'!Y43/'Total Value'!X43-1)</f>
        <v>1.4409221902016434E-3</v>
      </c>
      <c r="Z31" s="14">
        <f ca="1">IF(Z$1="","",'Total Value'!Z43/'Total Value'!Y43-1)</f>
        <v>-1.4388489208633226E-2</v>
      </c>
      <c r="AA31" s="14">
        <f ca="1">IF(AA$1="","",'Total Value'!AA43/'Total Value'!Z43-1)</f>
        <v>-2.9197080291970545E-3</v>
      </c>
      <c r="AB31" s="14">
        <f ca="1">IF(AB$1="","",'Total Value'!AB43/'Total Value'!AA43-1)</f>
        <v>-1.2445095168374665E-2</v>
      </c>
      <c r="AC31" s="14">
        <f ca="1">IF(AC$1="","",'Total Value'!AC43/'Total Value'!AB43-1)</f>
        <v>3.4099332839139906E-2</v>
      </c>
      <c r="AD31" s="14">
        <f ca="1">IF(AD$1="","",'Total Value'!AD43/'Total Value'!AC43-1)</f>
        <v>-7.1684587813614087E-4</v>
      </c>
      <c r="AE31" s="14">
        <f ca="1">IF(AE$1="","",'Total Value'!AE43/'Total Value'!AD43-1)</f>
        <v>7.1736011477763206E-4</v>
      </c>
      <c r="AF31" s="14">
        <f ca="1">IF(AF$1="","",'Total Value'!AF43/'Total Value'!AE43-1)</f>
        <v>-4.3010752688172005E-2</v>
      </c>
      <c r="AG31" s="14">
        <f ca="1">IF(AG$1="","",'Total Value'!AG43/'Total Value'!AF43-1)</f>
        <v>-3.2209737827715301E-2</v>
      </c>
      <c r="AH31" s="14">
        <f ca="1">IF(AH$1="","",'Total Value'!AH43/'Total Value'!AG43-1)</f>
        <v>-2.0123839009288047E-2</v>
      </c>
      <c r="AI31" s="14">
        <f ca="1">IF(AI$1="","",'Total Value'!AI43/'Total Value'!AH43-1)</f>
        <v>-1.8957345971563844E-2</v>
      </c>
      <c r="AJ31" s="14">
        <f ca="1">IF(AJ$1="","",'Total Value'!AJ43/'Total Value'!AI43-1)</f>
        <v>5.7165861513687632E-2</v>
      </c>
      <c r="AK31" s="14">
        <f ca="1">IF(AK$1="","",'Total Value'!AK43/'Total Value'!AJ43-1)</f>
        <v>-2.6656511805026817E-2</v>
      </c>
      <c r="AL31" s="14">
        <f ca="1">IF(AL$1="","",'Total Value'!AL43/'Total Value'!AK43-1)</f>
        <v>-7.5899843505477183E-2</v>
      </c>
      <c r="AM31" s="14">
        <f ca="1">IF(AM$1="","",'Total Value'!AM43/'Total Value'!AL43-1)</f>
        <v>5.4191363251481661E-2</v>
      </c>
      <c r="AN31" s="14">
        <f ca="1">IF(AN$1="","",'Total Value'!AN43/'Total Value'!AM43-1)</f>
        <v>-1.6064257028112205E-3</v>
      </c>
      <c r="AO31" s="14">
        <f ca="1">IF(AO$1="","",'Total Value'!AO43/'Total Value'!AN43-1)</f>
        <v>-1.2067578439259874E-2</v>
      </c>
      <c r="AP31" s="14">
        <f ca="1">IF(AP$1="","",'Total Value'!AP43/'Total Value'!AO43-1)</f>
        <v>-5.5374592833876135E-2</v>
      </c>
      <c r="AQ31" s="14">
        <f ca="1">IF(AQ$1="","",'Total Value'!AQ43/'Total Value'!AP43-1)</f>
        <v>1.2931034482758674E-2</v>
      </c>
      <c r="AR31" s="14">
        <f ca="1">IF(AR$1="","",'Total Value'!AR43/'Total Value'!AQ43-1)</f>
        <v>2.9787234042553123E-2</v>
      </c>
      <c r="AS31" s="14">
        <f ca="1">IF(AS$1="","",'Total Value'!AS43/'Total Value'!AR43-1)</f>
        <v>-7.4380165289257283E-3</v>
      </c>
      <c r="AT31" s="14">
        <f ca="1">IF(AT$1="","",'Total Value'!AT43/'Total Value'!AS43-1)</f>
        <v>-1.7485428809325354E-2</v>
      </c>
      <c r="AU31" s="14">
        <f ca="1">IF(AU$1="","",'Total Value'!AU43/'Total Value'!AT43-1)</f>
        <v>3.3898305084745228E-3</v>
      </c>
      <c r="AV31" s="14">
        <f ca="1">IF(AV$1="","",'Total Value'!AV43/'Total Value'!AU43-1)</f>
        <v>5.9121621621620601E-3</v>
      </c>
      <c r="AW31" s="14">
        <f ca="1">IF(AW$1="","",'Total Value'!AW43/'Total Value'!AV43-1)</f>
        <v>0.10411418975650721</v>
      </c>
      <c r="AX31" s="14">
        <f ca="1">IF(AX$1="","",'Total Value'!AX43/'Total Value'!AW43-1)</f>
        <v>-2.8136882129277674E-2</v>
      </c>
      <c r="AY31" s="14">
        <f ca="1">IF(AY$1="","",'Total Value'!AY43/'Total Value'!AX43-1)</f>
        <v>-7.0422535211266402E-3</v>
      </c>
      <c r="AZ31" s="14">
        <f ca="1">IF(AZ$1="","",'Total Value'!AZ43/'Total Value'!AY43-1)</f>
        <v>2.3640661938535423E-3</v>
      </c>
      <c r="BA31" s="14">
        <f ca="1">IF(BA$1="","",'Total Value'!BA43/'Total Value'!AZ43-1)</f>
        <v>6.2893081761006275E-3</v>
      </c>
      <c r="BB31" s="14">
        <f ca="1">IF(BB$1="","",'Total Value'!BB43/'Total Value'!BA43-1)</f>
        <v>-5.2343750000000022E-2</v>
      </c>
      <c r="BC31" s="14">
        <f ca="1">IF(BC$1="","",'Total Value'!BC43/'Total Value'!BB43-1)</f>
        <v>4.6166529266281842E-2</v>
      </c>
      <c r="BD31" s="14">
        <f ca="1">IF(BD$1="","",'Total Value'!BD43/'Total Value'!BC43-1)</f>
        <v>4.4917257683215084E-2</v>
      </c>
      <c r="BE31" s="14">
        <f ca="1">IF(BE$1="","",'Total Value'!BE43/'Total Value'!BD43-1)</f>
        <v>-7.5414781297122868E-4</v>
      </c>
      <c r="BF31" s="14">
        <f ca="1">IF(BF$1="","",'Total Value'!BF43/'Total Value'!BE43-1)</f>
        <v>2.2641509433962259E-2</v>
      </c>
      <c r="BG31" s="14">
        <f ca="1">IF(BG$1="","",'Total Value'!BG43/'Total Value'!BF43-1)</f>
        <v>-2.2140221402214055E-2</v>
      </c>
      <c r="BH31" s="14">
        <f ca="1">IF(BH$1="","",'Total Value'!BH43/'Total Value'!BG43-1)</f>
        <v>-5.2830188679245937E-3</v>
      </c>
      <c r="BI31" s="14">
        <f ca="1">IF(BI$1="","",'Total Value'!BI43/'Total Value'!BH43-1)</f>
        <v>3.793626707132125E-3</v>
      </c>
      <c r="BJ31" s="14">
        <f ca="1">IF(BJ$1="","",'Total Value'!BJ43/'Total Value'!BI43-1)</f>
        <v>-3.7792894935753107E-3</v>
      </c>
      <c r="BK31" s="14">
        <f ca="1">IF(BK$1="","",'Total Value'!BK43/'Total Value'!BJ43-1)</f>
        <v>-4.1729893778452043E-2</v>
      </c>
      <c r="BL31" s="14">
        <f ca="1">IF(BL$1="","",'Total Value'!BL43/'Total Value'!BK43-1)</f>
        <v>1.1084718923198622E-2</v>
      </c>
      <c r="BM31" s="14">
        <f ca="1">IF(BM$1="","",'Total Value'!BM43/'Total Value'!BL43-1)</f>
        <v>-1.0963194988253711E-2</v>
      </c>
      <c r="BN31" s="14">
        <f ca="1">IF(BN$1="","",'Total Value'!BN43/'Total Value'!BM43-1)</f>
        <v>3.7212984956452866E-2</v>
      </c>
      <c r="BO31" s="14">
        <f ca="1">IF(BO$1="","",'Total Value'!BO43/'Total Value'!BN43-1)</f>
        <v>-3.0534351145038219E-2</v>
      </c>
      <c r="BP31" s="14">
        <f ca="1">IF(BP$1="","",'Total Value'!BP43/'Total Value'!BO43-1)</f>
        <v>1.5748031496063186E-2</v>
      </c>
      <c r="BQ31" s="14">
        <f ca="1">IF(BQ$1="","",'Total Value'!BQ43/'Total Value'!BP43-1)</f>
        <v>3.1782945736434032E-2</v>
      </c>
      <c r="BR31" s="14">
        <f ca="1">IF(BR$1="","",'Total Value'!BR43/'Total Value'!BQ43-1)</f>
        <v>-1.5777610818933141E-2</v>
      </c>
      <c r="BS31" s="14">
        <f ca="1">IF(BS$1="","",'Total Value'!BS43/'Total Value'!BR43-1)</f>
        <v>-1.0687022900763288E-2</v>
      </c>
      <c r="BT31" s="14">
        <f ca="1">IF(BT$1="","",'Total Value'!BT43/'Total Value'!BS43-1)</f>
        <v>2.0833333333333259E-2</v>
      </c>
      <c r="BU31" s="14">
        <f ca="1">IF(BU$1="","",'Total Value'!BU43/'Total Value'!BT43-1)</f>
        <v>3.7792894935751997E-2</v>
      </c>
      <c r="BV31" s="14">
        <f ca="1">IF(BV$1="","",'Total Value'!BV43/'Total Value'!BU43-1)</f>
        <v>-7.2833211944633991E-4</v>
      </c>
      <c r="BW31" s="14">
        <f ca="1">IF(BW$1="","",'Total Value'!BW43/'Total Value'!BV43-1)</f>
        <v>-2.4781341107871779E-2</v>
      </c>
      <c r="BX31" s="14">
        <f ca="1">IF(BX$1="","",'Total Value'!BX43/'Total Value'!BW43-1)</f>
        <v>-9.7159940209268214E-3</v>
      </c>
      <c r="BY31" s="14">
        <f ca="1">IF(BY$1="","",'Total Value'!BY43/'Total Value'!BX43-1)</f>
        <v>-4.5283018867924518E-2</v>
      </c>
      <c r="BZ31" s="14">
        <f ca="1">IF(BZ$1="","",'Total Value'!BZ43/'Total Value'!BY43-1)</f>
        <v>6.1660079051383265E-2</v>
      </c>
      <c r="CA31" s="14">
        <f ca="1">IF(CA$1="","",'Total Value'!CA43/'Total Value'!BZ43-1)</f>
        <v>3.5740878629932915E-2</v>
      </c>
      <c r="CB31" s="14">
        <f ca="1">IF(CB$1="","",'Total Value'!CB43/'Total Value'!CA43-1)</f>
        <v>-3.0913012221423397E-2</v>
      </c>
      <c r="CC31" s="14">
        <f ca="1">IF(CC$1="","",'Total Value'!CC43/'Total Value'!CB43-1)</f>
        <v>3.7091988130562026E-3</v>
      </c>
      <c r="CD31" s="14">
        <f ca="1">IF(CD$1="","",'Total Value'!CD43/'Total Value'!CC43-1)</f>
        <v>2.8085735402808565E-2</v>
      </c>
      <c r="CE31" s="14">
        <f ca="1">IF(CE$1="","",'Total Value'!CE43/'Total Value'!CD43-1)</f>
        <v>3.0913012221423619E-2</v>
      </c>
      <c r="CF31" s="14" t="str">
        <f ca="1">IF(CF$1="","",'Total Value'!CF43/'Total Value'!CE43-1)</f>
        <v/>
      </c>
      <c r="CG31" s="14" t="str">
        <f ca="1">IF(CG$1="","",'Total Value'!CG43/'Total Value'!CF43-1)</f>
        <v/>
      </c>
      <c r="CH31" s="14" t="str">
        <f ca="1">IF(CH$1="","",'Total Value'!CH43/'Total Value'!CG43-1)</f>
        <v/>
      </c>
      <c r="CI31" s="14" t="str">
        <f ca="1">IF(CI$1="","",'Total Value'!CI43/'Total Value'!CH43-1)</f>
        <v/>
      </c>
      <c r="CJ31" s="14" t="str">
        <f ca="1">IF(CJ$1="","",'Total Value'!CJ43/'Total Value'!CI43-1)</f>
        <v/>
      </c>
      <c r="CK31" s="14" t="str">
        <f ca="1">IF(CK$1="","",'Total Value'!CK43/'Total Value'!CJ43-1)</f>
        <v/>
      </c>
      <c r="CL31" s="14" t="str">
        <f ca="1">IF(CL$1="","",'Total Value'!CL43/'Total Value'!CK43-1)</f>
        <v/>
      </c>
      <c r="CM31" s="14" t="str">
        <f ca="1">IF(CM$1="","",'Total Value'!CM43/'Total Value'!CL43-1)</f>
        <v/>
      </c>
      <c r="CN31" s="14" t="str">
        <f ca="1">IF(CN$1="","",'Total Value'!CN43/'Total Value'!CM43-1)</f>
        <v/>
      </c>
      <c r="CO31" s="14" t="str">
        <f ca="1">IF(CO$1="","",'Total Value'!CO43/'Total Value'!CN43-1)</f>
        <v/>
      </c>
      <c r="CP31" s="14" t="str">
        <f ca="1">IF(CP$1="","",'Total Value'!CP43/'Total Value'!CO43-1)</f>
        <v/>
      </c>
      <c r="CQ31" s="14" t="str">
        <f ca="1">IF(CQ$1="","",'Total Value'!CQ43/'Total Value'!CP43-1)</f>
        <v/>
      </c>
      <c r="CR31" s="14" t="str">
        <f ca="1">IF(CR$1="","",'Total Value'!CR43/'Total Value'!CQ43-1)</f>
        <v/>
      </c>
      <c r="CS31" s="14" t="str">
        <f ca="1">IF(CS$1="","",'Total Value'!CS43/'Total Value'!CR43-1)</f>
        <v/>
      </c>
      <c r="CT31" s="14" t="str">
        <f ca="1">IF(CT$1="","",'Total Value'!CT43/'Total Value'!CS43-1)</f>
        <v/>
      </c>
      <c r="CU31" s="14" t="str">
        <f ca="1">IF(CU$1="","",'Total Value'!CU43/'Total Value'!CT43-1)</f>
        <v/>
      </c>
      <c r="CV31" s="14" t="str">
        <f ca="1">IF(CV$1="","",'Total Value'!CV43/'Total Value'!CU43-1)</f>
        <v/>
      </c>
      <c r="CW31" s="14" t="str">
        <f ca="1">IF(CW$1="","",'Total Value'!CW43/'Total Value'!CV43-1)</f>
        <v/>
      </c>
      <c r="CX31" s="14" t="str">
        <f ca="1">IF(CX$1="","",'Total Value'!CX43/'Total Value'!CW43-1)</f>
        <v/>
      </c>
      <c r="CY31" s="14" t="str">
        <f ca="1">IF(CY$1="","",'Total Value'!CY43/'Total Value'!CX43-1)</f>
        <v/>
      </c>
      <c r="CZ31" s="14" t="str">
        <f ca="1">IF(CZ$1="","",'Total Value'!CZ43/'Total Value'!CY43-1)</f>
        <v/>
      </c>
      <c r="DA31" s="14" t="str">
        <f ca="1">IF(DA$1="","",'Total Value'!DA43/'Total Value'!CZ43-1)</f>
        <v/>
      </c>
      <c r="DB31" s="14" t="str">
        <f ca="1">IF(DB$1="","",'Total Value'!DB43/'Total Value'!DA43-1)</f>
        <v/>
      </c>
      <c r="DC31" s="14" t="str">
        <f ca="1">IF(DC$1="","",'Total Value'!DC43/'Total Value'!DB43-1)</f>
        <v/>
      </c>
      <c r="DD31" s="14" t="str">
        <f ca="1">IF(DD$1="","",'Total Value'!DD43/'Total Value'!DC43-1)</f>
        <v/>
      </c>
      <c r="DE31" s="14" t="str">
        <f ca="1">IF(DE$1="","",'Total Value'!DE43/'Total Value'!DD43-1)</f>
        <v/>
      </c>
      <c r="DF31" s="14" t="str">
        <f ca="1">IF(DF$1="","",'Total Value'!DF43/'Total Value'!DE43-1)</f>
        <v/>
      </c>
      <c r="DG31" s="14" t="str">
        <f ca="1">IF(DG$1="","",'Total Value'!DG43/'Total Value'!DF43-1)</f>
        <v/>
      </c>
      <c r="DH31" s="14" t="str">
        <f ca="1">IF(DH$1="","",'Total Value'!DH43/'Total Value'!DG43-1)</f>
        <v/>
      </c>
      <c r="DI31" s="14" t="str">
        <f ca="1">IF(DI$1="","",'Total Value'!DI43/'Total Value'!DH43-1)</f>
        <v/>
      </c>
      <c r="DJ31" s="14" t="str">
        <f ca="1">IF(DJ$1="","",'Total Value'!DJ43/'Total Value'!DI43-1)</f>
        <v/>
      </c>
      <c r="DK31" s="14" t="str">
        <f ca="1">IF(DK$1="","",'Total Value'!DK43/'Total Value'!DJ43-1)</f>
        <v/>
      </c>
      <c r="DL31" s="14" t="str">
        <f ca="1">IF(DL$1="","",'Total Value'!DL43/'Total Value'!DK43-1)</f>
        <v/>
      </c>
      <c r="DM31" s="14" t="str">
        <f ca="1">IF(DM$1="","",'Total Value'!DM43/'Total Value'!DL43-1)</f>
        <v/>
      </c>
      <c r="DN31" s="14" t="str">
        <f ca="1">IF(DN$1="","",'Total Value'!DN43/'Total Value'!DM43-1)</f>
        <v/>
      </c>
      <c r="DO31" s="14" t="str">
        <f ca="1">IF(DO$1="","",'Total Value'!DO43/'Total Value'!DN43-1)</f>
        <v/>
      </c>
      <c r="DP31" s="14" t="str">
        <f ca="1">IF(DP$1="","",'Total Value'!DP43/'Total Value'!DO43-1)</f>
        <v/>
      </c>
      <c r="DQ31" s="14" t="str">
        <f ca="1">IF(DQ$1="","",'Total Value'!DQ43/'Total Value'!DP43-1)</f>
        <v/>
      </c>
      <c r="DR31" s="14" t="str">
        <f ca="1">IF(DR$1="","",'Total Value'!DR43/'Total Value'!DQ43-1)</f>
        <v/>
      </c>
      <c r="DS31" s="14" t="str">
        <f ca="1">IF(DS$1="","",'Total Value'!DS43/'Total Value'!DR43-1)</f>
        <v/>
      </c>
      <c r="DT31" s="14" t="str">
        <f ca="1">IF(DT$1="","",'Total Value'!DT43/'Total Value'!DS43-1)</f>
        <v/>
      </c>
      <c r="DU31" s="14" t="str">
        <f ca="1">IF(DU$1="","",'Total Value'!DU43/'Total Value'!DT43-1)</f>
        <v/>
      </c>
      <c r="DV31" s="14" t="str">
        <f ca="1">IF(DV$1="","",'Total Value'!DV43/'Total Value'!DU43-1)</f>
        <v/>
      </c>
      <c r="DW31" s="14" t="str">
        <f ca="1">IF(DW$1="","",'Total Value'!DW43/'Total Value'!DV43-1)</f>
        <v/>
      </c>
      <c r="DX31" s="14" t="str">
        <f ca="1">IF(DX$1="","",'Total Value'!DX43/'Total Value'!DW43-1)</f>
        <v/>
      </c>
      <c r="DY31" s="14" t="str">
        <f ca="1">IF(DY$1="","",'Total Value'!DY43/'Total Value'!DX43-1)</f>
        <v/>
      </c>
      <c r="DZ31" s="14" t="str">
        <f ca="1">IF(DZ$1="","",'Total Value'!DZ43/'Total Value'!DY43-1)</f>
        <v/>
      </c>
      <c r="EA31" s="14" t="str">
        <f ca="1">IF(EA$1="","",'Total Value'!EA43/'Total Value'!DZ43-1)</f>
        <v/>
      </c>
      <c r="EB31" s="14" t="str">
        <f ca="1">IF(EB$1="","",'Total Value'!EB43/'Total Value'!EA43-1)</f>
        <v/>
      </c>
      <c r="EC31" s="14" t="str">
        <f ca="1">IF(EC$1="","",'Total Value'!EC43/'Total Value'!EB43-1)</f>
        <v/>
      </c>
      <c r="ED31" s="14" t="str">
        <f ca="1">IF(ED$1="","",'Total Value'!ED43/'Total Value'!EC43-1)</f>
        <v/>
      </c>
      <c r="EE31" s="14" t="str">
        <f ca="1">IF(EE$1="","",'Total Value'!EE43/'Total Value'!ED43-1)</f>
        <v/>
      </c>
      <c r="EF31" s="14" t="str">
        <f ca="1">IF(EF$1="","",'Total Value'!EF43/'Total Value'!EE43-1)</f>
        <v/>
      </c>
      <c r="EG31" s="14" t="str">
        <f ca="1">IF(EG$1="","",'Total Value'!EG43/'Total Value'!EF43-1)</f>
        <v/>
      </c>
      <c r="EH31" s="14" t="str">
        <f ca="1">IF(EH$1="","",'Total Value'!EH43/'Total Value'!EG43-1)</f>
        <v/>
      </c>
      <c r="EI31" s="14" t="str">
        <f ca="1">IF(EI$1="","",'Total Value'!EI43/'Total Value'!EH43-1)</f>
        <v/>
      </c>
      <c r="EJ31" s="14" t="str">
        <f ca="1">IF(EJ$1="","",'Total Value'!EJ43/'Total Value'!EI43-1)</f>
        <v/>
      </c>
      <c r="EK31" s="14" t="str">
        <f ca="1">IF(EK$1="","",'Total Value'!EK43/'Total Value'!EJ43-1)</f>
        <v/>
      </c>
      <c r="EL31" s="14" t="str">
        <f ca="1">IF(EL$1="","",'Total Value'!EL43/'Total Value'!EK43-1)</f>
        <v/>
      </c>
      <c r="EM31" s="14" t="str">
        <f ca="1">IF(EM$1="","",'Total Value'!EM43/'Total Value'!EL43-1)</f>
        <v/>
      </c>
      <c r="EN31" s="14" t="str">
        <f ca="1">IF(EN$1="","",'Total Value'!EN43/'Total Value'!EM43-1)</f>
        <v/>
      </c>
      <c r="EO31" s="14" t="str">
        <f ca="1">IF(EO$1="","",'Total Value'!EO43/'Total Value'!EN43-1)</f>
        <v/>
      </c>
      <c r="EP31" s="14" t="str">
        <f ca="1">IF(EP$1="","",'Total Value'!EP43/'Total Value'!EO43-1)</f>
        <v/>
      </c>
      <c r="EQ31" s="14" t="str">
        <f ca="1">IF(EQ$1="","",'Total Value'!EQ43/'Total Value'!EP43-1)</f>
        <v/>
      </c>
      <c r="ER31" s="14" t="str">
        <f ca="1">IF(ER$1="","",'Total Value'!ER43/'Total Value'!EQ43-1)</f>
        <v/>
      </c>
      <c r="ES31" s="14" t="str">
        <f ca="1">IF(ES$1="","",'Total Value'!ES43/'Total Value'!ER43-1)</f>
        <v/>
      </c>
      <c r="ET31" s="14" t="str">
        <f ca="1">IF(ET$1="","",'Total Value'!ET43/'Total Value'!ES43-1)</f>
        <v/>
      </c>
      <c r="EU31" s="14" t="str">
        <f ca="1">IF(EU$1="","",'Total Value'!EU43/'Total Value'!ET43-1)</f>
        <v/>
      </c>
      <c r="EV31" s="14" t="str">
        <f ca="1">IF(EV$1="","",'Total Value'!EV43/'Total Value'!EU43-1)</f>
        <v/>
      </c>
      <c r="EW31" s="14" t="str">
        <f ca="1">IF(EW$1="","",'Total Value'!EW43/'Total Value'!EV43-1)</f>
        <v/>
      </c>
      <c r="EX31" s="14" t="str">
        <f ca="1">IF(EX$1="","",'Total Value'!EX43/'Total Value'!EW43-1)</f>
        <v/>
      </c>
      <c r="EY31" s="14" t="str">
        <f ca="1">IF(EY$1="","",'Total Value'!EY43/'Total Value'!EX43-1)</f>
        <v/>
      </c>
      <c r="EZ31" s="14" t="str">
        <f ca="1">IF(EZ$1="","",'Total Value'!EZ43/'Total Value'!EY43-1)</f>
        <v/>
      </c>
      <c r="FA31" s="14" t="str">
        <f ca="1">IF(FA$1="","",'Total Value'!FA43/'Total Value'!EZ43-1)</f>
        <v/>
      </c>
      <c r="FB31" s="14" t="str">
        <f ca="1">IF(FB$1="","",'Total Value'!FB43/'Total Value'!FA43-1)</f>
        <v/>
      </c>
      <c r="FC31" s="14" t="str">
        <f ca="1">IF(FC$1="","",'Total Value'!FC43/'Total Value'!FB43-1)</f>
        <v/>
      </c>
      <c r="FD31" s="14" t="str">
        <f ca="1">IF(FD$1="","",'Total Value'!FD43/'Total Value'!FC43-1)</f>
        <v/>
      </c>
      <c r="FE31" s="14" t="str">
        <f ca="1">IF(FE$1="","",'Total Value'!FE43/'Total Value'!FD43-1)</f>
        <v/>
      </c>
      <c r="FF31" s="14" t="str">
        <f ca="1">IF(FF$1="","",'Total Value'!FF43/'Total Value'!FE43-1)</f>
        <v/>
      </c>
      <c r="FG31" s="14" t="str">
        <f ca="1">IF(FG$1="","",'Total Value'!FG43/'Total Value'!FF43-1)</f>
        <v/>
      </c>
      <c r="FH31" s="14" t="str">
        <f ca="1">IF(FH$1="","",'Total Value'!FH43/'Total Value'!FG43-1)</f>
        <v/>
      </c>
      <c r="FI31" s="14" t="str">
        <f ca="1">IF(FI$1="","",'Total Value'!FI43/'Total Value'!FH43-1)</f>
        <v/>
      </c>
      <c r="FJ31" s="14" t="str">
        <f ca="1">IF(FJ$1="","",'Total Value'!FJ43/'Total Value'!FI43-1)</f>
        <v/>
      </c>
      <c r="FK31" s="14" t="str">
        <f ca="1">IF(FK$1="","",'Total Value'!FK43/'Total Value'!FJ43-1)</f>
        <v/>
      </c>
      <c r="FL31" s="14" t="str">
        <f ca="1">IF(FL$1="","",'Total Value'!FL43/'Total Value'!FK43-1)</f>
        <v/>
      </c>
      <c r="FM31" s="14" t="str">
        <f ca="1">IF(FM$1="","",'Total Value'!FM43/'Total Value'!FL43-1)</f>
        <v/>
      </c>
      <c r="FN31" s="14" t="str">
        <f ca="1">IF(FN$1="","",'Total Value'!FN43/'Total Value'!FM43-1)</f>
        <v/>
      </c>
      <c r="FO31" s="14" t="str">
        <f ca="1">IF(FO$1="","",'Total Value'!FO43/'Total Value'!FN43-1)</f>
        <v/>
      </c>
      <c r="FP31" s="14" t="str">
        <f ca="1">IF(FP$1="","",'Total Value'!FP43/'Total Value'!FO43-1)</f>
        <v/>
      </c>
      <c r="FQ31" s="14" t="str">
        <f ca="1">IF(FQ$1="","",'Total Value'!FQ43/'Total Value'!FP43-1)</f>
        <v/>
      </c>
      <c r="FR31" s="14" t="str">
        <f ca="1">IF(FR$1="","",'Total Value'!FR43/'Total Value'!FQ43-1)</f>
        <v/>
      </c>
      <c r="FS31" s="14" t="str">
        <f ca="1">IF(FS$1="","",'Total Value'!FS43/'Total Value'!FR43-1)</f>
        <v/>
      </c>
      <c r="FT31" s="14" t="str">
        <f ca="1">IF(FT$1="","",'Total Value'!FT43/'Total Value'!FS43-1)</f>
        <v/>
      </c>
      <c r="FU31" s="14" t="str">
        <f ca="1">IF(FU$1="","",'Total Value'!FU43/'Total Value'!FT43-1)</f>
        <v/>
      </c>
      <c r="FV31" s="14" t="str">
        <f ca="1">IF(FV$1="","",'Total Value'!FV43/'Total Value'!FU43-1)</f>
        <v/>
      </c>
      <c r="FW31" s="14" t="str">
        <f ca="1">IF(FW$1="","",'Total Value'!FW43/'Total Value'!FV43-1)</f>
        <v/>
      </c>
      <c r="FX31" s="14" t="str">
        <f ca="1">IF(FX$1="","",'Total Value'!FX43/'Total Value'!FW43-1)</f>
        <v/>
      </c>
      <c r="FY31" s="14" t="str">
        <f ca="1">IF(FY$1="","",'Total Value'!FY43/'Total Value'!FX43-1)</f>
        <v/>
      </c>
      <c r="FZ31" s="14" t="str">
        <f ca="1">IF(FZ$1="","",'Total Value'!FZ43/'Total Value'!FY43-1)</f>
        <v/>
      </c>
      <c r="GA31" s="14" t="str">
        <f ca="1">IF(GA$1="","",'Total Value'!GA43/'Total Value'!FZ43-1)</f>
        <v/>
      </c>
      <c r="GB31" s="14" t="str">
        <f ca="1">IF(GB$1="","",'Total Value'!GB43/'Total Value'!GA43-1)</f>
        <v/>
      </c>
      <c r="GC31" s="14" t="str">
        <f ca="1">IF(GC$1="","",'Total Value'!GC43/'Total Value'!GB43-1)</f>
        <v/>
      </c>
      <c r="GD31" s="14" t="str">
        <f ca="1">IF(GD$1="","",'Total Value'!GD43/'Total Value'!GC43-1)</f>
        <v/>
      </c>
      <c r="GE31" s="14" t="str">
        <f ca="1">IF(GE$1="","",'Total Value'!GE43/'Total Value'!GD43-1)</f>
        <v/>
      </c>
      <c r="GF31" s="14" t="str">
        <f ca="1">IF(GF$1="","",'Total Value'!GF43/'Total Value'!GE43-1)</f>
        <v/>
      </c>
      <c r="GG31" s="14" t="str">
        <f ca="1">IF(GG$1="","",'Total Value'!GG43/'Total Value'!GF43-1)</f>
        <v/>
      </c>
      <c r="GH31" s="14" t="str">
        <f ca="1">IF(GH$1="","",'Total Value'!GH43/'Total Value'!GG43-1)</f>
        <v/>
      </c>
      <c r="GI31" s="14" t="str">
        <f ca="1">IF(GI$1="","",'Total Value'!GI43/'Total Value'!GH43-1)</f>
        <v/>
      </c>
      <c r="GJ31" s="14" t="str">
        <f ca="1">IF(GJ$1="","",'Total Value'!GJ43/'Total Value'!GI43-1)</f>
        <v/>
      </c>
      <c r="GK31" s="14" t="str">
        <f ca="1">IF(GK$1="","",'Total Value'!GK43/'Total Value'!GJ43-1)</f>
        <v/>
      </c>
      <c r="GL31" s="14" t="str">
        <f ca="1">IF(GL$1="","",'Total Value'!GL43/'Total Value'!GK43-1)</f>
        <v/>
      </c>
      <c r="GM31" s="14" t="str">
        <f ca="1">IF(GM$1="","",'Total Value'!GM43/'Total Value'!GL43-1)</f>
        <v/>
      </c>
      <c r="GN31" s="14" t="str">
        <f ca="1">IF(GN$1="","",'Total Value'!GN43/'Total Value'!GM43-1)</f>
        <v/>
      </c>
      <c r="GO31" s="14" t="str">
        <f ca="1">IF(GO$1="","",'Total Value'!GO43/'Total Value'!GN43-1)</f>
        <v/>
      </c>
      <c r="GP31" s="14" t="str">
        <f ca="1">IF(GP$1="","",'Total Value'!GP43/'Total Value'!GO43-1)</f>
        <v/>
      </c>
      <c r="GQ31" s="14" t="str">
        <f ca="1">IF(GQ$1="","",'Total Value'!GQ43/'Total Value'!GP43-1)</f>
        <v/>
      </c>
      <c r="GR31" s="14" t="str">
        <f ca="1">IF(GR$1="","",'Total Value'!GR43/'Total Value'!GQ43-1)</f>
        <v/>
      </c>
      <c r="GS31" s="14" t="str">
        <f ca="1">IF(GS$1="","",'Total Value'!GS43/'Total Value'!GR43-1)</f>
        <v/>
      </c>
      <c r="GT31" s="14" t="str">
        <f ca="1">IF(GT$1="","",'Total Value'!GT43/'Total Value'!GS43-1)</f>
        <v/>
      </c>
      <c r="GU31" s="14" t="str">
        <f ca="1">IF(GU$1="","",'Total Value'!GU43/'Total Value'!GT43-1)</f>
        <v/>
      </c>
      <c r="GV31" s="14" t="str">
        <f ca="1">IF(GV$1="","",'Total Value'!GV43/'Total Value'!GU43-1)</f>
        <v/>
      </c>
      <c r="GW31" s="14" t="str">
        <f ca="1">IF(GW$1="","",'Total Value'!GW43/'Total Value'!GV43-1)</f>
        <v/>
      </c>
      <c r="GX31" s="14" t="str">
        <f ca="1">IF(GX$1="","",'Total Value'!GX43/'Total Value'!GW43-1)</f>
        <v/>
      </c>
      <c r="GY31" s="14" t="str">
        <f ca="1">IF(GY$1="","",'Total Value'!GY43/'Total Value'!GX43-1)</f>
        <v/>
      </c>
      <c r="GZ31" s="14" t="str">
        <f ca="1">IF(GZ$1="","",'Total Value'!GZ43/'Total Value'!GY43-1)</f>
        <v/>
      </c>
      <c r="HA31" s="14" t="str">
        <f ca="1">IF(HA$1="","",'Total Value'!HA43/'Total Value'!GZ43-1)</f>
        <v/>
      </c>
      <c r="HB31" s="14" t="str">
        <f ca="1">IF(HB$1="","",'Total Value'!HB43/'Total Value'!HA43-1)</f>
        <v/>
      </c>
      <c r="HC31" s="14" t="str">
        <f ca="1">IF(HC$1="","",'Total Value'!HC43/'Total Value'!HB43-1)</f>
        <v/>
      </c>
      <c r="HD31" s="14" t="str">
        <f ca="1">IF(HD$1="","",'Total Value'!HD43/'Total Value'!HC43-1)</f>
        <v/>
      </c>
      <c r="HE31" s="14" t="str">
        <f ca="1">IF(HE$1="","",'Total Value'!HE43/'Total Value'!HD43-1)</f>
        <v/>
      </c>
      <c r="HF31" s="14" t="str">
        <f ca="1">IF(HF$1="","",'Total Value'!HF43/'Total Value'!HE43-1)</f>
        <v/>
      </c>
      <c r="HG31" s="14" t="str">
        <f ca="1">IF(HG$1="","",'Total Value'!HG43/'Total Value'!HF43-1)</f>
        <v/>
      </c>
      <c r="HH31" s="14" t="str">
        <f ca="1">IF(HH$1="","",'Total Value'!HH43/'Total Value'!HG43-1)</f>
        <v/>
      </c>
      <c r="HI31" s="14" t="str">
        <f ca="1">IF(HI$1="","",'Total Value'!HI43/'Total Value'!HH43-1)</f>
        <v/>
      </c>
      <c r="HJ31" s="14" t="str">
        <f ca="1">IF(HJ$1="","",'Total Value'!HJ43/'Total Value'!HI43-1)</f>
        <v/>
      </c>
      <c r="HK31" s="14" t="str">
        <f ca="1">IF(HK$1="","",'Total Value'!HK43/'Total Value'!HJ43-1)</f>
        <v/>
      </c>
      <c r="HL31" s="14" t="str">
        <f ca="1">IF(HL$1="","",'Total Value'!HL43/'Total Value'!HK43-1)</f>
        <v/>
      </c>
      <c r="HM31" s="14" t="str">
        <f ca="1">IF(HM$1="","",'Total Value'!HM43/'Total Value'!HL43-1)</f>
        <v/>
      </c>
      <c r="HN31" s="14" t="str">
        <f ca="1">IF(HN$1="","",'Total Value'!HN43/'Total Value'!HM43-1)</f>
        <v/>
      </c>
      <c r="HO31" s="14" t="str">
        <f ca="1">IF(HO$1="","",'Total Value'!HO43/'Total Value'!HN43-1)</f>
        <v/>
      </c>
      <c r="HP31" s="14" t="str">
        <f ca="1">IF(HP$1="","",'Total Value'!HP43/'Total Value'!HO43-1)</f>
        <v/>
      </c>
      <c r="HQ31" s="14" t="str">
        <f ca="1">IF(HQ$1="","",'Total Value'!HQ43/'Total Value'!HP43-1)</f>
        <v/>
      </c>
      <c r="HR31" s="14" t="str">
        <f ca="1">IF(HR$1="","",'Total Value'!HR43/'Total Value'!HQ43-1)</f>
        <v/>
      </c>
      <c r="HS31" s="14" t="str">
        <f ca="1">IF(HS$1="","",'Total Value'!HS43/'Total Value'!HR43-1)</f>
        <v/>
      </c>
      <c r="HT31" s="14" t="str">
        <f ca="1">IF(HT$1="","",'Total Value'!HT43/'Total Value'!HS43-1)</f>
        <v/>
      </c>
      <c r="HU31" s="14" t="str">
        <f ca="1">IF(HU$1="","",'Total Value'!HU43/'Total Value'!HT43-1)</f>
        <v/>
      </c>
      <c r="HV31" s="14" t="str">
        <f ca="1">IF(HV$1="","",'Total Value'!HV43/'Total Value'!HU43-1)</f>
        <v/>
      </c>
      <c r="HW31" s="14" t="str">
        <f ca="1">IF(HW$1="","",'Total Value'!HW43/'Total Value'!HV43-1)</f>
        <v/>
      </c>
      <c r="HX31" s="14" t="str">
        <f ca="1">IF(HX$1="","",'Total Value'!HX43/'Total Value'!HW43-1)</f>
        <v/>
      </c>
      <c r="HY31" s="14" t="str">
        <f ca="1">IF(HY$1="","",'Total Value'!HY43/'Total Value'!HX43-1)</f>
        <v/>
      </c>
      <c r="HZ31" s="14" t="str">
        <f ca="1">IF(HZ$1="","",'Total Value'!HZ43/'Total Value'!HY43-1)</f>
        <v/>
      </c>
      <c r="IA31" s="14" t="str">
        <f ca="1">IF(IA$1="","",'Total Value'!IA43/'Total Value'!HZ43-1)</f>
        <v/>
      </c>
      <c r="IB31" s="14" t="str">
        <f ca="1">IF(IB$1="","",'Total Value'!IB43/'Total Value'!IA43-1)</f>
        <v/>
      </c>
      <c r="IC31" s="14" t="str">
        <f ca="1">IF(IC$1="","",'Total Value'!IC43/'Total Value'!IB43-1)</f>
        <v/>
      </c>
      <c r="ID31" s="14" t="str">
        <f ca="1">IF(ID$1="","",'Total Value'!ID43/'Total Value'!IC43-1)</f>
        <v/>
      </c>
      <c r="IE31" s="14" t="str">
        <f ca="1">IF(IE$1="","",'Total Value'!IE43/'Total Value'!ID43-1)</f>
        <v/>
      </c>
      <c r="IF31" s="14" t="str">
        <f ca="1">IF(IF$1="","",'Total Value'!IF43/'Total Value'!IE43-1)</f>
        <v/>
      </c>
      <c r="IG31" s="14" t="str">
        <f ca="1">IF(IG$1="","",'Total Value'!IG43/'Total Value'!IF43-1)</f>
        <v/>
      </c>
      <c r="IH31" s="14" t="str">
        <f ca="1">IF(IH$1="","",'Total Value'!IH43/'Total Value'!IG43-1)</f>
        <v/>
      </c>
      <c r="II31" s="14" t="str">
        <f ca="1">IF(II$1="","",'Total Value'!II43/'Total Value'!IH43-1)</f>
        <v/>
      </c>
      <c r="IJ31" s="14" t="str">
        <f ca="1">IF(IJ$1="","",'Total Value'!IJ43/'Total Value'!II43-1)</f>
        <v/>
      </c>
      <c r="IK31" s="14" t="str">
        <f ca="1">IF(IK$1="","",'Total Value'!IK43/'Total Value'!IJ43-1)</f>
        <v/>
      </c>
      <c r="IL31" s="14" t="str">
        <f ca="1">IF(IL$1="","",'Total Value'!IL43/'Total Value'!IK43-1)</f>
        <v/>
      </c>
      <c r="IM31" s="14" t="str">
        <f ca="1">IF(IM$1="","",'Total Value'!IM43/'Total Value'!IL43-1)</f>
        <v/>
      </c>
      <c r="IN31" s="14" t="str">
        <f ca="1">IF(IN$1="","",'Total Value'!IN43/'Total Value'!IM43-1)</f>
        <v/>
      </c>
      <c r="IO31" s="14" t="str">
        <f ca="1">IF(IO$1="","",'Total Value'!IO43/'Total Value'!IN43-1)</f>
        <v/>
      </c>
      <c r="IP31" s="14" t="str">
        <f ca="1">IF(IP$1="","",'Total Value'!IP43/'Total Value'!IO43-1)</f>
        <v/>
      </c>
      <c r="IQ31" s="14" t="str">
        <f ca="1">IF(IQ$1="","",'Total Value'!IQ43/'Total Value'!IP43-1)</f>
        <v/>
      </c>
      <c r="IR31" s="14" t="str">
        <f ca="1">IF(IR$1="","",'Total Value'!IR43/'Total Value'!IQ43-1)</f>
        <v/>
      </c>
      <c r="IS31" s="14" t="str">
        <f ca="1">IF(IS$1="","",'Total Value'!IS43/'Total Value'!IR43-1)</f>
        <v/>
      </c>
      <c r="IT31" s="14" t="str">
        <f ca="1">IF(IT$1="","",'Total Value'!IT43/'Total Value'!IS43-1)</f>
        <v/>
      </c>
      <c r="IU31" s="14" t="str">
        <f ca="1">IF(IU$1="","",'Total Value'!IU43/'Total Value'!IT43-1)</f>
        <v/>
      </c>
      <c r="IV31" s="14" t="str">
        <f ca="1">IF(IV$1="","",'Total Value'!IV43/'Total Value'!IU43-1)</f>
        <v/>
      </c>
      <c r="IW31" s="14" t="str">
        <f ca="1">IF(IW$1="","",'Total Value'!IW43/'Total Value'!IV43-1)</f>
        <v/>
      </c>
      <c r="IX31" s="14" t="str">
        <f ca="1">IF(IX$1="","",'Total Value'!IX43/'Total Value'!IW43-1)</f>
        <v/>
      </c>
      <c r="IY31" s="14" t="str">
        <f ca="1">IF(IY$1="","",'Total Value'!IY43/'Total Value'!IX43-1)</f>
        <v/>
      </c>
      <c r="IZ31" s="14" t="str">
        <f ca="1">IF(IZ$1="","",'Total Value'!IZ43/'Total Value'!IY43-1)</f>
        <v/>
      </c>
      <c r="JA31" s="14" t="str">
        <f ca="1">IF(JA$1="","",'Total Value'!JA43/'Total Value'!IZ43-1)</f>
        <v/>
      </c>
      <c r="JB31" s="14" t="str">
        <f ca="1">IF(JB$1="","",'Total Value'!JB43/'Total Value'!JA43-1)</f>
        <v/>
      </c>
      <c r="JC31" s="14" t="str">
        <f ca="1">IF(JC$1="","",'Total Value'!JC43/'Total Value'!JB43-1)</f>
        <v/>
      </c>
      <c r="JD31" s="14" t="str">
        <f ca="1">IF(JD$1="","",'Total Value'!JD43/'Total Value'!JC43-1)</f>
        <v/>
      </c>
      <c r="JE31" s="14" t="str">
        <f ca="1">IF(JE$1="","",'Total Value'!JE43/'Total Value'!JD43-1)</f>
        <v/>
      </c>
      <c r="JF31" s="14" t="str">
        <f ca="1">IF(JF$1="","",'Total Value'!JF43/'Total Value'!JE43-1)</f>
        <v/>
      </c>
      <c r="JG31" s="14" t="str">
        <f ca="1">IF(JG$1="","",'Total Value'!JG43/'Total Value'!JF43-1)</f>
        <v/>
      </c>
      <c r="JH31" s="14" t="str">
        <f ca="1">IF(JH$1="","",'Total Value'!JH43/'Total Value'!JG43-1)</f>
        <v/>
      </c>
      <c r="JI31" s="14" t="str">
        <f ca="1">IF(JI$1="","",'Total Value'!JI43/'Total Value'!JH43-1)</f>
        <v/>
      </c>
      <c r="JJ31" s="14" t="str">
        <f ca="1">IF(JJ$1="","",'Total Value'!JJ43/'Total Value'!JI43-1)</f>
        <v/>
      </c>
      <c r="JK31" s="14" t="str">
        <f ca="1">IF(JK$1="","",'Total Value'!JK43/'Total Value'!JJ43-1)</f>
        <v/>
      </c>
      <c r="JL31" s="14" t="str">
        <f ca="1">IF(JL$1="","",'Total Value'!JL43/'Total Value'!JK43-1)</f>
        <v/>
      </c>
      <c r="JM31" s="14" t="str">
        <f ca="1">IF(JM$1="","",'Total Value'!JM43/'Total Value'!JL43-1)</f>
        <v/>
      </c>
      <c r="JN31" s="14" t="str">
        <f ca="1">IF(JN$1="","",'Total Value'!JN43/'Total Value'!JM43-1)</f>
        <v/>
      </c>
      <c r="JO31" s="14" t="str">
        <f ca="1">IF(JO$1="","",'Total Value'!JO43/'Total Value'!JN43-1)</f>
        <v/>
      </c>
      <c r="JP31" s="14" t="str">
        <f ca="1">IF(JP$1="","",'Total Value'!JP43/'Total Value'!JO43-1)</f>
        <v/>
      </c>
      <c r="JQ31" s="14" t="str">
        <f ca="1">IF(JQ$1="","",'Total Value'!JQ43/'Total Value'!JP43-1)</f>
        <v/>
      </c>
      <c r="JR31" s="14" t="str">
        <f ca="1">IF(JR$1="","",'Total Value'!JR43/'Total Value'!JQ43-1)</f>
        <v/>
      </c>
      <c r="JS31" s="14" t="str">
        <f ca="1">IF(JS$1="","",'Total Value'!JS43/'Total Value'!JR43-1)</f>
        <v/>
      </c>
      <c r="JT31" s="14" t="str">
        <f ca="1">IF(JT$1="","",'Total Value'!JT43/'Total Value'!JS43-1)</f>
        <v/>
      </c>
      <c r="JU31" s="14" t="str">
        <f ca="1">IF(JU$1="","",'Total Value'!JU43/'Total Value'!JT43-1)</f>
        <v/>
      </c>
      <c r="JV31" s="14" t="str">
        <f ca="1">IF(JV$1="","",'Total Value'!JV43/'Total Value'!JU43-1)</f>
        <v/>
      </c>
      <c r="JW31" s="14" t="str">
        <f ca="1">IF(JW$1="","",'Total Value'!JW43/'Total Value'!JV43-1)</f>
        <v/>
      </c>
      <c r="JX31" s="14" t="str">
        <f ca="1">IF(JX$1="","",'Total Value'!JX43/'Total Value'!JW43-1)</f>
        <v/>
      </c>
      <c r="JY31" s="14" t="str">
        <f ca="1">IF(JY$1="","",'Total Value'!JY43/'Total Value'!JX43-1)</f>
        <v/>
      </c>
      <c r="JZ31" s="14" t="str">
        <f ca="1">IF(JZ$1="","",'Total Value'!JZ43/'Total Value'!JY43-1)</f>
        <v/>
      </c>
      <c r="KA31" s="14" t="str">
        <f ca="1">IF(KA$1="","",'Total Value'!KA43/'Total Value'!JZ43-1)</f>
        <v/>
      </c>
      <c r="KB31" s="14" t="str">
        <f ca="1">IF(KB$1="","",'Total Value'!KB43/'Total Value'!KA43-1)</f>
        <v/>
      </c>
    </row>
    <row r="32" spans="1:288" ht="15.75" customHeight="1">
      <c r="A32" s="22" t="s">
        <v>30</v>
      </c>
      <c r="B32" s="6" t="s">
        <v>76</v>
      </c>
      <c r="C32" s="26">
        <v>65</v>
      </c>
      <c r="D32" s="13">
        <v>0</v>
      </c>
      <c r="E32" s="14">
        <f ca="1">IF(E$1="","",'Total Value'!E44/'Total Value'!D44-1)</f>
        <v>3.3444816053511683E-3</v>
      </c>
      <c r="F32" s="14">
        <f ca="1">IF(F$1="","",'Total Value'!F44/'Total Value'!E44-1)</f>
        <v>8.6666666666668224E-3</v>
      </c>
      <c r="G32" s="14">
        <f ca="1">IF(G$1="","",'Total Value'!G44/'Total Value'!F44-1)</f>
        <v>9.2531394580304127E-3</v>
      </c>
      <c r="H32" s="14">
        <f ca="1">IF(H$1="","",'Total Value'!H44/'Total Value'!G44-1)</f>
        <v>1.8336607727570398E-2</v>
      </c>
      <c r="I32" s="14">
        <f ca="1">IF(I$1="","",'Total Value'!I44/'Total Value'!H44-1)</f>
        <v>-8.3601286173633493E-3</v>
      </c>
      <c r="J32" s="14">
        <f ca="1">IF(J$1="","",'Total Value'!J44/'Total Value'!I44-1)</f>
        <v>-5.188067444876765E-3</v>
      </c>
      <c r="K32" s="14">
        <f ca="1">IF(K$1="","",'Total Value'!K44/'Total Value'!J44-1)</f>
        <v>-2.8683181225554133E-2</v>
      </c>
      <c r="L32" s="14">
        <f ca="1">IF(L$1="","",'Total Value'!L44/'Total Value'!K44-1)</f>
        <v>-1.6107382550335614E-2</v>
      </c>
      <c r="M32" s="14">
        <f ca="1">IF(M$1="","",'Total Value'!M44/'Total Value'!L44-1)</f>
        <v>1.3642564802183177E-3</v>
      </c>
      <c r="N32" s="14">
        <f ca="1">IF(N$1="","",'Total Value'!N44/'Total Value'!M44-1)</f>
        <v>-6.8119891008173727E-3</v>
      </c>
      <c r="O32" s="14">
        <f ca="1">IF(O$1="","",'Total Value'!O44/'Total Value'!N44-1)</f>
        <v>-1.0288065843621519E-2</v>
      </c>
      <c r="P32" s="14">
        <f ca="1">IF(P$1="","",'Total Value'!P44/'Total Value'!O44-1)</f>
        <v>6.9300069300082257E-4</v>
      </c>
      <c r="Q32" s="14">
        <f ca="1">IF(Q$1="","",'Total Value'!Q44/'Total Value'!P44-1)</f>
        <v>-1.7313019390581719E-2</v>
      </c>
      <c r="R32" s="14">
        <f ca="1">IF(R$1="","",'Total Value'!R44/'Total Value'!Q44-1)</f>
        <v>1.1275546159267069E-2</v>
      </c>
      <c r="S32" s="14">
        <f ca="1">IF(S$1="","",'Total Value'!S44/'Total Value'!R44-1)</f>
        <v>1.2543554006968494E-2</v>
      </c>
      <c r="T32" s="14">
        <f ca="1">IF(T$1="","",'Total Value'!T44/'Total Value'!S44-1)</f>
        <v>-6.8823124569850069E-4</v>
      </c>
      <c r="U32" s="14">
        <f ca="1">IF(U$1="","",'Total Value'!U44/'Total Value'!T44-1)</f>
        <v>-2.1349862258953078E-2</v>
      </c>
      <c r="V32" s="14">
        <f ca="1">IF(V$1="","",'Total Value'!V44/'Total Value'!U44-1)</f>
        <v>-5.6298381421534538E-3</v>
      </c>
      <c r="W32" s="14">
        <f ca="1">IF(W$1="","",'Total Value'!W44/'Total Value'!V44-1)</f>
        <v>2.1231422505307851E-3</v>
      </c>
      <c r="X32" s="14">
        <f ca="1">IF(X$1="","",'Total Value'!X44/'Total Value'!W44-1)</f>
        <v>2.0480225988700695E-2</v>
      </c>
      <c r="Y32" s="14">
        <f ca="1">IF(Y$1="","",'Total Value'!Y44/'Total Value'!X44-1)</f>
        <v>6.9204152249136008E-4</v>
      </c>
      <c r="Z32" s="14">
        <f ca="1">IF(Z$1="","",'Total Value'!Z44/'Total Value'!Y44-1)</f>
        <v>-1.5905947441217205E-2</v>
      </c>
      <c r="AA32" s="14">
        <f ca="1">IF(AA$1="","",'Total Value'!AA44/'Total Value'!Z44-1)</f>
        <v>-2.037947997189038E-2</v>
      </c>
      <c r="AB32" s="14">
        <f ca="1">IF(AB$1="","",'Total Value'!AB44/'Total Value'!AA44-1)</f>
        <v>2.0803443328550886E-2</v>
      </c>
      <c r="AC32" s="14">
        <f ca="1">IF(AC$1="","",'Total Value'!AC44/'Total Value'!AB44-1)</f>
        <v>1.1946591707659771E-2</v>
      </c>
      <c r="AD32" s="14">
        <f ca="1">IF(AD$1="","",'Total Value'!AD44/'Total Value'!AC44-1)</f>
        <v>1.388888888888884E-2</v>
      </c>
      <c r="AE32" s="14">
        <f ca="1">IF(AE$1="","",'Total Value'!AE44/'Total Value'!AD44-1)</f>
        <v>-2.7397260273972601E-2</v>
      </c>
      <c r="AF32" s="14">
        <f ca="1">IF(AF$1="","",'Total Value'!AF44/'Total Value'!AE44-1)</f>
        <v>5.6338028169014009E-3</v>
      </c>
      <c r="AG32" s="14">
        <f ca="1">IF(AG$1="","",'Total Value'!AG44/'Total Value'!AF44-1)</f>
        <v>-2.8011204481791507E-3</v>
      </c>
      <c r="AH32" s="14">
        <f ca="1">IF(AH$1="","",'Total Value'!AH44/'Total Value'!AG44-1)</f>
        <v>-1.5449438202247312E-2</v>
      </c>
      <c r="AI32" s="14">
        <f ca="1">IF(AI$1="","",'Total Value'!AI44/'Total Value'!AH44-1)</f>
        <v>1.783166904422262E-2</v>
      </c>
      <c r="AJ32" s="14">
        <f ca="1">IF(AJ$1="","",'Total Value'!AJ44/'Total Value'!AI44-1)</f>
        <v>3.2936229852838173E-2</v>
      </c>
      <c r="AK32" s="14">
        <f ca="1">IF(AK$1="","",'Total Value'!AK44/'Total Value'!AJ44-1)</f>
        <v>-6.7842605156032132E-4</v>
      </c>
      <c r="AL32" s="14">
        <f ca="1">IF(AL$1="","",'Total Value'!AL44/'Total Value'!AK44-1)</f>
        <v>-2.5797691785471866E-2</v>
      </c>
      <c r="AM32" s="14">
        <f ca="1">IF(AM$1="","",'Total Value'!AM44/'Total Value'!AL44-1)</f>
        <v>2.02090592334494E-2</v>
      </c>
      <c r="AN32" s="14">
        <f ca="1">IF(AN$1="","",'Total Value'!AN44/'Total Value'!AM44-1)</f>
        <v>3.0737704918032849E-2</v>
      </c>
      <c r="AO32" s="14">
        <f ca="1">IF(AO$1="","",'Total Value'!AO44/'Total Value'!AN44-1)</f>
        <v>-2.7170311464546182E-2</v>
      </c>
      <c r="AP32" s="14">
        <f ca="1">IF(AP$1="","",'Total Value'!AP44/'Total Value'!AO44-1)</f>
        <v>-6.8801089918256064E-2</v>
      </c>
      <c r="AQ32" s="14">
        <f ca="1">IF(AQ$1="","",'Total Value'!AQ44/'Total Value'!AP44-1)</f>
        <v>3.6576444769569338E-3</v>
      </c>
      <c r="AR32" s="14">
        <f ca="1">IF(AR$1="","",'Total Value'!AR44/'Total Value'!AQ44-1)</f>
        <v>5.1020408163265252E-2</v>
      </c>
      <c r="AS32" s="14">
        <f ca="1">IF(AS$1="","",'Total Value'!AS44/'Total Value'!AR44-1)</f>
        <v>3.3287101248266282E-2</v>
      </c>
      <c r="AT32" s="14">
        <f ca="1">IF(AT$1="","",'Total Value'!AT44/'Total Value'!AS44-1)</f>
        <v>-1.9463087248322131E-2</v>
      </c>
      <c r="AU32" s="14">
        <f ca="1">IF(AU$1="","",'Total Value'!AU44/'Total Value'!AT44-1)</f>
        <v>4.3805612594113752E-2</v>
      </c>
      <c r="AV32" s="14">
        <f ca="1">IF(AV$1="","",'Total Value'!AV44/'Total Value'!AU44-1)</f>
        <v>-2.0327868852458963E-2</v>
      </c>
      <c r="AW32" s="14">
        <f ca="1">IF(AW$1="","",'Total Value'!AW44/'Total Value'!AV44-1)</f>
        <v>1.6064257028112428E-2</v>
      </c>
      <c r="AX32" s="14">
        <f ca="1">IF(AX$1="","",'Total Value'!AX44/'Total Value'!AW44-1)</f>
        <v>2.5032938076416489E-2</v>
      </c>
      <c r="AY32" s="14">
        <f ca="1">IF(AY$1="","",'Total Value'!AY44/'Total Value'!AX44-1)</f>
        <v>3.2133676092544805E-2</v>
      </c>
      <c r="AZ32" s="14">
        <f ca="1">IF(AZ$1="","",'Total Value'!AZ44/'Total Value'!AY44-1)</f>
        <v>-1.494396014943955E-2</v>
      </c>
      <c r="BA32" s="14">
        <f ca="1">IF(BA$1="","",'Total Value'!BA44/'Total Value'!AZ44-1)</f>
        <v>-4.4247787610619538E-3</v>
      </c>
      <c r="BB32" s="14">
        <f ca="1">IF(BB$1="","",'Total Value'!BB44/'Total Value'!BA44-1)</f>
        <v>6.3492063492063266E-3</v>
      </c>
      <c r="BC32" s="14">
        <f ca="1">IF(BC$1="","",'Total Value'!BC44/'Total Value'!BB44-1)</f>
        <v>2.7129337539432141E-2</v>
      </c>
      <c r="BD32" s="14">
        <f ca="1">IF(BD$1="","",'Total Value'!BD44/'Total Value'!BC44-1)</f>
        <v>-1.3513513513513709E-2</v>
      </c>
      <c r="BE32" s="14">
        <f ca="1">IF(BE$1="","",'Total Value'!BE44/'Total Value'!BD44-1)</f>
        <v>-1.3075965130759482E-2</v>
      </c>
      <c r="BF32" s="14">
        <f ca="1">IF(BF$1="","",'Total Value'!BF44/'Total Value'!BE44-1)</f>
        <v>1.2618296529967044E-3</v>
      </c>
      <c r="BG32" s="14">
        <f ca="1">IF(BG$1="","",'Total Value'!BG44/'Total Value'!BF44-1)</f>
        <v>-1.1342155009451682E-2</v>
      </c>
      <c r="BH32" s="14">
        <f ca="1">IF(BH$1="","",'Total Value'!BH44/'Total Value'!BG44-1)</f>
        <v>-1.0834926704907599E-2</v>
      </c>
      <c r="BI32" s="14">
        <f ca="1">IF(BI$1="","",'Total Value'!BI44/'Total Value'!BH44-1)</f>
        <v>1.6108247422680355E-2</v>
      </c>
      <c r="BJ32" s="14">
        <f ca="1">IF(BJ$1="","",'Total Value'!BJ44/'Total Value'!BI44-1)</f>
        <v>-3.8046924540264815E-3</v>
      </c>
      <c r="BK32" s="14">
        <f ca="1">IF(BK$1="","",'Total Value'!BK44/'Total Value'!BJ44-1)</f>
        <v>-1.5276893698281335E-2</v>
      </c>
      <c r="BL32" s="14">
        <f ca="1">IF(BL$1="","",'Total Value'!BL44/'Total Value'!BK44-1)</f>
        <v>-3.2320620555915669E-3</v>
      </c>
      <c r="BM32" s="14">
        <f ca="1">IF(BM$1="","",'Total Value'!BM44/'Total Value'!BL44-1)</f>
        <v>7.1335927367055518E-3</v>
      </c>
      <c r="BN32" s="14">
        <f ca="1">IF(BN$1="","",'Total Value'!BN44/'Total Value'!BM44-1)</f>
        <v>-1.4166130070830563E-2</v>
      </c>
      <c r="BO32" s="14">
        <f ca="1">IF(BO$1="","",'Total Value'!BO44/'Total Value'!BN44-1)</f>
        <v>1.3063357282823151E-3</v>
      </c>
      <c r="BP32" s="14">
        <f ca="1">IF(BP$1="","",'Total Value'!BP44/'Total Value'!BO44-1)</f>
        <v>7.8277886497064575E-3</v>
      </c>
      <c r="BQ32" s="14">
        <f ca="1">IF(BQ$1="","",'Total Value'!BQ44/'Total Value'!BP44-1)</f>
        <v>2.653721682847876E-2</v>
      </c>
      <c r="BR32" s="14">
        <f ca="1">IF(BR$1="","",'Total Value'!BR44/'Total Value'!BQ44-1)</f>
        <v>8.8272383354350836E-3</v>
      </c>
      <c r="BS32" s="14">
        <f ca="1">IF(BS$1="","",'Total Value'!BS44/'Total Value'!BR44-1)</f>
        <v>-5.6249999999998801E-3</v>
      </c>
      <c r="BT32" s="14">
        <f ca="1">IF(BT$1="","",'Total Value'!BT44/'Total Value'!BS44-1)</f>
        <v>3.3940917661847703E-2</v>
      </c>
      <c r="BU32" s="14">
        <f ca="1">IF(BU$1="","",'Total Value'!BU44/'Total Value'!BT44-1)</f>
        <v>5.4711246200607189E-3</v>
      </c>
      <c r="BV32" s="14">
        <f ca="1">IF(BV$1="","",'Total Value'!BV44/'Total Value'!BU44-1)</f>
        <v>-1.1487303506650504E-2</v>
      </c>
      <c r="BW32" s="14">
        <f ca="1">IF(BW$1="","",'Total Value'!BW44/'Total Value'!BV44-1)</f>
        <v>-2.752293577981646E-2</v>
      </c>
      <c r="BX32" s="14">
        <f ca="1">IF(BX$1="","",'Total Value'!BX44/'Total Value'!BW44-1)</f>
        <v>-5.031446540880502E-3</v>
      </c>
      <c r="BY32" s="14">
        <f ca="1">IF(BY$1="","",'Total Value'!BY44/'Total Value'!BX44-1)</f>
        <v>-1.896333754740831E-2</v>
      </c>
      <c r="BZ32" s="14">
        <f ca="1">IF(BZ$1="","",'Total Value'!BZ44/'Total Value'!BY44-1)</f>
        <v>-4.5103092783504994E-3</v>
      </c>
      <c r="CA32" s="14">
        <f ca="1">IF(CA$1="","",'Total Value'!CA44/'Total Value'!BZ44-1)</f>
        <v>-2.5889967637540146E-3</v>
      </c>
      <c r="CB32" s="14">
        <f ca="1">IF(CB$1="","",'Total Value'!CB44/'Total Value'!CA44-1)</f>
        <v>-1.2329656067488592E-2</v>
      </c>
      <c r="CC32" s="14">
        <f ca="1">IF(CC$1="","",'Total Value'!CC44/'Total Value'!CB44-1)</f>
        <v>5.9132720105123937E-3</v>
      </c>
      <c r="CD32" s="14">
        <f ca="1">IF(CD$1="","",'Total Value'!CD44/'Total Value'!CC44-1)</f>
        <v>2.0248203788373553E-2</v>
      </c>
      <c r="CE32" s="14">
        <f ca="1">IF(CE$1="","",'Total Value'!CE44/'Total Value'!CD44-1)</f>
        <v>2.6248399487836194E-2</v>
      </c>
      <c r="CF32" s="14" t="str">
        <f ca="1">IF(CF$1="","",'Total Value'!CF44/'Total Value'!CE44-1)</f>
        <v/>
      </c>
      <c r="CG32" s="14" t="str">
        <f ca="1">IF(CG$1="","",'Total Value'!CG44/'Total Value'!CF44-1)</f>
        <v/>
      </c>
      <c r="CH32" s="14" t="str">
        <f ca="1">IF(CH$1="","",'Total Value'!CH44/'Total Value'!CG44-1)</f>
        <v/>
      </c>
      <c r="CI32" s="14" t="str">
        <f ca="1">IF(CI$1="","",'Total Value'!CI44/'Total Value'!CH44-1)</f>
        <v/>
      </c>
      <c r="CJ32" s="14" t="str">
        <f ca="1">IF(CJ$1="","",'Total Value'!CJ44/'Total Value'!CI44-1)</f>
        <v/>
      </c>
      <c r="CK32" s="14" t="str">
        <f ca="1">IF(CK$1="","",'Total Value'!CK44/'Total Value'!CJ44-1)</f>
        <v/>
      </c>
      <c r="CL32" s="14" t="str">
        <f ca="1">IF(CL$1="","",'Total Value'!CL44/'Total Value'!CK44-1)</f>
        <v/>
      </c>
      <c r="CM32" s="14" t="str">
        <f ca="1">IF(CM$1="","",'Total Value'!CM44/'Total Value'!CL44-1)</f>
        <v/>
      </c>
      <c r="CN32" s="14" t="str">
        <f ca="1">IF(CN$1="","",'Total Value'!CN44/'Total Value'!CM44-1)</f>
        <v/>
      </c>
      <c r="CO32" s="14" t="str">
        <f ca="1">IF(CO$1="","",'Total Value'!CO44/'Total Value'!CN44-1)</f>
        <v/>
      </c>
      <c r="CP32" s="14" t="str">
        <f ca="1">IF(CP$1="","",'Total Value'!CP44/'Total Value'!CO44-1)</f>
        <v/>
      </c>
      <c r="CQ32" s="14" t="str">
        <f ca="1">IF(CQ$1="","",'Total Value'!CQ44/'Total Value'!CP44-1)</f>
        <v/>
      </c>
      <c r="CR32" s="14" t="str">
        <f ca="1">IF(CR$1="","",'Total Value'!CR44/'Total Value'!CQ44-1)</f>
        <v/>
      </c>
      <c r="CS32" s="14" t="str">
        <f ca="1">IF(CS$1="","",'Total Value'!CS44/'Total Value'!CR44-1)</f>
        <v/>
      </c>
      <c r="CT32" s="14" t="str">
        <f ca="1">IF(CT$1="","",'Total Value'!CT44/'Total Value'!CS44-1)</f>
        <v/>
      </c>
      <c r="CU32" s="14" t="str">
        <f ca="1">IF(CU$1="","",'Total Value'!CU44/'Total Value'!CT44-1)</f>
        <v/>
      </c>
      <c r="CV32" s="14" t="str">
        <f ca="1">IF(CV$1="","",'Total Value'!CV44/'Total Value'!CU44-1)</f>
        <v/>
      </c>
      <c r="CW32" s="14" t="str">
        <f ca="1">IF(CW$1="","",'Total Value'!CW44/'Total Value'!CV44-1)</f>
        <v/>
      </c>
      <c r="CX32" s="14" t="str">
        <f ca="1">IF(CX$1="","",'Total Value'!CX44/'Total Value'!CW44-1)</f>
        <v/>
      </c>
      <c r="CY32" s="14" t="str">
        <f ca="1">IF(CY$1="","",'Total Value'!CY44/'Total Value'!CX44-1)</f>
        <v/>
      </c>
      <c r="CZ32" s="14" t="str">
        <f ca="1">IF(CZ$1="","",'Total Value'!CZ44/'Total Value'!CY44-1)</f>
        <v/>
      </c>
      <c r="DA32" s="14" t="str">
        <f ca="1">IF(DA$1="","",'Total Value'!DA44/'Total Value'!CZ44-1)</f>
        <v/>
      </c>
      <c r="DB32" s="14" t="str">
        <f ca="1">IF(DB$1="","",'Total Value'!DB44/'Total Value'!DA44-1)</f>
        <v/>
      </c>
      <c r="DC32" s="14" t="str">
        <f ca="1">IF(DC$1="","",'Total Value'!DC44/'Total Value'!DB44-1)</f>
        <v/>
      </c>
      <c r="DD32" s="14" t="str">
        <f ca="1">IF(DD$1="","",'Total Value'!DD44/'Total Value'!DC44-1)</f>
        <v/>
      </c>
      <c r="DE32" s="14" t="str">
        <f ca="1">IF(DE$1="","",'Total Value'!DE44/'Total Value'!DD44-1)</f>
        <v/>
      </c>
      <c r="DF32" s="14" t="str">
        <f ca="1">IF(DF$1="","",'Total Value'!DF44/'Total Value'!DE44-1)</f>
        <v/>
      </c>
      <c r="DG32" s="14" t="str">
        <f ca="1">IF(DG$1="","",'Total Value'!DG44/'Total Value'!DF44-1)</f>
        <v/>
      </c>
      <c r="DH32" s="14" t="str">
        <f ca="1">IF(DH$1="","",'Total Value'!DH44/'Total Value'!DG44-1)</f>
        <v/>
      </c>
      <c r="DI32" s="14" t="str">
        <f ca="1">IF(DI$1="","",'Total Value'!DI44/'Total Value'!DH44-1)</f>
        <v/>
      </c>
      <c r="DJ32" s="14" t="str">
        <f ca="1">IF(DJ$1="","",'Total Value'!DJ44/'Total Value'!DI44-1)</f>
        <v/>
      </c>
      <c r="DK32" s="14" t="str">
        <f ca="1">IF(DK$1="","",'Total Value'!DK44/'Total Value'!DJ44-1)</f>
        <v/>
      </c>
      <c r="DL32" s="14" t="str">
        <f ca="1">IF(DL$1="","",'Total Value'!DL44/'Total Value'!DK44-1)</f>
        <v/>
      </c>
      <c r="DM32" s="14" t="str">
        <f ca="1">IF(DM$1="","",'Total Value'!DM44/'Total Value'!DL44-1)</f>
        <v/>
      </c>
      <c r="DN32" s="14" t="str">
        <f ca="1">IF(DN$1="","",'Total Value'!DN44/'Total Value'!DM44-1)</f>
        <v/>
      </c>
      <c r="DO32" s="14" t="str">
        <f ca="1">IF(DO$1="","",'Total Value'!DO44/'Total Value'!DN44-1)</f>
        <v/>
      </c>
      <c r="DP32" s="14" t="str">
        <f ca="1">IF(DP$1="","",'Total Value'!DP44/'Total Value'!DO44-1)</f>
        <v/>
      </c>
      <c r="DQ32" s="14" t="str">
        <f ca="1">IF(DQ$1="","",'Total Value'!DQ44/'Total Value'!DP44-1)</f>
        <v/>
      </c>
      <c r="DR32" s="14" t="str">
        <f ca="1">IF(DR$1="","",'Total Value'!DR44/'Total Value'!DQ44-1)</f>
        <v/>
      </c>
      <c r="DS32" s="14" t="str">
        <f ca="1">IF(DS$1="","",'Total Value'!DS44/'Total Value'!DR44-1)</f>
        <v/>
      </c>
      <c r="DT32" s="14" t="str">
        <f ca="1">IF(DT$1="","",'Total Value'!DT44/'Total Value'!DS44-1)</f>
        <v/>
      </c>
      <c r="DU32" s="14" t="str">
        <f ca="1">IF(DU$1="","",'Total Value'!DU44/'Total Value'!DT44-1)</f>
        <v/>
      </c>
      <c r="DV32" s="14" t="str">
        <f ca="1">IF(DV$1="","",'Total Value'!DV44/'Total Value'!DU44-1)</f>
        <v/>
      </c>
      <c r="DW32" s="14" t="str">
        <f ca="1">IF(DW$1="","",'Total Value'!DW44/'Total Value'!DV44-1)</f>
        <v/>
      </c>
      <c r="DX32" s="14" t="str">
        <f ca="1">IF(DX$1="","",'Total Value'!DX44/'Total Value'!DW44-1)</f>
        <v/>
      </c>
      <c r="DY32" s="14" t="str">
        <f ca="1">IF(DY$1="","",'Total Value'!DY44/'Total Value'!DX44-1)</f>
        <v/>
      </c>
      <c r="DZ32" s="14" t="str">
        <f ca="1">IF(DZ$1="","",'Total Value'!DZ44/'Total Value'!DY44-1)</f>
        <v/>
      </c>
      <c r="EA32" s="14" t="str">
        <f ca="1">IF(EA$1="","",'Total Value'!EA44/'Total Value'!DZ44-1)</f>
        <v/>
      </c>
      <c r="EB32" s="14" t="str">
        <f ca="1">IF(EB$1="","",'Total Value'!EB44/'Total Value'!EA44-1)</f>
        <v/>
      </c>
      <c r="EC32" s="14" t="str">
        <f ca="1">IF(EC$1="","",'Total Value'!EC44/'Total Value'!EB44-1)</f>
        <v/>
      </c>
      <c r="ED32" s="14" t="str">
        <f ca="1">IF(ED$1="","",'Total Value'!ED44/'Total Value'!EC44-1)</f>
        <v/>
      </c>
      <c r="EE32" s="14" t="str">
        <f ca="1">IF(EE$1="","",'Total Value'!EE44/'Total Value'!ED44-1)</f>
        <v/>
      </c>
      <c r="EF32" s="14" t="str">
        <f ca="1">IF(EF$1="","",'Total Value'!EF44/'Total Value'!EE44-1)</f>
        <v/>
      </c>
      <c r="EG32" s="14" t="str">
        <f ca="1">IF(EG$1="","",'Total Value'!EG44/'Total Value'!EF44-1)</f>
        <v/>
      </c>
      <c r="EH32" s="14" t="str">
        <f ca="1">IF(EH$1="","",'Total Value'!EH44/'Total Value'!EG44-1)</f>
        <v/>
      </c>
      <c r="EI32" s="14" t="str">
        <f ca="1">IF(EI$1="","",'Total Value'!EI44/'Total Value'!EH44-1)</f>
        <v/>
      </c>
      <c r="EJ32" s="14" t="str">
        <f ca="1">IF(EJ$1="","",'Total Value'!EJ44/'Total Value'!EI44-1)</f>
        <v/>
      </c>
      <c r="EK32" s="14" t="str">
        <f ca="1">IF(EK$1="","",'Total Value'!EK44/'Total Value'!EJ44-1)</f>
        <v/>
      </c>
      <c r="EL32" s="14" t="str">
        <f ca="1">IF(EL$1="","",'Total Value'!EL44/'Total Value'!EK44-1)</f>
        <v/>
      </c>
      <c r="EM32" s="14" t="str">
        <f ca="1">IF(EM$1="","",'Total Value'!EM44/'Total Value'!EL44-1)</f>
        <v/>
      </c>
      <c r="EN32" s="14" t="str">
        <f ca="1">IF(EN$1="","",'Total Value'!EN44/'Total Value'!EM44-1)</f>
        <v/>
      </c>
      <c r="EO32" s="14" t="str">
        <f ca="1">IF(EO$1="","",'Total Value'!EO44/'Total Value'!EN44-1)</f>
        <v/>
      </c>
      <c r="EP32" s="14" t="str">
        <f ca="1">IF(EP$1="","",'Total Value'!EP44/'Total Value'!EO44-1)</f>
        <v/>
      </c>
      <c r="EQ32" s="14" t="str">
        <f ca="1">IF(EQ$1="","",'Total Value'!EQ44/'Total Value'!EP44-1)</f>
        <v/>
      </c>
      <c r="ER32" s="14" t="str">
        <f ca="1">IF(ER$1="","",'Total Value'!ER44/'Total Value'!EQ44-1)</f>
        <v/>
      </c>
      <c r="ES32" s="14" t="str">
        <f ca="1">IF(ES$1="","",'Total Value'!ES44/'Total Value'!ER44-1)</f>
        <v/>
      </c>
      <c r="ET32" s="14" t="str">
        <f ca="1">IF(ET$1="","",'Total Value'!ET44/'Total Value'!ES44-1)</f>
        <v/>
      </c>
      <c r="EU32" s="14" t="str">
        <f ca="1">IF(EU$1="","",'Total Value'!EU44/'Total Value'!ET44-1)</f>
        <v/>
      </c>
      <c r="EV32" s="14" t="str">
        <f ca="1">IF(EV$1="","",'Total Value'!EV44/'Total Value'!EU44-1)</f>
        <v/>
      </c>
      <c r="EW32" s="14" t="str">
        <f ca="1">IF(EW$1="","",'Total Value'!EW44/'Total Value'!EV44-1)</f>
        <v/>
      </c>
      <c r="EX32" s="14" t="str">
        <f ca="1">IF(EX$1="","",'Total Value'!EX44/'Total Value'!EW44-1)</f>
        <v/>
      </c>
      <c r="EY32" s="14" t="str">
        <f ca="1">IF(EY$1="","",'Total Value'!EY44/'Total Value'!EX44-1)</f>
        <v/>
      </c>
      <c r="EZ32" s="14" t="str">
        <f ca="1">IF(EZ$1="","",'Total Value'!EZ44/'Total Value'!EY44-1)</f>
        <v/>
      </c>
      <c r="FA32" s="14" t="str">
        <f ca="1">IF(FA$1="","",'Total Value'!FA44/'Total Value'!EZ44-1)</f>
        <v/>
      </c>
      <c r="FB32" s="14" t="str">
        <f ca="1">IF(FB$1="","",'Total Value'!FB44/'Total Value'!FA44-1)</f>
        <v/>
      </c>
      <c r="FC32" s="14" t="str">
        <f ca="1">IF(FC$1="","",'Total Value'!FC44/'Total Value'!FB44-1)</f>
        <v/>
      </c>
      <c r="FD32" s="14" t="str">
        <f ca="1">IF(FD$1="","",'Total Value'!FD44/'Total Value'!FC44-1)</f>
        <v/>
      </c>
      <c r="FE32" s="14" t="str">
        <f ca="1">IF(FE$1="","",'Total Value'!FE44/'Total Value'!FD44-1)</f>
        <v/>
      </c>
      <c r="FF32" s="14" t="str">
        <f ca="1">IF(FF$1="","",'Total Value'!FF44/'Total Value'!FE44-1)</f>
        <v/>
      </c>
      <c r="FG32" s="14" t="str">
        <f ca="1">IF(FG$1="","",'Total Value'!FG44/'Total Value'!FF44-1)</f>
        <v/>
      </c>
      <c r="FH32" s="14" t="str">
        <f ca="1">IF(FH$1="","",'Total Value'!FH44/'Total Value'!FG44-1)</f>
        <v/>
      </c>
      <c r="FI32" s="14" t="str">
        <f ca="1">IF(FI$1="","",'Total Value'!FI44/'Total Value'!FH44-1)</f>
        <v/>
      </c>
      <c r="FJ32" s="14" t="str">
        <f ca="1">IF(FJ$1="","",'Total Value'!FJ44/'Total Value'!FI44-1)</f>
        <v/>
      </c>
      <c r="FK32" s="14" t="str">
        <f ca="1">IF(FK$1="","",'Total Value'!FK44/'Total Value'!FJ44-1)</f>
        <v/>
      </c>
      <c r="FL32" s="14" t="str">
        <f ca="1">IF(FL$1="","",'Total Value'!FL44/'Total Value'!FK44-1)</f>
        <v/>
      </c>
      <c r="FM32" s="14" t="str">
        <f ca="1">IF(FM$1="","",'Total Value'!FM44/'Total Value'!FL44-1)</f>
        <v/>
      </c>
      <c r="FN32" s="14" t="str">
        <f ca="1">IF(FN$1="","",'Total Value'!FN44/'Total Value'!FM44-1)</f>
        <v/>
      </c>
      <c r="FO32" s="14" t="str">
        <f ca="1">IF(FO$1="","",'Total Value'!FO44/'Total Value'!FN44-1)</f>
        <v/>
      </c>
      <c r="FP32" s="14" t="str">
        <f ca="1">IF(FP$1="","",'Total Value'!FP44/'Total Value'!FO44-1)</f>
        <v/>
      </c>
      <c r="FQ32" s="14" t="str">
        <f ca="1">IF(FQ$1="","",'Total Value'!FQ44/'Total Value'!FP44-1)</f>
        <v/>
      </c>
      <c r="FR32" s="14" t="str">
        <f ca="1">IF(FR$1="","",'Total Value'!FR44/'Total Value'!FQ44-1)</f>
        <v/>
      </c>
      <c r="FS32" s="14" t="str">
        <f ca="1">IF(FS$1="","",'Total Value'!FS44/'Total Value'!FR44-1)</f>
        <v/>
      </c>
      <c r="FT32" s="14" t="str">
        <f ca="1">IF(FT$1="","",'Total Value'!FT44/'Total Value'!FS44-1)</f>
        <v/>
      </c>
      <c r="FU32" s="14" t="str">
        <f ca="1">IF(FU$1="","",'Total Value'!FU44/'Total Value'!FT44-1)</f>
        <v/>
      </c>
      <c r="FV32" s="14" t="str">
        <f ca="1">IF(FV$1="","",'Total Value'!FV44/'Total Value'!FU44-1)</f>
        <v/>
      </c>
      <c r="FW32" s="14" t="str">
        <f ca="1">IF(FW$1="","",'Total Value'!FW44/'Total Value'!FV44-1)</f>
        <v/>
      </c>
      <c r="FX32" s="14" t="str">
        <f ca="1">IF(FX$1="","",'Total Value'!FX44/'Total Value'!FW44-1)</f>
        <v/>
      </c>
      <c r="FY32" s="14" t="str">
        <f ca="1">IF(FY$1="","",'Total Value'!FY44/'Total Value'!FX44-1)</f>
        <v/>
      </c>
      <c r="FZ32" s="14" t="str">
        <f ca="1">IF(FZ$1="","",'Total Value'!FZ44/'Total Value'!FY44-1)</f>
        <v/>
      </c>
      <c r="GA32" s="14" t="str">
        <f ca="1">IF(GA$1="","",'Total Value'!GA44/'Total Value'!FZ44-1)</f>
        <v/>
      </c>
      <c r="GB32" s="14" t="str">
        <f ca="1">IF(GB$1="","",'Total Value'!GB44/'Total Value'!GA44-1)</f>
        <v/>
      </c>
      <c r="GC32" s="14" t="str">
        <f ca="1">IF(GC$1="","",'Total Value'!GC44/'Total Value'!GB44-1)</f>
        <v/>
      </c>
      <c r="GD32" s="14" t="str">
        <f ca="1">IF(GD$1="","",'Total Value'!GD44/'Total Value'!GC44-1)</f>
        <v/>
      </c>
      <c r="GE32" s="14" t="str">
        <f ca="1">IF(GE$1="","",'Total Value'!GE44/'Total Value'!GD44-1)</f>
        <v/>
      </c>
      <c r="GF32" s="14" t="str">
        <f ca="1">IF(GF$1="","",'Total Value'!GF44/'Total Value'!GE44-1)</f>
        <v/>
      </c>
      <c r="GG32" s="14" t="str">
        <f ca="1">IF(GG$1="","",'Total Value'!GG44/'Total Value'!GF44-1)</f>
        <v/>
      </c>
      <c r="GH32" s="14" t="str">
        <f ca="1">IF(GH$1="","",'Total Value'!GH44/'Total Value'!GG44-1)</f>
        <v/>
      </c>
      <c r="GI32" s="14" t="str">
        <f ca="1">IF(GI$1="","",'Total Value'!GI44/'Total Value'!GH44-1)</f>
        <v/>
      </c>
      <c r="GJ32" s="14" t="str">
        <f ca="1">IF(GJ$1="","",'Total Value'!GJ44/'Total Value'!GI44-1)</f>
        <v/>
      </c>
      <c r="GK32" s="14" t="str">
        <f ca="1">IF(GK$1="","",'Total Value'!GK44/'Total Value'!GJ44-1)</f>
        <v/>
      </c>
      <c r="GL32" s="14" t="str">
        <f ca="1">IF(GL$1="","",'Total Value'!GL44/'Total Value'!GK44-1)</f>
        <v/>
      </c>
      <c r="GM32" s="14" t="str">
        <f ca="1">IF(GM$1="","",'Total Value'!GM44/'Total Value'!GL44-1)</f>
        <v/>
      </c>
      <c r="GN32" s="14" t="str">
        <f ca="1">IF(GN$1="","",'Total Value'!GN44/'Total Value'!GM44-1)</f>
        <v/>
      </c>
      <c r="GO32" s="14" t="str">
        <f ca="1">IF(GO$1="","",'Total Value'!GO44/'Total Value'!GN44-1)</f>
        <v/>
      </c>
      <c r="GP32" s="14" t="str">
        <f ca="1">IF(GP$1="","",'Total Value'!GP44/'Total Value'!GO44-1)</f>
        <v/>
      </c>
      <c r="GQ32" s="14" t="str">
        <f ca="1">IF(GQ$1="","",'Total Value'!GQ44/'Total Value'!GP44-1)</f>
        <v/>
      </c>
      <c r="GR32" s="14" t="str">
        <f ca="1">IF(GR$1="","",'Total Value'!GR44/'Total Value'!GQ44-1)</f>
        <v/>
      </c>
      <c r="GS32" s="14" t="str">
        <f ca="1">IF(GS$1="","",'Total Value'!GS44/'Total Value'!GR44-1)</f>
        <v/>
      </c>
      <c r="GT32" s="14" t="str">
        <f ca="1">IF(GT$1="","",'Total Value'!GT44/'Total Value'!GS44-1)</f>
        <v/>
      </c>
      <c r="GU32" s="14" t="str">
        <f ca="1">IF(GU$1="","",'Total Value'!GU44/'Total Value'!GT44-1)</f>
        <v/>
      </c>
      <c r="GV32" s="14" t="str">
        <f ca="1">IF(GV$1="","",'Total Value'!GV44/'Total Value'!GU44-1)</f>
        <v/>
      </c>
      <c r="GW32" s="14" t="str">
        <f ca="1">IF(GW$1="","",'Total Value'!GW44/'Total Value'!GV44-1)</f>
        <v/>
      </c>
      <c r="GX32" s="14" t="str">
        <f ca="1">IF(GX$1="","",'Total Value'!GX44/'Total Value'!GW44-1)</f>
        <v/>
      </c>
      <c r="GY32" s="14" t="str">
        <f ca="1">IF(GY$1="","",'Total Value'!GY44/'Total Value'!GX44-1)</f>
        <v/>
      </c>
      <c r="GZ32" s="14" t="str">
        <f ca="1">IF(GZ$1="","",'Total Value'!GZ44/'Total Value'!GY44-1)</f>
        <v/>
      </c>
      <c r="HA32" s="14" t="str">
        <f ca="1">IF(HA$1="","",'Total Value'!HA44/'Total Value'!GZ44-1)</f>
        <v/>
      </c>
      <c r="HB32" s="14" t="str">
        <f ca="1">IF(HB$1="","",'Total Value'!HB44/'Total Value'!HA44-1)</f>
        <v/>
      </c>
      <c r="HC32" s="14" t="str">
        <f ca="1">IF(HC$1="","",'Total Value'!HC44/'Total Value'!HB44-1)</f>
        <v/>
      </c>
      <c r="HD32" s="14" t="str">
        <f ca="1">IF(HD$1="","",'Total Value'!HD44/'Total Value'!HC44-1)</f>
        <v/>
      </c>
      <c r="HE32" s="14" t="str">
        <f ca="1">IF(HE$1="","",'Total Value'!HE44/'Total Value'!HD44-1)</f>
        <v/>
      </c>
      <c r="HF32" s="14" t="str">
        <f ca="1">IF(HF$1="","",'Total Value'!HF44/'Total Value'!HE44-1)</f>
        <v/>
      </c>
      <c r="HG32" s="14" t="str">
        <f ca="1">IF(HG$1="","",'Total Value'!HG44/'Total Value'!HF44-1)</f>
        <v/>
      </c>
      <c r="HH32" s="14" t="str">
        <f ca="1">IF(HH$1="","",'Total Value'!HH44/'Total Value'!HG44-1)</f>
        <v/>
      </c>
      <c r="HI32" s="14" t="str">
        <f ca="1">IF(HI$1="","",'Total Value'!HI44/'Total Value'!HH44-1)</f>
        <v/>
      </c>
      <c r="HJ32" s="14" t="str">
        <f ca="1">IF(HJ$1="","",'Total Value'!HJ44/'Total Value'!HI44-1)</f>
        <v/>
      </c>
      <c r="HK32" s="14" t="str">
        <f ca="1">IF(HK$1="","",'Total Value'!HK44/'Total Value'!HJ44-1)</f>
        <v/>
      </c>
      <c r="HL32" s="14" t="str">
        <f ca="1">IF(HL$1="","",'Total Value'!HL44/'Total Value'!HK44-1)</f>
        <v/>
      </c>
      <c r="HM32" s="14" t="str">
        <f ca="1">IF(HM$1="","",'Total Value'!HM44/'Total Value'!HL44-1)</f>
        <v/>
      </c>
      <c r="HN32" s="14" t="str">
        <f ca="1">IF(HN$1="","",'Total Value'!HN44/'Total Value'!HM44-1)</f>
        <v/>
      </c>
      <c r="HO32" s="14" t="str">
        <f ca="1">IF(HO$1="","",'Total Value'!HO44/'Total Value'!HN44-1)</f>
        <v/>
      </c>
      <c r="HP32" s="14" t="str">
        <f ca="1">IF(HP$1="","",'Total Value'!HP44/'Total Value'!HO44-1)</f>
        <v/>
      </c>
      <c r="HQ32" s="14" t="str">
        <f ca="1">IF(HQ$1="","",'Total Value'!HQ44/'Total Value'!HP44-1)</f>
        <v/>
      </c>
      <c r="HR32" s="14" t="str">
        <f ca="1">IF(HR$1="","",'Total Value'!HR44/'Total Value'!HQ44-1)</f>
        <v/>
      </c>
      <c r="HS32" s="14" t="str">
        <f ca="1">IF(HS$1="","",'Total Value'!HS44/'Total Value'!HR44-1)</f>
        <v/>
      </c>
      <c r="HT32" s="14" t="str">
        <f ca="1">IF(HT$1="","",'Total Value'!HT44/'Total Value'!HS44-1)</f>
        <v/>
      </c>
      <c r="HU32" s="14" t="str">
        <f ca="1">IF(HU$1="","",'Total Value'!HU44/'Total Value'!HT44-1)</f>
        <v/>
      </c>
      <c r="HV32" s="14" t="str">
        <f ca="1">IF(HV$1="","",'Total Value'!HV44/'Total Value'!HU44-1)</f>
        <v/>
      </c>
      <c r="HW32" s="14" t="str">
        <f ca="1">IF(HW$1="","",'Total Value'!HW44/'Total Value'!HV44-1)</f>
        <v/>
      </c>
      <c r="HX32" s="14" t="str">
        <f ca="1">IF(HX$1="","",'Total Value'!HX44/'Total Value'!HW44-1)</f>
        <v/>
      </c>
      <c r="HY32" s="14" t="str">
        <f ca="1">IF(HY$1="","",'Total Value'!HY44/'Total Value'!HX44-1)</f>
        <v/>
      </c>
      <c r="HZ32" s="14" t="str">
        <f ca="1">IF(HZ$1="","",'Total Value'!HZ44/'Total Value'!HY44-1)</f>
        <v/>
      </c>
      <c r="IA32" s="14" t="str">
        <f ca="1">IF(IA$1="","",'Total Value'!IA44/'Total Value'!HZ44-1)</f>
        <v/>
      </c>
      <c r="IB32" s="14" t="str">
        <f ca="1">IF(IB$1="","",'Total Value'!IB44/'Total Value'!IA44-1)</f>
        <v/>
      </c>
      <c r="IC32" s="14" t="str">
        <f ca="1">IF(IC$1="","",'Total Value'!IC44/'Total Value'!IB44-1)</f>
        <v/>
      </c>
      <c r="ID32" s="14" t="str">
        <f ca="1">IF(ID$1="","",'Total Value'!ID44/'Total Value'!IC44-1)</f>
        <v/>
      </c>
      <c r="IE32" s="14" t="str">
        <f ca="1">IF(IE$1="","",'Total Value'!IE44/'Total Value'!ID44-1)</f>
        <v/>
      </c>
      <c r="IF32" s="14" t="str">
        <f ca="1">IF(IF$1="","",'Total Value'!IF44/'Total Value'!IE44-1)</f>
        <v/>
      </c>
      <c r="IG32" s="14" t="str">
        <f ca="1">IF(IG$1="","",'Total Value'!IG44/'Total Value'!IF44-1)</f>
        <v/>
      </c>
      <c r="IH32" s="14" t="str">
        <f ca="1">IF(IH$1="","",'Total Value'!IH44/'Total Value'!IG44-1)</f>
        <v/>
      </c>
      <c r="II32" s="14" t="str">
        <f ca="1">IF(II$1="","",'Total Value'!II44/'Total Value'!IH44-1)</f>
        <v/>
      </c>
      <c r="IJ32" s="14" t="str">
        <f ca="1">IF(IJ$1="","",'Total Value'!IJ44/'Total Value'!II44-1)</f>
        <v/>
      </c>
      <c r="IK32" s="14" t="str">
        <f ca="1">IF(IK$1="","",'Total Value'!IK44/'Total Value'!IJ44-1)</f>
        <v/>
      </c>
      <c r="IL32" s="14" t="str">
        <f ca="1">IF(IL$1="","",'Total Value'!IL44/'Total Value'!IK44-1)</f>
        <v/>
      </c>
      <c r="IM32" s="14" t="str">
        <f ca="1">IF(IM$1="","",'Total Value'!IM44/'Total Value'!IL44-1)</f>
        <v/>
      </c>
      <c r="IN32" s="14" t="str">
        <f ca="1">IF(IN$1="","",'Total Value'!IN44/'Total Value'!IM44-1)</f>
        <v/>
      </c>
      <c r="IO32" s="14" t="str">
        <f ca="1">IF(IO$1="","",'Total Value'!IO44/'Total Value'!IN44-1)</f>
        <v/>
      </c>
      <c r="IP32" s="14" t="str">
        <f ca="1">IF(IP$1="","",'Total Value'!IP44/'Total Value'!IO44-1)</f>
        <v/>
      </c>
      <c r="IQ32" s="14" t="str">
        <f ca="1">IF(IQ$1="","",'Total Value'!IQ44/'Total Value'!IP44-1)</f>
        <v/>
      </c>
      <c r="IR32" s="14" t="str">
        <f ca="1">IF(IR$1="","",'Total Value'!IR44/'Total Value'!IQ44-1)</f>
        <v/>
      </c>
      <c r="IS32" s="14" t="str">
        <f ca="1">IF(IS$1="","",'Total Value'!IS44/'Total Value'!IR44-1)</f>
        <v/>
      </c>
      <c r="IT32" s="14" t="str">
        <f ca="1">IF(IT$1="","",'Total Value'!IT44/'Total Value'!IS44-1)</f>
        <v/>
      </c>
      <c r="IU32" s="14" t="str">
        <f ca="1">IF(IU$1="","",'Total Value'!IU44/'Total Value'!IT44-1)</f>
        <v/>
      </c>
      <c r="IV32" s="14" t="str">
        <f ca="1">IF(IV$1="","",'Total Value'!IV44/'Total Value'!IU44-1)</f>
        <v/>
      </c>
      <c r="IW32" s="14" t="str">
        <f ca="1">IF(IW$1="","",'Total Value'!IW44/'Total Value'!IV44-1)</f>
        <v/>
      </c>
      <c r="IX32" s="14" t="str">
        <f ca="1">IF(IX$1="","",'Total Value'!IX44/'Total Value'!IW44-1)</f>
        <v/>
      </c>
      <c r="IY32" s="14" t="str">
        <f ca="1">IF(IY$1="","",'Total Value'!IY44/'Total Value'!IX44-1)</f>
        <v/>
      </c>
      <c r="IZ32" s="14" t="str">
        <f ca="1">IF(IZ$1="","",'Total Value'!IZ44/'Total Value'!IY44-1)</f>
        <v/>
      </c>
      <c r="JA32" s="14" t="str">
        <f ca="1">IF(JA$1="","",'Total Value'!JA44/'Total Value'!IZ44-1)</f>
        <v/>
      </c>
      <c r="JB32" s="14" t="str">
        <f ca="1">IF(JB$1="","",'Total Value'!JB44/'Total Value'!JA44-1)</f>
        <v/>
      </c>
      <c r="JC32" s="14" t="str">
        <f ca="1">IF(JC$1="","",'Total Value'!JC44/'Total Value'!JB44-1)</f>
        <v/>
      </c>
      <c r="JD32" s="14" t="str">
        <f ca="1">IF(JD$1="","",'Total Value'!JD44/'Total Value'!JC44-1)</f>
        <v/>
      </c>
      <c r="JE32" s="14" t="str">
        <f ca="1">IF(JE$1="","",'Total Value'!JE44/'Total Value'!JD44-1)</f>
        <v/>
      </c>
      <c r="JF32" s="14" t="str">
        <f ca="1">IF(JF$1="","",'Total Value'!JF44/'Total Value'!JE44-1)</f>
        <v/>
      </c>
      <c r="JG32" s="14" t="str">
        <f ca="1">IF(JG$1="","",'Total Value'!JG44/'Total Value'!JF44-1)</f>
        <v/>
      </c>
      <c r="JH32" s="14" t="str">
        <f ca="1">IF(JH$1="","",'Total Value'!JH44/'Total Value'!JG44-1)</f>
        <v/>
      </c>
      <c r="JI32" s="14" t="str">
        <f ca="1">IF(JI$1="","",'Total Value'!JI44/'Total Value'!JH44-1)</f>
        <v/>
      </c>
      <c r="JJ32" s="14" t="str">
        <f ca="1">IF(JJ$1="","",'Total Value'!JJ44/'Total Value'!JI44-1)</f>
        <v/>
      </c>
      <c r="JK32" s="14" t="str">
        <f ca="1">IF(JK$1="","",'Total Value'!JK44/'Total Value'!JJ44-1)</f>
        <v/>
      </c>
      <c r="JL32" s="14" t="str">
        <f ca="1">IF(JL$1="","",'Total Value'!JL44/'Total Value'!JK44-1)</f>
        <v/>
      </c>
      <c r="JM32" s="14" t="str">
        <f ca="1">IF(JM$1="","",'Total Value'!JM44/'Total Value'!JL44-1)</f>
        <v/>
      </c>
      <c r="JN32" s="14" t="str">
        <f ca="1">IF(JN$1="","",'Total Value'!JN44/'Total Value'!JM44-1)</f>
        <v/>
      </c>
      <c r="JO32" s="14" t="str">
        <f ca="1">IF(JO$1="","",'Total Value'!JO44/'Total Value'!JN44-1)</f>
        <v/>
      </c>
      <c r="JP32" s="14" t="str">
        <f ca="1">IF(JP$1="","",'Total Value'!JP44/'Total Value'!JO44-1)</f>
        <v/>
      </c>
      <c r="JQ32" s="14" t="str">
        <f ca="1">IF(JQ$1="","",'Total Value'!JQ44/'Total Value'!JP44-1)</f>
        <v/>
      </c>
      <c r="JR32" s="14" t="str">
        <f ca="1">IF(JR$1="","",'Total Value'!JR44/'Total Value'!JQ44-1)</f>
        <v/>
      </c>
      <c r="JS32" s="14" t="str">
        <f ca="1">IF(JS$1="","",'Total Value'!JS44/'Total Value'!JR44-1)</f>
        <v/>
      </c>
      <c r="JT32" s="14" t="str">
        <f ca="1">IF(JT$1="","",'Total Value'!JT44/'Total Value'!JS44-1)</f>
        <v/>
      </c>
      <c r="JU32" s="14" t="str">
        <f ca="1">IF(JU$1="","",'Total Value'!JU44/'Total Value'!JT44-1)</f>
        <v/>
      </c>
      <c r="JV32" s="14" t="str">
        <f ca="1">IF(JV$1="","",'Total Value'!JV44/'Total Value'!JU44-1)</f>
        <v/>
      </c>
      <c r="JW32" s="14" t="str">
        <f ca="1">IF(JW$1="","",'Total Value'!JW44/'Total Value'!JV44-1)</f>
        <v/>
      </c>
      <c r="JX32" s="14" t="str">
        <f ca="1">IF(JX$1="","",'Total Value'!JX44/'Total Value'!JW44-1)</f>
        <v/>
      </c>
      <c r="JY32" s="14" t="str">
        <f ca="1">IF(JY$1="","",'Total Value'!JY44/'Total Value'!JX44-1)</f>
        <v/>
      </c>
      <c r="JZ32" s="14" t="str">
        <f ca="1">IF(JZ$1="","",'Total Value'!JZ44/'Total Value'!JY44-1)</f>
        <v/>
      </c>
      <c r="KA32" s="14" t="str">
        <f ca="1">IF(KA$1="","",'Total Value'!KA44/'Total Value'!JZ44-1)</f>
        <v/>
      </c>
      <c r="KB32" s="14" t="str">
        <f ca="1">IF(KB$1="","",'Total Value'!KB44/'Total Value'!KA44-1)</f>
        <v/>
      </c>
    </row>
    <row r="33" spans="1:288" ht="15.75" customHeight="1">
      <c r="A33" s="22" t="s">
        <v>30</v>
      </c>
      <c r="B33" s="6" t="s">
        <v>77</v>
      </c>
      <c r="C33" s="26">
        <v>24</v>
      </c>
      <c r="D33" s="13">
        <v>0</v>
      </c>
      <c r="E33" s="14">
        <f ca="1">IF(E$1="","",'Total Value'!E45/'Total Value'!D45-1)</f>
        <v>4.6592119275825405E-2</v>
      </c>
      <c r="F33" s="14">
        <f ca="1">IF(F$1="","",'Total Value'!F45/'Total Value'!E45-1)</f>
        <v>-5.9272449758331236E-2</v>
      </c>
      <c r="G33" s="14">
        <f ca="1">IF(G$1="","",'Total Value'!G45/'Total Value'!F45-1)</f>
        <v>-1.5684153596538741E-2</v>
      </c>
      <c r="H33" s="14">
        <f ca="1">IF(H$1="","",'Total Value'!H45/'Total Value'!G45-1)</f>
        <v>-1.620879120879104E-2</v>
      </c>
      <c r="I33" s="14">
        <f ca="1">IF(I$1="","",'Total Value'!I45/'Total Value'!H45-1)</f>
        <v>-4.0491482826026326E-2</v>
      </c>
      <c r="J33" s="14">
        <f ca="1">IF(J$1="","",'Total Value'!J45/'Total Value'!I45-1)</f>
        <v>-2.5029103608847469E-2</v>
      </c>
      <c r="K33" s="14">
        <f ca="1">IF(K$1="","",'Total Value'!K45/'Total Value'!J45-1)</f>
        <v>-3.3731343283582182E-2</v>
      </c>
      <c r="L33" s="14">
        <f ca="1">IF(L$1="","",'Total Value'!L45/'Total Value'!K45-1)</f>
        <v>-3.9542786530738283E-2</v>
      </c>
      <c r="M33" s="14">
        <f ca="1">IF(M$1="","",'Total Value'!M45/'Total Value'!L45-1)</f>
        <v>2.1228690897394653E-2</v>
      </c>
      <c r="N33" s="14">
        <f ca="1">IF(N$1="","",'Total Value'!N45/'Total Value'!M45-1)</f>
        <v>-2.8346456692913247E-2</v>
      </c>
      <c r="O33" s="14">
        <f ca="1">IF(O$1="","",'Total Value'!O45/'Total Value'!N45-1)</f>
        <v>6.4829821717982128E-4</v>
      </c>
      <c r="P33" s="14">
        <f ca="1">IF(P$1="","",'Total Value'!P45/'Total Value'!O45-1)</f>
        <v>-5.1506316812439223E-2</v>
      </c>
      <c r="Q33" s="14">
        <f ca="1">IF(Q$1="","",'Total Value'!Q45/'Total Value'!P45-1)</f>
        <v>1.605191256830607E-2</v>
      </c>
      <c r="R33" s="14">
        <f ca="1">IF(R$1="","",'Total Value'!R45/'Total Value'!Q45-1)</f>
        <v>3.529411764705892E-2</v>
      </c>
      <c r="S33" s="14">
        <f ca="1">IF(S$1="","",'Total Value'!S45/'Total Value'!R45-1)</f>
        <v>2.1753246753246636E-2</v>
      </c>
      <c r="T33" s="14">
        <f ca="1">IF(T$1="","",'Total Value'!T45/'Total Value'!S45-1)</f>
        <v>-4.5122338735303358E-2</v>
      </c>
      <c r="U33" s="14">
        <f ca="1">IF(U$1="","",'Total Value'!U45/'Total Value'!T45-1)</f>
        <v>-2.5623960066555762E-2</v>
      </c>
      <c r="V33" s="14">
        <f ca="1">IF(V$1="","",'Total Value'!V45/'Total Value'!U45-1)</f>
        <v>4.0983606557374319E-3</v>
      </c>
      <c r="W33" s="14">
        <f ca="1">IF(W$1="","",'Total Value'!W45/'Total Value'!V45-1)</f>
        <v>3.0272108843537593E-2</v>
      </c>
      <c r="X33" s="14">
        <f ca="1">IF(X$1="","",'Total Value'!X45/'Total Value'!W45-1)</f>
        <v>3.3014196104330651E-4</v>
      </c>
      <c r="Y33" s="14">
        <f ca="1">IF(Y$1="","",'Total Value'!Y45/'Total Value'!X45-1)</f>
        <v>6.4356435643564192E-2</v>
      </c>
      <c r="Z33" s="14">
        <f ca="1">IF(Z$1="","",'Total Value'!Z45/'Total Value'!Y45-1)</f>
        <v>-4.71317829457365E-2</v>
      </c>
      <c r="AA33" s="14">
        <f ca="1">IF(AA$1="","",'Total Value'!AA45/'Total Value'!Z45-1)</f>
        <v>-4.5883501464366927E-2</v>
      </c>
      <c r="AB33" s="14">
        <f ca="1">IF(AB$1="","",'Total Value'!AB45/'Total Value'!AA45-1)</f>
        <v>-1.3642564802182844E-2</v>
      </c>
      <c r="AC33" s="14">
        <f ca="1">IF(AC$1="","",'Total Value'!AC45/'Total Value'!AB45-1)</f>
        <v>2.6970954356846377E-2</v>
      </c>
      <c r="AD33" s="14">
        <f ca="1">IF(AD$1="","",'Total Value'!AD45/'Total Value'!AC45-1)</f>
        <v>-2.6262626262626099E-2</v>
      </c>
      <c r="AE33" s="14">
        <f ca="1">IF(AE$1="","",'Total Value'!AE45/'Total Value'!AD45-1)</f>
        <v>1.5905947441217094E-2</v>
      </c>
      <c r="AF33" s="14">
        <f ca="1">IF(AF$1="","",'Total Value'!AF45/'Total Value'!AE45-1)</f>
        <v>3.7780803267528862E-2</v>
      </c>
      <c r="AG33" s="14">
        <f ca="1">IF(AG$1="","",'Total Value'!AG45/'Total Value'!AF45-1)</f>
        <v>-2.0662512299114422E-2</v>
      </c>
      <c r="AH33" s="14">
        <f ca="1">IF(AH$1="","",'Total Value'!AH45/'Total Value'!AG45-1)</f>
        <v>5.023442732752903E-3</v>
      </c>
      <c r="AI33" s="14">
        <f ca="1">IF(AI$1="","",'Total Value'!AI45/'Total Value'!AH45-1)</f>
        <v>0.18593802065978027</v>
      </c>
      <c r="AJ33" s="14">
        <f ca="1">IF(AJ$1="","",'Total Value'!AJ45/'Total Value'!AI45-1)</f>
        <v>2.556898005057584E-2</v>
      </c>
      <c r="AK33" s="14">
        <f ca="1">IF(AK$1="","",'Total Value'!AK45/'Total Value'!AJ45-1)</f>
        <v>1.9178082191780854E-2</v>
      </c>
      <c r="AL33" s="14">
        <f ca="1">IF(AL$1="","",'Total Value'!AL45/'Total Value'!AK45-1)</f>
        <v>9.6774193548387899E-3</v>
      </c>
      <c r="AM33" s="14">
        <f ca="1">IF(AM$1="","",'Total Value'!AM45/'Total Value'!AL45-1)</f>
        <v>-2.4760383386581375E-2</v>
      </c>
      <c r="AN33" s="14">
        <f ca="1">IF(AN$1="","",'Total Value'!AN45/'Total Value'!AM45-1)</f>
        <v>-1.2285012285012442E-2</v>
      </c>
      <c r="AO33" s="14">
        <f ca="1">IF(AO$1="","",'Total Value'!AO45/'Total Value'!AN45-1)</f>
        <v>-6.3571033720287273E-2</v>
      </c>
      <c r="AP33" s="14">
        <f ca="1">IF(AP$1="","",'Total Value'!AP45/'Total Value'!AO45-1)</f>
        <v>-3.3057851239669533E-2</v>
      </c>
      <c r="AQ33" s="14">
        <f ca="1">IF(AQ$1="","",'Total Value'!AQ45/'Total Value'!AP45-1)</f>
        <v>8.2417582417582125E-3</v>
      </c>
      <c r="AR33" s="14">
        <f ca="1">IF(AR$1="","",'Total Value'!AR45/'Total Value'!AQ45-1)</f>
        <v>4.5110505600968853E-2</v>
      </c>
      <c r="AS33" s="14">
        <f ca="1">IF(AS$1="","",'Total Value'!AS45/'Total Value'!AR45-1)</f>
        <v>5.7937427578225176E-4</v>
      </c>
      <c r="AT33" s="14">
        <f ca="1">IF(AT$1="","",'Total Value'!AT45/'Total Value'!AS45-1)</f>
        <v>-4.1690793283149952E-2</v>
      </c>
      <c r="AU33" s="14">
        <f ca="1">IF(AU$1="","",'Total Value'!AU45/'Total Value'!AT45-1)</f>
        <v>-5.3172205438066666E-2</v>
      </c>
      <c r="AV33" s="14">
        <f ca="1">IF(AV$1="","",'Total Value'!AV45/'Total Value'!AU45-1)</f>
        <v>9.8915124441607549E-3</v>
      </c>
      <c r="AW33" s="14">
        <f ca="1">IF(AW$1="","",'Total Value'!AW45/'Total Value'!AV45-1)</f>
        <v>5.4344391785150048E-2</v>
      </c>
      <c r="AX33" s="14">
        <f ca="1">IF(AX$1="","",'Total Value'!AX45/'Total Value'!AW45-1)</f>
        <v>3.3862750973928879E-2</v>
      </c>
      <c r="AY33" s="14">
        <f ca="1">IF(AY$1="","",'Total Value'!AY45/'Total Value'!AX45-1)</f>
        <v>4.202898550724643E-2</v>
      </c>
      <c r="AZ33" s="14">
        <f ca="1">IF(AZ$1="","",'Total Value'!AZ45/'Total Value'!AY45-1)</f>
        <v>-3.6995827538247816E-2</v>
      </c>
      <c r="BA33" s="14">
        <f ca="1">IF(BA$1="","",'Total Value'!BA45/'Total Value'!AZ45-1)</f>
        <v>-3.7550548815712403E-3</v>
      </c>
      <c r="BB33" s="14">
        <f ca="1">IF(BB$1="","",'Total Value'!BB45/'Total Value'!BA45-1)</f>
        <v>-4.3780806030733532E-2</v>
      </c>
      <c r="BC33" s="14">
        <f ca="1">IF(BC$1="","",'Total Value'!BC45/'Total Value'!BB45-1)</f>
        <v>5.2759248029108585E-2</v>
      </c>
      <c r="BD33" s="14">
        <f ca="1">IF(BD$1="","",'Total Value'!BD45/'Total Value'!BC45-1)</f>
        <v>3.5714285714285809E-2</v>
      </c>
      <c r="BE33" s="14">
        <f ca="1">IF(BE$1="","",'Total Value'!BE45/'Total Value'!BD45-1)</f>
        <v>1.5016685205784253E-2</v>
      </c>
      <c r="BF33" s="14">
        <f ca="1">IF(BF$1="","",'Total Value'!BF45/'Total Value'!BE45-1)</f>
        <v>1.3698630136986356E-2</v>
      </c>
      <c r="BG33" s="14">
        <f ca="1">IF(BG$1="","",'Total Value'!BG45/'Total Value'!BF45-1)</f>
        <v>-9.7297297297297414E-2</v>
      </c>
      <c r="BH33" s="14">
        <f ca="1">IF(BH$1="","",'Total Value'!BH45/'Total Value'!BG45-1)</f>
        <v>-5.5089820359281449E-2</v>
      </c>
      <c r="BI33" s="14">
        <f ca="1">IF(BI$1="","",'Total Value'!BI45/'Total Value'!BH45-1)</f>
        <v>1.3624841571609592E-2</v>
      </c>
      <c r="BJ33" s="14">
        <f ca="1">IF(BJ$1="","",'Total Value'!BJ45/'Total Value'!BI45-1)</f>
        <v>9.0653329165364172E-2</v>
      </c>
      <c r="BK33" s="14">
        <f ca="1">IF(BK$1="","",'Total Value'!BK45/'Total Value'!BJ45-1)</f>
        <v>8.1398681570650666E-2</v>
      </c>
      <c r="BL33" s="14">
        <f ca="1">IF(BL$1="","",'Total Value'!BL45/'Total Value'!BK45-1)</f>
        <v>-6.944076331831428E-2</v>
      </c>
      <c r="BM33" s="14">
        <f ca="1">IF(BM$1="","",'Total Value'!BM45/'Total Value'!BL45-1)</f>
        <v>-2.9621190544004472E-2</v>
      </c>
      <c r="BN33" s="14">
        <f ca="1">IF(BN$1="","",'Total Value'!BN45/'Total Value'!BM45-1)</f>
        <v>-1.0859994129732931E-2</v>
      </c>
      <c r="BO33" s="14">
        <f ca="1">IF(BO$1="","",'Total Value'!BO45/'Total Value'!BN45-1)</f>
        <v>-6.9732937685459961E-2</v>
      </c>
      <c r="BP33" s="14">
        <f ca="1">IF(BP$1="","",'Total Value'!BP45/'Total Value'!BO45-1)</f>
        <v>-1.9138755980861344E-2</v>
      </c>
      <c r="BQ33" s="14">
        <f ca="1">IF(BQ$1="","",'Total Value'!BQ45/'Total Value'!BP45-1)</f>
        <v>3.6422764227642235E-2</v>
      </c>
      <c r="BR33" s="14">
        <f ca="1">IF(BR$1="","",'Total Value'!BR45/'Total Value'!BQ45-1)</f>
        <v>3.4515218073423171E-3</v>
      </c>
      <c r="BS33" s="14">
        <f ca="1">IF(BS$1="","",'Total Value'!BS45/'Total Value'!BR45-1)</f>
        <v>-2.3764853033145683E-2</v>
      </c>
      <c r="BT33" s="14">
        <f ca="1">IF(BT$1="","",'Total Value'!BT45/'Total Value'!BS45-1)</f>
        <v>3.5233824471492259E-3</v>
      </c>
      <c r="BU33" s="14">
        <f ca="1">IF(BU$1="","",'Total Value'!BU45/'Total Value'!BT45-1)</f>
        <v>-2.5534631343759884E-3</v>
      </c>
      <c r="BV33" s="14">
        <f ca="1">IF(BV$1="","",'Total Value'!BV45/'Total Value'!BU45-1)</f>
        <v>-6.1759999999999926E-2</v>
      </c>
      <c r="BW33" s="14">
        <f ca="1">IF(BW$1="","",'Total Value'!BW45/'Total Value'!BV45-1)</f>
        <v>-6.5484311050477695E-2</v>
      </c>
      <c r="BX33" s="14">
        <f ca="1">IF(BX$1="","",'Total Value'!BX45/'Total Value'!BW45-1)</f>
        <v>-3.2846715328466169E-3</v>
      </c>
      <c r="BY33" s="14">
        <f ca="1">IF(BY$1="","",'Total Value'!BY45/'Total Value'!BX45-1)</f>
        <v>-6.883925302087146E-2</v>
      </c>
      <c r="BZ33" s="14">
        <f ca="1">IF(BZ$1="","",'Total Value'!BZ45/'Total Value'!BY45-1)</f>
        <v>-1.7695635076681038E-2</v>
      </c>
      <c r="CA33" s="14">
        <f ca="1">IF(CA$1="","",'Total Value'!CA45/'Total Value'!BZ45-1)</f>
        <v>-4.003202562049557E-3</v>
      </c>
      <c r="CB33" s="14">
        <f ca="1">IF(CB$1="","",'Total Value'!CB45/'Total Value'!CA45-1)</f>
        <v>-2.6929260450160863E-2</v>
      </c>
      <c r="CC33" s="14">
        <f ca="1">IF(CC$1="","",'Total Value'!CC45/'Total Value'!CB45-1)</f>
        <v>4.6261875258157836E-2</v>
      </c>
      <c r="CD33" s="14">
        <f ca="1">IF(CD$1="","",'Total Value'!CD45/'Total Value'!CC45-1)</f>
        <v>-2.5266482431898774E-2</v>
      </c>
      <c r="CE33" s="14">
        <f ca="1">IF(CE$1="","",'Total Value'!CE45/'Total Value'!CD45-1)</f>
        <v>1.7820980153908428E-2</v>
      </c>
      <c r="CF33" s="14" t="str">
        <f ca="1">IF(CF$1="","",'Total Value'!CF45/'Total Value'!CE45-1)</f>
        <v/>
      </c>
      <c r="CG33" s="14" t="str">
        <f ca="1">IF(CG$1="","",'Total Value'!CG45/'Total Value'!CF45-1)</f>
        <v/>
      </c>
      <c r="CH33" s="14" t="str">
        <f ca="1">IF(CH$1="","",'Total Value'!CH45/'Total Value'!CG45-1)</f>
        <v/>
      </c>
      <c r="CI33" s="14" t="str">
        <f ca="1">IF(CI$1="","",'Total Value'!CI45/'Total Value'!CH45-1)</f>
        <v/>
      </c>
      <c r="CJ33" s="14" t="str">
        <f ca="1">IF(CJ$1="","",'Total Value'!CJ45/'Total Value'!CI45-1)</f>
        <v/>
      </c>
      <c r="CK33" s="14" t="str">
        <f ca="1">IF(CK$1="","",'Total Value'!CK45/'Total Value'!CJ45-1)</f>
        <v/>
      </c>
      <c r="CL33" s="14" t="str">
        <f ca="1">IF(CL$1="","",'Total Value'!CL45/'Total Value'!CK45-1)</f>
        <v/>
      </c>
      <c r="CM33" s="14" t="str">
        <f ca="1">IF(CM$1="","",'Total Value'!CM45/'Total Value'!CL45-1)</f>
        <v/>
      </c>
      <c r="CN33" s="14" t="str">
        <f ca="1">IF(CN$1="","",'Total Value'!CN45/'Total Value'!CM45-1)</f>
        <v/>
      </c>
      <c r="CO33" s="14" t="str">
        <f ca="1">IF(CO$1="","",'Total Value'!CO45/'Total Value'!CN45-1)</f>
        <v/>
      </c>
      <c r="CP33" s="14" t="str">
        <f ca="1">IF(CP$1="","",'Total Value'!CP45/'Total Value'!CO45-1)</f>
        <v/>
      </c>
      <c r="CQ33" s="14" t="str">
        <f ca="1">IF(CQ$1="","",'Total Value'!CQ45/'Total Value'!CP45-1)</f>
        <v/>
      </c>
      <c r="CR33" s="14" t="str">
        <f ca="1">IF(CR$1="","",'Total Value'!CR45/'Total Value'!CQ45-1)</f>
        <v/>
      </c>
      <c r="CS33" s="14" t="str">
        <f ca="1">IF(CS$1="","",'Total Value'!CS45/'Total Value'!CR45-1)</f>
        <v/>
      </c>
      <c r="CT33" s="14" t="str">
        <f ca="1">IF(CT$1="","",'Total Value'!CT45/'Total Value'!CS45-1)</f>
        <v/>
      </c>
      <c r="CU33" s="14" t="str">
        <f ca="1">IF(CU$1="","",'Total Value'!CU45/'Total Value'!CT45-1)</f>
        <v/>
      </c>
      <c r="CV33" s="14" t="str">
        <f ca="1">IF(CV$1="","",'Total Value'!CV45/'Total Value'!CU45-1)</f>
        <v/>
      </c>
      <c r="CW33" s="14" t="str">
        <f ca="1">IF(CW$1="","",'Total Value'!CW45/'Total Value'!CV45-1)</f>
        <v/>
      </c>
      <c r="CX33" s="14" t="str">
        <f ca="1">IF(CX$1="","",'Total Value'!CX45/'Total Value'!CW45-1)</f>
        <v/>
      </c>
      <c r="CY33" s="14" t="str">
        <f ca="1">IF(CY$1="","",'Total Value'!CY45/'Total Value'!CX45-1)</f>
        <v/>
      </c>
      <c r="CZ33" s="14" t="str">
        <f ca="1">IF(CZ$1="","",'Total Value'!CZ45/'Total Value'!CY45-1)</f>
        <v/>
      </c>
      <c r="DA33" s="14" t="str">
        <f ca="1">IF(DA$1="","",'Total Value'!DA45/'Total Value'!CZ45-1)</f>
        <v/>
      </c>
      <c r="DB33" s="14" t="str">
        <f ca="1">IF(DB$1="","",'Total Value'!DB45/'Total Value'!DA45-1)</f>
        <v/>
      </c>
      <c r="DC33" s="14" t="str">
        <f ca="1">IF(DC$1="","",'Total Value'!DC45/'Total Value'!DB45-1)</f>
        <v/>
      </c>
      <c r="DD33" s="14" t="str">
        <f ca="1">IF(DD$1="","",'Total Value'!DD45/'Total Value'!DC45-1)</f>
        <v/>
      </c>
      <c r="DE33" s="14" t="str">
        <f ca="1">IF(DE$1="","",'Total Value'!DE45/'Total Value'!DD45-1)</f>
        <v/>
      </c>
      <c r="DF33" s="14" t="str">
        <f ca="1">IF(DF$1="","",'Total Value'!DF45/'Total Value'!DE45-1)</f>
        <v/>
      </c>
      <c r="DG33" s="14" t="str">
        <f ca="1">IF(DG$1="","",'Total Value'!DG45/'Total Value'!DF45-1)</f>
        <v/>
      </c>
      <c r="DH33" s="14" t="str">
        <f ca="1">IF(DH$1="","",'Total Value'!DH45/'Total Value'!DG45-1)</f>
        <v/>
      </c>
      <c r="DI33" s="14" t="str">
        <f ca="1">IF(DI$1="","",'Total Value'!DI45/'Total Value'!DH45-1)</f>
        <v/>
      </c>
      <c r="DJ33" s="14" t="str">
        <f ca="1">IF(DJ$1="","",'Total Value'!DJ45/'Total Value'!DI45-1)</f>
        <v/>
      </c>
      <c r="DK33" s="14" t="str">
        <f ca="1">IF(DK$1="","",'Total Value'!DK45/'Total Value'!DJ45-1)</f>
        <v/>
      </c>
      <c r="DL33" s="14" t="str">
        <f ca="1">IF(DL$1="","",'Total Value'!DL45/'Total Value'!DK45-1)</f>
        <v/>
      </c>
      <c r="DM33" s="14" t="str">
        <f ca="1">IF(DM$1="","",'Total Value'!DM45/'Total Value'!DL45-1)</f>
        <v/>
      </c>
      <c r="DN33" s="14" t="str">
        <f ca="1">IF(DN$1="","",'Total Value'!DN45/'Total Value'!DM45-1)</f>
        <v/>
      </c>
      <c r="DO33" s="14" t="str">
        <f ca="1">IF(DO$1="","",'Total Value'!DO45/'Total Value'!DN45-1)</f>
        <v/>
      </c>
      <c r="DP33" s="14" t="str">
        <f ca="1">IF(DP$1="","",'Total Value'!DP45/'Total Value'!DO45-1)</f>
        <v/>
      </c>
      <c r="DQ33" s="14" t="str">
        <f ca="1">IF(DQ$1="","",'Total Value'!DQ45/'Total Value'!DP45-1)</f>
        <v/>
      </c>
      <c r="DR33" s="14" t="str">
        <f ca="1">IF(DR$1="","",'Total Value'!DR45/'Total Value'!DQ45-1)</f>
        <v/>
      </c>
      <c r="DS33" s="14" t="str">
        <f ca="1">IF(DS$1="","",'Total Value'!DS45/'Total Value'!DR45-1)</f>
        <v/>
      </c>
      <c r="DT33" s="14" t="str">
        <f ca="1">IF(DT$1="","",'Total Value'!DT45/'Total Value'!DS45-1)</f>
        <v/>
      </c>
      <c r="DU33" s="14" t="str">
        <f ca="1">IF(DU$1="","",'Total Value'!DU45/'Total Value'!DT45-1)</f>
        <v/>
      </c>
      <c r="DV33" s="14" t="str">
        <f ca="1">IF(DV$1="","",'Total Value'!DV45/'Total Value'!DU45-1)</f>
        <v/>
      </c>
      <c r="DW33" s="14" t="str">
        <f ca="1">IF(DW$1="","",'Total Value'!DW45/'Total Value'!DV45-1)</f>
        <v/>
      </c>
      <c r="DX33" s="14" t="str">
        <f ca="1">IF(DX$1="","",'Total Value'!DX45/'Total Value'!DW45-1)</f>
        <v/>
      </c>
      <c r="DY33" s="14" t="str">
        <f ca="1">IF(DY$1="","",'Total Value'!DY45/'Total Value'!DX45-1)</f>
        <v/>
      </c>
      <c r="DZ33" s="14" t="str">
        <f ca="1">IF(DZ$1="","",'Total Value'!DZ45/'Total Value'!DY45-1)</f>
        <v/>
      </c>
      <c r="EA33" s="14" t="str">
        <f ca="1">IF(EA$1="","",'Total Value'!EA45/'Total Value'!DZ45-1)</f>
        <v/>
      </c>
      <c r="EB33" s="14" t="str">
        <f ca="1">IF(EB$1="","",'Total Value'!EB45/'Total Value'!EA45-1)</f>
        <v/>
      </c>
      <c r="EC33" s="14" t="str">
        <f ca="1">IF(EC$1="","",'Total Value'!EC45/'Total Value'!EB45-1)</f>
        <v/>
      </c>
      <c r="ED33" s="14" t="str">
        <f ca="1">IF(ED$1="","",'Total Value'!ED45/'Total Value'!EC45-1)</f>
        <v/>
      </c>
      <c r="EE33" s="14" t="str">
        <f ca="1">IF(EE$1="","",'Total Value'!EE45/'Total Value'!ED45-1)</f>
        <v/>
      </c>
      <c r="EF33" s="14" t="str">
        <f ca="1">IF(EF$1="","",'Total Value'!EF45/'Total Value'!EE45-1)</f>
        <v/>
      </c>
      <c r="EG33" s="14" t="str">
        <f ca="1">IF(EG$1="","",'Total Value'!EG45/'Total Value'!EF45-1)</f>
        <v/>
      </c>
      <c r="EH33" s="14" t="str">
        <f ca="1">IF(EH$1="","",'Total Value'!EH45/'Total Value'!EG45-1)</f>
        <v/>
      </c>
      <c r="EI33" s="14" t="str">
        <f ca="1">IF(EI$1="","",'Total Value'!EI45/'Total Value'!EH45-1)</f>
        <v/>
      </c>
      <c r="EJ33" s="14" t="str">
        <f ca="1">IF(EJ$1="","",'Total Value'!EJ45/'Total Value'!EI45-1)</f>
        <v/>
      </c>
      <c r="EK33" s="14" t="str">
        <f ca="1">IF(EK$1="","",'Total Value'!EK45/'Total Value'!EJ45-1)</f>
        <v/>
      </c>
      <c r="EL33" s="14" t="str">
        <f ca="1">IF(EL$1="","",'Total Value'!EL45/'Total Value'!EK45-1)</f>
        <v/>
      </c>
      <c r="EM33" s="14" t="str">
        <f ca="1">IF(EM$1="","",'Total Value'!EM45/'Total Value'!EL45-1)</f>
        <v/>
      </c>
      <c r="EN33" s="14" t="str">
        <f ca="1">IF(EN$1="","",'Total Value'!EN45/'Total Value'!EM45-1)</f>
        <v/>
      </c>
      <c r="EO33" s="14" t="str">
        <f ca="1">IF(EO$1="","",'Total Value'!EO45/'Total Value'!EN45-1)</f>
        <v/>
      </c>
      <c r="EP33" s="14" t="str">
        <f ca="1">IF(EP$1="","",'Total Value'!EP45/'Total Value'!EO45-1)</f>
        <v/>
      </c>
      <c r="EQ33" s="14" t="str">
        <f ca="1">IF(EQ$1="","",'Total Value'!EQ45/'Total Value'!EP45-1)</f>
        <v/>
      </c>
      <c r="ER33" s="14" t="str">
        <f ca="1">IF(ER$1="","",'Total Value'!ER45/'Total Value'!EQ45-1)</f>
        <v/>
      </c>
      <c r="ES33" s="14" t="str">
        <f ca="1">IF(ES$1="","",'Total Value'!ES45/'Total Value'!ER45-1)</f>
        <v/>
      </c>
      <c r="ET33" s="14" t="str">
        <f ca="1">IF(ET$1="","",'Total Value'!ET45/'Total Value'!ES45-1)</f>
        <v/>
      </c>
      <c r="EU33" s="14" t="str">
        <f ca="1">IF(EU$1="","",'Total Value'!EU45/'Total Value'!ET45-1)</f>
        <v/>
      </c>
      <c r="EV33" s="14" t="str">
        <f ca="1">IF(EV$1="","",'Total Value'!EV45/'Total Value'!EU45-1)</f>
        <v/>
      </c>
      <c r="EW33" s="14" t="str">
        <f ca="1">IF(EW$1="","",'Total Value'!EW45/'Total Value'!EV45-1)</f>
        <v/>
      </c>
      <c r="EX33" s="14" t="str">
        <f ca="1">IF(EX$1="","",'Total Value'!EX45/'Total Value'!EW45-1)</f>
        <v/>
      </c>
      <c r="EY33" s="14" t="str">
        <f ca="1">IF(EY$1="","",'Total Value'!EY45/'Total Value'!EX45-1)</f>
        <v/>
      </c>
      <c r="EZ33" s="14" t="str">
        <f ca="1">IF(EZ$1="","",'Total Value'!EZ45/'Total Value'!EY45-1)</f>
        <v/>
      </c>
      <c r="FA33" s="14" t="str">
        <f ca="1">IF(FA$1="","",'Total Value'!FA45/'Total Value'!EZ45-1)</f>
        <v/>
      </c>
      <c r="FB33" s="14" t="str">
        <f ca="1">IF(FB$1="","",'Total Value'!FB45/'Total Value'!FA45-1)</f>
        <v/>
      </c>
      <c r="FC33" s="14" t="str">
        <f ca="1">IF(FC$1="","",'Total Value'!FC45/'Total Value'!FB45-1)</f>
        <v/>
      </c>
      <c r="FD33" s="14" t="str">
        <f ca="1">IF(FD$1="","",'Total Value'!FD45/'Total Value'!FC45-1)</f>
        <v/>
      </c>
      <c r="FE33" s="14" t="str">
        <f ca="1">IF(FE$1="","",'Total Value'!FE45/'Total Value'!FD45-1)</f>
        <v/>
      </c>
      <c r="FF33" s="14" t="str">
        <f ca="1">IF(FF$1="","",'Total Value'!FF45/'Total Value'!FE45-1)</f>
        <v/>
      </c>
      <c r="FG33" s="14" t="str">
        <f ca="1">IF(FG$1="","",'Total Value'!FG45/'Total Value'!FF45-1)</f>
        <v/>
      </c>
      <c r="FH33" s="14" t="str">
        <f ca="1">IF(FH$1="","",'Total Value'!FH45/'Total Value'!FG45-1)</f>
        <v/>
      </c>
      <c r="FI33" s="14" t="str">
        <f ca="1">IF(FI$1="","",'Total Value'!FI45/'Total Value'!FH45-1)</f>
        <v/>
      </c>
      <c r="FJ33" s="14" t="str">
        <f ca="1">IF(FJ$1="","",'Total Value'!FJ45/'Total Value'!FI45-1)</f>
        <v/>
      </c>
      <c r="FK33" s="14" t="str">
        <f ca="1">IF(FK$1="","",'Total Value'!FK45/'Total Value'!FJ45-1)</f>
        <v/>
      </c>
      <c r="FL33" s="14" t="str">
        <f ca="1">IF(FL$1="","",'Total Value'!FL45/'Total Value'!FK45-1)</f>
        <v/>
      </c>
      <c r="FM33" s="14" t="str">
        <f ca="1">IF(FM$1="","",'Total Value'!FM45/'Total Value'!FL45-1)</f>
        <v/>
      </c>
      <c r="FN33" s="14" t="str">
        <f ca="1">IF(FN$1="","",'Total Value'!FN45/'Total Value'!FM45-1)</f>
        <v/>
      </c>
      <c r="FO33" s="14" t="str">
        <f ca="1">IF(FO$1="","",'Total Value'!FO45/'Total Value'!FN45-1)</f>
        <v/>
      </c>
      <c r="FP33" s="14" t="str">
        <f ca="1">IF(FP$1="","",'Total Value'!FP45/'Total Value'!FO45-1)</f>
        <v/>
      </c>
      <c r="FQ33" s="14" t="str">
        <f ca="1">IF(FQ$1="","",'Total Value'!FQ45/'Total Value'!FP45-1)</f>
        <v/>
      </c>
      <c r="FR33" s="14" t="str">
        <f ca="1">IF(FR$1="","",'Total Value'!FR45/'Total Value'!FQ45-1)</f>
        <v/>
      </c>
      <c r="FS33" s="14" t="str">
        <f ca="1">IF(FS$1="","",'Total Value'!FS45/'Total Value'!FR45-1)</f>
        <v/>
      </c>
      <c r="FT33" s="14" t="str">
        <f ca="1">IF(FT$1="","",'Total Value'!FT45/'Total Value'!FS45-1)</f>
        <v/>
      </c>
      <c r="FU33" s="14" t="str">
        <f ca="1">IF(FU$1="","",'Total Value'!FU45/'Total Value'!FT45-1)</f>
        <v/>
      </c>
      <c r="FV33" s="14" t="str">
        <f ca="1">IF(FV$1="","",'Total Value'!FV45/'Total Value'!FU45-1)</f>
        <v/>
      </c>
      <c r="FW33" s="14" t="str">
        <f ca="1">IF(FW$1="","",'Total Value'!FW45/'Total Value'!FV45-1)</f>
        <v/>
      </c>
      <c r="FX33" s="14" t="str">
        <f ca="1">IF(FX$1="","",'Total Value'!FX45/'Total Value'!FW45-1)</f>
        <v/>
      </c>
      <c r="FY33" s="14" t="str">
        <f ca="1">IF(FY$1="","",'Total Value'!FY45/'Total Value'!FX45-1)</f>
        <v/>
      </c>
      <c r="FZ33" s="14" t="str">
        <f ca="1">IF(FZ$1="","",'Total Value'!FZ45/'Total Value'!FY45-1)</f>
        <v/>
      </c>
      <c r="GA33" s="14" t="str">
        <f ca="1">IF(GA$1="","",'Total Value'!GA45/'Total Value'!FZ45-1)</f>
        <v/>
      </c>
      <c r="GB33" s="14" t="str">
        <f ca="1">IF(GB$1="","",'Total Value'!GB45/'Total Value'!GA45-1)</f>
        <v/>
      </c>
      <c r="GC33" s="14" t="str">
        <f ca="1">IF(GC$1="","",'Total Value'!GC45/'Total Value'!GB45-1)</f>
        <v/>
      </c>
      <c r="GD33" s="14" t="str">
        <f ca="1">IF(GD$1="","",'Total Value'!GD45/'Total Value'!GC45-1)</f>
        <v/>
      </c>
      <c r="GE33" s="14" t="str">
        <f ca="1">IF(GE$1="","",'Total Value'!GE45/'Total Value'!GD45-1)</f>
        <v/>
      </c>
      <c r="GF33" s="14" t="str">
        <f ca="1">IF(GF$1="","",'Total Value'!GF45/'Total Value'!GE45-1)</f>
        <v/>
      </c>
      <c r="GG33" s="14" t="str">
        <f ca="1">IF(GG$1="","",'Total Value'!GG45/'Total Value'!GF45-1)</f>
        <v/>
      </c>
      <c r="GH33" s="14" t="str">
        <f ca="1">IF(GH$1="","",'Total Value'!GH45/'Total Value'!GG45-1)</f>
        <v/>
      </c>
      <c r="GI33" s="14" t="str">
        <f ca="1">IF(GI$1="","",'Total Value'!GI45/'Total Value'!GH45-1)</f>
        <v/>
      </c>
      <c r="GJ33" s="14" t="str">
        <f ca="1">IF(GJ$1="","",'Total Value'!GJ45/'Total Value'!GI45-1)</f>
        <v/>
      </c>
      <c r="GK33" s="14" t="str">
        <f ca="1">IF(GK$1="","",'Total Value'!GK45/'Total Value'!GJ45-1)</f>
        <v/>
      </c>
      <c r="GL33" s="14" t="str">
        <f ca="1">IF(GL$1="","",'Total Value'!GL45/'Total Value'!GK45-1)</f>
        <v/>
      </c>
      <c r="GM33" s="14" t="str">
        <f ca="1">IF(GM$1="","",'Total Value'!GM45/'Total Value'!GL45-1)</f>
        <v/>
      </c>
      <c r="GN33" s="14" t="str">
        <f ca="1">IF(GN$1="","",'Total Value'!GN45/'Total Value'!GM45-1)</f>
        <v/>
      </c>
      <c r="GO33" s="14" t="str">
        <f ca="1">IF(GO$1="","",'Total Value'!GO45/'Total Value'!GN45-1)</f>
        <v/>
      </c>
      <c r="GP33" s="14" t="str">
        <f ca="1">IF(GP$1="","",'Total Value'!GP45/'Total Value'!GO45-1)</f>
        <v/>
      </c>
      <c r="GQ33" s="14" t="str">
        <f ca="1">IF(GQ$1="","",'Total Value'!GQ45/'Total Value'!GP45-1)</f>
        <v/>
      </c>
      <c r="GR33" s="14" t="str">
        <f ca="1">IF(GR$1="","",'Total Value'!GR45/'Total Value'!GQ45-1)</f>
        <v/>
      </c>
      <c r="GS33" s="14" t="str">
        <f ca="1">IF(GS$1="","",'Total Value'!GS45/'Total Value'!GR45-1)</f>
        <v/>
      </c>
      <c r="GT33" s="14" t="str">
        <f ca="1">IF(GT$1="","",'Total Value'!GT45/'Total Value'!GS45-1)</f>
        <v/>
      </c>
      <c r="GU33" s="14" t="str">
        <f ca="1">IF(GU$1="","",'Total Value'!GU45/'Total Value'!GT45-1)</f>
        <v/>
      </c>
      <c r="GV33" s="14" t="str">
        <f ca="1">IF(GV$1="","",'Total Value'!GV45/'Total Value'!GU45-1)</f>
        <v/>
      </c>
      <c r="GW33" s="14" t="str">
        <f ca="1">IF(GW$1="","",'Total Value'!GW45/'Total Value'!GV45-1)</f>
        <v/>
      </c>
      <c r="GX33" s="14" t="str">
        <f ca="1">IF(GX$1="","",'Total Value'!GX45/'Total Value'!GW45-1)</f>
        <v/>
      </c>
      <c r="GY33" s="14" t="str">
        <f ca="1">IF(GY$1="","",'Total Value'!GY45/'Total Value'!GX45-1)</f>
        <v/>
      </c>
      <c r="GZ33" s="14" t="str">
        <f ca="1">IF(GZ$1="","",'Total Value'!GZ45/'Total Value'!GY45-1)</f>
        <v/>
      </c>
      <c r="HA33" s="14" t="str">
        <f ca="1">IF(HA$1="","",'Total Value'!HA45/'Total Value'!GZ45-1)</f>
        <v/>
      </c>
      <c r="HB33" s="14" t="str">
        <f ca="1">IF(HB$1="","",'Total Value'!HB45/'Total Value'!HA45-1)</f>
        <v/>
      </c>
      <c r="HC33" s="14" t="str">
        <f ca="1">IF(HC$1="","",'Total Value'!HC45/'Total Value'!HB45-1)</f>
        <v/>
      </c>
      <c r="HD33" s="14" t="str">
        <f ca="1">IF(HD$1="","",'Total Value'!HD45/'Total Value'!HC45-1)</f>
        <v/>
      </c>
      <c r="HE33" s="14" t="str">
        <f ca="1">IF(HE$1="","",'Total Value'!HE45/'Total Value'!HD45-1)</f>
        <v/>
      </c>
      <c r="HF33" s="14" t="str">
        <f ca="1">IF(HF$1="","",'Total Value'!HF45/'Total Value'!HE45-1)</f>
        <v/>
      </c>
      <c r="HG33" s="14" t="str">
        <f ca="1">IF(HG$1="","",'Total Value'!HG45/'Total Value'!HF45-1)</f>
        <v/>
      </c>
      <c r="HH33" s="14" t="str">
        <f ca="1">IF(HH$1="","",'Total Value'!HH45/'Total Value'!HG45-1)</f>
        <v/>
      </c>
      <c r="HI33" s="14" t="str">
        <f ca="1">IF(HI$1="","",'Total Value'!HI45/'Total Value'!HH45-1)</f>
        <v/>
      </c>
      <c r="HJ33" s="14" t="str">
        <f ca="1">IF(HJ$1="","",'Total Value'!HJ45/'Total Value'!HI45-1)</f>
        <v/>
      </c>
      <c r="HK33" s="14" t="str">
        <f ca="1">IF(HK$1="","",'Total Value'!HK45/'Total Value'!HJ45-1)</f>
        <v/>
      </c>
      <c r="HL33" s="14" t="str">
        <f ca="1">IF(HL$1="","",'Total Value'!HL45/'Total Value'!HK45-1)</f>
        <v/>
      </c>
      <c r="HM33" s="14" t="str">
        <f ca="1">IF(HM$1="","",'Total Value'!HM45/'Total Value'!HL45-1)</f>
        <v/>
      </c>
      <c r="HN33" s="14" t="str">
        <f ca="1">IF(HN$1="","",'Total Value'!HN45/'Total Value'!HM45-1)</f>
        <v/>
      </c>
      <c r="HO33" s="14" t="str">
        <f ca="1">IF(HO$1="","",'Total Value'!HO45/'Total Value'!HN45-1)</f>
        <v/>
      </c>
      <c r="HP33" s="14" t="str">
        <f ca="1">IF(HP$1="","",'Total Value'!HP45/'Total Value'!HO45-1)</f>
        <v/>
      </c>
      <c r="HQ33" s="14" t="str">
        <f ca="1">IF(HQ$1="","",'Total Value'!HQ45/'Total Value'!HP45-1)</f>
        <v/>
      </c>
      <c r="HR33" s="14" t="str">
        <f ca="1">IF(HR$1="","",'Total Value'!HR45/'Total Value'!HQ45-1)</f>
        <v/>
      </c>
      <c r="HS33" s="14" t="str">
        <f ca="1">IF(HS$1="","",'Total Value'!HS45/'Total Value'!HR45-1)</f>
        <v/>
      </c>
      <c r="HT33" s="14" t="str">
        <f ca="1">IF(HT$1="","",'Total Value'!HT45/'Total Value'!HS45-1)</f>
        <v/>
      </c>
      <c r="HU33" s="14" t="str">
        <f ca="1">IF(HU$1="","",'Total Value'!HU45/'Total Value'!HT45-1)</f>
        <v/>
      </c>
      <c r="HV33" s="14" t="str">
        <f ca="1">IF(HV$1="","",'Total Value'!HV45/'Total Value'!HU45-1)</f>
        <v/>
      </c>
      <c r="HW33" s="14" t="str">
        <f ca="1">IF(HW$1="","",'Total Value'!HW45/'Total Value'!HV45-1)</f>
        <v/>
      </c>
      <c r="HX33" s="14" t="str">
        <f ca="1">IF(HX$1="","",'Total Value'!HX45/'Total Value'!HW45-1)</f>
        <v/>
      </c>
      <c r="HY33" s="14" t="str">
        <f ca="1">IF(HY$1="","",'Total Value'!HY45/'Total Value'!HX45-1)</f>
        <v/>
      </c>
      <c r="HZ33" s="14" t="str">
        <f ca="1">IF(HZ$1="","",'Total Value'!HZ45/'Total Value'!HY45-1)</f>
        <v/>
      </c>
      <c r="IA33" s="14" t="str">
        <f ca="1">IF(IA$1="","",'Total Value'!IA45/'Total Value'!HZ45-1)</f>
        <v/>
      </c>
      <c r="IB33" s="14" t="str">
        <f ca="1">IF(IB$1="","",'Total Value'!IB45/'Total Value'!IA45-1)</f>
        <v/>
      </c>
      <c r="IC33" s="14" t="str">
        <f ca="1">IF(IC$1="","",'Total Value'!IC45/'Total Value'!IB45-1)</f>
        <v/>
      </c>
      <c r="ID33" s="14" t="str">
        <f ca="1">IF(ID$1="","",'Total Value'!ID45/'Total Value'!IC45-1)</f>
        <v/>
      </c>
      <c r="IE33" s="14" t="str">
        <f ca="1">IF(IE$1="","",'Total Value'!IE45/'Total Value'!ID45-1)</f>
        <v/>
      </c>
      <c r="IF33" s="14" t="str">
        <f ca="1">IF(IF$1="","",'Total Value'!IF45/'Total Value'!IE45-1)</f>
        <v/>
      </c>
      <c r="IG33" s="14" t="str">
        <f ca="1">IF(IG$1="","",'Total Value'!IG45/'Total Value'!IF45-1)</f>
        <v/>
      </c>
      <c r="IH33" s="14" t="str">
        <f ca="1">IF(IH$1="","",'Total Value'!IH45/'Total Value'!IG45-1)</f>
        <v/>
      </c>
      <c r="II33" s="14" t="str">
        <f ca="1">IF(II$1="","",'Total Value'!II45/'Total Value'!IH45-1)</f>
        <v/>
      </c>
      <c r="IJ33" s="14" t="str">
        <f ca="1">IF(IJ$1="","",'Total Value'!IJ45/'Total Value'!II45-1)</f>
        <v/>
      </c>
      <c r="IK33" s="14" t="str">
        <f ca="1">IF(IK$1="","",'Total Value'!IK45/'Total Value'!IJ45-1)</f>
        <v/>
      </c>
      <c r="IL33" s="14" t="str">
        <f ca="1">IF(IL$1="","",'Total Value'!IL45/'Total Value'!IK45-1)</f>
        <v/>
      </c>
      <c r="IM33" s="14" t="str">
        <f ca="1">IF(IM$1="","",'Total Value'!IM45/'Total Value'!IL45-1)</f>
        <v/>
      </c>
      <c r="IN33" s="14" t="str">
        <f ca="1">IF(IN$1="","",'Total Value'!IN45/'Total Value'!IM45-1)</f>
        <v/>
      </c>
      <c r="IO33" s="14" t="str">
        <f ca="1">IF(IO$1="","",'Total Value'!IO45/'Total Value'!IN45-1)</f>
        <v/>
      </c>
      <c r="IP33" s="14" t="str">
        <f ca="1">IF(IP$1="","",'Total Value'!IP45/'Total Value'!IO45-1)</f>
        <v/>
      </c>
      <c r="IQ33" s="14" t="str">
        <f ca="1">IF(IQ$1="","",'Total Value'!IQ45/'Total Value'!IP45-1)</f>
        <v/>
      </c>
      <c r="IR33" s="14" t="str">
        <f ca="1">IF(IR$1="","",'Total Value'!IR45/'Total Value'!IQ45-1)</f>
        <v/>
      </c>
      <c r="IS33" s="14" t="str">
        <f ca="1">IF(IS$1="","",'Total Value'!IS45/'Total Value'!IR45-1)</f>
        <v/>
      </c>
      <c r="IT33" s="14" t="str">
        <f ca="1">IF(IT$1="","",'Total Value'!IT45/'Total Value'!IS45-1)</f>
        <v/>
      </c>
      <c r="IU33" s="14" t="str">
        <f ca="1">IF(IU$1="","",'Total Value'!IU45/'Total Value'!IT45-1)</f>
        <v/>
      </c>
      <c r="IV33" s="14" t="str">
        <f ca="1">IF(IV$1="","",'Total Value'!IV45/'Total Value'!IU45-1)</f>
        <v/>
      </c>
      <c r="IW33" s="14" t="str">
        <f ca="1">IF(IW$1="","",'Total Value'!IW45/'Total Value'!IV45-1)</f>
        <v/>
      </c>
      <c r="IX33" s="14" t="str">
        <f ca="1">IF(IX$1="","",'Total Value'!IX45/'Total Value'!IW45-1)</f>
        <v/>
      </c>
      <c r="IY33" s="14" t="str">
        <f ca="1">IF(IY$1="","",'Total Value'!IY45/'Total Value'!IX45-1)</f>
        <v/>
      </c>
      <c r="IZ33" s="14" t="str">
        <f ca="1">IF(IZ$1="","",'Total Value'!IZ45/'Total Value'!IY45-1)</f>
        <v/>
      </c>
      <c r="JA33" s="14" t="str">
        <f ca="1">IF(JA$1="","",'Total Value'!JA45/'Total Value'!IZ45-1)</f>
        <v/>
      </c>
      <c r="JB33" s="14" t="str">
        <f ca="1">IF(JB$1="","",'Total Value'!JB45/'Total Value'!JA45-1)</f>
        <v/>
      </c>
      <c r="JC33" s="14" t="str">
        <f ca="1">IF(JC$1="","",'Total Value'!JC45/'Total Value'!JB45-1)</f>
        <v/>
      </c>
      <c r="JD33" s="14" t="str">
        <f ca="1">IF(JD$1="","",'Total Value'!JD45/'Total Value'!JC45-1)</f>
        <v/>
      </c>
      <c r="JE33" s="14" t="str">
        <f ca="1">IF(JE$1="","",'Total Value'!JE45/'Total Value'!JD45-1)</f>
        <v/>
      </c>
      <c r="JF33" s="14" t="str">
        <f ca="1">IF(JF$1="","",'Total Value'!JF45/'Total Value'!JE45-1)</f>
        <v/>
      </c>
      <c r="JG33" s="14" t="str">
        <f ca="1">IF(JG$1="","",'Total Value'!JG45/'Total Value'!JF45-1)</f>
        <v/>
      </c>
      <c r="JH33" s="14" t="str">
        <f ca="1">IF(JH$1="","",'Total Value'!JH45/'Total Value'!JG45-1)</f>
        <v/>
      </c>
      <c r="JI33" s="14" t="str">
        <f ca="1">IF(JI$1="","",'Total Value'!JI45/'Total Value'!JH45-1)</f>
        <v/>
      </c>
      <c r="JJ33" s="14" t="str">
        <f ca="1">IF(JJ$1="","",'Total Value'!JJ45/'Total Value'!JI45-1)</f>
        <v/>
      </c>
      <c r="JK33" s="14" t="str">
        <f ca="1">IF(JK$1="","",'Total Value'!JK45/'Total Value'!JJ45-1)</f>
        <v/>
      </c>
      <c r="JL33" s="14" t="str">
        <f ca="1">IF(JL$1="","",'Total Value'!JL45/'Total Value'!JK45-1)</f>
        <v/>
      </c>
      <c r="JM33" s="14" t="str">
        <f ca="1">IF(JM$1="","",'Total Value'!JM45/'Total Value'!JL45-1)</f>
        <v/>
      </c>
      <c r="JN33" s="14" t="str">
        <f ca="1">IF(JN$1="","",'Total Value'!JN45/'Total Value'!JM45-1)</f>
        <v/>
      </c>
      <c r="JO33" s="14" t="str">
        <f ca="1">IF(JO$1="","",'Total Value'!JO45/'Total Value'!JN45-1)</f>
        <v/>
      </c>
      <c r="JP33" s="14" t="str">
        <f ca="1">IF(JP$1="","",'Total Value'!JP45/'Total Value'!JO45-1)</f>
        <v/>
      </c>
      <c r="JQ33" s="14" t="str">
        <f ca="1">IF(JQ$1="","",'Total Value'!JQ45/'Total Value'!JP45-1)</f>
        <v/>
      </c>
      <c r="JR33" s="14" t="str">
        <f ca="1">IF(JR$1="","",'Total Value'!JR45/'Total Value'!JQ45-1)</f>
        <v/>
      </c>
      <c r="JS33" s="14" t="str">
        <f ca="1">IF(JS$1="","",'Total Value'!JS45/'Total Value'!JR45-1)</f>
        <v/>
      </c>
      <c r="JT33" s="14" t="str">
        <f ca="1">IF(JT$1="","",'Total Value'!JT45/'Total Value'!JS45-1)</f>
        <v/>
      </c>
      <c r="JU33" s="14" t="str">
        <f ca="1">IF(JU$1="","",'Total Value'!JU45/'Total Value'!JT45-1)</f>
        <v/>
      </c>
      <c r="JV33" s="14" t="str">
        <f ca="1">IF(JV$1="","",'Total Value'!JV45/'Total Value'!JU45-1)</f>
        <v/>
      </c>
      <c r="JW33" s="14" t="str">
        <f ca="1">IF(JW$1="","",'Total Value'!JW45/'Total Value'!JV45-1)</f>
        <v/>
      </c>
      <c r="JX33" s="14" t="str">
        <f ca="1">IF(JX$1="","",'Total Value'!JX45/'Total Value'!JW45-1)</f>
        <v/>
      </c>
      <c r="JY33" s="14" t="str">
        <f ca="1">IF(JY$1="","",'Total Value'!JY45/'Total Value'!JX45-1)</f>
        <v/>
      </c>
      <c r="JZ33" s="14" t="str">
        <f ca="1">IF(JZ$1="","",'Total Value'!JZ45/'Total Value'!JY45-1)</f>
        <v/>
      </c>
      <c r="KA33" s="14" t="str">
        <f ca="1">IF(KA$1="","",'Total Value'!KA45/'Total Value'!JZ45-1)</f>
        <v/>
      </c>
      <c r="KB33" s="14" t="str">
        <f ca="1">IF(KB$1="","",'Total Value'!KB45/'Total Value'!KA45-1)</f>
        <v/>
      </c>
    </row>
    <row r="34" spans="1:288" ht="15.75" customHeight="1">
      <c r="A34" s="22" t="s">
        <v>30</v>
      </c>
      <c r="B34" s="6" t="s">
        <v>78</v>
      </c>
      <c r="C34" s="26">
        <v>4</v>
      </c>
      <c r="D34" s="13">
        <v>0</v>
      </c>
      <c r="E34" s="14">
        <f ca="1">IF(E$1="","",'Total Value'!E46/'Total Value'!D46-1)</f>
        <v>1.6027874564459976E-2</v>
      </c>
      <c r="F34" s="14">
        <f ca="1">IF(F$1="","",'Total Value'!F46/'Total Value'!E46-1)</f>
        <v>4.766803840877909E-3</v>
      </c>
      <c r="G34" s="14">
        <f ca="1">IF(G$1="","",'Total Value'!G46/'Total Value'!F46-1)</f>
        <v>-2.7236424451346553E-2</v>
      </c>
      <c r="H34" s="14">
        <f ca="1">IF(H$1="","",'Total Value'!H46/'Total Value'!G46-1)</f>
        <v>-2.4911406617310616E-3</v>
      </c>
      <c r="I34" s="14">
        <f ca="1">IF(I$1="","",'Total Value'!I46/'Total Value'!H46-1)</f>
        <v>-3.411888849806588E-3</v>
      </c>
      <c r="J34" s="14">
        <f ca="1">IF(J$1="","",'Total Value'!J46/'Total Value'!I46-1)</f>
        <v>-2.2412028376804338E-2</v>
      </c>
      <c r="K34" s="14">
        <f ca="1">IF(K$1="","",'Total Value'!K46/'Total Value'!J46-1)</f>
        <v>-1.119214383710021E-2</v>
      </c>
      <c r="L34" s="14">
        <f ca="1">IF(L$1="","",'Total Value'!L46/'Total Value'!K46-1)</f>
        <v>-4.5165766028917753E-2</v>
      </c>
      <c r="M34" s="14">
        <f ca="1">IF(M$1="","",'Total Value'!M46/'Total Value'!L46-1)</f>
        <v>3.4797904477841257E-3</v>
      </c>
      <c r="N34" s="14">
        <f ca="1">IF(N$1="","",'Total Value'!N46/'Total Value'!M46-1)</f>
        <v>-3.9516805121560861E-2</v>
      </c>
      <c r="O34" s="14">
        <f ca="1">IF(O$1="","",'Total Value'!O46/'Total Value'!N46-1)</f>
        <v>-8.7681015671493556E-3</v>
      </c>
      <c r="P34" s="14">
        <f ca="1">IF(P$1="","",'Total Value'!P46/'Total Value'!O46-1)</f>
        <v>-1.7771373679154601E-2</v>
      </c>
      <c r="Q34" s="14">
        <f ca="1">IF(Q$1="","",'Total Value'!Q46/'Total Value'!P46-1)</f>
        <v>9.9429502852486085E-3</v>
      </c>
      <c r="R34" s="14">
        <f ca="1">IF(R$1="","",'Total Value'!R46/'Total Value'!Q46-1)</f>
        <v>5.5842479018721747E-2</v>
      </c>
      <c r="S34" s="14">
        <f ca="1">IF(S$1="","",'Total Value'!S46/'Total Value'!R46-1)</f>
        <v>1.1846530113115428E-3</v>
      </c>
      <c r="T34" s="14">
        <f ca="1">IF(T$1="","",'Total Value'!T46/'Total Value'!S46-1)</f>
        <v>-1.3321119126684211E-2</v>
      </c>
      <c r="U34" s="14">
        <f ca="1">IF(U$1="","",'Total Value'!U46/'Total Value'!T46-1)</f>
        <v>-3.1179883945841369E-2</v>
      </c>
      <c r="V34" s="14">
        <f ca="1">IF(V$1="","",'Total Value'!V46/'Total Value'!U46-1)</f>
        <v>7.6106053346110869E-2</v>
      </c>
      <c r="W34" s="14">
        <f ca="1">IF(W$1="","",'Total Value'!W46/'Total Value'!V46-1)</f>
        <v>-3.2319109461966478E-2</v>
      </c>
      <c r="X34" s="14">
        <f ca="1">IF(X$1="","",'Total Value'!X46/'Total Value'!W46-1)</f>
        <v>8.0141109705125224E-3</v>
      </c>
      <c r="Y34" s="14">
        <f ca="1">IF(Y$1="","",'Total Value'!Y46/'Total Value'!X46-1)</f>
        <v>2.7122641509433887E-2</v>
      </c>
      <c r="Z34" s="14">
        <f ca="1">IF(Z$1="","",'Total Value'!Z46/'Total Value'!Y46-1)</f>
        <v>-4.1220695529795126E-2</v>
      </c>
      <c r="AA34" s="14">
        <f ca="1">IF(AA$1="","",'Total Value'!AA46/'Total Value'!Z46-1)</f>
        <v>-1.0197775030902245E-2</v>
      </c>
      <c r="AB34" s="14">
        <f ca="1">IF(AB$1="","",'Total Value'!AB46/'Total Value'!AA46-1)</f>
        <v>-1.116141117702163E-2</v>
      </c>
      <c r="AC34" s="14">
        <f ca="1">IF(AC$1="","",'Total Value'!AC46/'Total Value'!AB46-1)</f>
        <v>3.4138448180598191E-2</v>
      </c>
      <c r="AD34" s="14">
        <f ca="1">IF(AD$1="","",'Total Value'!AD46/'Total Value'!AC46-1)</f>
        <v>7.3655688279967713E-3</v>
      </c>
      <c r="AE34" s="14">
        <f ca="1">IF(AE$1="","",'Total Value'!AE46/'Total Value'!AD46-1)</f>
        <v>-4.9325655402333579E-2</v>
      </c>
      <c r="AF34" s="14">
        <f ca="1">IF(AF$1="","",'Total Value'!AF46/'Total Value'!AE46-1)</f>
        <v>5.9376743444647939E-3</v>
      </c>
      <c r="AG34" s="14">
        <f ca="1">IF(AG$1="","",'Total Value'!AG46/'Total Value'!AF46-1)</f>
        <v>-8.9529770629481753E-3</v>
      </c>
      <c r="AH34" s="14">
        <f ca="1">IF(AH$1="","",'Total Value'!AH46/'Total Value'!AG46-1)</f>
        <v>-4.1691649678218701E-2</v>
      </c>
      <c r="AI34" s="14">
        <f ca="1">IF(AI$1="","",'Total Value'!AI46/'Total Value'!AH46-1)</f>
        <v>6.6321848669392836E-3</v>
      </c>
      <c r="AJ34" s="14">
        <f ca="1">IF(AJ$1="","",'Total Value'!AJ46/'Total Value'!AI46-1)</f>
        <v>2.8674429204823326E-2</v>
      </c>
      <c r="AK34" s="14">
        <f ca="1">IF(AK$1="","",'Total Value'!AK46/'Total Value'!AJ46-1)</f>
        <v>-3.0735146022155102E-2</v>
      </c>
      <c r="AL34" s="14">
        <f ca="1">IF(AL$1="","",'Total Value'!AL46/'Total Value'!AK46-1)</f>
        <v>-3.8317679328401577E-2</v>
      </c>
      <c r="AM34" s="14">
        <f ca="1">IF(AM$1="","",'Total Value'!AM46/'Total Value'!AL46-1)</f>
        <v>3.7554019014693241E-2</v>
      </c>
      <c r="AN34" s="14">
        <f ca="1">IF(AN$1="","",'Total Value'!AN46/'Total Value'!AM46-1)</f>
        <v>-2.2449914615352617E-2</v>
      </c>
      <c r="AO34" s="14">
        <f ca="1">IF(AO$1="","",'Total Value'!AO46/'Total Value'!AN46-1)</f>
        <v>-6.1014060502769474E-2</v>
      </c>
      <c r="AP34" s="14">
        <f ca="1">IF(AP$1="","",'Total Value'!AP46/'Total Value'!AO46-1)</f>
        <v>-6.1938469915600369E-2</v>
      </c>
      <c r="AQ34" s="14">
        <f ca="1">IF(AQ$1="","",'Total Value'!AQ46/'Total Value'!AP46-1)</f>
        <v>-3.2893145648913436E-3</v>
      </c>
      <c r="AR34" s="14">
        <f ca="1">IF(AR$1="","",'Total Value'!AR46/'Total Value'!AQ46-1)</f>
        <v>5.3385100703712718E-2</v>
      </c>
      <c r="AS34" s="14">
        <f ca="1">IF(AS$1="","",'Total Value'!AS46/'Total Value'!AR46-1)</f>
        <v>-2.0133609767334693E-2</v>
      </c>
      <c r="AT34" s="14">
        <f ca="1">IF(AT$1="","",'Total Value'!AT46/'Total Value'!AS46-1)</f>
        <v>-4.8899755501223829E-3</v>
      </c>
      <c r="AU34" s="14">
        <f ca="1">IF(AU$1="","",'Total Value'!AU46/'Total Value'!AT46-1)</f>
        <v>9.497259497259547E-3</v>
      </c>
      <c r="AV34" s="14">
        <f ca="1">IF(AV$1="","",'Total Value'!AV46/'Total Value'!AU46-1)</f>
        <v>2.1296512988532523E-2</v>
      </c>
      <c r="AW34" s="14">
        <f ca="1">IF(AW$1="","",'Total Value'!AW46/'Total Value'!AV46-1)</f>
        <v>6.0265811182401485E-2</v>
      </c>
      <c r="AX34" s="14">
        <f ca="1">IF(AX$1="","",'Total Value'!AX46/'Total Value'!AW46-1)</f>
        <v>2.338448238599522E-2</v>
      </c>
      <c r="AY34" s="14">
        <f ca="1">IF(AY$1="","",'Total Value'!AY46/'Total Value'!AX46-1)</f>
        <v>7.3914512586585879E-3</v>
      </c>
      <c r="AZ34" s="14">
        <f ca="1">IF(AZ$1="","",'Total Value'!AZ46/'Total Value'!AY46-1)</f>
        <v>5.7020669992873252E-3</v>
      </c>
      <c r="BA34" s="14">
        <f ca="1">IF(BA$1="","",'Total Value'!BA46/'Total Value'!AZ46-1)</f>
        <v>1.3799141201484177E-2</v>
      </c>
      <c r="BB34" s="14">
        <f ca="1">IF(BB$1="","",'Total Value'!BB46/'Total Value'!BA46-1)</f>
        <v>-2.1424459248293504E-2</v>
      </c>
      <c r="BC34" s="14">
        <f ca="1">IF(BC$1="","",'Total Value'!BC46/'Total Value'!BB46-1)</f>
        <v>1.5590200445434244E-2</v>
      </c>
      <c r="BD34" s="14">
        <f ca="1">IF(BD$1="","",'Total Value'!BD46/'Total Value'!BC46-1)</f>
        <v>1.1792452830188704E-2</v>
      </c>
      <c r="BE34" s="14">
        <f ca="1">IF(BE$1="","",'Total Value'!BE46/'Total Value'!BD46-1)</f>
        <v>-1.7584754426859694E-2</v>
      </c>
      <c r="BF34" s="14">
        <f ca="1">IF(BF$1="","",'Total Value'!BF46/'Total Value'!BE46-1)</f>
        <v>2.9721516879656962E-2</v>
      </c>
      <c r="BG34" s="14">
        <f ca="1">IF(BG$1="","",'Total Value'!BG46/'Total Value'!BF46-1)</f>
        <v>-1.9565832558515628E-2</v>
      </c>
      <c r="BH34" s="14">
        <f ca="1">IF(BH$1="","",'Total Value'!BH46/'Total Value'!BG46-1)</f>
        <v>-1.0472931183771017E-2</v>
      </c>
      <c r="BI34" s="14">
        <f ca="1">IF(BI$1="","",'Total Value'!BI46/'Total Value'!BH46-1)</f>
        <v>-1.0833784741031138E-3</v>
      </c>
      <c r="BJ34" s="14">
        <f ca="1">IF(BJ$1="","",'Total Value'!BJ46/'Total Value'!BI46-1)</f>
        <v>-8.7598548366912832E-3</v>
      </c>
      <c r="BK34" s="14">
        <f ca="1">IF(BK$1="","",'Total Value'!BK46/'Total Value'!BJ46-1)</f>
        <v>-2.343980137188062E-2</v>
      </c>
      <c r="BL34" s="14">
        <f ca="1">IF(BL$1="","",'Total Value'!BL46/'Total Value'!BK46-1)</f>
        <v>-4.701370335258126E-2</v>
      </c>
      <c r="BM34" s="14">
        <f ca="1">IF(BM$1="","",'Total Value'!BM46/'Total Value'!BL46-1)</f>
        <v>-1.2796744291205142E-2</v>
      </c>
      <c r="BN34" s="14">
        <f ca="1">IF(BN$1="","",'Total Value'!BN46/'Total Value'!BM46-1)</f>
        <v>-6.6507878343715521E-2</v>
      </c>
      <c r="BO34" s="14">
        <f ca="1">IF(BO$1="","",'Total Value'!BO46/'Total Value'!BN46-1)</f>
        <v>-2.4092247301275904E-2</v>
      </c>
      <c r="BP34" s="14">
        <f ca="1">IF(BP$1="","",'Total Value'!BP46/'Total Value'!BO46-1)</f>
        <v>-3.0670219719441949E-3</v>
      </c>
      <c r="BQ34" s="14">
        <f ca="1">IF(BQ$1="","",'Total Value'!BQ46/'Total Value'!BP46-1)</f>
        <v>4.4028646358684531E-2</v>
      </c>
      <c r="BR34" s="14">
        <f ca="1">IF(BR$1="","",'Total Value'!BR46/'Total Value'!BQ46-1)</f>
        <v>-1.9371044877058985E-2</v>
      </c>
      <c r="BS34" s="14">
        <f ca="1">IF(BS$1="","",'Total Value'!BS46/'Total Value'!BR46-1)</f>
        <v>-2.15763546798029E-2</v>
      </c>
      <c r="BT34" s="14">
        <f ca="1">IF(BT$1="","",'Total Value'!BT46/'Total Value'!BS46-1)</f>
        <v>5.5281441949451171E-2</v>
      </c>
      <c r="BU34" s="14">
        <f ca="1">IF(BU$1="","",'Total Value'!BU46/'Total Value'!BT46-1)</f>
        <v>6.6793893129779569E-4</v>
      </c>
      <c r="BV34" s="14">
        <f ca="1">IF(BV$1="","",'Total Value'!BV46/'Total Value'!BU46-1)</f>
        <v>-2.9751120434824085E-2</v>
      </c>
      <c r="BW34" s="14">
        <f ca="1">IF(BW$1="","",'Total Value'!BW46/'Total Value'!BV46-1)</f>
        <v>-3.3710073710073729E-2</v>
      </c>
      <c r="BX34" s="14">
        <f ca="1">IF(BX$1="","",'Total Value'!BX46/'Total Value'!BW46-1)</f>
        <v>3.966639544344952E-3</v>
      </c>
      <c r="BY34" s="14">
        <f ca="1">IF(BY$1="","",'Total Value'!BY46/'Total Value'!BX46-1)</f>
        <v>-6.275959882484039E-2</v>
      </c>
      <c r="BZ34" s="14">
        <f ca="1">IF(BZ$1="","",'Total Value'!BZ46/'Total Value'!BY46-1)</f>
        <v>-1.4051775387774912E-2</v>
      </c>
      <c r="CA34" s="14">
        <f ca="1">IF(CA$1="","",'Total Value'!CA46/'Total Value'!BZ46-1)</f>
        <v>8.6060406731349737E-3</v>
      </c>
      <c r="CB34" s="14">
        <f ca="1">IF(CB$1="","",'Total Value'!CB46/'Total Value'!CA46-1)</f>
        <v>-3.7173913043478279E-2</v>
      </c>
      <c r="CC34" s="14">
        <f ca="1">IF(CC$1="","",'Total Value'!CC46/'Total Value'!CB46-1)</f>
        <v>1.5240460600587147E-2</v>
      </c>
      <c r="CD34" s="14">
        <f ca="1">IF(CD$1="","",'Total Value'!CD46/'Total Value'!CC46-1)</f>
        <v>-1.1397753808517819E-2</v>
      </c>
      <c r="CE34" s="14">
        <f ca="1">IF(CE$1="","",'Total Value'!CE46/'Total Value'!CD46-1)</f>
        <v>3.4081322760249666E-2</v>
      </c>
      <c r="CF34" s="14" t="str">
        <f ca="1">IF(CF$1="","",'Total Value'!CF46/'Total Value'!CE46-1)</f>
        <v/>
      </c>
      <c r="CG34" s="14" t="str">
        <f ca="1">IF(CG$1="","",'Total Value'!CG46/'Total Value'!CF46-1)</f>
        <v/>
      </c>
      <c r="CH34" s="14" t="str">
        <f ca="1">IF(CH$1="","",'Total Value'!CH46/'Total Value'!CG46-1)</f>
        <v/>
      </c>
      <c r="CI34" s="14" t="str">
        <f ca="1">IF(CI$1="","",'Total Value'!CI46/'Total Value'!CH46-1)</f>
        <v/>
      </c>
      <c r="CJ34" s="14" t="str">
        <f ca="1">IF(CJ$1="","",'Total Value'!CJ46/'Total Value'!CI46-1)</f>
        <v/>
      </c>
      <c r="CK34" s="14" t="str">
        <f ca="1">IF(CK$1="","",'Total Value'!CK46/'Total Value'!CJ46-1)</f>
        <v/>
      </c>
      <c r="CL34" s="14" t="str">
        <f ca="1">IF(CL$1="","",'Total Value'!CL46/'Total Value'!CK46-1)</f>
        <v/>
      </c>
      <c r="CM34" s="14" t="str">
        <f ca="1">IF(CM$1="","",'Total Value'!CM46/'Total Value'!CL46-1)</f>
        <v/>
      </c>
      <c r="CN34" s="14" t="str">
        <f ca="1">IF(CN$1="","",'Total Value'!CN46/'Total Value'!CM46-1)</f>
        <v/>
      </c>
      <c r="CO34" s="14" t="str">
        <f ca="1">IF(CO$1="","",'Total Value'!CO46/'Total Value'!CN46-1)</f>
        <v/>
      </c>
      <c r="CP34" s="14" t="str">
        <f ca="1">IF(CP$1="","",'Total Value'!CP46/'Total Value'!CO46-1)</f>
        <v/>
      </c>
      <c r="CQ34" s="14" t="str">
        <f ca="1">IF(CQ$1="","",'Total Value'!CQ46/'Total Value'!CP46-1)</f>
        <v/>
      </c>
      <c r="CR34" s="14" t="str">
        <f ca="1">IF(CR$1="","",'Total Value'!CR46/'Total Value'!CQ46-1)</f>
        <v/>
      </c>
      <c r="CS34" s="14" t="str">
        <f ca="1">IF(CS$1="","",'Total Value'!CS46/'Total Value'!CR46-1)</f>
        <v/>
      </c>
      <c r="CT34" s="14" t="str">
        <f ca="1">IF(CT$1="","",'Total Value'!CT46/'Total Value'!CS46-1)</f>
        <v/>
      </c>
      <c r="CU34" s="14" t="str">
        <f ca="1">IF(CU$1="","",'Total Value'!CU46/'Total Value'!CT46-1)</f>
        <v/>
      </c>
      <c r="CV34" s="14" t="str">
        <f ca="1">IF(CV$1="","",'Total Value'!CV46/'Total Value'!CU46-1)</f>
        <v/>
      </c>
      <c r="CW34" s="14" t="str">
        <f ca="1">IF(CW$1="","",'Total Value'!CW46/'Total Value'!CV46-1)</f>
        <v/>
      </c>
      <c r="CX34" s="14" t="str">
        <f ca="1">IF(CX$1="","",'Total Value'!CX46/'Total Value'!CW46-1)</f>
        <v/>
      </c>
      <c r="CY34" s="14" t="str">
        <f ca="1">IF(CY$1="","",'Total Value'!CY46/'Total Value'!CX46-1)</f>
        <v/>
      </c>
      <c r="CZ34" s="14" t="str">
        <f ca="1">IF(CZ$1="","",'Total Value'!CZ46/'Total Value'!CY46-1)</f>
        <v/>
      </c>
      <c r="DA34" s="14" t="str">
        <f ca="1">IF(DA$1="","",'Total Value'!DA46/'Total Value'!CZ46-1)</f>
        <v/>
      </c>
      <c r="DB34" s="14" t="str">
        <f ca="1">IF(DB$1="","",'Total Value'!DB46/'Total Value'!DA46-1)</f>
        <v/>
      </c>
      <c r="DC34" s="14" t="str">
        <f ca="1">IF(DC$1="","",'Total Value'!DC46/'Total Value'!DB46-1)</f>
        <v/>
      </c>
      <c r="DD34" s="14" t="str">
        <f ca="1">IF(DD$1="","",'Total Value'!DD46/'Total Value'!DC46-1)</f>
        <v/>
      </c>
      <c r="DE34" s="14" t="str">
        <f ca="1">IF(DE$1="","",'Total Value'!DE46/'Total Value'!DD46-1)</f>
        <v/>
      </c>
      <c r="DF34" s="14" t="str">
        <f ca="1">IF(DF$1="","",'Total Value'!DF46/'Total Value'!DE46-1)</f>
        <v/>
      </c>
      <c r="DG34" s="14" t="str">
        <f ca="1">IF(DG$1="","",'Total Value'!DG46/'Total Value'!DF46-1)</f>
        <v/>
      </c>
      <c r="DH34" s="14" t="str">
        <f ca="1">IF(DH$1="","",'Total Value'!DH46/'Total Value'!DG46-1)</f>
        <v/>
      </c>
      <c r="DI34" s="14" t="str">
        <f ca="1">IF(DI$1="","",'Total Value'!DI46/'Total Value'!DH46-1)</f>
        <v/>
      </c>
      <c r="DJ34" s="14" t="str">
        <f ca="1">IF(DJ$1="","",'Total Value'!DJ46/'Total Value'!DI46-1)</f>
        <v/>
      </c>
      <c r="DK34" s="14" t="str">
        <f ca="1">IF(DK$1="","",'Total Value'!DK46/'Total Value'!DJ46-1)</f>
        <v/>
      </c>
      <c r="DL34" s="14" t="str">
        <f ca="1">IF(DL$1="","",'Total Value'!DL46/'Total Value'!DK46-1)</f>
        <v/>
      </c>
      <c r="DM34" s="14" t="str">
        <f ca="1">IF(DM$1="","",'Total Value'!DM46/'Total Value'!DL46-1)</f>
        <v/>
      </c>
      <c r="DN34" s="14" t="str">
        <f ca="1">IF(DN$1="","",'Total Value'!DN46/'Total Value'!DM46-1)</f>
        <v/>
      </c>
      <c r="DO34" s="14" t="str">
        <f ca="1">IF(DO$1="","",'Total Value'!DO46/'Total Value'!DN46-1)</f>
        <v/>
      </c>
      <c r="DP34" s="14" t="str">
        <f ca="1">IF(DP$1="","",'Total Value'!DP46/'Total Value'!DO46-1)</f>
        <v/>
      </c>
      <c r="DQ34" s="14" t="str">
        <f ca="1">IF(DQ$1="","",'Total Value'!DQ46/'Total Value'!DP46-1)</f>
        <v/>
      </c>
      <c r="DR34" s="14" t="str">
        <f ca="1">IF(DR$1="","",'Total Value'!DR46/'Total Value'!DQ46-1)</f>
        <v/>
      </c>
      <c r="DS34" s="14" t="str">
        <f ca="1">IF(DS$1="","",'Total Value'!DS46/'Total Value'!DR46-1)</f>
        <v/>
      </c>
      <c r="DT34" s="14" t="str">
        <f ca="1">IF(DT$1="","",'Total Value'!DT46/'Total Value'!DS46-1)</f>
        <v/>
      </c>
      <c r="DU34" s="14" t="str">
        <f ca="1">IF(DU$1="","",'Total Value'!DU46/'Total Value'!DT46-1)</f>
        <v/>
      </c>
      <c r="DV34" s="14" t="str">
        <f ca="1">IF(DV$1="","",'Total Value'!DV46/'Total Value'!DU46-1)</f>
        <v/>
      </c>
      <c r="DW34" s="14" t="str">
        <f ca="1">IF(DW$1="","",'Total Value'!DW46/'Total Value'!DV46-1)</f>
        <v/>
      </c>
      <c r="DX34" s="14" t="str">
        <f ca="1">IF(DX$1="","",'Total Value'!DX46/'Total Value'!DW46-1)</f>
        <v/>
      </c>
      <c r="DY34" s="14" t="str">
        <f ca="1">IF(DY$1="","",'Total Value'!DY46/'Total Value'!DX46-1)</f>
        <v/>
      </c>
      <c r="DZ34" s="14" t="str">
        <f ca="1">IF(DZ$1="","",'Total Value'!DZ46/'Total Value'!DY46-1)</f>
        <v/>
      </c>
      <c r="EA34" s="14" t="str">
        <f ca="1">IF(EA$1="","",'Total Value'!EA46/'Total Value'!DZ46-1)</f>
        <v/>
      </c>
      <c r="EB34" s="14" t="str">
        <f ca="1">IF(EB$1="","",'Total Value'!EB46/'Total Value'!EA46-1)</f>
        <v/>
      </c>
      <c r="EC34" s="14" t="str">
        <f ca="1">IF(EC$1="","",'Total Value'!EC46/'Total Value'!EB46-1)</f>
        <v/>
      </c>
      <c r="ED34" s="14" t="str">
        <f ca="1">IF(ED$1="","",'Total Value'!ED46/'Total Value'!EC46-1)</f>
        <v/>
      </c>
      <c r="EE34" s="14" t="str">
        <f ca="1">IF(EE$1="","",'Total Value'!EE46/'Total Value'!ED46-1)</f>
        <v/>
      </c>
      <c r="EF34" s="14" t="str">
        <f ca="1">IF(EF$1="","",'Total Value'!EF46/'Total Value'!EE46-1)</f>
        <v/>
      </c>
      <c r="EG34" s="14" t="str">
        <f ca="1">IF(EG$1="","",'Total Value'!EG46/'Total Value'!EF46-1)</f>
        <v/>
      </c>
      <c r="EH34" s="14" t="str">
        <f ca="1">IF(EH$1="","",'Total Value'!EH46/'Total Value'!EG46-1)</f>
        <v/>
      </c>
      <c r="EI34" s="14" t="str">
        <f ca="1">IF(EI$1="","",'Total Value'!EI46/'Total Value'!EH46-1)</f>
        <v/>
      </c>
      <c r="EJ34" s="14" t="str">
        <f ca="1">IF(EJ$1="","",'Total Value'!EJ46/'Total Value'!EI46-1)</f>
        <v/>
      </c>
      <c r="EK34" s="14" t="str">
        <f ca="1">IF(EK$1="","",'Total Value'!EK46/'Total Value'!EJ46-1)</f>
        <v/>
      </c>
      <c r="EL34" s="14" t="str">
        <f ca="1">IF(EL$1="","",'Total Value'!EL46/'Total Value'!EK46-1)</f>
        <v/>
      </c>
      <c r="EM34" s="14" t="str">
        <f ca="1">IF(EM$1="","",'Total Value'!EM46/'Total Value'!EL46-1)</f>
        <v/>
      </c>
      <c r="EN34" s="14" t="str">
        <f ca="1">IF(EN$1="","",'Total Value'!EN46/'Total Value'!EM46-1)</f>
        <v/>
      </c>
      <c r="EO34" s="14" t="str">
        <f ca="1">IF(EO$1="","",'Total Value'!EO46/'Total Value'!EN46-1)</f>
        <v/>
      </c>
      <c r="EP34" s="14" t="str">
        <f ca="1">IF(EP$1="","",'Total Value'!EP46/'Total Value'!EO46-1)</f>
        <v/>
      </c>
      <c r="EQ34" s="14" t="str">
        <f ca="1">IF(EQ$1="","",'Total Value'!EQ46/'Total Value'!EP46-1)</f>
        <v/>
      </c>
      <c r="ER34" s="14" t="str">
        <f ca="1">IF(ER$1="","",'Total Value'!ER46/'Total Value'!EQ46-1)</f>
        <v/>
      </c>
      <c r="ES34" s="14" t="str">
        <f ca="1">IF(ES$1="","",'Total Value'!ES46/'Total Value'!ER46-1)</f>
        <v/>
      </c>
      <c r="ET34" s="14" t="str">
        <f ca="1">IF(ET$1="","",'Total Value'!ET46/'Total Value'!ES46-1)</f>
        <v/>
      </c>
      <c r="EU34" s="14" t="str">
        <f ca="1">IF(EU$1="","",'Total Value'!EU46/'Total Value'!ET46-1)</f>
        <v/>
      </c>
      <c r="EV34" s="14" t="str">
        <f ca="1">IF(EV$1="","",'Total Value'!EV46/'Total Value'!EU46-1)</f>
        <v/>
      </c>
      <c r="EW34" s="14" t="str">
        <f ca="1">IF(EW$1="","",'Total Value'!EW46/'Total Value'!EV46-1)</f>
        <v/>
      </c>
      <c r="EX34" s="14" t="str">
        <f ca="1">IF(EX$1="","",'Total Value'!EX46/'Total Value'!EW46-1)</f>
        <v/>
      </c>
      <c r="EY34" s="14" t="str">
        <f ca="1">IF(EY$1="","",'Total Value'!EY46/'Total Value'!EX46-1)</f>
        <v/>
      </c>
      <c r="EZ34" s="14" t="str">
        <f ca="1">IF(EZ$1="","",'Total Value'!EZ46/'Total Value'!EY46-1)</f>
        <v/>
      </c>
      <c r="FA34" s="14" t="str">
        <f ca="1">IF(FA$1="","",'Total Value'!FA46/'Total Value'!EZ46-1)</f>
        <v/>
      </c>
      <c r="FB34" s="14" t="str">
        <f ca="1">IF(FB$1="","",'Total Value'!FB46/'Total Value'!FA46-1)</f>
        <v/>
      </c>
      <c r="FC34" s="14" t="str">
        <f ca="1">IF(FC$1="","",'Total Value'!FC46/'Total Value'!FB46-1)</f>
        <v/>
      </c>
      <c r="FD34" s="14" t="str">
        <f ca="1">IF(FD$1="","",'Total Value'!FD46/'Total Value'!FC46-1)</f>
        <v/>
      </c>
      <c r="FE34" s="14" t="str">
        <f ca="1">IF(FE$1="","",'Total Value'!FE46/'Total Value'!FD46-1)</f>
        <v/>
      </c>
      <c r="FF34" s="14" t="str">
        <f ca="1">IF(FF$1="","",'Total Value'!FF46/'Total Value'!FE46-1)</f>
        <v/>
      </c>
      <c r="FG34" s="14" t="str">
        <f ca="1">IF(FG$1="","",'Total Value'!FG46/'Total Value'!FF46-1)</f>
        <v/>
      </c>
      <c r="FH34" s="14" t="str">
        <f ca="1">IF(FH$1="","",'Total Value'!FH46/'Total Value'!FG46-1)</f>
        <v/>
      </c>
      <c r="FI34" s="14" t="str">
        <f ca="1">IF(FI$1="","",'Total Value'!FI46/'Total Value'!FH46-1)</f>
        <v/>
      </c>
      <c r="FJ34" s="14" t="str">
        <f ca="1">IF(FJ$1="","",'Total Value'!FJ46/'Total Value'!FI46-1)</f>
        <v/>
      </c>
      <c r="FK34" s="14" t="str">
        <f ca="1">IF(FK$1="","",'Total Value'!FK46/'Total Value'!FJ46-1)</f>
        <v/>
      </c>
      <c r="FL34" s="14" t="str">
        <f ca="1">IF(FL$1="","",'Total Value'!FL46/'Total Value'!FK46-1)</f>
        <v/>
      </c>
      <c r="FM34" s="14" t="str">
        <f ca="1">IF(FM$1="","",'Total Value'!FM46/'Total Value'!FL46-1)</f>
        <v/>
      </c>
      <c r="FN34" s="14" t="str">
        <f ca="1">IF(FN$1="","",'Total Value'!FN46/'Total Value'!FM46-1)</f>
        <v/>
      </c>
      <c r="FO34" s="14" t="str">
        <f ca="1">IF(FO$1="","",'Total Value'!FO46/'Total Value'!FN46-1)</f>
        <v/>
      </c>
      <c r="FP34" s="14" t="str">
        <f ca="1">IF(FP$1="","",'Total Value'!FP46/'Total Value'!FO46-1)</f>
        <v/>
      </c>
      <c r="FQ34" s="14" t="str">
        <f ca="1">IF(FQ$1="","",'Total Value'!FQ46/'Total Value'!FP46-1)</f>
        <v/>
      </c>
      <c r="FR34" s="14" t="str">
        <f ca="1">IF(FR$1="","",'Total Value'!FR46/'Total Value'!FQ46-1)</f>
        <v/>
      </c>
      <c r="FS34" s="14" t="str">
        <f ca="1">IF(FS$1="","",'Total Value'!FS46/'Total Value'!FR46-1)</f>
        <v/>
      </c>
      <c r="FT34" s="14" t="str">
        <f ca="1">IF(FT$1="","",'Total Value'!FT46/'Total Value'!FS46-1)</f>
        <v/>
      </c>
      <c r="FU34" s="14" t="str">
        <f ca="1">IF(FU$1="","",'Total Value'!FU46/'Total Value'!FT46-1)</f>
        <v/>
      </c>
      <c r="FV34" s="14" t="str">
        <f ca="1">IF(FV$1="","",'Total Value'!FV46/'Total Value'!FU46-1)</f>
        <v/>
      </c>
      <c r="FW34" s="14" t="str">
        <f ca="1">IF(FW$1="","",'Total Value'!FW46/'Total Value'!FV46-1)</f>
        <v/>
      </c>
      <c r="FX34" s="14" t="str">
        <f ca="1">IF(FX$1="","",'Total Value'!FX46/'Total Value'!FW46-1)</f>
        <v/>
      </c>
      <c r="FY34" s="14" t="str">
        <f ca="1">IF(FY$1="","",'Total Value'!FY46/'Total Value'!FX46-1)</f>
        <v/>
      </c>
      <c r="FZ34" s="14" t="str">
        <f ca="1">IF(FZ$1="","",'Total Value'!FZ46/'Total Value'!FY46-1)</f>
        <v/>
      </c>
      <c r="GA34" s="14" t="str">
        <f ca="1">IF(GA$1="","",'Total Value'!GA46/'Total Value'!FZ46-1)</f>
        <v/>
      </c>
      <c r="GB34" s="14" t="str">
        <f ca="1">IF(GB$1="","",'Total Value'!GB46/'Total Value'!GA46-1)</f>
        <v/>
      </c>
      <c r="GC34" s="14" t="str">
        <f ca="1">IF(GC$1="","",'Total Value'!GC46/'Total Value'!GB46-1)</f>
        <v/>
      </c>
      <c r="GD34" s="14" t="str">
        <f ca="1">IF(GD$1="","",'Total Value'!GD46/'Total Value'!GC46-1)</f>
        <v/>
      </c>
      <c r="GE34" s="14" t="str">
        <f ca="1">IF(GE$1="","",'Total Value'!GE46/'Total Value'!GD46-1)</f>
        <v/>
      </c>
      <c r="GF34" s="14" t="str">
        <f ca="1">IF(GF$1="","",'Total Value'!GF46/'Total Value'!GE46-1)</f>
        <v/>
      </c>
      <c r="GG34" s="14" t="str">
        <f ca="1">IF(GG$1="","",'Total Value'!GG46/'Total Value'!GF46-1)</f>
        <v/>
      </c>
      <c r="GH34" s="14" t="str">
        <f ca="1">IF(GH$1="","",'Total Value'!GH46/'Total Value'!GG46-1)</f>
        <v/>
      </c>
      <c r="GI34" s="14" t="str">
        <f ca="1">IF(GI$1="","",'Total Value'!GI46/'Total Value'!GH46-1)</f>
        <v/>
      </c>
      <c r="GJ34" s="14" t="str">
        <f ca="1">IF(GJ$1="","",'Total Value'!GJ46/'Total Value'!GI46-1)</f>
        <v/>
      </c>
      <c r="GK34" s="14" t="str">
        <f ca="1">IF(GK$1="","",'Total Value'!GK46/'Total Value'!GJ46-1)</f>
        <v/>
      </c>
      <c r="GL34" s="14" t="str">
        <f ca="1">IF(GL$1="","",'Total Value'!GL46/'Total Value'!GK46-1)</f>
        <v/>
      </c>
      <c r="GM34" s="14" t="str">
        <f ca="1">IF(GM$1="","",'Total Value'!GM46/'Total Value'!GL46-1)</f>
        <v/>
      </c>
      <c r="GN34" s="14" t="str">
        <f ca="1">IF(GN$1="","",'Total Value'!GN46/'Total Value'!GM46-1)</f>
        <v/>
      </c>
      <c r="GO34" s="14" t="str">
        <f ca="1">IF(GO$1="","",'Total Value'!GO46/'Total Value'!GN46-1)</f>
        <v/>
      </c>
      <c r="GP34" s="14" t="str">
        <f ca="1">IF(GP$1="","",'Total Value'!GP46/'Total Value'!GO46-1)</f>
        <v/>
      </c>
      <c r="GQ34" s="14" t="str">
        <f ca="1">IF(GQ$1="","",'Total Value'!GQ46/'Total Value'!GP46-1)</f>
        <v/>
      </c>
      <c r="GR34" s="14" t="str">
        <f ca="1">IF(GR$1="","",'Total Value'!GR46/'Total Value'!GQ46-1)</f>
        <v/>
      </c>
      <c r="GS34" s="14" t="str">
        <f ca="1">IF(GS$1="","",'Total Value'!GS46/'Total Value'!GR46-1)</f>
        <v/>
      </c>
      <c r="GT34" s="14" t="str">
        <f ca="1">IF(GT$1="","",'Total Value'!GT46/'Total Value'!GS46-1)</f>
        <v/>
      </c>
      <c r="GU34" s="14" t="str">
        <f ca="1">IF(GU$1="","",'Total Value'!GU46/'Total Value'!GT46-1)</f>
        <v/>
      </c>
      <c r="GV34" s="14" t="str">
        <f ca="1">IF(GV$1="","",'Total Value'!GV46/'Total Value'!GU46-1)</f>
        <v/>
      </c>
      <c r="GW34" s="14" t="str">
        <f ca="1">IF(GW$1="","",'Total Value'!GW46/'Total Value'!GV46-1)</f>
        <v/>
      </c>
      <c r="GX34" s="14" t="str">
        <f ca="1">IF(GX$1="","",'Total Value'!GX46/'Total Value'!GW46-1)</f>
        <v/>
      </c>
      <c r="GY34" s="14" t="str">
        <f ca="1">IF(GY$1="","",'Total Value'!GY46/'Total Value'!GX46-1)</f>
        <v/>
      </c>
      <c r="GZ34" s="14" t="str">
        <f ca="1">IF(GZ$1="","",'Total Value'!GZ46/'Total Value'!GY46-1)</f>
        <v/>
      </c>
      <c r="HA34" s="14" t="str">
        <f ca="1">IF(HA$1="","",'Total Value'!HA46/'Total Value'!GZ46-1)</f>
        <v/>
      </c>
      <c r="HB34" s="14" t="str">
        <f ca="1">IF(HB$1="","",'Total Value'!HB46/'Total Value'!HA46-1)</f>
        <v/>
      </c>
      <c r="HC34" s="14" t="str">
        <f ca="1">IF(HC$1="","",'Total Value'!HC46/'Total Value'!HB46-1)</f>
        <v/>
      </c>
      <c r="HD34" s="14" t="str">
        <f ca="1">IF(HD$1="","",'Total Value'!HD46/'Total Value'!HC46-1)</f>
        <v/>
      </c>
      <c r="HE34" s="14" t="str">
        <f ca="1">IF(HE$1="","",'Total Value'!HE46/'Total Value'!HD46-1)</f>
        <v/>
      </c>
      <c r="HF34" s="14" t="str">
        <f ca="1">IF(HF$1="","",'Total Value'!HF46/'Total Value'!HE46-1)</f>
        <v/>
      </c>
      <c r="HG34" s="14" t="str">
        <f ca="1">IF(HG$1="","",'Total Value'!HG46/'Total Value'!HF46-1)</f>
        <v/>
      </c>
      <c r="HH34" s="14" t="str">
        <f ca="1">IF(HH$1="","",'Total Value'!HH46/'Total Value'!HG46-1)</f>
        <v/>
      </c>
      <c r="HI34" s="14" t="str">
        <f ca="1">IF(HI$1="","",'Total Value'!HI46/'Total Value'!HH46-1)</f>
        <v/>
      </c>
      <c r="HJ34" s="14" t="str">
        <f ca="1">IF(HJ$1="","",'Total Value'!HJ46/'Total Value'!HI46-1)</f>
        <v/>
      </c>
      <c r="HK34" s="14" t="str">
        <f ca="1">IF(HK$1="","",'Total Value'!HK46/'Total Value'!HJ46-1)</f>
        <v/>
      </c>
      <c r="HL34" s="14" t="str">
        <f ca="1">IF(HL$1="","",'Total Value'!HL46/'Total Value'!HK46-1)</f>
        <v/>
      </c>
      <c r="HM34" s="14" t="str">
        <f ca="1">IF(HM$1="","",'Total Value'!HM46/'Total Value'!HL46-1)</f>
        <v/>
      </c>
      <c r="HN34" s="14" t="str">
        <f ca="1">IF(HN$1="","",'Total Value'!HN46/'Total Value'!HM46-1)</f>
        <v/>
      </c>
      <c r="HO34" s="14" t="str">
        <f ca="1">IF(HO$1="","",'Total Value'!HO46/'Total Value'!HN46-1)</f>
        <v/>
      </c>
      <c r="HP34" s="14" t="str">
        <f ca="1">IF(HP$1="","",'Total Value'!HP46/'Total Value'!HO46-1)</f>
        <v/>
      </c>
      <c r="HQ34" s="14" t="str">
        <f ca="1">IF(HQ$1="","",'Total Value'!HQ46/'Total Value'!HP46-1)</f>
        <v/>
      </c>
      <c r="HR34" s="14" t="str">
        <f ca="1">IF(HR$1="","",'Total Value'!HR46/'Total Value'!HQ46-1)</f>
        <v/>
      </c>
      <c r="HS34" s="14" t="str">
        <f ca="1">IF(HS$1="","",'Total Value'!HS46/'Total Value'!HR46-1)</f>
        <v/>
      </c>
      <c r="HT34" s="14" t="str">
        <f ca="1">IF(HT$1="","",'Total Value'!HT46/'Total Value'!HS46-1)</f>
        <v/>
      </c>
      <c r="HU34" s="14" t="str">
        <f ca="1">IF(HU$1="","",'Total Value'!HU46/'Total Value'!HT46-1)</f>
        <v/>
      </c>
      <c r="HV34" s="14" t="str">
        <f ca="1">IF(HV$1="","",'Total Value'!HV46/'Total Value'!HU46-1)</f>
        <v/>
      </c>
      <c r="HW34" s="14" t="str">
        <f ca="1">IF(HW$1="","",'Total Value'!HW46/'Total Value'!HV46-1)</f>
        <v/>
      </c>
      <c r="HX34" s="14" t="str">
        <f ca="1">IF(HX$1="","",'Total Value'!HX46/'Total Value'!HW46-1)</f>
        <v/>
      </c>
      <c r="HY34" s="14" t="str">
        <f ca="1">IF(HY$1="","",'Total Value'!HY46/'Total Value'!HX46-1)</f>
        <v/>
      </c>
      <c r="HZ34" s="14" t="str">
        <f ca="1">IF(HZ$1="","",'Total Value'!HZ46/'Total Value'!HY46-1)</f>
        <v/>
      </c>
      <c r="IA34" s="14" t="str">
        <f ca="1">IF(IA$1="","",'Total Value'!IA46/'Total Value'!HZ46-1)</f>
        <v/>
      </c>
      <c r="IB34" s="14" t="str">
        <f ca="1">IF(IB$1="","",'Total Value'!IB46/'Total Value'!IA46-1)</f>
        <v/>
      </c>
      <c r="IC34" s="14" t="str">
        <f ca="1">IF(IC$1="","",'Total Value'!IC46/'Total Value'!IB46-1)</f>
        <v/>
      </c>
      <c r="ID34" s="14" t="str">
        <f ca="1">IF(ID$1="","",'Total Value'!ID46/'Total Value'!IC46-1)</f>
        <v/>
      </c>
      <c r="IE34" s="14" t="str">
        <f ca="1">IF(IE$1="","",'Total Value'!IE46/'Total Value'!ID46-1)</f>
        <v/>
      </c>
      <c r="IF34" s="14" t="str">
        <f ca="1">IF(IF$1="","",'Total Value'!IF46/'Total Value'!IE46-1)</f>
        <v/>
      </c>
      <c r="IG34" s="14" t="str">
        <f ca="1">IF(IG$1="","",'Total Value'!IG46/'Total Value'!IF46-1)</f>
        <v/>
      </c>
      <c r="IH34" s="14" t="str">
        <f ca="1">IF(IH$1="","",'Total Value'!IH46/'Total Value'!IG46-1)</f>
        <v/>
      </c>
      <c r="II34" s="14" t="str">
        <f ca="1">IF(II$1="","",'Total Value'!II46/'Total Value'!IH46-1)</f>
        <v/>
      </c>
      <c r="IJ34" s="14" t="str">
        <f ca="1">IF(IJ$1="","",'Total Value'!IJ46/'Total Value'!II46-1)</f>
        <v/>
      </c>
      <c r="IK34" s="14" t="str">
        <f ca="1">IF(IK$1="","",'Total Value'!IK46/'Total Value'!IJ46-1)</f>
        <v/>
      </c>
      <c r="IL34" s="14" t="str">
        <f ca="1">IF(IL$1="","",'Total Value'!IL46/'Total Value'!IK46-1)</f>
        <v/>
      </c>
      <c r="IM34" s="14" t="str">
        <f ca="1">IF(IM$1="","",'Total Value'!IM46/'Total Value'!IL46-1)</f>
        <v/>
      </c>
      <c r="IN34" s="14" t="str">
        <f ca="1">IF(IN$1="","",'Total Value'!IN46/'Total Value'!IM46-1)</f>
        <v/>
      </c>
      <c r="IO34" s="14" t="str">
        <f ca="1">IF(IO$1="","",'Total Value'!IO46/'Total Value'!IN46-1)</f>
        <v/>
      </c>
      <c r="IP34" s="14" t="str">
        <f ca="1">IF(IP$1="","",'Total Value'!IP46/'Total Value'!IO46-1)</f>
        <v/>
      </c>
      <c r="IQ34" s="14" t="str">
        <f ca="1">IF(IQ$1="","",'Total Value'!IQ46/'Total Value'!IP46-1)</f>
        <v/>
      </c>
      <c r="IR34" s="14" t="str">
        <f ca="1">IF(IR$1="","",'Total Value'!IR46/'Total Value'!IQ46-1)</f>
        <v/>
      </c>
      <c r="IS34" s="14" t="str">
        <f ca="1">IF(IS$1="","",'Total Value'!IS46/'Total Value'!IR46-1)</f>
        <v/>
      </c>
      <c r="IT34" s="14" t="str">
        <f ca="1">IF(IT$1="","",'Total Value'!IT46/'Total Value'!IS46-1)</f>
        <v/>
      </c>
      <c r="IU34" s="14" t="str">
        <f ca="1">IF(IU$1="","",'Total Value'!IU46/'Total Value'!IT46-1)</f>
        <v/>
      </c>
      <c r="IV34" s="14" t="str">
        <f ca="1">IF(IV$1="","",'Total Value'!IV46/'Total Value'!IU46-1)</f>
        <v/>
      </c>
      <c r="IW34" s="14" t="str">
        <f ca="1">IF(IW$1="","",'Total Value'!IW46/'Total Value'!IV46-1)</f>
        <v/>
      </c>
      <c r="IX34" s="14" t="str">
        <f ca="1">IF(IX$1="","",'Total Value'!IX46/'Total Value'!IW46-1)</f>
        <v/>
      </c>
      <c r="IY34" s="14" t="str">
        <f ca="1">IF(IY$1="","",'Total Value'!IY46/'Total Value'!IX46-1)</f>
        <v/>
      </c>
      <c r="IZ34" s="14" t="str">
        <f ca="1">IF(IZ$1="","",'Total Value'!IZ46/'Total Value'!IY46-1)</f>
        <v/>
      </c>
      <c r="JA34" s="14" t="str">
        <f ca="1">IF(JA$1="","",'Total Value'!JA46/'Total Value'!IZ46-1)</f>
        <v/>
      </c>
      <c r="JB34" s="14" t="str">
        <f ca="1">IF(JB$1="","",'Total Value'!JB46/'Total Value'!JA46-1)</f>
        <v/>
      </c>
      <c r="JC34" s="14" t="str">
        <f ca="1">IF(JC$1="","",'Total Value'!JC46/'Total Value'!JB46-1)</f>
        <v/>
      </c>
      <c r="JD34" s="14" t="str">
        <f ca="1">IF(JD$1="","",'Total Value'!JD46/'Total Value'!JC46-1)</f>
        <v/>
      </c>
      <c r="JE34" s="14" t="str">
        <f ca="1">IF(JE$1="","",'Total Value'!JE46/'Total Value'!JD46-1)</f>
        <v/>
      </c>
      <c r="JF34" s="14" t="str">
        <f ca="1">IF(JF$1="","",'Total Value'!JF46/'Total Value'!JE46-1)</f>
        <v/>
      </c>
      <c r="JG34" s="14" t="str">
        <f ca="1">IF(JG$1="","",'Total Value'!JG46/'Total Value'!JF46-1)</f>
        <v/>
      </c>
      <c r="JH34" s="14" t="str">
        <f ca="1">IF(JH$1="","",'Total Value'!JH46/'Total Value'!JG46-1)</f>
        <v/>
      </c>
      <c r="JI34" s="14" t="str">
        <f ca="1">IF(JI$1="","",'Total Value'!JI46/'Total Value'!JH46-1)</f>
        <v/>
      </c>
      <c r="JJ34" s="14" t="str">
        <f ca="1">IF(JJ$1="","",'Total Value'!JJ46/'Total Value'!JI46-1)</f>
        <v/>
      </c>
      <c r="JK34" s="14" t="str">
        <f ca="1">IF(JK$1="","",'Total Value'!JK46/'Total Value'!JJ46-1)</f>
        <v/>
      </c>
      <c r="JL34" s="14" t="str">
        <f ca="1">IF(JL$1="","",'Total Value'!JL46/'Total Value'!JK46-1)</f>
        <v/>
      </c>
      <c r="JM34" s="14" t="str">
        <f ca="1">IF(JM$1="","",'Total Value'!JM46/'Total Value'!JL46-1)</f>
        <v/>
      </c>
      <c r="JN34" s="14" t="str">
        <f ca="1">IF(JN$1="","",'Total Value'!JN46/'Total Value'!JM46-1)</f>
        <v/>
      </c>
      <c r="JO34" s="14" t="str">
        <f ca="1">IF(JO$1="","",'Total Value'!JO46/'Total Value'!JN46-1)</f>
        <v/>
      </c>
      <c r="JP34" s="14" t="str">
        <f ca="1">IF(JP$1="","",'Total Value'!JP46/'Total Value'!JO46-1)</f>
        <v/>
      </c>
      <c r="JQ34" s="14" t="str">
        <f ca="1">IF(JQ$1="","",'Total Value'!JQ46/'Total Value'!JP46-1)</f>
        <v/>
      </c>
      <c r="JR34" s="14" t="str">
        <f ca="1">IF(JR$1="","",'Total Value'!JR46/'Total Value'!JQ46-1)</f>
        <v/>
      </c>
      <c r="JS34" s="14" t="str">
        <f ca="1">IF(JS$1="","",'Total Value'!JS46/'Total Value'!JR46-1)</f>
        <v/>
      </c>
      <c r="JT34" s="14" t="str">
        <f ca="1">IF(JT$1="","",'Total Value'!JT46/'Total Value'!JS46-1)</f>
        <v/>
      </c>
      <c r="JU34" s="14" t="str">
        <f ca="1">IF(JU$1="","",'Total Value'!JU46/'Total Value'!JT46-1)</f>
        <v/>
      </c>
      <c r="JV34" s="14" t="str">
        <f ca="1">IF(JV$1="","",'Total Value'!JV46/'Total Value'!JU46-1)</f>
        <v/>
      </c>
      <c r="JW34" s="14" t="str">
        <f ca="1">IF(JW$1="","",'Total Value'!JW46/'Total Value'!JV46-1)</f>
        <v/>
      </c>
      <c r="JX34" s="14" t="str">
        <f ca="1">IF(JX$1="","",'Total Value'!JX46/'Total Value'!JW46-1)</f>
        <v/>
      </c>
      <c r="JY34" s="14" t="str">
        <f ca="1">IF(JY$1="","",'Total Value'!JY46/'Total Value'!JX46-1)</f>
        <v/>
      </c>
      <c r="JZ34" s="14" t="str">
        <f ca="1">IF(JZ$1="","",'Total Value'!JZ46/'Total Value'!JY46-1)</f>
        <v/>
      </c>
      <c r="KA34" s="14" t="str">
        <f ca="1">IF(KA$1="","",'Total Value'!KA46/'Total Value'!JZ46-1)</f>
        <v/>
      </c>
      <c r="KB34" s="14" t="str">
        <f ca="1">IF(KB$1="","",'Total Value'!KB46/'Total Value'!KA46-1)</f>
        <v/>
      </c>
    </row>
    <row r="35" spans="1:288" ht="15.75" customHeight="1">
      <c r="A35" s="22" t="s">
        <v>30</v>
      </c>
      <c r="B35" s="6" t="s">
        <v>79</v>
      </c>
      <c r="C35" s="26">
        <v>35</v>
      </c>
      <c r="D35" s="13">
        <v>0</v>
      </c>
      <c r="E35" s="14">
        <f ca="1">IF(E$1="","",'Total Value'!E47/'Total Value'!D47-1)</f>
        <v>5.5837563451776484E-2</v>
      </c>
      <c r="F35" s="14">
        <f ca="1">IF(F$1="","",'Total Value'!F47/'Total Value'!E47-1)</f>
        <v>3.0594405594406293E-3</v>
      </c>
      <c r="G35" s="14">
        <f ca="1">IF(G$1="","",'Total Value'!G47/'Total Value'!F47-1)</f>
        <v>5.2287581699346219E-3</v>
      </c>
      <c r="H35" s="14">
        <f ca="1">IF(H$1="","",'Total Value'!H47/'Total Value'!G47-1)</f>
        <v>-1.6905071521456594E-2</v>
      </c>
      <c r="I35" s="14">
        <f ca="1">IF(I$1="","",'Total Value'!I47/'Total Value'!H47-1)</f>
        <v>-1.8518518518518379E-2</v>
      </c>
      <c r="J35" s="14">
        <f ca="1">IF(J$1="","",'Total Value'!J47/'Total Value'!I47-1)</f>
        <v>-7.1877807726864473E-3</v>
      </c>
      <c r="K35" s="14">
        <f ca="1">IF(K$1="","",'Total Value'!K47/'Total Value'!J47-1)</f>
        <v>-6.6968325791855188E-2</v>
      </c>
      <c r="L35" s="14">
        <f ca="1">IF(L$1="","",'Total Value'!L47/'Total Value'!K47-1)</f>
        <v>-1.8428709990300773E-2</v>
      </c>
      <c r="M35" s="14">
        <f ca="1">IF(M$1="","",'Total Value'!M47/'Total Value'!L47-1)</f>
        <v>8.7450592885375489E-2</v>
      </c>
      <c r="N35" s="14">
        <f ca="1">IF(N$1="","",'Total Value'!N47/'Total Value'!M47-1)</f>
        <v>-4.5433893684687643E-4</v>
      </c>
      <c r="O35" s="14">
        <f ca="1">IF(O$1="","",'Total Value'!O47/'Total Value'!N47-1)</f>
        <v>-3.7272727272727346E-2</v>
      </c>
      <c r="P35" s="14">
        <f ca="1">IF(P$1="","",'Total Value'!P47/'Total Value'!O47-1)</f>
        <v>0</v>
      </c>
      <c r="Q35" s="14">
        <f ca="1">IF(Q$1="","",'Total Value'!Q47/'Total Value'!P47-1)</f>
        <v>1.0387157695939564E-2</v>
      </c>
      <c r="R35" s="14">
        <f ca="1">IF(R$1="","",'Total Value'!R47/'Total Value'!Q47-1)</f>
        <v>7.5700934579439272E-2</v>
      </c>
      <c r="S35" s="14">
        <f ca="1">IF(S$1="","",'Total Value'!S47/'Total Value'!R47-1)</f>
        <v>-1.4335360556038013E-2</v>
      </c>
      <c r="T35" s="14">
        <f ca="1">IF(T$1="","",'Total Value'!T47/'Total Value'!S47-1)</f>
        <v>-3.5257822829440455E-2</v>
      </c>
      <c r="U35" s="14">
        <f ca="1">IF(U$1="","",'Total Value'!U47/'Total Value'!T47-1)</f>
        <v>-1.2791228871630866E-2</v>
      </c>
      <c r="V35" s="14">
        <f ca="1">IF(V$1="","",'Total Value'!V47/'Total Value'!U47-1)</f>
        <v>-2.3137436372051567E-3</v>
      </c>
      <c r="W35" s="14">
        <f ca="1">IF(W$1="","",'Total Value'!W47/'Total Value'!V47-1)</f>
        <v>6.4935064935065512E-3</v>
      </c>
      <c r="X35" s="14">
        <f ca="1">IF(X$1="","",'Total Value'!X47/'Total Value'!W47-1)</f>
        <v>7.649769585253452E-2</v>
      </c>
      <c r="Y35" s="14">
        <f ca="1">IF(Y$1="","",'Total Value'!Y47/'Total Value'!X47-1)</f>
        <v>3.125E-2</v>
      </c>
      <c r="Z35" s="14">
        <f ca="1">IF(Z$1="","",'Total Value'!Z47/'Total Value'!Y47-1)</f>
        <v>-2.1170610211706076E-2</v>
      </c>
      <c r="AA35" s="14">
        <f ca="1">IF(AA$1="","",'Total Value'!AA47/'Total Value'!Z47-1)</f>
        <v>-3.2230703986429021E-2</v>
      </c>
      <c r="AB35" s="14">
        <f ca="1">IF(AB$1="","",'Total Value'!AB47/'Total Value'!AA47-1)</f>
        <v>-1.1393514460999343E-2</v>
      </c>
      <c r="AC35" s="14">
        <f ca="1">IF(AC$1="","",'Total Value'!AC47/'Total Value'!AB47-1)</f>
        <v>3.7677304964539138E-2</v>
      </c>
      <c r="AD35" s="14">
        <f ca="1">IF(AD$1="","",'Total Value'!AD47/'Total Value'!AC47-1)</f>
        <v>6.8346860316104152E-3</v>
      </c>
      <c r="AE35" s="14">
        <f ca="1">IF(AE$1="","",'Total Value'!AE47/'Total Value'!AD47-1)</f>
        <v>-3.4365719134493045E-2</v>
      </c>
      <c r="AF35" s="14">
        <f ca="1">IF(AF$1="","",'Total Value'!AF47/'Total Value'!AE47-1)</f>
        <v>5.7117750439366066E-3</v>
      </c>
      <c r="AG35" s="14">
        <f ca="1">IF(AG$1="","",'Total Value'!AG47/'Total Value'!AF47-1)</f>
        <v>-4.3687199650502384E-2</v>
      </c>
      <c r="AH35" s="14">
        <f ca="1">IF(AH$1="","",'Total Value'!AH47/'Total Value'!AG47-1)</f>
        <v>-1.8273184102329809E-3</v>
      </c>
      <c r="AI35" s="14">
        <f ca="1">IF(AI$1="","",'Total Value'!AI47/'Total Value'!AH47-1)</f>
        <v>2.9748283752860427E-2</v>
      </c>
      <c r="AJ35" s="14">
        <f ca="1">IF(AJ$1="","",'Total Value'!AJ47/'Total Value'!AI47-1)</f>
        <v>4.0000000000000036E-3</v>
      </c>
      <c r="AK35" s="14">
        <f ca="1">IF(AK$1="","",'Total Value'!AK47/'Total Value'!AJ47-1)</f>
        <v>-3.0544488711819362E-2</v>
      </c>
      <c r="AL35" s="14">
        <f ca="1">IF(AL$1="","",'Total Value'!AL47/'Total Value'!AK47-1)</f>
        <v>-6.7579908675798994E-2</v>
      </c>
      <c r="AM35" s="14">
        <f ca="1">IF(AM$1="","",'Total Value'!AM47/'Total Value'!AL47-1)</f>
        <v>6.8070519098922366E-2</v>
      </c>
      <c r="AN35" s="14">
        <f ca="1">IF(AN$1="","",'Total Value'!AN47/'Total Value'!AM47-1)</f>
        <v>-5.9605685465382585E-3</v>
      </c>
      <c r="AO35" s="14">
        <f ca="1">IF(AO$1="","",'Total Value'!AO47/'Total Value'!AN47-1)</f>
        <v>-8.9483394833948293E-2</v>
      </c>
      <c r="AP35" s="14">
        <f ca="1">IF(AP$1="","",'Total Value'!AP47/'Total Value'!AO47-1)</f>
        <v>-0.16970618034447826</v>
      </c>
      <c r="AQ35" s="14">
        <f ca="1">IF(AQ$1="","",'Total Value'!AQ47/'Total Value'!AP47-1)</f>
        <v>5.1860890787065239E-2</v>
      </c>
      <c r="AR35" s="14">
        <f ca="1">IF(AR$1="","",'Total Value'!AR47/'Total Value'!AQ47-1)</f>
        <v>5.1044083526682327E-2</v>
      </c>
      <c r="AS35" s="14">
        <f ca="1">IF(AS$1="","",'Total Value'!AS47/'Total Value'!AR47-1)</f>
        <v>3.14569536423841E-2</v>
      </c>
      <c r="AT35" s="14">
        <f ca="1">IF(AT$1="","",'Total Value'!AT47/'Total Value'!AS47-1)</f>
        <v>-7.0626003210272903E-2</v>
      </c>
      <c r="AU35" s="14">
        <f ca="1">IF(AU$1="","",'Total Value'!AU47/'Total Value'!AT47-1)</f>
        <v>0</v>
      </c>
      <c r="AV35" s="14">
        <f ca="1">IF(AV$1="","",'Total Value'!AV47/'Total Value'!AU47-1)</f>
        <v>5.2964881980425815E-2</v>
      </c>
      <c r="AW35" s="14">
        <f ca="1">IF(AW$1="","",'Total Value'!AW47/'Total Value'!AV47-1)</f>
        <v>5.795516675779111E-2</v>
      </c>
      <c r="AX35" s="14">
        <f ca="1">IF(AX$1="","",'Total Value'!AX47/'Total Value'!AW47-1)</f>
        <v>9.3023255813953432E-2</v>
      </c>
      <c r="AY35" s="14">
        <f ca="1">IF(AY$1="","",'Total Value'!AY47/'Total Value'!AX47-1)</f>
        <v>1.276595744680864E-2</v>
      </c>
      <c r="AZ35" s="14">
        <f ca="1">IF(AZ$1="","",'Total Value'!AZ47/'Total Value'!AY47-1)</f>
        <v>1.4939309056956063E-2</v>
      </c>
      <c r="BA35" s="14">
        <f ca="1">IF(BA$1="","",'Total Value'!BA47/'Total Value'!AZ47-1)</f>
        <v>-1.8399264029438367E-3</v>
      </c>
      <c r="BB35" s="14">
        <f ca="1">IF(BB$1="","",'Total Value'!BB47/'Total Value'!BA47-1)</f>
        <v>-1.3824884792625891E-3</v>
      </c>
      <c r="BC35" s="14">
        <f ca="1">IF(BC$1="","",'Total Value'!BC47/'Total Value'!BB47-1)</f>
        <v>5.0761421319798217E-3</v>
      </c>
      <c r="BD35" s="14">
        <f ca="1">IF(BD$1="","",'Total Value'!BD47/'Total Value'!BC47-1)</f>
        <v>1.0560146923783265E-2</v>
      </c>
      <c r="BE35" s="14">
        <f ca="1">IF(BE$1="","",'Total Value'!BE47/'Total Value'!BD47-1)</f>
        <v>-2.2716946842344932E-3</v>
      </c>
      <c r="BF35" s="14">
        <f ca="1">IF(BF$1="","",'Total Value'!BF47/'Total Value'!BE47-1)</f>
        <v>6.1930783242258647E-2</v>
      </c>
      <c r="BG35" s="14">
        <f ca="1">IF(BG$1="","",'Total Value'!BG47/'Total Value'!BF47-1)</f>
        <v>-2.4442538593481999E-2</v>
      </c>
      <c r="BH35" s="14">
        <f ca="1">IF(BH$1="","",'Total Value'!BH47/'Total Value'!BG47-1)</f>
        <v>-3.9560439560439531E-2</v>
      </c>
      <c r="BI35" s="14">
        <f ca="1">IF(BI$1="","",'Total Value'!BI47/'Total Value'!BH47-1)</f>
        <v>1.4645308924485123E-2</v>
      </c>
      <c r="BJ35" s="14">
        <f ca="1">IF(BJ$1="","",'Total Value'!BJ47/'Total Value'!BI47-1)</f>
        <v>3.3378439332431231E-2</v>
      </c>
      <c r="BK35" s="14">
        <f ca="1">IF(BK$1="","",'Total Value'!BK47/'Total Value'!BJ47-1)</f>
        <v>-2.2261021388040203E-2</v>
      </c>
      <c r="BL35" s="14">
        <f ca="1">IF(BL$1="","",'Total Value'!BL47/'Total Value'!BK47-1)</f>
        <v>-1.2053571428571441E-2</v>
      </c>
      <c r="BM35" s="14">
        <f ca="1">IF(BM$1="","",'Total Value'!BM47/'Total Value'!BL47-1)</f>
        <v>-4.5187528242196517E-4</v>
      </c>
      <c r="BN35" s="14">
        <f ca="1">IF(BN$1="","",'Total Value'!BN47/'Total Value'!BM47-1)</f>
        <v>1.1754068716093968E-2</v>
      </c>
      <c r="BO35" s="14">
        <f ca="1">IF(BO$1="","",'Total Value'!BO47/'Total Value'!BN47-1)</f>
        <v>-1.1170688114387817E-2</v>
      </c>
      <c r="BP35" s="14">
        <f ca="1">IF(BP$1="","",'Total Value'!BP47/'Total Value'!BO47-1)</f>
        <v>8.5856303660190036E-3</v>
      </c>
      <c r="BQ35" s="14">
        <f ca="1">IF(BQ$1="","",'Total Value'!BQ47/'Total Value'!BP47-1)</f>
        <v>4.5250896057347445E-2</v>
      </c>
      <c r="BR35" s="14">
        <f ca="1">IF(BR$1="","",'Total Value'!BR47/'Total Value'!BQ47-1)</f>
        <v>8.5726532361762864E-4</v>
      </c>
      <c r="BS35" s="14">
        <f ca="1">IF(BS$1="","",'Total Value'!BS47/'Total Value'!BR47-1)</f>
        <v>-1.2847965738757017E-3</v>
      </c>
      <c r="BT35" s="14">
        <f ca="1">IF(BT$1="","",'Total Value'!BT47/'Total Value'!BS47-1)</f>
        <v>3.0445969125214356E-2</v>
      </c>
      <c r="BU35" s="14">
        <f ca="1">IF(BU$1="","",'Total Value'!BU47/'Total Value'!BT47-1)</f>
        <v>-1.0403662089055299E-2</v>
      </c>
      <c r="BV35" s="14">
        <f ca="1">IF(BV$1="","",'Total Value'!BV47/'Total Value'!BU47-1)</f>
        <v>1.261564339781085E-3</v>
      </c>
      <c r="BW35" s="14">
        <f ca="1">IF(BW$1="","",'Total Value'!BW47/'Total Value'!BV47-1)</f>
        <v>-3.6539269214615477E-2</v>
      </c>
      <c r="BX35" s="14">
        <f ca="1">IF(BX$1="","",'Total Value'!BX47/'Total Value'!BW47-1)</f>
        <v>1.6564952048822912E-2</v>
      </c>
      <c r="BY35" s="14">
        <f ca="1">IF(BY$1="","",'Total Value'!BY47/'Total Value'!BX47-1)</f>
        <v>-2.8730703259005175E-2</v>
      </c>
      <c r="BZ35" s="14">
        <f ca="1">IF(BZ$1="","",'Total Value'!BZ47/'Total Value'!BY47-1)</f>
        <v>-2.2075055187638082E-3</v>
      </c>
      <c r="CA35" s="14">
        <f ca="1">IF(CA$1="","",'Total Value'!CA47/'Total Value'!BZ47-1)</f>
        <v>3.3185840707964598E-2</v>
      </c>
      <c r="CB35" s="14">
        <f ca="1">IF(CB$1="","",'Total Value'!CB47/'Total Value'!CA47-1)</f>
        <v>-3.7687366167023617E-2</v>
      </c>
      <c r="CC35" s="14">
        <f ca="1">IF(CC$1="","",'Total Value'!CC47/'Total Value'!CB47-1)</f>
        <v>3.204272363150884E-2</v>
      </c>
      <c r="CD35" s="14">
        <f ca="1">IF(CD$1="","",'Total Value'!CD47/'Total Value'!CC47-1)</f>
        <v>3.4497628288052695E-3</v>
      </c>
      <c r="CE35" s="14">
        <f ca="1">IF(CE$1="","",'Total Value'!CE47/'Total Value'!CD47-1)</f>
        <v>1.1173184357541999E-2</v>
      </c>
      <c r="CF35" s="14" t="str">
        <f ca="1">IF(CF$1="","",'Total Value'!CF47/'Total Value'!CE47-1)</f>
        <v/>
      </c>
      <c r="CG35" s="14" t="str">
        <f ca="1">IF(CG$1="","",'Total Value'!CG47/'Total Value'!CF47-1)</f>
        <v/>
      </c>
      <c r="CH35" s="14" t="str">
        <f ca="1">IF(CH$1="","",'Total Value'!CH47/'Total Value'!CG47-1)</f>
        <v/>
      </c>
      <c r="CI35" s="14" t="str">
        <f ca="1">IF(CI$1="","",'Total Value'!CI47/'Total Value'!CH47-1)</f>
        <v/>
      </c>
      <c r="CJ35" s="14" t="str">
        <f ca="1">IF(CJ$1="","",'Total Value'!CJ47/'Total Value'!CI47-1)</f>
        <v/>
      </c>
      <c r="CK35" s="14" t="str">
        <f ca="1">IF(CK$1="","",'Total Value'!CK47/'Total Value'!CJ47-1)</f>
        <v/>
      </c>
      <c r="CL35" s="14" t="str">
        <f ca="1">IF(CL$1="","",'Total Value'!CL47/'Total Value'!CK47-1)</f>
        <v/>
      </c>
      <c r="CM35" s="14" t="str">
        <f ca="1">IF(CM$1="","",'Total Value'!CM47/'Total Value'!CL47-1)</f>
        <v/>
      </c>
      <c r="CN35" s="14" t="str">
        <f ca="1">IF(CN$1="","",'Total Value'!CN47/'Total Value'!CM47-1)</f>
        <v/>
      </c>
      <c r="CO35" s="14" t="str">
        <f ca="1">IF(CO$1="","",'Total Value'!CO47/'Total Value'!CN47-1)</f>
        <v/>
      </c>
      <c r="CP35" s="14" t="str">
        <f ca="1">IF(CP$1="","",'Total Value'!CP47/'Total Value'!CO47-1)</f>
        <v/>
      </c>
      <c r="CQ35" s="14" t="str">
        <f ca="1">IF(CQ$1="","",'Total Value'!CQ47/'Total Value'!CP47-1)</f>
        <v/>
      </c>
      <c r="CR35" s="14" t="str">
        <f ca="1">IF(CR$1="","",'Total Value'!CR47/'Total Value'!CQ47-1)</f>
        <v/>
      </c>
      <c r="CS35" s="14" t="str">
        <f ca="1">IF(CS$1="","",'Total Value'!CS47/'Total Value'!CR47-1)</f>
        <v/>
      </c>
      <c r="CT35" s="14" t="str">
        <f ca="1">IF(CT$1="","",'Total Value'!CT47/'Total Value'!CS47-1)</f>
        <v/>
      </c>
      <c r="CU35" s="14" t="str">
        <f ca="1">IF(CU$1="","",'Total Value'!CU47/'Total Value'!CT47-1)</f>
        <v/>
      </c>
      <c r="CV35" s="14" t="str">
        <f ca="1">IF(CV$1="","",'Total Value'!CV47/'Total Value'!CU47-1)</f>
        <v/>
      </c>
      <c r="CW35" s="14" t="str">
        <f ca="1">IF(CW$1="","",'Total Value'!CW47/'Total Value'!CV47-1)</f>
        <v/>
      </c>
      <c r="CX35" s="14" t="str">
        <f ca="1">IF(CX$1="","",'Total Value'!CX47/'Total Value'!CW47-1)</f>
        <v/>
      </c>
      <c r="CY35" s="14" t="str">
        <f ca="1">IF(CY$1="","",'Total Value'!CY47/'Total Value'!CX47-1)</f>
        <v/>
      </c>
      <c r="CZ35" s="14" t="str">
        <f ca="1">IF(CZ$1="","",'Total Value'!CZ47/'Total Value'!CY47-1)</f>
        <v/>
      </c>
      <c r="DA35" s="14" t="str">
        <f ca="1">IF(DA$1="","",'Total Value'!DA47/'Total Value'!CZ47-1)</f>
        <v/>
      </c>
      <c r="DB35" s="14" t="str">
        <f ca="1">IF(DB$1="","",'Total Value'!DB47/'Total Value'!DA47-1)</f>
        <v/>
      </c>
      <c r="DC35" s="14" t="str">
        <f ca="1">IF(DC$1="","",'Total Value'!DC47/'Total Value'!DB47-1)</f>
        <v/>
      </c>
      <c r="DD35" s="14" t="str">
        <f ca="1">IF(DD$1="","",'Total Value'!DD47/'Total Value'!DC47-1)</f>
        <v/>
      </c>
      <c r="DE35" s="14" t="str">
        <f ca="1">IF(DE$1="","",'Total Value'!DE47/'Total Value'!DD47-1)</f>
        <v/>
      </c>
      <c r="DF35" s="14" t="str">
        <f ca="1">IF(DF$1="","",'Total Value'!DF47/'Total Value'!DE47-1)</f>
        <v/>
      </c>
      <c r="DG35" s="14" t="str">
        <f ca="1">IF(DG$1="","",'Total Value'!DG47/'Total Value'!DF47-1)</f>
        <v/>
      </c>
      <c r="DH35" s="14" t="str">
        <f ca="1">IF(DH$1="","",'Total Value'!DH47/'Total Value'!DG47-1)</f>
        <v/>
      </c>
      <c r="DI35" s="14" t="str">
        <f ca="1">IF(DI$1="","",'Total Value'!DI47/'Total Value'!DH47-1)</f>
        <v/>
      </c>
      <c r="DJ35" s="14" t="str">
        <f ca="1">IF(DJ$1="","",'Total Value'!DJ47/'Total Value'!DI47-1)</f>
        <v/>
      </c>
      <c r="DK35" s="14" t="str">
        <f ca="1">IF(DK$1="","",'Total Value'!DK47/'Total Value'!DJ47-1)</f>
        <v/>
      </c>
      <c r="DL35" s="14" t="str">
        <f ca="1">IF(DL$1="","",'Total Value'!DL47/'Total Value'!DK47-1)</f>
        <v/>
      </c>
      <c r="DM35" s="14" t="str">
        <f ca="1">IF(DM$1="","",'Total Value'!DM47/'Total Value'!DL47-1)</f>
        <v/>
      </c>
      <c r="DN35" s="14" t="str">
        <f ca="1">IF(DN$1="","",'Total Value'!DN47/'Total Value'!DM47-1)</f>
        <v/>
      </c>
      <c r="DO35" s="14" t="str">
        <f ca="1">IF(DO$1="","",'Total Value'!DO47/'Total Value'!DN47-1)</f>
        <v/>
      </c>
      <c r="DP35" s="14" t="str">
        <f ca="1">IF(DP$1="","",'Total Value'!DP47/'Total Value'!DO47-1)</f>
        <v/>
      </c>
      <c r="DQ35" s="14" t="str">
        <f ca="1">IF(DQ$1="","",'Total Value'!DQ47/'Total Value'!DP47-1)</f>
        <v/>
      </c>
      <c r="DR35" s="14" t="str">
        <f ca="1">IF(DR$1="","",'Total Value'!DR47/'Total Value'!DQ47-1)</f>
        <v/>
      </c>
      <c r="DS35" s="14" t="str">
        <f ca="1">IF(DS$1="","",'Total Value'!DS47/'Total Value'!DR47-1)</f>
        <v/>
      </c>
      <c r="DT35" s="14" t="str">
        <f ca="1">IF(DT$1="","",'Total Value'!DT47/'Total Value'!DS47-1)</f>
        <v/>
      </c>
      <c r="DU35" s="14" t="str">
        <f ca="1">IF(DU$1="","",'Total Value'!DU47/'Total Value'!DT47-1)</f>
        <v/>
      </c>
      <c r="DV35" s="14" t="str">
        <f ca="1">IF(DV$1="","",'Total Value'!DV47/'Total Value'!DU47-1)</f>
        <v/>
      </c>
      <c r="DW35" s="14" t="str">
        <f ca="1">IF(DW$1="","",'Total Value'!DW47/'Total Value'!DV47-1)</f>
        <v/>
      </c>
      <c r="DX35" s="14" t="str">
        <f ca="1">IF(DX$1="","",'Total Value'!DX47/'Total Value'!DW47-1)</f>
        <v/>
      </c>
      <c r="DY35" s="14" t="str">
        <f ca="1">IF(DY$1="","",'Total Value'!DY47/'Total Value'!DX47-1)</f>
        <v/>
      </c>
      <c r="DZ35" s="14" t="str">
        <f ca="1">IF(DZ$1="","",'Total Value'!DZ47/'Total Value'!DY47-1)</f>
        <v/>
      </c>
      <c r="EA35" s="14" t="str">
        <f ca="1">IF(EA$1="","",'Total Value'!EA47/'Total Value'!DZ47-1)</f>
        <v/>
      </c>
      <c r="EB35" s="14" t="str">
        <f ca="1">IF(EB$1="","",'Total Value'!EB47/'Total Value'!EA47-1)</f>
        <v/>
      </c>
      <c r="EC35" s="14" t="str">
        <f ca="1">IF(EC$1="","",'Total Value'!EC47/'Total Value'!EB47-1)</f>
        <v/>
      </c>
      <c r="ED35" s="14" t="str">
        <f ca="1">IF(ED$1="","",'Total Value'!ED47/'Total Value'!EC47-1)</f>
        <v/>
      </c>
      <c r="EE35" s="14" t="str">
        <f ca="1">IF(EE$1="","",'Total Value'!EE47/'Total Value'!ED47-1)</f>
        <v/>
      </c>
      <c r="EF35" s="14" t="str">
        <f ca="1">IF(EF$1="","",'Total Value'!EF47/'Total Value'!EE47-1)</f>
        <v/>
      </c>
      <c r="EG35" s="14" t="str">
        <f ca="1">IF(EG$1="","",'Total Value'!EG47/'Total Value'!EF47-1)</f>
        <v/>
      </c>
      <c r="EH35" s="14" t="str">
        <f ca="1">IF(EH$1="","",'Total Value'!EH47/'Total Value'!EG47-1)</f>
        <v/>
      </c>
      <c r="EI35" s="14" t="str">
        <f ca="1">IF(EI$1="","",'Total Value'!EI47/'Total Value'!EH47-1)</f>
        <v/>
      </c>
      <c r="EJ35" s="14" t="str">
        <f ca="1">IF(EJ$1="","",'Total Value'!EJ47/'Total Value'!EI47-1)</f>
        <v/>
      </c>
      <c r="EK35" s="14" t="str">
        <f ca="1">IF(EK$1="","",'Total Value'!EK47/'Total Value'!EJ47-1)</f>
        <v/>
      </c>
      <c r="EL35" s="14" t="str">
        <f ca="1">IF(EL$1="","",'Total Value'!EL47/'Total Value'!EK47-1)</f>
        <v/>
      </c>
      <c r="EM35" s="14" t="str">
        <f ca="1">IF(EM$1="","",'Total Value'!EM47/'Total Value'!EL47-1)</f>
        <v/>
      </c>
      <c r="EN35" s="14" t="str">
        <f ca="1">IF(EN$1="","",'Total Value'!EN47/'Total Value'!EM47-1)</f>
        <v/>
      </c>
      <c r="EO35" s="14" t="str">
        <f ca="1">IF(EO$1="","",'Total Value'!EO47/'Total Value'!EN47-1)</f>
        <v/>
      </c>
      <c r="EP35" s="14" t="str">
        <f ca="1">IF(EP$1="","",'Total Value'!EP47/'Total Value'!EO47-1)</f>
        <v/>
      </c>
      <c r="EQ35" s="14" t="str">
        <f ca="1">IF(EQ$1="","",'Total Value'!EQ47/'Total Value'!EP47-1)</f>
        <v/>
      </c>
      <c r="ER35" s="14" t="str">
        <f ca="1">IF(ER$1="","",'Total Value'!ER47/'Total Value'!EQ47-1)</f>
        <v/>
      </c>
      <c r="ES35" s="14" t="str">
        <f ca="1">IF(ES$1="","",'Total Value'!ES47/'Total Value'!ER47-1)</f>
        <v/>
      </c>
      <c r="ET35" s="14" t="str">
        <f ca="1">IF(ET$1="","",'Total Value'!ET47/'Total Value'!ES47-1)</f>
        <v/>
      </c>
      <c r="EU35" s="14" t="str">
        <f ca="1">IF(EU$1="","",'Total Value'!EU47/'Total Value'!ET47-1)</f>
        <v/>
      </c>
      <c r="EV35" s="14" t="str">
        <f ca="1">IF(EV$1="","",'Total Value'!EV47/'Total Value'!EU47-1)</f>
        <v/>
      </c>
      <c r="EW35" s="14" t="str">
        <f ca="1">IF(EW$1="","",'Total Value'!EW47/'Total Value'!EV47-1)</f>
        <v/>
      </c>
      <c r="EX35" s="14" t="str">
        <f ca="1">IF(EX$1="","",'Total Value'!EX47/'Total Value'!EW47-1)</f>
        <v/>
      </c>
      <c r="EY35" s="14" t="str">
        <f ca="1">IF(EY$1="","",'Total Value'!EY47/'Total Value'!EX47-1)</f>
        <v/>
      </c>
      <c r="EZ35" s="14" t="str">
        <f ca="1">IF(EZ$1="","",'Total Value'!EZ47/'Total Value'!EY47-1)</f>
        <v/>
      </c>
      <c r="FA35" s="14" t="str">
        <f ca="1">IF(FA$1="","",'Total Value'!FA47/'Total Value'!EZ47-1)</f>
        <v/>
      </c>
      <c r="FB35" s="14" t="str">
        <f ca="1">IF(FB$1="","",'Total Value'!FB47/'Total Value'!FA47-1)</f>
        <v/>
      </c>
      <c r="FC35" s="14" t="str">
        <f ca="1">IF(FC$1="","",'Total Value'!FC47/'Total Value'!FB47-1)</f>
        <v/>
      </c>
      <c r="FD35" s="14" t="str">
        <f ca="1">IF(FD$1="","",'Total Value'!FD47/'Total Value'!FC47-1)</f>
        <v/>
      </c>
      <c r="FE35" s="14" t="str">
        <f ca="1">IF(FE$1="","",'Total Value'!FE47/'Total Value'!FD47-1)</f>
        <v/>
      </c>
      <c r="FF35" s="14" t="str">
        <f ca="1">IF(FF$1="","",'Total Value'!FF47/'Total Value'!FE47-1)</f>
        <v/>
      </c>
      <c r="FG35" s="14" t="str">
        <f ca="1">IF(FG$1="","",'Total Value'!FG47/'Total Value'!FF47-1)</f>
        <v/>
      </c>
      <c r="FH35" s="14" t="str">
        <f ca="1">IF(FH$1="","",'Total Value'!FH47/'Total Value'!FG47-1)</f>
        <v/>
      </c>
      <c r="FI35" s="14" t="str">
        <f ca="1">IF(FI$1="","",'Total Value'!FI47/'Total Value'!FH47-1)</f>
        <v/>
      </c>
      <c r="FJ35" s="14" t="str">
        <f ca="1">IF(FJ$1="","",'Total Value'!FJ47/'Total Value'!FI47-1)</f>
        <v/>
      </c>
      <c r="FK35" s="14" t="str">
        <f ca="1">IF(FK$1="","",'Total Value'!FK47/'Total Value'!FJ47-1)</f>
        <v/>
      </c>
      <c r="FL35" s="14" t="str">
        <f ca="1">IF(FL$1="","",'Total Value'!FL47/'Total Value'!FK47-1)</f>
        <v/>
      </c>
      <c r="FM35" s="14" t="str">
        <f ca="1">IF(FM$1="","",'Total Value'!FM47/'Total Value'!FL47-1)</f>
        <v/>
      </c>
      <c r="FN35" s="14" t="str">
        <f ca="1">IF(FN$1="","",'Total Value'!FN47/'Total Value'!FM47-1)</f>
        <v/>
      </c>
      <c r="FO35" s="14" t="str">
        <f ca="1">IF(FO$1="","",'Total Value'!FO47/'Total Value'!FN47-1)</f>
        <v/>
      </c>
      <c r="FP35" s="14" t="str">
        <f ca="1">IF(FP$1="","",'Total Value'!FP47/'Total Value'!FO47-1)</f>
        <v/>
      </c>
      <c r="FQ35" s="14" t="str">
        <f ca="1">IF(FQ$1="","",'Total Value'!FQ47/'Total Value'!FP47-1)</f>
        <v/>
      </c>
      <c r="FR35" s="14" t="str">
        <f ca="1">IF(FR$1="","",'Total Value'!FR47/'Total Value'!FQ47-1)</f>
        <v/>
      </c>
      <c r="FS35" s="14" t="str">
        <f ca="1">IF(FS$1="","",'Total Value'!FS47/'Total Value'!FR47-1)</f>
        <v/>
      </c>
      <c r="FT35" s="14" t="str">
        <f ca="1">IF(FT$1="","",'Total Value'!FT47/'Total Value'!FS47-1)</f>
        <v/>
      </c>
      <c r="FU35" s="14" t="str">
        <f ca="1">IF(FU$1="","",'Total Value'!FU47/'Total Value'!FT47-1)</f>
        <v/>
      </c>
      <c r="FV35" s="14" t="str">
        <f ca="1">IF(FV$1="","",'Total Value'!FV47/'Total Value'!FU47-1)</f>
        <v/>
      </c>
      <c r="FW35" s="14" t="str">
        <f ca="1">IF(FW$1="","",'Total Value'!FW47/'Total Value'!FV47-1)</f>
        <v/>
      </c>
      <c r="FX35" s="14" t="str">
        <f ca="1">IF(FX$1="","",'Total Value'!FX47/'Total Value'!FW47-1)</f>
        <v/>
      </c>
      <c r="FY35" s="14" t="str">
        <f ca="1">IF(FY$1="","",'Total Value'!FY47/'Total Value'!FX47-1)</f>
        <v/>
      </c>
      <c r="FZ35" s="14" t="str">
        <f ca="1">IF(FZ$1="","",'Total Value'!FZ47/'Total Value'!FY47-1)</f>
        <v/>
      </c>
      <c r="GA35" s="14" t="str">
        <f ca="1">IF(GA$1="","",'Total Value'!GA47/'Total Value'!FZ47-1)</f>
        <v/>
      </c>
      <c r="GB35" s="14" t="str">
        <f ca="1">IF(GB$1="","",'Total Value'!GB47/'Total Value'!GA47-1)</f>
        <v/>
      </c>
      <c r="GC35" s="14" t="str">
        <f ca="1">IF(GC$1="","",'Total Value'!GC47/'Total Value'!GB47-1)</f>
        <v/>
      </c>
      <c r="GD35" s="14" t="str">
        <f ca="1">IF(GD$1="","",'Total Value'!GD47/'Total Value'!GC47-1)</f>
        <v/>
      </c>
      <c r="GE35" s="14" t="str">
        <f ca="1">IF(GE$1="","",'Total Value'!GE47/'Total Value'!GD47-1)</f>
        <v/>
      </c>
      <c r="GF35" s="14" t="str">
        <f ca="1">IF(GF$1="","",'Total Value'!GF47/'Total Value'!GE47-1)</f>
        <v/>
      </c>
      <c r="GG35" s="14" t="str">
        <f ca="1">IF(GG$1="","",'Total Value'!GG47/'Total Value'!GF47-1)</f>
        <v/>
      </c>
      <c r="GH35" s="14" t="str">
        <f ca="1">IF(GH$1="","",'Total Value'!GH47/'Total Value'!GG47-1)</f>
        <v/>
      </c>
      <c r="GI35" s="14" t="str">
        <f ca="1">IF(GI$1="","",'Total Value'!GI47/'Total Value'!GH47-1)</f>
        <v/>
      </c>
      <c r="GJ35" s="14" t="str">
        <f ca="1">IF(GJ$1="","",'Total Value'!GJ47/'Total Value'!GI47-1)</f>
        <v/>
      </c>
      <c r="GK35" s="14" t="str">
        <f ca="1">IF(GK$1="","",'Total Value'!GK47/'Total Value'!GJ47-1)</f>
        <v/>
      </c>
      <c r="GL35" s="14" t="str">
        <f ca="1">IF(GL$1="","",'Total Value'!GL47/'Total Value'!GK47-1)</f>
        <v/>
      </c>
      <c r="GM35" s="14" t="str">
        <f ca="1">IF(GM$1="","",'Total Value'!GM47/'Total Value'!GL47-1)</f>
        <v/>
      </c>
      <c r="GN35" s="14" t="str">
        <f ca="1">IF(GN$1="","",'Total Value'!GN47/'Total Value'!GM47-1)</f>
        <v/>
      </c>
      <c r="GO35" s="14" t="str">
        <f ca="1">IF(GO$1="","",'Total Value'!GO47/'Total Value'!GN47-1)</f>
        <v/>
      </c>
      <c r="GP35" s="14" t="str">
        <f ca="1">IF(GP$1="","",'Total Value'!GP47/'Total Value'!GO47-1)</f>
        <v/>
      </c>
      <c r="GQ35" s="14" t="str">
        <f ca="1">IF(GQ$1="","",'Total Value'!GQ47/'Total Value'!GP47-1)</f>
        <v/>
      </c>
      <c r="GR35" s="14" t="str">
        <f ca="1">IF(GR$1="","",'Total Value'!GR47/'Total Value'!GQ47-1)</f>
        <v/>
      </c>
      <c r="GS35" s="14" t="str">
        <f ca="1">IF(GS$1="","",'Total Value'!GS47/'Total Value'!GR47-1)</f>
        <v/>
      </c>
      <c r="GT35" s="14" t="str">
        <f ca="1">IF(GT$1="","",'Total Value'!GT47/'Total Value'!GS47-1)</f>
        <v/>
      </c>
      <c r="GU35" s="14" t="str">
        <f ca="1">IF(GU$1="","",'Total Value'!GU47/'Total Value'!GT47-1)</f>
        <v/>
      </c>
      <c r="GV35" s="14" t="str">
        <f ca="1">IF(GV$1="","",'Total Value'!GV47/'Total Value'!GU47-1)</f>
        <v/>
      </c>
      <c r="GW35" s="14" t="str">
        <f ca="1">IF(GW$1="","",'Total Value'!GW47/'Total Value'!GV47-1)</f>
        <v/>
      </c>
      <c r="GX35" s="14" t="str">
        <f ca="1">IF(GX$1="","",'Total Value'!GX47/'Total Value'!GW47-1)</f>
        <v/>
      </c>
      <c r="GY35" s="14" t="str">
        <f ca="1">IF(GY$1="","",'Total Value'!GY47/'Total Value'!GX47-1)</f>
        <v/>
      </c>
      <c r="GZ35" s="14" t="str">
        <f ca="1">IF(GZ$1="","",'Total Value'!GZ47/'Total Value'!GY47-1)</f>
        <v/>
      </c>
      <c r="HA35" s="14" t="str">
        <f ca="1">IF(HA$1="","",'Total Value'!HA47/'Total Value'!GZ47-1)</f>
        <v/>
      </c>
      <c r="HB35" s="14" t="str">
        <f ca="1">IF(HB$1="","",'Total Value'!HB47/'Total Value'!HA47-1)</f>
        <v/>
      </c>
      <c r="HC35" s="14" t="str">
        <f ca="1">IF(HC$1="","",'Total Value'!HC47/'Total Value'!HB47-1)</f>
        <v/>
      </c>
      <c r="HD35" s="14" t="str">
        <f ca="1">IF(HD$1="","",'Total Value'!HD47/'Total Value'!HC47-1)</f>
        <v/>
      </c>
      <c r="HE35" s="14" t="str">
        <f ca="1">IF(HE$1="","",'Total Value'!HE47/'Total Value'!HD47-1)</f>
        <v/>
      </c>
      <c r="HF35" s="14" t="str">
        <f ca="1">IF(HF$1="","",'Total Value'!HF47/'Total Value'!HE47-1)</f>
        <v/>
      </c>
      <c r="HG35" s="14" t="str">
        <f ca="1">IF(HG$1="","",'Total Value'!HG47/'Total Value'!HF47-1)</f>
        <v/>
      </c>
      <c r="HH35" s="14" t="str">
        <f ca="1">IF(HH$1="","",'Total Value'!HH47/'Total Value'!HG47-1)</f>
        <v/>
      </c>
      <c r="HI35" s="14" t="str">
        <f ca="1">IF(HI$1="","",'Total Value'!HI47/'Total Value'!HH47-1)</f>
        <v/>
      </c>
      <c r="HJ35" s="14" t="str">
        <f ca="1">IF(HJ$1="","",'Total Value'!HJ47/'Total Value'!HI47-1)</f>
        <v/>
      </c>
      <c r="HK35" s="14" t="str">
        <f ca="1">IF(HK$1="","",'Total Value'!HK47/'Total Value'!HJ47-1)</f>
        <v/>
      </c>
      <c r="HL35" s="14" t="str">
        <f ca="1">IF(HL$1="","",'Total Value'!HL47/'Total Value'!HK47-1)</f>
        <v/>
      </c>
      <c r="HM35" s="14" t="str">
        <f ca="1">IF(HM$1="","",'Total Value'!HM47/'Total Value'!HL47-1)</f>
        <v/>
      </c>
      <c r="HN35" s="14" t="str">
        <f ca="1">IF(HN$1="","",'Total Value'!HN47/'Total Value'!HM47-1)</f>
        <v/>
      </c>
      <c r="HO35" s="14" t="str">
        <f ca="1">IF(HO$1="","",'Total Value'!HO47/'Total Value'!HN47-1)</f>
        <v/>
      </c>
      <c r="HP35" s="14" t="str">
        <f ca="1">IF(HP$1="","",'Total Value'!HP47/'Total Value'!HO47-1)</f>
        <v/>
      </c>
      <c r="HQ35" s="14" t="str">
        <f ca="1">IF(HQ$1="","",'Total Value'!HQ47/'Total Value'!HP47-1)</f>
        <v/>
      </c>
      <c r="HR35" s="14" t="str">
        <f ca="1">IF(HR$1="","",'Total Value'!HR47/'Total Value'!HQ47-1)</f>
        <v/>
      </c>
      <c r="HS35" s="14" t="str">
        <f ca="1">IF(HS$1="","",'Total Value'!HS47/'Total Value'!HR47-1)</f>
        <v/>
      </c>
      <c r="HT35" s="14" t="str">
        <f ca="1">IF(HT$1="","",'Total Value'!HT47/'Total Value'!HS47-1)</f>
        <v/>
      </c>
      <c r="HU35" s="14" t="str">
        <f ca="1">IF(HU$1="","",'Total Value'!HU47/'Total Value'!HT47-1)</f>
        <v/>
      </c>
      <c r="HV35" s="14" t="str">
        <f ca="1">IF(HV$1="","",'Total Value'!HV47/'Total Value'!HU47-1)</f>
        <v/>
      </c>
      <c r="HW35" s="14" t="str">
        <f ca="1">IF(HW$1="","",'Total Value'!HW47/'Total Value'!HV47-1)</f>
        <v/>
      </c>
      <c r="HX35" s="14" t="str">
        <f ca="1">IF(HX$1="","",'Total Value'!HX47/'Total Value'!HW47-1)</f>
        <v/>
      </c>
      <c r="HY35" s="14" t="str">
        <f ca="1">IF(HY$1="","",'Total Value'!HY47/'Total Value'!HX47-1)</f>
        <v/>
      </c>
      <c r="HZ35" s="14" t="str">
        <f ca="1">IF(HZ$1="","",'Total Value'!HZ47/'Total Value'!HY47-1)</f>
        <v/>
      </c>
      <c r="IA35" s="14" t="str">
        <f ca="1">IF(IA$1="","",'Total Value'!IA47/'Total Value'!HZ47-1)</f>
        <v/>
      </c>
      <c r="IB35" s="14" t="str">
        <f ca="1">IF(IB$1="","",'Total Value'!IB47/'Total Value'!IA47-1)</f>
        <v/>
      </c>
      <c r="IC35" s="14" t="str">
        <f ca="1">IF(IC$1="","",'Total Value'!IC47/'Total Value'!IB47-1)</f>
        <v/>
      </c>
      <c r="ID35" s="14" t="str">
        <f ca="1">IF(ID$1="","",'Total Value'!ID47/'Total Value'!IC47-1)</f>
        <v/>
      </c>
      <c r="IE35" s="14" t="str">
        <f ca="1">IF(IE$1="","",'Total Value'!IE47/'Total Value'!ID47-1)</f>
        <v/>
      </c>
      <c r="IF35" s="14" t="str">
        <f ca="1">IF(IF$1="","",'Total Value'!IF47/'Total Value'!IE47-1)</f>
        <v/>
      </c>
      <c r="IG35" s="14" t="str">
        <f ca="1">IF(IG$1="","",'Total Value'!IG47/'Total Value'!IF47-1)</f>
        <v/>
      </c>
      <c r="IH35" s="14" t="str">
        <f ca="1">IF(IH$1="","",'Total Value'!IH47/'Total Value'!IG47-1)</f>
        <v/>
      </c>
      <c r="II35" s="14" t="str">
        <f ca="1">IF(II$1="","",'Total Value'!II47/'Total Value'!IH47-1)</f>
        <v/>
      </c>
      <c r="IJ35" s="14" t="str">
        <f ca="1">IF(IJ$1="","",'Total Value'!IJ47/'Total Value'!II47-1)</f>
        <v/>
      </c>
      <c r="IK35" s="14" t="str">
        <f ca="1">IF(IK$1="","",'Total Value'!IK47/'Total Value'!IJ47-1)</f>
        <v/>
      </c>
      <c r="IL35" s="14" t="str">
        <f ca="1">IF(IL$1="","",'Total Value'!IL47/'Total Value'!IK47-1)</f>
        <v/>
      </c>
      <c r="IM35" s="14" t="str">
        <f ca="1">IF(IM$1="","",'Total Value'!IM47/'Total Value'!IL47-1)</f>
        <v/>
      </c>
      <c r="IN35" s="14" t="str">
        <f ca="1">IF(IN$1="","",'Total Value'!IN47/'Total Value'!IM47-1)</f>
        <v/>
      </c>
      <c r="IO35" s="14" t="str">
        <f ca="1">IF(IO$1="","",'Total Value'!IO47/'Total Value'!IN47-1)</f>
        <v/>
      </c>
      <c r="IP35" s="14" t="str">
        <f ca="1">IF(IP$1="","",'Total Value'!IP47/'Total Value'!IO47-1)</f>
        <v/>
      </c>
      <c r="IQ35" s="14" t="str">
        <f ca="1">IF(IQ$1="","",'Total Value'!IQ47/'Total Value'!IP47-1)</f>
        <v/>
      </c>
      <c r="IR35" s="14" t="str">
        <f ca="1">IF(IR$1="","",'Total Value'!IR47/'Total Value'!IQ47-1)</f>
        <v/>
      </c>
      <c r="IS35" s="14" t="str">
        <f ca="1">IF(IS$1="","",'Total Value'!IS47/'Total Value'!IR47-1)</f>
        <v/>
      </c>
      <c r="IT35" s="14" t="str">
        <f ca="1">IF(IT$1="","",'Total Value'!IT47/'Total Value'!IS47-1)</f>
        <v/>
      </c>
      <c r="IU35" s="14" t="str">
        <f ca="1">IF(IU$1="","",'Total Value'!IU47/'Total Value'!IT47-1)</f>
        <v/>
      </c>
      <c r="IV35" s="14" t="str">
        <f ca="1">IF(IV$1="","",'Total Value'!IV47/'Total Value'!IU47-1)</f>
        <v/>
      </c>
      <c r="IW35" s="14" t="str">
        <f ca="1">IF(IW$1="","",'Total Value'!IW47/'Total Value'!IV47-1)</f>
        <v/>
      </c>
      <c r="IX35" s="14" t="str">
        <f ca="1">IF(IX$1="","",'Total Value'!IX47/'Total Value'!IW47-1)</f>
        <v/>
      </c>
      <c r="IY35" s="14" t="str">
        <f ca="1">IF(IY$1="","",'Total Value'!IY47/'Total Value'!IX47-1)</f>
        <v/>
      </c>
      <c r="IZ35" s="14" t="str">
        <f ca="1">IF(IZ$1="","",'Total Value'!IZ47/'Total Value'!IY47-1)</f>
        <v/>
      </c>
      <c r="JA35" s="14" t="str">
        <f ca="1">IF(JA$1="","",'Total Value'!JA47/'Total Value'!IZ47-1)</f>
        <v/>
      </c>
      <c r="JB35" s="14" t="str">
        <f ca="1">IF(JB$1="","",'Total Value'!JB47/'Total Value'!JA47-1)</f>
        <v/>
      </c>
      <c r="JC35" s="14" t="str">
        <f ca="1">IF(JC$1="","",'Total Value'!JC47/'Total Value'!JB47-1)</f>
        <v/>
      </c>
      <c r="JD35" s="14" t="str">
        <f ca="1">IF(JD$1="","",'Total Value'!JD47/'Total Value'!JC47-1)</f>
        <v/>
      </c>
      <c r="JE35" s="14" t="str">
        <f ca="1">IF(JE$1="","",'Total Value'!JE47/'Total Value'!JD47-1)</f>
        <v/>
      </c>
      <c r="JF35" s="14" t="str">
        <f ca="1">IF(JF$1="","",'Total Value'!JF47/'Total Value'!JE47-1)</f>
        <v/>
      </c>
      <c r="JG35" s="14" t="str">
        <f ca="1">IF(JG$1="","",'Total Value'!JG47/'Total Value'!JF47-1)</f>
        <v/>
      </c>
      <c r="JH35" s="14" t="str">
        <f ca="1">IF(JH$1="","",'Total Value'!JH47/'Total Value'!JG47-1)</f>
        <v/>
      </c>
      <c r="JI35" s="14" t="str">
        <f ca="1">IF(JI$1="","",'Total Value'!JI47/'Total Value'!JH47-1)</f>
        <v/>
      </c>
      <c r="JJ35" s="14" t="str">
        <f ca="1">IF(JJ$1="","",'Total Value'!JJ47/'Total Value'!JI47-1)</f>
        <v/>
      </c>
      <c r="JK35" s="14" t="str">
        <f ca="1">IF(JK$1="","",'Total Value'!JK47/'Total Value'!JJ47-1)</f>
        <v/>
      </c>
      <c r="JL35" s="14" t="str">
        <f ca="1">IF(JL$1="","",'Total Value'!JL47/'Total Value'!JK47-1)</f>
        <v/>
      </c>
      <c r="JM35" s="14" t="str">
        <f ca="1">IF(JM$1="","",'Total Value'!JM47/'Total Value'!JL47-1)</f>
        <v/>
      </c>
      <c r="JN35" s="14" t="str">
        <f ca="1">IF(JN$1="","",'Total Value'!JN47/'Total Value'!JM47-1)</f>
        <v/>
      </c>
      <c r="JO35" s="14" t="str">
        <f ca="1">IF(JO$1="","",'Total Value'!JO47/'Total Value'!JN47-1)</f>
        <v/>
      </c>
      <c r="JP35" s="14" t="str">
        <f ca="1">IF(JP$1="","",'Total Value'!JP47/'Total Value'!JO47-1)</f>
        <v/>
      </c>
      <c r="JQ35" s="14" t="str">
        <f ca="1">IF(JQ$1="","",'Total Value'!JQ47/'Total Value'!JP47-1)</f>
        <v/>
      </c>
      <c r="JR35" s="14" t="str">
        <f ca="1">IF(JR$1="","",'Total Value'!JR47/'Total Value'!JQ47-1)</f>
        <v/>
      </c>
      <c r="JS35" s="14" t="str">
        <f ca="1">IF(JS$1="","",'Total Value'!JS47/'Total Value'!JR47-1)</f>
        <v/>
      </c>
      <c r="JT35" s="14" t="str">
        <f ca="1">IF(JT$1="","",'Total Value'!JT47/'Total Value'!JS47-1)</f>
        <v/>
      </c>
      <c r="JU35" s="14" t="str">
        <f ca="1">IF(JU$1="","",'Total Value'!JU47/'Total Value'!JT47-1)</f>
        <v/>
      </c>
      <c r="JV35" s="14" t="str">
        <f ca="1">IF(JV$1="","",'Total Value'!JV47/'Total Value'!JU47-1)</f>
        <v/>
      </c>
      <c r="JW35" s="14" t="str">
        <f ca="1">IF(JW$1="","",'Total Value'!JW47/'Total Value'!JV47-1)</f>
        <v/>
      </c>
      <c r="JX35" s="14" t="str">
        <f ca="1">IF(JX$1="","",'Total Value'!JX47/'Total Value'!JW47-1)</f>
        <v/>
      </c>
      <c r="JY35" s="14" t="str">
        <f ca="1">IF(JY$1="","",'Total Value'!JY47/'Total Value'!JX47-1)</f>
        <v/>
      </c>
      <c r="JZ35" s="14" t="str">
        <f ca="1">IF(JZ$1="","",'Total Value'!JZ47/'Total Value'!JY47-1)</f>
        <v/>
      </c>
      <c r="KA35" s="14" t="str">
        <f ca="1">IF(KA$1="","",'Total Value'!KA47/'Total Value'!JZ47-1)</f>
        <v/>
      </c>
      <c r="KB35" s="14" t="str">
        <f ca="1">IF(KB$1="","",'Total Value'!KB47/'Total Value'!KA47-1)</f>
        <v/>
      </c>
    </row>
    <row r="36" spans="1:288" ht="15.75" customHeight="1">
      <c r="A36" s="22" t="s">
        <v>30</v>
      </c>
      <c r="B36" s="6" t="s">
        <v>80</v>
      </c>
      <c r="C36" s="26">
        <v>16</v>
      </c>
      <c r="D36" s="13">
        <v>0</v>
      </c>
      <c r="E36" s="14">
        <f ca="1">IF(E$1="","",'Total Value'!E48/'Total Value'!D48-1)</f>
        <v>-1.7475728155340597E-3</v>
      </c>
      <c r="F36" s="14">
        <f ca="1">IF(F$1="","",'Total Value'!F48/'Total Value'!E48-1)</f>
        <v>1.9451468585878207E-3</v>
      </c>
      <c r="G36" s="14">
        <f ca="1">IF(G$1="","",'Total Value'!G48/'Total Value'!F48-1)</f>
        <v>-1.5142690739662235E-2</v>
      </c>
      <c r="H36" s="14">
        <f ca="1">IF(H$1="","",'Total Value'!H48/'Total Value'!G48-1)</f>
        <v>2.3654642223536415E-2</v>
      </c>
      <c r="I36" s="14">
        <f ca="1">IF(I$1="","",'Total Value'!I48/'Total Value'!H48-1)</f>
        <v>4.6216060080879195E-3</v>
      </c>
      <c r="J36" s="14">
        <f ca="1">IF(J$1="","",'Total Value'!J48/'Total Value'!I48-1)</f>
        <v>-1.7251293847039273E-3</v>
      </c>
      <c r="K36" s="14">
        <f ca="1">IF(K$1="","",'Total Value'!K48/'Total Value'!J48-1)</f>
        <v>1.9201228878662491E-4</v>
      </c>
      <c r="L36" s="14">
        <f ca="1">IF(L$1="","",'Total Value'!L48/'Total Value'!K48-1)</f>
        <v>-1.6317911307352717E-2</v>
      </c>
      <c r="M36" s="14">
        <f ca="1">IF(M$1="","",'Total Value'!M48/'Total Value'!L48-1)</f>
        <v>-7.8064012490242085E-3</v>
      </c>
      <c r="N36" s="14">
        <f ca="1">IF(N$1="","",'Total Value'!N48/'Total Value'!M48-1)</f>
        <v>1.1014948859165985E-2</v>
      </c>
      <c r="O36" s="14">
        <f ca="1">IF(O$1="","",'Total Value'!O48/'Total Value'!N48-1)</f>
        <v>-1.5564202334630295E-3</v>
      </c>
      <c r="P36" s="14">
        <f ca="1">IF(P$1="","",'Total Value'!P48/'Total Value'!O48-1)</f>
        <v>3.000779423226807E-2</v>
      </c>
      <c r="Q36" s="14">
        <f ca="1">IF(Q$1="","",'Total Value'!Q48/'Total Value'!P48-1)</f>
        <v>-2.2701475595913179E-3</v>
      </c>
      <c r="R36" s="14">
        <f ca="1">IF(R$1="","",'Total Value'!R48/'Total Value'!Q48-1)</f>
        <v>-1.403109594235874E-2</v>
      </c>
      <c r="S36" s="14">
        <f ca="1">IF(S$1="","",'Total Value'!S48/'Total Value'!R48-1)</f>
        <v>-7.1153846153845235E-3</v>
      </c>
      <c r="T36" s="14">
        <f ca="1">IF(T$1="","",'Total Value'!T48/'Total Value'!S48-1)</f>
        <v>1.7625411582413264E-2</v>
      </c>
      <c r="U36" s="14">
        <f ca="1">IF(U$1="","",'Total Value'!U48/'Total Value'!T48-1)</f>
        <v>-1.5226494099733756E-3</v>
      </c>
      <c r="V36" s="14">
        <f ca="1">IF(V$1="","",'Total Value'!V48/'Total Value'!U48-1)</f>
        <v>-7.2436141822341815E-3</v>
      </c>
      <c r="W36" s="14">
        <f ca="1">IF(W$1="","",'Total Value'!W48/'Total Value'!V48-1)</f>
        <v>1.8625192012288849E-2</v>
      </c>
      <c r="X36" s="14">
        <f ca="1">IF(X$1="","",'Total Value'!X48/'Total Value'!W48-1)</f>
        <v>1.0556079170593868E-2</v>
      </c>
      <c r="Y36" s="14">
        <f ca="1">IF(Y$1="","",'Total Value'!Y48/'Total Value'!X48-1)</f>
        <v>7.4612945346008708E-4</v>
      </c>
      <c r="Z36" s="14">
        <f ca="1">IF(Z$1="","",'Total Value'!Z48/'Total Value'!Y48-1)</f>
        <v>-1.3420316868592685E-2</v>
      </c>
      <c r="AA36" s="14">
        <f ca="1">IF(AA$1="","",'Total Value'!AA48/'Total Value'!Z48-1)</f>
        <v>-3.5896467031928392E-3</v>
      </c>
      <c r="AB36" s="14">
        <f ca="1">IF(AB$1="","",'Total Value'!AB48/'Total Value'!AA48-1)</f>
        <v>-9.290860826697056E-3</v>
      </c>
      <c r="AC36" s="14">
        <f ca="1">IF(AC$1="","",'Total Value'!AC48/'Total Value'!AB48-1)</f>
        <v>1.4736842105263159E-2</v>
      </c>
      <c r="AD36" s="14">
        <f ca="1">IF(AD$1="","",'Total Value'!AD48/'Total Value'!AC48-1)</f>
        <v>9.6190116937004966E-3</v>
      </c>
      <c r="AE36" s="14">
        <f ca="1">IF(AE$1="","",'Total Value'!AE48/'Total Value'!AD48-1)</f>
        <v>-1.2329534840276546E-2</v>
      </c>
      <c r="AF36" s="14">
        <f ca="1">IF(AF$1="","",'Total Value'!AF48/'Total Value'!AE48-1)</f>
        <v>-6.9982977113675071E-3</v>
      </c>
      <c r="AG36" s="14">
        <f ca="1">IF(AG$1="","",'Total Value'!AG48/'Total Value'!AF48-1)</f>
        <v>-8.0000000000000071E-3</v>
      </c>
      <c r="AH36" s="14">
        <f ca="1">IF(AH$1="","",'Total Value'!AH48/'Total Value'!AG48-1)</f>
        <v>8.4485407066052787E-3</v>
      </c>
      <c r="AI36" s="14">
        <f ca="1">IF(AI$1="","",'Total Value'!AI48/'Total Value'!AH48-1)</f>
        <v>-2.4562071591774703E-2</v>
      </c>
      <c r="AJ36" s="14">
        <f ca="1">IF(AJ$1="","",'Total Value'!AJ48/'Total Value'!AI48-1)</f>
        <v>3.5526058949834072E-2</v>
      </c>
      <c r="AK36" s="14">
        <f ca="1">IF(AK$1="","",'Total Value'!AK48/'Total Value'!AJ48-1)</f>
        <v>-1.1310084825636113E-2</v>
      </c>
      <c r="AL36" s="14">
        <f ca="1">IF(AL$1="","",'Total Value'!AL48/'Total Value'!AK48-1)</f>
        <v>-2.650142993326976E-2</v>
      </c>
      <c r="AM36" s="14">
        <f ca="1">IF(AM$1="","",'Total Value'!AM48/'Total Value'!AL48-1)</f>
        <v>0</v>
      </c>
      <c r="AN36" s="14">
        <f ca="1">IF(AN$1="","",'Total Value'!AN48/'Total Value'!AM48-1)</f>
        <v>-1.7234625930278136E-2</v>
      </c>
      <c r="AO36" s="14">
        <f ca="1">IF(AO$1="","",'Total Value'!AO48/'Total Value'!AN48-1)</f>
        <v>-3.3878039059386245E-2</v>
      </c>
      <c r="AP36" s="14">
        <f ca="1">IF(AP$1="","",'Total Value'!AP48/'Total Value'!AO48-1)</f>
        <v>2.2689768976900115E-3</v>
      </c>
      <c r="AQ36" s="14">
        <f ca="1">IF(AQ$1="","",'Total Value'!AQ48/'Total Value'!AP48-1)</f>
        <v>3.3134389792138341E-2</v>
      </c>
      <c r="AR36" s="14">
        <f ca="1">IF(AR$1="","",'Total Value'!AR48/'Total Value'!AQ48-1)</f>
        <v>3.4462151394422325E-2</v>
      </c>
      <c r="AS36" s="14">
        <f ca="1">IF(AS$1="","",'Total Value'!AS48/'Total Value'!AR48-1)</f>
        <v>-1.0206046601193952E-2</v>
      </c>
      <c r="AT36" s="14">
        <f ca="1">IF(AT$1="","",'Total Value'!AT48/'Total Value'!AS48-1)</f>
        <v>-1.3424124513618629E-2</v>
      </c>
      <c r="AU36" s="14">
        <f ca="1">IF(AU$1="","",'Total Value'!AU48/'Total Value'!AT48-1)</f>
        <v>-7.4935910076908696E-3</v>
      </c>
      <c r="AV36" s="14">
        <f ca="1">IF(AV$1="","",'Total Value'!AV48/'Total Value'!AU48-1)</f>
        <v>2.9803298231670938E-2</v>
      </c>
      <c r="AW36" s="14">
        <f ca="1">IF(AW$1="","",'Total Value'!AW48/'Total Value'!AV48-1)</f>
        <v>1.3505691684352339E-3</v>
      </c>
      <c r="AX36" s="14">
        <f ca="1">IF(AX$1="","",'Total Value'!AX48/'Total Value'!AW48-1)</f>
        <v>1.3487475915221703E-2</v>
      </c>
      <c r="AY36" s="14">
        <f ca="1">IF(AY$1="","",'Total Value'!AY48/'Total Value'!AX48-1)</f>
        <v>-9.6958174904943073E-3</v>
      </c>
      <c r="AZ36" s="14">
        <f ca="1">IF(AZ$1="","",'Total Value'!AZ48/'Total Value'!AY48-1)</f>
        <v>-2.1885198694567065E-2</v>
      </c>
      <c r="BA36" s="14">
        <f ca="1">IF(BA$1="","",'Total Value'!BA48/'Total Value'!AZ48-1)</f>
        <v>1.4916584887144202E-2</v>
      </c>
      <c r="BB36" s="14">
        <f ca="1">IF(BB$1="","",'Total Value'!BB48/'Total Value'!BA48-1)</f>
        <v>-2.3206343067104784E-3</v>
      </c>
      <c r="BC36" s="14">
        <f ca="1">IF(BC$1="","",'Total Value'!BC48/'Total Value'!BB48-1)</f>
        <v>-7.7534405892616398E-3</v>
      </c>
      <c r="BD36" s="14">
        <f ca="1">IF(BD$1="","",'Total Value'!BD48/'Total Value'!BC48-1)</f>
        <v>6.6419222504396913E-3</v>
      </c>
      <c r="BE36" s="14">
        <f ca="1">IF(BE$1="","",'Total Value'!BE48/'Total Value'!BD48-1)</f>
        <v>5.8218513487289236E-3</v>
      </c>
      <c r="BF36" s="14">
        <f ca="1">IF(BF$1="","",'Total Value'!BF48/'Total Value'!BE48-1)</f>
        <v>-7.9104765579779412E-3</v>
      </c>
      <c r="BG36" s="14">
        <f ca="1">IF(BG$1="","",'Total Value'!BG48/'Total Value'!BF48-1)</f>
        <v>3.500583430571691E-3</v>
      </c>
      <c r="BH36" s="14">
        <f ca="1">IF(BH$1="","",'Total Value'!BH48/'Total Value'!BG48-1)</f>
        <v>-5.0387596899224008E-3</v>
      </c>
      <c r="BI36" s="14">
        <f ca="1">IF(BI$1="","",'Total Value'!BI48/'Total Value'!BH48-1)</f>
        <v>1.6751071289442976E-2</v>
      </c>
      <c r="BJ36" s="14">
        <f ca="1">IF(BJ$1="","",'Total Value'!BJ48/'Total Value'!BI48-1)</f>
        <v>6.7049808429118229E-3</v>
      </c>
      <c r="BK36" s="14">
        <f ca="1">IF(BK$1="","",'Total Value'!BK48/'Total Value'!BJ48-1)</f>
        <v>6.6603235014273121E-3</v>
      </c>
      <c r="BL36" s="14">
        <f ca="1">IF(BL$1="","",'Total Value'!BL48/'Total Value'!BK48-1)</f>
        <v>2.3440453686200513E-2</v>
      </c>
      <c r="BM36" s="14">
        <f ca="1">IF(BM$1="","",'Total Value'!BM48/'Total Value'!BL48-1)</f>
        <v>2.5489471739933656E-2</v>
      </c>
      <c r="BN36" s="14">
        <f ca="1">IF(BN$1="","",'Total Value'!BN48/'Total Value'!BM48-1)</f>
        <v>2.2154178674351543E-2</v>
      </c>
      <c r="BO36" s="14">
        <f ca="1">IF(BO$1="","",'Total Value'!BO48/'Total Value'!BN48-1)</f>
        <v>1.2511013215859013E-2</v>
      </c>
      <c r="BP36" s="14">
        <f ca="1">IF(BP$1="","",'Total Value'!BP48/'Total Value'!BO48-1)</f>
        <v>-3.0281935259310888E-2</v>
      </c>
      <c r="BQ36" s="14">
        <f ca="1">IF(BQ$1="","",'Total Value'!BQ48/'Total Value'!BP48-1)</f>
        <v>1.7587939698492594E-2</v>
      </c>
      <c r="BR36" s="14">
        <f ca="1">IF(BR$1="","",'Total Value'!BR48/'Total Value'!BQ48-1)</f>
        <v>-1.6754850088183448E-2</v>
      </c>
      <c r="BS36" s="14">
        <f ca="1">IF(BS$1="","",'Total Value'!BS48/'Total Value'!BR48-1)</f>
        <v>-1.0044843049327401E-2</v>
      </c>
      <c r="BT36" s="14">
        <f ca="1">IF(BT$1="","",'Total Value'!BT48/'Total Value'!BS48-1)</f>
        <v>1.8119224497192832E-4</v>
      </c>
      <c r="BU36" s="14">
        <f ca="1">IF(BU$1="","",'Total Value'!BU48/'Total Value'!BT48-1)</f>
        <v>1.1775362318840576E-2</v>
      </c>
      <c r="BV36" s="14">
        <f ca="1">IF(BV$1="","",'Total Value'!BV48/'Total Value'!BU48-1)</f>
        <v>-1.1101163831692129E-2</v>
      </c>
      <c r="BW36" s="14">
        <f ca="1">IF(BW$1="","",'Total Value'!BW48/'Total Value'!BV48-1)</f>
        <v>-1.7925040738728915E-2</v>
      </c>
      <c r="BX36" s="14">
        <f ca="1">IF(BX$1="","",'Total Value'!BX48/'Total Value'!BW48-1)</f>
        <v>5.530973451327359E-3</v>
      </c>
      <c r="BY36" s="14">
        <f ca="1">IF(BY$1="","",'Total Value'!BY48/'Total Value'!BX48-1)</f>
        <v>-1.1551155115511635E-2</v>
      </c>
      <c r="BZ36" s="14">
        <f ca="1">IF(BZ$1="","",'Total Value'!BZ48/'Total Value'!BY48-1)</f>
        <v>7.9762567241701277E-3</v>
      </c>
      <c r="CA36" s="14">
        <f ca="1">IF(CA$1="","",'Total Value'!CA48/'Total Value'!BZ48-1)</f>
        <v>1.2881854987116803E-3</v>
      </c>
      <c r="CB36" s="14">
        <f ca="1">IF(CB$1="","",'Total Value'!CB48/'Total Value'!CA48-1)</f>
        <v>-3.9698584818967042E-2</v>
      </c>
      <c r="CC36" s="14">
        <f ca="1">IF(CC$1="","",'Total Value'!CC48/'Total Value'!CB48-1)</f>
        <v>1.5502392344497684E-2</v>
      </c>
      <c r="CD36" s="14">
        <f ca="1">IF(CD$1="","",'Total Value'!CD48/'Total Value'!CC48-1)</f>
        <v>6.7847719562759146E-3</v>
      </c>
      <c r="CE36" s="14">
        <f ca="1">IF(CE$1="","",'Total Value'!CE48/'Total Value'!CD48-1)</f>
        <v>-1.7409210033695222E-2</v>
      </c>
      <c r="CF36" s="14" t="str">
        <f ca="1">IF(CF$1="","",'Total Value'!CF48/'Total Value'!CE48-1)</f>
        <v/>
      </c>
      <c r="CG36" s="14" t="str">
        <f ca="1">IF(CG$1="","",'Total Value'!CG48/'Total Value'!CF48-1)</f>
        <v/>
      </c>
      <c r="CH36" s="14" t="str">
        <f ca="1">IF(CH$1="","",'Total Value'!CH48/'Total Value'!CG48-1)</f>
        <v/>
      </c>
      <c r="CI36" s="14" t="str">
        <f ca="1">IF(CI$1="","",'Total Value'!CI48/'Total Value'!CH48-1)</f>
        <v/>
      </c>
      <c r="CJ36" s="14" t="str">
        <f ca="1">IF(CJ$1="","",'Total Value'!CJ48/'Total Value'!CI48-1)</f>
        <v/>
      </c>
      <c r="CK36" s="14" t="str">
        <f ca="1">IF(CK$1="","",'Total Value'!CK48/'Total Value'!CJ48-1)</f>
        <v/>
      </c>
      <c r="CL36" s="14" t="str">
        <f ca="1">IF(CL$1="","",'Total Value'!CL48/'Total Value'!CK48-1)</f>
        <v/>
      </c>
      <c r="CM36" s="14" t="str">
        <f ca="1">IF(CM$1="","",'Total Value'!CM48/'Total Value'!CL48-1)</f>
        <v/>
      </c>
      <c r="CN36" s="14" t="str">
        <f ca="1">IF(CN$1="","",'Total Value'!CN48/'Total Value'!CM48-1)</f>
        <v/>
      </c>
      <c r="CO36" s="14" t="str">
        <f ca="1">IF(CO$1="","",'Total Value'!CO48/'Total Value'!CN48-1)</f>
        <v/>
      </c>
      <c r="CP36" s="14" t="str">
        <f ca="1">IF(CP$1="","",'Total Value'!CP48/'Total Value'!CO48-1)</f>
        <v/>
      </c>
      <c r="CQ36" s="14" t="str">
        <f ca="1">IF(CQ$1="","",'Total Value'!CQ48/'Total Value'!CP48-1)</f>
        <v/>
      </c>
      <c r="CR36" s="14" t="str">
        <f ca="1">IF(CR$1="","",'Total Value'!CR48/'Total Value'!CQ48-1)</f>
        <v/>
      </c>
      <c r="CS36" s="14" t="str">
        <f ca="1">IF(CS$1="","",'Total Value'!CS48/'Total Value'!CR48-1)</f>
        <v/>
      </c>
      <c r="CT36" s="14" t="str">
        <f ca="1">IF(CT$1="","",'Total Value'!CT48/'Total Value'!CS48-1)</f>
        <v/>
      </c>
      <c r="CU36" s="14" t="str">
        <f ca="1">IF(CU$1="","",'Total Value'!CU48/'Total Value'!CT48-1)</f>
        <v/>
      </c>
      <c r="CV36" s="14" t="str">
        <f ca="1">IF(CV$1="","",'Total Value'!CV48/'Total Value'!CU48-1)</f>
        <v/>
      </c>
      <c r="CW36" s="14" t="str">
        <f ca="1">IF(CW$1="","",'Total Value'!CW48/'Total Value'!CV48-1)</f>
        <v/>
      </c>
      <c r="CX36" s="14" t="str">
        <f ca="1">IF(CX$1="","",'Total Value'!CX48/'Total Value'!CW48-1)</f>
        <v/>
      </c>
      <c r="CY36" s="14" t="str">
        <f ca="1">IF(CY$1="","",'Total Value'!CY48/'Total Value'!CX48-1)</f>
        <v/>
      </c>
      <c r="CZ36" s="14" t="str">
        <f ca="1">IF(CZ$1="","",'Total Value'!CZ48/'Total Value'!CY48-1)</f>
        <v/>
      </c>
      <c r="DA36" s="14" t="str">
        <f ca="1">IF(DA$1="","",'Total Value'!DA48/'Total Value'!CZ48-1)</f>
        <v/>
      </c>
      <c r="DB36" s="14" t="str">
        <f ca="1">IF(DB$1="","",'Total Value'!DB48/'Total Value'!DA48-1)</f>
        <v/>
      </c>
      <c r="DC36" s="14" t="str">
        <f ca="1">IF(DC$1="","",'Total Value'!DC48/'Total Value'!DB48-1)</f>
        <v/>
      </c>
      <c r="DD36" s="14" t="str">
        <f ca="1">IF(DD$1="","",'Total Value'!DD48/'Total Value'!DC48-1)</f>
        <v/>
      </c>
      <c r="DE36" s="14" t="str">
        <f ca="1">IF(DE$1="","",'Total Value'!DE48/'Total Value'!DD48-1)</f>
        <v/>
      </c>
      <c r="DF36" s="14" t="str">
        <f ca="1">IF(DF$1="","",'Total Value'!DF48/'Total Value'!DE48-1)</f>
        <v/>
      </c>
      <c r="DG36" s="14" t="str">
        <f ca="1">IF(DG$1="","",'Total Value'!DG48/'Total Value'!DF48-1)</f>
        <v/>
      </c>
      <c r="DH36" s="14" t="str">
        <f ca="1">IF(DH$1="","",'Total Value'!DH48/'Total Value'!DG48-1)</f>
        <v/>
      </c>
      <c r="DI36" s="14" t="str">
        <f ca="1">IF(DI$1="","",'Total Value'!DI48/'Total Value'!DH48-1)</f>
        <v/>
      </c>
      <c r="DJ36" s="14" t="str">
        <f ca="1">IF(DJ$1="","",'Total Value'!DJ48/'Total Value'!DI48-1)</f>
        <v/>
      </c>
      <c r="DK36" s="14" t="str">
        <f ca="1">IF(DK$1="","",'Total Value'!DK48/'Total Value'!DJ48-1)</f>
        <v/>
      </c>
      <c r="DL36" s="14" t="str">
        <f ca="1">IF(DL$1="","",'Total Value'!DL48/'Total Value'!DK48-1)</f>
        <v/>
      </c>
      <c r="DM36" s="14" t="str">
        <f ca="1">IF(DM$1="","",'Total Value'!DM48/'Total Value'!DL48-1)</f>
        <v/>
      </c>
      <c r="DN36" s="14" t="str">
        <f ca="1">IF(DN$1="","",'Total Value'!DN48/'Total Value'!DM48-1)</f>
        <v/>
      </c>
      <c r="DO36" s="14" t="str">
        <f ca="1">IF(DO$1="","",'Total Value'!DO48/'Total Value'!DN48-1)</f>
        <v/>
      </c>
      <c r="DP36" s="14" t="str">
        <f ca="1">IF(DP$1="","",'Total Value'!DP48/'Total Value'!DO48-1)</f>
        <v/>
      </c>
      <c r="DQ36" s="14" t="str">
        <f ca="1">IF(DQ$1="","",'Total Value'!DQ48/'Total Value'!DP48-1)</f>
        <v/>
      </c>
      <c r="DR36" s="14" t="str">
        <f ca="1">IF(DR$1="","",'Total Value'!DR48/'Total Value'!DQ48-1)</f>
        <v/>
      </c>
      <c r="DS36" s="14" t="str">
        <f ca="1">IF(DS$1="","",'Total Value'!DS48/'Total Value'!DR48-1)</f>
        <v/>
      </c>
      <c r="DT36" s="14" t="str">
        <f ca="1">IF(DT$1="","",'Total Value'!DT48/'Total Value'!DS48-1)</f>
        <v/>
      </c>
      <c r="DU36" s="14" t="str">
        <f ca="1">IF(DU$1="","",'Total Value'!DU48/'Total Value'!DT48-1)</f>
        <v/>
      </c>
      <c r="DV36" s="14" t="str">
        <f ca="1">IF(DV$1="","",'Total Value'!DV48/'Total Value'!DU48-1)</f>
        <v/>
      </c>
      <c r="DW36" s="14" t="str">
        <f ca="1">IF(DW$1="","",'Total Value'!DW48/'Total Value'!DV48-1)</f>
        <v/>
      </c>
      <c r="DX36" s="14" t="str">
        <f ca="1">IF(DX$1="","",'Total Value'!DX48/'Total Value'!DW48-1)</f>
        <v/>
      </c>
      <c r="DY36" s="14" t="str">
        <f ca="1">IF(DY$1="","",'Total Value'!DY48/'Total Value'!DX48-1)</f>
        <v/>
      </c>
      <c r="DZ36" s="14" t="str">
        <f ca="1">IF(DZ$1="","",'Total Value'!DZ48/'Total Value'!DY48-1)</f>
        <v/>
      </c>
      <c r="EA36" s="14" t="str">
        <f ca="1">IF(EA$1="","",'Total Value'!EA48/'Total Value'!DZ48-1)</f>
        <v/>
      </c>
      <c r="EB36" s="14" t="str">
        <f ca="1">IF(EB$1="","",'Total Value'!EB48/'Total Value'!EA48-1)</f>
        <v/>
      </c>
      <c r="EC36" s="14" t="str">
        <f ca="1">IF(EC$1="","",'Total Value'!EC48/'Total Value'!EB48-1)</f>
        <v/>
      </c>
      <c r="ED36" s="14" t="str">
        <f ca="1">IF(ED$1="","",'Total Value'!ED48/'Total Value'!EC48-1)</f>
        <v/>
      </c>
      <c r="EE36" s="14" t="str">
        <f ca="1">IF(EE$1="","",'Total Value'!EE48/'Total Value'!ED48-1)</f>
        <v/>
      </c>
      <c r="EF36" s="14" t="str">
        <f ca="1">IF(EF$1="","",'Total Value'!EF48/'Total Value'!EE48-1)</f>
        <v/>
      </c>
      <c r="EG36" s="14" t="str">
        <f ca="1">IF(EG$1="","",'Total Value'!EG48/'Total Value'!EF48-1)</f>
        <v/>
      </c>
      <c r="EH36" s="14" t="str">
        <f ca="1">IF(EH$1="","",'Total Value'!EH48/'Total Value'!EG48-1)</f>
        <v/>
      </c>
      <c r="EI36" s="14" t="str">
        <f ca="1">IF(EI$1="","",'Total Value'!EI48/'Total Value'!EH48-1)</f>
        <v/>
      </c>
      <c r="EJ36" s="14" t="str">
        <f ca="1">IF(EJ$1="","",'Total Value'!EJ48/'Total Value'!EI48-1)</f>
        <v/>
      </c>
      <c r="EK36" s="14" t="str">
        <f ca="1">IF(EK$1="","",'Total Value'!EK48/'Total Value'!EJ48-1)</f>
        <v/>
      </c>
      <c r="EL36" s="14" t="str">
        <f ca="1">IF(EL$1="","",'Total Value'!EL48/'Total Value'!EK48-1)</f>
        <v/>
      </c>
      <c r="EM36" s="14" t="str">
        <f ca="1">IF(EM$1="","",'Total Value'!EM48/'Total Value'!EL48-1)</f>
        <v/>
      </c>
      <c r="EN36" s="14" t="str">
        <f ca="1">IF(EN$1="","",'Total Value'!EN48/'Total Value'!EM48-1)</f>
        <v/>
      </c>
      <c r="EO36" s="14" t="str">
        <f ca="1">IF(EO$1="","",'Total Value'!EO48/'Total Value'!EN48-1)</f>
        <v/>
      </c>
      <c r="EP36" s="14" t="str">
        <f ca="1">IF(EP$1="","",'Total Value'!EP48/'Total Value'!EO48-1)</f>
        <v/>
      </c>
      <c r="EQ36" s="14" t="str">
        <f ca="1">IF(EQ$1="","",'Total Value'!EQ48/'Total Value'!EP48-1)</f>
        <v/>
      </c>
      <c r="ER36" s="14" t="str">
        <f ca="1">IF(ER$1="","",'Total Value'!ER48/'Total Value'!EQ48-1)</f>
        <v/>
      </c>
      <c r="ES36" s="14" t="str">
        <f ca="1">IF(ES$1="","",'Total Value'!ES48/'Total Value'!ER48-1)</f>
        <v/>
      </c>
      <c r="ET36" s="14" t="str">
        <f ca="1">IF(ET$1="","",'Total Value'!ET48/'Total Value'!ES48-1)</f>
        <v/>
      </c>
      <c r="EU36" s="14" t="str">
        <f ca="1">IF(EU$1="","",'Total Value'!EU48/'Total Value'!ET48-1)</f>
        <v/>
      </c>
      <c r="EV36" s="14" t="str">
        <f ca="1">IF(EV$1="","",'Total Value'!EV48/'Total Value'!EU48-1)</f>
        <v/>
      </c>
      <c r="EW36" s="14" t="str">
        <f ca="1">IF(EW$1="","",'Total Value'!EW48/'Total Value'!EV48-1)</f>
        <v/>
      </c>
      <c r="EX36" s="14" t="str">
        <f ca="1">IF(EX$1="","",'Total Value'!EX48/'Total Value'!EW48-1)</f>
        <v/>
      </c>
      <c r="EY36" s="14" t="str">
        <f ca="1">IF(EY$1="","",'Total Value'!EY48/'Total Value'!EX48-1)</f>
        <v/>
      </c>
      <c r="EZ36" s="14" t="str">
        <f ca="1">IF(EZ$1="","",'Total Value'!EZ48/'Total Value'!EY48-1)</f>
        <v/>
      </c>
      <c r="FA36" s="14" t="str">
        <f ca="1">IF(FA$1="","",'Total Value'!FA48/'Total Value'!EZ48-1)</f>
        <v/>
      </c>
      <c r="FB36" s="14" t="str">
        <f ca="1">IF(FB$1="","",'Total Value'!FB48/'Total Value'!FA48-1)</f>
        <v/>
      </c>
      <c r="FC36" s="14" t="str">
        <f ca="1">IF(FC$1="","",'Total Value'!FC48/'Total Value'!FB48-1)</f>
        <v/>
      </c>
      <c r="FD36" s="14" t="str">
        <f ca="1">IF(FD$1="","",'Total Value'!FD48/'Total Value'!FC48-1)</f>
        <v/>
      </c>
      <c r="FE36" s="14" t="str">
        <f ca="1">IF(FE$1="","",'Total Value'!FE48/'Total Value'!FD48-1)</f>
        <v/>
      </c>
      <c r="FF36" s="14" t="str">
        <f ca="1">IF(FF$1="","",'Total Value'!FF48/'Total Value'!FE48-1)</f>
        <v/>
      </c>
      <c r="FG36" s="14" t="str">
        <f ca="1">IF(FG$1="","",'Total Value'!FG48/'Total Value'!FF48-1)</f>
        <v/>
      </c>
      <c r="FH36" s="14" t="str">
        <f ca="1">IF(FH$1="","",'Total Value'!FH48/'Total Value'!FG48-1)</f>
        <v/>
      </c>
      <c r="FI36" s="14" t="str">
        <f ca="1">IF(FI$1="","",'Total Value'!FI48/'Total Value'!FH48-1)</f>
        <v/>
      </c>
      <c r="FJ36" s="14" t="str">
        <f ca="1">IF(FJ$1="","",'Total Value'!FJ48/'Total Value'!FI48-1)</f>
        <v/>
      </c>
      <c r="FK36" s="14" t="str">
        <f ca="1">IF(FK$1="","",'Total Value'!FK48/'Total Value'!FJ48-1)</f>
        <v/>
      </c>
      <c r="FL36" s="14" t="str">
        <f ca="1">IF(FL$1="","",'Total Value'!FL48/'Total Value'!FK48-1)</f>
        <v/>
      </c>
      <c r="FM36" s="14" t="str">
        <f ca="1">IF(FM$1="","",'Total Value'!FM48/'Total Value'!FL48-1)</f>
        <v/>
      </c>
      <c r="FN36" s="14" t="str">
        <f ca="1">IF(FN$1="","",'Total Value'!FN48/'Total Value'!FM48-1)</f>
        <v/>
      </c>
      <c r="FO36" s="14" t="str">
        <f ca="1">IF(FO$1="","",'Total Value'!FO48/'Total Value'!FN48-1)</f>
        <v/>
      </c>
      <c r="FP36" s="14" t="str">
        <f ca="1">IF(FP$1="","",'Total Value'!FP48/'Total Value'!FO48-1)</f>
        <v/>
      </c>
      <c r="FQ36" s="14" t="str">
        <f ca="1">IF(FQ$1="","",'Total Value'!FQ48/'Total Value'!FP48-1)</f>
        <v/>
      </c>
      <c r="FR36" s="14" t="str">
        <f ca="1">IF(FR$1="","",'Total Value'!FR48/'Total Value'!FQ48-1)</f>
        <v/>
      </c>
      <c r="FS36" s="14" t="str">
        <f ca="1">IF(FS$1="","",'Total Value'!FS48/'Total Value'!FR48-1)</f>
        <v/>
      </c>
      <c r="FT36" s="14" t="str">
        <f ca="1">IF(FT$1="","",'Total Value'!FT48/'Total Value'!FS48-1)</f>
        <v/>
      </c>
      <c r="FU36" s="14" t="str">
        <f ca="1">IF(FU$1="","",'Total Value'!FU48/'Total Value'!FT48-1)</f>
        <v/>
      </c>
      <c r="FV36" s="14" t="str">
        <f ca="1">IF(FV$1="","",'Total Value'!FV48/'Total Value'!FU48-1)</f>
        <v/>
      </c>
      <c r="FW36" s="14" t="str">
        <f ca="1">IF(FW$1="","",'Total Value'!FW48/'Total Value'!FV48-1)</f>
        <v/>
      </c>
      <c r="FX36" s="14" t="str">
        <f ca="1">IF(FX$1="","",'Total Value'!FX48/'Total Value'!FW48-1)</f>
        <v/>
      </c>
      <c r="FY36" s="14" t="str">
        <f ca="1">IF(FY$1="","",'Total Value'!FY48/'Total Value'!FX48-1)</f>
        <v/>
      </c>
      <c r="FZ36" s="14" t="str">
        <f ca="1">IF(FZ$1="","",'Total Value'!FZ48/'Total Value'!FY48-1)</f>
        <v/>
      </c>
      <c r="GA36" s="14" t="str">
        <f ca="1">IF(GA$1="","",'Total Value'!GA48/'Total Value'!FZ48-1)</f>
        <v/>
      </c>
      <c r="GB36" s="14" t="str">
        <f ca="1">IF(GB$1="","",'Total Value'!GB48/'Total Value'!GA48-1)</f>
        <v/>
      </c>
      <c r="GC36" s="14" t="str">
        <f ca="1">IF(GC$1="","",'Total Value'!GC48/'Total Value'!GB48-1)</f>
        <v/>
      </c>
      <c r="GD36" s="14" t="str">
        <f ca="1">IF(GD$1="","",'Total Value'!GD48/'Total Value'!GC48-1)</f>
        <v/>
      </c>
      <c r="GE36" s="14" t="str">
        <f ca="1">IF(GE$1="","",'Total Value'!GE48/'Total Value'!GD48-1)</f>
        <v/>
      </c>
      <c r="GF36" s="14" t="str">
        <f ca="1">IF(GF$1="","",'Total Value'!GF48/'Total Value'!GE48-1)</f>
        <v/>
      </c>
      <c r="GG36" s="14" t="str">
        <f ca="1">IF(GG$1="","",'Total Value'!GG48/'Total Value'!GF48-1)</f>
        <v/>
      </c>
      <c r="GH36" s="14" t="str">
        <f ca="1">IF(GH$1="","",'Total Value'!GH48/'Total Value'!GG48-1)</f>
        <v/>
      </c>
      <c r="GI36" s="14" t="str">
        <f ca="1">IF(GI$1="","",'Total Value'!GI48/'Total Value'!GH48-1)</f>
        <v/>
      </c>
      <c r="GJ36" s="14" t="str">
        <f ca="1">IF(GJ$1="","",'Total Value'!GJ48/'Total Value'!GI48-1)</f>
        <v/>
      </c>
      <c r="GK36" s="14" t="str">
        <f ca="1">IF(GK$1="","",'Total Value'!GK48/'Total Value'!GJ48-1)</f>
        <v/>
      </c>
      <c r="GL36" s="14" t="str">
        <f ca="1">IF(GL$1="","",'Total Value'!GL48/'Total Value'!GK48-1)</f>
        <v/>
      </c>
      <c r="GM36" s="14" t="str">
        <f ca="1">IF(GM$1="","",'Total Value'!GM48/'Total Value'!GL48-1)</f>
        <v/>
      </c>
      <c r="GN36" s="14" t="str">
        <f ca="1">IF(GN$1="","",'Total Value'!GN48/'Total Value'!GM48-1)</f>
        <v/>
      </c>
      <c r="GO36" s="14" t="str">
        <f ca="1">IF(GO$1="","",'Total Value'!GO48/'Total Value'!GN48-1)</f>
        <v/>
      </c>
      <c r="GP36" s="14" t="str">
        <f ca="1">IF(GP$1="","",'Total Value'!GP48/'Total Value'!GO48-1)</f>
        <v/>
      </c>
      <c r="GQ36" s="14" t="str">
        <f ca="1">IF(GQ$1="","",'Total Value'!GQ48/'Total Value'!GP48-1)</f>
        <v/>
      </c>
      <c r="GR36" s="14" t="str">
        <f ca="1">IF(GR$1="","",'Total Value'!GR48/'Total Value'!GQ48-1)</f>
        <v/>
      </c>
      <c r="GS36" s="14" t="str">
        <f ca="1">IF(GS$1="","",'Total Value'!GS48/'Total Value'!GR48-1)</f>
        <v/>
      </c>
      <c r="GT36" s="14" t="str">
        <f ca="1">IF(GT$1="","",'Total Value'!GT48/'Total Value'!GS48-1)</f>
        <v/>
      </c>
      <c r="GU36" s="14" t="str">
        <f ca="1">IF(GU$1="","",'Total Value'!GU48/'Total Value'!GT48-1)</f>
        <v/>
      </c>
      <c r="GV36" s="14" t="str">
        <f ca="1">IF(GV$1="","",'Total Value'!GV48/'Total Value'!GU48-1)</f>
        <v/>
      </c>
      <c r="GW36" s="14" t="str">
        <f ca="1">IF(GW$1="","",'Total Value'!GW48/'Total Value'!GV48-1)</f>
        <v/>
      </c>
      <c r="GX36" s="14" t="str">
        <f ca="1">IF(GX$1="","",'Total Value'!GX48/'Total Value'!GW48-1)</f>
        <v/>
      </c>
      <c r="GY36" s="14" t="str">
        <f ca="1">IF(GY$1="","",'Total Value'!GY48/'Total Value'!GX48-1)</f>
        <v/>
      </c>
      <c r="GZ36" s="14" t="str">
        <f ca="1">IF(GZ$1="","",'Total Value'!GZ48/'Total Value'!GY48-1)</f>
        <v/>
      </c>
      <c r="HA36" s="14" t="str">
        <f ca="1">IF(HA$1="","",'Total Value'!HA48/'Total Value'!GZ48-1)</f>
        <v/>
      </c>
      <c r="HB36" s="14" t="str">
        <f ca="1">IF(HB$1="","",'Total Value'!HB48/'Total Value'!HA48-1)</f>
        <v/>
      </c>
      <c r="HC36" s="14" t="str">
        <f ca="1">IF(HC$1="","",'Total Value'!HC48/'Total Value'!HB48-1)</f>
        <v/>
      </c>
      <c r="HD36" s="14" t="str">
        <f ca="1">IF(HD$1="","",'Total Value'!HD48/'Total Value'!HC48-1)</f>
        <v/>
      </c>
      <c r="HE36" s="14" t="str">
        <f ca="1">IF(HE$1="","",'Total Value'!HE48/'Total Value'!HD48-1)</f>
        <v/>
      </c>
      <c r="HF36" s="14" t="str">
        <f ca="1">IF(HF$1="","",'Total Value'!HF48/'Total Value'!HE48-1)</f>
        <v/>
      </c>
      <c r="HG36" s="14" t="str">
        <f ca="1">IF(HG$1="","",'Total Value'!HG48/'Total Value'!HF48-1)</f>
        <v/>
      </c>
      <c r="HH36" s="14" t="str">
        <f ca="1">IF(HH$1="","",'Total Value'!HH48/'Total Value'!HG48-1)</f>
        <v/>
      </c>
      <c r="HI36" s="14" t="str">
        <f ca="1">IF(HI$1="","",'Total Value'!HI48/'Total Value'!HH48-1)</f>
        <v/>
      </c>
      <c r="HJ36" s="14" t="str">
        <f ca="1">IF(HJ$1="","",'Total Value'!HJ48/'Total Value'!HI48-1)</f>
        <v/>
      </c>
      <c r="HK36" s="14" t="str">
        <f ca="1">IF(HK$1="","",'Total Value'!HK48/'Total Value'!HJ48-1)</f>
        <v/>
      </c>
      <c r="HL36" s="14" t="str">
        <f ca="1">IF(HL$1="","",'Total Value'!HL48/'Total Value'!HK48-1)</f>
        <v/>
      </c>
      <c r="HM36" s="14" t="str">
        <f ca="1">IF(HM$1="","",'Total Value'!HM48/'Total Value'!HL48-1)</f>
        <v/>
      </c>
      <c r="HN36" s="14" t="str">
        <f ca="1">IF(HN$1="","",'Total Value'!HN48/'Total Value'!HM48-1)</f>
        <v/>
      </c>
      <c r="HO36" s="14" t="str">
        <f ca="1">IF(HO$1="","",'Total Value'!HO48/'Total Value'!HN48-1)</f>
        <v/>
      </c>
      <c r="HP36" s="14" t="str">
        <f ca="1">IF(HP$1="","",'Total Value'!HP48/'Total Value'!HO48-1)</f>
        <v/>
      </c>
      <c r="HQ36" s="14" t="str">
        <f ca="1">IF(HQ$1="","",'Total Value'!HQ48/'Total Value'!HP48-1)</f>
        <v/>
      </c>
      <c r="HR36" s="14" t="str">
        <f ca="1">IF(HR$1="","",'Total Value'!HR48/'Total Value'!HQ48-1)</f>
        <v/>
      </c>
      <c r="HS36" s="14" t="str">
        <f ca="1">IF(HS$1="","",'Total Value'!HS48/'Total Value'!HR48-1)</f>
        <v/>
      </c>
      <c r="HT36" s="14" t="str">
        <f ca="1">IF(HT$1="","",'Total Value'!HT48/'Total Value'!HS48-1)</f>
        <v/>
      </c>
      <c r="HU36" s="14" t="str">
        <f ca="1">IF(HU$1="","",'Total Value'!HU48/'Total Value'!HT48-1)</f>
        <v/>
      </c>
      <c r="HV36" s="14" t="str">
        <f ca="1">IF(HV$1="","",'Total Value'!HV48/'Total Value'!HU48-1)</f>
        <v/>
      </c>
      <c r="HW36" s="14" t="str">
        <f ca="1">IF(HW$1="","",'Total Value'!HW48/'Total Value'!HV48-1)</f>
        <v/>
      </c>
      <c r="HX36" s="14" t="str">
        <f ca="1">IF(HX$1="","",'Total Value'!HX48/'Total Value'!HW48-1)</f>
        <v/>
      </c>
      <c r="HY36" s="14" t="str">
        <f ca="1">IF(HY$1="","",'Total Value'!HY48/'Total Value'!HX48-1)</f>
        <v/>
      </c>
      <c r="HZ36" s="14" t="str">
        <f ca="1">IF(HZ$1="","",'Total Value'!HZ48/'Total Value'!HY48-1)</f>
        <v/>
      </c>
      <c r="IA36" s="14" t="str">
        <f ca="1">IF(IA$1="","",'Total Value'!IA48/'Total Value'!HZ48-1)</f>
        <v/>
      </c>
      <c r="IB36" s="14" t="str">
        <f ca="1">IF(IB$1="","",'Total Value'!IB48/'Total Value'!IA48-1)</f>
        <v/>
      </c>
      <c r="IC36" s="14" t="str">
        <f ca="1">IF(IC$1="","",'Total Value'!IC48/'Total Value'!IB48-1)</f>
        <v/>
      </c>
      <c r="ID36" s="14" t="str">
        <f ca="1">IF(ID$1="","",'Total Value'!ID48/'Total Value'!IC48-1)</f>
        <v/>
      </c>
      <c r="IE36" s="14" t="str">
        <f ca="1">IF(IE$1="","",'Total Value'!IE48/'Total Value'!ID48-1)</f>
        <v/>
      </c>
      <c r="IF36" s="14" t="str">
        <f ca="1">IF(IF$1="","",'Total Value'!IF48/'Total Value'!IE48-1)</f>
        <v/>
      </c>
      <c r="IG36" s="14" t="str">
        <f ca="1">IF(IG$1="","",'Total Value'!IG48/'Total Value'!IF48-1)</f>
        <v/>
      </c>
      <c r="IH36" s="14" t="str">
        <f ca="1">IF(IH$1="","",'Total Value'!IH48/'Total Value'!IG48-1)</f>
        <v/>
      </c>
      <c r="II36" s="14" t="str">
        <f ca="1">IF(II$1="","",'Total Value'!II48/'Total Value'!IH48-1)</f>
        <v/>
      </c>
      <c r="IJ36" s="14" t="str">
        <f ca="1">IF(IJ$1="","",'Total Value'!IJ48/'Total Value'!II48-1)</f>
        <v/>
      </c>
      <c r="IK36" s="14" t="str">
        <f ca="1">IF(IK$1="","",'Total Value'!IK48/'Total Value'!IJ48-1)</f>
        <v/>
      </c>
      <c r="IL36" s="14" t="str">
        <f ca="1">IF(IL$1="","",'Total Value'!IL48/'Total Value'!IK48-1)</f>
        <v/>
      </c>
      <c r="IM36" s="14" t="str">
        <f ca="1">IF(IM$1="","",'Total Value'!IM48/'Total Value'!IL48-1)</f>
        <v/>
      </c>
      <c r="IN36" s="14" t="str">
        <f ca="1">IF(IN$1="","",'Total Value'!IN48/'Total Value'!IM48-1)</f>
        <v/>
      </c>
      <c r="IO36" s="14" t="str">
        <f ca="1">IF(IO$1="","",'Total Value'!IO48/'Total Value'!IN48-1)</f>
        <v/>
      </c>
      <c r="IP36" s="14" t="str">
        <f ca="1">IF(IP$1="","",'Total Value'!IP48/'Total Value'!IO48-1)</f>
        <v/>
      </c>
      <c r="IQ36" s="14" t="str">
        <f ca="1">IF(IQ$1="","",'Total Value'!IQ48/'Total Value'!IP48-1)</f>
        <v/>
      </c>
      <c r="IR36" s="14" t="str">
        <f ca="1">IF(IR$1="","",'Total Value'!IR48/'Total Value'!IQ48-1)</f>
        <v/>
      </c>
      <c r="IS36" s="14" t="str">
        <f ca="1">IF(IS$1="","",'Total Value'!IS48/'Total Value'!IR48-1)</f>
        <v/>
      </c>
      <c r="IT36" s="14" t="str">
        <f ca="1">IF(IT$1="","",'Total Value'!IT48/'Total Value'!IS48-1)</f>
        <v/>
      </c>
      <c r="IU36" s="14" t="str">
        <f ca="1">IF(IU$1="","",'Total Value'!IU48/'Total Value'!IT48-1)</f>
        <v/>
      </c>
      <c r="IV36" s="14" t="str">
        <f ca="1">IF(IV$1="","",'Total Value'!IV48/'Total Value'!IU48-1)</f>
        <v/>
      </c>
      <c r="IW36" s="14" t="str">
        <f ca="1">IF(IW$1="","",'Total Value'!IW48/'Total Value'!IV48-1)</f>
        <v/>
      </c>
      <c r="IX36" s="14" t="str">
        <f ca="1">IF(IX$1="","",'Total Value'!IX48/'Total Value'!IW48-1)</f>
        <v/>
      </c>
      <c r="IY36" s="14" t="str">
        <f ca="1">IF(IY$1="","",'Total Value'!IY48/'Total Value'!IX48-1)</f>
        <v/>
      </c>
      <c r="IZ36" s="14" t="str">
        <f ca="1">IF(IZ$1="","",'Total Value'!IZ48/'Total Value'!IY48-1)</f>
        <v/>
      </c>
      <c r="JA36" s="14" t="str">
        <f ca="1">IF(JA$1="","",'Total Value'!JA48/'Total Value'!IZ48-1)</f>
        <v/>
      </c>
      <c r="JB36" s="14" t="str">
        <f ca="1">IF(JB$1="","",'Total Value'!JB48/'Total Value'!JA48-1)</f>
        <v/>
      </c>
      <c r="JC36" s="14" t="str">
        <f ca="1">IF(JC$1="","",'Total Value'!JC48/'Total Value'!JB48-1)</f>
        <v/>
      </c>
      <c r="JD36" s="14" t="str">
        <f ca="1">IF(JD$1="","",'Total Value'!JD48/'Total Value'!JC48-1)</f>
        <v/>
      </c>
      <c r="JE36" s="14" t="str">
        <f ca="1">IF(JE$1="","",'Total Value'!JE48/'Total Value'!JD48-1)</f>
        <v/>
      </c>
      <c r="JF36" s="14" t="str">
        <f ca="1">IF(JF$1="","",'Total Value'!JF48/'Total Value'!JE48-1)</f>
        <v/>
      </c>
      <c r="JG36" s="14" t="str">
        <f ca="1">IF(JG$1="","",'Total Value'!JG48/'Total Value'!JF48-1)</f>
        <v/>
      </c>
      <c r="JH36" s="14" t="str">
        <f ca="1">IF(JH$1="","",'Total Value'!JH48/'Total Value'!JG48-1)</f>
        <v/>
      </c>
      <c r="JI36" s="14" t="str">
        <f ca="1">IF(JI$1="","",'Total Value'!JI48/'Total Value'!JH48-1)</f>
        <v/>
      </c>
      <c r="JJ36" s="14" t="str">
        <f ca="1">IF(JJ$1="","",'Total Value'!JJ48/'Total Value'!JI48-1)</f>
        <v/>
      </c>
      <c r="JK36" s="14" t="str">
        <f ca="1">IF(JK$1="","",'Total Value'!JK48/'Total Value'!JJ48-1)</f>
        <v/>
      </c>
      <c r="JL36" s="14" t="str">
        <f ca="1">IF(JL$1="","",'Total Value'!JL48/'Total Value'!JK48-1)</f>
        <v/>
      </c>
      <c r="JM36" s="14" t="str">
        <f ca="1">IF(JM$1="","",'Total Value'!JM48/'Total Value'!JL48-1)</f>
        <v/>
      </c>
      <c r="JN36" s="14" t="str">
        <f ca="1">IF(JN$1="","",'Total Value'!JN48/'Total Value'!JM48-1)</f>
        <v/>
      </c>
      <c r="JO36" s="14" t="str">
        <f ca="1">IF(JO$1="","",'Total Value'!JO48/'Total Value'!JN48-1)</f>
        <v/>
      </c>
      <c r="JP36" s="14" t="str">
        <f ca="1">IF(JP$1="","",'Total Value'!JP48/'Total Value'!JO48-1)</f>
        <v/>
      </c>
      <c r="JQ36" s="14" t="str">
        <f ca="1">IF(JQ$1="","",'Total Value'!JQ48/'Total Value'!JP48-1)</f>
        <v/>
      </c>
      <c r="JR36" s="14" t="str">
        <f ca="1">IF(JR$1="","",'Total Value'!JR48/'Total Value'!JQ48-1)</f>
        <v/>
      </c>
      <c r="JS36" s="14" t="str">
        <f ca="1">IF(JS$1="","",'Total Value'!JS48/'Total Value'!JR48-1)</f>
        <v/>
      </c>
      <c r="JT36" s="14" t="str">
        <f ca="1">IF(JT$1="","",'Total Value'!JT48/'Total Value'!JS48-1)</f>
        <v/>
      </c>
      <c r="JU36" s="14" t="str">
        <f ca="1">IF(JU$1="","",'Total Value'!JU48/'Total Value'!JT48-1)</f>
        <v/>
      </c>
      <c r="JV36" s="14" t="str">
        <f ca="1">IF(JV$1="","",'Total Value'!JV48/'Total Value'!JU48-1)</f>
        <v/>
      </c>
      <c r="JW36" s="14" t="str">
        <f ca="1">IF(JW$1="","",'Total Value'!JW48/'Total Value'!JV48-1)</f>
        <v/>
      </c>
      <c r="JX36" s="14" t="str">
        <f ca="1">IF(JX$1="","",'Total Value'!JX48/'Total Value'!JW48-1)</f>
        <v/>
      </c>
      <c r="JY36" s="14" t="str">
        <f ca="1">IF(JY$1="","",'Total Value'!JY48/'Total Value'!JX48-1)</f>
        <v/>
      </c>
      <c r="JZ36" s="14" t="str">
        <f ca="1">IF(JZ$1="","",'Total Value'!JZ48/'Total Value'!JY48-1)</f>
        <v/>
      </c>
      <c r="KA36" s="14" t="str">
        <f ca="1">IF(KA$1="","",'Total Value'!KA48/'Total Value'!JZ48-1)</f>
        <v/>
      </c>
      <c r="KB36" s="14" t="str">
        <f ca="1">IF(KB$1="","",'Total Value'!KB48/'Total Value'!KA48-1)</f>
        <v/>
      </c>
    </row>
    <row r="37" spans="1:288" ht="15.75" customHeight="1">
      <c r="A37" s="22" t="s">
        <v>30</v>
      </c>
      <c r="B37" s="6" t="s">
        <v>81</v>
      </c>
      <c r="C37" s="26">
        <v>30</v>
      </c>
      <c r="D37" s="13">
        <v>0</v>
      </c>
      <c r="E37" s="14">
        <f ca="1">IF(E$1="","",'Total Value'!E49/'Total Value'!D49-1)</f>
        <v>1.1465603190428775E-2</v>
      </c>
      <c r="F37" s="14">
        <f ca="1">IF(F$1="","",'Total Value'!F49/'Total Value'!E49-1)</f>
        <v>-9.857072449482307E-3</v>
      </c>
      <c r="G37" s="14">
        <f ca="1">IF(G$1="","",'Total Value'!G49/'Total Value'!F49-1)</f>
        <v>7.9641612742658019E-3</v>
      </c>
      <c r="H37" s="14">
        <f ca="1">IF(H$1="","",'Total Value'!H49/'Total Value'!G49-1)</f>
        <v>-4.4444444444444731E-3</v>
      </c>
      <c r="I37" s="14">
        <f ca="1">IF(I$1="","",'Total Value'!I49/'Total Value'!H49-1)</f>
        <v>-1.8353174603174649E-2</v>
      </c>
      <c r="J37" s="14">
        <f ca="1">IF(J$1="","",'Total Value'!J49/'Total Value'!I49-1)</f>
        <v>-3.5876705406771014E-2</v>
      </c>
      <c r="K37" s="14">
        <f ca="1">IF(K$1="","",'Total Value'!K49/'Total Value'!J49-1)</f>
        <v>-4.0880503144654079E-2</v>
      </c>
      <c r="L37" s="14">
        <f ca="1">IF(L$1="","",'Total Value'!L49/'Total Value'!K49-1)</f>
        <v>0</v>
      </c>
      <c r="M37" s="14">
        <f ca="1">IF(M$1="","",'Total Value'!M49/'Total Value'!L49-1)</f>
        <v>4.0983606557376984E-2</v>
      </c>
      <c r="N37" s="14">
        <f ca="1">IF(N$1="","",'Total Value'!N49/'Total Value'!M49-1)</f>
        <v>-2.6246719160105014E-2</v>
      </c>
      <c r="O37" s="14">
        <f ca="1">IF(O$1="","",'Total Value'!O49/'Total Value'!N49-1)</f>
        <v>-3.3423180592991986E-2</v>
      </c>
      <c r="P37" s="14">
        <f ca="1">IF(P$1="","",'Total Value'!P49/'Total Value'!O49-1)</f>
        <v>-3.0117122141661845E-2</v>
      </c>
      <c r="Q37" s="14">
        <f ca="1">IF(Q$1="","",'Total Value'!Q49/'Total Value'!P49-1)</f>
        <v>2.3001725129383477E-3</v>
      </c>
      <c r="R37" s="14">
        <f ca="1">IF(R$1="","",'Total Value'!R49/'Total Value'!Q49-1)</f>
        <v>2.4096385542168752E-2</v>
      </c>
      <c r="S37" s="14">
        <f ca="1">IF(S$1="","",'Total Value'!S49/'Total Value'!R49-1)</f>
        <v>-2.8011204481792618E-3</v>
      </c>
      <c r="T37" s="14">
        <f ca="1">IF(T$1="","",'Total Value'!T49/'Total Value'!S49-1)</f>
        <v>-8.9887640449437534E-3</v>
      </c>
      <c r="U37" s="14">
        <f ca="1">IF(U$1="","",'Total Value'!U49/'Total Value'!T49-1)</f>
        <v>-1.5873015873016039E-2</v>
      </c>
      <c r="V37" s="14">
        <f ca="1">IF(V$1="","",'Total Value'!V49/'Total Value'!U49-1)</f>
        <v>-1.7281105990782919E-3</v>
      </c>
      <c r="W37" s="14">
        <f ca="1">IF(W$1="","",'Total Value'!W49/'Total Value'!V49-1)</f>
        <v>3.4622042700520606E-3</v>
      </c>
      <c r="X37" s="14">
        <f ca="1">IF(X$1="","",'Total Value'!X49/'Total Value'!W49-1)</f>
        <v>2.0701552616446239E-2</v>
      </c>
      <c r="Y37" s="14">
        <f ca="1">IF(Y$1="","",'Total Value'!Y49/'Total Value'!X49-1)</f>
        <v>1.4084507042253502E-2</v>
      </c>
      <c r="Z37" s="14">
        <f ca="1">IF(Z$1="","",'Total Value'!Z49/'Total Value'!Y49-1)</f>
        <v>-4.0555555555555567E-2</v>
      </c>
      <c r="AA37" s="14">
        <f ca="1">IF(AA$1="","",'Total Value'!AA49/'Total Value'!Z49-1)</f>
        <v>-1.4475969889982787E-2</v>
      </c>
      <c r="AB37" s="14">
        <f ca="1">IF(AB$1="","",'Total Value'!AB49/'Total Value'!AA49-1)</f>
        <v>1.175088131609936E-3</v>
      </c>
      <c r="AC37" s="14">
        <f ca="1">IF(AC$1="","",'Total Value'!AC49/'Total Value'!AB49-1)</f>
        <v>2.8755868544601215E-2</v>
      </c>
      <c r="AD37" s="14">
        <f ca="1">IF(AD$1="","",'Total Value'!AD49/'Total Value'!AC49-1)</f>
        <v>3.4227039361094391E-3</v>
      </c>
      <c r="AE37" s="14">
        <f ca="1">IF(AE$1="","",'Total Value'!AE49/'Total Value'!AD49-1)</f>
        <v>-1.9329164297896662E-2</v>
      </c>
      <c r="AF37" s="14">
        <f ca="1">IF(AF$1="","",'Total Value'!AF49/'Total Value'!AE49-1)</f>
        <v>3.4782608695651529E-3</v>
      </c>
      <c r="AG37" s="14">
        <f ca="1">IF(AG$1="","",'Total Value'!AG49/'Total Value'!AF49-1)</f>
        <v>-2.0219526285384037E-2</v>
      </c>
      <c r="AH37" s="14">
        <f ca="1">IF(AH$1="","",'Total Value'!AH49/'Total Value'!AG49-1)</f>
        <v>-1.7688679245283057E-2</v>
      </c>
      <c r="AI37" s="14">
        <f ca="1">IF(AI$1="","",'Total Value'!AI49/'Total Value'!AH49-1)</f>
        <v>1.1404561824730042E-2</v>
      </c>
      <c r="AJ37" s="14">
        <f ca="1">IF(AJ$1="","",'Total Value'!AJ49/'Total Value'!AI49-1)</f>
        <v>1.5430267062314318E-2</v>
      </c>
      <c r="AK37" s="14">
        <f ca="1">IF(AK$1="","",'Total Value'!AK49/'Total Value'!AJ49-1)</f>
        <v>8.1823495032145033E-3</v>
      </c>
      <c r="AL37" s="14">
        <f ca="1">IF(AL$1="","",'Total Value'!AL49/'Total Value'!AK49-1)</f>
        <v>-1.7391304347826098E-2</v>
      </c>
      <c r="AM37" s="14">
        <f ca="1">IF(AM$1="","",'Total Value'!AM49/'Total Value'!AL49-1)</f>
        <v>3.6578171091445455E-2</v>
      </c>
      <c r="AN37" s="14">
        <f ca="1">IF(AN$1="","",'Total Value'!AN49/'Total Value'!AM49-1)</f>
        <v>1.5936254980079667E-2</v>
      </c>
      <c r="AO37" s="14">
        <f ca="1">IF(AO$1="","",'Total Value'!AO49/'Total Value'!AN49-1)</f>
        <v>1.6806722689075571E-2</v>
      </c>
      <c r="AP37" s="14">
        <f ca="1">IF(AP$1="","",'Total Value'!AP49/'Total Value'!AO49-1)</f>
        <v>1.6528925619834656E-2</v>
      </c>
      <c r="AQ37" s="14">
        <f ca="1">IF(AQ$1="","",'Total Value'!AQ49/'Total Value'!AP49-1)</f>
        <v>2.1680216802167918E-2</v>
      </c>
      <c r="AR37" s="14">
        <f ca="1">IF(AR$1="","",'Total Value'!AR49/'Total Value'!AQ49-1)</f>
        <v>2.864721485411148E-2</v>
      </c>
      <c r="AS37" s="14">
        <f ca="1">IF(AS$1="","",'Total Value'!AS49/'Total Value'!AR49-1)</f>
        <v>0</v>
      </c>
      <c r="AT37" s="14">
        <f ca="1">IF(AT$1="","",'Total Value'!AT49/'Total Value'!AS49-1)</f>
        <v>5.1572975760683093E-4</v>
      </c>
      <c r="AU37" s="14">
        <f ca="1">IF(AU$1="","",'Total Value'!AU49/'Total Value'!AT49-1)</f>
        <v>-4.6391752577320533E-3</v>
      </c>
      <c r="AV37" s="14">
        <f ca="1">IF(AV$1="","",'Total Value'!AV49/'Total Value'!AU49-1)</f>
        <v>1.5535991714137776E-2</v>
      </c>
      <c r="AW37" s="14">
        <f ca="1">IF(AW$1="","",'Total Value'!AW49/'Total Value'!AV49-1)</f>
        <v>-4.5894951555327523E-3</v>
      </c>
      <c r="AX37" s="14">
        <f ca="1">IF(AX$1="","",'Total Value'!AX49/'Total Value'!AW49-1)</f>
        <v>1.4344262295082011E-2</v>
      </c>
      <c r="AY37" s="14">
        <f ca="1">IF(AY$1="","",'Total Value'!AY49/'Total Value'!AX49-1)</f>
        <v>1.414141414141401E-2</v>
      </c>
      <c r="AZ37" s="14">
        <f ca="1">IF(AZ$1="","",'Total Value'!AZ49/'Total Value'!AY49-1)</f>
        <v>-3.9840637450199168E-3</v>
      </c>
      <c r="BA37" s="14">
        <f ca="1">IF(BA$1="","",'Total Value'!BA49/'Total Value'!AZ49-1)</f>
        <v>7.0000000000001172E-3</v>
      </c>
      <c r="BB37" s="14">
        <f ca="1">IF(BB$1="","",'Total Value'!BB49/'Total Value'!BA49-1)</f>
        <v>4.7169811320754818E-2</v>
      </c>
      <c r="BC37" s="14">
        <f ca="1">IF(BC$1="","",'Total Value'!BC49/'Total Value'!BB49-1)</f>
        <v>1.5173067804646667E-2</v>
      </c>
      <c r="BD37" s="14">
        <f ca="1">IF(BD$1="","",'Total Value'!BD49/'Total Value'!BC49-1)</f>
        <v>2.4754787482484941E-2</v>
      </c>
      <c r="BE37" s="14">
        <f ca="1">IF(BE$1="","",'Total Value'!BE49/'Total Value'!BD49-1)</f>
        <v>-3.6463081130356789E-3</v>
      </c>
      <c r="BF37" s="14">
        <f ca="1">IF(BF$1="","",'Total Value'!BF49/'Total Value'!BE49-1)</f>
        <v>3.0649588289112684E-2</v>
      </c>
      <c r="BG37" s="14">
        <f ca="1">IF(BG$1="","",'Total Value'!BG49/'Total Value'!BF49-1)</f>
        <v>-4.0390590324012487E-2</v>
      </c>
      <c r="BH37" s="14">
        <f ca="1">IF(BH$1="","",'Total Value'!BH49/'Total Value'!BG49-1)</f>
        <v>1.2488436632747568E-2</v>
      </c>
      <c r="BI37" s="14">
        <f ca="1">IF(BI$1="","",'Total Value'!BI49/'Total Value'!BH49-1)</f>
        <v>-2.1014161717679447E-2</v>
      </c>
      <c r="BJ37" s="14">
        <f ca="1">IF(BJ$1="","",'Total Value'!BJ49/'Total Value'!BI49-1)</f>
        <v>4.1997200186654204E-3</v>
      </c>
      <c r="BK37" s="14">
        <f ca="1">IF(BK$1="","",'Total Value'!BK49/'Total Value'!BJ49-1)</f>
        <v>-2.8810408921933095E-2</v>
      </c>
      <c r="BL37" s="14">
        <f ca="1">IF(BL$1="","",'Total Value'!BL49/'Total Value'!BK49-1)</f>
        <v>-5.2631578947369695E-3</v>
      </c>
      <c r="BM37" s="14">
        <f ca="1">IF(BM$1="","",'Total Value'!BM49/'Total Value'!BL49-1)</f>
        <v>1.3468013468013629E-2</v>
      </c>
      <c r="BN37" s="14">
        <f ca="1">IF(BN$1="","",'Total Value'!BN49/'Total Value'!BM49-1)</f>
        <v>-3.7019458946369377E-2</v>
      </c>
      <c r="BO37" s="14">
        <f ca="1">IF(BO$1="","",'Total Value'!BO49/'Total Value'!BN49-1)</f>
        <v>1.7249876786594509E-2</v>
      </c>
      <c r="BP37" s="14">
        <f ca="1">IF(BP$1="","",'Total Value'!BP49/'Total Value'!BO49-1)</f>
        <v>-4.8449612403111963E-4</v>
      </c>
      <c r="BQ37" s="14">
        <f ca="1">IF(BQ$1="","",'Total Value'!BQ49/'Total Value'!BP49-1)</f>
        <v>1.9389238972371547E-3</v>
      </c>
      <c r="BR37" s="14">
        <f ca="1">IF(BR$1="","",'Total Value'!BR49/'Total Value'!BQ49-1)</f>
        <v>-1.7900338655055692E-2</v>
      </c>
      <c r="BS37" s="14">
        <f ca="1">IF(BS$1="","",'Total Value'!BS49/'Total Value'!BR49-1)</f>
        <v>8.8669950738915482E-3</v>
      </c>
      <c r="BT37" s="14">
        <f ca="1">IF(BT$1="","",'Total Value'!BT49/'Total Value'!BS49-1)</f>
        <v>2.2460937500000222E-2</v>
      </c>
      <c r="BU37" s="14">
        <f ca="1">IF(BU$1="","",'Total Value'!BU49/'Total Value'!BT49-1)</f>
        <v>1.8147086914995114E-2</v>
      </c>
      <c r="BV37" s="14">
        <f ca="1">IF(BV$1="","",'Total Value'!BV49/'Total Value'!BU49-1)</f>
        <v>-8.4427767354596783E-3</v>
      </c>
      <c r="BW37" s="14">
        <f ca="1">IF(BW$1="","",'Total Value'!BW49/'Total Value'!BV49-1)</f>
        <v>-2.081362346263016E-2</v>
      </c>
      <c r="BX37" s="14">
        <f ca="1">IF(BX$1="","",'Total Value'!BX49/'Total Value'!BW49-1)</f>
        <v>-1.4492753623187582E-3</v>
      </c>
      <c r="BY37" s="14">
        <f ca="1">IF(BY$1="","",'Total Value'!BY49/'Total Value'!BX49-1)</f>
        <v>-2.7576197387518153E-2</v>
      </c>
      <c r="BZ37" s="14">
        <f ca="1">IF(BZ$1="","",'Total Value'!BZ49/'Total Value'!BY49-1)</f>
        <v>4.9751243781095411E-3</v>
      </c>
      <c r="CA37" s="14">
        <f ca="1">IF(CA$1="","",'Total Value'!CA49/'Total Value'!BZ49-1)</f>
        <v>1.3366336633663156E-2</v>
      </c>
      <c r="CB37" s="14">
        <f ca="1">IF(CB$1="","",'Total Value'!CB49/'Total Value'!CA49-1)</f>
        <v>-1.9052271617000405E-2</v>
      </c>
      <c r="CC37" s="14">
        <f ca="1">IF(CC$1="","",'Total Value'!CC49/'Total Value'!CB49-1)</f>
        <v>1.0458167330677171E-2</v>
      </c>
      <c r="CD37" s="14">
        <f ca="1">IF(CD$1="","",'Total Value'!CD49/'Total Value'!CC49-1)</f>
        <v>9.3642188270084414E-3</v>
      </c>
      <c r="CE37" s="14">
        <f ca="1">IF(CE$1="","",'Total Value'!CE49/'Total Value'!CD49-1)</f>
        <v>5.078125E-2</v>
      </c>
      <c r="CF37" s="14" t="str">
        <f ca="1">IF(CF$1="","",'Total Value'!CF49/'Total Value'!CE49-1)</f>
        <v/>
      </c>
      <c r="CG37" s="14" t="str">
        <f ca="1">IF(CG$1="","",'Total Value'!CG49/'Total Value'!CF49-1)</f>
        <v/>
      </c>
      <c r="CH37" s="14" t="str">
        <f ca="1">IF(CH$1="","",'Total Value'!CH49/'Total Value'!CG49-1)</f>
        <v/>
      </c>
      <c r="CI37" s="14" t="str">
        <f ca="1">IF(CI$1="","",'Total Value'!CI49/'Total Value'!CH49-1)</f>
        <v/>
      </c>
      <c r="CJ37" s="14" t="str">
        <f ca="1">IF(CJ$1="","",'Total Value'!CJ49/'Total Value'!CI49-1)</f>
        <v/>
      </c>
      <c r="CK37" s="14" t="str">
        <f ca="1">IF(CK$1="","",'Total Value'!CK49/'Total Value'!CJ49-1)</f>
        <v/>
      </c>
      <c r="CL37" s="14" t="str">
        <f ca="1">IF(CL$1="","",'Total Value'!CL49/'Total Value'!CK49-1)</f>
        <v/>
      </c>
      <c r="CM37" s="14" t="str">
        <f ca="1">IF(CM$1="","",'Total Value'!CM49/'Total Value'!CL49-1)</f>
        <v/>
      </c>
      <c r="CN37" s="14" t="str">
        <f ca="1">IF(CN$1="","",'Total Value'!CN49/'Total Value'!CM49-1)</f>
        <v/>
      </c>
      <c r="CO37" s="14" t="str">
        <f ca="1">IF(CO$1="","",'Total Value'!CO49/'Total Value'!CN49-1)</f>
        <v/>
      </c>
      <c r="CP37" s="14" t="str">
        <f ca="1">IF(CP$1="","",'Total Value'!CP49/'Total Value'!CO49-1)</f>
        <v/>
      </c>
      <c r="CQ37" s="14" t="str">
        <f ca="1">IF(CQ$1="","",'Total Value'!CQ49/'Total Value'!CP49-1)</f>
        <v/>
      </c>
      <c r="CR37" s="14" t="str">
        <f ca="1">IF(CR$1="","",'Total Value'!CR49/'Total Value'!CQ49-1)</f>
        <v/>
      </c>
      <c r="CS37" s="14" t="str">
        <f ca="1">IF(CS$1="","",'Total Value'!CS49/'Total Value'!CR49-1)</f>
        <v/>
      </c>
      <c r="CT37" s="14" t="str">
        <f ca="1">IF(CT$1="","",'Total Value'!CT49/'Total Value'!CS49-1)</f>
        <v/>
      </c>
      <c r="CU37" s="14" t="str">
        <f ca="1">IF(CU$1="","",'Total Value'!CU49/'Total Value'!CT49-1)</f>
        <v/>
      </c>
      <c r="CV37" s="14" t="str">
        <f ca="1">IF(CV$1="","",'Total Value'!CV49/'Total Value'!CU49-1)</f>
        <v/>
      </c>
      <c r="CW37" s="14" t="str">
        <f ca="1">IF(CW$1="","",'Total Value'!CW49/'Total Value'!CV49-1)</f>
        <v/>
      </c>
      <c r="CX37" s="14" t="str">
        <f ca="1">IF(CX$1="","",'Total Value'!CX49/'Total Value'!CW49-1)</f>
        <v/>
      </c>
      <c r="CY37" s="14" t="str">
        <f ca="1">IF(CY$1="","",'Total Value'!CY49/'Total Value'!CX49-1)</f>
        <v/>
      </c>
      <c r="CZ37" s="14" t="str">
        <f ca="1">IF(CZ$1="","",'Total Value'!CZ49/'Total Value'!CY49-1)</f>
        <v/>
      </c>
      <c r="DA37" s="14" t="str">
        <f ca="1">IF(DA$1="","",'Total Value'!DA49/'Total Value'!CZ49-1)</f>
        <v/>
      </c>
      <c r="DB37" s="14" t="str">
        <f ca="1">IF(DB$1="","",'Total Value'!DB49/'Total Value'!DA49-1)</f>
        <v/>
      </c>
      <c r="DC37" s="14" t="str">
        <f ca="1">IF(DC$1="","",'Total Value'!DC49/'Total Value'!DB49-1)</f>
        <v/>
      </c>
      <c r="DD37" s="14" t="str">
        <f ca="1">IF(DD$1="","",'Total Value'!DD49/'Total Value'!DC49-1)</f>
        <v/>
      </c>
      <c r="DE37" s="14" t="str">
        <f ca="1">IF(DE$1="","",'Total Value'!DE49/'Total Value'!DD49-1)</f>
        <v/>
      </c>
      <c r="DF37" s="14" t="str">
        <f ca="1">IF(DF$1="","",'Total Value'!DF49/'Total Value'!DE49-1)</f>
        <v/>
      </c>
      <c r="DG37" s="14" t="str">
        <f ca="1">IF(DG$1="","",'Total Value'!DG49/'Total Value'!DF49-1)</f>
        <v/>
      </c>
      <c r="DH37" s="14" t="str">
        <f ca="1">IF(DH$1="","",'Total Value'!DH49/'Total Value'!DG49-1)</f>
        <v/>
      </c>
      <c r="DI37" s="14" t="str">
        <f ca="1">IF(DI$1="","",'Total Value'!DI49/'Total Value'!DH49-1)</f>
        <v/>
      </c>
      <c r="DJ37" s="14" t="str">
        <f ca="1">IF(DJ$1="","",'Total Value'!DJ49/'Total Value'!DI49-1)</f>
        <v/>
      </c>
      <c r="DK37" s="14" t="str">
        <f ca="1">IF(DK$1="","",'Total Value'!DK49/'Total Value'!DJ49-1)</f>
        <v/>
      </c>
      <c r="DL37" s="14" t="str">
        <f ca="1">IF(DL$1="","",'Total Value'!DL49/'Total Value'!DK49-1)</f>
        <v/>
      </c>
      <c r="DM37" s="14" t="str">
        <f ca="1">IF(DM$1="","",'Total Value'!DM49/'Total Value'!DL49-1)</f>
        <v/>
      </c>
      <c r="DN37" s="14" t="str">
        <f ca="1">IF(DN$1="","",'Total Value'!DN49/'Total Value'!DM49-1)</f>
        <v/>
      </c>
      <c r="DO37" s="14" t="str">
        <f ca="1">IF(DO$1="","",'Total Value'!DO49/'Total Value'!DN49-1)</f>
        <v/>
      </c>
      <c r="DP37" s="14" t="str">
        <f ca="1">IF(DP$1="","",'Total Value'!DP49/'Total Value'!DO49-1)</f>
        <v/>
      </c>
      <c r="DQ37" s="14" t="str">
        <f ca="1">IF(DQ$1="","",'Total Value'!DQ49/'Total Value'!DP49-1)</f>
        <v/>
      </c>
      <c r="DR37" s="14" t="str">
        <f ca="1">IF(DR$1="","",'Total Value'!DR49/'Total Value'!DQ49-1)</f>
        <v/>
      </c>
      <c r="DS37" s="14" t="str">
        <f ca="1">IF(DS$1="","",'Total Value'!DS49/'Total Value'!DR49-1)</f>
        <v/>
      </c>
      <c r="DT37" s="14" t="str">
        <f ca="1">IF(DT$1="","",'Total Value'!DT49/'Total Value'!DS49-1)</f>
        <v/>
      </c>
      <c r="DU37" s="14" t="str">
        <f ca="1">IF(DU$1="","",'Total Value'!DU49/'Total Value'!DT49-1)</f>
        <v/>
      </c>
      <c r="DV37" s="14" t="str">
        <f ca="1">IF(DV$1="","",'Total Value'!DV49/'Total Value'!DU49-1)</f>
        <v/>
      </c>
      <c r="DW37" s="14" t="str">
        <f ca="1">IF(DW$1="","",'Total Value'!DW49/'Total Value'!DV49-1)</f>
        <v/>
      </c>
      <c r="DX37" s="14" t="str">
        <f ca="1">IF(DX$1="","",'Total Value'!DX49/'Total Value'!DW49-1)</f>
        <v/>
      </c>
      <c r="DY37" s="14" t="str">
        <f ca="1">IF(DY$1="","",'Total Value'!DY49/'Total Value'!DX49-1)</f>
        <v/>
      </c>
      <c r="DZ37" s="14" t="str">
        <f ca="1">IF(DZ$1="","",'Total Value'!DZ49/'Total Value'!DY49-1)</f>
        <v/>
      </c>
      <c r="EA37" s="14" t="str">
        <f ca="1">IF(EA$1="","",'Total Value'!EA49/'Total Value'!DZ49-1)</f>
        <v/>
      </c>
      <c r="EB37" s="14" t="str">
        <f ca="1">IF(EB$1="","",'Total Value'!EB49/'Total Value'!EA49-1)</f>
        <v/>
      </c>
      <c r="EC37" s="14" t="str">
        <f ca="1">IF(EC$1="","",'Total Value'!EC49/'Total Value'!EB49-1)</f>
        <v/>
      </c>
      <c r="ED37" s="14" t="str">
        <f ca="1">IF(ED$1="","",'Total Value'!ED49/'Total Value'!EC49-1)</f>
        <v/>
      </c>
      <c r="EE37" s="14" t="str">
        <f ca="1">IF(EE$1="","",'Total Value'!EE49/'Total Value'!ED49-1)</f>
        <v/>
      </c>
      <c r="EF37" s="14" t="str">
        <f ca="1">IF(EF$1="","",'Total Value'!EF49/'Total Value'!EE49-1)</f>
        <v/>
      </c>
      <c r="EG37" s="14" t="str">
        <f ca="1">IF(EG$1="","",'Total Value'!EG49/'Total Value'!EF49-1)</f>
        <v/>
      </c>
      <c r="EH37" s="14" t="str">
        <f ca="1">IF(EH$1="","",'Total Value'!EH49/'Total Value'!EG49-1)</f>
        <v/>
      </c>
      <c r="EI37" s="14" t="str">
        <f ca="1">IF(EI$1="","",'Total Value'!EI49/'Total Value'!EH49-1)</f>
        <v/>
      </c>
      <c r="EJ37" s="14" t="str">
        <f ca="1">IF(EJ$1="","",'Total Value'!EJ49/'Total Value'!EI49-1)</f>
        <v/>
      </c>
      <c r="EK37" s="14" t="str">
        <f ca="1">IF(EK$1="","",'Total Value'!EK49/'Total Value'!EJ49-1)</f>
        <v/>
      </c>
      <c r="EL37" s="14" t="str">
        <f ca="1">IF(EL$1="","",'Total Value'!EL49/'Total Value'!EK49-1)</f>
        <v/>
      </c>
      <c r="EM37" s="14" t="str">
        <f ca="1">IF(EM$1="","",'Total Value'!EM49/'Total Value'!EL49-1)</f>
        <v/>
      </c>
      <c r="EN37" s="14" t="str">
        <f ca="1">IF(EN$1="","",'Total Value'!EN49/'Total Value'!EM49-1)</f>
        <v/>
      </c>
      <c r="EO37" s="14" t="str">
        <f ca="1">IF(EO$1="","",'Total Value'!EO49/'Total Value'!EN49-1)</f>
        <v/>
      </c>
      <c r="EP37" s="14" t="str">
        <f ca="1">IF(EP$1="","",'Total Value'!EP49/'Total Value'!EO49-1)</f>
        <v/>
      </c>
      <c r="EQ37" s="14" t="str">
        <f ca="1">IF(EQ$1="","",'Total Value'!EQ49/'Total Value'!EP49-1)</f>
        <v/>
      </c>
      <c r="ER37" s="14" t="str">
        <f ca="1">IF(ER$1="","",'Total Value'!ER49/'Total Value'!EQ49-1)</f>
        <v/>
      </c>
      <c r="ES37" s="14" t="str">
        <f ca="1">IF(ES$1="","",'Total Value'!ES49/'Total Value'!ER49-1)</f>
        <v/>
      </c>
      <c r="ET37" s="14" t="str">
        <f ca="1">IF(ET$1="","",'Total Value'!ET49/'Total Value'!ES49-1)</f>
        <v/>
      </c>
      <c r="EU37" s="14" t="str">
        <f ca="1">IF(EU$1="","",'Total Value'!EU49/'Total Value'!ET49-1)</f>
        <v/>
      </c>
      <c r="EV37" s="14" t="str">
        <f ca="1">IF(EV$1="","",'Total Value'!EV49/'Total Value'!EU49-1)</f>
        <v/>
      </c>
      <c r="EW37" s="14" t="str">
        <f ca="1">IF(EW$1="","",'Total Value'!EW49/'Total Value'!EV49-1)</f>
        <v/>
      </c>
      <c r="EX37" s="14" t="str">
        <f ca="1">IF(EX$1="","",'Total Value'!EX49/'Total Value'!EW49-1)</f>
        <v/>
      </c>
      <c r="EY37" s="14" t="str">
        <f ca="1">IF(EY$1="","",'Total Value'!EY49/'Total Value'!EX49-1)</f>
        <v/>
      </c>
      <c r="EZ37" s="14" t="str">
        <f ca="1">IF(EZ$1="","",'Total Value'!EZ49/'Total Value'!EY49-1)</f>
        <v/>
      </c>
      <c r="FA37" s="14" t="str">
        <f ca="1">IF(FA$1="","",'Total Value'!FA49/'Total Value'!EZ49-1)</f>
        <v/>
      </c>
      <c r="FB37" s="14" t="str">
        <f ca="1">IF(FB$1="","",'Total Value'!FB49/'Total Value'!FA49-1)</f>
        <v/>
      </c>
      <c r="FC37" s="14" t="str">
        <f ca="1">IF(FC$1="","",'Total Value'!FC49/'Total Value'!FB49-1)</f>
        <v/>
      </c>
      <c r="FD37" s="14" t="str">
        <f ca="1">IF(FD$1="","",'Total Value'!FD49/'Total Value'!FC49-1)</f>
        <v/>
      </c>
      <c r="FE37" s="14" t="str">
        <f ca="1">IF(FE$1="","",'Total Value'!FE49/'Total Value'!FD49-1)</f>
        <v/>
      </c>
      <c r="FF37" s="14" t="str">
        <f ca="1">IF(FF$1="","",'Total Value'!FF49/'Total Value'!FE49-1)</f>
        <v/>
      </c>
      <c r="FG37" s="14" t="str">
        <f ca="1">IF(FG$1="","",'Total Value'!FG49/'Total Value'!FF49-1)</f>
        <v/>
      </c>
      <c r="FH37" s="14" t="str">
        <f ca="1">IF(FH$1="","",'Total Value'!FH49/'Total Value'!FG49-1)</f>
        <v/>
      </c>
      <c r="FI37" s="14" t="str">
        <f ca="1">IF(FI$1="","",'Total Value'!FI49/'Total Value'!FH49-1)</f>
        <v/>
      </c>
      <c r="FJ37" s="14" t="str">
        <f ca="1">IF(FJ$1="","",'Total Value'!FJ49/'Total Value'!FI49-1)</f>
        <v/>
      </c>
      <c r="FK37" s="14" t="str">
        <f ca="1">IF(FK$1="","",'Total Value'!FK49/'Total Value'!FJ49-1)</f>
        <v/>
      </c>
      <c r="FL37" s="14" t="str">
        <f ca="1">IF(FL$1="","",'Total Value'!FL49/'Total Value'!FK49-1)</f>
        <v/>
      </c>
      <c r="FM37" s="14" t="str">
        <f ca="1">IF(FM$1="","",'Total Value'!FM49/'Total Value'!FL49-1)</f>
        <v/>
      </c>
      <c r="FN37" s="14" t="str">
        <f ca="1">IF(FN$1="","",'Total Value'!FN49/'Total Value'!FM49-1)</f>
        <v/>
      </c>
      <c r="FO37" s="14" t="str">
        <f ca="1">IF(FO$1="","",'Total Value'!FO49/'Total Value'!FN49-1)</f>
        <v/>
      </c>
      <c r="FP37" s="14" t="str">
        <f ca="1">IF(FP$1="","",'Total Value'!FP49/'Total Value'!FO49-1)</f>
        <v/>
      </c>
      <c r="FQ37" s="14" t="str">
        <f ca="1">IF(FQ$1="","",'Total Value'!FQ49/'Total Value'!FP49-1)</f>
        <v/>
      </c>
      <c r="FR37" s="14" t="str">
        <f ca="1">IF(FR$1="","",'Total Value'!FR49/'Total Value'!FQ49-1)</f>
        <v/>
      </c>
      <c r="FS37" s="14" t="str">
        <f ca="1">IF(FS$1="","",'Total Value'!FS49/'Total Value'!FR49-1)</f>
        <v/>
      </c>
      <c r="FT37" s="14" t="str">
        <f ca="1">IF(FT$1="","",'Total Value'!FT49/'Total Value'!FS49-1)</f>
        <v/>
      </c>
      <c r="FU37" s="14" t="str">
        <f ca="1">IF(FU$1="","",'Total Value'!FU49/'Total Value'!FT49-1)</f>
        <v/>
      </c>
      <c r="FV37" s="14" t="str">
        <f ca="1">IF(FV$1="","",'Total Value'!FV49/'Total Value'!FU49-1)</f>
        <v/>
      </c>
      <c r="FW37" s="14" t="str">
        <f ca="1">IF(FW$1="","",'Total Value'!FW49/'Total Value'!FV49-1)</f>
        <v/>
      </c>
      <c r="FX37" s="14" t="str">
        <f ca="1">IF(FX$1="","",'Total Value'!FX49/'Total Value'!FW49-1)</f>
        <v/>
      </c>
      <c r="FY37" s="14" t="str">
        <f ca="1">IF(FY$1="","",'Total Value'!FY49/'Total Value'!FX49-1)</f>
        <v/>
      </c>
      <c r="FZ37" s="14" t="str">
        <f ca="1">IF(FZ$1="","",'Total Value'!FZ49/'Total Value'!FY49-1)</f>
        <v/>
      </c>
      <c r="GA37" s="14" t="str">
        <f ca="1">IF(GA$1="","",'Total Value'!GA49/'Total Value'!FZ49-1)</f>
        <v/>
      </c>
      <c r="GB37" s="14" t="str">
        <f ca="1">IF(GB$1="","",'Total Value'!GB49/'Total Value'!GA49-1)</f>
        <v/>
      </c>
      <c r="GC37" s="14" t="str">
        <f ca="1">IF(GC$1="","",'Total Value'!GC49/'Total Value'!GB49-1)</f>
        <v/>
      </c>
      <c r="GD37" s="14" t="str">
        <f ca="1">IF(GD$1="","",'Total Value'!GD49/'Total Value'!GC49-1)</f>
        <v/>
      </c>
      <c r="GE37" s="14" t="str">
        <f ca="1">IF(GE$1="","",'Total Value'!GE49/'Total Value'!GD49-1)</f>
        <v/>
      </c>
      <c r="GF37" s="14" t="str">
        <f ca="1">IF(GF$1="","",'Total Value'!GF49/'Total Value'!GE49-1)</f>
        <v/>
      </c>
      <c r="GG37" s="14" t="str">
        <f ca="1">IF(GG$1="","",'Total Value'!GG49/'Total Value'!GF49-1)</f>
        <v/>
      </c>
      <c r="GH37" s="14" t="str">
        <f ca="1">IF(GH$1="","",'Total Value'!GH49/'Total Value'!GG49-1)</f>
        <v/>
      </c>
      <c r="GI37" s="14" t="str">
        <f ca="1">IF(GI$1="","",'Total Value'!GI49/'Total Value'!GH49-1)</f>
        <v/>
      </c>
      <c r="GJ37" s="14" t="str">
        <f ca="1">IF(GJ$1="","",'Total Value'!GJ49/'Total Value'!GI49-1)</f>
        <v/>
      </c>
      <c r="GK37" s="14" t="str">
        <f ca="1">IF(GK$1="","",'Total Value'!GK49/'Total Value'!GJ49-1)</f>
        <v/>
      </c>
      <c r="GL37" s="14" t="str">
        <f ca="1">IF(GL$1="","",'Total Value'!GL49/'Total Value'!GK49-1)</f>
        <v/>
      </c>
      <c r="GM37" s="14" t="str">
        <f ca="1">IF(GM$1="","",'Total Value'!GM49/'Total Value'!GL49-1)</f>
        <v/>
      </c>
      <c r="GN37" s="14" t="str">
        <f ca="1">IF(GN$1="","",'Total Value'!GN49/'Total Value'!GM49-1)</f>
        <v/>
      </c>
      <c r="GO37" s="14" t="str">
        <f ca="1">IF(GO$1="","",'Total Value'!GO49/'Total Value'!GN49-1)</f>
        <v/>
      </c>
      <c r="GP37" s="14" t="str">
        <f ca="1">IF(GP$1="","",'Total Value'!GP49/'Total Value'!GO49-1)</f>
        <v/>
      </c>
      <c r="GQ37" s="14" t="str">
        <f ca="1">IF(GQ$1="","",'Total Value'!GQ49/'Total Value'!GP49-1)</f>
        <v/>
      </c>
      <c r="GR37" s="14" t="str">
        <f ca="1">IF(GR$1="","",'Total Value'!GR49/'Total Value'!GQ49-1)</f>
        <v/>
      </c>
      <c r="GS37" s="14" t="str">
        <f ca="1">IF(GS$1="","",'Total Value'!GS49/'Total Value'!GR49-1)</f>
        <v/>
      </c>
      <c r="GT37" s="14" t="str">
        <f ca="1">IF(GT$1="","",'Total Value'!GT49/'Total Value'!GS49-1)</f>
        <v/>
      </c>
      <c r="GU37" s="14" t="str">
        <f ca="1">IF(GU$1="","",'Total Value'!GU49/'Total Value'!GT49-1)</f>
        <v/>
      </c>
      <c r="GV37" s="14" t="str">
        <f ca="1">IF(GV$1="","",'Total Value'!GV49/'Total Value'!GU49-1)</f>
        <v/>
      </c>
      <c r="GW37" s="14" t="str">
        <f ca="1">IF(GW$1="","",'Total Value'!GW49/'Total Value'!GV49-1)</f>
        <v/>
      </c>
      <c r="GX37" s="14" t="str">
        <f ca="1">IF(GX$1="","",'Total Value'!GX49/'Total Value'!GW49-1)</f>
        <v/>
      </c>
      <c r="GY37" s="14" t="str">
        <f ca="1">IF(GY$1="","",'Total Value'!GY49/'Total Value'!GX49-1)</f>
        <v/>
      </c>
      <c r="GZ37" s="14" t="str">
        <f ca="1">IF(GZ$1="","",'Total Value'!GZ49/'Total Value'!GY49-1)</f>
        <v/>
      </c>
      <c r="HA37" s="14" t="str">
        <f ca="1">IF(HA$1="","",'Total Value'!HA49/'Total Value'!GZ49-1)</f>
        <v/>
      </c>
      <c r="HB37" s="14" t="str">
        <f ca="1">IF(HB$1="","",'Total Value'!HB49/'Total Value'!HA49-1)</f>
        <v/>
      </c>
      <c r="HC37" s="14" t="str">
        <f ca="1">IF(HC$1="","",'Total Value'!HC49/'Total Value'!HB49-1)</f>
        <v/>
      </c>
      <c r="HD37" s="14" t="str">
        <f ca="1">IF(HD$1="","",'Total Value'!HD49/'Total Value'!HC49-1)</f>
        <v/>
      </c>
      <c r="HE37" s="14" t="str">
        <f ca="1">IF(HE$1="","",'Total Value'!HE49/'Total Value'!HD49-1)</f>
        <v/>
      </c>
      <c r="HF37" s="14" t="str">
        <f ca="1">IF(HF$1="","",'Total Value'!HF49/'Total Value'!HE49-1)</f>
        <v/>
      </c>
      <c r="HG37" s="14" t="str">
        <f ca="1">IF(HG$1="","",'Total Value'!HG49/'Total Value'!HF49-1)</f>
        <v/>
      </c>
      <c r="HH37" s="14" t="str">
        <f ca="1">IF(HH$1="","",'Total Value'!HH49/'Total Value'!HG49-1)</f>
        <v/>
      </c>
      <c r="HI37" s="14" t="str">
        <f ca="1">IF(HI$1="","",'Total Value'!HI49/'Total Value'!HH49-1)</f>
        <v/>
      </c>
      <c r="HJ37" s="14" t="str">
        <f ca="1">IF(HJ$1="","",'Total Value'!HJ49/'Total Value'!HI49-1)</f>
        <v/>
      </c>
      <c r="HK37" s="14" t="str">
        <f ca="1">IF(HK$1="","",'Total Value'!HK49/'Total Value'!HJ49-1)</f>
        <v/>
      </c>
      <c r="HL37" s="14" t="str">
        <f ca="1">IF(HL$1="","",'Total Value'!HL49/'Total Value'!HK49-1)</f>
        <v/>
      </c>
      <c r="HM37" s="14" t="str">
        <f ca="1">IF(HM$1="","",'Total Value'!HM49/'Total Value'!HL49-1)</f>
        <v/>
      </c>
      <c r="HN37" s="14" t="str">
        <f ca="1">IF(HN$1="","",'Total Value'!HN49/'Total Value'!HM49-1)</f>
        <v/>
      </c>
      <c r="HO37" s="14" t="str">
        <f ca="1">IF(HO$1="","",'Total Value'!HO49/'Total Value'!HN49-1)</f>
        <v/>
      </c>
      <c r="HP37" s="14" t="str">
        <f ca="1">IF(HP$1="","",'Total Value'!HP49/'Total Value'!HO49-1)</f>
        <v/>
      </c>
      <c r="HQ37" s="14" t="str">
        <f ca="1">IF(HQ$1="","",'Total Value'!HQ49/'Total Value'!HP49-1)</f>
        <v/>
      </c>
      <c r="HR37" s="14" t="str">
        <f ca="1">IF(HR$1="","",'Total Value'!HR49/'Total Value'!HQ49-1)</f>
        <v/>
      </c>
      <c r="HS37" s="14" t="str">
        <f ca="1">IF(HS$1="","",'Total Value'!HS49/'Total Value'!HR49-1)</f>
        <v/>
      </c>
      <c r="HT37" s="14" t="str">
        <f ca="1">IF(HT$1="","",'Total Value'!HT49/'Total Value'!HS49-1)</f>
        <v/>
      </c>
      <c r="HU37" s="14" t="str">
        <f ca="1">IF(HU$1="","",'Total Value'!HU49/'Total Value'!HT49-1)</f>
        <v/>
      </c>
      <c r="HV37" s="14" t="str">
        <f ca="1">IF(HV$1="","",'Total Value'!HV49/'Total Value'!HU49-1)</f>
        <v/>
      </c>
      <c r="HW37" s="14" t="str">
        <f ca="1">IF(HW$1="","",'Total Value'!HW49/'Total Value'!HV49-1)</f>
        <v/>
      </c>
      <c r="HX37" s="14" t="str">
        <f ca="1">IF(HX$1="","",'Total Value'!HX49/'Total Value'!HW49-1)</f>
        <v/>
      </c>
      <c r="HY37" s="14" t="str">
        <f ca="1">IF(HY$1="","",'Total Value'!HY49/'Total Value'!HX49-1)</f>
        <v/>
      </c>
      <c r="HZ37" s="14" t="str">
        <f ca="1">IF(HZ$1="","",'Total Value'!HZ49/'Total Value'!HY49-1)</f>
        <v/>
      </c>
      <c r="IA37" s="14" t="str">
        <f ca="1">IF(IA$1="","",'Total Value'!IA49/'Total Value'!HZ49-1)</f>
        <v/>
      </c>
      <c r="IB37" s="14" t="str">
        <f ca="1">IF(IB$1="","",'Total Value'!IB49/'Total Value'!IA49-1)</f>
        <v/>
      </c>
      <c r="IC37" s="14" t="str">
        <f ca="1">IF(IC$1="","",'Total Value'!IC49/'Total Value'!IB49-1)</f>
        <v/>
      </c>
      <c r="ID37" s="14" t="str">
        <f ca="1">IF(ID$1="","",'Total Value'!ID49/'Total Value'!IC49-1)</f>
        <v/>
      </c>
      <c r="IE37" s="14" t="str">
        <f ca="1">IF(IE$1="","",'Total Value'!IE49/'Total Value'!ID49-1)</f>
        <v/>
      </c>
      <c r="IF37" s="14" t="str">
        <f ca="1">IF(IF$1="","",'Total Value'!IF49/'Total Value'!IE49-1)</f>
        <v/>
      </c>
      <c r="IG37" s="14" t="str">
        <f ca="1">IF(IG$1="","",'Total Value'!IG49/'Total Value'!IF49-1)</f>
        <v/>
      </c>
      <c r="IH37" s="14" t="str">
        <f ca="1">IF(IH$1="","",'Total Value'!IH49/'Total Value'!IG49-1)</f>
        <v/>
      </c>
      <c r="II37" s="14" t="str">
        <f ca="1">IF(II$1="","",'Total Value'!II49/'Total Value'!IH49-1)</f>
        <v/>
      </c>
      <c r="IJ37" s="14" t="str">
        <f ca="1">IF(IJ$1="","",'Total Value'!IJ49/'Total Value'!II49-1)</f>
        <v/>
      </c>
      <c r="IK37" s="14" t="str">
        <f ca="1">IF(IK$1="","",'Total Value'!IK49/'Total Value'!IJ49-1)</f>
        <v/>
      </c>
      <c r="IL37" s="14" t="str">
        <f ca="1">IF(IL$1="","",'Total Value'!IL49/'Total Value'!IK49-1)</f>
        <v/>
      </c>
      <c r="IM37" s="14" t="str">
        <f ca="1">IF(IM$1="","",'Total Value'!IM49/'Total Value'!IL49-1)</f>
        <v/>
      </c>
      <c r="IN37" s="14" t="str">
        <f ca="1">IF(IN$1="","",'Total Value'!IN49/'Total Value'!IM49-1)</f>
        <v/>
      </c>
      <c r="IO37" s="14" t="str">
        <f ca="1">IF(IO$1="","",'Total Value'!IO49/'Total Value'!IN49-1)</f>
        <v/>
      </c>
      <c r="IP37" s="14" t="str">
        <f ca="1">IF(IP$1="","",'Total Value'!IP49/'Total Value'!IO49-1)</f>
        <v/>
      </c>
      <c r="IQ37" s="14" t="str">
        <f ca="1">IF(IQ$1="","",'Total Value'!IQ49/'Total Value'!IP49-1)</f>
        <v/>
      </c>
      <c r="IR37" s="14" t="str">
        <f ca="1">IF(IR$1="","",'Total Value'!IR49/'Total Value'!IQ49-1)</f>
        <v/>
      </c>
      <c r="IS37" s="14" t="str">
        <f ca="1">IF(IS$1="","",'Total Value'!IS49/'Total Value'!IR49-1)</f>
        <v/>
      </c>
      <c r="IT37" s="14" t="str">
        <f ca="1">IF(IT$1="","",'Total Value'!IT49/'Total Value'!IS49-1)</f>
        <v/>
      </c>
      <c r="IU37" s="14" t="str">
        <f ca="1">IF(IU$1="","",'Total Value'!IU49/'Total Value'!IT49-1)</f>
        <v/>
      </c>
      <c r="IV37" s="14" t="str">
        <f ca="1">IF(IV$1="","",'Total Value'!IV49/'Total Value'!IU49-1)</f>
        <v/>
      </c>
      <c r="IW37" s="14" t="str">
        <f ca="1">IF(IW$1="","",'Total Value'!IW49/'Total Value'!IV49-1)</f>
        <v/>
      </c>
      <c r="IX37" s="14" t="str">
        <f ca="1">IF(IX$1="","",'Total Value'!IX49/'Total Value'!IW49-1)</f>
        <v/>
      </c>
      <c r="IY37" s="14" t="str">
        <f ca="1">IF(IY$1="","",'Total Value'!IY49/'Total Value'!IX49-1)</f>
        <v/>
      </c>
      <c r="IZ37" s="14" t="str">
        <f ca="1">IF(IZ$1="","",'Total Value'!IZ49/'Total Value'!IY49-1)</f>
        <v/>
      </c>
      <c r="JA37" s="14" t="str">
        <f ca="1">IF(JA$1="","",'Total Value'!JA49/'Total Value'!IZ49-1)</f>
        <v/>
      </c>
      <c r="JB37" s="14" t="str">
        <f ca="1">IF(JB$1="","",'Total Value'!JB49/'Total Value'!JA49-1)</f>
        <v/>
      </c>
      <c r="JC37" s="14" t="str">
        <f ca="1">IF(JC$1="","",'Total Value'!JC49/'Total Value'!JB49-1)</f>
        <v/>
      </c>
      <c r="JD37" s="14" t="str">
        <f ca="1">IF(JD$1="","",'Total Value'!JD49/'Total Value'!JC49-1)</f>
        <v/>
      </c>
      <c r="JE37" s="14" t="str">
        <f ca="1">IF(JE$1="","",'Total Value'!JE49/'Total Value'!JD49-1)</f>
        <v/>
      </c>
      <c r="JF37" s="14" t="str">
        <f ca="1">IF(JF$1="","",'Total Value'!JF49/'Total Value'!JE49-1)</f>
        <v/>
      </c>
      <c r="JG37" s="14" t="str">
        <f ca="1">IF(JG$1="","",'Total Value'!JG49/'Total Value'!JF49-1)</f>
        <v/>
      </c>
      <c r="JH37" s="14" t="str">
        <f ca="1">IF(JH$1="","",'Total Value'!JH49/'Total Value'!JG49-1)</f>
        <v/>
      </c>
      <c r="JI37" s="14" t="str">
        <f ca="1">IF(JI$1="","",'Total Value'!JI49/'Total Value'!JH49-1)</f>
        <v/>
      </c>
      <c r="JJ37" s="14" t="str">
        <f ca="1">IF(JJ$1="","",'Total Value'!JJ49/'Total Value'!JI49-1)</f>
        <v/>
      </c>
      <c r="JK37" s="14" t="str">
        <f ca="1">IF(JK$1="","",'Total Value'!JK49/'Total Value'!JJ49-1)</f>
        <v/>
      </c>
      <c r="JL37" s="14" t="str">
        <f ca="1">IF(JL$1="","",'Total Value'!JL49/'Total Value'!JK49-1)</f>
        <v/>
      </c>
      <c r="JM37" s="14" t="str">
        <f ca="1">IF(JM$1="","",'Total Value'!JM49/'Total Value'!JL49-1)</f>
        <v/>
      </c>
      <c r="JN37" s="14" t="str">
        <f ca="1">IF(JN$1="","",'Total Value'!JN49/'Total Value'!JM49-1)</f>
        <v/>
      </c>
      <c r="JO37" s="14" t="str">
        <f ca="1">IF(JO$1="","",'Total Value'!JO49/'Total Value'!JN49-1)</f>
        <v/>
      </c>
      <c r="JP37" s="14" t="str">
        <f ca="1">IF(JP$1="","",'Total Value'!JP49/'Total Value'!JO49-1)</f>
        <v/>
      </c>
      <c r="JQ37" s="14" t="str">
        <f ca="1">IF(JQ$1="","",'Total Value'!JQ49/'Total Value'!JP49-1)</f>
        <v/>
      </c>
      <c r="JR37" s="14" t="str">
        <f ca="1">IF(JR$1="","",'Total Value'!JR49/'Total Value'!JQ49-1)</f>
        <v/>
      </c>
      <c r="JS37" s="14" t="str">
        <f ca="1">IF(JS$1="","",'Total Value'!JS49/'Total Value'!JR49-1)</f>
        <v/>
      </c>
      <c r="JT37" s="14" t="str">
        <f ca="1">IF(JT$1="","",'Total Value'!JT49/'Total Value'!JS49-1)</f>
        <v/>
      </c>
      <c r="JU37" s="14" t="str">
        <f ca="1">IF(JU$1="","",'Total Value'!JU49/'Total Value'!JT49-1)</f>
        <v/>
      </c>
      <c r="JV37" s="14" t="str">
        <f ca="1">IF(JV$1="","",'Total Value'!JV49/'Total Value'!JU49-1)</f>
        <v/>
      </c>
      <c r="JW37" s="14" t="str">
        <f ca="1">IF(JW$1="","",'Total Value'!JW49/'Total Value'!JV49-1)</f>
        <v/>
      </c>
      <c r="JX37" s="14" t="str">
        <f ca="1">IF(JX$1="","",'Total Value'!JX49/'Total Value'!JW49-1)</f>
        <v/>
      </c>
      <c r="JY37" s="14" t="str">
        <f ca="1">IF(JY$1="","",'Total Value'!JY49/'Total Value'!JX49-1)</f>
        <v/>
      </c>
      <c r="JZ37" s="14" t="str">
        <f ca="1">IF(JZ$1="","",'Total Value'!JZ49/'Total Value'!JY49-1)</f>
        <v/>
      </c>
      <c r="KA37" s="14" t="str">
        <f ca="1">IF(KA$1="","",'Total Value'!KA49/'Total Value'!JZ49-1)</f>
        <v/>
      </c>
      <c r="KB37" s="14" t="str">
        <f ca="1">IF(KB$1="","",'Total Value'!KB49/'Total Value'!KA49-1)</f>
        <v/>
      </c>
    </row>
    <row r="38" spans="1:288" ht="15.75" customHeight="1">
      <c r="A38" s="22" t="s">
        <v>30</v>
      </c>
      <c r="B38" s="6" t="s">
        <v>82</v>
      </c>
      <c r="C38" s="26">
        <v>12</v>
      </c>
      <c r="D38" s="13">
        <v>0</v>
      </c>
      <c r="E38" s="14">
        <f ca="1">IF(E$1="","",'Total Value'!E50/'Total Value'!D50-1)</f>
        <v>1.2879102617366023E-2</v>
      </c>
      <c r="F38" s="14">
        <f ca="1">IF(F$1="","",'Total Value'!F50/'Total Value'!E50-1)</f>
        <v>5.9474979491385138E-3</v>
      </c>
      <c r="G38" s="14">
        <f ca="1">IF(G$1="","",'Total Value'!G50/'Total Value'!F50-1)</f>
        <v>-3.8735983690111331E-3</v>
      </c>
      <c r="H38" s="14">
        <f ca="1">IF(H$1="","",'Total Value'!H50/'Total Value'!G50-1)</f>
        <v>1.3712648383135573E-2</v>
      </c>
      <c r="I38" s="14">
        <f ca="1">IF(I$1="","",'Total Value'!I50/'Total Value'!H50-1)</f>
        <v>-2.4631536442559998E-2</v>
      </c>
      <c r="J38" s="14">
        <f ca="1">IF(J$1="","",'Total Value'!J50/'Total Value'!I50-1)</f>
        <v>-7.8658662802733037E-3</v>
      </c>
      <c r="K38" s="14">
        <f ca="1">IF(K$1="","",'Total Value'!K50/'Total Value'!J50-1)</f>
        <v>-1.9403296474024612E-2</v>
      </c>
      <c r="L38" s="14">
        <f ca="1">IF(L$1="","",'Total Value'!L50/'Total Value'!K50-1)</f>
        <v>-6.382978723404098E-3</v>
      </c>
      <c r="M38" s="14">
        <f ca="1">IF(M$1="","",'Total Value'!M50/'Total Value'!L50-1)</f>
        <v>-4.28265524625282E-3</v>
      </c>
      <c r="N38" s="14">
        <f ca="1">IF(N$1="","",'Total Value'!N50/'Total Value'!M50-1)</f>
        <v>-5.8064516129032739E-3</v>
      </c>
      <c r="O38" s="14">
        <f ca="1">IF(O$1="","",'Total Value'!O50/'Total Value'!N50-1)</f>
        <v>-2.4443002379407219E-2</v>
      </c>
      <c r="P38" s="14">
        <f ca="1">IF(P$1="","",'Total Value'!P50/'Total Value'!O50-1)</f>
        <v>-5.0110864745011141E-2</v>
      </c>
      <c r="Q38" s="14">
        <f ca="1">IF(Q$1="","",'Total Value'!Q50/'Total Value'!P50-1)</f>
        <v>5.368814192343585E-3</v>
      </c>
      <c r="R38" s="14">
        <f ca="1">IF(R$1="","",'Total Value'!R50/'Total Value'!Q50-1)</f>
        <v>4.8757836080799422E-3</v>
      </c>
      <c r="S38" s="14">
        <f ca="1">IF(S$1="","",'Total Value'!S50/'Total Value'!R50-1)</f>
        <v>1.7560073937153531E-2</v>
      </c>
      <c r="T38" s="14">
        <f ca="1">IF(T$1="","",'Total Value'!T50/'Total Value'!S50-1)</f>
        <v>-3.4059945504086864E-3</v>
      </c>
      <c r="U38" s="14">
        <f ca="1">IF(U$1="","",'Total Value'!U50/'Total Value'!T50-1)</f>
        <v>-6.1517429938484636E-3</v>
      </c>
      <c r="V38" s="14">
        <f ca="1">IF(V$1="","",'Total Value'!V50/'Total Value'!U50-1)</f>
        <v>1.1691884456671575E-2</v>
      </c>
      <c r="W38" s="14">
        <f ca="1">IF(W$1="","",'Total Value'!W50/'Total Value'!V50-1)</f>
        <v>1.1330160888283203E-3</v>
      </c>
      <c r="X38" s="14">
        <f ca="1">IF(X$1="","",'Total Value'!X50/'Total Value'!W50-1)</f>
        <v>4.4590312358533168E-2</v>
      </c>
      <c r="Y38" s="14">
        <f ca="1">IF(Y$1="","",'Total Value'!Y50/'Total Value'!X50-1)</f>
        <v>-1.0834236186348822E-2</v>
      </c>
      <c r="Z38" s="14">
        <f ca="1">IF(Z$1="","",'Total Value'!Z50/'Total Value'!Y50-1)</f>
        <v>-2.6506024096385472E-2</v>
      </c>
      <c r="AA38" s="14">
        <f ca="1">IF(AA$1="","",'Total Value'!AA50/'Total Value'!Z50-1)</f>
        <v>-3.3753375337532976E-3</v>
      </c>
      <c r="AB38" s="14">
        <f ca="1">IF(AB$1="","",'Total Value'!AB50/'Total Value'!AA50-1)</f>
        <v>2.2578460149018653E-3</v>
      </c>
      <c r="AC38" s="14">
        <f ca="1">IF(AC$1="","",'Total Value'!AC50/'Total Value'!AB50-1)</f>
        <v>7.8846587069159035E-3</v>
      </c>
      <c r="AD38" s="14">
        <f ca="1">IF(AD$1="","",'Total Value'!AD50/'Total Value'!AC50-1)</f>
        <v>1.5422440768886769E-2</v>
      </c>
      <c r="AE38" s="14">
        <f ca="1">IF(AE$1="","",'Total Value'!AE50/'Total Value'!AD50-1)</f>
        <v>-9.6852300242130651E-3</v>
      </c>
      <c r="AF38" s="14">
        <f ca="1">IF(AF$1="","",'Total Value'!AF50/'Total Value'!AE50-1)</f>
        <v>-1.8448544120915789E-2</v>
      </c>
      <c r="AG38" s="14">
        <f ca="1">IF(AG$1="","",'Total Value'!AG50/'Total Value'!AF50-1)</f>
        <v>6.1141304347827052E-3</v>
      </c>
      <c r="AH38" s="14">
        <f ca="1">IF(AH$1="","",'Total Value'!AH50/'Total Value'!AG50-1)</f>
        <v>-9.4530722484806873E-3</v>
      </c>
      <c r="AI38" s="14">
        <f ca="1">IF(AI$1="","",'Total Value'!AI50/'Total Value'!AH50-1)</f>
        <v>-1.1133833219722833E-2</v>
      </c>
      <c r="AJ38" s="14">
        <f ca="1">IF(AJ$1="","",'Total Value'!AJ50/'Total Value'!AI50-1)</f>
        <v>3.3777573529411686E-2</v>
      </c>
      <c r="AK38" s="14">
        <f ca="1">IF(AK$1="","",'Total Value'!AK50/'Total Value'!AJ50-1)</f>
        <v>1.4447655034452334E-2</v>
      </c>
      <c r="AL38" s="14">
        <f ca="1">IF(AL$1="","",'Total Value'!AL50/'Total Value'!AK50-1)</f>
        <v>-2.4978089395267467E-2</v>
      </c>
      <c r="AM38" s="14">
        <f ca="1">IF(AM$1="","",'Total Value'!AM50/'Total Value'!AL50-1)</f>
        <v>3.0337078651685445E-2</v>
      </c>
      <c r="AN38" s="14">
        <f ca="1">IF(AN$1="","",'Total Value'!AN50/'Total Value'!AM50-1)</f>
        <v>1.9629225736095934E-2</v>
      </c>
      <c r="AO38" s="14">
        <f ca="1">IF(AO$1="","",'Total Value'!AO50/'Total Value'!AN50-1)</f>
        <v>-4.4064171122994655E-2</v>
      </c>
      <c r="AP38" s="14">
        <f ca="1">IF(AP$1="","",'Total Value'!AP50/'Total Value'!AO50-1)</f>
        <v>-3.6921011411948923E-2</v>
      </c>
      <c r="AQ38" s="14">
        <f ca="1">IF(AQ$1="","",'Total Value'!AQ50/'Total Value'!AP50-1)</f>
        <v>8.1319702602231647E-3</v>
      </c>
      <c r="AR38" s="14">
        <f ca="1">IF(AR$1="","",'Total Value'!AR50/'Total Value'!AQ50-1)</f>
        <v>2.3046784973494994E-3</v>
      </c>
      <c r="AS38" s="14">
        <f ca="1">IF(AS$1="","",'Total Value'!AS50/'Total Value'!AR50-1)</f>
        <v>-1.2876523338698598E-2</v>
      </c>
      <c r="AT38" s="14">
        <f ca="1">IF(AT$1="","",'Total Value'!AT50/'Total Value'!AS50-1)</f>
        <v>-1.0715117633356641E-2</v>
      </c>
      <c r="AU38" s="14">
        <f ca="1">IF(AU$1="","",'Total Value'!AU50/'Total Value'!AT50-1)</f>
        <v>-1.0831174947021349E-2</v>
      </c>
      <c r="AV38" s="14">
        <f ca="1">IF(AV$1="","",'Total Value'!AV50/'Total Value'!AU50-1)</f>
        <v>-2.3803856224713371E-4</v>
      </c>
      <c r="AW38" s="14">
        <f ca="1">IF(AW$1="","",'Total Value'!AW50/'Total Value'!AV50-1)</f>
        <v>3.0952380952380842E-2</v>
      </c>
      <c r="AX38" s="14">
        <f ca="1">IF(AX$1="","",'Total Value'!AX50/'Total Value'!AW50-1)</f>
        <v>1.7321016166281789E-2</v>
      </c>
      <c r="AY38" s="14">
        <f ca="1">IF(AY$1="","",'Total Value'!AY50/'Total Value'!AX50-1)</f>
        <v>-6.8104426787718442E-4</v>
      </c>
      <c r="AZ38" s="14">
        <f ca="1">IF(AZ$1="","",'Total Value'!AZ50/'Total Value'!AY50-1)</f>
        <v>-1.4993184915947477E-2</v>
      </c>
      <c r="BA38" s="14">
        <f ca="1">IF(BA$1="","",'Total Value'!BA50/'Total Value'!AZ50-1)</f>
        <v>3.7130996309963304E-2</v>
      </c>
      <c r="BB38" s="14">
        <f ca="1">IF(BB$1="","",'Total Value'!BB50/'Total Value'!BA50-1)</f>
        <v>-7.5605959528572964E-3</v>
      </c>
      <c r="BC38" s="14">
        <f ca="1">IF(BC$1="","",'Total Value'!BC50/'Total Value'!BB50-1)</f>
        <v>1.2771678243334028E-2</v>
      </c>
      <c r="BD38" s="14">
        <f ca="1">IF(BD$1="","",'Total Value'!BD50/'Total Value'!BC50-1)</f>
        <v>2.8982300884955681E-2</v>
      </c>
      <c r="BE38" s="14">
        <f ca="1">IF(BE$1="","",'Total Value'!BE50/'Total Value'!BD50-1)</f>
        <v>-4.6871640507417656E-2</v>
      </c>
      <c r="BF38" s="14">
        <f ca="1">IF(BF$1="","",'Total Value'!BF50/'Total Value'!BE50-1)</f>
        <v>2.0302278366794324E-2</v>
      </c>
      <c r="BG38" s="14">
        <f ca="1">IF(BG$1="","",'Total Value'!BG50/'Total Value'!BF50-1)</f>
        <v>-4.3334070307318173E-2</v>
      </c>
      <c r="BH38" s="14">
        <f ca="1">IF(BH$1="","",'Total Value'!BH50/'Total Value'!BG50-1)</f>
        <v>-2.0106309221169516E-2</v>
      </c>
      <c r="BI38" s="14">
        <f ca="1">IF(BI$1="","",'Total Value'!BI50/'Total Value'!BH50-1)</f>
        <v>-7.7830188679244294E-3</v>
      </c>
      <c r="BJ38" s="14">
        <f ca="1">IF(BJ$1="","",'Total Value'!BJ50/'Total Value'!BI50-1)</f>
        <v>2.8048490610886656E-2</v>
      </c>
      <c r="BK38" s="14">
        <f ca="1">IF(BK$1="","",'Total Value'!BK50/'Total Value'!BJ50-1)</f>
        <v>-4.9942196531791883E-2</v>
      </c>
      <c r="BL38" s="14">
        <f ca="1">IF(BL$1="","",'Total Value'!BL50/'Total Value'!BK50-1)</f>
        <v>-4.0642492090533056E-2</v>
      </c>
      <c r="BM38" s="14">
        <f ca="1">IF(BM$1="","",'Total Value'!BM50/'Total Value'!BL50-1)</f>
        <v>-2.460679857940129E-2</v>
      </c>
      <c r="BN38" s="14">
        <f ca="1">IF(BN$1="","",'Total Value'!BN50/'Total Value'!BM50-1)</f>
        <v>-2.1066319895968855E-2</v>
      </c>
      <c r="BO38" s="14">
        <f ca="1">IF(BO$1="","",'Total Value'!BO50/'Total Value'!BN50-1)</f>
        <v>-1.5143464399574813E-2</v>
      </c>
      <c r="BP38" s="14">
        <f ca="1">IF(BP$1="","",'Total Value'!BP50/'Total Value'!BO50-1)</f>
        <v>-1.6185594820610216E-3</v>
      </c>
      <c r="BQ38" s="14">
        <f ca="1">IF(BQ$1="","",'Total Value'!BQ50/'Total Value'!BP50-1)</f>
        <v>2.6479329910834792E-2</v>
      </c>
      <c r="BR38" s="14">
        <f ca="1">IF(BR$1="","",'Total Value'!BR50/'Total Value'!BQ50-1)</f>
        <v>-1.5793629902606243E-3</v>
      </c>
      <c r="BS38" s="14">
        <f ca="1">IF(BS$1="","",'Total Value'!BS50/'Total Value'!BR50-1)</f>
        <v>-3.4273662008963424E-3</v>
      </c>
      <c r="BT38" s="14">
        <f ca="1">IF(BT$1="","",'Total Value'!BT50/'Total Value'!BS50-1)</f>
        <v>3.9417989417989574E-2</v>
      </c>
      <c r="BU38" s="14">
        <f ca="1">IF(BU$1="","",'Total Value'!BU50/'Total Value'!BT50-1)</f>
        <v>2.545176889793721E-3</v>
      </c>
      <c r="BV38" s="14">
        <f ca="1">IF(BV$1="","",'Total Value'!BV50/'Total Value'!BU50-1)</f>
        <v>-1.1424219345011477E-2</v>
      </c>
      <c r="BW38" s="14">
        <f ca="1">IF(BW$1="","",'Total Value'!BW50/'Total Value'!BV50-1)</f>
        <v>-2.1828454031843747E-2</v>
      </c>
      <c r="BX38" s="14">
        <f ca="1">IF(BX$1="","",'Total Value'!BX50/'Total Value'!BW50-1)</f>
        <v>-8.6636912575479563E-3</v>
      </c>
      <c r="BY38" s="14">
        <f ca="1">IF(BY$1="","",'Total Value'!BY50/'Total Value'!BX50-1)</f>
        <v>-3.8135593220338881E-2</v>
      </c>
      <c r="BZ38" s="14">
        <f ca="1">IF(BZ$1="","",'Total Value'!BZ50/'Total Value'!BY50-1)</f>
        <v>-1.1288546255506793E-2</v>
      </c>
      <c r="CA38" s="14">
        <f ca="1">IF(CA$1="","",'Total Value'!CA50/'Total Value'!BZ50-1)</f>
        <v>1.1138958507379781E-2</v>
      </c>
      <c r="CB38" s="14">
        <f ca="1">IF(CB$1="","",'Total Value'!CB50/'Total Value'!CA50-1)</f>
        <v>-2.36849352795373E-2</v>
      </c>
      <c r="CC38" s="14">
        <f ca="1">IF(CC$1="","",'Total Value'!CC50/'Total Value'!CB50-1)</f>
        <v>1.2411847672778586E-2</v>
      </c>
      <c r="CD38" s="14">
        <f ca="1">IF(CD$1="","",'Total Value'!CD50/'Total Value'!CC50-1)</f>
        <v>7.8016160490388398E-3</v>
      </c>
      <c r="CE38" s="14">
        <f ca="1">IF(CE$1="","",'Total Value'!CE50/'Total Value'!CD50-1)</f>
        <v>3.2623721316007881E-2</v>
      </c>
      <c r="CF38" s="14" t="str">
        <f ca="1">IF(CF$1="","",'Total Value'!CF50/'Total Value'!CE50-1)</f>
        <v/>
      </c>
      <c r="CG38" s="14" t="str">
        <f ca="1">IF(CG$1="","",'Total Value'!CG50/'Total Value'!CF50-1)</f>
        <v/>
      </c>
      <c r="CH38" s="14" t="str">
        <f ca="1">IF(CH$1="","",'Total Value'!CH50/'Total Value'!CG50-1)</f>
        <v/>
      </c>
      <c r="CI38" s="14" t="str">
        <f ca="1">IF(CI$1="","",'Total Value'!CI50/'Total Value'!CH50-1)</f>
        <v/>
      </c>
      <c r="CJ38" s="14" t="str">
        <f ca="1">IF(CJ$1="","",'Total Value'!CJ50/'Total Value'!CI50-1)</f>
        <v/>
      </c>
      <c r="CK38" s="14" t="str">
        <f ca="1">IF(CK$1="","",'Total Value'!CK50/'Total Value'!CJ50-1)</f>
        <v/>
      </c>
      <c r="CL38" s="14" t="str">
        <f ca="1">IF(CL$1="","",'Total Value'!CL50/'Total Value'!CK50-1)</f>
        <v/>
      </c>
      <c r="CM38" s="14" t="str">
        <f ca="1">IF(CM$1="","",'Total Value'!CM50/'Total Value'!CL50-1)</f>
        <v/>
      </c>
      <c r="CN38" s="14" t="str">
        <f ca="1">IF(CN$1="","",'Total Value'!CN50/'Total Value'!CM50-1)</f>
        <v/>
      </c>
      <c r="CO38" s="14" t="str">
        <f ca="1">IF(CO$1="","",'Total Value'!CO50/'Total Value'!CN50-1)</f>
        <v/>
      </c>
      <c r="CP38" s="14" t="str">
        <f ca="1">IF(CP$1="","",'Total Value'!CP50/'Total Value'!CO50-1)</f>
        <v/>
      </c>
      <c r="CQ38" s="14" t="str">
        <f ca="1">IF(CQ$1="","",'Total Value'!CQ50/'Total Value'!CP50-1)</f>
        <v/>
      </c>
      <c r="CR38" s="14" t="str">
        <f ca="1">IF(CR$1="","",'Total Value'!CR50/'Total Value'!CQ50-1)</f>
        <v/>
      </c>
      <c r="CS38" s="14" t="str">
        <f ca="1">IF(CS$1="","",'Total Value'!CS50/'Total Value'!CR50-1)</f>
        <v/>
      </c>
      <c r="CT38" s="14" t="str">
        <f ca="1">IF(CT$1="","",'Total Value'!CT50/'Total Value'!CS50-1)</f>
        <v/>
      </c>
      <c r="CU38" s="14" t="str">
        <f ca="1">IF(CU$1="","",'Total Value'!CU50/'Total Value'!CT50-1)</f>
        <v/>
      </c>
      <c r="CV38" s="14" t="str">
        <f ca="1">IF(CV$1="","",'Total Value'!CV50/'Total Value'!CU50-1)</f>
        <v/>
      </c>
      <c r="CW38" s="14" t="str">
        <f ca="1">IF(CW$1="","",'Total Value'!CW50/'Total Value'!CV50-1)</f>
        <v/>
      </c>
      <c r="CX38" s="14" t="str">
        <f ca="1">IF(CX$1="","",'Total Value'!CX50/'Total Value'!CW50-1)</f>
        <v/>
      </c>
      <c r="CY38" s="14" t="str">
        <f ca="1">IF(CY$1="","",'Total Value'!CY50/'Total Value'!CX50-1)</f>
        <v/>
      </c>
      <c r="CZ38" s="14" t="str">
        <f ca="1">IF(CZ$1="","",'Total Value'!CZ50/'Total Value'!CY50-1)</f>
        <v/>
      </c>
      <c r="DA38" s="14" t="str">
        <f ca="1">IF(DA$1="","",'Total Value'!DA50/'Total Value'!CZ50-1)</f>
        <v/>
      </c>
      <c r="DB38" s="14" t="str">
        <f ca="1">IF(DB$1="","",'Total Value'!DB50/'Total Value'!DA50-1)</f>
        <v/>
      </c>
      <c r="DC38" s="14" t="str">
        <f ca="1">IF(DC$1="","",'Total Value'!DC50/'Total Value'!DB50-1)</f>
        <v/>
      </c>
      <c r="DD38" s="14" t="str">
        <f ca="1">IF(DD$1="","",'Total Value'!DD50/'Total Value'!DC50-1)</f>
        <v/>
      </c>
      <c r="DE38" s="14" t="str">
        <f ca="1">IF(DE$1="","",'Total Value'!DE50/'Total Value'!DD50-1)</f>
        <v/>
      </c>
      <c r="DF38" s="14" t="str">
        <f ca="1">IF(DF$1="","",'Total Value'!DF50/'Total Value'!DE50-1)</f>
        <v/>
      </c>
      <c r="DG38" s="14" t="str">
        <f ca="1">IF(DG$1="","",'Total Value'!DG50/'Total Value'!DF50-1)</f>
        <v/>
      </c>
      <c r="DH38" s="14" t="str">
        <f ca="1">IF(DH$1="","",'Total Value'!DH50/'Total Value'!DG50-1)</f>
        <v/>
      </c>
      <c r="DI38" s="14" t="str">
        <f ca="1">IF(DI$1="","",'Total Value'!DI50/'Total Value'!DH50-1)</f>
        <v/>
      </c>
      <c r="DJ38" s="14" t="str">
        <f ca="1">IF(DJ$1="","",'Total Value'!DJ50/'Total Value'!DI50-1)</f>
        <v/>
      </c>
      <c r="DK38" s="14" t="str">
        <f ca="1">IF(DK$1="","",'Total Value'!DK50/'Total Value'!DJ50-1)</f>
        <v/>
      </c>
      <c r="DL38" s="14" t="str">
        <f ca="1">IF(DL$1="","",'Total Value'!DL50/'Total Value'!DK50-1)</f>
        <v/>
      </c>
      <c r="DM38" s="14" t="str">
        <f ca="1">IF(DM$1="","",'Total Value'!DM50/'Total Value'!DL50-1)</f>
        <v/>
      </c>
      <c r="DN38" s="14" t="str">
        <f ca="1">IF(DN$1="","",'Total Value'!DN50/'Total Value'!DM50-1)</f>
        <v/>
      </c>
      <c r="DO38" s="14" t="str">
        <f ca="1">IF(DO$1="","",'Total Value'!DO50/'Total Value'!DN50-1)</f>
        <v/>
      </c>
      <c r="DP38" s="14" t="str">
        <f ca="1">IF(DP$1="","",'Total Value'!DP50/'Total Value'!DO50-1)</f>
        <v/>
      </c>
      <c r="DQ38" s="14" t="str">
        <f ca="1">IF(DQ$1="","",'Total Value'!DQ50/'Total Value'!DP50-1)</f>
        <v/>
      </c>
      <c r="DR38" s="14" t="str">
        <f ca="1">IF(DR$1="","",'Total Value'!DR50/'Total Value'!DQ50-1)</f>
        <v/>
      </c>
      <c r="DS38" s="14" t="str">
        <f ca="1">IF(DS$1="","",'Total Value'!DS50/'Total Value'!DR50-1)</f>
        <v/>
      </c>
      <c r="DT38" s="14" t="str">
        <f ca="1">IF(DT$1="","",'Total Value'!DT50/'Total Value'!DS50-1)</f>
        <v/>
      </c>
      <c r="DU38" s="14" t="str">
        <f ca="1">IF(DU$1="","",'Total Value'!DU50/'Total Value'!DT50-1)</f>
        <v/>
      </c>
      <c r="DV38" s="14" t="str">
        <f ca="1">IF(DV$1="","",'Total Value'!DV50/'Total Value'!DU50-1)</f>
        <v/>
      </c>
      <c r="DW38" s="14" t="str">
        <f ca="1">IF(DW$1="","",'Total Value'!DW50/'Total Value'!DV50-1)</f>
        <v/>
      </c>
      <c r="DX38" s="14" t="str">
        <f ca="1">IF(DX$1="","",'Total Value'!DX50/'Total Value'!DW50-1)</f>
        <v/>
      </c>
      <c r="DY38" s="14" t="str">
        <f ca="1">IF(DY$1="","",'Total Value'!DY50/'Total Value'!DX50-1)</f>
        <v/>
      </c>
      <c r="DZ38" s="14" t="str">
        <f ca="1">IF(DZ$1="","",'Total Value'!DZ50/'Total Value'!DY50-1)</f>
        <v/>
      </c>
      <c r="EA38" s="14" t="str">
        <f ca="1">IF(EA$1="","",'Total Value'!EA50/'Total Value'!DZ50-1)</f>
        <v/>
      </c>
      <c r="EB38" s="14" t="str">
        <f ca="1">IF(EB$1="","",'Total Value'!EB50/'Total Value'!EA50-1)</f>
        <v/>
      </c>
      <c r="EC38" s="14" t="str">
        <f ca="1">IF(EC$1="","",'Total Value'!EC50/'Total Value'!EB50-1)</f>
        <v/>
      </c>
      <c r="ED38" s="14" t="str">
        <f ca="1">IF(ED$1="","",'Total Value'!ED50/'Total Value'!EC50-1)</f>
        <v/>
      </c>
      <c r="EE38" s="14" t="str">
        <f ca="1">IF(EE$1="","",'Total Value'!EE50/'Total Value'!ED50-1)</f>
        <v/>
      </c>
      <c r="EF38" s="14" t="str">
        <f ca="1">IF(EF$1="","",'Total Value'!EF50/'Total Value'!EE50-1)</f>
        <v/>
      </c>
      <c r="EG38" s="14" t="str">
        <f ca="1">IF(EG$1="","",'Total Value'!EG50/'Total Value'!EF50-1)</f>
        <v/>
      </c>
      <c r="EH38" s="14" t="str">
        <f ca="1">IF(EH$1="","",'Total Value'!EH50/'Total Value'!EG50-1)</f>
        <v/>
      </c>
      <c r="EI38" s="14" t="str">
        <f ca="1">IF(EI$1="","",'Total Value'!EI50/'Total Value'!EH50-1)</f>
        <v/>
      </c>
      <c r="EJ38" s="14" t="str">
        <f ca="1">IF(EJ$1="","",'Total Value'!EJ50/'Total Value'!EI50-1)</f>
        <v/>
      </c>
      <c r="EK38" s="14" t="str">
        <f ca="1">IF(EK$1="","",'Total Value'!EK50/'Total Value'!EJ50-1)</f>
        <v/>
      </c>
      <c r="EL38" s="14" t="str">
        <f ca="1">IF(EL$1="","",'Total Value'!EL50/'Total Value'!EK50-1)</f>
        <v/>
      </c>
      <c r="EM38" s="14" t="str">
        <f ca="1">IF(EM$1="","",'Total Value'!EM50/'Total Value'!EL50-1)</f>
        <v/>
      </c>
      <c r="EN38" s="14" t="str">
        <f ca="1">IF(EN$1="","",'Total Value'!EN50/'Total Value'!EM50-1)</f>
        <v/>
      </c>
      <c r="EO38" s="14" t="str">
        <f ca="1">IF(EO$1="","",'Total Value'!EO50/'Total Value'!EN50-1)</f>
        <v/>
      </c>
      <c r="EP38" s="14" t="str">
        <f ca="1">IF(EP$1="","",'Total Value'!EP50/'Total Value'!EO50-1)</f>
        <v/>
      </c>
      <c r="EQ38" s="14" t="str">
        <f ca="1">IF(EQ$1="","",'Total Value'!EQ50/'Total Value'!EP50-1)</f>
        <v/>
      </c>
      <c r="ER38" s="14" t="str">
        <f ca="1">IF(ER$1="","",'Total Value'!ER50/'Total Value'!EQ50-1)</f>
        <v/>
      </c>
      <c r="ES38" s="14" t="str">
        <f ca="1">IF(ES$1="","",'Total Value'!ES50/'Total Value'!ER50-1)</f>
        <v/>
      </c>
      <c r="ET38" s="14" t="str">
        <f ca="1">IF(ET$1="","",'Total Value'!ET50/'Total Value'!ES50-1)</f>
        <v/>
      </c>
      <c r="EU38" s="14" t="str">
        <f ca="1">IF(EU$1="","",'Total Value'!EU50/'Total Value'!ET50-1)</f>
        <v/>
      </c>
      <c r="EV38" s="14" t="str">
        <f ca="1">IF(EV$1="","",'Total Value'!EV50/'Total Value'!EU50-1)</f>
        <v/>
      </c>
      <c r="EW38" s="14" t="str">
        <f ca="1">IF(EW$1="","",'Total Value'!EW50/'Total Value'!EV50-1)</f>
        <v/>
      </c>
      <c r="EX38" s="14" t="str">
        <f ca="1">IF(EX$1="","",'Total Value'!EX50/'Total Value'!EW50-1)</f>
        <v/>
      </c>
      <c r="EY38" s="14" t="str">
        <f ca="1">IF(EY$1="","",'Total Value'!EY50/'Total Value'!EX50-1)</f>
        <v/>
      </c>
      <c r="EZ38" s="14" t="str">
        <f ca="1">IF(EZ$1="","",'Total Value'!EZ50/'Total Value'!EY50-1)</f>
        <v/>
      </c>
      <c r="FA38" s="14" t="str">
        <f ca="1">IF(FA$1="","",'Total Value'!FA50/'Total Value'!EZ50-1)</f>
        <v/>
      </c>
      <c r="FB38" s="14" t="str">
        <f ca="1">IF(FB$1="","",'Total Value'!FB50/'Total Value'!FA50-1)</f>
        <v/>
      </c>
      <c r="FC38" s="14" t="str">
        <f ca="1">IF(FC$1="","",'Total Value'!FC50/'Total Value'!FB50-1)</f>
        <v/>
      </c>
      <c r="FD38" s="14" t="str">
        <f ca="1">IF(FD$1="","",'Total Value'!FD50/'Total Value'!FC50-1)</f>
        <v/>
      </c>
      <c r="FE38" s="14" t="str">
        <f ca="1">IF(FE$1="","",'Total Value'!FE50/'Total Value'!FD50-1)</f>
        <v/>
      </c>
      <c r="FF38" s="14" t="str">
        <f ca="1">IF(FF$1="","",'Total Value'!FF50/'Total Value'!FE50-1)</f>
        <v/>
      </c>
      <c r="FG38" s="14" t="str">
        <f ca="1">IF(FG$1="","",'Total Value'!FG50/'Total Value'!FF50-1)</f>
        <v/>
      </c>
      <c r="FH38" s="14" t="str">
        <f ca="1">IF(FH$1="","",'Total Value'!FH50/'Total Value'!FG50-1)</f>
        <v/>
      </c>
      <c r="FI38" s="14" t="str">
        <f ca="1">IF(FI$1="","",'Total Value'!FI50/'Total Value'!FH50-1)</f>
        <v/>
      </c>
      <c r="FJ38" s="14" t="str">
        <f ca="1">IF(FJ$1="","",'Total Value'!FJ50/'Total Value'!FI50-1)</f>
        <v/>
      </c>
      <c r="FK38" s="14" t="str">
        <f ca="1">IF(FK$1="","",'Total Value'!FK50/'Total Value'!FJ50-1)</f>
        <v/>
      </c>
      <c r="FL38" s="14" t="str">
        <f ca="1">IF(FL$1="","",'Total Value'!FL50/'Total Value'!FK50-1)</f>
        <v/>
      </c>
      <c r="FM38" s="14" t="str">
        <f ca="1">IF(FM$1="","",'Total Value'!FM50/'Total Value'!FL50-1)</f>
        <v/>
      </c>
      <c r="FN38" s="14" t="str">
        <f ca="1">IF(FN$1="","",'Total Value'!FN50/'Total Value'!FM50-1)</f>
        <v/>
      </c>
      <c r="FO38" s="14" t="str">
        <f ca="1">IF(FO$1="","",'Total Value'!FO50/'Total Value'!FN50-1)</f>
        <v/>
      </c>
      <c r="FP38" s="14" t="str">
        <f ca="1">IF(FP$1="","",'Total Value'!FP50/'Total Value'!FO50-1)</f>
        <v/>
      </c>
      <c r="FQ38" s="14" t="str">
        <f ca="1">IF(FQ$1="","",'Total Value'!FQ50/'Total Value'!FP50-1)</f>
        <v/>
      </c>
      <c r="FR38" s="14" t="str">
        <f ca="1">IF(FR$1="","",'Total Value'!FR50/'Total Value'!FQ50-1)</f>
        <v/>
      </c>
      <c r="FS38" s="14" t="str">
        <f ca="1">IF(FS$1="","",'Total Value'!FS50/'Total Value'!FR50-1)</f>
        <v/>
      </c>
      <c r="FT38" s="14" t="str">
        <f ca="1">IF(FT$1="","",'Total Value'!FT50/'Total Value'!FS50-1)</f>
        <v/>
      </c>
      <c r="FU38" s="14" t="str">
        <f ca="1">IF(FU$1="","",'Total Value'!FU50/'Total Value'!FT50-1)</f>
        <v/>
      </c>
      <c r="FV38" s="14" t="str">
        <f ca="1">IF(FV$1="","",'Total Value'!FV50/'Total Value'!FU50-1)</f>
        <v/>
      </c>
      <c r="FW38" s="14" t="str">
        <f ca="1">IF(FW$1="","",'Total Value'!FW50/'Total Value'!FV50-1)</f>
        <v/>
      </c>
      <c r="FX38" s="14" t="str">
        <f ca="1">IF(FX$1="","",'Total Value'!FX50/'Total Value'!FW50-1)</f>
        <v/>
      </c>
      <c r="FY38" s="14" t="str">
        <f ca="1">IF(FY$1="","",'Total Value'!FY50/'Total Value'!FX50-1)</f>
        <v/>
      </c>
      <c r="FZ38" s="14" t="str">
        <f ca="1">IF(FZ$1="","",'Total Value'!FZ50/'Total Value'!FY50-1)</f>
        <v/>
      </c>
      <c r="GA38" s="14" t="str">
        <f ca="1">IF(GA$1="","",'Total Value'!GA50/'Total Value'!FZ50-1)</f>
        <v/>
      </c>
      <c r="GB38" s="14" t="str">
        <f ca="1">IF(GB$1="","",'Total Value'!GB50/'Total Value'!GA50-1)</f>
        <v/>
      </c>
      <c r="GC38" s="14" t="str">
        <f ca="1">IF(GC$1="","",'Total Value'!GC50/'Total Value'!GB50-1)</f>
        <v/>
      </c>
      <c r="GD38" s="14" t="str">
        <f ca="1">IF(GD$1="","",'Total Value'!GD50/'Total Value'!GC50-1)</f>
        <v/>
      </c>
      <c r="GE38" s="14" t="str">
        <f ca="1">IF(GE$1="","",'Total Value'!GE50/'Total Value'!GD50-1)</f>
        <v/>
      </c>
      <c r="GF38" s="14" t="str">
        <f ca="1">IF(GF$1="","",'Total Value'!GF50/'Total Value'!GE50-1)</f>
        <v/>
      </c>
      <c r="GG38" s="14" t="str">
        <f ca="1">IF(GG$1="","",'Total Value'!GG50/'Total Value'!GF50-1)</f>
        <v/>
      </c>
      <c r="GH38" s="14" t="str">
        <f ca="1">IF(GH$1="","",'Total Value'!GH50/'Total Value'!GG50-1)</f>
        <v/>
      </c>
      <c r="GI38" s="14" t="str">
        <f ca="1">IF(GI$1="","",'Total Value'!GI50/'Total Value'!GH50-1)</f>
        <v/>
      </c>
      <c r="GJ38" s="14" t="str">
        <f ca="1">IF(GJ$1="","",'Total Value'!GJ50/'Total Value'!GI50-1)</f>
        <v/>
      </c>
      <c r="GK38" s="14" t="str">
        <f ca="1">IF(GK$1="","",'Total Value'!GK50/'Total Value'!GJ50-1)</f>
        <v/>
      </c>
      <c r="GL38" s="14" t="str">
        <f ca="1">IF(GL$1="","",'Total Value'!GL50/'Total Value'!GK50-1)</f>
        <v/>
      </c>
      <c r="GM38" s="14" t="str">
        <f ca="1">IF(GM$1="","",'Total Value'!GM50/'Total Value'!GL50-1)</f>
        <v/>
      </c>
      <c r="GN38" s="14" t="str">
        <f ca="1">IF(GN$1="","",'Total Value'!GN50/'Total Value'!GM50-1)</f>
        <v/>
      </c>
      <c r="GO38" s="14" t="str">
        <f ca="1">IF(GO$1="","",'Total Value'!GO50/'Total Value'!GN50-1)</f>
        <v/>
      </c>
      <c r="GP38" s="14" t="str">
        <f ca="1">IF(GP$1="","",'Total Value'!GP50/'Total Value'!GO50-1)</f>
        <v/>
      </c>
      <c r="GQ38" s="14" t="str">
        <f ca="1">IF(GQ$1="","",'Total Value'!GQ50/'Total Value'!GP50-1)</f>
        <v/>
      </c>
      <c r="GR38" s="14" t="str">
        <f ca="1">IF(GR$1="","",'Total Value'!GR50/'Total Value'!GQ50-1)</f>
        <v/>
      </c>
      <c r="GS38" s="14" t="str">
        <f ca="1">IF(GS$1="","",'Total Value'!GS50/'Total Value'!GR50-1)</f>
        <v/>
      </c>
      <c r="GT38" s="14" t="str">
        <f ca="1">IF(GT$1="","",'Total Value'!GT50/'Total Value'!GS50-1)</f>
        <v/>
      </c>
      <c r="GU38" s="14" t="str">
        <f ca="1">IF(GU$1="","",'Total Value'!GU50/'Total Value'!GT50-1)</f>
        <v/>
      </c>
      <c r="GV38" s="14" t="str">
        <f ca="1">IF(GV$1="","",'Total Value'!GV50/'Total Value'!GU50-1)</f>
        <v/>
      </c>
      <c r="GW38" s="14" t="str">
        <f ca="1">IF(GW$1="","",'Total Value'!GW50/'Total Value'!GV50-1)</f>
        <v/>
      </c>
      <c r="GX38" s="14" t="str">
        <f ca="1">IF(GX$1="","",'Total Value'!GX50/'Total Value'!GW50-1)</f>
        <v/>
      </c>
      <c r="GY38" s="14" t="str">
        <f ca="1">IF(GY$1="","",'Total Value'!GY50/'Total Value'!GX50-1)</f>
        <v/>
      </c>
      <c r="GZ38" s="14" t="str">
        <f ca="1">IF(GZ$1="","",'Total Value'!GZ50/'Total Value'!GY50-1)</f>
        <v/>
      </c>
      <c r="HA38" s="14" t="str">
        <f ca="1">IF(HA$1="","",'Total Value'!HA50/'Total Value'!GZ50-1)</f>
        <v/>
      </c>
      <c r="HB38" s="14" t="str">
        <f ca="1">IF(HB$1="","",'Total Value'!HB50/'Total Value'!HA50-1)</f>
        <v/>
      </c>
      <c r="HC38" s="14" t="str">
        <f ca="1">IF(HC$1="","",'Total Value'!HC50/'Total Value'!HB50-1)</f>
        <v/>
      </c>
      <c r="HD38" s="14" t="str">
        <f ca="1">IF(HD$1="","",'Total Value'!HD50/'Total Value'!HC50-1)</f>
        <v/>
      </c>
      <c r="HE38" s="14" t="str">
        <f ca="1">IF(HE$1="","",'Total Value'!HE50/'Total Value'!HD50-1)</f>
        <v/>
      </c>
      <c r="HF38" s="14" t="str">
        <f ca="1">IF(HF$1="","",'Total Value'!HF50/'Total Value'!HE50-1)</f>
        <v/>
      </c>
      <c r="HG38" s="14" t="str">
        <f ca="1">IF(HG$1="","",'Total Value'!HG50/'Total Value'!HF50-1)</f>
        <v/>
      </c>
      <c r="HH38" s="14" t="str">
        <f ca="1">IF(HH$1="","",'Total Value'!HH50/'Total Value'!HG50-1)</f>
        <v/>
      </c>
      <c r="HI38" s="14" t="str">
        <f ca="1">IF(HI$1="","",'Total Value'!HI50/'Total Value'!HH50-1)</f>
        <v/>
      </c>
      <c r="HJ38" s="14" t="str">
        <f ca="1">IF(HJ$1="","",'Total Value'!HJ50/'Total Value'!HI50-1)</f>
        <v/>
      </c>
      <c r="HK38" s="14" t="str">
        <f ca="1">IF(HK$1="","",'Total Value'!HK50/'Total Value'!HJ50-1)</f>
        <v/>
      </c>
      <c r="HL38" s="14" t="str">
        <f ca="1">IF(HL$1="","",'Total Value'!HL50/'Total Value'!HK50-1)</f>
        <v/>
      </c>
      <c r="HM38" s="14" t="str">
        <f ca="1">IF(HM$1="","",'Total Value'!HM50/'Total Value'!HL50-1)</f>
        <v/>
      </c>
      <c r="HN38" s="14" t="str">
        <f ca="1">IF(HN$1="","",'Total Value'!HN50/'Total Value'!HM50-1)</f>
        <v/>
      </c>
      <c r="HO38" s="14" t="str">
        <f ca="1">IF(HO$1="","",'Total Value'!HO50/'Total Value'!HN50-1)</f>
        <v/>
      </c>
      <c r="HP38" s="14" t="str">
        <f ca="1">IF(HP$1="","",'Total Value'!HP50/'Total Value'!HO50-1)</f>
        <v/>
      </c>
      <c r="HQ38" s="14" t="str">
        <f ca="1">IF(HQ$1="","",'Total Value'!HQ50/'Total Value'!HP50-1)</f>
        <v/>
      </c>
      <c r="HR38" s="14" t="str">
        <f ca="1">IF(HR$1="","",'Total Value'!HR50/'Total Value'!HQ50-1)</f>
        <v/>
      </c>
      <c r="HS38" s="14" t="str">
        <f ca="1">IF(HS$1="","",'Total Value'!HS50/'Total Value'!HR50-1)</f>
        <v/>
      </c>
      <c r="HT38" s="14" t="str">
        <f ca="1">IF(HT$1="","",'Total Value'!HT50/'Total Value'!HS50-1)</f>
        <v/>
      </c>
      <c r="HU38" s="14" t="str">
        <f ca="1">IF(HU$1="","",'Total Value'!HU50/'Total Value'!HT50-1)</f>
        <v/>
      </c>
      <c r="HV38" s="14" t="str">
        <f ca="1">IF(HV$1="","",'Total Value'!HV50/'Total Value'!HU50-1)</f>
        <v/>
      </c>
      <c r="HW38" s="14" t="str">
        <f ca="1">IF(HW$1="","",'Total Value'!HW50/'Total Value'!HV50-1)</f>
        <v/>
      </c>
      <c r="HX38" s="14" t="str">
        <f ca="1">IF(HX$1="","",'Total Value'!HX50/'Total Value'!HW50-1)</f>
        <v/>
      </c>
      <c r="HY38" s="14" t="str">
        <f ca="1">IF(HY$1="","",'Total Value'!HY50/'Total Value'!HX50-1)</f>
        <v/>
      </c>
      <c r="HZ38" s="14" t="str">
        <f ca="1">IF(HZ$1="","",'Total Value'!HZ50/'Total Value'!HY50-1)</f>
        <v/>
      </c>
      <c r="IA38" s="14" t="str">
        <f ca="1">IF(IA$1="","",'Total Value'!IA50/'Total Value'!HZ50-1)</f>
        <v/>
      </c>
      <c r="IB38" s="14" t="str">
        <f ca="1">IF(IB$1="","",'Total Value'!IB50/'Total Value'!IA50-1)</f>
        <v/>
      </c>
      <c r="IC38" s="14" t="str">
        <f ca="1">IF(IC$1="","",'Total Value'!IC50/'Total Value'!IB50-1)</f>
        <v/>
      </c>
      <c r="ID38" s="14" t="str">
        <f ca="1">IF(ID$1="","",'Total Value'!ID50/'Total Value'!IC50-1)</f>
        <v/>
      </c>
      <c r="IE38" s="14" t="str">
        <f ca="1">IF(IE$1="","",'Total Value'!IE50/'Total Value'!ID50-1)</f>
        <v/>
      </c>
      <c r="IF38" s="14" t="str">
        <f ca="1">IF(IF$1="","",'Total Value'!IF50/'Total Value'!IE50-1)</f>
        <v/>
      </c>
      <c r="IG38" s="14" t="str">
        <f ca="1">IF(IG$1="","",'Total Value'!IG50/'Total Value'!IF50-1)</f>
        <v/>
      </c>
      <c r="IH38" s="14" t="str">
        <f ca="1">IF(IH$1="","",'Total Value'!IH50/'Total Value'!IG50-1)</f>
        <v/>
      </c>
      <c r="II38" s="14" t="str">
        <f ca="1">IF(II$1="","",'Total Value'!II50/'Total Value'!IH50-1)</f>
        <v/>
      </c>
      <c r="IJ38" s="14" t="str">
        <f ca="1">IF(IJ$1="","",'Total Value'!IJ50/'Total Value'!II50-1)</f>
        <v/>
      </c>
      <c r="IK38" s="14" t="str">
        <f ca="1">IF(IK$1="","",'Total Value'!IK50/'Total Value'!IJ50-1)</f>
        <v/>
      </c>
      <c r="IL38" s="14" t="str">
        <f ca="1">IF(IL$1="","",'Total Value'!IL50/'Total Value'!IK50-1)</f>
        <v/>
      </c>
      <c r="IM38" s="14" t="str">
        <f ca="1">IF(IM$1="","",'Total Value'!IM50/'Total Value'!IL50-1)</f>
        <v/>
      </c>
      <c r="IN38" s="14" t="str">
        <f ca="1">IF(IN$1="","",'Total Value'!IN50/'Total Value'!IM50-1)</f>
        <v/>
      </c>
      <c r="IO38" s="14" t="str">
        <f ca="1">IF(IO$1="","",'Total Value'!IO50/'Total Value'!IN50-1)</f>
        <v/>
      </c>
      <c r="IP38" s="14" t="str">
        <f ca="1">IF(IP$1="","",'Total Value'!IP50/'Total Value'!IO50-1)</f>
        <v/>
      </c>
      <c r="IQ38" s="14" t="str">
        <f ca="1">IF(IQ$1="","",'Total Value'!IQ50/'Total Value'!IP50-1)</f>
        <v/>
      </c>
      <c r="IR38" s="14" t="str">
        <f ca="1">IF(IR$1="","",'Total Value'!IR50/'Total Value'!IQ50-1)</f>
        <v/>
      </c>
      <c r="IS38" s="14" t="str">
        <f ca="1">IF(IS$1="","",'Total Value'!IS50/'Total Value'!IR50-1)</f>
        <v/>
      </c>
      <c r="IT38" s="14" t="str">
        <f ca="1">IF(IT$1="","",'Total Value'!IT50/'Total Value'!IS50-1)</f>
        <v/>
      </c>
      <c r="IU38" s="14" t="str">
        <f ca="1">IF(IU$1="","",'Total Value'!IU50/'Total Value'!IT50-1)</f>
        <v/>
      </c>
      <c r="IV38" s="14" t="str">
        <f ca="1">IF(IV$1="","",'Total Value'!IV50/'Total Value'!IU50-1)</f>
        <v/>
      </c>
      <c r="IW38" s="14" t="str">
        <f ca="1">IF(IW$1="","",'Total Value'!IW50/'Total Value'!IV50-1)</f>
        <v/>
      </c>
      <c r="IX38" s="14" t="str">
        <f ca="1">IF(IX$1="","",'Total Value'!IX50/'Total Value'!IW50-1)</f>
        <v/>
      </c>
      <c r="IY38" s="14" t="str">
        <f ca="1">IF(IY$1="","",'Total Value'!IY50/'Total Value'!IX50-1)</f>
        <v/>
      </c>
      <c r="IZ38" s="14" t="str">
        <f ca="1">IF(IZ$1="","",'Total Value'!IZ50/'Total Value'!IY50-1)</f>
        <v/>
      </c>
      <c r="JA38" s="14" t="str">
        <f ca="1">IF(JA$1="","",'Total Value'!JA50/'Total Value'!IZ50-1)</f>
        <v/>
      </c>
      <c r="JB38" s="14" t="str">
        <f ca="1">IF(JB$1="","",'Total Value'!JB50/'Total Value'!JA50-1)</f>
        <v/>
      </c>
      <c r="JC38" s="14" t="str">
        <f ca="1">IF(JC$1="","",'Total Value'!JC50/'Total Value'!JB50-1)</f>
        <v/>
      </c>
      <c r="JD38" s="14" t="str">
        <f ca="1">IF(JD$1="","",'Total Value'!JD50/'Total Value'!JC50-1)</f>
        <v/>
      </c>
      <c r="JE38" s="14" t="str">
        <f ca="1">IF(JE$1="","",'Total Value'!JE50/'Total Value'!JD50-1)</f>
        <v/>
      </c>
      <c r="JF38" s="14" t="str">
        <f ca="1">IF(JF$1="","",'Total Value'!JF50/'Total Value'!JE50-1)</f>
        <v/>
      </c>
      <c r="JG38" s="14" t="str">
        <f ca="1">IF(JG$1="","",'Total Value'!JG50/'Total Value'!JF50-1)</f>
        <v/>
      </c>
      <c r="JH38" s="14" t="str">
        <f ca="1">IF(JH$1="","",'Total Value'!JH50/'Total Value'!JG50-1)</f>
        <v/>
      </c>
      <c r="JI38" s="14" t="str">
        <f ca="1">IF(JI$1="","",'Total Value'!JI50/'Total Value'!JH50-1)</f>
        <v/>
      </c>
      <c r="JJ38" s="14" t="str">
        <f ca="1">IF(JJ$1="","",'Total Value'!JJ50/'Total Value'!JI50-1)</f>
        <v/>
      </c>
      <c r="JK38" s="14" t="str">
        <f ca="1">IF(JK$1="","",'Total Value'!JK50/'Total Value'!JJ50-1)</f>
        <v/>
      </c>
      <c r="JL38" s="14" t="str">
        <f ca="1">IF(JL$1="","",'Total Value'!JL50/'Total Value'!JK50-1)</f>
        <v/>
      </c>
      <c r="JM38" s="14" t="str">
        <f ca="1">IF(JM$1="","",'Total Value'!JM50/'Total Value'!JL50-1)</f>
        <v/>
      </c>
      <c r="JN38" s="14" t="str">
        <f ca="1">IF(JN$1="","",'Total Value'!JN50/'Total Value'!JM50-1)</f>
        <v/>
      </c>
      <c r="JO38" s="14" t="str">
        <f ca="1">IF(JO$1="","",'Total Value'!JO50/'Total Value'!JN50-1)</f>
        <v/>
      </c>
      <c r="JP38" s="14" t="str">
        <f ca="1">IF(JP$1="","",'Total Value'!JP50/'Total Value'!JO50-1)</f>
        <v/>
      </c>
      <c r="JQ38" s="14" t="str">
        <f ca="1">IF(JQ$1="","",'Total Value'!JQ50/'Total Value'!JP50-1)</f>
        <v/>
      </c>
      <c r="JR38" s="14" t="str">
        <f ca="1">IF(JR$1="","",'Total Value'!JR50/'Total Value'!JQ50-1)</f>
        <v/>
      </c>
      <c r="JS38" s="14" t="str">
        <f ca="1">IF(JS$1="","",'Total Value'!JS50/'Total Value'!JR50-1)</f>
        <v/>
      </c>
      <c r="JT38" s="14" t="str">
        <f ca="1">IF(JT$1="","",'Total Value'!JT50/'Total Value'!JS50-1)</f>
        <v/>
      </c>
      <c r="JU38" s="14" t="str">
        <f ca="1">IF(JU$1="","",'Total Value'!JU50/'Total Value'!JT50-1)</f>
        <v/>
      </c>
      <c r="JV38" s="14" t="str">
        <f ca="1">IF(JV$1="","",'Total Value'!JV50/'Total Value'!JU50-1)</f>
        <v/>
      </c>
      <c r="JW38" s="14" t="str">
        <f ca="1">IF(JW$1="","",'Total Value'!JW50/'Total Value'!JV50-1)</f>
        <v/>
      </c>
      <c r="JX38" s="14" t="str">
        <f ca="1">IF(JX$1="","",'Total Value'!JX50/'Total Value'!JW50-1)</f>
        <v/>
      </c>
      <c r="JY38" s="14" t="str">
        <f ca="1">IF(JY$1="","",'Total Value'!JY50/'Total Value'!JX50-1)</f>
        <v/>
      </c>
      <c r="JZ38" s="14" t="str">
        <f ca="1">IF(JZ$1="","",'Total Value'!JZ50/'Total Value'!JY50-1)</f>
        <v/>
      </c>
      <c r="KA38" s="14" t="str">
        <f ca="1">IF(KA$1="","",'Total Value'!KA50/'Total Value'!JZ50-1)</f>
        <v/>
      </c>
      <c r="KB38" s="14" t="str">
        <f ca="1">IF(KB$1="","",'Total Value'!KB50/'Total Value'!KA50-1)</f>
        <v/>
      </c>
    </row>
    <row r="39" spans="1:288" ht="15.75" customHeight="1">
      <c r="A39" s="22" t="s">
        <v>30</v>
      </c>
      <c r="B39" s="6" t="s">
        <v>33</v>
      </c>
      <c r="C39" s="26">
        <v>18</v>
      </c>
      <c r="D39" s="13">
        <v>0</v>
      </c>
      <c r="E39" s="14">
        <f ca="1">IF(E$1="","",'Total Value'!E51/'Total Value'!D51-1)</f>
        <v>2.5767336112163752E-2</v>
      </c>
      <c r="F39" s="14">
        <f ca="1">IF(F$1="","",'Total Value'!F51/'Total Value'!E51-1)</f>
        <v>-3.3247137052087039E-3</v>
      </c>
      <c r="G39" s="14">
        <f ca="1">IF(G$1="","",'Total Value'!G51/'Total Value'!F51-1)</f>
        <v>-1.7790956263899149E-2</v>
      </c>
      <c r="H39" s="14">
        <f ca="1">IF(H$1="","",'Total Value'!H51/'Total Value'!G51-1)</f>
        <v>2.9811320754716819E-2</v>
      </c>
      <c r="I39" s="14">
        <f ca="1">IF(I$1="","",'Total Value'!I51/'Total Value'!H51-1)</f>
        <v>-3.8475632099670198E-2</v>
      </c>
      <c r="J39" s="14">
        <f ca="1">IF(J$1="","",'Total Value'!J51/'Total Value'!I51-1)</f>
        <v>-1.2957317073170715E-2</v>
      </c>
      <c r="K39" s="14">
        <f ca="1">IF(K$1="","",'Total Value'!K51/'Total Value'!J51-1)</f>
        <v>-1.5444015444014969E-3</v>
      </c>
      <c r="L39" s="14">
        <f ca="1">IF(L$1="","",'Total Value'!L51/'Total Value'!K51-1)</f>
        <v>-2.436194895591659E-2</v>
      </c>
      <c r="M39" s="14">
        <f ca="1">IF(M$1="","",'Total Value'!M51/'Total Value'!L51-1)</f>
        <v>2.9726516052318575E-2</v>
      </c>
      <c r="N39" s="14">
        <f ca="1">IF(N$1="","",'Total Value'!N51/'Total Value'!M51-1)</f>
        <v>-3.5796766743648845E-2</v>
      </c>
      <c r="O39" s="14">
        <f ca="1">IF(O$1="","",'Total Value'!O51/'Total Value'!N51-1)</f>
        <v>-1.1576846307385313E-2</v>
      </c>
      <c r="P39" s="14">
        <f ca="1">IF(P$1="","",'Total Value'!P51/'Total Value'!O51-1)</f>
        <v>-1.9386106623586419E-2</v>
      </c>
      <c r="Q39" s="14">
        <f ca="1">IF(Q$1="","",'Total Value'!Q51/'Total Value'!P51-1)</f>
        <v>2.0181219110378956E-2</v>
      </c>
      <c r="R39" s="14">
        <f ca="1">IF(R$1="","",'Total Value'!R51/'Total Value'!Q51-1)</f>
        <v>2.5837706903512281E-2</v>
      </c>
      <c r="S39" s="14">
        <f ca="1">IF(S$1="","",'Total Value'!S51/'Total Value'!R51-1)</f>
        <v>1.9677292404565172E-2</v>
      </c>
      <c r="T39" s="14">
        <f ca="1">IF(T$1="","",'Total Value'!T51/'Total Value'!S51-1)</f>
        <v>9.2628328830566264E-3</v>
      </c>
      <c r="U39" s="14">
        <f ca="1">IF(U$1="","",'Total Value'!U51/'Total Value'!T51-1)</f>
        <v>-1.1472275334607485E-3</v>
      </c>
      <c r="V39" s="14">
        <f ca="1">IF(V$1="","",'Total Value'!V51/'Total Value'!U51-1)</f>
        <v>1.6845329249617125E-2</v>
      </c>
      <c r="W39" s="14">
        <f ca="1">IF(W$1="","",'Total Value'!W51/'Total Value'!V51-1)</f>
        <v>1.8825301204818956E-3</v>
      </c>
      <c r="X39" s="14">
        <f ca="1">IF(X$1="","",'Total Value'!X51/'Total Value'!W51-1)</f>
        <v>3.1942878617061243E-2</v>
      </c>
      <c r="Y39" s="14">
        <f ca="1">IF(Y$1="","",'Total Value'!Y51/'Total Value'!X51-1)</f>
        <v>1.9300801165331283E-2</v>
      </c>
      <c r="Z39" s="14">
        <f ca="1">IF(Z$1="","",'Total Value'!Z51/'Total Value'!Y51-1)</f>
        <v>-8.5744908896033811E-3</v>
      </c>
      <c r="AA39" s="14">
        <f ca="1">IF(AA$1="","",'Total Value'!AA51/'Total Value'!Z51-1)</f>
        <v>2.5945945945946125E-2</v>
      </c>
      <c r="AB39" s="14">
        <f ca="1">IF(AB$1="","",'Total Value'!AB51/'Total Value'!AA51-1)</f>
        <v>-1.0537407797681642E-3</v>
      </c>
      <c r="AC39" s="14">
        <f ca="1">IF(AC$1="","",'Total Value'!AC51/'Total Value'!AB51-1)</f>
        <v>2.1097046413502074E-2</v>
      </c>
      <c r="AD39" s="14">
        <f ca="1">IF(AD$1="","",'Total Value'!AD51/'Total Value'!AC51-1)</f>
        <v>2.789256198347112E-2</v>
      </c>
      <c r="AE39" s="14">
        <f ca="1">IF(AE$1="","",'Total Value'!AE51/'Total Value'!AD51-1)</f>
        <v>1.0050251256281673E-3</v>
      </c>
      <c r="AF39" s="14">
        <f ca="1">IF(AF$1="","",'Total Value'!AF51/'Total Value'!AE51-1)</f>
        <v>-3.447121820615795E-2</v>
      </c>
      <c r="AG39" s="14">
        <f ca="1">IF(AG$1="","",'Total Value'!AG51/'Total Value'!AF51-1)</f>
        <v>3.4662045060658286E-3</v>
      </c>
      <c r="AH39" s="14">
        <f ca="1">IF(AH$1="","",'Total Value'!AH51/'Total Value'!AG51-1)</f>
        <v>-3.1088082901554737E-3</v>
      </c>
      <c r="AI39" s="14">
        <f ca="1">IF(AI$1="","",'Total Value'!AI51/'Total Value'!AH51-1)</f>
        <v>0.39119889119889106</v>
      </c>
      <c r="AJ39" s="14">
        <f ca="1">IF(AJ$1="","",'Total Value'!AJ51/'Total Value'!AI51-1)</f>
        <v>0.16139476961394794</v>
      </c>
      <c r="AK39" s="14">
        <f ca="1">IF(AK$1="","",'Total Value'!AK51/'Total Value'!AJ51-1)</f>
        <v>2.5520051469011262E-2</v>
      </c>
      <c r="AL39" s="14">
        <f ca="1">IF(AL$1="","",'Total Value'!AL51/'Total Value'!AK51-1)</f>
        <v>2.7812630698452523E-2</v>
      </c>
      <c r="AM39" s="14">
        <f ca="1">IF(AM$1="","",'Total Value'!AM51/'Total Value'!AL51-1)</f>
        <v>6.6124109867751857E-2</v>
      </c>
      <c r="AN39" s="14">
        <f ca="1">IF(AN$1="","",'Total Value'!AN51/'Total Value'!AM51-1)</f>
        <v>-4.7137404580152586E-2</v>
      </c>
      <c r="AO39" s="14">
        <f ca="1">IF(AO$1="","",'Total Value'!AO51/'Total Value'!AN51-1)</f>
        <v>4.7466453034247902E-2</v>
      </c>
      <c r="AP39" s="14">
        <f ca="1">IF(AP$1="","",'Total Value'!AP51/'Total Value'!AO51-1)</f>
        <v>-1.0133843212237093E-2</v>
      </c>
      <c r="AQ39" s="14">
        <f ca="1">IF(AQ$1="","",'Total Value'!AQ51/'Total Value'!AP51-1)</f>
        <v>-1.8543558045199915E-2</v>
      </c>
      <c r="AR39" s="14">
        <f ca="1">IF(AR$1="","",'Total Value'!AR51/'Total Value'!AQ51-1)</f>
        <v>3.345798071245798E-2</v>
      </c>
      <c r="AS39" s="14">
        <f ca="1">IF(AS$1="","",'Total Value'!AS51/'Total Value'!AR51-1)</f>
        <v>-1.1045515139973316E-2</v>
      </c>
      <c r="AT39" s="14">
        <f ca="1">IF(AT$1="","",'Total Value'!AT51/'Total Value'!AS51-1)</f>
        <v>-2.118236087040315E-3</v>
      </c>
      <c r="AU39" s="14">
        <f ca="1">IF(AU$1="","",'Total Value'!AU51/'Total Value'!AT51-1)</f>
        <v>-3.7630258587417975E-2</v>
      </c>
      <c r="AV39" s="14">
        <f ca="1">IF(AV$1="","",'Total Value'!AV51/'Total Value'!AU51-1)</f>
        <v>5.4140765991578021E-2</v>
      </c>
      <c r="AW39" s="14">
        <f ca="1">IF(AW$1="","",'Total Value'!AW51/'Total Value'!AV51-1)</f>
        <v>4.5843637055354769E-2</v>
      </c>
      <c r="AX39" s="14">
        <f ca="1">IF(AX$1="","",'Total Value'!AX51/'Total Value'!AW51-1)</f>
        <v>-5.4565296471442704E-4</v>
      </c>
      <c r="AY39" s="14">
        <f ca="1">IF(AY$1="","",'Total Value'!AY51/'Total Value'!AX51-1)</f>
        <v>3.6396724294807115E-4</v>
      </c>
      <c r="AZ39" s="14">
        <f ca="1">IF(AZ$1="","",'Total Value'!AZ51/'Total Value'!AY51-1)</f>
        <v>4.9117700563943156E-3</v>
      </c>
      <c r="BA39" s="14">
        <f ca="1">IF(BA$1="","",'Total Value'!BA51/'Total Value'!AZ51-1)</f>
        <v>8.1462708182475918E-3</v>
      </c>
      <c r="BB39" s="14">
        <f ca="1">IF(BB$1="","",'Total Value'!BB51/'Total Value'!BA51-1)</f>
        <v>-3.4117435805350871E-3</v>
      </c>
      <c r="BC39" s="14">
        <f ca="1">IF(BC$1="","",'Total Value'!BC51/'Total Value'!BB51-1)</f>
        <v>-8.2342342342342278E-2</v>
      </c>
      <c r="BD39" s="14">
        <f ca="1">IF(BD$1="","",'Total Value'!BD51/'Total Value'!BC51-1)</f>
        <v>-2.0223836638523562E-2</v>
      </c>
      <c r="BE39" s="14">
        <f ca="1">IF(BE$1="","",'Total Value'!BE51/'Total Value'!BD51-1)</f>
        <v>4.7094188376753499E-2</v>
      </c>
      <c r="BF39" s="14">
        <f ca="1">IF(BF$1="","",'Total Value'!BF51/'Total Value'!BE51-1)</f>
        <v>8.4019138755980771E-2</v>
      </c>
      <c r="BG39" s="14">
        <f ca="1">IF(BG$1="","",'Total Value'!BG51/'Total Value'!BF51-1)</f>
        <v>-1.3064971751412524E-2</v>
      </c>
      <c r="BH39" s="14">
        <f ca="1">IF(BH$1="","",'Total Value'!BH51/'Total Value'!BG51-1)</f>
        <v>-1.0554561717352362E-2</v>
      </c>
      <c r="BI39" s="14">
        <f ca="1">IF(BI$1="","",'Total Value'!BI51/'Total Value'!BH51-1)</f>
        <v>5.5143735310070552E-2</v>
      </c>
      <c r="BJ39" s="14">
        <f ca="1">IF(BJ$1="","",'Total Value'!BJ51/'Total Value'!BI51-1)</f>
        <v>-2.8272789581905489E-2</v>
      </c>
      <c r="BK39" s="14">
        <f ca="1">IF(BK$1="","",'Total Value'!BK51/'Total Value'!BJ51-1)</f>
        <v>1.1109151825074992E-2</v>
      </c>
      <c r="BL39" s="14">
        <f ca="1">IF(BL$1="","",'Total Value'!BL51/'Total Value'!BK51-1)</f>
        <v>2.1276595744680771E-2</v>
      </c>
      <c r="BM39" s="14">
        <f ca="1">IF(BM$1="","",'Total Value'!BM51/'Total Value'!BL51-1)</f>
        <v>1.775956284153013E-2</v>
      </c>
      <c r="BN39" s="14">
        <f ca="1">IF(BN$1="","",'Total Value'!BN51/'Total Value'!BM51-1)</f>
        <v>9.89932885906053E-3</v>
      </c>
      <c r="BO39" s="14">
        <f ca="1">IF(BO$1="","",'Total Value'!BO51/'Total Value'!BN51-1)</f>
        <v>-2.4422661571689708E-2</v>
      </c>
      <c r="BP39" s="14">
        <f ca="1">IF(BP$1="","",'Total Value'!BP51/'Total Value'!BO51-1)</f>
        <v>-1.3964577656675692E-2</v>
      </c>
      <c r="BQ39" s="14">
        <f ca="1">IF(BQ$1="","",'Total Value'!BQ51/'Total Value'!BP51-1)</f>
        <v>2.7288428324697689E-2</v>
      </c>
      <c r="BR39" s="14">
        <f ca="1">IF(BR$1="","",'Total Value'!BR51/'Total Value'!BQ51-1)</f>
        <v>1.3449899125756559E-2</v>
      </c>
      <c r="BS39" s="14">
        <f ca="1">IF(BS$1="","",'Total Value'!BS51/'Total Value'!BR51-1)</f>
        <v>8.2946250829463164E-3</v>
      </c>
      <c r="BT39" s="14">
        <f ca="1">IF(BT$1="","",'Total Value'!BT51/'Total Value'!BS51-1)</f>
        <v>1.069430733794019E-2</v>
      </c>
      <c r="BU39" s="14">
        <f ca="1">IF(BU$1="","",'Total Value'!BU51/'Total Value'!BT51-1)</f>
        <v>3.7929350480221391E-2</v>
      </c>
      <c r="BV39" s="14">
        <f ca="1">IF(BV$1="","",'Total Value'!BV51/'Total Value'!BU51-1)</f>
        <v>-6.9479297365119153E-2</v>
      </c>
      <c r="BW39" s="14">
        <f ca="1">IF(BW$1="","",'Total Value'!BW51/'Total Value'!BV51-1)</f>
        <v>-1.6854879487611663E-2</v>
      </c>
      <c r="BX39" s="14">
        <f ca="1">IF(BX$1="","",'Total Value'!BX51/'Total Value'!BW51-1)</f>
        <v>1.3029315960912058E-2</v>
      </c>
      <c r="BY39" s="14">
        <f ca="1">IF(BY$1="","",'Total Value'!BY51/'Total Value'!BX51-1)</f>
        <v>-1.8615671010323354E-2</v>
      </c>
      <c r="BZ39" s="14">
        <f ca="1">IF(BZ$1="","",'Total Value'!BZ51/'Total Value'!BY51-1)</f>
        <v>3.1039834454216209E-3</v>
      </c>
      <c r="CA39" s="14">
        <f ca="1">IF(CA$1="","",'Total Value'!CA51/'Total Value'!BZ51-1)</f>
        <v>1.6331442324222012E-2</v>
      </c>
      <c r="CB39" s="14">
        <f ca="1">IF(CB$1="","",'Total Value'!CB51/'Total Value'!CA51-1)</f>
        <v>0.1233085250338295</v>
      </c>
      <c r="CC39" s="14">
        <f ca="1">IF(CC$1="","",'Total Value'!CC51/'Total Value'!CB51-1)</f>
        <v>-6.7760879385634354E-3</v>
      </c>
      <c r="CD39" s="14">
        <f ca="1">IF(CD$1="","",'Total Value'!CD51/'Total Value'!CC51-1)</f>
        <v>-4.6998180715585036E-3</v>
      </c>
      <c r="CE39" s="14">
        <f ca="1">IF(CE$1="","",'Total Value'!CE51/'Total Value'!CD51-1)</f>
        <v>1.5232292460015229E-2</v>
      </c>
      <c r="CF39" s="14" t="str">
        <f ca="1">IF(CF$1="","",'Total Value'!CF51/'Total Value'!CE51-1)</f>
        <v/>
      </c>
      <c r="CG39" s="14" t="str">
        <f ca="1">IF(CG$1="","",'Total Value'!CG51/'Total Value'!CF51-1)</f>
        <v/>
      </c>
      <c r="CH39" s="14" t="str">
        <f ca="1">IF(CH$1="","",'Total Value'!CH51/'Total Value'!CG51-1)</f>
        <v/>
      </c>
      <c r="CI39" s="14" t="str">
        <f ca="1">IF(CI$1="","",'Total Value'!CI51/'Total Value'!CH51-1)</f>
        <v/>
      </c>
      <c r="CJ39" s="14" t="str">
        <f ca="1">IF(CJ$1="","",'Total Value'!CJ51/'Total Value'!CI51-1)</f>
        <v/>
      </c>
      <c r="CK39" s="14" t="str">
        <f ca="1">IF(CK$1="","",'Total Value'!CK51/'Total Value'!CJ51-1)</f>
        <v/>
      </c>
      <c r="CL39" s="14" t="str">
        <f ca="1">IF(CL$1="","",'Total Value'!CL51/'Total Value'!CK51-1)</f>
        <v/>
      </c>
      <c r="CM39" s="14" t="str">
        <f ca="1">IF(CM$1="","",'Total Value'!CM51/'Total Value'!CL51-1)</f>
        <v/>
      </c>
      <c r="CN39" s="14" t="str">
        <f ca="1">IF(CN$1="","",'Total Value'!CN51/'Total Value'!CM51-1)</f>
        <v/>
      </c>
      <c r="CO39" s="14" t="str">
        <f ca="1">IF(CO$1="","",'Total Value'!CO51/'Total Value'!CN51-1)</f>
        <v/>
      </c>
      <c r="CP39" s="14" t="str">
        <f ca="1">IF(CP$1="","",'Total Value'!CP51/'Total Value'!CO51-1)</f>
        <v/>
      </c>
      <c r="CQ39" s="14" t="str">
        <f ca="1">IF(CQ$1="","",'Total Value'!CQ51/'Total Value'!CP51-1)</f>
        <v/>
      </c>
      <c r="CR39" s="14" t="str">
        <f ca="1">IF(CR$1="","",'Total Value'!CR51/'Total Value'!CQ51-1)</f>
        <v/>
      </c>
      <c r="CS39" s="14" t="str">
        <f ca="1">IF(CS$1="","",'Total Value'!CS51/'Total Value'!CR51-1)</f>
        <v/>
      </c>
      <c r="CT39" s="14" t="str">
        <f ca="1">IF(CT$1="","",'Total Value'!CT51/'Total Value'!CS51-1)</f>
        <v/>
      </c>
      <c r="CU39" s="14" t="str">
        <f ca="1">IF(CU$1="","",'Total Value'!CU51/'Total Value'!CT51-1)</f>
        <v/>
      </c>
      <c r="CV39" s="14" t="str">
        <f ca="1">IF(CV$1="","",'Total Value'!CV51/'Total Value'!CU51-1)</f>
        <v/>
      </c>
      <c r="CW39" s="14" t="str">
        <f ca="1">IF(CW$1="","",'Total Value'!CW51/'Total Value'!CV51-1)</f>
        <v/>
      </c>
      <c r="CX39" s="14" t="str">
        <f ca="1">IF(CX$1="","",'Total Value'!CX51/'Total Value'!CW51-1)</f>
        <v/>
      </c>
      <c r="CY39" s="14" t="str">
        <f ca="1">IF(CY$1="","",'Total Value'!CY51/'Total Value'!CX51-1)</f>
        <v/>
      </c>
      <c r="CZ39" s="14" t="str">
        <f ca="1">IF(CZ$1="","",'Total Value'!CZ51/'Total Value'!CY51-1)</f>
        <v/>
      </c>
      <c r="DA39" s="14" t="str">
        <f ca="1">IF(DA$1="","",'Total Value'!DA51/'Total Value'!CZ51-1)</f>
        <v/>
      </c>
      <c r="DB39" s="14" t="str">
        <f ca="1">IF(DB$1="","",'Total Value'!DB51/'Total Value'!DA51-1)</f>
        <v/>
      </c>
      <c r="DC39" s="14" t="str">
        <f ca="1">IF(DC$1="","",'Total Value'!DC51/'Total Value'!DB51-1)</f>
        <v/>
      </c>
      <c r="DD39" s="14" t="str">
        <f ca="1">IF(DD$1="","",'Total Value'!DD51/'Total Value'!DC51-1)</f>
        <v/>
      </c>
      <c r="DE39" s="14" t="str">
        <f ca="1">IF(DE$1="","",'Total Value'!DE51/'Total Value'!DD51-1)</f>
        <v/>
      </c>
      <c r="DF39" s="14" t="str">
        <f ca="1">IF(DF$1="","",'Total Value'!DF51/'Total Value'!DE51-1)</f>
        <v/>
      </c>
      <c r="DG39" s="14" t="str">
        <f ca="1">IF(DG$1="","",'Total Value'!DG51/'Total Value'!DF51-1)</f>
        <v/>
      </c>
      <c r="DH39" s="14" t="str">
        <f ca="1">IF(DH$1="","",'Total Value'!DH51/'Total Value'!DG51-1)</f>
        <v/>
      </c>
      <c r="DI39" s="14" t="str">
        <f ca="1">IF(DI$1="","",'Total Value'!DI51/'Total Value'!DH51-1)</f>
        <v/>
      </c>
      <c r="DJ39" s="14" t="str">
        <f ca="1">IF(DJ$1="","",'Total Value'!DJ51/'Total Value'!DI51-1)</f>
        <v/>
      </c>
      <c r="DK39" s="14" t="str">
        <f ca="1">IF(DK$1="","",'Total Value'!DK51/'Total Value'!DJ51-1)</f>
        <v/>
      </c>
      <c r="DL39" s="14" t="str">
        <f ca="1">IF(DL$1="","",'Total Value'!DL51/'Total Value'!DK51-1)</f>
        <v/>
      </c>
      <c r="DM39" s="14" t="str">
        <f ca="1">IF(DM$1="","",'Total Value'!DM51/'Total Value'!DL51-1)</f>
        <v/>
      </c>
      <c r="DN39" s="14" t="str">
        <f ca="1">IF(DN$1="","",'Total Value'!DN51/'Total Value'!DM51-1)</f>
        <v/>
      </c>
      <c r="DO39" s="14" t="str">
        <f ca="1">IF(DO$1="","",'Total Value'!DO51/'Total Value'!DN51-1)</f>
        <v/>
      </c>
      <c r="DP39" s="14" t="str">
        <f ca="1">IF(DP$1="","",'Total Value'!DP51/'Total Value'!DO51-1)</f>
        <v/>
      </c>
      <c r="DQ39" s="14" t="str">
        <f ca="1">IF(DQ$1="","",'Total Value'!DQ51/'Total Value'!DP51-1)</f>
        <v/>
      </c>
      <c r="DR39" s="14" t="str">
        <f ca="1">IF(DR$1="","",'Total Value'!DR51/'Total Value'!DQ51-1)</f>
        <v/>
      </c>
      <c r="DS39" s="14" t="str">
        <f ca="1">IF(DS$1="","",'Total Value'!DS51/'Total Value'!DR51-1)</f>
        <v/>
      </c>
      <c r="DT39" s="14" t="str">
        <f ca="1">IF(DT$1="","",'Total Value'!DT51/'Total Value'!DS51-1)</f>
        <v/>
      </c>
      <c r="DU39" s="14" t="str">
        <f ca="1">IF(DU$1="","",'Total Value'!DU51/'Total Value'!DT51-1)</f>
        <v/>
      </c>
      <c r="DV39" s="14" t="str">
        <f ca="1">IF(DV$1="","",'Total Value'!DV51/'Total Value'!DU51-1)</f>
        <v/>
      </c>
      <c r="DW39" s="14" t="str">
        <f ca="1">IF(DW$1="","",'Total Value'!DW51/'Total Value'!DV51-1)</f>
        <v/>
      </c>
      <c r="DX39" s="14" t="str">
        <f ca="1">IF(DX$1="","",'Total Value'!DX51/'Total Value'!DW51-1)</f>
        <v/>
      </c>
      <c r="DY39" s="14" t="str">
        <f ca="1">IF(DY$1="","",'Total Value'!DY51/'Total Value'!DX51-1)</f>
        <v/>
      </c>
      <c r="DZ39" s="14" t="str">
        <f ca="1">IF(DZ$1="","",'Total Value'!DZ51/'Total Value'!DY51-1)</f>
        <v/>
      </c>
      <c r="EA39" s="14" t="str">
        <f ca="1">IF(EA$1="","",'Total Value'!EA51/'Total Value'!DZ51-1)</f>
        <v/>
      </c>
      <c r="EB39" s="14" t="str">
        <f ca="1">IF(EB$1="","",'Total Value'!EB51/'Total Value'!EA51-1)</f>
        <v/>
      </c>
      <c r="EC39" s="14" t="str">
        <f ca="1">IF(EC$1="","",'Total Value'!EC51/'Total Value'!EB51-1)</f>
        <v/>
      </c>
      <c r="ED39" s="14" t="str">
        <f ca="1">IF(ED$1="","",'Total Value'!ED51/'Total Value'!EC51-1)</f>
        <v/>
      </c>
      <c r="EE39" s="14" t="str">
        <f ca="1">IF(EE$1="","",'Total Value'!EE51/'Total Value'!ED51-1)</f>
        <v/>
      </c>
      <c r="EF39" s="14" t="str">
        <f ca="1">IF(EF$1="","",'Total Value'!EF51/'Total Value'!EE51-1)</f>
        <v/>
      </c>
      <c r="EG39" s="14" t="str">
        <f ca="1">IF(EG$1="","",'Total Value'!EG51/'Total Value'!EF51-1)</f>
        <v/>
      </c>
      <c r="EH39" s="14" t="str">
        <f ca="1">IF(EH$1="","",'Total Value'!EH51/'Total Value'!EG51-1)</f>
        <v/>
      </c>
      <c r="EI39" s="14" t="str">
        <f ca="1">IF(EI$1="","",'Total Value'!EI51/'Total Value'!EH51-1)</f>
        <v/>
      </c>
      <c r="EJ39" s="14" t="str">
        <f ca="1">IF(EJ$1="","",'Total Value'!EJ51/'Total Value'!EI51-1)</f>
        <v/>
      </c>
      <c r="EK39" s="14" t="str">
        <f ca="1">IF(EK$1="","",'Total Value'!EK51/'Total Value'!EJ51-1)</f>
        <v/>
      </c>
      <c r="EL39" s="14" t="str">
        <f ca="1">IF(EL$1="","",'Total Value'!EL51/'Total Value'!EK51-1)</f>
        <v/>
      </c>
      <c r="EM39" s="14" t="str">
        <f ca="1">IF(EM$1="","",'Total Value'!EM51/'Total Value'!EL51-1)</f>
        <v/>
      </c>
      <c r="EN39" s="14" t="str">
        <f ca="1">IF(EN$1="","",'Total Value'!EN51/'Total Value'!EM51-1)</f>
        <v/>
      </c>
      <c r="EO39" s="14" t="str">
        <f ca="1">IF(EO$1="","",'Total Value'!EO51/'Total Value'!EN51-1)</f>
        <v/>
      </c>
      <c r="EP39" s="14" t="str">
        <f ca="1">IF(EP$1="","",'Total Value'!EP51/'Total Value'!EO51-1)</f>
        <v/>
      </c>
      <c r="EQ39" s="14" t="str">
        <f ca="1">IF(EQ$1="","",'Total Value'!EQ51/'Total Value'!EP51-1)</f>
        <v/>
      </c>
      <c r="ER39" s="14" t="str">
        <f ca="1">IF(ER$1="","",'Total Value'!ER51/'Total Value'!EQ51-1)</f>
        <v/>
      </c>
      <c r="ES39" s="14" t="str">
        <f ca="1">IF(ES$1="","",'Total Value'!ES51/'Total Value'!ER51-1)</f>
        <v/>
      </c>
      <c r="ET39" s="14" t="str">
        <f ca="1">IF(ET$1="","",'Total Value'!ET51/'Total Value'!ES51-1)</f>
        <v/>
      </c>
      <c r="EU39" s="14" t="str">
        <f ca="1">IF(EU$1="","",'Total Value'!EU51/'Total Value'!ET51-1)</f>
        <v/>
      </c>
      <c r="EV39" s="14" t="str">
        <f ca="1">IF(EV$1="","",'Total Value'!EV51/'Total Value'!EU51-1)</f>
        <v/>
      </c>
      <c r="EW39" s="14" t="str">
        <f ca="1">IF(EW$1="","",'Total Value'!EW51/'Total Value'!EV51-1)</f>
        <v/>
      </c>
      <c r="EX39" s="14" t="str">
        <f ca="1">IF(EX$1="","",'Total Value'!EX51/'Total Value'!EW51-1)</f>
        <v/>
      </c>
      <c r="EY39" s="14" t="str">
        <f ca="1">IF(EY$1="","",'Total Value'!EY51/'Total Value'!EX51-1)</f>
        <v/>
      </c>
      <c r="EZ39" s="14" t="str">
        <f ca="1">IF(EZ$1="","",'Total Value'!EZ51/'Total Value'!EY51-1)</f>
        <v/>
      </c>
      <c r="FA39" s="14" t="str">
        <f ca="1">IF(FA$1="","",'Total Value'!FA51/'Total Value'!EZ51-1)</f>
        <v/>
      </c>
      <c r="FB39" s="14" t="str">
        <f ca="1">IF(FB$1="","",'Total Value'!FB51/'Total Value'!FA51-1)</f>
        <v/>
      </c>
      <c r="FC39" s="14" t="str">
        <f ca="1">IF(FC$1="","",'Total Value'!FC51/'Total Value'!FB51-1)</f>
        <v/>
      </c>
      <c r="FD39" s="14" t="str">
        <f ca="1">IF(FD$1="","",'Total Value'!FD51/'Total Value'!FC51-1)</f>
        <v/>
      </c>
      <c r="FE39" s="14" t="str">
        <f ca="1">IF(FE$1="","",'Total Value'!FE51/'Total Value'!FD51-1)</f>
        <v/>
      </c>
      <c r="FF39" s="14" t="str">
        <f ca="1">IF(FF$1="","",'Total Value'!FF51/'Total Value'!FE51-1)</f>
        <v/>
      </c>
      <c r="FG39" s="14" t="str">
        <f ca="1">IF(FG$1="","",'Total Value'!FG51/'Total Value'!FF51-1)</f>
        <v/>
      </c>
      <c r="FH39" s="14" t="str">
        <f ca="1">IF(FH$1="","",'Total Value'!FH51/'Total Value'!FG51-1)</f>
        <v/>
      </c>
      <c r="FI39" s="14" t="str">
        <f ca="1">IF(FI$1="","",'Total Value'!FI51/'Total Value'!FH51-1)</f>
        <v/>
      </c>
      <c r="FJ39" s="14" t="str">
        <f ca="1">IF(FJ$1="","",'Total Value'!FJ51/'Total Value'!FI51-1)</f>
        <v/>
      </c>
      <c r="FK39" s="14" t="str">
        <f ca="1">IF(FK$1="","",'Total Value'!FK51/'Total Value'!FJ51-1)</f>
        <v/>
      </c>
      <c r="FL39" s="14" t="str">
        <f ca="1">IF(FL$1="","",'Total Value'!FL51/'Total Value'!FK51-1)</f>
        <v/>
      </c>
      <c r="FM39" s="14" t="str">
        <f ca="1">IF(FM$1="","",'Total Value'!FM51/'Total Value'!FL51-1)</f>
        <v/>
      </c>
      <c r="FN39" s="14" t="str">
        <f ca="1">IF(FN$1="","",'Total Value'!FN51/'Total Value'!FM51-1)</f>
        <v/>
      </c>
      <c r="FO39" s="14" t="str">
        <f ca="1">IF(FO$1="","",'Total Value'!FO51/'Total Value'!FN51-1)</f>
        <v/>
      </c>
      <c r="FP39" s="14" t="str">
        <f ca="1">IF(FP$1="","",'Total Value'!FP51/'Total Value'!FO51-1)</f>
        <v/>
      </c>
      <c r="FQ39" s="14" t="str">
        <f ca="1">IF(FQ$1="","",'Total Value'!FQ51/'Total Value'!FP51-1)</f>
        <v/>
      </c>
      <c r="FR39" s="14" t="str">
        <f ca="1">IF(FR$1="","",'Total Value'!FR51/'Total Value'!FQ51-1)</f>
        <v/>
      </c>
      <c r="FS39" s="14" t="str">
        <f ca="1">IF(FS$1="","",'Total Value'!FS51/'Total Value'!FR51-1)</f>
        <v/>
      </c>
      <c r="FT39" s="14" t="str">
        <f ca="1">IF(FT$1="","",'Total Value'!FT51/'Total Value'!FS51-1)</f>
        <v/>
      </c>
      <c r="FU39" s="14" t="str">
        <f ca="1">IF(FU$1="","",'Total Value'!FU51/'Total Value'!FT51-1)</f>
        <v/>
      </c>
      <c r="FV39" s="14" t="str">
        <f ca="1">IF(FV$1="","",'Total Value'!FV51/'Total Value'!FU51-1)</f>
        <v/>
      </c>
      <c r="FW39" s="14" t="str">
        <f ca="1">IF(FW$1="","",'Total Value'!FW51/'Total Value'!FV51-1)</f>
        <v/>
      </c>
      <c r="FX39" s="14" t="str">
        <f ca="1">IF(FX$1="","",'Total Value'!FX51/'Total Value'!FW51-1)</f>
        <v/>
      </c>
      <c r="FY39" s="14" t="str">
        <f ca="1">IF(FY$1="","",'Total Value'!FY51/'Total Value'!FX51-1)</f>
        <v/>
      </c>
      <c r="FZ39" s="14" t="str">
        <f ca="1">IF(FZ$1="","",'Total Value'!FZ51/'Total Value'!FY51-1)</f>
        <v/>
      </c>
      <c r="GA39" s="14" t="str">
        <f ca="1">IF(GA$1="","",'Total Value'!GA51/'Total Value'!FZ51-1)</f>
        <v/>
      </c>
      <c r="GB39" s="14" t="str">
        <f ca="1">IF(GB$1="","",'Total Value'!GB51/'Total Value'!GA51-1)</f>
        <v/>
      </c>
      <c r="GC39" s="14" t="str">
        <f ca="1">IF(GC$1="","",'Total Value'!GC51/'Total Value'!GB51-1)</f>
        <v/>
      </c>
      <c r="GD39" s="14" t="str">
        <f ca="1">IF(GD$1="","",'Total Value'!GD51/'Total Value'!GC51-1)</f>
        <v/>
      </c>
      <c r="GE39" s="14" t="str">
        <f ca="1">IF(GE$1="","",'Total Value'!GE51/'Total Value'!GD51-1)</f>
        <v/>
      </c>
      <c r="GF39" s="14" t="str">
        <f ca="1">IF(GF$1="","",'Total Value'!GF51/'Total Value'!GE51-1)</f>
        <v/>
      </c>
      <c r="GG39" s="14" t="str">
        <f ca="1">IF(GG$1="","",'Total Value'!GG51/'Total Value'!GF51-1)</f>
        <v/>
      </c>
      <c r="GH39" s="14" t="str">
        <f ca="1">IF(GH$1="","",'Total Value'!GH51/'Total Value'!GG51-1)</f>
        <v/>
      </c>
      <c r="GI39" s="14" t="str">
        <f ca="1">IF(GI$1="","",'Total Value'!GI51/'Total Value'!GH51-1)</f>
        <v/>
      </c>
      <c r="GJ39" s="14" t="str">
        <f ca="1">IF(GJ$1="","",'Total Value'!GJ51/'Total Value'!GI51-1)</f>
        <v/>
      </c>
      <c r="GK39" s="14" t="str">
        <f ca="1">IF(GK$1="","",'Total Value'!GK51/'Total Value'!GJ51-1)</f>
        <v/>
      </c>
      <c r="GL39" s="14" t="str">
        <f ca="1">IF(GL$1="","",'Total Value'!GL51/'Total Value'!GK51-1)</f>
        <v/>
      </c>
      <c r="GM39" s="14" t="str">
        <f ca="1">IF(GM$1="","",'Total Value'!GM51/'Total Value'!GL51-1)</f>
        <v/>
      </c>
      <c r="GN39" s="14" t="str">
        <f ca="1">IF(GN$1="","",'Total Value'!GN51/'Total Value'!GM51-1)</f>
        <v/>
      </c>
      <c r="GO39" s="14" t="str">
        <f ca="1">IF(GO$1="","",'Total Value'!GO51/'Total Value'!GN51-1)</f>
        <v/>
      </c>
      <c r="GP39" s="14" t="str">
        <f ca="1">IF(GP$1="","",'Total Value'!GP51/'Total Value'!GO51-1)</f>
        <v/>
      </c>
      <c r="GQ39" s="14" t="str">
        <f ca="1">IF(GQ$1="","",'Total Value'!GQ51/'Total Value'!GP51-1)</f>
        <v/>
      </c>
      <c r="GR39" s="14" t="str">
        <f ca="1">IF(GR$1="","",'Total Value'!GR51/'Total Value'!GQ51-1)</f>
        <v/>
      </c>
      <c r="GS39" s="14" t="str">
        <f ca="1">IF(GS$1="","",'Total Value'!GS51/'Total Value'!GR51-1)</f>
        <v/>
      </c>
      <c r="GT39" s="14" t="str">
        <f ca="1">IF(GT$1="","",'Total Value'!GT51/'Total Value'!GS51-1)</f>
        <v/>
      </c>
      <c r="GU39" s="14" t="str">
        <f ca="1">IF(GU$1="","",'Total Value'!GU51/'Total Value'!GT51-1)</f>
        <v/>
      </c>
      <c r="GV39" s="14" t="str">
        <f ca="1">IF(GV$1="","",'Total Value'!GV51/'Total Value'!GU51-1)</f>
        <v/>
      </c>
      <c r="GW39" s="14" t="str">
        <f ca="1">IF(GW$1="","",'Total Value'!GW51/'Total Value'!GV51-1)</f>
        <v/>
      </c>
      <c r="GX39" s="14" t="str">
        <f ca="1">IF(GX$1="","",'Total Value'!GX51/'Total Value'!GW51-1)</f>
        <v/>
      </c>
      <c r="GY39" s="14" t="str">
        <f ca="1">IF(GY$1="","",'Total Value'!GY51/'Total Value'!GX51-1)</f>
        <v/>
      </c>
      <c r="GZ39" s="14" t="str">
        <f ca="1">IF(GZ$1="","",'Total Value'!GZ51/'Total Value'!GY51-1)</f>
        <v/>
      </c>
      <c r="HA39" s="14" t="str">
        <f ca="1">IF(HA$1="","",'Total Value'!HA51/'Total Value'!GZ51-1)</f>
        <v/>
      </c>
      <c r="HB39" s="14" t="str">
        <f ca="1">IF(HB$1="","",'Total Value'!HB51/'Total Value'!HA51-1)</f>
        <v/>
      </c>
      <c r="HC39" s="14" t="str">
        <f ca="1">IF(HC$1="","",'Total Value'!HC51/'Total Value'!HB51-1)</f>
        <v/>
      </c>
      <c r="HD39" s="14" t="str">
        <f ca="1">IF(HD$1="","",'Total Value'!HD51/'Total Value'!HC51-1)</f>
        <v/>
      </c>
      <c r="HE39" s="14" t="str">
        <f ca="1">IF(HE$1="","",'Total Value'!HE51/'Total Value'!HD51-1)</f>
        <v/>
      </c>
      <c r="HF39" s="14" t="str">
        <f ca="1">IF(HF$1="","",'Total Value'!HF51/'Total Value'!HE51-1)</f>
        <v/>
      </c>
      <c r="HG39" s="14" t="str">
        <f ca="1">IF(HG$1="","",'Total Value'!HG51/'Total Value'!HF51-1)</f>
        <v/>
      </c>
      <c r="HH39" s="14" t="str">
        <f ca="1">IF(HH$1="","",'Total Value'!HH51/'Total Value'!HG51-1)</f>
        <v/>
      </c>
      <c r="HI39" s="14" t="str">
        <f ca="1">IF(HI$1="","",'Total Value'!HI51/'Total Value'!HH51-1)</f>
        <v/>
      </c>
      <c r="HJ39" s="14" t="str">
        <f ca="1">IF(HJ$1="","",'Total Value'!HJ51/'Total Value'!HI51-1)</f>
        <v/>
      </c>
      <c r="HK39" s="14" t="str">
        <f ca="1">IF(HK$1="","",'Total Value'!HK51/'Total Value'!HJ51-1)</f>
        <v/>
      </c>
      <c r="HL39" s="14" t="str">
        <f ca="1">IF(HL$1="","",'Total Value'!HL51/'Total Value'!HK51-1)</f>
        <v/>
      </c>
      <c r="HM39" s="14" t="str">
        <f ca="1">IF(HM$1="","",'Total Value'!HM51/'Total Value'!HL51-1)</f>
        <v/>
      </c>
      <c r="HN39" s="14" t="str">
        <f ca="1">IF(HN$1="","",'Total Value'!HN51/'Total Value'!HM51-1)</f>
        <v/>
      </c>
      <c r="HO39" s="14" t="str">
        <f ca="1">IF(HO$1="","",'Total Value'!HO51/'Total Value'!HN51-1)</f>
        <v/>
      </c>
      <c r="HP39" s="14" t="str">
        <f ca="1">IF(HP$1="","",'Total Value'!HP51/'Total Value'!HO51-1)</f>
        <v/>
      </c>
      <c r="HQ39" s="14" t="str">
        <f ca="1">IF(HQ$1="","",'Total Value'!HQ51/'Total Value'!HP51-1)</f>
        <v/>
      </c>
      <c r="HR39" s="14" t="str">
        <f ca="1">IF(HR$1="","",'Total Value'!HR51/'Total Value'!HQ51-1)</f>
        <v/>
      </c>
      <c r="HS39" s="14" t="str">
        <f ca="1">IF(HS$1="","",'Total Value'!HS51/'Total Value'!HR51-1)</f>
        <v/>
      </c>
      <c r="HT39" s="14" t="str">
        <f ca="1">IF(HT$1="","",'Total Value'!HT51/'Total Value'!HS51-1)</f>
        <v/>
      </c>
      <c r="HU39" s="14" t="str">
        <f ca="1">IF(HU$1="","",'Total Value'!HU51/'Total Value'!HT51-1)</f>
        <v/>
      </c>
      <c r="HV39" s="14" t="str">
        <f ca="1">IF(HV$1="","",'Total Value'!HV51/'Total Value'!HU51-1)</f>
        <v/>
      </c>
      <c r="HW39" s="14" t="str">
        <f ca="1">IF(HW$1="","",'Total Value'!HW51/'Total Value'!HV51-1)</f>
        <v/>
      </c>
      <c r="HX39" s="14" t="str">
        <f ca="1">IF(HX$1="","",'Total Value'!HX51/'Total Value'!HW51-1)</f>
        <v/>
      </c>
      <c r="HY39" s="14" t="str">
        <f ca="1">IF(HY$1="","",'Total Value'!HY51/'Total Value'!HX51-1)</f>
        <v/>
      </c>
      <c r="HZ39" s="14" t="str">
        <f ca="1">IF(HZ$1="","",'Total Value'!HZ51/'Total Value'!HY51-1)</f>
        <v/>
      </c>
      <c r="IA39" s="14" t="str">
        <f ca="1">IF(IA$1="","",'Total Value'!IA51/'Total Value'!HZ51-1)</f>
        <v/>
      </c>
      <c r="IB39" s="14" t="str">
        <f ca="1">IF(IB$1="","",'Total Value'!IB51/'Total Value'!IA51-1)</f>
        <v/>
      </c>
      <c r="IC39" s="14" t="str">
        <f ca="1">IF(IC$1="","",'Total Value'!IC51/'Total Value'!IB51-1)</f>
        <v/>
      </c>
      <c r="ID39" s="14" t="str">
        <f ca="1">IF(ID$1="","",'Total Value'!ID51/'Total Value'!IC51-1)</f>
        <v/>
      </c>
      <c r="IE39" s="14" t="str">
        <f ca="1">IF(IE$1="","",'Total Value'!IE51/'Total Value'!ID51-1)</f>
        <v/>
      </c>
      <c r="IF39" s="14" t="str">
        <f ca="1">IF(IF$1="","",'Total Value'!IF51/'Total Value'!IE51-1)</f>
        <v/>
      </c>
      <c r="IG39" s="14" t="str">
        <f ca="1">IF(IG$1="","",'Total Value'!IG51/'Total Value'!IF51-1)</f>
        <v/>
      </c>
      <c r="IH39" s="14" t="str">
        <f ca="1">IF(IH$1="","",'Total Value'!IH51/'Total Value'!IG51-1)</f>
        <v/>
      </c>
      <c r="II39" s="14" t="str">
        <f ca="1">IF(II$1="","",'Total Value'!II51/'Total Value'!IH51-1)</f>
        <v/>
      </c>
      <c r="IJ39" s="14" t="str">
        <f ca="1">IF(IJ$1="","",'Total Value'!IJ51/'Total Value'!II51-1)</f>
        <v/>
      </c>
      <c r="IK39" s="14" t="str">
        <f ca="1">IF(IK$1="","",'Total Value'!IK51/'Total Value'!IJ51-1)</f>
        <v/>
      </c>
      <c r="IL39" s="14" t="str">
        <f ca="1">IF(IL$1="","",'Total Value'!IL51/'Total Value'!IK51-1)</f>
        <v/>
      </c>
      <c r="IM39" s="14" t="str">
        <f ca="1">IF(IM$1="","",'Total Value'!IM51/'Total Value'!IL51-1)</f>
        <v/>
      </c>
      <c r="IN39" s="14" t="str">
        <f ca="1">IF(IN$1="","",'Total Value'!IN51/'Total Value'!IM51-1)</f>
        <v/>
      </c>
      <c r="IO39" s="14" t="str">
        <f ca="1">IF(IO$1="","",'Total Value'!IO51/'Total Value'!IN51-1)</f>
        <v/>
      </c>
      <c r="IP39" s="14" t="str">
        <f ca="1">IF(IP$1="","",'Total Value'!IP51/'Total Value'!IO51-1)</f>
        <v/>
      </c>
      <c r="IQ39" s="14" t="str">
        <f ca="1">IF(IQ$1="","",'Total Value'!IQ51/'Total Value'!IP51-1)</f>
        <v/>
      </c>
      <c r="IR39" s="14" t="str">
        <f ca="1">IF(IR$1="","",'Total Value'!IR51/'Total Value'!IQ51-1)</f>
        <v/>
      </c>
      <c r="IS39" s="14" t="str">
        <f ca="1">IF(IS$1="","",'Total Value'!IS51/'Total Value'!IR51-1)</f>
        <v/>
      </c>
      <c r="IT39" s="14" t="str">
        <f ca="1">IF(IT$1="","",'Total Value'!IT51/'Total Value'!IS51-1)</f>
        <v/>
      </c>
      <c r="IU39" s="14" t="str">
        <f ca="1">IF(IU$1="","",'Total Value'!IU51/'Total Value'!IT51-1)</f>
        <v/>
      </c>
      <c r="IV39" s="14" t="str">
        <f ca="1">IF(IV$1="","",'Total Value'!IV51/'Total Value'!IU51-1)</f>
        <v/>
      </c>
      <c r="IW39" s="14" t="str">
        <f ca="1">IF(IW$1="","",'Total Value'!IW51/'Total Value'!IV51-1)</f>
        <v/>
      </c>
      <c r="IX39" s="14" t="str">
        <f ca="1">IF(IX$1="","",'Total Value'!IX51/'Total Value'!IW51-1)</f>
        <v/>
      </c>
      <c r="IY39" s="14" t="str">
        <f ca="1">IF(IY$1="","",'Total Value'!IY51/'Total Value'!IX51-1)</f>
        <v/>
      </c>
      <c r="IZ39" s="14" t="str">
        <f ca="1">IF(IZ$1="","",'Total Value'!IZ51/'Total Value'!IY51-1)</f>
        <v/>
      </c>
      <c r="JA39" s="14" t="str">
        <f ca="1">IF(JA$1="","",'Total Value'!JA51/'Total Value'!IZ51-1)</f>
        <v/>
      </c>
      <c r="JB39" s="14" t="str">
        <f ca="1">IF(JB$1="","",'Total Value'!JB51/'Total Value'!JA51-1)</f>
        <v/>
      </c>
      <c r="JC39" s="14" t="str">
        <f ca="1">IF(JC$1="","",'Total Value'!JC51/'Total Value'!JB51-1)</f>
        <v/>
      </c>
      <c r="JD39" s="14" t="str">
        <f ca="1">IF(JD$1="","",'Total Value'!JD51/'Total Value'!JC51-1)</f>
        <v/>
      </c>
      <c r="JE39" s="14" t="str">
        <f ca="1">IF(JE$1="","",'Total Value'!JE51/'Total Value'!JD51-1)</f>
        <v/>
      </c>
      <c r="JF39" s="14" t="str">
        <f ca="1">IF(JF$1="","",'Total Value'!JF51/'Total Value'!JE51-1)</f>
        <v/>
      </c>
      <c r="JG39" s="14" t="str">
        <f ca="1">IF(JG$1="","",'Total Value'!JG51/'Total Value'!JF51-1)</f>
        <v/>
      </c>
      <c r="JH39" s="14" t="str">
        <f ca="1">IF(JH$1="","",'Total Value'!JH51/'Total Value'!JG51-1)</f>
        <v/>
      </c>
      <c r="JI39" s="14" t="str">
        <f ca="1">IF(JI$1="","",'Total Value'!JI51/'Total Value'!JH51-1)</f>
        <v/>
      </c>
      <c r="JJ39" s="14" t="str">
        <f ca="1">IF(JJ$1="","",'Total Value'!JJ51/'Total Value'!JI51-1)</f>
        <v/>
      </c>
      <c r="JK39" s="14" t="str">
        <f ca="1">IF(JK$1="","",'Total Value'!JK51/'Total Value'!JJ51-1)</f>
        <v/>
      </c>
      <c r="JL39" s="14" t="str">
        <f ca="1">IF(JL$1="","",'Total Value'!JL51/'Total Value'!JK51-1)</f>
        <v/>
      </c>
      <c r="JM39" s="14" t="str">
        <f ca="1">IF(JM$1="","",'Total Value'!JM51/'Total Value'!JL51-1)</f>
        <v/>
      </c>
      <c r="JN39" s="14" t="str">
        <f ca="1">IF(JN$1="","",'Total Value'!JN51/'Total Value'!JM51-1)</f>
        <v/>
      </c>
      <c r="JO39" s="14" t="str">
        <f ca="1">IF(JO$1="","",'Total Value'!JO51/'Total Value'!JN51-1)</f>
        <v/>
      </c>
      <c r="JP39" s="14" t="str">
        <f ca="1">IF(JP$1="","",'Total Value'!JP51/'Total Value'!JO51-1)</f>
        <v/>
      </c>
      <c r="JQ39" s="14" t="str">
        <f ca="1">IF(JQ$1="","",'Total Value'!JQ51/'Total Value'!JP51-1)</f>
        <v/>
      </c>
      <c r="JR39" s="14" t="str">
        <f ca="1">IF(JR$1="","",'Total Value'!JR51/'Total Value'!JQ51-1)</f>
        <v/>
      </c>
      <c r="JS39" s="14" t="str">
        <f ca="1">IF(JS$1="","",'Total Value'!JS51/'Total Value'!JR51-1)</f>
        <v/>
      </c>
      <c r="JT39" s="14" t="str">
        <f ca="1">IF(JT$1="","",'Total Value'!JT51/'Total Value'!JS51-1)</f>
        <v/>
      </c>
      <c r="JU39" s="14" t="str">
        <f ca="1">IF(JU$1="","",'Total Value'!JU51/'Total Value'!JT51-1)</f>
        <v/>
      </c>
      <c r="JV39" s="14" t="str">
        <f ca="1">IF(JV$1="","",'Total Value'!JV51/'Total Value'!JU51-1)</f>
        <v/>
      </c>
      <c r="JW39" s="14" t="str">
        <f ca="1">IF(JW$1="","",'Total Value'!JW51/'Total Value'!JV51-1)</f>
        <v/>
      </c>
      <c r="JX39" s="14" t="str">
        <f ca="1">IF(JX$1="","",'Total Value'!JX51/'Total Value'!JW51-1)</f>
        <v/>
      </c>
      <c r="JY39" s="14" t="str">
        <f ca="1">IF(JY$1="","",'Total Value'!JY51/'Total Value'!JX51-1)</f>
        <v/>
      </c>
      <c r="JZ39" s="14" t="str">
        <f ca="1">IF(JZ$1="","",'Total Value'!JZ51/'Total Value'!JY51-1)</f>
        <v/>
      </c>
      <c r="KA39" s="14" t="str">
        <f ca="1">IF(KA$1="","",'Total Value'!KA51/'Total Value'!JZ51-1)</f>
        <v/>
      </c>
      <c r="KB39" s="14" t="str">
        <f ca="1">IF(KB$1="","",'Total Value'!KB51/'Total Value'!KA51-1)</f>
        <v/>
      </c>
    </row>
    <row r="40" spans="1:288" ht="15.75" customHeight="1">
      <c r="A40" s="22" t="s">
        <v>30</v>
      </c>
      <c r="B40" s="6" t="s">
        <v>83</v>
      </c>
      <c r="C40" s="26">
        <v>26</v>
      </c>
      <c r="D40" s="13">
        <v>0</v>
      </c>
      <c r="E40" s="14">
        <f ca="1">IF(E$1="","",'Total Value'!E52/'Total Value'!D52-1)</f>
        <v>1.2338425381903662E-2</v>
      </c>
      <c r="F40" s="14">
        <f ca="1">IF(F$1="","",'Total Value'!F52/'Total Value'!E52-1)</f>
        <v>3.4822983168889543E-3</v>
      </c>
      <c r="G40" s="14">
        <f ca="1">IF(G$1="","",'Total Value'!G52/'Total Value'!F52-1)</f>
        <v>-1.0410641989589298E-2</v>
      </c>
      <c r="H40" s="14">
        <f ca="1">IF(H$1="","",'Total Value'!H52/'Total Value'!G52-1)</f>
        <v>5.8445353594382965E-4</v>
      </c>
      <c r="I40" s="14">
        <f ca="1">IF(I$1="","",'Total Value'!I52/'Total Value'!H52-1)</f>
        <v>-1.2850467289719725E-2</v>
      </c>
      <c r="J40" s="14">
        <f ca="1">IF(J$1="","",'Total Value'!J52/'Total Value'!I52-1)</f>
        <v>-2.8402366863905071E-2</v>
      </c>
      <c r="K40" s="14">
        <f ca="1">IF(K$1="","",'Total Value'!K52/'Total Value'!J52-1)</f>
        <v>-2.1315468940316884E-2</v>
      </c>
      <c r="L40" s="14">
        <f ca="1">IF(L$1="","",'Total Value'!L52/'Total Value'!K52-1)</f>
        <v>-9.9564405724952287E-3</v>
      </c>
      <c r="M40" s="14">
        <f ca="1">IF(M$1="","",'Total Value'!M52/'Total Value'!L52-1)</f>
        <v>1.00565681961029E-2</v>
      </c>
      <c r="N40" s="14">
        <f ca="1">IF(N$1="","",'Total Value'!N52/'Total Value'!M52-1)</f>
        <v>-2.3646546359676446E-2</v>
      </c>
      <c r="O40" s="14">
        <f ca="1">IF(O$1="","",'Total Value'!O52/'Total Value'!N52-1)</f>
        <v>-1.8483110261312885E-2</v>
      </c>
      <c r="P40" s="14">
        <f ca="1">IF(P$1="","",'Total Value'!P52/'Total Value'!O52-1)</f>
        <v>3.2467532467530535E-3</v>
      </c>
      <c r="Q40" s="14">
        <f ca="1">IF(Q$1="","",'Total Value'!Q52/'Total Value'!P52-1)</f>
        <v>2.265372168284796E-2</v>
      </c>
      <c r="R40" s="14">
        <f ca="1">IF(R$1="","",'Total Value'!R52/'Total Value'!Q52-1)</f>
        <v>2.6582278481012578E-2</v>
      </c>
      <c r="S40" s="14">
        <f ca="1">IF(S$1="","",'Total Value'!S52/'Total Value'!R52-1)</f>
        <v>1.1713933415536504E-2</v>
      </c>
      <c r="T40" s="14">
        <f ca="1">IF(T$1="","",'Total Value'!T52/'Total Value'!S52-1)</f>
        <v>1.4625228519195455E-2</v>
      </c>
      <c r="U40" s="14">
        <f ca="1">IF(U$1="","",'Total Value'!U52/'Total Value'!T52-1)</f>
        <v>-1.3813813813813636E-2</v>
      </c>
      <c r="V40" s="14">
        <f ca="1">IF(V$1="","",'Total Value'!V52/'Total Value'!U52-1)</f>
        <v>4.872107186357999E-3</v>
      </c>
      <c r="W40" s="14">
        <f ca="1">IF(W$1="","",'Total Value'!W52/'Total Value'!V52-1)</f>
        <v>1.8181818181819409E-3</v>
      </c>
      <c r="X40" s="14">
        <f ca="1">IF(X$1="","",'Total Value'!X52/'Total Value'!W52-1)</f>
        <v>2.1173623714458412E-2</v>
      </c>
      <c r="Y40" s="14">
        <f ca="1">IF(Y$1="","",'Total Value'!Y52/'Total Value'!X52-1)</f>
        <v>3.8507109004739304E-2</v>
      </c>
      <c r="Z40" s="14">
        <f ca="1">IF(Z$1="","",'Total Value'!Z52/'Total Value'!Y52-1)</f>
        <v>1.9965772960638839E-2</v>
      </c>
      <c r="AA40" s="14">
        <f ca="1">IF(AA$1="","",'Total Value'!AA52/'Total Value'!Z52-1)</f>
        <v>1.7897091722595126E-2</v>
      </c>
      <c r="AB40" s="14">
        <f ca="1">IF(AB$1="","",'Total Value'!AB52/'Total Value'!AA52-1)</f>
        <v>-5.4945054945043648E-4</v>
      </c>
      <c r="AC40" s="14">
        <f ca="1">IF(AC$1="","",'Total Value'!AC52/'Total Value'!AB52-1)</f>
        <v>3.243540406816936E-2</v>
      </c>
      <c r="AD40" s="14">
        <f ca="1">IF(AD$1="","",'Total Value'!AD52/'Total Value'!AC52-1)</f>
        <v>5.165069222577201E-2</v>
      </c>
      <c r="AE40" s="14">
        <f ca="1">IF(AE$1="","",'Total Value'!AE52/'Total Value'!AD52-1)</f>
        <v>2.0253164556960357E-3</v>
      </c>
      <c r="AF40" s="14">
        <f ca="1">IF(AF$1="","",'Total Value'!AF52/'Total Value'!AE52-1)</f>
        <v>-1.3137948458817439E-2</v>
      </c>
      <c r="AG40" s="14">
        <f ca="1">IF(AG$1="","",'Total Value'!AG52/'Total Value'!AF52-1)</f>
        <v>1.4336917562723928E-2</v>
      </c>
      <c r="AH40" s="14">
        <f ca="1">IF(AH$1="","",'Total Value'!AH52/'Total Value'!AG52-1)</f>
        <v>-3.3821302372538997E-2</v>
      </c>
      <c r="AI40" s="14">
        <f ca="1">IF(AI$1="","",'Total Value'!AI52/'Total Value'!AH52-1)</f>
        <v>2.089864158829613E-3</v>
      </c>
      <c r="AJ40" s="14">
        <f ca="1">IF(AJ$1="","",'Total Value'!AJ52/'Total Value'!AI52-1)</f>
        <v>1.5641293013555879E-2</v>
      </c>
      <c r="AK40" s="14">
        <f ca="1">IF(AK$1="","",'Total Value'!AK52/'Total Value'!AJ52-1)</f>
        <v>2.1560574948665145E-2</v>
      </c>
      <c r="AL40" s="14">
        <f ca="1">IF(AL$1="","",'Total Value'!AL52/'Total Value'!AK52-1)</f>
        <v>-1.3065326633165841E-2</v>
      </c>
      <c r="AM40" s="14">
        <f ca="1">IF(AM$1="","",'Total Value'!AM52/'Total Value'!AL52-1)</f>
        <v>1.1710794297352445E-2</v>
      </c>
      <c r="AN40" s="14">
        <f ca="1">IF(AN$1="","",'Total Value'!AN52/'Total Value'!AM52-1)</f>
        <v>6.0392551585304322E-3</v>
      </c>
      <c r="AO40" s="14">
        <f ca="1">IF(AO$1="","",'Total Value'!AO52/'Total Value'!AN52-1)</f>
        <v>-1.2506253126563283E-2</v>
      </c>
      <c r="AP40" s="14">
        <f ca="1">IF(AP$1="","",'Total Value'!AP52/'Total Value'!AO52-1)</f>
        <v>-3.4447821681864332E-2</v>
      </c>
      <c r="AQ40" s="14">
        <f ca="1">IF(AQ$1="","",'Total Value'!AQ52/'Total Value'!AP52-1)</f>
        <v>-1.4690451206715416E-2</v>
      </c>
      <c r="AR40" s="14">
        <f ca="1">IF(AR$1="","",'Total Value'!AR52/'Total Value'!AQ52-1)</f>
        <v>3.3013844515441759E-2</v>
      </c>
      <c r="AS40" s="14">
        <f ca="1">IF(AS$1="","",'Total Value'!AS52/'Total Value'!AR52-1)</f>
        <v>-1.8041237113401998E-2</v>
      </c>
      <c r="AT40" s="14">
        <f ca="1">IF(AT$1="","",'Total Value'!AT52/'Total Value'!AS52-1)</f>
        <v>-3.9895013123359635E-2</v>
      </c>
      <c r="AU40" s="14">
        <f ca="1">IF(AU$1="","",'Total Value'!AU52/'Total Value'!AT52-1)</f>
        <v>6.0142154182614149E-3</v>
      </c>
      <c r="AV40" s="14">
        <f ca="1">IF(AV$1="","",'Total Value'!AV52/'Total Value'!AU52-1)</f>
        <v>3.260869565217428E-3</v>
      </c>
      <c r="AW40" s="14">
        <f ca="1">IF(AW$1="","",'Total Value'!AW52/'Total Value'!AV52-1)</f>
        <v>4.9837486457204649E-2</v>
      </c>
      <c r="AX40" s="14">
        <f ca="1">IF(AX$1="","",'Total Value'!AX52/'Total Value'!AW52-1)</f>
        <v>-6.707946336429349E-3</v>
      </c>
      <c r="AY40" s="14">
        <f ca="1">IF(AY$1="","",'Total Value'!AY52/'Total Value'!AX52-1)</f>
        <v>-3.1168831168829625E-3</v>
      </c>
      <c r="AZ40" s="14">
        <f ca="1">IF(AZ$1="","",'Total Value'!AZ52/'Total Value'!AY52-1)</f>
        <v>2.0844189682125425E-3</v>
      </c>
      <c r="BA40" s="14">
        <f ca="1">IF(BA$1="","",'Total Value'!BA52/'Total Value'!AZ52-1)</f>
        <v>4.1601664066561739E-3</v>
      </c>
      <c r="BB40" s="14">
        <f ca="1">IF(BB$1="","",'Total Value'!BB52/'Total Value'!BA52-1)</f>
        <v>-1.1393060590367599E-2</v>
      </c>
      <c r="BC40" s="14">
        <f ca="1">IF(BC$1="","",'Total Value'!BC52/'Total Value'!BB52-1)</f>
        <v>2.1477213200628675E-2</v>
      </c>
      <c r="BD40" s="14">
        <f ca="1">IF(BD$1="","",'Total Value'!BD52/'Total Value'!BC52-1)</f>
        <v>1.4871794871794908E-2</v>
      </c>
      <c r="BE40" s="14">
        <f ca="1">IF(BE$1="","",'Total Value'!BE52/'Total Value'!BD52-1)</f>
        <v>-5.0530570995450663E-3</v>
      </c>
      <c r="BF40" s="14">
        <f ca="1">IF(BF$1="","",'Total Value'!BF52/'Total Value'!BE52-1)</f>
        <v>1.7267648552564685E-2</v>
      </c>
      <c r="BG40" s="14">
        <f ca="1">IF(BG$1="","",'Total Value'!BG52/'Total Value'!BF52-1)</f>
        <v>-1.298052920619075E-2</v>
      </c>
      <c r="BH40" s="14">
        <f ca="1">IF(BH$1="","",'Total Value'!BH52/'Total Value'!BG52-1)</f>
        <v>-1.1127971674253834E-2</v>
      </c>
      <c r="BI40" s="14">
        <f ca="1">IF(BI$1="","",'Total Value'!BI52/'Total Value'!BH52-1)</f>
        <v>6.1381074168798122E-3</v>
      </c>
      <c r="BJ40" s="14">
        <f ca="1">IF(BJ$1="","",'Total Value'!BJ52/'Total Value'!BI52-1)</f>
        <v>1.5760040671072506E-2</v>
      </c>
      <c r="BK40" s="14">
        <f ca="1">IF(BK$1="","",'Total Value'!BK52/'Total Value'!BJ52-1)</f>
        <v>-2.7527527527527518E-2</v>
      </c>
      <c r="BL40" s="14">
        <f ca="1">IF(BL$1="","",'Total Value'!BL52/'Total Value'!BK52-1)</f>
        <v>-3.1394750386001036E-2</v>
      </c>
      <c r="BM40" s="14">
        <f ca="1">IF(BM$1="","",'Total Value'!BM52/'Total Value'!BL52-1)</f>
        <v>4.2507970244420878E-3</v>
      </c>
      <c r="BN40" s="14">
        <f ca="1">IF(BN$1="","",'Total Value'!BN52/'Total Value'!BM52-1)</f>
        <v>1.5343915343915437E-2</v>
      </c>
      <c r="BO40" s="14">
        <f ca="1">IF(BO$1="","",'Total Value'!BO52/'Total Value'!BN52-1)</f>
        <v>1.4590932777488019E-2</v>
      </c>
      <c r="BP40" s="14">
        <f ca="1">IF(BP$1="","",'Total Value'!BP52/'Total Value'!BO52-1)</f>
        <v>1.5408320493066174E-2</v>
      </c>
      <c r="BQ40" s="14">
        <f ca="1">IF(BQ$1="","",'Total Value'!BQ52/'Total Value'!BP52-1)</f>
        <v>2.5796661608497695E-2</v>
      </c>
      <c r="BR40" s="14">
        <f ca="1">IF(BR$1="","",'Total Value'!BR52/'Total Value'!BQ52-1)</f>
        <v>-1.0848126232741673E-2</v>
      </c>
      <c r="BS40" s="14">
        <f ca="1">IF(BS$1="","",'Total Value'!BS52/'Total Value'!BR52-1)</f>
        <v>7.9760717846462104E-3</v>
      </c>
      <c r="BT40" s="14">
        <f ca="1">IF(BT$1="","",'Total Value'!BT52/'Total Value'!BS52-1)</f>
        <v>3.0662710187932651E-2</v>
      </c>
      <c r="BU40" s="14">
        <f ca="1">IF(BU$1="","",'Total Value'!BU52/'Total Value'!BT52-1)</f>
        <v>8.6372360844528817E-3</v>
      </c>
      <c r="BV40" s="14">
        <f ca="1">IF(BV$1="","",'Total Value'!BV52/'Total Value'!BU52-1)</f>
        <v>-3.2825880114177086E-2</v>
      </c>
      <c r="BW40" s="14">
        <f ca="1">IF(BW$1="","",'Total Value'!BW52/'Total Value'!BV52-1)</f>
        <v>-1.8691588785046731E-2</v>
      </c>
      <c r="BX40" s="14">
        <f ca="1">IF(BX$1="","",'Total Value'!BX52/'Total Value'!BW52-1)</f>
        <v>1.3032581453634284E-2</v>
      </c>
      <c r="BY40" s="14">
        <f ca="1">IF(BY$1="","",'Total Value'!BY52/'Total Value'!BX52-1)</f>
        <v>-1.0390895596239513E-2</v>
      </c>
      <c r="BZ40" s="14">
        <f ca="1">IF(BZ$1="","",'Total Value'!BZ52/'Total Value'!BY52-1)</f>
        <v>1.1000000000000121E-2</v>
      </c>
      <c r="CA40" s="14">
        <f ca="1">IF(CA$1="","",'Total Value'!CA52/'Total Value'!BZ52-1)</f>
        <v>2.0276953511374707E-2</v>
      </c>
      <c r="CB40" s="14">
        <f ca="1">IF(CB$1="","",'Total Value'!CB52/'Total Value'!CA52-1)</f>
        <v>-1.841977702375186E-2</v>
      </c>
      <c r="CC40" s="14">
        <f ca="1">IF(CC$1="","",'Total Value'!CC52/'Total Value'!CB52-1)</f>
        <v>2.7654320987654302E-2</v>
      </c>
      <c r="CD40" s="14">
        <f ca="1">IF(CD$1="","",'Total Value'!CD52/'Total Value'!CC52-1)</f>
        <v>-1.922152811148381E-3</v>
      </c>
      <c r="CE40" s="14">
        <f ca="1">IF(CE$1="","",'Total Value'!CE52/'Total Value'!CD52-1)</f>
        <v>-0.16610495907558975</v>
      </c>
      <c r="CF40" s="14" t="str">
        <f ca="1">IF(CF$1="","",'Total Value'!CF52/'Total Value'!CE52-1)</f>
        <v/>
      </c>
      <c r="CG40" s="14" t="str">
        <f ca="1">IF(CG$1="","",'Total Value'!CG52/'Total Value'!CF52-1)</f>
        <v/>
      </c>
      <c r="CH40" s="14" t="str">
        <f ca="1">IF(CH$1="","",'Total Value'!CH52/'Total Value'!CG52-1)</f>
        <v/>
      </c>
      <c r="CI40" s="14" t="str">
        <f ca="1">IF(CI$1="","",'Total Value'!CI52/'Total Value'!CH52-1)</f>
        <v/>
      </c>
      <c r="CJ40" s="14" t="str">
        <f ca="1">IF(CJ$1="","",'Total Value'!CJ52/'Total Value'!CI52-1)</f>
        <v/>
      </c>
      <c r="CK40" s="14" t="str">
        <f ca="1">IF(CK$1="","",'Total Value'!CK52/'Total Value'!CJ52-1)</f>
        <v/>
      </c>
      <c r="CL40" s="14" t="str">
        <f ca="1">IF(CL$1="","",'Total Value'!CL52/'Total Value'!CK52-1)</f>
        <v/>
      </c>
      <c r="CM40" s="14" t="str">
        <f ca="1">IF(CM$1="","",'Total Value'!CM52/'Total Value'!CL52-1)</f>
        <v/>
      </c>
      <c r="CN40" s="14" t="str">
        <f ca="1">IF(CN$1="","",'Total Value'!CN52/'Total Value'!CM52-1)</f>
        <v/>
      </c>
      <c r="CO40" s="14" t="str">
        <f ca="1">IF(CO$1="","",'Total Value'!CO52/'Total Value'!CN52-1)</f>
        <v/>
      </c>
      <c r="CP40" s="14" t="str">
        <f ca="1">IF(CP$1="","",'Total Value'!CP52/'Total Value'!CO52-1)</f>
        <v/>
      </c>
      <c r="CQ40" s="14" t="str">
        <f ca="1">IF(CQ$1="","",'Total Value'!CQ52/'Total Value'!CP52-1)</f>
        <v/>
      </c>
      <c r="CR40" s="14" t="str">
        <f ca="1">IF(CR$1="","",'Total Value'!CR52/'Total Value'!CQ52-1)</f>
        <v/>
      </c>
      <c r="CS40" s="14" t="str">
        <f ca="1">IF(CS$1="","",'Total Value'!CS52/'Total Value'!CR52-1)</f>
        <v/>
      </c>
      <c r="CT40" s="14" t="str">
        <f ca="1">IF(CT$1="","",'Total Value'!CT52/'Total Value'!CS52-1)</f>
        <v/>
      </c>
      <c r="CU40" s="14" t="str">
        <f ca="1">IF(CU$1="","",'Total Value'!CU52/'Total Value'!CT52-1)</f>
        <v/>
      </c>
      <c r="CV40" s="14" t="str">
        <f ca="1">IF(CV$1="","",'Total Value'!CV52/'Total Value'!CU52-1)</f>
        <v/>
      </c>
      <c r="CW40" s="14" t="str">
        <f ca="1">IF(CW$1="","",'Total Value'!CW52/'Total Value'!CV52-1)</f>
        <v/>
      </c>
      <c r="CX40" s="14" t="str">
        <f ca="1">IF(CX$1="","",'Total Value'!CX52/'Total Value'!CW52-1)</f>
        <v/>
      </c>
      <c r="CY40" s="14" t="str">
        <f ca="1">IF(CY$1="","",'Total Value'!CY52/'Total Value'!CX52-1)</f>
        <v/>
      </c>
      <c r="CZ40" s="14" t="str">
        <f ca="1">IF(CZ$1="","",'Total Value'!CZ52/'Total Value'!CY52-1)</f>
        <v/>
      </c>
      <c r="DA40" s="14" t="str">
        <f ca="1">IF(DA$1="","",'Total Value'!DA52/'Total Value'!CZ52-1)</f>
        <v/>
      </c>
      <c r="DB40" s="14" t="str">
        <f ca="1">IF(DB$1="","",'Total Value'!DB52/'Total Value'!DA52-1)</f>
        <v/>
      </c>
      <c r="DC40" s="14" t="str">
        <f ca="1">IF(DC$1="","",'Total Value'!DC52/'Total Value'!DB52-1)</f>
        <v/>
      </c>
      <c r="DD40" s="14" t="str">
        <f ca="1">IF(DD$1="","",'Total Value'!DD52/'Total Value'!DC52-1)</f>
        <v/>
      </c>
      <c r="DE40" s="14" t="str">
        <f ca="1">IF(DE$1="","",'Total Value'!DE52/'Total Value'!DD52-1)</f>
        <v/>
      </c>
      <c r="DF40" s="14" t="str">
        <f ca="1">IF(DF$1="","",'Total Value'!DF52/'Total Value'!DE52-1)</f>
        <v/>
      </c>
      <c r="DG40" s="14" t="str">
        <f ca="1">IF(DG$1="","",'Total Value'!DG52/'Total Value'!DF52-1)</f>
        <v/>
      </c>
      <c r="DH40" s="14" t="str">
        <f ca="1">IF(DH$1="","",'Total Value'!DH52/'Total Value'!DG52-1)</f>
        <v/>
      </c>
      <c r="DI40" s="14" t="str">
        <f ca="1">IF(DI$1="","",'Total Value'!DI52/'Total Value'!DH52-1)</f>
        <v/>
      </c>
      <c r="DJ40" s="14" t="str">
        <f ca="1">IF(DJ$1="","",'Total Value'!DJ52/'Total Value'!DI52-1)</f>
        <v/>
      </c>
      <c r="DK40" s="14" t="str">
        <f ca="1">IF(DK$1="","",'Total Value'!DK52/'Total Value'!DJ52-1)</f>
        <v/>
      </c>
      <c r="DL40" s="14" t="str">
        <f ca="1">IF(DL$1="","",'Total Value'!DL52/'Total Value'!DK52-1)</f>
        <v/>
      </c>
      <c r="DM40" s="14" t="str">
        <f ca="1">IF(DM$1="","",'Total Value'!DM52/'Total Value'!DL52-1)</f>
        <v/>
      </c>
      <c r="DN40" s="14" t="str">
        <f ca="1">IF(DN$1="","",'Total Value'!DN52/'Total Value'!DM52-1)</f>
        <v/>
      </c>
      <c r="DO40" s="14" t="str">
        <f ca="1">IF(DO$1="","",'Total Value'!DO52/'Total Value'!DN52-1)</f>
        <v/>
      </c>
      <c r="DP40" s="14" t="str">
        <f ca="1">IF(DP$1="","",'Total Value'!DP52/'Total Value'!DO52-1)</f>
        <v/>
      </c>
      <c r="DQ40" s="14" t="str">
        <f ca="1">IF(DQ$1="","",'Total Value'!DQ52/'Total Value'!DP52-1)</f>
        <v/>
      </c>
      <c r="DR40" s="14" t="str">
        <f ca="1">IF(DR$1="","",'Total Value'!DR52/'Total Value'!DQ52-1)</f>
        <v/>
      </c>
      <c r="DS40" s="14" t="str">
        <f ca="1">IF(DS$1="","",'Total Value'!DS52/'Total Value'!DR52-1)</f>
        <v/>
      </c>
      <c r="DT40" s="14" t="str">
        <f ca="1">IF(DT$1="","",'Total Value'!DT52/'Total Value'!DS52-1)</f>
        <v/>
      </c>
      <c r="DU40" s="14" t="str">
        <f ca="1">IF(DU$1="","",'Total Value'!DU52/'Total Value'!DT52-1)</f>
        <v/>
      </c>
      <c r="DV40" s="14" t="str">
        <f ca="1">IF(DV$1="","",'Total Value'!DV52/'Total Value'!DU52-1)</f>
        <v/>
      </c>
      <c r="DW40" s="14" t="str">
        <f ca="1">IF(DW$1="","",'Total Value'!DW52/'Total Value'!DV52-1)</f>
        <v/>
      </c>
      <c r="DX40" s="14" t="str">
        <f ca="1">IF(DX$1="","",'Total Value'!DX52/'Total Value'!DW52-1)</f>
        <v/>
      </c>
      <c r="DY40" s="14" t="str">
        <f ca="1">IF(DY$1="","",'Total Value'!DY52/'Total Value'!DX52-1)</f>
        <v/>
      </c>
      <c r="DZ40" s="14" t="str">
        <f ca="1">IF(DZ$1="","",'Total Value'!DZ52/'Total Value'!DY52-1)</f>
        <v/>
      </c>
      <c r="EA40" s="14" t="str">
        <f ca="1">IF(EA$1="","",'Total Value'!EA52/'Total Value'!DZ52-1)</f>
        <v/>
      </c>
      <c r="EB40" s="14" t="str">
        <f ca="1">IF(EB$1="","",'Total Value'!EB52/'Total Value'!EA52-1)</f>
        <v/>
      </c>
      <c r="EC40" s="14" t="str">
        <f ca="1">IF(EC$1="","",'Total Value'!EC52/'Total Value'!EB52-1)</f>
        <v/>
      </c>
      <c r="ED40" s="14" t="str">
        <f ca="1">IF(ED$1="","",'Total Value'!ED52/'Total Value'!EC52-1)</f>
        <v/>
      </c>
      <c r="EE40" s="14" t="str">
        <f ca="1">IF(EE$1="","",'Total Value'!EE52/'Total Value'!ED52-1)</f>
        <v/>
      </c>
      <c r="EF40" s="14" t="str">
        <f ca="1">IF(EF$1="","",'Total Value'!EF52/'Total Value'!EE52-1)</f>
        <v/>
      </c>
      <c r="EG40" s="14" t="str">
        <f ca="1">IF(EG$1="","",'Total Value'!EG52/'Total Value'!EF52-1)</f>
        <v/>
      </c>
      <c r="EH40" s="14" t="str">
        <f ca="1">IF(EH$1="","",'Total Value'!EH52/'Total Value'!EG52-1)</f>
        <v/>
      </c>
      <c r="EI40" s="14" t="str">
        <f ca="1">IF(EI$1="","",'Total Value'!EI52/'Total Value'!EH52-1)</f>
        <v/>
      </c>
      <c r="EJ40" s="14" t="str">
        <f ca="1">IF(EJ$1="","",'Total Value'!EJ52/'Total Value'!EI52-1)</f>
        <v/>
      </c>
      <c r="EK40" s="14" t="str">
        <f ca="1">IF(EK$1="","",'Total Value'!EK52/'Total Value'!EJ52-1)</f>
        <v/>
      </c>
      <c r="EL40" s="14" t="str">
        <f ca="1">IF(EL$1="","",'Total Value'!EL52/'Total Value'!EK52-1)</f>
        <v/>
      </c>
      <c r="EM40" s="14" t="str">
        <f ca="1">IF(EM$1="","",'Total Value'!EM52/'Total Value'!EL52-1)</f>
        <v/>
      </c>
      <c r="EN40" s="14" t="str">
        <f ca="1">IF(EN$1="","",'Total Value'!EN52/'Total Value'!EM52-1)</f>
        <v/>
      </c>
      <c r="EO40" s="14" t="str">
        <f ca="1">IF(EO$1="","",'Total Value'!EO52/'Total Value'!EN52-1)</f>
        <v/>
      </c>
      <c r="EP40" s="14" t="str">
        <f ca="1">IF(EP$1="","",'Total Value'!EP52/'Total Value'!EO52-1)</f>
        <v/>
      </c>
      <c r="EQ40" s="14" t="str">
        <f ca="1">IF(EQ$1="","",'Total Value'!EQ52/'Total Value'!EP52-1)</f>
        <v/>
      </c>
      <c r="ER40" s="14" t="str">
        <f ca="1">IF(ER$1="","",'Total Value'!ER52/'Total Value'!EQ52-1)</f>
        <v/>
      </c>
      <c r="ES40" s="14" t="str">
        <f ca="1">IF(ES$1="","",'Total Value'!ES52/'Total Value'!ER52-1)</f>
        <v/>
      </c>
      <c r="ET40" s="14" t="str">
        <f ca="1">IF(ET$1="","",'Total Value'!ET52/'Total Value'!ES52-1)</f>
        <v/>
      </c>
      <c r="EU40" s="14" t="str">
        <f ca="1">IF(EU$1="","",'Total Value'!EU52/'Total Value'!ET52-1)</f>
        <v/>
      </c>
      <c r="EV40" s="14" t="str">
        <f ca="1">IF(EV$1="","",'Total Value'!EV52/'Total Value'!EU52-1)</f>
        <v/>
      </c>
      <c r="EW40" s="14" t="str">
        <f ca="1">IF(EW$1="","",'Total Value'!EW52/'Total Value'!EV52-1)</f>
        <v/>
      </c>
      <c r="EX40" s="14" t="str">
        <f ca="1">IF(EX$1="","",'Total Value'!EX52/'Total Value'!EW52-1)</f>
        <v/>
      </c>
      <c r="EY40" s="14" t="str">
        <f ca="1">IF(EY$1="","",'Total Value'!EY52/'Total Value'!EX52-1)</f>
        <v/>
      </c>
      <c r="EZ40" s="14" t="str">
        <f ca="1">IF(EZ$1="","",'Total Value'!EZ52/'Total Value'!EY52-1)</f>
        <v/>
      </c>
      <c r="FA40" s="14" t="str">
        <f ca="1">IF(FA$1="","",'Total Value'!FA52/'Total Value'!EZ52-1)</f>
        <v/>
      </c>
      <c r="FB40" s="14" t="str">
        <f ca="1">IF(FB$1="","",'Total Value'!FB52/'Total Value'!FA52-1)</f>
        <v/>
      </c>
      <c r="FC40" s="14" t="str">
        <f ca="1">IF(FC$1="","",'Total Value'!FC52/'Total Value'!FB52-1)</f>
        <v/>
      </c>
      <c r="FD40" s="14" t="str">
        <f ca="1">IF(FD$1="","",'Total Value'!FD52/'Total Value'!FC52-1)</f>
        <v/>
      </c>
      <c r="FE40" s="14" t="str">
        <f ca="1">IF(FE$1="","",'Total Value'!FE52/'Total Value'!FD52-1)</f>
        <v/>
      </c>
      <c r="FF40" s="14" t="str">
        <f ca="1">IF(FF$1="","",'Total Value'!FF52/'Total Value'!FE52-1)</f>
        <v/>
      </c>
      <c r="FG40" s="14" t="str">
        <f ca="1">IF(FG$1="","",'Total Value'!FG52/'Total Value'!FF52-1)</f>
        <v/>
      </c>
      <c r="FH40" s="14" t="str">
        <f ca="1">IF(FH$1="","",'Total Value'!FH52/'Total Value'!FG52-1)</f>
        <v/>
      </c>
      <c r="FI40" s="14" t="str">
        <f ca="1">IF(FI$1="","",'Total Value'!FI52/'Total Value'!FH52-1)</f>
        <v/>
      </c>
      <c r="FJ40" s="14" t="str">
        <f ca="1">IF(FJ$1="","",'Total Value'!FJ52/'Total Value'!FI52-1)</f>
        <v/>
      </c>
      <c r="FK40" s="14" t="str">
        <f ca="1">IF(FK$1="","",'Total Value'!FK52/'Total Value'!FJ52-1)</f>
        <v/>
      </c>
      <c r="FL40" s="14" t="str">
        <f ca="1">IF(FL$1="","",'Total Value'!FL52/'Total Value'!FK52-1)</f>
        <v/>
      </c>
      <c r="FM40" s="14" t="str">
        <f ca="1">IF(FM$1="","",'Total Value'!FM52/'Total Value'!FL52-1)</f>
        <v/>
      </c>
      <c r="FN40" s="14" t="str">
        <f ca="1">IF(FN$1="","",'Total Value'!FN52/'Total Value'!FM52-1)</f>
        <v/>
      </c>
      <c r="FO40" s="14" t="str">
        <f ca="1">IF(FO$1="","",'Total Value'!FO52/'Total Value'!FN52-1)</f>
        <v/>
      </c>
      <c r="FP40" s="14" t="str">
        <f ca="1">IF(FP$1="","",'Total Value'!FP52/'Total Value'!FO52-1)</f>
        <v/>
      </c>
      <c r="FQ40" s="14" t="str">
        <f ca="1">IF(FQ$1="","",'Total Value'!FQ52/'Total Value'!FP52-1)</f>
        <v/>
      </c>
      <c r="FR40" s="14" t="str">
        <f ca="1">IF(FR$1="","",'Total Value'!FR52/'Total Value'!FQ52-1)</f>
        <v/>
      </c>
      <c r="FS40" s="14" t="str">
        <f ca="1">IF(FS$1="","",'Total Value'!FS52/'Total Value'!FR52-1)</f>
        <v/>
      </c>
      <c r="FT40" s="14" t="str">
        <f ca="1">IF(FT$1="","",'Total Value'!FT52/'Total Value'!FS52-1)</f>
        <v/>
      </c>
      <c r="FU40" s="14" t="str">
        <f ca="1">IF(FU$1="","",'Total Value'!FU52/'Total Value'!FT52-1)</f>
        <v/>
      </c>
      <c r="FV40" s="14" t="str">
        <f ca="1">IF(FV$1="","",'Total Value'!FV52/'Total Value'!FU52-1)</f>
        <v/>
      </c>
      <c r="FW40" s="14" t="str">
        <f ca="1">IF(FW$1="","",'Total Value'!FW52/'Total Value'!FV52-1)</f>
        <v/>
      </c>
      <c r="FX40" s="14" t="str">
        <f ca="1">IF(FX$1="","",'Total Value'!FX52/'Total Value'!FW52-1)</f>
        <v/>
      </c>
      <c r="FY40" s="14" t="str">
        <f ca="1">IF(FY$1="","",'Total Value'!FY52/'Total Value'!FX52-1)</f>
        <v/>
      </c>
      <c r="FZ40" s="14" t="str">
        <f ca="1">IF(FZ$1="","",'Total Value'!FZ52/'Total Value'!FY52-1)</f>
        <v/>
      </c>
      <c r="GA40" s="14" t="str">
        <f ca="1">IF(GA$1="","",'Total Value'!GA52/'Total Value'!FZ52-1)</f>
        <v/>
      </c>
      <c r="GB40" s="14" t="str">
        <f ca="1">IF(GB$1="","",'Total Value'!GB52/'Total Value'!GA52-1)</f>
        <v/>
      </c>
      <c r="GC40" s="14" t="str">
        <f ca="1">IF(GC$1="","",'Total Value'!GC52/'Total Value'!GB52-1)</f>
        <v/>
      </c>
      <c r="GD40" s="14" t="str">
        <f ca="1">IF(GD$1="","",'Total Value'!GD52/'Total Value'!GC52-1)</f>
        <v/>
      </c>
      <c r="GE40" s="14" t="str">
        <f ca="1">IF(GE$1="","",'Total Value'!GE52/'Total Value'!GD52-1)</f>
        <v/>
      </c>
      <c r="GF40" s="14" t="str">
        <f ca="1">IF(GF$1="","",'Total Value'!GF52/'Total Value'!GE52-1)</f>
        <v/>
      </c>
      <c r="GG40" s="14" t="str">
        <f ca="1">IF(GG$1="","",'Total Value'!GG52/'Total Value'!GF52-1)</f>
        <v/>
      </c>
      <c r="GH40" s="14" t="str">
        <f ca="1">IF(GH$1="","",'Total Value'!GH52/'Total Value'!GG52-1)</f>
        <v/>
      </c>
      <c r="GI40" s="14" t="str">
        <f ca="1">IF(GI$1="","",'Total Value'!GI52/'Total Value'!GH52-1)</f>
        <v/>
      </c>
      <c r="GJ40" s="14" t="str">
        <f ca="1">IF(GJ$1="","",'Total Value'!GJ52/'Total Value'!GI52-1)</f>
        <v/>
      </c>
      <c r="GK40" s="14" t="str">
        <f ca="1">IF(GK$1="","",'Total Value'!GK52/'Total Value'!GJ52-1)</f>
        <v/>
      </c>
      <c r="GL40" s="14" t="str">
        <f ca="1">IF(GL$1="","",'Total Value'!GL52/'Total Value'!GK52-1)</f>
        <v/>
      </c>
      <c r="GM40" s="14" t="str">
        <f ca="1">IF(GM$1="","",'Total Value'!GM52/'Total Value'!GL52-1)</f>
        <v/>
      </c>
      <c r="GN40" s="14" t="str">
        <f ca="1">IF(GN$1="","",'Total Value'!GN52/'Total Value'!GM52-1)</f>
        <v/>
      </c>
      <c r="GO40" s="14" t="str">
        <f ca="1">IF(GO$1="","",'Total Value'!GO52/'Total Value'!GN52-1)</f>
        <v/>
      </c>
      <c r="GP40" s="14" t="str">
        <f ca="1">IF(GP$1="","",'Total Value'!GP52/'Total Value'!GO52-1)</f>
        <v/>
      </c>
      <c r="GQ40" s="14" t="str">
        <f ca="1">IF(GQ$1="","",'Total Value'!GQ52/'Total Value'!GP52-1)</f>
        <v/>
      </c>
      <c r="GR40" s="14" t="str">
        <f ca="1">IF(GR$1="","",'Total Value'!GR52/'Total Value'!GQ52-1)</f>
        <v/>
      </c>
      <c r="GS40" s="14" t="str">
        <f ca="1">IF(GS$1="","",'Total Value'!GS52/'Total Value'!GR52-1)</f>
        <v/>
      </c>
      <c r="GT40" s="14" t="str">
        <f ca="1">IF(GT$1="","",'Total Value'!GT52/'Total Value'!GS52-1)</f>
        <v/>
      </c>
      <c r="GU40" s="14" t="str">
        <f ca="1">IF(GU$1="","",'Total Value'!GU52/'Total Value'!GT52-1)</f>
        <v/>
      </c>
      <c r="GV40" s="14" t="str">
        <f ca="1">IF(GV$1="","",'Total Value'!GV52/'Total Value'!GU52-1)</f>
        <v/>
      </c>
      <c r="GW40" s="14" t="str">
        <f ca="1">IF(GW$1="","",'Total Value'!GW52/'Total Value'!GV52-1)</f>
        <v/>
      </c>
      <c r="GX40" s="14" t="str">
        <f ca="1">IF(GX$1="","",'Total Value'!GX52/'Total Value'!GW52-1)</f>
        <v/>
      </c>
      <c r="GY40" s="14" t="str">
        <f ca="1">IF(GY$1="","",'Total Value'!GY52/'Total Value'!GX52-1)</f>
        <v/>
      </c>
      <c r="GZ40" s="14" t="str">
        <f ca="1">IF(GZ$1="","",'Total Value'!GZ52/'Total Value'!GY52-1)</f>
        <v/>
      </c>
      <c r="HA40" s="14" t="str">
        <f ca="1">IF(HA$1="","",'Total Value'!HA52/'Total Value'!GZ52-1)</f>
        <v/>
      </c>
      <c r="HB40" s="14" t="str">
        <f ca="1">IF(HB$1="","",'Total Value'!HB52/'Total Value'!HA52-1)</f>
        <v/>
      </c>
      <c r="HC40" s="14" t="str">
        <f ca="1">IF(HC$1="","",'Total Value'!HC52/'Total Value'!HB52-1)</f>
        <v/>
      </c>
      <c r="HD40" s="14" t="str">
        <f ca="1">IF(HD$1="","",'Total Value'!HD52/'Total Value'!HC52-1)</f>
        <v/>
      </c>
      <c r="HE40" s="14" t="str">
        <f ca="1">IF(HE$1="","",'Total Value'!HE52/'Total Value'!HD52-1)</f>
        <v/>
      </c>
      <c r="HF40" s="14" t="str">
        <f ca="1">IF(HF$1="","",'Total Value'!HF52/'Total Value'!HE52-1)</f>
        <v/>
      </c>
      <c r="HG40" s="14" t="str">
        <f ca="1">IF(HG$1="","",'Total Value'!HG52/'Total Value'!HF52-1)</f>
        <v/>
      </c>
      <c r="HH40" s="14" t="str">
        <f ca="1">IF(HH$1="","",'Total Value'!HH52/'Total Value'!HG52-1)</f>
        <v/>
      </c>
      <c r="HI40" s="14" t="str">
        <f ca="1">IF(HI$1="","",'Total Value'!HI52/'Total Value'!HH52-1)</f>
        <v/>
      </c>
      <c r="HJ40" s="14" t="str">
        <f ca="1">IF(HJ$1="","",'Total Value'!HJ52/'Total Value'!HI52-1)</f>
        <v/>
      </c>
      <c r="HK40" s="14" t="str">
        <f ca="1">IF(HK$1="","",'Total Value'!HK52/'Total Value'!HJ52-1)</f>
        <v/>
      </c>
      <c r="HL40" s="14" t="str">
        <f ca="1">IF(HL$1="","",'Total Value'!HL52/'Total Value'!HK52-1)</f>
        <v/>
      </c>
      <c r="HM40" s="14" t="str">
        <f ca="1">IF(HM$1="","",'Total Value'!HM52/'Total Value'!HL52-1)</f>
        <v/>
      </c>
      <c r="HN40" s="14" t="str">
        <f ca="1">IF(HN$1="","",'Total Value'!HN52/'Total Value'!HM52-1)</f>
        <v/>
      </c>
      <c r="HO40" s="14" t="str">
        <f ca="1">IF(HO$1="","",'Total Value'!HO52/'Total Value'!HN52-1)</f>
        <v/>
      </c>
      <c r="HP40" s="14" t="str">
        <f ca="1">IF(HP$1="","",'Total Value'!HP52/'Total Value'!HO52-1)</f>
        <v/>
      </c>
      <c r="HQ40" s="14" t="str">
        <f ca="1">IF(HQ$1="","",'Total Value'!HQ52/'Total Value'!HP52-1)</f>
        <v/>
      </c>
      <c r="HR40" s="14" t="str">
        <f ca="1">IF(HR$1="","",'Total Value'!HR52/'Total Value'!HQ52-1)</f>
        <v/>
      </c>
      <c r="HS40" s="14" t="str">
        <f ca="1">IF(HS$1="","",'Total Value'!HS52/'Total Value'!HR52-1)</f>
        <v/>
      </c>
      <c r="HT40" s="14" t="str">
        <f ca="1">IF(HT$1="","",'Total Value'!HT52/'Total Value'!HS52-1)</f>
        <v/>
      </c>
      <c r="HU40" s="14" t="str">
        <f ca="1">IF(HU$1="","",'Total Value'!HU52/'Total Value'!HT52-1)</f>
        <v/>
      </c>
      <c r="HV40" s="14" t="str">
        <f ca="1">IF(HV$1="","",'Total Value'!HV52/'Total Value'!HU52-1)</f>
        <v/>
      </c>
      <c r="HW40" s="14" t="str">
        <f ca="1">IF(HW$1="","",'Total Value'!HW52/'Total Value'!HV52-1)</f>
        <v/>
      </c>
      <c r="HX40" s="14" t="str">
        <f ca="1">IF(HX$1="","",'Total Value'!HX52/'Total Value'!HW52-1)</f>
        <v/>
      </c>
      <c r="HY40" s="14" t="str">
        <f ca="1">IF(HY$1="","",'Total Value'!HY52/'Total Value'!HX52-1)</f>
        <v/>
      </c>
      <c r="HZ40" s="14" t="str">
        <f ca="1">IF(HZ$1="","",'Total Value'!HZ52/'Total Value'!HY52-1)</f>
        <v/>
      </c>
      <c r="IA40" s="14" t="str">
        <f ca="1">IF(IA$1="","",'Total Value'!IA52/'Total Value'!HZ52-1)</f>
        <v/>
      </c>
      <c r="IB40" s="14" t="str">
        <f ca="1">IF(IB$1="","",'Total Value'!IB52/'Total Value'!IA52-1)</f>
        <v/>
      </c>
      <c r="IC40" s="14" t="str">
        <f ca="1">IF(IC$1="","",'Total Value'!IC52/'Total Value'!IB52-1)</f>
        <v/>
      </c>
      <c r="ID40" s="14" t="str">
        <f ca="1">IF(ID$1="","",'Total Value'!ID52/'Total Value'!IC52-1)</f>
        <v/>
      </c>
      <c r="IE40" s="14" t="str">
        <f ca="1">IF(IE$1="","",'Total Value'!IE52/'Total Value'!ID52-1)</f>
        <v/>
      </c>
      <c r="IF40" s="14" t="str">
        <f ca="1">IF(IF$1="","",'Total Value'!IF52/'Total Value'!IE52-1)</f>
        <v/>
      </c>
      <c r="IG40" s="14" t="str">
        <f ca="1">IF(IG$1="","",'Total Value'!IG52/'Total Value'!IF52-1)</f>
        <v/>
      </c>
      <c r="IH40" s="14" t="str">
        <f ca="1">IF(IH$1="","",'Total Value'!IH52/'Total Value'!IG52-1)</f>
        <v/>
      </c>
      <c r="II40" s="14" t="str">
        <f ca="1">IF(II$1="","",'Total Value'!II52/'Total Value'!IH52-1)</f>
        <v/>
      </c>
      <c r="IJ40" s="14" t="str">
        <f ca="1">IF(IJ$1="","",'Total Value'!IJ52/'Total Value'!II52-1)</f>
        <v/>
      </c>
      <c r="IK40" s="14" t="str">
        <f ca="1">IF(IK$1="","",'Total Value'!IK52/'Total Value'!IJ52-1)</f>
        <v/>
      </c>
      <c r="IL40" s="14" t="str">
        <f ca="1">IF(IL$1="","",'Total Value'!IL52/'Total Value'!IK52-1)</f>
        <v/>
      </c>
      <c r="IM40" s="14" t="str">
        <f ca="1">IF(IM$1="","",'Total Value'!IM52/'Total Value'!IL52-1)</f>
        <v/>
      </c>
      <c r="IN40" s="14" t="str">
        <f ca="1">IF(IN$1="","",'Total Value'!IN52/'Total Value'!IM52-1)</f>
        <v/>
      </c>
      <c r="IO40" s="14" t="str">
        <f ca="1">IF(IO$1="","",'Total Value'!IO52/'Total Value'!IN52-1)</f>
        <v/>
      </c>
      <c r="IP40" s="14" t="str">
        <f ca="1">IF(IP$1="","",'Total Value'!IP52/'Total Value'!IO52-1)</f>
        <v/>
      </c>
      <c r="IQ40" s="14" t="str">
        <f ca="1">IF(IQ$1="","",'Total Value'!IQ52/'Total Value'!IP52-1)</f>
        <v/>
      </c>
      <c r="IR40" s="14" t="str">
        <f ca="1">IF(IR$1="","",'Total Value'!IR52/'Total Value'!IQ52-1)</f>
        <v/>
      </c>
      <c r="IS40" s="14" t="str">
        <f ca="1">IF(IS$1="","",'Total Value'!IS52/'Total Value'!IR52-1)</f>
        <v/>
      </c>
      <c r="IT40" s="14" t="str">
        <f ca="1">IF(IT$1="","",'Total Value'!IT52/'Total Value'!IS52-1)</f>
        <v/>
      </c>
      <c r="IU40" s="14" t="str">
        <f ca="1">IF(IU$1="","",'Total Value'!IU52/'Total Value'!IT52-1)</f>
        <v/>
      </c>
      <c r="IV40" s="14" t="str">
        <f ca="1">IF(IV$1="","",'Total Value'!IV52/'Total Value'!IU52-1)</f>
        <v/>
      </c>
      <c r="IW40" s="14" t="str">
        <f ca="1">IF(IW$1="","",'Total Value'!IW52/'Total Value'!IV52-1)</f>
        <v/>
      </c>
      <c r="IX40" s="14" t="str">
        <f ca="1">IF(IX$1="","",'Total Value'!IX52/'Total Value'!IW52-1)</f>
        <v/>
      </c>
      <c r="IY40" s="14" t="str">
        <f ca="1">IF(IY$1="","",'Total Value'!IY52/'Total Value'!IX52-1)</f>
        <v/>
      </c>
      <c r="IZ40" s="14" t="str">
        <f ca="1">IF(IZ$1="","",'Total Value'!IZ52/'Total Value'!IY52-1)</f>
        <v/>
      </c>
      <c r="JA40" s="14" t="str">
        <f ca="1">IF(JA$1="","",'Total Value'!JA52/'Total Value'!IZ52-1)</f>
        <v/>
      </c>
      <c r="JB40" s="14" t="str">
        <f ca="1">IF(JB$1="","",'Total Value'!JB52/'Total Value'!JA52-1)</f>
        <v/>
      </c>
      <c r="JC40" s="14" t="str">
        <f ca="1">IF(JC$1="","",'Total Value'!JC52/'Total Value'!JB52-1)</f>
        <v/>
      </c>
      <c r="JD40" s="14" t="str">
        <f ca="1">IF(JD$1="","",'Total Value'!JD52/'Total Value'!JC52-1)</f>
        <v/>
      </c>
      <c r="JE40" s="14" t="str">
        <f ca="1">IF(JE$1="","",'Total Value'!JE52/'Total Value'!JD52-1)</f>
        <v/>
      </c>
      <c r="JF40" s="14" t="str">
        <f ca="1">IF(JF$1="","",'Total Value'!JF52/'Total Value'!JE52-1)</f>
        <v/>
      </c>
      <c r="JG40" s="14" t="str">
        <f ca="1">IF(JG$1="","",'Total Value'!JG52/'Total Value'!JF52-1)</f>
        <v/>
      </c>
      <c r="JH40" s="14" t="str">
        <f ca="1">IF(JH$1="","",'Total Value'!JH52/'Total Value'!JG52-1)</f>
        <v/>
      </c>
      <c r="JI40" s="14" t="str">
        <f ca="1">IF(JI$1="","",'Total Value'!JI52/'Total Value'!JH52-1)</f>
        <v/>
      </c>
      <c r="JJ40" s="14" t="str">
        <f ca="1">IF(JJ$1="","",'Total Value'!JJ52/'Total Value'!JI52-1)</f>
        <v/>
      </c>
      <c r="JK40" s="14" t="str">
        <f ca="1">IF(JK$1="","",'Total Value'!JK52/'Total Value'!JJ52-1)</f>
        <v/>
      </c>
      <c r="JL40" s="14" t="str">
        <f ca="1">IF(JL$1="","",'Total Value'!JL52/'Total Value'!JK52-1)</f>
        <v/>
      </c>
      <c r="JM40" s="14" t="str">
        <f ca="1">IF(JM$1="","",'Total Value'!JM52/'Total Value'!JL52-1)</f>
        <v/>
      </c>
      <c r="JN40" s="14" t="str">
        <f ca="1">IF(JN$1="","",'Total Value'!JN52/'Total Value'!JM52-1)</f>
        <v/>
      </c>
      <c r="JO40" s="14" t="str">
        <f ca="1">IF(JO$1="","",'Total Value'!JO52/'Total Value'!JN52-1)</f>
        <v/>
      </c>
      <c r="JP40" s="14" t="str">
        <f ca="1">IF(JP$1="","",'Total Value'!JP52/'Total Value'!JO52-1)</f>
        <v/>
      </c>
      <c r="JQ40" s="14" t="str">
        <f ca="1">IF(JQ$1="","",'Total Value'!JQ52/'Total Value'!JP52-1)</f>
        <v/>
      </c>
      <c r="JR40" s="14" t="str">
        <f ca="1">IF(JR$1="","",'Total Value'!JR52/'Total Value'!JQ52-1)</f>
        <v/>
      </c>
      <c r="JS40" s="14" t="str">
        <f ca="1">IF(JS$1="","",'Total Value'!JS52/'Total Value'!JR52-1)</f>
        <v/>
      </c>
      <c r="JT40" s="14" t="str">
        <f ca="1">IF(JT$1="","",'Total Value'!JT52/'Total Value'!JS52-1)</f>
        <v/>
      </c>
      <c r="JU40" s="14" t="str">
        <f ca="1">IF(JU$1="","",'Total Value'!JU52/'Total Value'!JT52-1)</f>
        <v/>
      </c>
      <c r="JV40" s="14" t="str">
        <f ca="1">IF(JV$1="","",'Total Value'!JV52/'Total Value'!JU52-1)</f>
        <v/>
      </c>
      <c r="JW40" s="14" t="str">
        <f ca="1">IF(JW$1="","",'Total Value'!JW52/'Total Value'!JV52-1)</f>
        <v/>
      </c>
      <c r="JX40" s="14" t="str">
        <f ca="1">IF(JX$1="","",'Total Value'!JX52/'Total Value'!JW52-1)</f>
        <v/>
      </c>
      <c r="JY40" s="14" t="str">
        <f ca="1">IF(JY$1="","",'Total Value'!JY52/'Total Value'!JX52-1)</f>
        <v/>
      </c>
      <c r="JZ40" s="14" t="str">
        <f ca="1">IF(JZ$1="","",'Total Value'!JZ52/'Total Value'!JY52-1)</f>
        <v/>
      </c>
      <c r="KA40" s="14" t="str">
        <f ca="1">IF(KA$1="","",'Total Value'!KA52/'Total Value'!JZ52-1)</f>
        <v/>
      </c>
      <c r="KB40" s="14" t="str">
        <f ca="1">IF(KB$1="","",'Total Value'!KB52/'Total Value'!KA52-1)</f>
        <v/>
      </c>
    </row>
    <row r="41" spans="1:288" ht="15.75" customHeight="1">
      <c r="A41" s="22" t="s">
        <v>30</v>
      </c>
      <c r="B41" s="6" t="s">
        <v>84</v>
      </c>
      <c r="C41" s="26">
        <v>39</v>
      </c>
      <c r="D41" s="13">
        <v>0</v>
      </c>
      <c r="E41" s="14">
        <f ca="1">IF(E$1="","",'Total Value'!E53/'Total Value'!D53-1)</f>
        <v>0.1044487427466152</v>
      </c>
      <c r="F41" s="14">
        <f ca="1">IF(F$1="","",'Total Value'!F53/'Total Value'!E53-1)</f>
        <v>8.756567425569628E-4</v>
      </c>
      <c r="G41" s="14">
        <f ca="1">IF(G$1="","",'Total Value'!G53/'Total Value'!F53-1)</f>
        <v>-3.3245844269466196E-2</v>
      </c>
      <c r="H41" s="14">
        <f ca="1">IF(H$1="","",'Total Value'!H53/'Total Value'!G53-1)</f>
        <v>2.3529411764705799E-2</v>
      </c>
      <c r="I41" s="14">
        <f ca="1">IF(I$1="","",'Total Value'!I53/'Total Value'!H53-1)</f>
        <v>-2.1220159151193685E-2</v>
      </c>
      <c r="J41" s="14">
        <f ca="1">IF(J$1="","",'Total Value'!J53/'Total Value'!I53-1)</f>
        <v>-4.5167118337851031E-3</v>
      </c>
      <c r="K41" s="14">
        <f ca="1">IF(K$1="","",'Total Value'!K53/'Total Value'!J53-1)</f>
        <v>-7.1687840290381E-2</v>
      </c>
      <c r="L41" s="14">
        <f ca="1">IF(L$1="","",'Total Value'!L53/'Total Value'!K53-1)</f>
        <v>-4.3988269794721591E-2</v>
      </c>
      <c r="M41" s="14">
        <f ca="1">IF(M$1="","",'Total Value'!M53/'Total Value'!L53-1)</f>
        <v>3.5787321063394995E-2</v>
      </c>
      <c r="N41" s="14">
        <f ca="1">IF(N$1="","",'Total Value'!N53/'Total Value'!M53-1)</f>
        <v>3.3563672260612076E-2</v>
      </c>
      <c r="O41" s="14">
        <f ca="1">IF(O$1="","",'Total Value'!O53/'Total Value'!N53-1)</f>
        <v>-2.6743075453677378E-2</v>
      </c>
      <c r="P41" s="14">
        <f ca="1">IF(P$1="","",'Total Value'!P53/'Total Value'!O53-1)</f>
        <v>4.9067713444554961E-3</v>
      </c>
      <c r="Q41" s="14">
        <f ca="1">IF(Q$1="","",'Total Value'!Q53/'Total Value'!P53-1)</f>
        <v>5.859375E-3</v>
      </c>
      <c r="R41" s="14">
        <f ca="1">IF(R$1="","",'Total Value'!R53/'Total Value'!Q53-1)</f>
        <v>3.3009708737864019E-2</v>
      </c>
      <c r="S41" s="14">
        <f ca="1">IF(S$1="","",'Total Value'!S53/'Total Value'!R53-1)</f>
        <v>6.1090225563909639E-2</v>
      </c>
      <c r="T41" s="14">
        <f ca="1">IF(T$1="","",'Total Value'!T53/'Total Value'!S53-1)</f>
        <v>5.3144375553588752E-3</v>
      </c>
      <c r="U41" s="14">
        <f ca="1">IF(U$1="","",'Total Value'!U53/'Total Value'!T53-1)</f>
        <v>-1.5859030837004351E-2</v>
      </c>
      <c r="V41" s="14">
        <f ca="1">IF(V$1="","",'Total Value'!V53/'Total Value'!U53-1)</f>
        <v>4.1181736794986712E-2</v>
      </c>
      <c r="W41" s="14">
        <f ca="1">IF(W$1="","",'Total Value'!W53/'Total Value'!V53-1)</f>
        <v>0</v>
      </c>
      <c r="X41" s="14">
        <f ca="1">IF(X$1="","",'Total Value'!X53/'Total Value'!W53-1)</f>
        <v>-6.1908856405846979E-2</v>
      </c>
      <c r="Y41" s="14">
        <f ca="1">IF(Y$1="","",'Total Value'!Y53/'Total Value'!X53-1)</f>
        <v>1.5582034830430747E-2</v>
      </c>
      <c r="Z41" s="14">
        <f ca="1">IF(Z$1="","",'Total Value'!Z53/'Total Value'!Y53-1)</f>
        <v>4.0613718411552258E-2</v>
      </c>
      <c r="AA41" s="14">
        <f ca="1">IF(AA$1="","",'Total Value'!AA53/'Total Value'!Z53-1)</f>
        <v>0.11014744145706867</v>
      </c>
      <c r="AB41" s="14">
        <f ca="1">IF(AB$1="","",'Total Value'!AB53/'Total Value'!AA53-1)</f>
        <v>-5.078125E-2</v>
      </c>
      <c r="AC41" s="14">
        <f ca="1">IF(AC$1="","",'Total Value'!AC53/'Total Value'!AB53-1)</f>
        <v>-2.304526748971214E-2</v>
      </c>
      <c r="AD41" s="14">
        <f ca="1">IF(AD$1="","",'Total Value'!AD53/'Total Value'!AC53-1)</f>
        <v>4.9705139005897347E-2</v>
      </c>
      <c r="AE41" s="14">
        <f ca="1">IF(AE$1="","",'Total Value'!AE53/'Total Value'!AD53-1)</f>
        <v>1.1235955056179581E-2</v>
      </c>
      <c r="AF41" s="14">
        <f ca="1">IF(AF$1="","",'Total Value'!AF53/'Total Value'!AE53-1)</f>
        <v>-3.4920634920634908E-2</v>
      </c>
      <c r="AG41" s="14">
        <f ca="1">IF(AG$1="","",'Total Value'!AG53/'Total Value'!AF53-1)</f>
        <v>9.8684210526314153E-3</v>
      </c>
      <c r="AH41" s="14">
        <f ca="1">IF(AH$1="","",'Total Value'!AH53/'Total Value'!AG53-1)</f>
        <v>4.8859934853420439E-2</v>
      </c>
      <c r="AI41" s="14">
        <f ca="1">IF(AI$1="","",'Total Value'!AI53/'Total Value'!AH53-1)</f>
        <v>2.3291925465838359E-2</v>
      </c>
      <c r="AJ41" s="14">
        <f ca="1">IF(AJ$1="","",'Total Value'!AJ53/'Total Value'!AI53-1)</f>
        <v>7.1320182094081863E-2</v>
      </c>
      <c r="AK41" s="14">
        <f ca="1">IF(AK$1="","",'Total Value'!AK53/'Total Value'!AJ53-1)</f>
        <v>0.11260623229461775</v>
      </c>
      <c r="AL41" s="14">
        <f ca="1">IF(AL$1="","",'Total Value'!AL53/'Total Value'!AK53-1)</f>
        <v>9.1024824952259609E-2</v>
      </c>
      <c r="AM41" s="14">
        <f ca="1">IF(AM$1="","",'Total Value'!AM53/'Total Value'!AL53-1)</f>
        <v>1.2835472578762941E-2</v>
      </c>
      <c r="AN41" s="14">
        <f ca="1">IF(AN$1="","",'Total Value'!AN53/'Total Value'!AM53-1)</f>
        <v>-1.1520737327188613E-3</v>
      </c>
      <c r="AO41" s="14">
        <f ca="1">IF(AO$1="","",'Total Value'!AO53/'Total Value'!AN53-1)</f>
        <v>4.325259515570945E-2</v>
      </c>
      <c r="AP41" s="14">
        <f ca="1">IF(AP$1="","",'Total Value'!AP53/'Total Value'!AO53-1)</f>
        <v>2.7086788280817897E-2</v>
      </c>
      <c r="AQ41" s="14">
        <f ca="1">IF(AQ$1="","",'Total Value'!AQ53/'Total Value'!AP53-1)</f>
        <v>-5.9741657696447792E-2</v>
      </c>
      <c r="AR41" s="14">
        <f ca="1">IF(AR$1="","",'Total Value'!AR53/'Total Value'!AQ53-1)</f>
        <v>-4.0641099026903049E-2</v>
      </c>
      <c r="AS41" s="14">
        <f ca="1">IF(AS$1="","",'Total Value'!AS53/'Total Value'!AR53-1)</f>
        <v>-1.1933174224346699E-3</v>
      </c>
      <c r="AT41" s="14">
        <f ca="1">IF(AT$1="","",'Total Value'!AT53/'Total Value'!AS53-1)</f>
        <v>-6.2724014336917433E-2</v>
      </c>
      <c r="AU41" s="14">
        <f ca="1">IF(AU$1="","",'Total Value'!AU53/'Total Value'!AT53-1)</f>
        <v>-4.8438495857233921E-2</v>
      </c>
      <c r="AV41" s="14">
        <f ca="1">IF(AV$1="","",'Total Value'!AV53/'Total Value'!AU53-1)</f>
        <v>-2.5452109845947701E-2</v>
      </c>
      <c r="AW41" s="14">
        <f ca="1">IF(AW$1="","",'Total Value'!AW53/'Total Value'!AV53-1)</f>
        <v>-2.3367697594501746E-2</v>
      </c>
      <c r="AX41" s="14">
        <f ca="1">IF(AX$1="","",'Total Value'!AX53/'Total Value'!AW53-1)</f>
        <v>7.8114004222378464E-2</v>
      </c>
      <c r="AY41" s="14">
        <f ca="1">IF(AY$1="","",'Total Value'!AY53/'Total Value'!AX53-1)</f>
        <v>-1.2402088772845876E-2</v>
      </c>
      <c r="AZ41" s="14">
        <f ca="1">IF(AZ$1="","",'Total Value'!AZ53/'Total Value'!AY53-1)</f>
        <v>2.3132848645075921E-2</v>
      </c>
      <c r="BA41" s="14">
        <f ca="1">IF(BA$1="","",'Total Value'!BA53/'Total Value'!AZ53-1)</f>
        <v>3.8759689922478469E-3</v>
      </c>
      <c r="BB41" s="14">
        <f ca="1">IF(BB$1="","",'Total Value'!BB53/'Total Value'!BA53-1)</f>
        <v>1.2870012870012992E-2</v>
      </c>
      <c r="BC41" s="14">
        <f ca="1">IF(BC$1="","",'Total Value'!BC53/'Total Value'!BB53-1)</f>
        <v>2.5412960609909607E-3</v>
      </c>
      <c r="BD41" s="14">
        <f ca="1">IF(BD$1="","",'Total Value'!BD53/'Total Value'!BC53-1)</f>
        <v>5.1964512040557853E-2</v>
      </c>
      <c r="BE41" s="14">
        <f ca="1">IF(BE$1="","",'Total Value'!BE53/'Total Value'!BD53-1)</f>
        <v>-4.1566265060241081E-2</v>
      </c>
      <c r="BF41" s="14">
        <f ca="1">IF(BF$1="","",'Total Value'!BF53/'Total Value'!BE53-1)</f>
        <v>-2.5141420490258914E-3</v>
      </c>
      <c r="BG41" s="14">
        <f ca="1">IF(BG$1="","",'Total Value'!BG53/'Total Value'!BF53-1)</f>
        <v>4.0327662255828844E-2</v>
      </c>
      <c r="BH41" s="14">
        <f ca="1">IF(BH$1="","",'Total Value'!BH53/'Total Value'!BG53-1)</f>
        <v>-4.3609933373713106E-2</v>
      </c>
      <c r="BI41" s="14">
        <f ca="1">IF(BI$1="","",'Total Value'!BI53/'Total Value'!BH53-1)</f>
        <v>7.9797340088663793E-2</v>
      </c>
      <c r="BJ41" s="14">
        <f ca="1">IF(BJ$1="","",'Total Value'!BJ53/'Total Value'!BI53-1)</f>
        <v>9.3841642228738031E-3</v>
      </c>
      <c r="BK41" s="14">
        <f ca="1">IF(BK$1="","",'Total Value'!BK53/'Total Value'!BJ53-1)</f>
        <v>-2.3823358512492732E-2</v>
      </c>
      <c r="BL41" s="14">
        <f ca="1">IF(BL$1="","",'Total Value'!BL53/'Total Value'!BK53-1)</f>
        <v>3.392857142857153E-2</v>
      </c>
      <c r="BM41" s="14">
        <f ca="1">IF(BM$1="","",'Total Value'!BM53/'Total Value'!BL53-1)</f>
        <v>2.4755325273460027E-2</v>
      </c>
      <c r="BN41" s="14">
        <f ca="1">IF(BN$1="","",'Total Value'!BN53/'Total Value'!BM53-1)</f>
        <v>5.2247191011235872E-2</v>
      </c>
      <c r="BO41" s="14">
        <f ca="1">IF(BO$1="","",'Total Value'!BO53/'Total Value'!BN53-1)</f>
        <v>-3.2034169781099964E-2</v>
      </c>
      <c r="BP41" s="14">
        <f ca="1">IF(BP$1="","",'Total Value'!BP53/'Total Value'!BO53-1)</f>
        <v>2.5923883066740538E-2</v>
      </c>
      <c r="BQ41" s="14">
        <f ca="1">IF(BQ$1="","",'Total Value'!BQ53/'Total Value'!BP53-1)</f>
        <v>8.6021505376343566E-3</v>
      </c>
      <c r="BR41" s="14">
        <f ca="1">IF(BR$1="","",'Total Value'!BR53/'Total Value'!BQ53-1)</f>
        <v>6.3432835820895317E-2</v>
      </c>
      <c r="BS41" s="14">
        <f ca="1">IF(BS$1="","",'Total Value'!BS53/'Total Value'!BR53-1)</f>
        <v>2.5062656641605674E-3</v>
      </c>
      <c r="BT41" s="14">
        <f ca="1">IF(BT$1="","",'Total Value'!BT53/'Total Value'!BS53-1)</f>
        <v>-1.9999999999999907E-2</v>
      </c>
      <c r="BU41" s="14">
        <f ca="1">IF(BU$1="","",'Total Value'!BU53/'Total Value'!BT53-1)</f>
        <v>2.8061224489795755E-2</v>
      </c>
      <c r="BV41" s="14">
        <f ca="1">IF(BV$1="","",'Total Value'!BV53/'Total Value'!BU53-1)</f>
        <v>-6.4019851116625226E-2</v>
      </c>
      <c r="BW41" s="14">
        <f ca="1">IF(BW$1="","",'Total Value'!BW53/'Total Value'!BV53-1)</f>
        <v>-4.4538706256627814E-2</v>
      </c>
      <c r="BX41" s="14">
        <f ca="1">IF(BX$1="","",'Total Value'!BX53/'Total Value'!BW53-1)</f>
        <v>-2.7746947835738389E-3</v>
      </c>
      <c r="BY41" s="14">
        <f ca="1">IF(BY$1="","",'Total Value'!BY53/'Total Value'!BX53-1)</f>
        <v>-6.1213132999442532E-3</v>
      </c>
      <c r="BZ41" s="14">
        <f ca="1">IF(BZ$1="","",'Total Value'!BZ53/'Total Value'!BY53-1)</f>
        <v>1.7917133258678719E-2</v>
      </c>
      <c r="CA41" s="14">
        <f ca="1">IF(CA$1="","",'Total Value'!CA53/'Total Value'!BZ53-1)</f>
        <v>3.7403740374037486E-2</v>
      </c>
      <c r="CB41" s="14">
        <f ca="1">IF(CB$1="","",'Total Value'!CB53/'Total Value'!CA53-1)</f>
        <v>-3.6585365853658347E-2</v>
      </c>
      <c r="CC41" s="14">
        <f ca="1">IF(CC$1="","",'Total Value'!CC53/'Total Value'!CB53-1)</f>
        <v>-5.503577325263187E-4</v>
      </c>
      <c r="CD41" s="14">
        <f ca="1">IF(CD$1="","",'Total Value'!CD53/'Total Value'!CC53-1)</f>
        <v>7.6541850220264385E-2</v>
      </c>
      <c r="CE41" s="14">
        <f ca="1">IF(CE$1="","",'Total Value'!CE53/'Total Value'!CD53-1)</f>
        <v>6.3938618925831303E-2</v>
      </c>
      <c r="CF41" s="14" t="str">
        <f ca="1">IF(CF$1="","",'Total Value'!CF53/'Total Value'!CE53-1)</f>
        <v/>
      </c>
      <c r="CG41" s="14" t="str">
        <f ca="1">IF(CG$1="","",'Total Value'!CG53/'Total Value'!CF53-1)</f>
        <v/>
      </c>
      <c r="CH41" s="14" t="str">
        <f ca="1">IF(CH$1="","",'Total Value'!CH53/'Total Value'!CG53-1)</f>
        <v/>
      </c>
      <c r="CI41" s="14" t="str">
        <f ca="1">IF(CI$1="","",'Total Value'!CI53/'Total Value'!CH53-1)</f>
        <v/>
      </c>
      <c r="CJ41" s="14" t="str">
        <f ca="1">IF(CJ$1="","",'Total Value'!CJ53/'Total Value'!CI53-1)</f>
        <v/>
      </c>
      <c r="CK41" s="14" t="str">
        <f ca="1">IF(CK$1="","",'Total Value'!CK53/'Total Value'!CJ53-1)</f>
        <v/>
      </c>
      <c r="CL41" s="14" t="str">
        <f ca="1">IF(CL$1="","",'Total Value'!CL53/'Total Value'!CK53-1)</f>
        <v/>
      </c>
      <c r="CM41" s="14" t="str">
        <f ca="1">IF(CM$1="","",'Total Value'!CM53/'Total Value'!CL53-1)</f>
        <v/>
      </c>
      <c r="CN41" s="14" t="str">
        <f ca="1">IF(CN$1="","",'Total Value'!CN53/'Total Value'!CM53-1)</f>
        <v/>
      </c>
      <c r="CO41" s="14" t="str">
        <f ca="1">IF(CO$1="","",'Total Value'!CO53/'Total Value'!CN53-1)</f>
        <v/>
      </c>
      <c r="CP41" s="14" t="str">
        <f ca="1">IF(CP$1="","",'Total Value'!CP53/'Total Value'!CO53-1)</f>
        <v/>
      </c>
      <c r="CQ41" s="14" t="str">
        <f ca="1">IF(CQ$1="","",'Total Value'!CQ53/'Total Value'!CP53-1)</f>
        <v/>
      </c>
      <c r="CR41" s="14" t="str">
        <f ca="1">IF(CR$1="","",'Total Value'!CR53/'Total Value'!CQ53-1)</f>
        <v/>
      </c>
      <c r="CS41" s="14" t="str">
        <f ca="1">IF(CS$1="","",'Total Value'!CS53/'Total Value'!CR53-1)</f>
        <v/>
      </c>
      <c r="CT41" s="14" t="str">
        <f ca="1">IF(CT$1="","",'Total Value'!CT53/'Total Value'!CS53-1)</f>
        <v/>
      </c>
      <c r="CU41" s="14" t="str">
        <f ca="1">IF(CU$1="","",'Total Value'!CU53/'Total Value'!CT53-1)</f>
        <v/>
      </c>
      <c r="CV41" s="14" t="str">
        <f ca="1">IF(CV$1="","",'Total Value'!CV53/'Total Value'!CU53-1)</f>
        <v/>
      </c>
      <c r="CW41" s="14" t="str">
        <f ca="1">IF(CW$1="","",'Total Value'!CW53/'Total Value'!CV53-1)</f>
        <v/>
      </c>
      <c r="CX41" s="14" t="str">
        <f ca="1">IF(CX$1="","",'Total Value'!CX53/'Total Value'!CW53-1)</f>
        <v/>
      </c>
      <c r="CY41" s="14" t="str">
        <f ca="1">IF(CY$1="","",'Total Value'!CY53/'Total Value'!CX53-1)</f>
        <v/>
      </c>
      <c r="CZ41" s="14" t="str">
        <f ca="1">IF(CZ$1="","",'Total Value'!CZ53/'Total Value'!CY53-1)</f>
        <v/>
      </c>
      <c r="DA41" s="14" t="str">
        <f ca="1">IF(DA$1="","",'Total Value'!DA53/'Total Value'!CZ53-1)</f>
        <v/>
      </c>
      <c r="DB41" s="14" t="str">
        <f ca="1">IF(DB$1="","",'Total Value'!DB53/'Total Value'!DA53-1)</f>
        <v/>
      </c>
      <c r="DC41" s="14" t="str">
        <f ca="1">IF(DC$1="","",'Total Value'!DC53/'Total Value'!DB53-1)</f>
        <v/>
      </c>
      <c r="DD41" s="14" t="str">
        <f ca="1">IF(DD$1="","",'Total Value'!DD53/'Total Value'!DC53-1)</f>
        <v/>
      </c>
      <c r="DE41" s="14" t="str">
        <f ca="1">IF(DE$1="","",'Total Value'!DE53/'Total Value'!DD53-1)</f>
        <v/>
      </c>
      <c r="DF41" s="14" t="str">
        <f ca="1">IF(DF$1="","",'Total Value'!DF53/'Total Value'!DE53-1)</f>
        <v/>
      </c>
      <c r="DG41" s="14" t="str">
        <f ca="1">IF(DG$1="","",'Total Value'!DG53/'Total Value'!DF53-1)</f>
        <v/>
      </c>
      <c r="DH41" s="14" t="str">
        <f ca="1">IF(DH$1="","",'Total Value'!DH53/'Total Value'!DG53-1)</f>
        <v/>
      </c>
      <c r="DI41" s="14" t="str">
        <f ca="1">IF(DI$1="","",'Total Value'!DI53/'Total Value'!DH53-1)</f>
        <v/>
      </c>
      <c r="DJ41" s="14" t="str">
        <f ca="1">IF(DJ$1="","",'Total Value'!DJ53/'Total Value'!DI53-1)</f>
        <v/>
      </c>
      <c r="DK41" s="14" t="str">
        <f ca="1">IF(DK$1="","",'Total Value'!DK53/'Total Value'!DJ53-1)</f>
        <v/>
      </c>
      <c r="DL41" s="14" t="str">
        <f ca="1">IF(DL$1="","",'Total Value'!DL53/'Total Value'!DK53-1)</f>
        <v/>
      </c>
      <c r="DM41" s="14" t="str">
        <f ca="1">IF(DM$1="","",'Total Value'!DM53/'Total Value'!DL53-1)</f>
        <v/>
      </c>
      <c r="DN41" s="14" t="str">
        <f ca="1">IF(DN$1="","",'Total Value'!DN53/'Total Value'!DM53-1)</f>
        <v/>
      </c>
      <c r="DO41" s="14" t="str">
        <f ca="1">IF(DO$1="","",'Total Value'!DO53/'Total Value'!DN53-1)</f>
        <v/>
      </c>
      <c r="DP41" s="14" t="str">
        <f ca="1">IF(DP$1="","",'Total Value'!DP53/'Total Value'!DO53-1)</f>
        <v/>
      </c>
      <c r="DQ41" s="14" t="str">
        <f ca="1">IF(DQ$1="","",'Total Value'!DQ53/'Total Value'!DP53-1)</f>
        <v/>
      </c>
      <c r="DR41" s="14" t="str">
        <f ca="1">IF(DR$1="","",'Total Value'!DR53/'Total Value'!DQ53-1)</f>
        <v/>
      </c>
      <c r="DS41" s="14" t="str">
        <f ca="1">IF(DS$1="","",'Total Value'!DS53/'Total Value'!DR53-1)</f>
        <v/>
      </c>
      <c r="DT41" s="14" t="str">
        <f ca="1">IF(DT$1="","",'Total Value'!DT53/'Total Value'!DS53-1)</f>
        <v/>
      </c>
      <c r="DU41" s="14" t="str">
        <f ca="1">IF(DU$1="","",'Total Value'!DU53/'Total Value'!DT53-1)</f>
        <v/>
      </c>
      <c r="DV41" s="14" t="str">
        <f ca="1">IF(DV$1="","",'Total Value'!DV53/'Total Value'!DU53-1)</f>
        <v/>
      </c>
      <c r="DW41" s="14" t="str">
        <f ca="1">IF(DW$1="","",'Total Value'!DW53/'Total Value'!DV53-1)</f>
        <v/>
      </c>
      <c r="DX41" s="14" t="str">
        <f ca="1">IF(DX$1="","",'Total Value'!DX53/'Total Value'!DW53-1)</f>
        <v/>
      </c>
      <c r="DY41" s="14" t="str">
        <f ca="1">IF(DY$1="","",'Total Value'!DY53/'Total Value'!DX53-1)</f>
        <v/>
      </c>
      <c r="DZ41" s="14" t="str">
        <f ca="1">IF(DZ$1="","",'Total Value'!DZ53/'Total Value'!DY53-1)</f>
        <v/>
      </c>
      <c r="EA41" s="14" t="str">
        <f ca="1">IF(EA$1="","",'Total Value'!EA53/'Total Value'!DZ53-1)</f>
        <v/>
      </c>
      <c r="EB41" s="14" t="str">
        <f ca="1">IF(EB$1="","",'Total Value'!EB53/'Total Value'!EA53-1)</f>
        <v/>
      </c>
      <c r="EC41" s="14" t="str">
        <f ca="1">IF(EC$1="","",'Total Value'!EC53/'Total Value'!EB53-1)</f>
        <v/>
      </c>
      <c r="ED41" s="14" t="str">
        <f ca="1">IF(ED$1="","",'Total Value'!ED53/'Total Value'!EC53-1)</f>
        <v/>
      </c>
      <c r="EE41" s="14" t="str">
        <f ca="1">IF(EE$1="","",'Total Value'!EE53/'Total Value'!ED53-1)</f>
        <v/>
      </c>
      <c r="EF41" s="14" t="str">
        <f ca="1">IF(EF$1="","",'Total Value'!EF53/'Total Value'!EE53-1)</f>
        <v/>
      </c>
      <c r="EG41" s="14" t="str">
        <f ca="1">IF(EG$1="","",'Total Value'!EG53/'Total Value'!EF53-1)</f>
        <v/>
      </c>
      <c r="EH41" s="14" t="str">
        <f ca="1">IF(EH$1="","",'Total Value'!EH53/'Total Value'!EG53-1)</f>
        <v/>
      </c>
      <c r="EI41" s="14" t="str">
        <f ca="1">IF(EI$1="","",'Total Value'!EI53/'Total Value'!EH53-1)</f>
        <v/>
      </c>
      <c r="EJ41" s="14" t="str">
        <f ca="1">IF(EJ$1="","",'Total Value'!EJ53/'Total Value'!EI53-1)</f>
        <v/>
      </c>
      <c r="EK41" s="14" t="str">
        <f ca="1">IF(EK$1="","",'Total Value'!EK53/'Total Value'!EJ53-1)</f>
        <v/>
      </c>
      <c r="EL41" s="14" t="str">
        <f ca="1">IF(EL$1="","",'Total Value'!EL53/'Total Value'!EK53-1)</f>
        <v/>
      </c>
      <c r="EM41" s="14" t="str">
        <f ca="1">IF(EM$1="","",'Total Value'!EM53/'Total Value'!EL53-1)</f>
        <v/>
      </c>
      <c r="EN41" s="14" t="str">
        <f ca="1">IF(EN$1="","",'Total Value'!EN53/'Total Value'!EM53-1)</f>
        <v/>
      </c>
      <c r="EO41" s="14" t="str">
        <f ca="1">IF(EO$1="","",'Total Value'!EO53/'Total Value'!EN53-1)</f>
        <v/>
      </c>
      <c r="EP41" s="14" t="str">
        <f ca="1">IF(EP$1="","",'Total Value'!EP53/'Total Value'!EO53-1)</f>
        <v/>
      </c>
      <c r="EQ41" s="14" t="str">
        <f ca="1">IF(EQ$1="","",'Total Value'!EQ53/'Total Value'!EP53-1)</f>
        <v/>
      </c>
      <c r="ER41" s="14" t="str">
        <f ca="1">IF(ER$1="","",'Total Value'!ER53/'Total Value'!EQ53-1)</f>
        <v/>
      </c>
      <c r="ES41" s="14" t="str">
        <f ca="1">IF(ES$1="","",'Total Value'!ES53/'Total Value'!ER53-1)</f>
        <v/>
      </c>
      <c r="ET41" s="14" t="str">
        <f ca="1">IF(ET$1="","",'Total Value'!ET53/'Total Value'!ES53-1)</f>
        <v/>
      </c>
      <c r="EU41" s="14" t="str">
        <f ca="1">IF(EU$1="","",'Total Value'!EU53/'Total Value'!ET53-1)</f>
        <v/>
      </c>
      <c r="EV41" s="14" t="str">
        <f ca="1">IF(EV$1="","",'Total Value'!EV53/'Total Value'!EU53-1)</f>
        <v/>
      </c>
      <c r="EW41" s="14" t="str">
        <f ca="1">IF(EW$1="","",'Total Value'!EW53/'Total Value'!EV53-1)</f>
        <v/>
      </c>
      <c r="EX41" s="14" t="str">
        <f ca="1">IF(EX$1="","",'Total Value'!EX53/'Total Value'!EW53-1)</f>
        <v/>
      </c>
      <c r="EY41" s="14" t="str">
        <f ca="1">IF(EY$1="","",'Total Value'!EY53/'Total Value'!EX53-1)</f>
        <v/>
      </c>
      <c r="EZ41" s="14" t="str">
        <f ca="1">IF(EZ$1="","",'Total Value'!EZ53/'Total Value'!EY53-1)</f>
        <v/>
      </c>
      <c r="FA41" s="14" t="str">
        <f ca="1">IF(FA$1="","",'Total Value'!FA53/'Total Value'!EZ53-1)</f>
        <v/>
      </c>
      <c r="FB41" s="14" t="str">
        <f ca="1">IF(FB$1="","",'Total Value'!FB53/'Total Value'!FA53-1)</f>
        <v/>
      </c>
      <c r="FC41" s="14" t="str">
        <f ca="1">IF(FC$1="","",'Total Value'!FC53/'Total Value'!FB53-1)</f>
        <v/>
      </c>
      <c r="FD41" s="14" t="str">
        <f ca="1">IF(FD$1="","",'Total Value'!FD53/'Total Value'!FC53-1)</f>
        <v/>
      </c>
      <c r="FE41" s="14" t="str">
        <f ca="1">IF(FE$1="","",'Total Value'!FE53/'Total Value'!FD53-1)</f>
        <v/>
      </c>
      <c r="FF41" s="14" t="str">
        <f ca="1">IF(FF$1="","",'Total Value'!FF53/'Total Value'!FE53-1)</f>
        <v/>
      </c>
      <c r="FG41" s="14" t="str">
        <f ca="1">IF(FG$1="","",'Total Value'!FG53/'Total Value'!FF53-1)</f>
        <v/>
      </c>
      <c r="FH41" s="14" t="str">
        <f ca="1">IF(FH$1="","",'Total Value'!FH53/'Total Value'!FG53-1)</f>
        <v/>
      </c>
      <c r="FI41" s="14" t="str">
        <f ca="1">IF(FI$1="","",'Total Value'!FI53/'Total Value'!FH53-1)</f>
        <v/>
      </c>
      <c r="FJ41" s="14" t="str">
        <f ca="1">IF(FJ$1="","",'Total Value'!FJ53/'Total Value'!FI53-1)</f>
        <v/>
      </c>
      <c r="FK41" s="14" t="str">
        <f ca="1">IF(FK$1="","",'Total Value'!FK53/'Total Value'!FJ53-1)</f>
        <v/>
      </c>
      <c r="FL41" s="14" t="str">
        <f ca="1">IF(FL$1="","",'Total Value'!FL53/'Total Value'!FK53-1)</f>
        <v/>
      </c>
      <c r="FM41" s="14" t="str">
        <f ca="1">IF(FM$1="","",'Total Value'!FM53/'Total Value'!FL53-1)</f>
        <v/>
      </c>
      <c r="FN41" s="14" t="str">
        <f ca="1">IF(FN$1="","",'Total Value'!FN53/'Total Value'!FM53-1)</f>
        <v/>
      </c>
      <c r="FO41" s="14" t="str">
        <f ca="1">IF(FO$1="","",'Total Value'!FO53/'Total Value'!FN53-1)</f>
        <v/>
      </c>
      <c r="FP41" s="14" t="str">
        <f ca="1">IF(FP$1="","",'Total Value'!FP53/'Total Value'!FO53-1)</f>
        <v/>
      </c>
      <c r="FQ41" s="14" t="str">
        <f ca="1">IF(FQ$1="","",'Total Value'!FQ53/'Total Value'!FP53-1)</f>
        <v/>
      </c>
      <c r="FR41" s="14" t="str">
        <f ca="1">IF(FR$1="","",'Total Value'!FR53/'Total Value'!FQ53-1)</f>
        <v/>
      </c>
      <c r="FS41" s="14" t="str">
        <f ca="1">IF(FS$1="","",'Total Value'!FS53/'Total Value'!FR53-1)</f>
        <v/>
      </c>
      <c r="FT41" s="14" t="str">
        <f ca="1">IF(FT$1="","",'Total Value'!FT53/'Total Value'!FS53-1)</f>
        <v/>
      </c>
      <c r="FU41" s="14" t="str">
        <f ca="1">IF(FU$1="","",'Total Value'!FU53/'Total Value'!FT53-1)</f>
        <v/>
      </c>
      <c r="FV41" s="14" t="str">
        <f ca="1">IF(FV$1="","",'Total Value'!FV53/'Total Value'!FU53-1)</f>
        <v/>
      </c>
      <c r="FW41" s="14" t="str">
        <f ca="1">IF(FW$1="","",'Total Value'!FW53/'Total Value'!FV53-1)</f>
        <v/>
      </c>
      <c r="FX41" s="14" t="str">
        <f ca="1">IF(FX$1="","",'Total Value'!FX53/'Total Value'!FW53-1)</f>
        <v/>
      </c>
      <c r="FY41" s="14" t="str">
        <f ca="1">IF(FY$1="","",'Total Value'!FY53/'Total Value'!FX53-1)</f>
        <v/>
      </c>
      <c r="FZ41" s="14" t="str">
        <f ca="1">IF(FZ$1="","",'Total Value'!FZ53/'Total Value'!FY53-1)</f>
        <v/>
      </c>
      <c r="GA41" s="14" t="str">
        <f ca="1">IF(GA$1="","",'Total Value'!GA53/'Total Value'!FZ53-1)</f>
        <v/>
      </c>
      <c r="GB41" s="14" t="str">
        <f ca="1">IF(GB$1="","",'Total Value'!GB53/'Total Value'!GA53-1)</f>
        <v/>
      </c>
      <c r="GC41" s="14" t="str">
        <f ca="1">IF(GC$1="","",'Total Value'!GC53/'Total Value'!GB53-1)</f>
        <v/>
      </c>
      <c r="GD41" s="14" t="str">
        <f ca="1">IF(GD$1="","",'Total Value'!GD53/'Total Value'!GC53-1)</f>
        <v/>
      </c>
      <c r="GE41" s="14" t="str">
        <f ca="1">IF(GE$1="","",'Total Value'!GE53/'Total Value'!GD53-1)</f>
        <v/>
      </c>
      <c r="GF41" s="14" t="str">
        <f ca="1">IF(GF$1="","",'Total Value'!GF53/'Total Value'!GE53-1)</f>
        <v/>
      </c>
      <c r="GG41" s="14" t="str">
        <f ca="1">IF(GG$1="","",'Total Value'!GG53/'Total Value'!GF53-1)</f>
        <v/>
      </c>
      <c r="GH41" s="14" t="str">
        <f ca="1">IF(GH$1="","",'Total Value'!GH53/'Total Value'!GG53-1)</f>
        <v/>
      </c>
      <c r="GI41" s="14" t="str">
        <f ca="1">IF(GI$1="","",'Total Value'!GI53/'Total Value'!GH53-1)</f>
        <v/>
      </c>
      <c r="GJ41" s="14" t="str">
        <f ca="1">IF(GJ$1="","",'Total Value'!GJ53/'Total Value'!GI53-1)</f>
        <v/>
      </c>
      <c r="GK41" s="14" t="str">
        <f ca="1">IF(GK$1="","",'Total Value'!GK53/'Total Value'!GJ53-1)</f>
        <v/>
      </c>
      <c r="GL41" s="14" t="str">
        <f ca="1">IF(GL$1="","",'Total Value'!GL53/'Total Value'!GK53-1)</f>
        <v/>
      </c>
      <c r="GM41" s="14" t="str">
        <f ca="1">IF(GM$1="","",'Total Value'!GM53/'Total Value'!GL53-1)</f>
        <v/>
      </c>
      <c r="GN41" s="14" t="str">
        <f ca="1">IF(GN$1="","",'Total Value'!GN53/'Total Value'!GM53-1)</f>
        <v/>
      </c>
      <c r="GO41" s="14" t="str">
        <f ca="1">IF(GO$1="","",'Total Value'!GO53/'Total Value'!GN53-1)</f>
        <v/>
      </c>
      <c r="GP41" s="14" t="str">
        <f ca="1">IF(GP$1="","",'Total Value'!GP53/'Total Value'!GO53-1)</f>
        <v/>
      </c>
      <c r="GQ41" s="14" t="str">
        <f ca="1">IF(GQ$1="","",'Total Value'!GQ53/'Total Value'!GP53-1)</f>
        <v/>
      </c>
      <c r="GR41" s="14" t="str">
        <f ca="1">IF(GR$1="","",'Total Value'!GR53/'Total Value'!GQ53-1)</f>
        <v/>
      </c>
      <c r="GS41" s="14" t="str">
        <f ca="1">IF(GS$1="","",'Total Value'!GS53/'Total Value'!GR53-1)</f>
        <v/>
      </c>
      <c r="GT41" s="14" t="str">
        <f ca="1">IF(GT$1="","",'Total Value'!GT53/'Total Value'!GS53-1)</f>
        <v/>
      </c>
      <c r="GU41" s="14" t="str">
        <f ca="1">IF(GU$1="","",'Total Value'!GU53/'Total Value'!GT53-1)</f>
        <v/>
      </c>
      <c r="GV41" s="14" t="str">
        <f ca="1">IF(GV$1="","",'Total Value'!GV53/'Total Value'!GU53-1)</f>
        <v/>
      </c>
      <c r="GW41" s="14" t="str">
        <f ca="1">IF(GW$1="","",'Total Value'!GW53/'Total Value'!GV53-1)</f>
        <v/>
      </c>
      <c r="GX41" s="14" t="str">
        <f ca="1">IF(GX$1="","",'Total Value'!GX53/'Total Value'!GW53-1)</f>
        <v/>
      </c>
      <c r="GY41" s="14" t="str">
        <f ca="1">IF(GY$1="","",'Total Value'!GY53/'Total Value'!GX53-1)</f>
        <v/>
      </c>
      <c r="GZ41" s="14" t="str">
        <f ca="1">IF(GZ$1="","",'Total Value'!GZ53/'Total Value'!GY53-1)</f>
        <v/>
      </c>
      <c r="HA41" s="14" t="str">
        <f ca="1">IF(HA$1="","",'Total Value'!HA53/'Total Value'!GZ53-1)</f>
        <v/>
      </c>
      <c r="HB41" s="14" t="str">
        <f ca="1">IF(HB$1="","",'Total Value'!HB53/'Total Value'!HA53-1)</f>
        <v/>
      </c>
      <c r="HC41" s="14" t="str">
        <f ca="1">IF(HC$1="","",'Total Value'!HC53/'Total Value'!HB53-1)</f>
        <v/>
      </c>
      <c r="HD41" s="14" t="str">
        <f ca="1">IF(HD$1="","",'Total Value'!HD53/'Total Value'!HC53-1)</f>
        <v/>
      </c>
      <c r="HE41" s="14" t="str">
        <f ca="1">IF(HE$1="","",'Total Value'!HE53/'Total Value'!HD53-1)</f>
        <v/>
      </c>
      <c r="HF41" s="14" t="str">
        <f ca="1">IF(HF$1="","",'Total Value'!HF53/'Total Value'!HE53-1)</f>
        <v/>
      </c>
      <c r="HG41" s="14" t="str">
        <f ca="1">IF(HG$1="","",'Total Value'!HG53/'Total Value'!HF53-1)</f>
        <v/>
      </c>
      <c r="HH41" s="14" t="str">
        <f ca="1">IF(HH$1="","",'Total Value'!HH53/'Total Value'!HG53-1)</f>
        <v/>
      </c>
      <c r="HI41" s="14" t="str">
        <f ca="1">IF(HI$1="","",'Total Value'!HI53/'Total Value'!HH53-1)</f>
        <v/>
      </c>
      <c r="HJ41" s="14" t="str">
        <f ca="1">IF(HJ$1="","",'Total Value'!HJ53/'Total Value'!HI53-1)</f>
        <v/>
      </c>
      <c r="HK41" s="14" t="str">
        <f ca="1">IF(HK$1="","",'Total Value'!HK53/'Total Value'!HJ53-1)</f>
        <v/>
      </c>
      <c r="HL41" s="14" t="str">
        <f ca="1">IF(HL$1="","",'Total Value'!HL53/'Total Value'!HK53-1)</f>
        <v/>
      </c>
      <c r="HM41" s="14" t="str">
        <f ca="1">IF(HM$1="","",'Total Value'!HM53/'Total Value'!HL53-1)</f>
        <v/>
      </c>
      <c r="HN41" s="14" t="str">
        <f ca="1">IF(HN$1="","",'Total Value'!HN53/'Total Value'!HM53-1)</f>
        <v/>
      </c>
      <c r="HO41" s="14" t="str">
        <f ca="1">IF(HO$1="","",'Total Value'!HO53/'Total Value'!HN53-1)</f>
        <v/>
      </c>
      <c r="HP41" s="14" t="str">
        <f ca="1">IF(HP$1="","",'Total Value'!HP53/'Total Value'!HO53-1)</f>
        <v/>
      </c>
      <c r="HQ41" s="14" t="str">
        <f ca="1">IF(HQ$1="","",'Total Value'!HQ53/'Total Value'!HP53-1)</f>
        <v/>
      </c>
      <c r="HR41" s="14" t="str">
        <f ca="1">IF(HR$1="","",'Total Value'!HR53/'Total Value'!HQ53-1)</f>
        <v/>
      </c>
      <c r="HS41" s="14" t="str">
        <f ca="1">IF(HS$1="","",'Total Value'!HS53/'Total Value'!HR53-1)</f>
        <v/>
      </c>
      <c r="HT41" s="14" t="str">
        <f ca="1">IF(HT$1="","",'Total Value'!HT53/'Total Value'!HS53-1)</f>
        <v/>
      </c>
      <c r="HU41" s="14" t="str">
        <f ca="1">IF(HU$1="","",'Total Value'!HU53/'Total Value'!HT53-1)</f>
        <v/>
      </c>
      <c r="HV41" s="14" t="str">
        <f ca="1">IF(HV$1="","",'Total Value'!HV53/'Total Value'!HU53-1)</f>
        <v/>
      </c>
      <c r="HW41" s="14" t="str">
        <f ca="1">IF(HW$1="","",'Total Value'!HW53/'Total Value'!HV53-1)</f>
        <v/>
      </c>
      <c r="HX41" s="14" t="str">
        <f ca="1">IF(HX$1="","",'Total Value'!HX53/'Total Value'!HW53-1)</f>
        <v/>
      </c>
      <c r="HY41" s="14" t="str">
        <f ca="1">IF(HY$1="","",'Total Value'!HY53/'Total Value'!HX53-1)</f>
        <v/>
      </c>
      <c r="HZ41" s="14" t="str">
        <f ca="1">IF(HZ$1="","",'Total Value'!HZ53/'Total Value'!HY53-1)</f>
        <v/>
      </c>
      <c r="IA41" s="14" t="str">
        <f ca="1">IF(IA$1="","",'Total Value'!IA53/'Total Value'!HZ53-1)</f>
        <v/>
      </c>
      <c r="IB41" s="14" t="str">
        <f ca="1">IF(IB$1="","",'Total Value'!IB53/'Total Value'!IA53-1)</f>
        <v/>
      </c>
      <c r="IC41" s="14" t="str">
        <f ca="1">IF(IC$1="","",'Total Value'!IC53/'Total Value'!IB53-1)</f>
        <v/>
      </c>
      <c r="ID41" s="14" t="str">
        <f ca="1">IF(ID$1="","",'Total Value'!ID53/'Total Value'!IC53-1)</f>
        <v/>
      </c>
      <c r="IE41" s="14" t="str">
        <f ca="1">IF(IE$1="","",'Total Value'!IE53/'Total Value'!ID53-1)</f>
        <v/>
      </c>
      <c r="IF41" s="14" t="str">
        <f ca="1">IF(IF$1="","",'Total Value'!IF53/'Total Value'!IE53-1)</f>
        <v/>
      </c>
      <c r="IG41" s="14" t="str">
        <f ca="1">IF(IG$1="","",'Total Value'!IG53/'Total Value'!IF53-1)</f>
        <v/>
      </c>
      <c r="IH41" s="14" t="str">
        <f ca="1">IF(IH$1="","",'Total Value'!IH53/'Total Value'!IG53-1)</f>
        <v/>
      </c>
      <c r="II41" s="14" t="str">
        <f ca="1">IF(II$1="","",'Total Value'!II53/'Total Value'!IH53-1)</f>
        <v/>
      </c>
      <c r="IJ41" s="14" t="str">
        <f ca="1">IF(IJ$1="","",'Total Value'!IJ53/'Total Value'!II53-1)</f>
        <v/>
      </c>
      <c r="IK41" s="14" t="str">
        <f ca="1">IF(IK$1="","",'Total Value'!IK53/'Total Value'!IJ53-1)</f>
        <v/>
      </c>
      <c r="IL41" s="14" t="str">
        <f ca="1">IF(IL$1="","",'Total Value'!IL53/'Total Value'!IK53-1)</f>
        <v/>
      </c>
      <c r="IM41" s="14" t="str">
        <f ca="1">IF(IM$1="","",'Total Value'!IM53/'Total Value'!IL53-1)</f>
        <v/>
      </c>
      <c r="IN41" s="14" t="str">
        <f ca="1">IF(IN$1="","",'Total Value'!IN53/'Total Value'!IM53-1)</f>
        <v/>
      </c>
      <c r="IO41" s="14" t="str">
        <f ca="1">IF(IO$1="","",'Total Value'!IO53/'Total Value'!IN53-1)</f>
        <v/>
      </c>
      <c r="IP41" s="14" t="str">
        <f ca="1">IF(IP$1="","",'Total Value'!IP53/'Total Value'!IO53-1)</f>
        <v/>
      </c>
      <c r="IQ41" s="14" t="str">
        <f ca="1">IF(IQ$1="","",'Total Value'!IQ53/'Total Value'!IP53-1)</f>
        <v/>
      </c>
      <c r="IR41" s="14" t="str">
        <f ca="1">IF(IR$1="","",'Total Value'!IR53/'Total Value'!IQ53-1)</f>
        <v/>
      </c>
      <c r="IS41" s="14" t="str">
        <f ca="1">IF(IS$1="","",'Total Value'!IS53/'Total Value'!IR53-1)</f>
        <v/>
      </c>
      <c r="IT41" s="14" t="str">
        <f ca="1">IF(IT$1="","",'Total Value'!IT53/'Total Value'!IS53-1)</f>
        <v/>
      </c>
      <c r="IU41" s="14" t="str">
        <f ca="1">IF(IU$1="","",'Total Value'!IU53/'Total Value'!IT53-1)</f>
        <v/>
      </c>
      <c r="IV41" s="14" t="str">
        <f ca="1">IF(IV$1="","",'Total Value'!IV53/'Total Value'!IU53-1)</f>
        <v/>
      </c>
      <c r="IW41" s="14" t="str">
        <f ca="1">IF(IW$1="","",'Total Value'!IW53/'Total Value'!IV53-1)</f>
        <v/>
      </c>
      <c r="IX41" s="14" t="str">
        <f ca="1">IF(IX$1="","",'Total Value'!IX53/'Total Value'!IW53-1)</f>
        <v/>
      </c>
      <c r="IY41" s="14" t="str">
        <f ca="1">IF(IY$1="","",'Total Value'!IY53/'Total Value'!IX53-1)</f>
        <v/>
      </c>
      <c r="IZ41" s="14" t="str">
        <f ca="1">IF(IZ$1="","",'Total Value'!IZ53/'Total Value'!IY53-1)</f>
        <v/>
      </c>
      <c r="JA41" s="14" t="str">
        <f ca="1">IF(JA$1="","",'Total Value'!JA53/'Total Value'!IZ53-1)</f>
        <v/>
      </c>
      <c r="JB41" s="14" t="str">
        <f ca="1">IF(JB$1="","",'Total Value'!JB53/'Total Value'!JA53-1)</f>
        <v/>
      </c>
      <c r="JC41" s="14" t="str">
        <f ca="1">IF(JC$1="","",'Total Value'!JC53/'Total Value'!JB53-1)</f>
        <v/>
      </c>
      <c r="JD41" s="14" t="str">
        <f ca="1">IF(JD$1="","",'Total Value'!JD53/'Total Value'!JC53-1)</f>
        <v/>
      </c>
      <c r="JE41" s="14" t="str">
        <f ca="1">IF(JE$1="","",'Total Value'!JE53/'Total Value'!JD53-1)</f>
        <v/>
      </c>
      <c r="JF41" s="14" t="str">
        <f ca="1">IF(JF$1="","",'Total Value'!JF53/'Total Value'!JE53-1)</f>
        <v/>
      </c>
      <c r="JG41" s="14" t="str">
        <f ca="1">IF(JG$1="","",'Total Value'!JG53/'Total Value'!JF53-1)</f>
        <v/>
      </c>
      <c r="JH41" s="14" t="str">
        <f ca="1">IF(JH$1="","",'Total Value'!JH53/'Total Value'!JG53-1)</f>
        <v/>
      </c>
      <c r="JI41" s="14" t="str">
        <f ca="1">IF(JI$1="","",'Total Value'!JI53/'Total Value'!JH53-1)</f>
        <v/>
      </c>
      <c r="JJ41" s="14" t="str">
        <f ca="1">IF(JJ$1="","",'Total Value'!JJ53/'Total Value'!JI53-1)</f>
        <v/>
      </c>
      <c r="JK41" s="14" t="str">
        <f ca="1">IF(JK$1="","",'Total Value'!JK53/'Total Value'!JJ53-1)</f>
        <v/>
      </c>
      <c r="JL41" s="14" t="str">
        <f ca="1">IF(JL$1="","",'Total Value'!JL53/'Total Value'!JK53-1)</f>
        <v/>
      </c>
      <c r="JM41" s="14" t="str">
        <f ca="1">IF(JM$1="","",'Total Value'!JM53/'Total Value'!JL53-1)</f>
        <v/>
      </c>
      <c r="JN41" s="14" t="str">
        <f ca="1">IF(JN$1="","",'Total Value'!JN53/'Total Value'!JM53-1)</f>
        <v/>
      </c>
      <c r="JO41" s="14" t="str">
        <f ca="1">IF(JO$1="","",'Total Value'!JO53/'Total Value'!JN53-1)</f>
        <v/>
      </c>
      <c r="JP41" s="14" t="str">
        <f ca="1">IF(JP$1="","",'Total Value'!JP53/'Total Value'!JO53-1)</f>
        <v/>
      </c>
      <c r="JQ41" s="14" t="str">
        <f ca="1">IF(JQ$1="","",'Total Value'!JQ53/'Total Value'!JP53-1)</f>
        <v/>
      </c>
      <c r="JR41" s="14" t="str">
        <f ca="1">IF(JR$1="","",'Total Value'!JR53/'Total Value'!JQ53-1)</f>
        <v/>
      </c>
      <c r="JS41" s="14" t="str">
        <f ca="1">IF(JS$1="","",'Total Value'!JS53/'Total Value'!JR53-1)</f>
        <v/>
      </c>
      <c r="JT41" s="14" t="str">
        <f ca="1">IF(JT$1="","",'Total Value'!JT53/'Total Value'!JS53-1)</f>
        <v/>
      </c>
      <c r="JU41" s="14" t="str">
        <f ca="1">IF(JU$1="","",'Total Value'!JU53/'Total Value'!JT53-1)</f>
        <v/>
      </c>
      <c r="JV41" s="14" t="str">
        <f ca="1">IF(JV$1="","",'Total Value'!JV53/'Total Value'!JU53-1)</f>
        <v/>
      </c>
      <c r="JW41" s="14" t="str">
        <f ca="1">IF(JW$1="","",'Total Value'!JW53/'Total Value'!JV53-1)</f>
        <v/>
      </c>
      <c r="JX41" s="14" t="str">
        <f ca="1">IF(JX$1="","",'Total Value'!JX53/'Total Value'!JW53-1)</f>
        <v/>
      </c>
      <c r="JY41" s="14" t="str">
        <f ca="1">IF(JY$1="","",'Total Value'!JY53/'Total Value'!JX53-1)</f>
        <v/>
      </c>
      <c r="JZ41" s="14" t="str">
        <f ca="1">IF(JZ$1="","",'Total Value'!JZ53/'Total Value'!JY53-1)</f>
        <v/>
      </c>
      <c r="KA41" s="14" t="str">
        <f ca="1">IF(KA$1="","",'Total Value'!KA53/'Total Value'!JZ53-1)</f>
        <v/>
      </c>
      <c r="KB41" s="14" t="str">
        <f ca="1">IF(KB$1="","",'Total Value'!KB53/'Total Value'!KA53-1)</f>
        <v/>
      </c>
    </row>
    <row r="42" spans="1:288" ht="15.75" customHeight="1">
      <c r="A42" s="22" t="s">
        <v>30</v>
      </c>
      <c r="B42" s="6" t="s">
        <v>85</v>
      </c>
      <c r="C42" s="26">
        <v>10</v>
      </c>
      <c r="D42" s="13">
        <v>0</v>
      </c>
      <c r="E42" s="14">
        <f ca="1">IF(E$1="","",'Total Value'!E54/'Total Value'!D54-1)</f>
        <v>-1.2711864406779738E-2</v>
      </c>
      <c r="F42" s="14">
        <f ca="1">IF(F$1="","",'Total Value'!F54/'Total Value'!E54-1)</f>
        <v>-2.3410066328521939E-3</v>
      </c>
      <c r="G42" s="14">
        <f ca="1">IF(G$1="","",'Total Value'!G54/'Total Value'!F54-1)</f>
        <v>2.3464998044584462E-3</v>
      </c>
      <c r="H42" s="14">
        <f ca="1">IF(H$1="","",'Total Value'!H54/'Total Value'!G54-1)</f>
        <v>1.5606710885680775E-2</v>
      </c>
      <c r="I42" s="14">
        <f ca="1">IF(I$1="","",'Total Value'!I54/'Total Value'!H54-1)</f>
        <v>-1.0372646945831732E-2</v>
      </c>
      <c r="J42" s="14">
        <f ca="1">IF(J$1="","",'Total Value'!J54/'Total Value'!I54-1)</f>
        <v>-4.2701863354037695E-3</v>
      </c>
      <c r="K42" s="14">
        <f ca="1">IF(K$1="","",'Total Value'!K54/'Total Value'!J54-1)</f>
        <v>-8.966861598440512E-3</v>
      </c>
      <c r="L42" s="14">
        <f ca="1">IF(L$1="","",'Total Value'!L54/'Total Value'!K54-1)</f>
        <v>6.2942564909518328E-3</v>
      </c>
      <c r="M42" s="14">
        <f ca="1">IF(M$1="","",'Total Value'!M54/'Total Value'!L54-1)</f>
        <v>0.11102423768569225</v>
      </c>
      <c r="N42" s="14">
        <f ca="1">IF(N$1="","",'Total Value'!N54/'Total Value'!M54-1)</f>
        <v>7.8114004222378464E-2</v>
      </c>
      <c r="O42" s="14">
        <f ca="1">IF(O$1="","",'Total Value'!O54/'Total Value'!N54-1)</f>
        <v>-2.2519582245430714E-2</v>
      </c>
      <c r="P42" s="14">
        <f ca="1">IF(P$1="","",'Total Value'!P54/'Total Value'!O54-1)</f>
        <v>4.0066777963272404E-3</v>
      </c>
      <c r="Q42" s="14">
        <f ca="1">IF(Q$1="","",'Total Value'!Q54/'Total Value'!P54-1)</f>
        <v>-2.327901563019541E-3</v>
      </c>
      <c r="R42" s="14">
        <f ca="1">IF(R$1="","",'Total Value'!R54/'Total Value'!Q54-1)</f>
        <v>-4.8333333333333339E-2</v>
      </c>
      <c r="S42" s="14">
        <f ca="1">IF(S$1="","",'Total Value'!S54/'Total Value'!R54-1)</f>
        <v>2.5218914185639152E-2</v>
      </c>
      <c r="T42" s="14">
        <f ca="1">IF(T$1="","",'Total Value'!T54/'Total Value'!S54-1)</f>
        <v>-1.9473864024598497E-2</v>
      </c>
      <c r="U42" s="14">
        <f ca="1">IF(U$1="","",'Total Value'!U54/'Total Value'!T54-1)</f>
        <v>-2.090592334494823E-3</v>
      </c>
      <c r="V42" s="14">
        <f ca="1">IF(V$1="","",'Total Value'!V54/'Total Value'!U54-1)</f>
        <v>-4.5391061452512149E-3</v>
      </c>
      <c r="W42" s="14">
        <f ca="1">IF(W$1="","",'Total Value'!W54/'Total Value'!V54-1)</f>
        <v>-3.3672395650648945E-2</v>
      </c>
      <c r="X42" s="14">
        <f ca="1">IF(X$1="","",'Total Value'!X54/'Total Value'!W54-1)</f>
        <v>1.4519056261341756E-3</v>
      </c>
      <c r="Y42" s="14">
        <f ca="1">IF(Y$1="","",'Total Value'!Y54/'Total Value'!X54-1)</f>
        <v>-3.6245016310257894E-3</v>
      </c>
      <c r="Z42" s="14">
        <f ca="1">IF(Z$1="","",'Total Value'!Z54/'Total Value'!Y54-1)</f>
        <v>3.6376864314302537E-4</v>
      </c>
      <c r="AA42" s="14">
        <f ca="1">IF(AA$1="","",'Total Value'!AA54/'Total Value'!Z54-1)</f>
        <v>-1.4545454545454528E-2</v>
      </c>
      <c r="AB42" s="14">
        <f ca="1">IF(AB$1="","",'Total Value'!AB54/'Total Value'!AA54-1)</f>
        <v>-1.8450184501844991E-2</v>
      </c>
      <c r="AC42" s="14">
        <f ca="1">IF(AC$1="","",'Total Value'!AC54/'Total Value'!AB54-1)</f>
        <v>3.3458646616541188E-2</v>
      </c>
      <c r="AD42" s="14">
        <f ca="1">IF(AD$1="","",'Total Value'!AD54/'Total Value'!AC54-1)</f>
        <v>4.0378319388868711E-2</v>
      </c>
      <c r="AE42" s="14">
        <f ca="1">IF(AE$1="","",'Total Value'!AE54/'Total Value'!AD54-1)</f>
        <v>3.8461538461538325E-3</v>
      </c>
      <c r="AF42" s="14">
        <f ca="1">IF(AF$1="","",'Total Value'!AF54/'Total Value'!AE54-1)</f>
        <v>5.5729710902123752E-3</v>
      </c>
      <c r="AG42" s="14">
        <f ca="1">IF(AG$1="","",'Total Value'!AG54/'Total Value'!AF54-1)</f>
        <v>-3.255975060616545E-2</v>
      </c>
      <c r="AH42" s="14">
        <f ca="1">IF(AH$1="","",'Total Value'!AH54/'Total Value'!AG54-1)</f>
        <v>1.0741138560688146E-3</v>
      </c>
      <c r="AI42" s="14">
        <f ca="1">IF(AI$1="","",'Total Value'!AI54/'Total Value'!AH54-1)</f>
        <v>7.1530758226034941E-4</v>
      </c>
      <c r="AJ42" s="14">
        <f ca="1">IF(AJ$1="","",'Total Value'!AJ54/'Total Value'!AI54-1)</f>
        <v>1.6440314510364651E-2</v>
      </c>
      <c r="AK42" s="14">
        <f ca="1">IF(AK$1="","",'Total Value'!AK54/'Total Value'!AJ54-1)</f>
        <v>9.493670886076E-3</v>
      </c>
      <c r="AL42" s="14">
        <f ca="1">IF(AL$1="","",'Total Value'!AL54/'Total Value'!AK54-1)</f>
        <v>-2.2291884360849945E-2</v>
      </c>
      <c r="AM42" s="14">
        <f ca="1">IF(AM$1="","",'Total Value'!AM54/'Total Value'!AL54-1)</f>
        <v>6.2344139650872821E-2</v>
      </c>
      <c r="AN42" s="14">
        <f ca="1">IF(AN$1="","",'Total Value'!AN54/'Total Value'!AM54-1)</f>
        <v>-1.0395707578806035E-2</v>
      </c>
      <c r="AO42" s="14">
        <f ca="1">IF(AO$1="","",'Total Value'!AO54/'Total Value'!AN54-1)</f>
        <v>9.1494408675025785E-3</v>
      </c>
      <c r="AP42" s="14">
        <f ca="1">IF(AP$1="","",'Total Value'!AP54/'Total Value'!AO54-1)</f>
        <v>2.3505708529214298E-2</v>
      </c>
      <c r="AQ42" s="14">
        <f ca="1">IF(AQ$1="","",'Total Value'!AQ54/'Total Value'!AP54-1)</f>
        <v>3.1824146981627166E-2</v>
      </c>
      <c r="AR42" s="14">
        <f ca="1">IF(AR$1="","",'Total Value'!AR54/'Total Value'!AQ54-1)</f>
        <v>-1.685214626391085E-2</v>
      </c>
      <c r="AS42" s="14">
        <f ca="1">IF(AS$1="","",'Total Value'!AS54/'Total Value'!AR54-1)</f>
        <v>9.7024579560154312E-3</v>
      </c>
      <c r="AT42" s="14">
        <f ca="1">IF(AT$1="","",'Total Value'!AT54/'Total Value'!AS54-1)</f>
        <v>-2.2421524663677195E-3</v>
      </c>
      <c r="AU42" s="14">
        <f ca="1">IF(AU$1="","",'Total Value'!AU54/'Total Value'!AT54-1)</f>
        <v>-2.8892455858748889E-3</v>
      </c>
      <c r="AV42" s="14">
        <f ca="1">IF(AV$1="","",'Total Value'!AV54/'Total Value'!AU54-1)</f>
        <v>-3.090792015453947E-2</v>
      </c>
      <c r="AW42" s="14">
        <f ca="1">IF(AW$1="","",'Total Value'!AW54/'Total Value'!AV54-1)</f>
        <v>-1.0299003322259193E-2</v>
      </c>
      <c r="AX42" s="14">
        <f ca="1">IF(AX$1="","",'Total Value'!AX54/'Total Value'!AW54-1)</f>
        <v>5.2702249076871599E-2</v>
      </c>
      <c r="AY42" s="14">
        <f ca="1">IF(AY$1="","",'Total Value'!AY54/'Total Value'!AX54-1)</f>
        <v>-2.0408163265306256E-2</v>
      </c>
      <c r="AZ42" s="14">
        <f ca="1">IF(AZ$1="","",'Total Value'!AZ54/'Total Value'!AY54-1)</f>
        <v>4.5572916666667407E-3</v>
      </c>
      <c r="BA42" s="14">
        <f ca="1">IF(BA$1="","",'Total Value'!BA54/'Total Value'!AZ54-1)</f>
        <v>-2.6571613739468702E-2</v>
      </c>
      <c r="BB42" s="14">
        <f ca="1">IF(BB$1="","",'Total Value'!BB54/'Total Value'!BA54-1)</f>
        <v>1.9973368841545991E-3</v>
      </c>
      <c r="BC42" s="14">
        <f ca="1">IF(BC$1="","",'Total Value'!BC54/'Total Value'!BB54-1)</f>
        <v>3.9202657807309027E-2</v>
      </c>
      <c r="BD42" s="14">
        <f ca="1">IF(BD$1="","",'Total Value'!BD54/'Total Value'!BC54-1)</f>
        <v>-8.4079283887468104E-2</v>
      </c>
      <c r="BE42" s="14">
        <f ca="1">IF(BE$1="","",'Total Value'!BE54/'Total Value'!BD54-1)</f>
        <v>-5.3752181500872576E-2</v>
      </c>
      <c r="BF42" s="14">
        <f ca="1">IF(BF$1="","",'Total Value'!BF54/'Total Value'!BE54-1)</f>
        <v>3.2829214312061872E-2</v>
      </c>
      <c r="BG42" s="14">
        <f ca="1">IF(BG$1="","",'Total Value'!BG54/'Total Value'!BF54-1)</f>
        <v>-2.4285714285714355E-2</v>
      </c>
      <c r="BH42" s="14">
        <f ca="1">IF(BH$1="","",'Total Value'!BH54/'Total Value'!BG54-1)</f>
        <v>-8.4187408491948057E-3</v>
      </c>
      <c r="BI42" s="14">
        <f ca="1">IF(BI$1="","",'Total Value'!BI54/'Total Value'!BH54-1)</f>
        <v>1.624215577703958E-2</v>
      </c>
      <c r="BJ42" s="14">
        <f ca="1">IF(BJ$1="","",'Total Value'!BJ54/'Total Value'!BI54-1)</f>
        <v>-1.1986923356338552E-2</v>
      </c>
      <c r="BK42" s="14">
        <f ca="1">IF(BK$1="","",'Total Value'!BK54/'Total Value'!BJ54-1)</f>
        <v>-1.6911764705882404E-2</v>
      </c>
      <c r="BL42" s="14">
        <f ca="1">IF(BL$1="","",'Total Value'!BL54/'Total Value'!BK54-1)</f>
        <v>-2.8795811518324554E-2</v>
      </c>
      <c r="BM42" s="14">
        <f ca="1">IF(BM$1="","",'Total Value'!BM54/'Total Value'!BL54-1)</f>
        <v>-1.8097805159799751E-2</v>
      </c>
      <c r="BN42" s="14">
        <f ca="1">IF(BN$1="","",'Total Value'!BN54/'Total Value'!BM54-1)</f>
        <v>-1.6862745098039311E-2</v>
      </c>
      <c r="BO42" s="14">
        <f ca="1">IF(BO$1="","",'Total Value'!BO54/'Total Value'!BN54-1)</f>
        <v>-2.0741922616673292E-2</v>
      </c>
      <c r="BP42" s="14">
        <f ca="1">IF(BP$1="","",'Total Value'!BP54/'Total Value'!BO54-1)</f>
        <v>6.9246435845213838E-3</v>
      </c>
      <c r="BQ42" s="14">
        <f ca="1">IF(BQ$1="","",'Total Value'!BQ54/'Total Value'!BP54-1)</f>
        <v>2.5889967637540368E-2</v>
      </c>
      <c r="BR42" s="14">
        <f ca="1">IF(BR$1="","",'Total Value'!BR54/'Total Value'!BQ54-1)</f>
        <v>-9.0694006309148811E-3</v>
      </c>
      <c r="BS42" s="14">
        <f ca="1">IF(BS$1="","",'Total Value'!BS54/'Total Value'!BR54-1)</f>
        <v>3.8599283724632061E-2</v>
      </c>
      <c r="BT42" s="14">
        <f ca="1">IF(BT$1="","",'Total Value'!BT54/'Total Value'!BS54-1)</f>
        <v>-2.2988505747126853E-3</v>
      </c>
      <c r="BU42" s="14">
        <f ca="1">IF(BU$1="","",'Total Value'!BU54/'Total Value'!BT54-1)</f>
        <v>-2.3041474654376115E-3</v>
      </c>
      <c r="BV42" s="14">
        <f ca="1">IF(BV$1="","",'Total Value'!BV54/'Total Value'!BU54-1)</f>
        <v>-1.3471901462663638E-2</v>
      </c>
      <c r="BW42" s="14">
        <f ca="1">IF(BW$1="","",'Total Value'!BW54/'Total Value'!BV54-1)</f>
        <v>-2.458056964494737E-2</v>
      </c>
      <c r="BX42" s="14">
        <f ca="1">IF(BX$1="","",'Total Value'!BX54/'Total Value'!BW54-1)</f>
        <v>-3.0799999999999939E-2</v>
      </c>
      <c r="BY42" s="14">
        <f ca="1">IF(BY$1="","",'Total Value'!BY54/'Total Value'!BX54-1)</f>
        <v>-3.3842344201403307E-2</v>
      </c>
      <c r="BZ42" s="14">
        <f ca="1">IF(BZ$1="","",'Total Value'!BZ54/'Total Value'!BY54-1)</f>
        <v>-1.0679196924391232E-2</v>
      </c>
      <c r="CA42" s="14">
        <f ca="1">IF(CA$1="","",'Total Value'!CA54/'Total Value'!BZ54-1)</f>
        <v>4.3609671848013898E-2</v>
      </c>
      <c r="CB42" s="14">
        <f ca="1">IF(CB$1="","",'Total Value'!CB54/'Total Value'!CA54-1)</f>
        <v>-2.2341745966073745E-2</v>
      </c>
      <c r="CC42" s="14">
        <f ca="1">IF(CC$1="","",'Total Value'!CC54/'Total Value'!CB54-1)</f>
        <v>-6.347862886161515E-3</v>
      </c>
      <c r="CD42" s="14">
        <f ca="1">IF(CD$1="","",'Total Value'!CD54/'Total Value'!CC54-1)</f>
        <v>7.6660988074956915E-3</v>
      </c>
      <c r="CE42" s="14">
        <f ca="1">IF(CE$1="","",'Total Value'!CE54/'Total Value'!CD54-1)</f>
        <v>2.3245984784446394E-2</v>
      </c>
      <c r="CF42" s="14" t="str">
        <f ca="1">IF(CF$1="","",'Total Value'!CF54/'Total Value'!CE54-1)</f>
        <v/>
      </c>
      <c r="CG42" s="14" t="str">
        <f ca="1">IF(CG$1="","",'Total Value'!CG54/'Total Value'!CF54-1)</f>
        <v/>
      </c>
      <c r="CH42" s="14" t="str">
        <f ca="1">IF(CH$1="","",'Total Value'!CH54/'Total Value'!CG54-1)</f>
        <v/>
      </c>
      <c r="CI42" s="14" t="str">
        <f ca="1">IF(CI$1="","",'Total Value'!CI54/'Total Value'!CH54-1)</f>
        <v/>
      </c>
      <c r="CJ42" s="14" t="str">
        <f ca="1">IF(CJ$1="","",'Total Value'!CJ54/'Total Value'!CI54-1)</f>
        <v/>
      </c>
      <c r="CK42" s="14" t="str">
        <f ca="1">IF(CK$1="","",'Total Value'!CK54/'Total Value'!CJ54-1)</f>
        <v/>
      </c>
      <c r="CL42" s="14" t="str">
        <f ca="1">IF(CL$1="","",'Total Value'!CL54/'Total Value'!CK54-1)</f>
        <v/>
      </c>
      <c r="CM42" s="14" t="str">
        <f ca="1">IF(CM$1="","",'Total Value'!CM54/'Total Value'!CL54-1)</f>
        <v/>
      </c>
      <c r="CN42" s="14" t="str">
        <f ca="1">IF(CN$1="","",'Total Value'!CN54/'Total Value'!CM54-1)</f>
        <v/>
      </c>
      <c r="CO42" s="14" t="str">
        <f ca="1">IF(CO$1="","",'Total Value'!CO54/'Total Value'!CN54-1)</f>
        <v/>
      </c>
      <c r="CP42" s="14" t="str">
        <f ca="1">IF(CP$1="","",'Total Value'!CP54/'Total Value'!CO54-1)</f>
        <v/>
      </c>
      <c r="CQ42" s="14" t="str">
        <f ca="1">IF(CQ$1="","",'Total Value'!CQ54/'Total Value'!CP54-1)</f>
        <v/>
      </c>
      <c r="CR42" s="14" t="str">
        <f ca="1">IF(CR$1="","",'Total Value'!CR54/'Total Value'!CQ54-1)</f>
        <v/>
      </c>
      <c r="CS42" s="14" t="str">
        <f ca="1">IF(CS$1="","",'Total Value'!CS54/'Total Value'!CR54-1)</f>
        <v/>
      </c>
      <c r="CT42" s="14" t="str">
        <f ca="1">IF(CT$1="","",'Total Value'!CT54/'Total Value'!CS54-1)</f>
        <v/>
      </c>
      <c r="CU42" s="14" t="str">
        <f ca="1">IF(CU$1="","",'Total Value'!CU54/'Total Value'!CT54-1)</f>
        <v/>
      </c>
      <c r="CV42" s="14" t="str">
        <f ca="1">IF(CV$1="","",'Total Value'!CV54/'Total Value'!CU54-1)</f>
        <v/>
      </c>
      <c r="CW42" s="14" t="str">
        <f ca="1">IF(CW$1="","",'Total Value'!CW54/'Total Value'!CV54-1)</f>
        <v/>
      </c>
      <c r="CX42" s="14" t="str">
        <f ca="1">IF(CX$1="","",'Total Value'!CX54/'Total Value'!CW54-1)</f>
        <v/>
      </c>
      <c r="CY42" s="14" t="str">
        <f ca="1">IF(CY$1="","",'Total Value'!CY54/'Total Value'!CX54-1)</f>
        <v/>
      </c>
      <c r="CZ42" s="14" t="str">
        <f ca="1">IF(CZ$1="","",'Total Value'!CZ54/'Total Value'!CY54-1)</f>
        <v/>
      </c>
      <c r="DA42" s="14" t="str">
        <f ca="1">IF(DA$1="","",'Total Value'!DA54/'Total Value'!CZ54-1)</f>
        <v/>
      </c>
      <c r="DB42" s="14" t="str">
        <f ca="1">IF(DB$1="","",'Total Value'!DB54/'Total Value'!DA54-1)</f>
        <v/>
      </c>
      <c r="DC42" s="14" t="str">
        <f ca="1">IF(DC$1="","",'Total Value'!DC54/'Total Value'!DB54-1)</f>
        <v/>
      </c>
      <c r="DD42" s="14" t="str">
        <f ca="1">IF(DD$1="","",'Total Value'!DD54/'Total Value'!DC54-1)</f>
        <v/>
      </c>
      <c r="DE42" s="14" t="str">
        <f ca="1">IF(DE$1="","",'Total Value'!DE54/'Total Value'!DD54-1)</f>
        <v/>
      </c>
      <c r="DF42" s="14" t="str">
        <f ca="1">IF(DF$1="","",'Total Value'!DF54/'Total Value'!DE54-1)</f>
        <v/>
      </c>
      <c r="DG42" s="14" t="str">
        <f ca="1">IF(DG$1="","",'Total Value'!DG54/'Total Value'!DF54-1)</f>
        <v/>
      </c>
      <c r="DH42" s="14" t="str">
        <f ca="1">IF(DH$1="","",'Total Value'!DH54/'Total Value'!DG54-1)</f>
        <v/>
      </c>
      <c r="DI42" s="14" t="str">
        <f ca="1">IF(DI$1="","",'Total Value'!DI54/'Total Value'!DH54-1)</f>
        <v/>
      </c>
      <c r="DJ42" s="14" t="str">
        <f ca="1">IF(DJ$1="","",'Total Value'!DJ54/'Total Value'!DI54-1)</f>
        <v/>
      </c>
      <c r="DK42" s="14" t="str">
        <f ca="1">IF(DK$1="","",'Total Value'!DK54/'Total Value'!DJ54-1)</f>
        <v/>
      </c>
      <c r="DL42" s="14" t="str">
        <f ca="1">IF(DL$1="","",'Total Value'!DL54/'Total Value'!DK54-1)</f>
        <v/>
      </c>
      <c r="DM42" s="14" t="str">
        <f ca="1">IF(DM$1="","",'Total Value'!DM54/'Total Value'!DL54-1)</f>
        <v/>
      </c>
      <c r="DN42" s="14" t="str">
        <f ca="1">IF(DN$1="","",'Total Value'!DN54/'Total Value'!DM54-1)</f>
        <v/>
      </c>
      <c r="DO42" s="14" t="str">
        <f ca="1">IF(DO$1="","",'Total Value'!DO54/'Total Value'!DN54-1)</f>
        <v/>
      </c>
      <c r="DP42" s="14" t="str">
        <f ca="1">IF(DP$1="","",'Total Value'!DP54/'Total Value'!DO54-1)</f>
        <v/>
      </c>
      <c r="DQ42" s="14" t="str">
        <f ca="1">IF(DQ$1="","",'Total Value'!DQ54/'Total Value'!DP54-1)</f>
        <v/>
      </c>
      <c r="DR42" s="14" t="str">
        <f ca="1">IF(DR$1="","",'Total Value'!DR54/'Total Value'!DQ54-1)</f>
        <v/>
      </c>
      <c r="DS42" s="14" t="str">
        <f ca="1">IF(DS$1="","",'Total Value'!DS54/'Total Value'!DR54-1)</f>
        <v/>
      </c>
      <c r="DT42" s="14" t="str">
        <f ca="1">IF(DT$1="","",'Total Value'!DT54/'Total Value'!DS54-1)</f>
        <v/>
      </c>
      <c r="DU42" s="14" t="str">
        <f ca="1">IF(DU$1="","",'Total Value'!DU54/'Total Value'!DT54-1)</f>
        <v/>
      </c>
      <c r="DV42" s="14" t="str">
        <f ca="1">IF(DV$1="","",'Total Value'!DV54/'Total Value'!DU54-1)</f>
        <v/>
      </c>
      <c r="DW42" s="14" t="str">
        <f ca="1">IF(DW$1="","",'Total Value'!DW54/'Total Value'!DV54-1)</f>
        <v/>
      </c>
      <c r="DX42" s="14" t="str">
        <f ca="1">IF(DX$1="","",'Total Value'!DX54/'Total Value'!DW54-1)</f>
        <v/>
      </c>
      <c r="DY42" s="14" t="str">
        <f ca="1">IF(DY$1="","",'Total Value'!DY54/'Total Value'!DX54-1)</f>
        <v/>
      </c>
      <c r="DZ42" s="14" t="str">
        <f ca="1">IF(DZ$1="","",'Total Value'!DZ54/'Total Value'!DY54-1)</f>
        <v/>
      </c>
      <c r="EA42" s="14" t="str">
        <f ca="1">IF(EA$1="","",'Total Value'!EA54/'Total Value'!DZ54-1)</f>
        <v/>
      </c>
      <c r="EB42" s="14" t="str">
        <f ca="1">IF(EB$1="","",'Total Value'!EB54/'Total Value'!EA54-1)</f>
        <v/>
      </c>
      <c r="EC42" s="14" t="str">
        <f ca="1">IF(EC$1="","",'Total Value'!EC54/'Total Value'!EB54-1)</f>
        <v/>
      </c>
      <c r="ED42" s="14" t="str">
        <f ca="1">IF(ED$1="","",'Total Value'!ED54/'Total Value'!EC54-1)</f>
        <v/>
      </c>
      <c r="EE42" s="14" t="str">
        <f ca="1">IF(EE$1="","",'Total Value'!EE54/'Total Value'!ED54-1)</f>
        <v/>
      </c>
      <c r="EF42" s="14" t="str">
        <f ca="1">IF(EF$1="","",'Total Value'!EF54/'Total Value'!EE54-1)</f>
        <v/>
      </c>
      <c r="EG42" s="14" t="str">
        <f ca="1">IF(EG$1="","",'Total Value'!EG54/'Total Value'!EF54-1)</f>
        <v/>
      </c>
      <c r="EH42" s="14" t="str">
        <f ca="1">IF(EH$1="","",'Total Value'!EH54/'Total Value'!EG54-1)</f>
        <v/>
      </c>
      <c r="EI42" s="14" t="str">
        <f ca="1">IF(EI$1="","",'Total Value'!EI54/'Total Value'!EH54-1)</f>
        <v/>
      </c>
      <c r="EJ42" s="14" t="str">
        <f ca="1">IF(EJ$1="","",'Total Value'!EJ54/'Total Value'!EI54-1)</f>
        <v/>
      </c>
      <c r="EK42" s="14" t="str">
        <f ca="1">IF(EK$1="","",'Total Value'!EK54/'Total Value'!EJ54-1)</f>
        <v/>
      </c>
      <c r="EL42" s="14" t="str">
        <f ca="1">IF(EL$1="","",'Total Value'!EL54/'Total Value'!EK54-1)</f>
        <v/>
      </c>
      <c r="EM42" s="14" t="str">
        <f ca="1">IF(EM$1="","",'Total Value'!EM54/'Total Value'!EL54-1)</f>
        <v/>
      </c>
      <c r="EN42" s="14" t="str">
        <f ca="1">IF(EN$1="","",'Total Value'!EN54/'Total Value'!EM54-1)</f>
        <v/>
      </c>
      <c r="EO42" s="14" t="str">
        <f ca="1">IF(EO$1="","",'Total Value'!EO54/'Total Value'!EN54-1)</f>
        <v/>
      </c>
      <c r="EP42" s="14" t="str">
        <f ca="1">IF(EP$1="","",'Total Value'!EP54/'Total Value'!EO54-1)</f>
        <v/>
      </c>
      <c r="EQ42" s="14" t="str">
        <f ca="1">IF(EQ$1="","",'Total Value'!EQ54/'Total Value'!EP54-1)</f>
        <v/>
      </c>
      <c r="ER42" s="14" t="str">
        <f ca="1">IF(ER$1="","",'Total Value'!ER54/'Total Value'!EQ54-1)</f>
        <v/>
      </c>
      <c r="ES42" s="14" t="str">
        <f ca="1">IF(ES$1="","",'Total Value'!ES54/'Total Value'!ER54-1)</f>
        <v/>
      </c>
      <c r="ET42" s="14" t="str">
        <f ca="1">IF(ET$1="","",'Total Value'!ET54/'Total Value'!ES54-1)</f>
        <v/>
      </c>
      <c r="EU42" s="14" t="str">
        <f ca="1">IF(EU$1="","",'Total Value'!EU54/'Total Value'!ET54-1)</f>
        <v/>
      </c>
      <c r="EV42" s="14" t="str">
        <f ca="1">IF(EV$1="","",'Total Value'!EV54/'Total Value'!EU54-1)</f>
        <v/>
      </c>
      <c r="EW42" s="14" t="str">
        <f ca="1">IF(EW$1="","",'Total Value'!EW54/'Total Value'!EV54-1)</f>
        <v/>
      </c>
      <c r="EX42" s="14" t="str">
        <f ca="1">IF(EX$1="","",'Total Value'!EX54/'Total Value'!EW54-1)</f>
        <v/>
      </c>
      <c r="EY42" s="14" t="str">
        <f ca="1">IF(EY$1="","",'Total Value'!EY54/'Total Value'!EX54-1)</f>
        <v/>
      </c>
      <c r="EZ42" s="14" t="str">
        <f ca="1">IF(EZ$1="","",'Total Value'!EZ54/'Total Value'!EY54-1)</f>
        <v/>
      </c>
      <c r="FA42" s="14" t="str">
        <f ca="1">IF(FA$1="","",'Total Value'!FA54/'Total Value'!EZ54-1)</f>
        <v/>
      </c>
      <c r="FB42" s="14" t="str">
        <f ca="1">IF(FB$1="","",'Total Value'!FB54/'Total Value'!FA54-1)</f>
        <v/>
      </c>
      <c r="FC42" s="14" t="str">
        <f ca="1">IF(FC$1="","",'Total Value'!FC54/'Total Value'!FB54-1)</f>
        <v/>
      </c>
      <c r="FD42" s="14" t="str">
        <f ca="1">IF(FD$1="","",'Total Value'!FD54/'Total Value'!FC54-1)</f>
        <v/>
      </c>
      <c r="FE42" s="14" t="str">
        <f ca="1">IF(FE$1="","",'Total Value'!FE54/'Total Value'!FD54-1)</f>
        <v/>
      </c>
      <c r="FF42" s="14" t="str">
        <f ca="1">IF(FF$1="","",'Total Value'!FF54/'Total Value'!FE54-1)</f>
        <v/>
      </c>
      <c r="FG42" s="14" t="str">
        <f ca="1">IF(FG$1="","",'Total Value'!FG54/'Total Value'!FF54-1)</f>
        <v/>
      </c>
      <c r="FH42" s="14" t="str">
        <f ca="1">IF(FH$1="","",'Total Value'!FH54/'Total Value'!FG54-1)</f>
        <v/>
      </c>
      <c r="FI42" s="14" t="str">
        <f ca="1">IF(FI$1="","",'Total Value'!FI54/'Total Value'!FH54-1)</f>
        <v/>
      </c>
      <c r="FJ42" s="14" t="str">
        <f ca="1">IF(FJ$1="","",'Total Value'!FJ54/'Total Value'!FI54-1)</f>
        <v/>
      </c>
      <c r="FK42" s="14" t="str">
        <f ca="1">IF(FK$1="","",'Total Value'!FK54/'Total Value'!FJ54-1)</f>
        <v/>
      </c>
      <c r="FL42" s="14" t="str">
        <f ca="1">IF(FL$1="","",'Total Value'!FL54/'Total Value'!FK54-1)</f>
        <v/>
      </c>
      <c r="FM42" s="14" t="str">
        <f ca="1">IF(FM$1="","",'Total Value'!FM54/'Total Value'!FL54-1)</f>
        <v/>
      </c>
      <c r="FN42" s="14" t="str">
        <f ca="1">IF(FN$1="","",'Total Value'!FN54/'Total Value'!FM54-1)</f>
        <v/>
      </c>
      <c r="FO42" s="14" t="str">
        <f ca="1">IF(FO$1="","",'Total Value'!FO54/'Total Value'!FN54-1)</f>
        <v/>
      </c>
      <c r="FP42" s="14" t="str">
        <f ca="1">IF(FP$1="","",'Total Value'!FP54/'Total Value'!FO54-1)</f>
        <v/>
      </c>
      <c r="FQ42" s="14" t="str">
        <f ca="1">IF(FQ$1="","",'Total Value'!FQ54/'Total Value'!FP54-1)</f>
        <v/>
      </c>
      <c r="FR42" s="14" t="str">
        <f ca="1">IF(FR$1="","",'Total Value'!FR54/'Total Value'!FQ54-1)</f>
        <v/>
      </c>
      <c r="FS42" s="14" t="str">
        <f ca="1">IF(FS$1="","",'Total Value'!FS54/'Total Value'!FR54-1)</f>
        <v/>
      </c>
      <c r="FT42" s="14" t="str">
        <f ca="1">IF(FT$1="","",'Total Value'!FT54/'Total Value'!FS54-1)</f>
        <v/>
      </c>
      <c r="FU42" s="14" t="str">
        <f ca="1">IF(FU$1="","",'Total Value'!FU54/'Total Value'!FT54-1)</f>
        <v/>
      </c>
      <c r="FV42" s="14" t="str">
        <f ca="1">IF(FV$1="","",'Total Value'!FV54/'Total Value'!FU54-1)</f>
        <v/>
      </c>
      <c r="FW42" s="14" t="str">
        <f ca="1">IF(FW$1="","",'Total Value'!FW54/'Total Value'!FV54-1)</f>
        <v/>
      </c>
      <c r="FX42" s="14" t="str">
        <f ca="1">IF(FX$1="","",'Total Value'!FX54/'Total Value'!FW54-1)</f>
        <v/>
      </c>
      <c r="FY42" s="14" t="str">
        <f ca="1">IF(FY$1="","",'Total Value'!FY54/'Total Value'!FX54-1)</f>
        <v/>
      </c>
      <c r="FZ42" s="14" t="str">
        <f ca="1">IF(FZ$1="","",'Total Value'!FZ54/'Total Value'!FY54-1)</f>
        <v/>
      </c>
      <c r="GA42" s="14" t="str">
        <f ca="1">IF(GA$1="","",'Total Value'!GA54/'Total Value'!FZ54-1)</f>
        <v/>
      </c>
      <c r="GB42" s="14" t="str">
        <f ca="1">IF(GB$1="","",'Total Value'!GB54/'Total Value'!GA54-1)</f>
        <v/>
      </c>
      <c r="GC42" s="14" t="str">
        <f ca="1">IF(GC$1="","",'Total Value'!GC54/'Total Value'!GB54-1)</f>
        <v/>
      </c>
      <c r="GD42" s="14" t="str">
        <f ca="1">IF(GD$1="","",'Total Value'!GD54/'Total Value'!GC54-1)</f>
        <v/>
      </c>
      <c r="GE42" s="14" t="str">
        <f ca="1">IF(GE$1="","",'Total Value'!GE54/'Total Value'!GD54-1)</f>
        <v/>
      </c>
      <c r="GF42" s="14" t="str">
        <f ca="1">IF(GF$1="","",'Total Value'!GF54/'Total Value'!GE54-1)</f>
        <v/>
      </c>
      <c r="GG42" s="14" t="str">
        <f ca="1">IF(GG$1="","",'Total Value'!GG54/'Total Value'!GF54-1)</f>
        <v/>
      </c>
      <c r="GH42" s="14" t="str">
        <f ca="1">IF(GH$1="","",'Total Value'!GH54/'Total Value'!GG54-1)</f>
        <v/>
      </c>
      <c r="GI42" s="14" t="str">
        <f ca="1">IF(GI$1="","",'Total Value'!GI54/'Total Value'!GH54-1)</f>
        <v/>
      </c>
      <c r="GJ42" s="14" t="str">
        <f ca="1">IF(GJ$1="","",'Total Value'!GJ54/'Total Value'!GI54-1)</f>
        <v/>
      </c>
      <c r="GK42" s="14" t="str">
        <f ca="1">IF(GK$1="","",'Total Value'!GK54/'Total Value'!GJ54-1)</f>
        <v/>
      </c>
      <c r="GL42" s="14" t="str">
        <f ca="1">IF(GL$1="","",'Total Value'!GL54/'Total Value'!GK54-1)</f>
        <v/>
      </c>
      <c r="GM42" s="14" t="str">
        <f ca="1">IF(GM$1="","",'Total Value'!GM54/'Total Value'!GL54-1)</f>
        <v/>
      </c>
      <c r="GN42" s="14" t="str">
        <f ca="1">IF(GN$1="","",'Total Value'!GN54/'Total Value'!GM54-1)</f>
        <v/>
      </c>
      <c r="GO42" s="14" t="str">
        <f ca="1">IF(GO$1="","",'Total Value'!GO54/'Total Value'!GN54-1)</f>
        <v/>
      </c>
      <c r="GP42" s="14" t="str">
        <f ca="1">IF(GP$1="","",'Total Value'!GP54/'Total Value'!GO54-1)</f>
        <v/>
      </c>
      <c r="GQ42" s="14" t="str">
        <f ca="1">IF(GQ$1="","",'Total Value'!GQ54/'Total Value'!GP54-1)</f>
        <v/>
      </c>
      <c r="GR42" s="14" t="str">
        <f ca="1">IF(GR$1="","",'Total Value'!GR54/'Total Value'!GQ54-1)</f>
        <v/>
      </c>
      <c r="GS42" s="14" t="str">
        <f ca="1">IF(GS$1="","",'Total Value'!GS54/'Total Value'!GR54-1)</f>
        <v/>
      </c>
      <c r="GT42" s="14" t="str">
        <f ca="1">IF(GT$1="","",'Total Value'!GT54/'Total Value'!GS54-1)</f>
        <v/>
      </c>
      <c r="GU42" s="14" t="str">
        <f ca="1">IF(GU$1="","",'Total Value'!GU54/'Total Value'!GT54-1)</f>
        <v/>
      </c>
      <c r="GV42" s="14" t="str">
        <f ca="1">IF(GV$1="","",'Total Value'!GV54/'Total Value'!GU54-1)</f>
        <v/>
      </c>
      <c r="GW42" s="14" t="str">
        <f ca="1">IF(GW$1="","",'Total Value'!GW54/'Total Value'!GV54-1)</f>
        <v/>
      </c>
      <c r="GX42" s="14" t="str">
        <f ca="1">IF(GX$1="","",'Total Value'!GX54/'Total Value'!GW54-1)</f>
        <v/>
      </c>
      <c r="GY42" s="14" t="str">
        <f ca="1">IF(GY$1="","",'Total Value'!GY54/'Total Value'!GX54-1)</f>
        <v/>
      </c>
      <c r="GZ42" s="14" t="str">
        <f ca="1">IF(GZ$1="","",'Total Value'!GZ54/'Total Value'!GY54-1)</f>
        <v/>
      </c>
      <c r="HA42" s="14" t="str">
        <f ca="1">IF(HA$1="","",'Total Value'!HA54/'Total Value'!GZ54-1)</f>
        <v/>
      </c>
      <c r="HB42" s="14" t="str">
        <f ca="1">IF(HB$1="","",'Total Value'!HB54/'Total Value'!HA54-1)</f>
        <v/>
      </c>
      <c r="HC42" s="14" t="str">
        <f ca="1">IF(HC$1="","",'Total Value'!HC54/'Total Value'!HB54-1)</f>
        <v/>
      </c>
      <c r="HD42" s="14" t="str">
        <f ca="1">IF(HD$1="","",'Total Value'!HD54/'Total Value'!HC54-1)</f>
        <v/>
      </c>
      <c r="HE42" s="14" t="str">
        <f ca="1">IF(HE$1="","",'Total Value'!HE54/'Total Value'!HD54-1)</f>
        <v/>
      </c>
      <c r="HF42" s="14" t="str">
        <f ca="1">IF(HF$1="","",'Total Value'!HF54/'Total Value'!HE54-1)</f>
        <v/>
      </c>
      <c r="HG42" s="14" t="str">
        <f ca="1">IF(HG$1="","",'Total Value'!HG54/'Total Value'!HF54-1)</f>
        <v/>
      </c>
      <c r="HH42" s="14" t="str">
        <f ca="1">IF(HH$1="","",'Total Value'!HH54/'Total Value'!HG54-1)</f>
        <v/>
      </c>
      <c r="HI42" s="14" t="str">
        <f ca="1">IF(HI$1="","",'Total Value'!HI54/'Total Value'!HH54-1)</f>
        <v/>
      </c>
      <c r="HJ42" s="14" t="str">
        <f ca="1">IF(HJ$1="","",'Total Value'!HJ54/'Total Value'!HI54-1)</f>
        <v/>
      </c>
      <c r="HK42" s="14" t="str">
        <f ca="1">IF(HK$1="","",'Total Value'!HK54/'Total Value'!HJ54-1)</f>
        <v/>
      </c>
      <c r="HL42" s="14" t="str">
        <f ca="1">IF(HL$1="","",'Total Value'!HL54/'Total Value'!HK54-1)</f>
        <v/>
      </c>
      <c r="HM42" s="14" t="str">
        <f ca="1">IF(HM$1="","",'Total Value'!HM54/'Total Value'!HL54-1)</f>
        <v/>
      </c>
      <c r="HN42" s="14" t="str">
        <f ca="1">IF(HN$1="","",'Total Value'!HN54/'Total Value'!HM54-1)</f>
        <v/>
      </c>
      <c r="HO42" s="14" t="str">
        <f ca="1">IF(HO$1="","",'Total Value'!HO54/'Total Value'!HN54-1)</f>
        <v/>
      </c>
      <c r="HP42" s="14" t="str">
        <f ca="1">IF(HP$1="","",'Total Value'!HP54/'Total Value'!HO54-1)</f>
        <v/>
      </c>
      <c r="HQ42" s="14" t="str">
        <f ca="1">IF(HQ$1="","",'Total Value'!HQ54/'Total Value'!HP54-1)</f>
        <v/>
      </c>
      <c r="HR42" s="14" t="str">
        <f ca="1">IF(HR$1="","",'Total Value'!HR54/'Total Value'!HQ54-1)</f>
        <v/>
      </c>
      <c r="HS42" s="14" t="str">
        <f ca="1">IF(HS$1="","",'Total Value'!HS54/'Total Value'!HR54-1)</f>
        <v/>
      </c>
      <c r="HT42" s="14" t="str">
        <f ca="1">IF(HT$1="","",'Total Value'!HT54/'Total Value'!HS54-1)</f>
        <v/>
      </c>
      <c r="HU42" s="14" t="str">
        <f ca="1">IF(HU$1="","",'Total Value'!HU54/'Total Value'!HT54-1)</f>
        <v/>
      </c>
      <c r="HV42" s="14" t="str">
        <f ca="1">IF(HV$1="","",'Total Value'!HV54/'Total Value'!HU54-1)</f>
        <v/>
      </c>
      <c r="HW42" s="14" t="str">
        <f ca="1">IF(HW$1="","",'Total Value'!HW54/'Total Value'!HV54-1)</f>
        <v/>
      </c>
      <c r="HX42" s="14" t="str">
        <f ca="1">IF(HX$1="","",'Total Value'!HX54/'Total Value'!HW54-1)</f>
        <v/>
      </c>
      <c r="HY42" s="14" t="str">
        <f ca="1">IF(HY$1="","",'Total Value'!HY54/'Total Value'!HX54-1)</f>
        <v/>
      </c>
      <c r="HZ42" s="14" t="str">
        <f ca="1">IF(HZ$1="","",'Total Value'!HZ54/'Total Value'!HY54-1)</f>
        <v/>
      </c>
      <c r="IA42" s="14" t="str">
        <f ca="1">IF(IA$1="","",'Total Value'!IA54/'Total Value'!HZ54-1)</f>
        <v/>
      </c>
      <c r="IB42" s="14" t="str">
        <f ca="1">IF(IB$1="","",'Total Value'!IB54/'Total Value'!IA54-1)</f>
        <v/>
      </c>
      <c r="IC42" s="14" t="str">
        <f ca="1">IF(IC$1="","",'Total Value'!IC54/'Total Value'!IB54-1)</f>
        <v/>
      </c>
      <c r="ID42" s="14" t="str">
        <f ca="1">IF(ID$1="","",'Total Value'!ID54/'Total Value'!IC54-1)</f>
        <v/>
      </c>
      <c r="IE42" s="14" t="str">
        <f ca="1">IF(IE$1="","",'Total Value'!IE54/'Total Value'!ID54-1)</f>
        <v/>
      </c>
      <c r="IF42" s="14" t="str">
        <f ca="1">IF(IF$1="","",'Total Value'!IF54/'Total Value'!IE54-1)</f>
        <v/>
      </c>
      <c r="IG42" s="14" t="str">
        <f ca="1">IF(IG$1="","",'Total Value'!IG54/'Total Value'!IF54-1)</f>
        <v/>
      </c>
      <c r="IH42" s="14" t="str">
        <f ca="1">IF(IH$1="","",'Total Value'!IH54/'Total Value'!IG54-1)</f>
        <v/>
      </c>
      <c r="II42" s="14" t="str">
        <f ca="1">IF(II$1="","",'Total Value'!II54/'Total Value'!IH54-1)</f>
        <v/>
      </c>
      <c r="IJ42" s="14" t="str">
        <f ca="1">IF(IJ$1="","",'Total Value'!IJ54/'Total Value'!II54-1)</f>
        <v/>
      </c>
      <c r="IK42" s="14" t="str">
        <f ca="1">IF(IK$1="","",'Total Value'!IK54/'Total Value'!IJ54-1)</f>
        <v/>
      </c>
      <c r="IL42" s="14" t="str">
        <f ca="1">IF(IL$1="","",'Total Value'!IL54/'Total Value'!IK54-1)</f>
        <v/>
      </c>
      <c r="IM42" s="14" t="str">
        <f ca="1">IF(IM$1="","",'Total Value'!IM54/'Total Value'!IL54-1)</f>
        <v/>
      </c>
      <c r="IN42" s="14" t="str">
        <f ca="1">IF(IN$1="","",'Total Value'!IN54/'Total Value'!IM54-1)</f>
        <v/>
      </c>
      <c r="IO42" s="14" t="str">
        <f ca="1">IF(IO$1="","",'Total Value'!IO54/'Total Value'!IN54-1)</f>
        <v/>
      </c>
      <c r="IP42" s="14" t="str">
        <f ca="1">IF(IP$1="","",'Total Value'!IP54/'Total Value'!IO54-1)</f>
        <v/>
      </c>
      <c r="IQ42" s="14" t="str">
        <f ca="1">IF(IQ$1="","",'Total Value'!IQ54/'Total Value'!IP54-1)</f>
        <v/>
      </c>
      <c r="IR42" s="14" t="str">
        <f ca="1">IF(IR$1="","",'Total Value'!IR54/'Total Value'!IQ54-1)</f>
        <v/>
      </c>
      <c r="IS42" s="14" t="str">
        <f ca="1">IF(IS$1="","",'Total Value'!IS54/'Total Value'!IR54-1)</f>
        <v/>
      </c>
      <c r="IT42" s="14" t="str">
        <f ca="1">IF(IT$1="","",'Total Value'!IT54/'Total Value'!IS54-1)</f>
        <v/>
      </c>
      <c r="IU42" s="14" t="str">
        <f ca="1">IF(IU$1="","",'Total Value'!IU54/'Total Value'!IT54-1)</f>
        <v/>
      </c>
      <c r="IV42" s="14" t="str">
        <f ca="1">IF(IV$1="","",'Total Value'!IV54/'Total Value'!IU54-1)</f>
        <v/>
      </c>
      <c r="IW42" s="14" t="str">
        <f ca="1">IF(IW$1="","",'Total Value'!IW54/'Total Value'!IV54-1)</f>
        <v/>
      </c>
      <c r="IX42" s="14" t="str">
        <f ca="1">IF(IX$1="","",'Total Value'!IX54/'Total Value'!IW54-1)</f>
        <v/>
      </c>
      <c r="IY42" s="14" t="str">
        <f ca="1">IF(IY$1="","",'Total Value'!IY54/'Total Value'!IX54-1)</f>
        <v/>
      </c>
      <c r="IZ42" s="14" t="str">
        <f ca="1">IF(IZ$1="","",'Total Value'!IZ54/'Total Value'!IY54-1)</f>
        <v/>
      </c>
      <c r="JA42" s="14" t="str">
        <f ca="1">IF(JA$1="","",'Total Value'!JA54/'Total Value'!IZ54-1)</f>
        <v/>
      </c>
      <c r="JB42" s="14" t="str">
        <f ca="1">IF(JB$1="","",'Total Value'!JB54/'Total Value'!JA54-1)</f>
        <v/>
      </c>
      <c r="JC42" s="14" t="str">
        <f ca="1">IF(JC$1="","",'Total Value'!JC54/'Total Value'!JB54-1)</f>
        <v/>
      </c>
      <c r="JD42" s="14" t="str">
        <f ca="1">IF(JD$1="","",'Total Value'!JD54/'Total Value'!JC54-1)</f>
        <v/>
      </c>
      <c r="JE42" s="14" t="str">
        <f ca="1">IF(JE$1="","",'Total Value'!JE54/'Total Value'!JD54-1)</f>
        <v/>
      </c>
      <c r="JF42" s="14" t="str">
        <f ca="1">IF(JF$1="","",'Total Value'!JF54/'Total Value'!JE54-1)</f>
        <v/>
      </c>
      <c r="JG42" s="14" t="str">
        <f ca="1">IF(JG$1="","",'Total Value'!JG54/'Total Value'!JF54-1)</f>
        <v/>
      </c>
      <c r="JH42" s="14" t="str">
        <f ca="1">IF(JH$1="","",'Total Value'!JH54/'Total Value'!JG54-1)</f>
        <v/>
      </c>
      <c r="JI42" s="14" t="str">
        <f ca="1">IF(JI$1="","",'Total Value'!JI54/'Total Value'!JH54-1)</f>
        <v/>
      </c>
      <c r="JJ42" s="14" t="str">
        <f ca="1">IF(JJ$1="","",'Total Value'!JJ54/'Total Value'!JI54-1)</f>
        <v/>
      </c>
      <c r="JK42" s="14" t="str">
        <f ca="1">IF(JK$1="","",'Total Value'!JK54/'Total Value'!JJ54-1)</f>
        <v/>
      </c>
      <c r="JL42" s="14" t="str">
        <f ca="1">IF(JL$1="","",'Total Value'!JL54/'Total Value'!JK54-1)</f>
        <v/>
      </c>
      <c r="JM42" s="14" t="str">
        <f ca="1">IF(JM$1="","",'Total Value'!JM54/'Total Value'!JL54-1)</f>
        <v/>
      </c>
      <c r="JN42" s="14" t="str">
        <f ca="1">IF(JN$1="","",'Total Value'!JN54/'Total Value'!JM54-1)</f>
        <v/>
      </c>
      <c r="JO42" s="14" t="str">
        <f ca="1">IF(JO$1="","",'Total Value'!JO54/'Total Value'!JN54-1)</f>
        <v/>
      </c>
      <c r="JP42" s="14" t="str">
        <f ca="1">IF(JP$1="","",'Total Value'!JP54/'Total Value'!JO54-1)</f>
        <v/>
      </c>
      <c r="JQ42" s="14" t="str">
        <f ca="1">IF(JQ$1="","",'Total Value'!JQ54/'Total Value'!JP54-1)</f>
        <v/>
      </c>
      <c r="JR42" s="14" t="str">
        <f ca="1">IF(JR$1="","",'Total Value'!JR54/'Total Value'!JQ54-1)</f>
        <v/>
      </c>
      <c r="JS42" s="14" t="str">
        <f ca="1">IF(JS$1="","",'Total Value'!JS54/'Total Value'!JR54-1)</f>
        <v/>
      </c>
      <c r="JT42" s="14" t="str">
        <f ca="1">IF(JT$1="","",'Total Value'!JT54/'Total Value'!JS54-1)</f>
        <v/>
      </c>
      <c r="JU42" s="14" t="str">
        <f ca="1">IF(JU$1="","",'Total Value'!JU54/'Total Value'!JT54-1)</f>
        <v/>
      </c>
      <c r="JV42" s="14" t="str">
        <f ca="1">IF(JV$1="","",'Total Value'!JV54/'Total Value'!JU54-1)</f>
        <v/>
      </c>
      <c r="JW42" s="14" t="str">
        <f ca="1">IF(JW$1="","",'Total Value'!JW54/'Total Value'!JV54-1)</f>
        <v/>
      </c>
      <c r="JX42" s="14" t="str">
        <f ca="1">IF(JX$1="","",'Total Value'!JX54/'Total Value'!JW54-1)</f>
        <v/>
      </c>
      <c r="JY42" s="14" t="str">
        <f ca="1">IF(JY$1="","",'Total Value'!JY54/'Total Value'!JX54-1)</f>
        <v/>
      </c>
      <c r="JZ42" s="14" t="str">
        <f ca="1">IF(JZ$1="","",'Total Value'!JZ54/'Total Value'!JY54-1)</f>
        <v/>
      </c>
      <c r="KA42" s="14" t="str">
        <f ca="1">IF(KA$1="","",'Total Value'!KA54/'Total Value'!JZ54-1)</f>
        <v/>
      </c>
      <c r="KB42" s="14" t="str">
        <f ca="1">IF(KB$1="","",'Total Value'!KB54/'Total Value'!KA54-1)</f>
        <v/>
      </c>
    </row>
    <row r="43" spans="1:288" ht="15.75" customHeight="1">
      <c r="A43" s="22" t="s">
        <v>30</v>
      </c>
      <c r="B43" s="6" t="s">
        <v>86</v>
      </c>
      <c r="C43" s="26">
        <v>77</v>
      </c>
      <c r="D43" s="13">
        <v>0</v>
      </c>
      <c r="E43" s="14">
        <f ca="1">IF(E$1="","",'Total Value'!E55/'Total Value'!D55-1)</f>
        <v>1.1070110701107083E-2</v>
      </c>
      <c r="F43" s="14">
        <f ca="1">IF(F$1="","",'Total Value'!F55/'Total Value'!E55-1)</f>
        <v>-4.3795620437956262E-2</v>
      </c>
      <c r="G43" s="14">
        <f ca="1">IF(G$1="","",'Total Value'!G55/'Total Value'!F55-1)</f>
        <v>-1.1450381679389499E-2</v>
      </c>
      <c r="H43" s="14">
        <f ca="1">IF(H$1="","",'Total Value'!H55/'Total Value'!G55-1)</f>
        <v>7.3359073359073435E-2</v>
      </c>
      <c r="I43" s="14">
        <f ca="1">IF(I$1="","",'Total Value'!I55/'Total Value'!H55-1)</f>
        <v>-9.3525179856115082E-2</v>
      </c>
      <c r="J43" s="14">
        <f ca="1">IF(J$1="","",'Total Value'!J55/'Total Value'!I55-1)</f>
        <v>3.1746031746031855E-2</v>
      </c>
      <c r="K43" s="14">
        <f ca="1">IF(K$1="","",'Total Value'!K55/'Total Value'!J55-1)</f>
        <v>-3.0769230769230882E-2</v>
      </c>
      <c r="L43" s="14">
        <f ca="1">IF(L$1="","",'Total Value'!L55/'Total Value'!K55-1)</f>
        <v>-4.7619047619047672E-2</v>
      </c>
      <c r="M43" s="14">
        <f ca="1">IF(M$1="","",'Total Value'!M55/'Total Value'!L55-1)</f>
        <v>1.2500000000000178E-2</v>
      </c>
      <c r="N43" s="14">
        <f ca="1">IF(N$1="","",'Total Value'!N55/'Total Value'!M55-1)</f>
        <v>3.2921810699588328E-2</v>
      </c>
      <c r="O43" s="14">
        <f ca="1">IF(O$1="","",'Total Value'!O55/'Total Value'!N55-1)</f>
        <v>-7.1713147410358502E-2</v>
      </c>
      <c r="P43" s="14">
        <f ca="1">IF(P$1="","",'Total Value'!P55/'Total Value'!O55-1)</f>
        <v>-3.4334763948497882E-2</v>
      </c>
      <c r="Q43" s="14">
        <f ca="1">IF(Q$1="","",'Total Value'!Q55/'Total Value'!P55-1)</f>
        <v>1.3333333333333197E-2</v>
      </c>
      <c r="R43" s="14">
        <f ca="1">IF(R$1="","",'Total Value'!R55/'Total Value'!Q55-1)</f>
        <v>7.8947368421052655E-2</v>
      </c>
      <c r="S43" s="14">
        <f ca="1">IF(S$1="","",'Total Value'!S55/'Total Value'!R55-1)</f>
        <v>6.0975609756097615E-2</v>
      </c>
      <c r="T43" s="14">
        <f ca="1">IF(T$1="","",'Total Value'!T55/'Total Value'!S55-1)</f>
        <v>-4.9808429118773923E-2</v>
      </c>
      <c r="U43" s="14">
        <f ca="1">IF(U$1="","",'Total Value'!U55/'Total Value'!T55-1)</f>
        <v>-3.2258064516129115E-2</v>
      </c>
      <c r="V43" s="14">
        <f ca="1">IF(V$1="","",'Total Value'!V55/'Total Value'!U55-1)</f>
        <v>8.3333333333335258E-3</v>
      </c>
      <c r="W43" s="14">
        <f ca="1">IF(W$1="","",'Total Value'!W55/'Total Value'!V55-1)</f>
        <v>4.1322314049587749E-3</v>
      </c>
      <c r="X43" s="14">
        <f ca="1">IF(X$1="","",'Total Value'!X55/'Total Value'!W55-1)</f>
        <v>-2.8806584362140009E-2</v>
      </c>
      <c r="Y43" s="14">
        <f ca="1">IF(Y$1="","",'Total Value'!Y55/'Total Value'!X55-1)</f>
        <v>3.3898305084745672E-2</v>
      </c>
      <c r="Z43" s="14">
        <f ca="1">IF(Z$1="","",'Total Value'!Z55/'Total Value'!Y55-1)</f>
        <v>-4.0983606557377095E-2</v>
      </c>
      <c r="AA43" s="14">
        <f ca="1">IF(AA$1="","",'Total Value'!AA55/'Total Value'!Z55-1)</f>
        <v>-6.8376068376068244E-2</v>
      </c>
      <c r="AB43" s="14">
        <f ca="1">IF(AB$1="","",'Total Value'!AB55/'Total Value'!AA55-1)</f>
        <v>-1.3761467889908396E-2</v>
      </c>
      <c r="AC43" s="14">
        <f ca="1">IF(AC$1="","",'Total Value'!AC55/'Total Value'!AB55-1)</f>
        <v>7.4418604651163012E-2</v>
      </c>
      <c r="AD43" s="14">
        <f ca="1">IF(AD$1="","",'Total Value'!AD55/'Total Value'!AC55-1)</f>
        <v>0</v>
      </c>
      <c r="AE43" s="14">
        <f ca="1">IF(AE$1="","",'Total Value'!AE55/'Total Value'!AD55-1)</f>
        <v>-5.6277056277056259E-2</v>
      </c>
      <c r="AF43" s="14">
        <f ca="1">IF(AF$1="","",'Total Value'!AF55/'Total Value'!AE55-1)</f>
        <v>9.1743119266054496E-3</v>
      </c>
      <c r="AG43" s="14">
        <f ca="1">IF(AG$1="","",'Total Value'!AG55/'Total Value'!AF55-1)</f>
        <v>-3.1818181818181857E-2</v>
      </c>
      <c r="AH43" s="14">
        <f ca="1">IF(AH$1="","",'Total Value'!AH55/'Total Value'!AG55-1)</f>
        <v>1.8779342723004744E-2</v>
      </c>
      <c r="AI43" s="14">
        <f ca="1">IF(AI$1="","",'Total Value'!AI55/'Total Value'!AH55-1)</f>
        <v>1.3824884792626779E-2</v>
      </c>
      <c r="AJ43" s="14">
        <f ca="1">IF(AJ$1="","",'Total Value'!AJ55/'Total Value'!AI55-1)</f>
        <v>2.7272727272727115E-2</v>
      </c>
      <c r="AK43" s="14">
        <f ca="1">IF(AK$1="","",'Total Value'!AK55/'Total Value'!AJ55-1)</f>
        <v>1.7699115044247815E-2</v>
      </c>
      <c r="AL43" s="14">
        <f ca="1">IF(AL$1="","",'Total Value'!AL55/'Total Value'!AK55-1)</f>
        <v>2.1739130434782705E-2</v>
      </c>
      <c r="AM43" s="14">
        <f ca="1">IF(AM$1="","",'Total Value'!AM55/'Total Value'!AL55-1)</f>
        <v>-5.5319148936170182E-2</v>
      </c>
      <c r="AN43" s="14">
        <f ca="1">IF(AN$1="","",'Total Value'!AN55/'Total Value'!AM55-1)</f>
        <v>4.9549549549549265E-2</v>
      </c>
      <c r="AO43" s="14">
        <f ca="1">IF(AO$1="","",'Total Value'!AO55/'Total Value'!AN55-1)</f>
        <v>8.1545064377682275E-2</v>
      </c>
      <c r="AP43" s="14">
        <f ca="1">IF(AP$1="","",'Total Value'!AP55/'Total Value'!AO55-1)</f>
        <v>-3.5714285714285587E-2</v>
      </c>
      <c r="AQ43" s="14">
        <f ca="1">IF(AQ$1="","",'Total Value'!AQ55/'Total Value'!AP55-1)</f>
        <v>0.14814814814814814</v>
      </c>
      <c r="AR43" s="14">
        <f ca="1">IF(AR$1="","",'Total Value'!AR55/'Total Value'!AQ55-1)</f>
        <v>6.4516129032258229E-2</v>
      </c>
      <c r="AS43" s="14">
        <f ca="1">IF(AS$1="","",'Total Value'!AS55/'Total Value'!AR55-1)</f>
        <v>-2.3569023569023795E-2</v>
      </c>
      <c r="AT43" s="14">
        <f ca="1">IF(AT$1="","",'Total Value'!AT55/'Total Value'!AS55-1)</f>
        <v>-9.3103448275862033E-2</v>
      </c>
      <c r="AU43" s="14">
        <f ca="1">IF(AU$1="","",'Total Value'!AU55/'Total Value'!AT55-1)</f>
        <v>-6.4638783269961975E-2</v>
      </c>
      <c r="AV43" s="14">
        <f ca="1">IF(AV$1="","",'Total Value'!AV55/'Total Value'!AU55-1)</f>
        <v>0.10569105691056935</v>
      </c>
      <c r="AW43" s="14">
        <f ca="1">IF(AW$1="","",'Total Value'!AW55/'Total Value'!AV55-1)</f>
        <v>9.1911764705882248E-2</v>
      </c>
      <c r="AX43" s="14">
        <f ca="1">IF(AX$1="","",'Total Value'!AX55/'Total Value'!AW55-1)</f>
        <v>7.0707070707070718E-2</v>
      </c>
      <c r="AY43" s="14">
        <f ca="1">IF(AY$1="","",'Total Value'!AY55/'Total Value'!AX55-1)</f>
        <v>1.8867924528301883E-2</v>
      </c>
      <c r="AZ43" s="14">
        <f ca="1">IF(AZ$1="","",'Total Value'!AZ55/'Total Value'!AY55-1)</f>
        <v>-4.6296296296296502E-2</v>
      </c>
      <c r="BA43" s="14">
        <f ca="1">IF(BA$1="","",'Total Value'!BA55/'Total Value'!AZ55-1)</f>
        <v>1.9417475728155331E-2</v>
      </c>
      <c r="BB43" s="14">
        <f ca="1">IF(BB$1="","",'Total Value'!BB55/'Total Value'!BA55-1)</f>
        <v>-4.1269841269841234E-2</v>
      </c>
      <c r="BC43" s="14">
        <f ca="1">IF(BC$1="","",'Total Value'!BC55/'Total Value'!BB55-1)</f>
        <v>-3.6423841059602502E-2</v>
      </c>
      <c r="BD43" s="14">
        <f ca="1">IF(BD$1="","",'Total Value'!BD55/'Total Value'!BC55-1)</f>
        <v>-3.7800687285223455E-2</v>
      </c>
      <c r="BE43" s="14">
        <f ca="1">IF(BE$1="","",'Total Value'!BE55/'Total Value'!BD55-1)</f>
        <v>-2.4999999999999911E-2</v>
      </c>
      <c r="BF43" s="14">
        <f ca="1">IF(BF$1="","",'Total Value'!BF55/'Total Value'!BE55-1)</f>
        <v>6.9597069597069572E-2</v>
      </c>
      <c r="BG43" s="14">
        <f ca="1">IF(BG$1="","",'Total Value'!BG55/'Total Value'!BF55-1)</f>
        <v>-2.3972602739726012E-2</v>
      </c>
      <c r="BH43" s="14">
        <f ca="1">IF(BH$1="","",'Total Value'!BH55/'Total Value'!BG55-1)</f>
        <v>1.0526315789473495E-2</v>
      </c>
      <c r="BI43" s="14">
        <f ca="1">IF(BI$1="","",'Total Value'!BI55/'Total Value'!BH55-1)</f>
        <v>3.4722222222222321E-2</v>
      </c>
      <c r="BJ43" s="14">
        <f ca="1">IF(BJ$1="","",'Total Value'!BJ55/'Total Value'!BI55-1)</f>
        <v>6.7114093959731669E-2</v>
      </c>
      <c r="BK43" s="14">
        <f ca="1">IF(BK$1="","",'Total Value'!BK55/'Total Value'!BJ55-1)</f>
        <v>3.7735849056603765E-2</v>
      </c>
      <c r="BL43" s="14">
        <f ca="1">IF(BL$1="","",'Total Value'!BL55/'Total Value'!BK55-1)</f>
        <v>-2.7272727272727337E-2</v>
      </c>
      <c r="BM43" s="14">
        <f ca="1">IF(BM$1="","",'Total Value'!BM55/'Total Value'!BL55-1)</f>
        <v>-2.8037383177569986E-2</v>
      </c>
      <c r="BN43" s="14">
        <f ca="1">IF(BN$1="","",'Total Value'!BN55/'Total Value'!BM55-1)</f>
        <v>-2.8846153846153966E-2</v>
      </c>
      <c r="BO43" s="14">
        <f ca="1">IF(BO$1="","",'Total Value'!BO55/'Total Value'!BN55-1)</f>
        <v>-6.6006600660065917E-2</v>
      </c>
      <c r="BP43" s="14">
        <f ca="1">IF(BP$1="","",'Total Value'!BP55/'Total Value'!BO55-1)</f>
        <v>-4.2402826855123754E-2</v>
      </c>
      <c r="BQ43" s="14">
        <f ca="1">IF(BQ$1="","",'Total Value'!BQ55/'Total Value'!BP55-1)</f>
        <v>6.2730627306273101E-2</v>
      </c>
      <c r="BR43" s="14">
        <f ca="1">IF(BR$1="","",'Total Value'!BR55/'Total Value'!BQ55-1)</f>
        <v>-1.7361111111111049E-2</v>
      </c>
      <c r="BS43" s="14">
        <f ca="1">IF(BS$1="","",'Total Value'!BS55/'Total Value'!BR55-1)</f>
        <v>-1.0600706713780883E-2</v>
      </c>
      <c r="BT43" s="14">
        <f ca="1">IF(BT$1="","",'Total Value'!BT55/'Total Value'!BS55-1)</f>
        <v>0</v>
      </c>
      <c r="BU43" s="14">
        <f ca="1">IF(BU$1="","",'Total Value'!BU55/'Total Value'!BT55-1)</f>
        <v>-1.0714285714285676E-2</v>
      </c>
      <c r="BV43" s="14">
        <f ca="1">IF(BV$1="","",'Total Value'!BV55/'Total Value'!BU55-1)</f>
        <v>-1.80505415162453E-2</v>
      </c>
      <c r="BW43" s="14">
        <f ca="1">IF(BW$1="","",'Total Value'!BW55/'Total Value'!BV55-1)</f>
        <v>0</v>
      </c>
      <c r="BX43" s="14">
        <f ca="1">IF(BX$1="","",'Total Value'!BX55/'Total Value'!BW55-1)</f>
        <v>2.9411764705882248E-2</v>
      </c>
      <c r="BY43" s="14">
        <f ca="1">IF(BY$1="","",'Total Value'!BY55/'Total Value'!BX55-1)</f>
        <v>-5.3571428571428603E-2</v>
      </c>
      <c r="BZ43" s="14">
        <f ca="1">IF(BZ$1="","",'Total Value'!BZ55/'Total Value'!BY55-1)</f>
        <v>-5.6603773584905537E-2</v>
      </c>
      <c r="CA43" s="14">
        <f ca="1">IF(CA$1="","",'Total Value'!CA55/'Total Value'!BZ55-1)</f>
        <v>4.0000000000000036E-3</v>
      </c>
      <c r="CB43" s="14">
        <f ca="1">IF(CB$1="","",'Total Value'!CB55/'Total Value'!CA55-1)</f>
        <v>-5.9760956175298752E-2</v>
      </c>
      <c r="CC43" s="14">
        <f ca="1">IF(CC$1="","",'Total Value'!CC55/'Total Value'!CB55-1)</f>
        <v>-2.1186440677966045E-2</v>
      </c>
      <c r="CD43" s="14">
        <f ca="1">IF(CD$1="","",'Total Value'!CD55/'Total Value'!CC55-1)</f>
        <v>3.8961038961038863E-2</v>
      </c>
      <c r="CE43" s="14">
        <f ca="1">IF(CE$1="","",'Total Value'!CE55/'Total Value'!CD55-1)</f>
        <v>2.5000000000000133E-2</v>
      </c>
      <c r="CF43" s="14" t="str">
        <f ca="1">IF(CF$1="","",'Total Value'!CF55/'Total Value'!CE55-1)</f>
        <v/>
      </c>
      <c r="CG43" s="14" t="str">
        <f ca="1">IF(CG$1="","",'Total Value'!CG55/'Total Value'!CF55-1)</f>
        <v/>
      </c>
      <c r="CH43" s="14" t="str">
        <f ca="1">IF(CH$1="","",'Total Value'!CH55/'Total Value'!CG55-1)</f>
        <v/>
      </c>
      <c r="CI43" s="14" t="str">
        <f ca="1">IF(CI$1="","",'Total Value'!CI55/'Total Value'!CH55-1)</f>
        <v/>
      </c>
      <c r="CJ43" s="14" t="str">
        <f ca="1">IF(CJ$1="","",'Total Value'!CJ55/'Total Value'!CI55-1)</f>
        <v/>
      </c>
      <c r="CK43" s="14" t="str">
        <f ca="1">IF(CK$1="","",'Total Value'!CK55/'Total Value'!CJ55-1)</f>
        <v/>
      </c>
      <c r="CL43" s="14" t="str">
        <f ca="1">IF(CL$1="","",'Total Value'!CL55/'Total Value'!CK55-1)</f>
        <v/>
      </c>
      <c r="CM43" s="14" t="str">
        <f ca="1">IF(CM$1="","",'Total Value'!CM55/'Total Value'!CL55-1)</f>
        <v/>
      </c>
      <c r="CN43" s="14" t="str">
        <f ca="1">IF(CN$1="","",'Total Value'!CN55/'Total Value'!CM55-1)</f>
        <v/>
      </c>
      <c r="CO43" s="14" t="str">
        <f ca="1">IF(CO$1="","",'Total Value'!CO55/'Total Value'!CN55-1)</f>
        <v/>
      </c>
      <c r="CP43" s="14" t="str">
        <f ca="1">IF(CP$1="","",'Total Value'!CP55/'Total Value'!CO55-1)</f>
        <v/>
      </c>
      <c r="CQ43" s="14" t="str">
        <f ca="1">IF(CQ$1="","",'Total Value'!CQ55/'Total Value'!CP55-1)</f>
        <v/>
      </c>
      <c r="CR43" s="14" t="str">
        <f ca="1">IF(CR$1="","",'Total Value'!CR55/'Total Value'!CQ55-1)</f>
        <v/>
      </c>
      <c r="CS43" s="14" t="str">
        <f ca="1">IF(CS$1="","",'Total Value'!CS55/'Total Value'!CR55-1)</f>
        <v/>
      </c>
      <c r="CT43" s="14" t="str">
        <f ca="1">IF(CT$1="","",'Total Value'!CT55/'Total Value'!CS55-1)</f>
        <v/>
      </c>
      <c r="CU43" s="14" t="str">
        <f ca="1">IF(CU$1="","",'Total Value'!CU55/'Total Value'!CT55-1)</f>
        <v/>
      </c>
      <c r="CV43" s="14" t="str">
        <f ca="1">IF(CV$1="","",'Total Value'!CV55/'Total Value'!CU55-1)</f>
        <v/>
      </c>
      <c r="CW43" s="14" t="str">
        <f ca="1">IF(CW$1="","",'Total Value'!CW55/'Total Value'!CV55-1)</f>
        <v/>
      </c>
      <c r="CX43" s="14" t="str">
        <f ca="1">IF(CX$1="","",'Total Value'!CX55/'Total Value'!CW55-1)</f>
        <v/>
      </c>
      <c r="CY43" s="14" t="str">
        <f ca="1">IF(CY$1="","",'Total Value'!CY55/'Total Value'!CX55-1)</f>
        <v/>
      </c>
      <c r="CZ43" s="14" t="str">
        <f ca="1">IF(CZ$1="","",'Total Value'!CZ55/'Total Value'!CY55-1)</f>
        <v/>
      </c>
      <c r="DA43" s="14" t="str">
        <f ca="1">IF(DA$1="","",'Total Value'!DA55/'Total Value'!CZ55-1)</f>
        <v/>
      </c>
      <c r="DB43" s="14" t="str">
        <f ca="1">IF(DB$1="","",'Total Value'!DB55/'Total Value'!DA55-1)</f>
        <v/>
      </c>
      <c r="DC43" s="14" t="str">
        <f ca="1">IF(DC$1="","",'Total Value'!DC55/'Total Value'!DB55-1)</f>
        <v/>
      </c>
      <c r="DD43" s="14" t="str">
        <f ca="1">IF(DD$1="","",'Total Value'!DD55/'Total Value'!DC55-1)</f>
        <v/>
      </c>
      <c r="DE43" s="14" t="str">
        <f ca="1">IF(DE$1="","",'Total Value'!DE55/'Total Value'!DD55-1)</f>
        <v/>
      </c>
      <c r="DF43" s="14" t="str">
        <f ca="1">IF(DF$1="","",'Total Value'!DF55/'Total Value'!DE55-1)</f>
        <v/>
      </c>
      <c r="DG43" s="14" t="str">
        <f ca="1">IF(DG$1="","",'Total Value'!DG55/'Total Value'!DF55-1)</f>
        <v/>
      </c>
      <c r="DH43" s="14" t="str">
        <f ca="1">IF(DH$1="","",'Total Value'!DH55/'Total Value'!DG55-1)</f>
        <v/>
      </c>
      <c r="DI43" s="14" t="str">
        <f ca="1">IF(DI$1="","",'Total Value'!DI55/'Total Value'!DH55-1)</f>
        <v/>
      </c>
      <c r="DJ43" s="14" t="str">
        <f ca="1">IF(DJ$1="","",'Total Value'!DJ55/'Total Value'!DI55-1)</f>
        <v/>
      </c>
      <c r="DK43" s="14" t="str">
        <f ca="1">IF(DK$1="","",'Total Value'!DK55/'Total Value'!DJ55-1)</f>
        <v/>
      </c>
      <c r="DL43" s="14" t="str">
        <f ca="1">IF(DL$1="","",'Total Value'!DL55/'Total Value'!DK55-1)</f>
        <v/>
      </c>
      <c r="DM43" s="14" t="str">
        <f ca="1">IF(DM$1="","",'Total Value'!DM55/'Total Value'!DL55-1)</f>
        <v/>
      </c>
      <c r="DN43" s="14" t="str">
        <f ca="1">IF(DN$1="","",'Total Value'!DN55/'Total Value'!DM55-1)</f>
        <v/>
      </c>
      <c r="DO43" s="14" t="str">
        <f ca="1">IF(DO$1="","",'Total Value'!DO55/'Total Value'!DN55-1)</f>
        <v/>
      </c>
      <c r="DP43" s="14" t="str">
        <f ca="1">IF(DP$1="","",'Total Value'!DP55/'Total Value'!DO55-1)</f>
        <v/>
      </c>
      <c r="DQ43" s="14" t="str">
        <f ca="1">IF(DQ$1="","",'Total Value'!DQ55/'Total Value'!DP55-1)</f>
        <v/>
      </c>
      <c r="DR43" s="14" t="str">
        <f ca="1">IF(DR$1="","",'Total Value'!DR55/'Total Value'!DQ55-1)</f>
        <v/>
      </c>
      <c r="DS43" s="14" t="str">
        <f ca="1">IF(DS$1="","",'Total Value'!DS55/'Total Value'!DR55-1)</f>
        <v/>
      </c>
      <c r="DT43" s="14" t="str">
        <f ca="1">IF(DT$1="","",'Total Value'!DT55/'Total Value'!DS55-1)</f>
        <v/>
      </c>
      <c r="DU43" s="14" t="str">
        <f ca="1">IF(DU$1="","",'Total Value'!DU55/'Total Value'!DT55-1)</f>
        <v/>
      </c>
      <c r="DV43" s="14" t="str">
        <f ca="1">IF(DV$1="","",'Total Value'!DV55/'Total Value'!DU55-1)</f>
        <v/>
      </c>
      <c r="DW43" s="14" t="str">
        <f ca="1">IF(DW$1="","",'Total Value'!DW55/'Total Value'!DV55-1)</f>
        <v/>
      </c>
      <c r="DX43" s="14" t="str">
        <f ca="1">IF(DX$1="","",'Total Value'!DX55/'Total Value'!DW55-1)</f>
        <v/>
      </c>
      <c r="DY43" s="14" t="str">
        <f ca="1">IF(DY$1="","",'Total Value'!DY55/'Total Value'!DX55-1)</f>
        <v/>
      </c>
      <c r="DZ43" s="14" t="str">
        <f ca="1">IF(DZ$1="","",'Total Value'!DZ55/'Total Value'!DY55-1)</f>
        <v/>
      </c>
      <c r="EA43" s="14" t="str">
        <f ca="1">IF(EA$1="","",'Total Value'!EA55/'Total Value'!DZ55-1)</f>
        <v/>
      </c>
      <c r="EB43" s="14" t="str">
        <f ca="1">IF(EB$1="","",'Total Value'!EB55/'Total Value'!EA55-1)</f>
        <v/>
      </c>
      <c r="EC43" s="14" t="str">
        <f ca="1">IF(EC$1="","",'Total Value'!EC55/'Total Value'!EB55-1)</f>
        <v/>
      </c>
      <c r="ED43" s="14" t="str">
        <f ca="1">IF(ED$1="","",'Total Value'!ED55/'Total Value'!EC55-1)</f>
        <v/>
      </c>
      <c r="EE43" s="14" t="str">
        <f ca="1">IF(EE$1="","",'Total Value'!EE55/'Total Value'!ED55-1)</f>
        <v/>
      </c>
      <c r="EF43" s="14" t="str">
        <f ca="1">IF(EF$1="","",'Total Value'!EF55/'Total Value'!EE55-1)</f>
        <v/>
      </c>
      <c r="EG43" s="14" t="str">
        <f ca="1">IF(EG$1="","",'Total Value'!EG55/'Total Value'!EF55-1)</f>
        <v/>
      </c>
      <c r="EH43" s="14" t="str">
        <f ca="1">IF(EH$1="","",'Total Value'!EH55/'Total Value'!EG55-1)</f>
        <v/>
      </c>
      <c r="EI43" s="14" t="str">
        <f ca="1">IF(EI$1="","",'Total Value'!EI55/'Total Value'!EH55-1)</f>
        <v/>
      </c>
      <c r="EJ43" s="14" t="str">
        <f ca="1">IF(EJ$1="","",'Total Value'!EJ55/'Total Value'!EI55-1)</f>
        <v/>
      </c>
      <c r="EK43" s="14" t="str">
        <f ca="1">IF(EK$1="","",'Total Value'!EK55/'Total Value'!EJ55-1)</f>
        <v/>
      </c>
      <c r="EL43" s="14" t="str">
        <f ca="1">IF(EL$1="","",'Total Value'!EL55/'Total Value'!EK55-1)</f>
        <v/>
      </c>
      <c r="EM43" s="14" t="str">
        <f ca="1">IF(EM$1="","",'Total Value'!EM55/'Total Value'!EL55-1)</f>
        <v/>
      </c>
      <c r="EN43" s="14" t="str">
        <f ca="1">IF(EN$1="","",'Total Value'!EN55/'Total Value'!EM55-1)</f>
        <v/>
      </c>
      <c r="EO43" s="14" t="str">
        <f ca="1">IF(EO$1="","",'Total Value'!EO55/'Total Value'!EN55-1)</f>
        <v/>
      </c>
      <c r="EP43" s="14" t="str">
        <f ca="1">IF(EP$1="","",'Total Value'!EP55/'Total Value'!EO55-1)</f>
        <v/>
      </c>
      <c r="EQ43" s="14" t="str">
        <f ca="1">IF(EQ$1="","",'Total Value'!EQ55/'Total Value'!EP55-1)</f>
        <v/>
      </c>
      <c r="ER43" s="14" t="str">
        <f ca="1">IF(ER$1="","",'Total Value'!ER55/'Total Value'!EQ55-1)</f>
        <v/>
      </c>
      <c r="ES43" s="14" t="str">
        <f ca="1">IF(ES$1="","",'Total Value'!ES55/'Total Value'!ER55-1)</f>
        <v/>
      </c>
      <c r="ET43" s="14" t="str">
        <f ca="1">IF(ET$1="","",'Total Value'!ET55/'Total Value'!ES55-1)</f>
        <v/>
      </c>
      <c r="EU43" s="14" t="str">
        <f ca="1">IF(EU$1="","",'Total Value'!EU55/'Total Value'!ET55-1)</f>
        <v/>
      </c>
      <c r="EV43" s="14" t="str">
        <f ca="1">IF(EV$1="","",'Total Value'!EV55/'Total Value'!EU55-1)</f>
        <v/>
      </c>
      <c r="EW43" s="14" t="str">
        <f ca="1">IF(EW$1="","",'Total Value'!EW55/'Total Value'!EV55-1)</f>
        <v/>
      </c>
      <c r="EX43" s="14" t="str">
        <f ca="1">IF(EX$1="","",'Total Value'!EX55/'Total Value'!EW55-1)</f>
        <v/>
      </c>
      <c r="EY43" s="14" t="str">
        <f ca="1">IF(EY$1="","",'Total Value'!EY55/'Total Value'!EX55-1)</f>
        <v/>
      </c>
      <c r="EZ43" s="14" t="str">
        <f ca="1">IF(EZ$1="","",'Total Value'!EZ55/'Total Value'!EY55-1)</f>
        <v/>
      </c>
      <c r="FA43" s="14" t="str">
        <f ca="1">IF(FA$1="","",'Total Value'!FA55/'Total Value'!EZ55-1)</f>
        <v/>
      </c>
      <c r="FB43" s="14" t="str">
        <f ca="1">IF(FB$1="","",'Total Value'!FB55/'Total Value'!FA55-1)</f>
        <v/>
      </c>
      <c r="FC43" s="14" t="str">
        <f ca="1">IF(FC$1="","",'Total Value'!FC55/'Total Value'!FB55-1)</f>
        <v/>
      </c>
      <c r="FD43" s="14" t="str">
        <f ca="1">IF(FD$1="","",'Total Value'!FD55/'Total Value'!FC55-1)</f>
        <v/>
      </c>
      <c r="FE43" s="14" t="str">
        <f ca="1">IF(FE$1="","",'Total Value'!FE55/'Total Value'!FD55-1)</f>
        <v/>
      </c>
      <c r="FF43" s="14" t="str">
        <f ca="1">IF(FF$1="","",'Total Value'!FF55/'Total Value'!FE55-1)</f>
        <v/>
      </c>
      <c r="FG43" s="14" t="str">
        <f ca="1">IF(FG$1="","",'Total Value'!FG55/'Total Value'!FF55-1)</f>
        <v/>
      </c>
      <c r="FH43" s="14" t="str">
        <f ca="1">IF(FH$1="","",'Total Value'!FH55/'Total Value'!FG55-1)</f>
        <v/>
      </c>
      <c r="FI43" s="14" t="str">
        <f ca="1">IF(FI$1="","",'Total Value'!FI55/'Total Value'!FH55-1)</f>
        <v/>
      </c>
      <c r="FJ43" s="14" t="str">
        <f ca="1">IF(FJ$1="","",'Total Value'!FJ55/'Total Value'!FI55-1)</f>
        <v/>
      </c>
      <c r="FK43" s="14" t="str">
        <f ca="1">IF(FK$1="","",'Total Value'!FK55/'Total Value'!FJ55-1)</f>
        <v/>
      </c>
      <c r="FL43" s="14" t="str">
        <f ca="1">IF(FL$1="","",'Total Value'!FL55/'Total Value'!FK55-1)</f>
        <v/>
      </c>
      <c r="FM43" s="14" t="str">
        <f ca="1">IF(FM$1="","",'Total Value'!FM55/'Total Value'!FL55-1)</f>
        <v/>
      </c>
      <c r="FN43" s="14" t="str">
        <f ca="1">IF(FN$1="","",'Total Value'!FN55/'Total Value'!FM55-1)</f>
        <v/>
      </c>
      <c r="FO43" s="14" t="str">
        <f ca="1">IF(FO$1="","",'Total Value'!FO55/'Total Value'!FN55-1)</f>
        <v/>
      </c>
      <c r="FP43" s="14" t="str">
        <f ca="1">IF(FP$1="","",'Total Value'!FP55/'Total Value'!FO55-1)</f>
        <v/>
      </c>
      <c r="FQ43" s="14" t="str">
        <f ca="1">IF(FQ$1="","",'Total Value'!FQ55/'Total Value'!FP55-1)</f>
        <v/>
      </c>
      <c r="FR43" s="14" t="str">
        <f ca="1">IF(FR$1="","",'Total Value'!FR55/'Total Value'!FQ55-1)</f>
        <v/>
      </c>
      <c r="FS43" s="14" t="str">
        <f ca="1">IF(FS$1="","",'Total Value'!FS55/'Total Value'!FR55-1)</f>
        <v/>
      </c>
      <c r="FT43" s="14" t="str">
        <f ca="1">IF(FT$1="","",'Total Value'!FT55/'Total Value'!FS55-1)</f>
        <v/>
      </c>
      <c r="FU43" s="14" t="str">
        <f ca="1">IF(FU$1="","",'Total Value'!FU55/'Total Value'!FT55-1)</f>
        <v/>
      </c>
      <c r="FV43" s="14" t="str">
        <f ca="1">IF(FV$1="","",'Total Value'!FV55/'Total Value'!FU55-1)</f>
        <v/>
      </c>
      <c r="FW43" s="14" t="str">
        <f ca="1">IF(FW$1="","",'Total Value'!FW55/'Total Value'!FV55-1)</f>
        <v/>
      </c>
      <c r="FX43" s="14" t="str">
        <f ca="1">IF(FX$1="","",'Total Value'!FX55/'Total Value'!FW55-1)</f>
        <v/>
      </c>
      <c r="FY43" s="14" t="str">
        <f ca="1">IF(FY$1="","",'Total Value'!FY55/'Total Value'!FX55-1)</f>
        <v/>
      </c>
      <c r="FZ43" s="14" t="str">
        <f ca="1">IF(FZ$1="","",'Total Value'!FZ55/'Total Value'!FY55-1)</f>
        <v/>
      </c>
      <c r="GA43" s="14" t="str">
        <f ca="1">IF(GA$1="","",'Total Value'!GA55/'Total Value'!FZ55-1)</f>
        <v/>
      </c>
      <c r="GB43" s="14" t="str">
        <f ca="1">IF(GB$1="","",'Total Value'!GB55/'Total Value'!GA55-1)</f>
        <v/>
      </c>
      <c r="GC43" s="14" t="str">
        <f ca="1">IF(GC$1="","",'Total Value'!GC55/'Total Value'!GB55-1)</f>
        <v/>
      </c>
      <c r="GD43" s="14" t="str">
        <f ca="1">IF(GD$1="","",'Total Value'!GD55/'Total Value'!GC55-1)</f>
        <v/>
      </c>
      <c r="GE43" s="14" t="str">
        <f ca="1">IF(GE$1="","",'Total Value'!GE55/'Total Value'!GD55-1)</f>
        <v/>
      </c>
      <c r="GF43" s="14" t="str">
        <f ca="1">IF(GF$1="","",'Total Value'!GF55/'Total Value'!GE55-1)</f>
        <v/>
      </c>
      <c r="GG43" s="14" t="str">
        <f ca="1">IF(GG$1="","",'Total Value'!GG55/'Total Value'!GF55-1)</f>
        <v/>
      </c>
      <c r="GH43" s="14" t="str">
        <f ca="1">IF(GH$1="","",'Total Value'!GH55/'Total Value'!GG55-1)</f>
        <v/>
      </c>
      <c r="GI43" s="14" t="str">
        <f ca="1">IF(GI$1="","",'Total Value'!GI55/'Total Value'!GH55-1)</f>
        <v/>
      </c>
      <c r="GJ43" s="14" t="str">
        <f ca="1">IF(GJ$1="","",'Total Value'!GJ55/'Total Value'!GI55-1)</f>
        <v/>
      </c>
      <c r="GK43" s="14" t="str">
        <f ca="1">IF(GK$1="","",'Total Value'!GK55/'Total Value'!GJ55-1)</f>
        <v/>
      </c>
      <c r="GL43" s="14" t="str">
        <f ca="1">IF(GL$1="","",'Total Value'!GL55/'Total Value'!GK55-1)</f>
        <v/>
      </c>
      <c r="GM43" s="14" t="str">
        <f ca="1">IF(GM$1="","",'Total Value'!GM55/'Total Value'!GL55-1)</f>
        <v/>
      </c>
      <c r="GN43" s="14" t="str">
        <f ca="1">IF(GN$1="","",'Total Value'!GN55/'Total Value'!GM55-1)</f>
        <v/>
      </c>
      <c r="GO43" s="14" t="str">
        <f ca="1">IF(GO$1="","",'Total Value'!GO55/'Total Value'!GN55-1)</f>
        <v/>
      </c>
      <c r="GP43" s="14" t="str">
        <f ca="1">IF(GP$1="","",'Total Value'!GP55/'Total Value'!GO55-1)</f>
        <v/>
      </c>
      <c r="GQ43" s="14" t="str">
        <f ca="1">IF(GQ$1="","",'Total Value'!GQ55/'Total Value'!GP55-1)</f>
        <v/>
      </c>
      <c r="GR43" s="14" t="str">
        <f ca="1">IF(GR$1="","",'Total Value'!GR55/'Total Value'!GQ55-1)</f>
        <v/>
      </c>
      <c r="GS43" s="14" t="str">
        <f ca="1">IF(GS$1="","",'Total Value'!GS55/'Total Value'!GR55-1)</f>
        <v/>
      </c>
      <c r="GT43" s="14" t="str">
        <f ca="1">IF(GT$1="","",'Total Value'!GT55/'Total Value'!GS55-1)</f>
        <v/>
      </c>
      <c r="GU43" s="14" t="str">
        <f ca="1">IF(GU$1="","",'Total Value'!GU55/'Total Value'!GT55-1)</f>
        <v/>
      </c>
      <c r="GV43" s="14" t="str">
        <f ca="1">IF(GV$1="","",'Total Value'!GV55/'Total Value'!GU55-1)</f>
        <v/>
      </c>
      <c r="GW43" s="14" t="str">
        <f ca="1">IF(GW$1="","",'Total Value'!GW55/'Total Value'!GV55-1)</f>
        <v/>
      </c>
      <c r="GX43" s="14" t="str">
        <f ca="1">IF(GX$1="","",'Total Value'!GX55/'Total Value'!GW55-1)</f>
        <v/>
      </c>
      <c r="GY43" s="14" t="str">
        <f ca="1">IF(GY$1="","",'Total Value'!GY55/'Total Value'!GX55-1)</f>
        <v/>
      </c>
      <c r="GZ43" s="14" t="str">
        <f ca="1">IF(GZ$1="","",'Total Value'!GZ55/'Total Value'!GY55-1)</f>
        <v/>
      </c>
      <c r="HA43" s="14" t="str">
        <f ca="1">IF(HA$1="","",'Total Value'!HA55/'Total Value'!GZ55-1)</f>
        <v/>
      </c>
      <c r="HB43" s="14" t="str">
        <f ca="1">IF(HB$1="","",'Total Value'!HB55/'Total Value'!HA55-1)</f>
        <v/>
      </c>
      <c r="HC43" s="14" t="str">
        <f ca="1">IF(HC$1="","",'Total Value'!HC55/'Total Value'!HB55-1)</f>
        <v/>
      </c>
      <c r="HD43" s="14" t="str">
        <f ca="1">IF(HD$1="","",'Total Value'!HD55/'Total Value'!HC55-1)</f>
        <v/>
      </c>
      <c r="HE43" s="14" t="str">
        <f ca="1">IF(HE$1="","",'Total Value'!HE55/'Total Value'!HD55-1)</f>
        <v/>
      </c>
      <c r="HF43" s="14" t="str">
        <f ca="1">IF(HF$1="","",'Total Value'!HF55/'Total Value'!HE55-1)</f>
        <v/>
      </c>
      <c r="HG43" s="14" t="str">
        <f ca="1">IF(HG$1="","",'Total Value'!HG55/'Total Value'!HF55-1)</f>
        <v/>
      </c>
      <c r="HH43" s="14" t="str">
        <f ca="1">IF(HH$1="","",'Total Value'!HH55/'Total Value'!HG55-1)</f>
        <v/>
      </c>
      <c r="HI43" s="14" t="str">
        <f ca="1">IF(HI$1="","",'Total Value'!HI55/'Total Value'!HH55-1)</f>
        <v/>
      </c>
      <c r="HJ43" s="14" t="str">
        <f ca="1">IF(HJ$1="","",'Total Value'!HJ55/'Total Value'!HI55-1)</f>
        <v/>
      </c>
      <c r="HK43" s="14" t="str">
        <f ca="1">IF(HK$1="","",'Total Value'!HK55/'Total Value'!HJ55-1)</f>
        <v/>
      </c>
      <c r="HL43" s="14" t="str">
        <f ca="1">IF(HL$1="","",'Total Value'!HL55/'Total Value'!HK55-1)</f>
        <v/>
      </c>
      <c r="HM43" s="14" t="str">
        <f ca="1">IF(HM$1="","",'Total Value'!HM55/'Total Value'!HL55-1)</f>
        <v/>
      </c>
      <c r="HN43" s="14" t="str">
        <f ca="1">IF(HN$1="","",'Total Value'!HN55/'Total Value'!HM55-1)</f>
        <v/>
      </c>
      <c r="HO43" s="14" t="str">
        <f ca="1">IF(HO$1="","",'Total Value'!HO55/'Total Value'!HN55-1)</f>
        <v/>
      </c>
      <c r="HP43" s="14" t="str">
        <f ca="1">IF(HP$1="","",'Total Value'!HP55/'Total Value'!HO55-1)</f>
        <v/>
      </c>
      <c r="HQ43" s="14" t="str">
        <f ca="1">IF(HQ$1="","",'Total Value'!HQ55/'Total Value'!HP55-1)</f>
        <v/>
      </c>
      <c r="HR43" s="14" t="str">
        <f ca="1">IF(HR$1="","",'Total Value'!HR55/'Total Value'!HQ55-1)</f>
        <v/>
      </c>
      <c r="HS43" s="14" t="str">
        <f ca="1">IF(HS$1="","",'Total Value'!HS55/'Total Value'!HR55-1)</f>
        <v/>
      </c>
      <c r="HT43" s="14" t="str">
        <f ca="1">IF(HT$1="","",'Total Value'!HT55/'Total Value'!HS55-1)</f>
        <v/>
      </c>
      <c r="HU43" s="14" t="str">
        <f ca="1">IF(HU$1="","",'Total Value'!HU55/'Total Value'!HT55-1)</f>
        <v/>
      </c>
      <c r="HV43" s="14" t="str">
        <f ca="1">IF(HV$1="","",'Total Value'!HV55/'Total Value'!HU55-1)</f>
        <v/>
      </c>
      <c r="HW43" s="14" t="str">
        <f ca="1">IF(HW$1="","",'Total Value'!HW55/'Total Value'!HV55-1)</f>
        <v/>
      </c>
      <c r="HX43" s="14" t="str">
        <f ca="1">IF(HX$1="","",'Total Value'!HX55/'Total Value'!HW55-1)</f>
        <v/>
      </c>
      <c r="HY43" s="14" t="str">
        <f ca="1">IF(HY$1="","",'Total Value'!HY55/'Total Value'!HX55-1)</f>
        <v/>
      </c>
      <c r="HZ43" s="14" t="str">
        <f ca="1">IF(HZ$1="","",'Total Value'!HZ55/'Total Value'!HY55-1)</f>
        <v/>
      </c>
      <c r="IA43" s="14" t="str">
        <f ca="1">IF(IA$1="","",'Total Value'!IA55/'Total Value'!HZ55-1)</f>
        <v/>
      </c>
      <c r="IB43" s="14" t="str">
        <f ca="1">IF(IB$1="","",'Total Value'!IB55/'Total Value'!IA55-1)</f>
        <v/>
      </c>
      <c r="IC43" s="14" t="str">
        <f ca="1">IF(IC$1="","",'Total Value'!IC55/'Total Value'!IB55-1)</f>
        <v/>
      </c>
      <c r="ID43" s="14" t="str">
        <f ca="1">IF(ID$1="","",'Total Value'!ID55/'Total Value'!IC55-1)</f>
        <v/>
      </c>
      <c r="IE43" s="14" t="str">
        <f ca="1">IF(IE$1="","",'Total Value'!IE55/'Total Value'!ID55-1)</f>
        <v/>
      </c>
      <c r="IF43" s="14" t="str">
        <f ca="1">IF(IF$1="","",'Total Value'!IF55/'Total Value'!IE55-1)</f>
        <v/>
      </c>
      <c r="IG43" s="14" t="str">
        <f ca="1">IF(IG$1="","",'Total Value'!IG55/'Total Value'!IF55-1)</f>
        <v/>
      </c>
      <c r="IH43" s="14" t="str">
        <f ca="1">IF(IH$1="","",'Total Value'!IH55/'Total Value'!IG55-1)</f>
        <v/>
      </c>
      <c r="II43" s="14" t="str">
        <f ca="1">IF(II$1="","",'Total Value'!II55/'Total Value'!IH55-1)</f>
        <v/>
      </c>
      <c r="IJ43" s="14" t="str">
        <f ca="1">IF(IJ$1="","",'Total Value'!IJ55/'Total Value'!II55-1)</f>
        <v/>
      </c>
      <c r="IK43" s="14" t="str">
        <f ca="1">IF(IK$1="","",'Total Value'!IK55/'Total Value'!IJ55-1)</f>
        <v/>
      </c>
      <c r="IL43" s="14" t="str">
        <f ca="1">IF(IL$1="","",'Total Value'!IL55/'Total Value'!IK55-1)</f>
        <v/>
      </c>
      <c r="IM43" s="14" t="str">
        <f ca="1">IF(IM$1="","",'Total Value'!IM55/'Total Value'!IL55-1)</f>
        <v/>
      </c>
      <c r="IN43" s="14" t="str">
        <f ca="1">IF(IN$1="","",'Total Value'!IN55/'Total Value'!IM55-1)</f>
        <v/>
      </c>
      <c r="IO43" s="14" t="str">
        <f ca="1">IF(IO$1="","",'Total Value'!IO55/'Total Value'!IN55-1)</f>
        <v/>
      </c>
      <c r="IP43" s="14" t="str">
        <f ca="1">IF(IP$1="","",'Total Value'!IP55/'Total Value'!IO55-1)</f>
        <v/>
      </c>
      <c r="IQ43" s="14" t="str">
        <f ca="1">IF(IQ$1="","",'Total Value'!IQ55/'Total Value'!IP55-1)</f>
        <v/>
      </c>
      <c r="IR43" s="14" t="str">
        <f ca="1">IF(IR$1="","",'Total Value'!IR55/'Total Value'!IQ55-1)</f>
        <v/>
      </c>
      <c r="IS43" s="14" t="str">
        <f ca="1">IF(IS$1="","",'Total Value'!IS55/'Total Value'!IR55-1)</f>
        <v/>
      </c>
      <c r="IT43" s="14" t="str">
        <f ca="1">IF(IT$1="","",'Total Value'!IT55/'Total Value'!IS55-1)</f>
        <v/>
      </c>
      <c r="IU43" s="14" t="str">
        <f ca="1">IF(IU$1="","",'Total Value'!IU55/'Total Value'!IT55-1)</f>
        <v/>
      </c>
      <c r="IV43" s="14" t="str">
        <f ca="1">IF(IV$1="","",'Total Value'!IV55/'Total Value'!IU55-1)</f>
        <v/>
      </c>
      <c r="IW43" s="14" t="str">
        <f ca="1">IF(IW$1="","",'Total Value'!IW55/'Total Value'!IV55-1)</f>
        <v/>
      </c>
      <c r="IX43" s="14" t="str">
        <f ca="1">IF(IX$1="","",'Total Value'!IX55/'Total Value'!IW55-1)</f>
        <v/>
      </c>
      <c r="IY43" s="14" t="str">
        <f ca="1">IF(IY$1="","",'Total Value'!IY55/'Total Value'!IX55-1)</f>
        <v/>
      </c>
      <c r="IZ43" s="14" t="str">
        <f ca="1">IF(IZ$1="","",'Total Value'!IZ55/'Total Value'!IY55-1)</f>
        <v/>
      </c>
      <c r="JA43" s="14" t="str">
        <f ca="1">IF(JA$1="","",'Total Value'!JA55/'Total Value'!IZ55-1)</f>
        <v/>
      </c>
      <c r="JB43" s="14" t="str">
        <f ca="1">IF(JB$1="","",'Total Value'!JB55/'Total Value'!JA55-1)</f>
        <v/>
      </c>
      <c r="JC43" s="14" t="str">
        <f ca="1">IF(JC$1="","",'Total Value'!JC55/'Total Value'!JB55-1)</f>
        <v/>
      </c>
      <c r="JD43" s="14" t="str">
        <f ca="1">IF(JD$1="","",'Total Value'!JD55/'Total Value'!JC55-1)</f>
        <v/>
      </c>
      <c r="JE43" s="14" t="str">
        <f ca="1">IF(JE$1="","",'Total Value'!JE55/'Total Value'!JD55-1)</f>
        <v/>
      </c>
      <c r="JF43" s="14" t="str">
        <f ca="1">IF(JF$1="","",'Total Value'!JF55/'Total Value'!JE55-1)</f>
        <v/>
      </c>
      <c r="JG43" s="14" t="str">
        <f ca="1">IF(JG$1="","",'Total Value'!JG55/'Total Value'!JF55-1)</f>
        <v/>
      </c>
      <c r="JH43" s="14" t="str">
        <f ca="1">IF(JH$1="","",'Total Value'!JH55/'Total Value'!JG55-1)</f>
        <v/>
      </c>
      <c r="JI43" s="14" t="str">
        <f ca="1">IF(JI$1="","",'Total Value'!JI55/'Total Value'!JH55-1)</f>
        <v/>
      </c>
      <c r="JJ43" s="14" t="str">
        <f ca="1">IF(JJ$1="","",'Total Value'!JJ55/'Total Value'!JI55-1)</f>
        <v/>
      </c>
      <c r="JK43" s="14" t="str">
        <f ca="1">IF(JK$1="","",'Total Value'!JK55/'Total Value'!JJ55-1)</f>
        <v/>
      </c>
      <c r="JL43" s="14" t="str">
        <f ca="1">IF(JL$1="","",'Total Value'!JL55/'Total Value'!JK55-1)</f>
        <v/>
      </c>
      <c r="JM43" s="14" t="str">
        <f ca="1">IF(JM$1="","",'Total Value'!JM55/'Total Value'!JL55-1)</f>
        <v/>
      </c>
      <c r="JN43" s="14" t="str">
        <f ca="1">IF(JN$1="","",'Total Value'!JN55/'Total Value'!JM55-1)</f>
        <v/>
      </c>
      <c r="JO43" s="14" t="str">
        <f ca="1">IF(JO$1="","",'Total Value'!JO55/'Total Value'!JN55-1)</f>
        <v/>
      </c>
      <c r="JP43" s="14" t="str">
        <f ca="1">IF(JP$1="","",'Total Value'!JP55/'Total Value'!JO55-1)</f>
        <v/>
      </c>
      <c r="JQ43" s="14" t="str">
        <f ca="1">IF(JQ$1="","",'Total Value'!JQ55/'Total Value'!JP55-1)</f>
        <v/>
      </c>
      <c r="JR43" s="14" t="str">
        <f ca="1">IF(JR$1="","",'Total Value'!JR55/'Total Value'!JQ55-1)</f>
        <v/>
      </c>
      <c r="JS43" s="14" t="str">
        <f ca="1">IF(JS$1="","",'Total Value'!JS55/'Total Value'!JR55-1)</f>
        <v/>
      </c>
      <c r="JT43" s="14" t="str">
        <f ca="1">IF(JT$1="","",'Total Value'!JT55/'Total Value'!JS55-1)</f>
        <v/>
      </c>
      <c r="JU43" s="14" t="str">
        <f ca="1">IF(JU$1="","",'Total Value'!JU55/'Total Value'!JT55-1)</f>
        <v/>
      </c>
      <c r="JV43" s="14" t="str">
        <f ca="1">IF(JV$1="","",'Total Value'!JV55/'Total Value'!JU55-1)</f>
        <v/>
      </c>
      <c r="JW43" s="14" t="str">
        <f ca="1">IF(JW$1="","",'Total Value'!JW55/'Total Value'!JV55-1)</f>
        <v/>
      </c>
      <c r="JX43" s="14" t="str">
        <f ca="1">IF(JX$1="","",'Total Value'!JX55/'Total Value'!JW55-1)</f>
        <v/>
      </c>
      <c r="JY43" s="14" t="str">
        <f ca="1">IF(JY$1="","",'Total Value'!JY55/'Total Value'!JX55-1)</f>
        <v/>
      </c>
      <c r="JZ43" s="14" t="str">
        <f ca="1">IF(JZ$1="","",'Total Value'!JZ55/'Total Value'!JY55-1)</f>
        <v/>
      </c>
      <c r="KA43" s="14" t="str">
        <f ca="1">IF(KA$1="","",'Total Value'!KA55/'Total Value'!JZ55-1)</f>
        <v/>
      </c>
      <c r="KB43" s="14" t="str">
        <f ca="1">IF(KB$1="","",'Total Value'!KB55/'Total Value'!KA55-1)</f>
        <v/>
      </c>
    </row>
    <row r="44" spans="1:288" ht="15.75" customHeight="1">
      <c r="A44" s="22" t="s">
        <v>30</v>
      </c>
      <c r="B44" s="6" t="s">
        <v>87</v>
      </c>
      <c r="C44" s="26">
        <v>116</v>
      </c>
      <c r="D44" s="13">
        <v>0</v>
      </c>
      <c r="E44" s="14">
        <f ca="1">IF(E$1="","",'Total Value'!E56/'Total Value'!D56-1)</f>
        <v>5.2631578947368585E-3</v>
      </c>
      <c r="F44" s="14">
        <f ca="1">IF(F$1="","",'Total Value'!F56/'Total Value'!E56-1)</f>
        <v>-1.5706806282722585E-2</v>
      </c>
      <c r="G44" s="14">
        <f ca="1">IF(G$1="","",'Total Value'!G56/'Total Value'!F56-1)</f>
        <v>-1.5957446808510412E-2</v>
      </c>
      <c r="H44" s="14">
        <f ca="1">IF(H$1="","",'Total Value'!H56/'Total Value'!G56-1)</f>
        <v>5.4054054054053502E-3</v>
      </c>
      <c r="I44" s="14">
        <f ca="1">IF(I$1="","",'Total Value'!I56/'Total Value'!H56-1)</f>
        <v>-5.3763440860215117E-2</v>
      </c>
      <c r="J44" s="14">
        <f ca="1">IF(J$1="","",'Total Value'!J56/'Total Value'!I56-1)</f>
        <v>-4.5454545454545414E-2</v>
      </c>
      <c r="K44" s="14">
        <f ca="1">IF(K$1="","",'Total Value'!K56/'Total Value'!J56-1)</f>
        <v>-2.9761904761904767E-2</v>
      </c>
      <c r="L44" s="14">
        <f ca="1">IF(L$1="","",'Total Value'!L56/'Total Value'!K56-1)</f>
        <v>-7.3619631901840399E-2</v>
      </c>
      <c r="M44" s="14">
        <f ca="1">IF(M$1="","",'Total Value'!M56/'Total Value'!L56-1)</f>
        <v>1.3245033112582849E-2</v>
      </c>
      <c r="N44" s="14">
        <f ca="1">IF(N$1="","",'Total Value'!N56/'Total Value'!M56-1)</f>
        <v>2.6143790849673332E-2</v>
      </c>
      <c r="O44" s="14">
        <f ca="1">IF(O$1="","",'Total Value'!O56/'Total Value'!N56-1)</f>
        <v>-5.7324840764331197E-2</v>
      </c>
      <c r="P44" s="14">
        <f ca="1">IF(P$1="","",'Total Value'!P56/'Total Value'!O56-1)</f>
        <v>-1.3513513513513598E-2</v>
      </c>
      <c r="Q44" s="14">
        <f ca="1">IF(Q$1="","",'Total Value'!Q56/'Total Value'!P56-1)</f>
        <v>6.8493150684934001E-3</v>
      </c>
      <c r="R44" s="14">
        <f ca="1">IF(R$1="","",'Total Value'!R56/'Total Value'!Q56-1)</f>
        <v>8.8435374149659962E-2</v>
      </c>
      <c r="S44" s="14">
        <f ca="1">IF(S$1="","",'Total Value'!S56/'Total Value'!R56-1)</f>
        <v>6.2500000000000888E-3</v>
      </c>
      <c r="T44" s="14">
        <f ca="1">IF(T$1="","",'Total Value'!T56/'Total Value'!S56-1)</f>
        <v>-3.7267080745341685E-2</v>
      </c>
      <c r="U44" s="14">
        <f ca="1">IF(U$1="","",'Total Value'!U56/'Total Value'!T56-1)</f>
        <v>-5.8064516129032406E-2</v>
      </c>
      <c r="V44" s="14">
        <f ca="1">IF(V$1="","",'Total Value'!V56/'Total Value'!U56-1)</f>
        <v>2.7397260273972712E-2</v>
      </c>
      <c r="W44" s="14">
        <f ca="1">IF(W$1="","",'Total Value'!W56/'Total Value'!V56-1)</f>
        <v>-6.6666666666665986E-3</v>
      </c>
      <c r="X44" s="14">
        <f ca="1">IF(X$1="","",'Total Value'!X56/'Total Value'!W56-1)</f>
        <v>-2.0134228187919545E-2</v>
      </c>
      <c r="Y44" s="14">
        <f ca="1">IF(Y$1="","",'Total Value'!Y56/'Total Value'!X56-1)</f>
        <v>-1.3698630136986245E-2</v>
      </c>
      <c r="Z44" s="14">
        <f ca="1">IF(Z$1="","",'Total Value'!Z56/'Total Value'!Y56-1)</f>
        <v>-5.5555555555555358E-2</v>
      </c>
      <c r="AA44" s="14">
        <f ca="1">IF(AA$1="","",'Total Value'!AA56/'Total Value'!Z56-1)</f>
        <v>-2.941176470588247E-2</v>
      </c>
      <c r="AB44" s="14">
        <f ca="1">IF(AB$1="","",'Total Value'!AB56/'Total Value'!AA56-1)</f>
        <v>-1.5151515151515138E-2</v>
      </c>
      <c r="AC44" s="14">
        <f ca="1">IF(AC$1="","",'Total Value'!AC56/'Total Value'!AB56-1)</f>
        <v>9.9999999999999867E-2</v>
      </c>
      <c r="AD44" s="14">
        <f ca="1">IF(AD$1="","",'Total Value'!AD56/'Total Value'!AC56-1)</f>
        <v>2.7972027972028135E-2</v>
      </c>
      <c r="AE44" s="14">
        <f ca="1">IF(AE$1="","",'Total Value'!AE56/'Total Value'!AD56-1)</f>
        <v>-4.7619047619047783E-2</v>
      </c>
      <c r="AF44" s="14">
        <f ca="1">IF(AF$1="","",'Total Value'!AF56/'Total Value'!AE56-1)</f>
        <v>-7.1428571428571175E-3</v>
      </c>
      <c r="AG44" s="14">
        <f ca="1">IF(AG$1="","",'Total Value'!AG56/'Total Value'!AF56-1)</f>
        <v>-7.1942446043165242E-2</v>
      </c>
      <c r="AH44" s="14">
        <f ca="1">IF(AH$1="","",'Total Value'!AH56/'Total Value'!AG56-1)</f>
        <v>-3.1007751937984551E-2</v>
      </c>
      <c r="AI44" s="14">
        <f ca="1">IF(AI$1="","",'Total Value'!AI56/'Total Value'!AH56-1)</f>
        <v>8.0000000000000071E-2</v>
      </c>
      <c r="AJ44" s="14">
        <f ca="1">IF(AJ$1="","",'Total Value'!AJ56/'Total Value'!AI56-1)</f>
        <v>-7.4074074074075291E-3</v>
      </c>
      <c r="AK44" s="14">
        <f ca="1">IF(AK$1="","",'Total Value'!AK56/'Total Value'!AJ56-1)</f>
        <v>5.9701492537313383E-2</v>
      </c>
      <c r="AL44" s="14">
        <f ca="1">IF(AL$1="","",'Total Value'!AL56/'Total Value'!AK56-1)</f>
        <v>-2.1126760563380365E-2</v>
      </c>
      <c r="AM44" s="14">
        <f ca="1">IF(AM$1="","",'Total Value'!AM56/'Total Value'!AL56-1)</f>
        <v>5.0359712230215958E-2</v>
      </c>
      <c r="AN44" s="14">
        <f ca="1">IF(AN$1="","",'Total Value'!AN56/'Total Value'!AM56-1)</f>
        <v>5.4794520547945424E-2</v>
      </c>
      <c r="AO44" s="14">
        <f ca="1">IF(AO$1="","",'Total Value'!AO56/'Total Value'!AN56-1)</f>
        <v>-7.7922077922078059E-2</v>
      </c>
      <c r="AP44" s="14">
        <f ca="1">IF(AP$1="","",'Total Value'!AP56/'Total Value'!AO56-1)</f>
        <v>6.3380281690140761E-2</v>
      </c>
      <c r="AQ44" s="14">
        <f ca="1">IF(AQ$1="","",'Total Value'!AQ56/'Total Value'!AP56-1)</f>
        <v>-1.9867549668874163E-2</v>
      </c>
      <c r="AR44" s="14">
        <f ca="1">IF(AR$1="","",'Total Value'!AR56/'Total Value'!AQ56-1)</f>
        <v>0.21621621621621623</v>
      </c>
      <c r="AS44" s="14">
        <f ca="1">IF(AS$1="","",'Total Value'!AS56/'Total Value'!AR56-1)</f>
        <v>2.7777777777777901E-2</v>
      </c>
      <c r="AT44" s="14">
        <f ca="1">IF(AT$1="","",'Total Value'!AT56/'Total Value'!AS56-1)</f>
        <v>-3.7837837837838006E-2</v>
      </c>
      <c r="AU44" s="14">
        <f ca="1">IF(AU$1="","",'Total Value'!AU56/'Total Value'!AT56-1)</f>
        <v>-1.6853932584269593E-2</v>
      </c>
      <c r="AV44" s="14">
        <f ca="1">IF(AV$1="","",'Total Value'!AV56/'Total Value'!AU56-1)</f>
        <v>3.4285714285714253E-2</v>
      </c>
      <c r="AW44" s="14">
        <f ca="1">IF(AW$1="","",'Total Value'!AW56/'Total Value'!AV56-1)</f>
        <v>0.149171270718232</v>
      </c>
      <c r="AX44" s="14">
        <f ca="1">IF(AX$1="","",'Total Value'!AX56/'Total Value'!AW56-1)</f>
        <v>4.8076923076923128E-2</v>
      </c>
      <c r="AY44" s="14">
        <f ca="1">IF(AY$1="","",'Total Value'!AY56/'Total Value'!AX56-1)</f>
        <v>5.0458715596330084E-2</v>
      </c>
      <c r="AZ44" s="14">
        <f ca="1">IF(AZ$1="","",'Total Value'!AZ56/'Total Value'!AY56-1)</f>
        <v>-3.4934497816593746E-2</v>
      </c>
      <c r="BA44" s="14">
        <f ca="1">IF(BA$1="","",'Total Value'!BA56/'Total Value'!AZ56-1)</f>
        <v>-4.5248868778280382E-3</v>
      </c>
      <c r="BB44" s="14">
        <f ca="1">IF(BB$1="","",'Total Value'!BB56/'Total Value'!BA56-1)</f>
        <v>-5.9090909090909194E-2</v>
      </c>
      <c r="BC44" s="14">
        <f ca="1">IF(BC$1="","",'Total Value'!BC56/'Total Value'!BB56-1)</f>
        <v>-1.9323671497584516E-2</v>
      </c>
      <c r="BD44" s="14">
        <f ca="1">IF(BD$1="","",'Total Value'!BD56/'Total Value'!BC56-1)</f>
        <v>1.4778325123152802E-2</v>
      </c>
      <c r="BE44" s="14">
        <f ca="1">IF(BE$1="","",'Total Value'!BE56/'Total Value'!BD56-1)</f>
        <v>4.3689320388349495E-2</v>
      </c>
      <c r="BF44" s="14">
        <f ca="1">IF(BF$1="","",'Total Value'!BF56/'Total Value'!BE56-1)</f>
        <v>1.8604651162790864E-2</v>
      </c>
      <c r="BG44" s="14">
        <f ca="1">IF(BG$1="","",'Total Value'!BG56/'Total Value'!BF56-1)</f>
        <v>-4.5662100456621002E-2</v>
      </c>
      <c r="BH44" s="14">
        <f ca="1">IF(BH$1="","",'Total Value'!BH56/'Total Value'!BG56-1)</f>
        <v>-4.784688995215336E-3</v>
      </c>
      <c r="BI44" s="14">
        <f ca="1">IF(BI$1="","",'Total Value'!BI56/'Total Value'!BH56-1)</f>
        <v>-3.3653846153846256E-2</v>
      </c>
      <c r="BJ44" s="14">
        <f ca="1">IF(BJ$1="","",'Total Value'!BJ56/'Total Value'!BI56-1)</f>
        <v>9.9502487562190822E-3</v>
      </c>
      <c r="BK44" s="14">
        <f ca="1">IF(BK$1="","",'Total Value'!BK56/'Total Value'!BJ56-1)</f>
        <v>-3.9408866995073843E-2</v>
      </c>
      <c r="BL44" s="14">
        <f ca="1">IF(BL$1="","",'Total Value'!BL56/'Total Value'!BK56-1)</f>
        <v>-8.7179487179487203E-2</v>
      </c>
      <c r="BM44" s="14">
        <f ca="1">IF(BM$1="","",'Total Value'!BM56/'Total Value'!BL56-1)</f>
        <v>-8.4269662921348298E-2</v>
      </c>
      <c r="BN44" s="14">
        <f ca="1">IF(BN$1="","",'Total Value'!BN56/'Total Value'!BM56-1)</f>
        <v>5.5214723926380493E-2</v>
      </c>
      <c r="BO44" s="14">
        <f ca="1">IF(BO$1="","",'Total Value'!BO56/'Total Value'!BN56-1)</f>
        <v>-3.488372093023262E-2</v>
      </c>
      <c r="BP44" s="14">
        <f ca="1">IF(BP$1="","",'Total Value'!BP56/'Total Value'!BO56-1)</f>
        <v>0</v>
      </c>
      <c r="BQ44" s="14">
        <f ca="1">IF(BQ$1="","",'Total Value'!BQ56/'Total Value'!BP56-1)</f>
        <v>3.6144578313253017E-2</v>
      </c>
      <c r="BR44" s="14">
        <f ca="1">IF(BR$1="","",'Total Value'!BR56/'Total Value'!BQ56-1)</f>
        <v>-4.6511627906976938E-2</v>
      </c>
      <c r="BS44" s="14">
        <f ca="1">IF(BS$1="","",'Total Value'!BS56/'Total Value'!BR56-1)</f>
        <v>-5.4878048780487632E-2</v>
      </c>
      <c r="BT44" s="14">
        <f ca="1">IF(BT$1="","",'Total Value'!BT56/'Total Value'!BS56-1)</f>
        <v>7.0967741935483719E-2</v>
      </c>
      <c r="BU44" s="14">
        <f ca="1">IF(BU$1="","",'Total Value'!BU56/'Total Value'!BT56-1)</f>
        <v>0</v>
      </c>
      <c r="BV44" s="14">
        <f ca="1">IF(BV$1="","",'Total Value'!BV56/'Total Value'!BU56-1)</f>
        <v>-6.6265060240963791E-2</v>
      </c>
      <c r="BW44" s="14">
        <f ca="1">IF(BW$1="","",'Total Value'!BW56/'Total Value'!BV56-1)</f>
        <v>0</v>
      </c>
      <c r="BX44" s="14">
        <f ca="1">IF(BX$1="","",'Total Value'!BX56/'Total Value'!BW56-1)</f>
        <v>-5.8064516129032406E-2</v>
      </c>
      <c r="BY44" s="14">
        <f ca="1">IF(BY$1="","",'Total Value'!BY56/'Total Value'!BX56-1)</f>
        <v>-6.1643835616438158E-2</v>
      </c>
      <c r="BZ44" s="14">
        <f ca="1">IF(BZ$1="","",'Total Value'!BZ56/'Total Value'!BY56-1)</f>
        <v>-3.649635036496357E-2</v>
      </c>
      <c r="CA44" s="14">
        <f ca="1">IF(CA$1="","",'Total Value'!CA56/'Total Value'!BZ56-1)</f>
        <v>2.2727272727272929E-2</v>
      </c>
      <c r="CB44" s="14">
        <f ca="1">IF(CB$1="","",'Total Value'!CB56/'Total Value'!CA56-1)</f>
        <v>-7.4074074074075291E-3</v>
      </c>
      <c r="CC44" s="14">
        <f ca="1">IF(CC$1="","",'Total Value'!CC56/'Total Value'!CB56-1)</f>
        <v>1.4925373134328401E-2</v>
      </c>
      <c r="CD44" s="14">
        <f ca="1">IF(CD$1="","",'Total Value'!CD56/'Total Value'!CC56-1)</f>
        <v>-5.1470588235294157E-2</v>
      </c>
      <c r="CE44" s="14">
        <f ca="1">IF(CE$1="","",'Total Value'!CE56/'Total Value'!CD56-1)</f>
        <v>-7.7519379844962488E-3</v>
      </c>
      <c r="CF44" s="14" t="str">
        <f ca="1">IF(CF$1="","",'Total Value'!CF56/'Total Value'!CE56-1)</f>
        <v/>
      </c>
      <c r="CG44" s="14" t="str">
        <f ca="1">IF(CG$1="","",'Total Value'!CG56/'Total Value'!CF56-1)</f>
        <v/>
      </c>
      <c r="CH44" s="14" t="str">
        <f ca="1">IF(CH$1="","",'Total Value'!CH56/'Total Value'!CG56-1)</f>
        <v/>
      </c>
      <c r="CI44" s="14" t="str">
        <f ca="1">IF(CI$1="","",'Total Value'!CI56/'Total Value'!CH56-1)</f>
        <v/>
      </c>
      <c r="CJ44" s="14" t="str">
        <f ca="1">IF(CJ$1="","",'Total Value'!CJ56/'Total Value'!CI56-1)</f>
        <v/>
      </c>
      <c r="CK44" s="14" t="str">
        <f ca="1">IF(CK$1="","",'Total Value'!CK56/'Total Value'!CJ56-1)</f>
        <v/>
      </c>
      <c r="CL44" s="14" t="str">
        <f ca="1">IF(CL$1="","",'Total Value'!CL56/'Total Value'!CK56-1)</f>
        <v/>
      </c>
      <c r="CM44" s="14" t="str">
        <f ca="1">IF(CM$1="","",'Total Value'!CM56/'Total Value'!CL56-1)</f>
        <v/>
      </c>
      <c r="CN44" s="14" t="str">
        <f ca="1">IF(CN$1="","",'Total Value'!CN56/'Total Value'!CM56-1)</f>
        <v/>
      </c>
      <c r="CO44" s="14" t="str">
        <f ca="1">IF(CO$1="","",'Total Value'!CO56/'Total Value'!CN56-1)</f>
        <v/>
      </c>
      <c r="CP44" s="14" t="str">
        <f ca="1">IF(CP$1="","",'Total Value'!CP56/'Total Value'!CO56-1)</f>
        <v/>
      </c>
      <c r="CQ44" s="14" t="str">
        <f ca="1">IF(CQ$1="","",'Total Value'!CQ56/'Total Value'!CP56-1)</f>
        <v/>
      </c>
      <c r="CR44" s="14" t="str">
        <f ca="1">IF(CR$1="","",'Total Value'!CR56/'Total Value'!CQ56-1)</f>
        <v/>
      </c>
      <c r="CS44" s="14" t="str">
        <f ca="1">IF(CS$1="","",'Total Value'!CS56/'Total Value'!CR56-1)</f>
        <v/>
      </c>
      <c r="CT44" s="14" t="str">
        <f ca="1">IF(CT$1="","",'Total Value'!CT56/'Total Value'!CS56-1)</f>
        <v/>
      </c>
      <c r="CU44" s="14" t="str">
        <f ca="1">IF(CU$1="","",'Total Value'!CU56/'Total Value'!CT56-1)</f>
        <v/>
      </c>
      <c r="CV44" s="14" t="str">
        <f ca="1">IF(CV$1="","",'Total Value'!CV56/'Total Value'!CU56-1)</f>
        <v/>
      </c>
      <c r="CW44" s="14" t="str">
        <f ca="1">IF(CW$1="","",'Total Value'!CW56/'Total Value'!CV56-1)</f>
        <v/>
      </c>
      <c r="CX44" s="14" t="str">
        <f ca="1">IF(CX$1="","",'Total Value'!CX56/'Total Value'!CW56-1)</f>
        <v/>
      </c>
      <c r="CY44" s="14" t="str">
        <f ca="1">IF(CY$1="","",'Total Value'!CY56/'Total Value'!CX56-1)</f>
        <v/>
      </c>
      <c r="CZ44" s="14" t="str">
        <f ca="1">IF(CZ$1="","",'Total Value'!CZ56/'Total Value'!CY56-1)</f>
        <v/>
      </c>
      <c r="DA44" s="14" t="str">
        <f ca="1">IF(DA$1="","",'Total Value'!DA56/'Total Value'!CZ56-1)</f>
        <v/>
      </c>
      <c r="DB44" s="14" t="str">
        <f ca="1">IF(DB$1="","",'Total Value'!DB56/'Total Value'!DA56-1)</f>
        <v/>
      </c>
      <c r="DC44" s="14" t="str">
        <f ca="1">IF(DC$1="","",'Total Value'!DC56/'Total Value'!DB56-1)</f>
        <v/>
      </c>
      <c r="DD44" s="14" t="str">
        <f ca="1">IF(DD$1="","",'Total Value'!DD56/'Total Value'!DC56-1)</f>
        <v/>
      </c>
      <c r="DE44" s="14" t="str">
        <f ca="1">IF(DE$1="","",'Total Value'!DE56/'Total Value'!DD56-1)</f>
        <v/>
      </c>
      <c r="DF44" s="14" t="str">
        <f ca="1">IF(DF$1="","",'Total Value'!DF56/'Total Value'!DE56-1)</f>
        <v/>
      </c>
      <c r="DG44" s="14" t="str">
        <f ca="1">IF(DG$1="","",'Total Value'!DG56/'Total Value'!DF56-1)</f>
        <v/>
      </c>
      <c r="DH44" s="14" t="str">
        <f ca="1">IF(DH$1="","",'Total Value'!DH56/'Total Value'!DG56-1)</f>
        <v/>
      </c>
      <c r="DI44" s="14" t="str">
        <f ca="1">IF(DI$1="","",'Total Value'!DI56/'Total Value'!DH56-1)</f>
        <v/>
      </c>
      <c r="DJ44" s="14" t="str">
        <f ca="1">IF(DJ$1="","",'Total Value'!DJ56/'Total Value'!DI56-1)</f>
        <v/>
      </c>
      <c r="DK44" s="14" t="str">
        <f ca="1">IF(DK$1="","",'Total Value'!DK56/'Total Value'!DJ56-1)</f>
        <v/>
      </c>
      <c r="DL44" s="14" t="str">
        <f ca="1">IF(DL$1="","",'Total Value'!DL56/'Total Value'!DK56-1)</f>
        <v/>
      </c>
      <c r="DM44" s="14" t="str">
        <f ca="1">IF(DM$1="","",'Total Value'!DM56/'Total Value'!DL56-1)</f>
        <v/>
      </c>
      <c r="DN44" s="14" t="str">
        <f ca="1">IF(DN$1="","",'Total Value'!DN56/'Total Value'!DM56-1)</f>
        <v/>
      </c>
      <c r="DO44" s="14" t="str">
        <f ca="1">IF(DO$1="","",'Total Value'!DO56/'Total Value'!DN56-1)</f>
        <v/>
      </c>
      <c r="DP44" s="14" t="str">
        <f ca="1">IF(DP$1="","",'Total Value'!DP56/'Total Value'!DO56-1)</f>
        <v/>
      </c>
      <c r="DQ44" s="14" t="str">
        <f ca="1">IF(DQ$1="","",'Total Value'!DQ56/'Total Value'!DP56-1)</f>
        <v/>
      </c>
      <c r="DR44" s="14" t="str">
        <f ca="1">IF(DR$1="","",'Total Value'!DR56/'Total Value'!DQ56-1)</f>
        <v/>
      </c>
      <c r="DS44" s="14" t="str">
        <f ca="1">IF(DS$1="","",'Total Value'!DS56/'Total Value'!DR56-1)</f>
        <v/>
      </c>
      <c r="DT44" s="14" t="str">
        <f ca="1">IF(DT$1="","",'Total Value'!DT56/'Total Value'!DS56-1)</f>
        <v/>
      </c>
      <c r="DU44" s="14" t="str">
        <f ca="1">IF(DU$1="","",'Total Value'!DU56/'Total Value'!DT56-1)</f>
        <v/>
      </c>
      <c r="DV44" s="14" t="str">
        <f ca="1">IF(DV$1="","",'Total Value'!DV56/'Total Value'!DU56-1)</f>
        <v/>
      </c>
      <c r="DW44" s="14" t="str">
        <f ca="1">IF(DW$1="","",'Total Value'!DW56/'Total Value'!DV56-1)</f>
        <v/>
      </c>
      <c r="DX44" s="14" t="str">
        <f ca="1">IF(DX$1="","",'Total Value'!DX56/'Total Value'!DW56-1)</f>
        <v/>
      </c>
      <c r="DY44" s="14" t="str">
        <f ca="1">IF(DY$1="","",'Total Value'!DY56/'Total Value'!DX56-1)</f>
        <v/>
      </c>
      <c r="DZ44" s="14" t="str">
        <f ca="1">IF(DZ$1="","",'Total Value'!DZ56/'Total Value'!DY56-1)</f>
        <v/>
      </c>
      <c r="EA44" s="14" t="str">
        <f ca="1">IF(EA$1="","",'Total Value'!EA56/'Total Value'!DZ56-1)</f>
        <v/>
      </c>
      <c r="EB44" s="14" t="str">
        <f ca="1">IF(EB$1="","",'Total Value'!EB56/'Total Value'!EA56-1)</f>
        <v/>
      </c>
      <c r="EC44" s="14" t="str">
        <f ca="1">IF(EC$1="","",'Total Value'!EC56/'Total Value'!EB56-1)</f>
        <v/>
      </c>
      <c r="ED44" s="14" t="str">
        <f ca="1">IF(ED$1="","",'Total Value'!ED56/'Total Value'!EC56-1)</f>
        <v/>
      </c>
      <c r="EE44" s="14" t="str">
        <f ca="1">IF(EE$1="","",'Total Value'!EE56/'Total Value'!ED56-1)</f>
        <v/>
      </c>
      <c r="EF44" s="14" t="str">
        <f ca="1">IF(EF$1="","",'Total Value'!EF56/'Total Value'!EE56-1)</f>
        <v/>
      </c>
      <c r="EG44" s="14" t="str">
        <f ca="1">IF(EG$1="","",'Total Value'!EG56/'Total Value'!EF56-1)</f>
        <v/>
      </c>
      <c r="EH44" s="14" t="str">
        <f ca="1">IF(EH$1="","",'Total Value'!EH56/'Total Value'!EG56-1)</f>
        <v/>
      </c>
      <c r="EI44" s="14" t="str">
        <f ca="1">IF(EI$1="","",'Total Value'!EI56/'Total Value'!EH56-1)</f>
        <v/>
      </c>
      <c r="EJ44" s="14" t="str">
        <f ca="1">IF(EJ$1="","",'Total Value'!EJ56/'Total Value'!EI56-1)</f>
        <v/>
      </c>
      <c r="EK44" s="14" t="str">
        <f ca="1">IF(EK$1="","",'Total Value'!EK56/'Total Value'!EJ56-1)</f>
        <v/>
      </c>
      <c r="EL44" s="14" t="str">
        <f ca="1">IF(EL$1="","",'Total Value'!EL56/'Total Value'!EK56-1)</f>
        <v/>
      </c>
      <c r="EM44" s="14" t="str">
        <f ca="1">IF(EM$1="","",'Total Value'!EM56/'Total Value'!EL56-1)</f>
        <v/>
      </c>
      <c r="EN44" s="14" t="str">
        <f ca="1">IF(EN$1="","",'Total Value'!EN56/'Total Value'!EM56-1)</f>
        <v/>
      </c>
      <c r="EO44" s="14" t="str">
        <f ca="1">IF(EO$1="","",'Total Value'!EO56/'Total Value'!EN56-1)</f>
        <v/>
      </c>
      <c r="EP44" s="14" t="str">
        <f ca="1">IF(EP$1="","",'Total Value'!EP56/'Total Value'!EO56-1)</f>
        <v/>
      </c>
      <c r="EQ44" s="14" t="str">
        <f ca="1">IF(EQ$1="","",'Total Value'!EQ56/'Total Value'!EP56-1)</f>
        <v/>
      </c>
      <c r="ER44" s="14" t="str">
        <f ca="1">IF(ER$1="","",'Total Value'!ER56/'Total Value'!EQ56-1)</f>
        <v/>
      </c>
      <c r="ES44" s="14" t="str">
        <f ca="1">IF(ES$1="","",'Total Value'!ES56/'Total Value'!ER56-1)</f>
        <v/>
      </c>
      <c r="ET44" s="14" t="str">
        <f ca="1">IF(ET$1="","",'Total Value'!ET56/'Total Value'!ES56-1)</f>
        <v/>
      </c>
      <c r="EU44" s="14" t="str">
        <f ca="1">IF(EU$1="","",'Total Value'!EU56/'Total Value'!ET56-1)</f>
        <v/>
      </c>
      <c r="EV44" s="14" t="str">
        <f ca="1">IF(EV$1="","",'Total Value'!EV56/'Total Value'!EU56-1)</f>
        <v/>
      </c>
      <c r="EW44" s="14" t="str">
        <f ca="1">IF(EW$1="","",'Total Value'!EW56/'Total Value'!EV56-1)</f>
        <v/>
      </c>
      <c r="EX44" s="14" t="str">
        <f ca="1">IF(EX$1="","",'Total Value'!EX56/'Total Value'!EW56-1)</f>
        <v/>
      </c>
      <c r="EY44" s="14" t="str">
        <f ca="1">IF(EY$1="","",'Total Value'!EY56/'Total Value'!EX56-1)</f>
        <v/>
      </c>
      <c r="EZ44" s="14" t="str">
        <f ca="1">IF(EZ$1="","",'Total Value'!EZ56/'Total Value'!EY56-1)</f>
        <v/>
      </c>
      <c r="FA44" s="14" t="str">
        <f ca="1">IF(FA$1="","",'Total Value'!FA56/'Total Value'!EZ56-1)</f>
        <v/>
      </c>
      <c r="FB44" s="14" t="str">
        <f ca="1">IF(FB$1="","",'Total Value'!FB56/'Total Value'!FA56-1)</f>
        <v/>
      </c>
      <c r="FC44" s="14" t="str">
        <f ca="1">IF(FC$1="","",'Total Value'!FC56/'Total Value'!FB56-1)</f>
        <v/>
      </c>
      <c r="FD44" s="14" t="str">
        <f ca="1">IF(FD$1="","",'Total Value'!FD56/'Total Value'!FC56-1)</f>
        <v/>
      </c>
      <c r="FE44" s="14" t="str">
        <f ca="1">IF(FE$1="","",'Total Value'!FE56/'Total Value'!FD56-1)</f>
        <v/>
      </c>
      <c r="FF44" s="14" t="str">
        <f ca="1">IF(FF$1="","",'Total Value'!FF56/'Total Value'!FE56-1)</f>
        <v/>
      </c>
      <c r="FG44" s="14" t="str">
        <f ca="1">IF(FG$1="","",'Total Value'!FG56/'Total Value'!FF56-1)</f>
        <v/>
      </c>
      <c r="FH44" s="14" t="str">
        <f ca="1">IF(FH$1="","",'Total Value'!FH56/'Total Value'!FG56-1)</f>
        <v/>
      </c>
      <c r="FI44" s="14" t="str">
        <f ca="1">IF(FI$1="","",'Total Value'!FI56/'Total Value'!FH56-1)</f>
        <v/>
      </c>
      <c r="FJ44" s="14" t="str">
        <f ca="1">IF(FJ$1="","",'Total Value'!FJ56/'Total Value'!FI56-1)</f>
        <v/>
      </c>
      <c r="FK44" s="14" t="str">
        <f ca="1">IF(FK$1="","",'Total Value'!FK56/'Total Value'!FJ56-1)</f>
        <v/>
      </c>
      <c r="FL44" s="14" t="str">
        <f ca="1">IF(FL$1="","",'Total Value'!FL56/'Total Value'!FK56-1)</f>
        <v/>
      </c>
      <c r="FM44" s="14" t="str">
        <f ca="1">IF(FM$1="","",'Total Value'!FM56/'Total Value'!FL56-1)</f>
        <v/>
      </c>
      <c r="FN44" s="14" t="str">
        <f ca="1">IF(FN$1="","",'Total Value'!FN56/'Total Value'!FM56-1)</f>
        <v/>
      </c>
      <c r="FO44" s="14" t="str">
        <f ca="1">IF(FO$1="","",'Total Value'!FO56/'Total Value'!FN56-1)</f>
        <v/>
      </c>
      <c r="FP44" s="14" t="str">
        <f ca="1">IF(FP$1="","",'Total Value'!FP56/'Total Value'!FO56-1)</f>
        <v/>
      </c>
      <c r="FQ44" s="14" t="str">
        <f ca="1">IF(FQ$1="","",'Total Value'!FQ56/'Total Value'!FP56-1)</f>
        <v/>
      </c>
      <c r="FR44" s="14" t="str">
        <f ca="1">IF(FR$1="","",'Total Value'!FR56/'Total Value'!FQ56-1)</f>
        <v/>
      </c>
      <c r="FS44" s="14" t="str">
        <f ca="1">IF(FS$1="","",'Total Value'!FS56/'Total Value'!FR56-1)</f>
        <v/>
      </c>
      <c r="FT44" s="14" t="str">
        <f ca="1">IF(FT$1="","",'Total Value'!FT56/'Total Value'!FS56-1)</f>
        <v/>
      </c>
      <c r="FU44" s="14" t="str">
        <f ca="1">IF(FU$1="","",'Total Value'!FU56/'Total Value'!FT56-1)</f>
        <v/>
      </c>
      <c r="FV44" s="14" t="str">
        <f ca="1">IF(FV$1="","",'Total Value'!FV56/'Total Value'!FU56-1)</f>
        <v/>
      </c>
      <c r="FW44" s="14" t="str">
        <f ca="1">IF(FW$1="","",'Total Value'!FW56/'Total Value'!FV56-1)</f>
        <v/>
      </c>
      <c r="FX44" s="14" t="str">
        <f ca="1">IF(FX$1="","",'Total Value'!FX56/'Total Value'!FW56-1)</f>
        <v/>
      </c>
      <c r="FY44" s="14" t="str">
        <f ca="1">IF(FY$1="","",'Total Value'!FY56/'Total Value'!FX56-1)</f>
        <v/>
      </c>
      <c r="FZ44" s="14" t="str">
        <f ca="1">IF(FZ$1="","",'Total Value'!FZ56/'Total Value'!FY56-1)</f>
        <v/>
      </c>
      <c r="GA44" s="14" t="str">
        <f ca="1">IF(GA$1="","",'Total Value'!GA56/'Total Value'!FZ56-1)</f>
        <v/>
      </c>
      <c r="GB44" s="14" t="str">
        <f ca="1">IF(GB$1="","",'Total Value'!GB56/'Total Value'!GA56-1)</f>
        <v/>
      </c>
      <c r="GC44" s="14" t="str">
        <f ca="1">IF(GC$1="","",'Total Value'!GC56/'Total Value'!GB56-1)</f>
        <v/>
      </c>
      <c r="GD44" s="14" t="str">
        <f ca="1">IF(GD$1="","",'Total Value'!GD56/'Total Value'!GC56-1)</f>
        <v/>
      </c>
      <c r="GE44" s="14" t="str">
        <f ca="1">IF(GE$1="","",'Total Value'!GE56/'Total Value'!GD56-1)</f>
        <v/>
      </c>
      <c r="GF44" s="14" t="str">
        <f ca="1">IF(GF$1="","",'Total Value'!GF56/'Total Value'!GE56-1)</f>
        <v/>
      </c>
      <c r="GG44" s="14" t="str">
        <f ca="1">IF(GG$1="","",'Total Value'!GG56/'Total Value'!GF56-1)</f>
        <v/>
      </c>
      <c r="GH44" s="14" t="str">
        <f ca="1">IF(GH$1="","",'Total Value'!GH56/'Total Value'!GG56-1)</f>
        <v/>
      </c>
      <c r="GI44" s="14" t="str">
        <f ca="1">IF(GI$1="","",'Total Value'!GI56/'Total Value'!GH56-1)</f>
        <v/>
      </c>
      <c r="GJ44" s="14" t="str">
        <f ca="1">IF(GJ$1="","",'Total Value'!GJ56/'Total Value'!GI56-1)</f>
        <v/>
      </c>
      <c r="GK44" s="14" t="str">
        <f ca="1">IF(GK$1="","",'Total Value'!GK56/'Total Value'!GJ56-1)</f>
        <v/>
      </c>
      <c r="GL44" s="14" t="str">
        <f ca="1">IF(GL$1="","",'Total Value'!GL56/'Total Value'!GK56-1)</f>
        <v/>
      </c>
      <c r="GM44" s="14" t="str">
        <f ca="1">IF(GM$1="","",'Total Value'!GM56/'Total Value'!GL56-1)</f>
        <v/>
      </c>
      <c r="GN44" s="14" t="str">
        <f ca="1">IF(GN$1="","",'Total Value'!GN56/'Total Value'!GM56-1)</f>
        <v/>
      </c>
      <c r="GO44" s="14" t="str">
        <f ca="1">IF(GO$1="","",'Total Value'!GO56/'Total Value'!GN56-1)</f>
        <v/>
      </c>
      <c r="GP44" s="14" t="str">
        <f ca="1">IF(GP$1="","",'Total Value'!GP56/'Total Value'!GO56-1)</f>
        <v/>
      </c>
      <c r="GQ44" s="14" t="str">
        <f ca="1">IF(GQ$1="","",'Total Value'!GQ56/'Total Value'!GP56-1)</f>
        <v/>
      </c>
      <c r="GR44" s="14" t="str">
        <f ca="1">IF(GR$1="","",'Total Value'!GR56/'Total Value'!GQ56-1)</f>
        <v/>
      </c>
      <c r="GS44" s="14" t="str">
        <f ca="1">IF(GS$1="","",'Total Value'!GS56/'Total Value'!GR56-1)</f>
        <v/>
      </c>
      <c r="GT44" s="14" t="str">
        <f ca="1">IF(GT$1="","",'Total Value'!GT56/'Total Value'!GS56-1)</f>
        <v/>
      </c>
      <c r="GU44" s="14" t="str">
        <f ca="1">IF(GU$1="","",'Total Value'!GU56/'Total Value'!GT56-1)</f>
        <v/>
      </c>
      <c r="GV44" s="14" t="str">
        <f ca="1">IF(GV$1="","",'Total Value'!GV56/'Total Value'!GU56-1)</f>
        <v/>
      </c>
      <c r="GW44" s="14" t="str">
        <f ca="1">IF(GW$1="","",'Total Value'!GW56/'Total Value'!GV56-1)</f>
        <v/>
      </c>
      <c r="GX44" s="14" t="str">
        <f ca="1">IF(GX$1="","",'Total Value'!GX56/'Total Value'!GW56-1)</f>
        <v/>
      </c>
      <c r="GY44" s="14" t="str">
        <f ca="1">IF(GY$1="","",'Total Value'!GY56/'Total Value'!GX56-1)</f>
        <v/>
      </c>
      <c r="GZ44" s="14" t="str">
        <f ca="1">IF(GZ$1="","",'Total Value'!GZ56/'Total Value'!GY56-1)</f>
        <v/>
      </c>
      <c r="HA44" s="14" t="str">
        <f ca="1">IF(HA$1="","",'Total Value'!HA56/'Total Value'!GZ56-1)</f>
        <v/>
      </c>
      <c r="HB44" s="14" t="str">
        <f ca="1">IF(HB$1="","",'Total Value'!HB56/'Total Value'!HA56-1)</f>
        <v/>
      </c>
      <c r="HC44" s="14" t="str">
        <f ca="1">IF(HC$1="","",'Total Value'!HC56/'Total Value'!HB56-1)</f>
        <v/>
      </c>
      <c r="HD44" s="14" t="str">
        <f ca="1">IF(HD$1="","",'Total Value'!HD56/'Total Value'!HC56-1)</f>
        <v/>
      </c>
      <c r="HE44" s="14" t="str">
        <f ca="1">IF(HE$1="","",'Total Value'!HE56/'Total Value'!HD56-1)</f>
        <v/>
      </c>
      <c r="HF44" s="14" t="str">
        <f ca="1">IF(HF$1="","",'Total Value'!HF56/'Total Value'!HE56-1)</f>
        <v/>
      </c>
      <c r="HG44" s="14" t="str">
        <f ca="1">IF(HG$1="","",'Total Value'!HG56/'Total Value'!HF56-1)</f>
        <v/>
      </c>
      <c r="HH44" s="14" t="str">
        <f ca="1">IF(HH$1="","",'Total Value'!HH56/'Total Value'!HG56-1)</f>
        <v/>
      </c>
      <c r="HI44" s="14" t="str">
        <f ca="1">IF(HI$1="","",'Total Value'!HI56/'Total Value'!HH56-1)</f>
        <v/>
      </c>
      <c r="HJ44" s="14" t="str">
        <f ca="1">IF(HJ$1="","",'Total Value'!HJ56/'Total Value'!HI56-1)</f>
        <v/>
      </c>
      <c r="HK44" s="14" t="str">
        <f ca="1">IF(HK$1="","",'Total Value'!HK56/'Total Value'!HJ56-1)</f>
        <v/>
      </c>
      <c r="HL44" s="14" t="str">
        <f ca="1">IF(HL$1="","",'Total Value'!HL56/'Total Value'!HK56-1)</f>
        <v/>
      </c>
      <c r="HM44" s="14" t="str">
        <f ca="1">IF(HM$1="","",'Total Value'!HM56/'Total Value'!HL56-1)</f>
        <v/>
      </c>
      <c r="HN44" s="14" t="str">
        <f ca="1">IF(HN$1="","",'Total Value'!HN56/'Total Value'!HM56-1)</f>
        <v/>
      </c>
      <c r="HO44" s="14" t="str">
        <f ca="1">IF(HO$1="","",'Total Value'!HO56/'Total Value'!HN56-1)</f>
        <v/>
      </c>
      <c r="HP44" s="14" t="str">
        <f ca="1">IF(HP$1="","",'Total Value'!HP56/'Total Value'!HO56-1)</f>
        <v/>
      </c>
      <c r="HQ44" s="14" t="str">
        <f ca="1">IF(HQ$1="","",'Total Value'!HQ56/'Total Value'!HP56-1)</f>
        <v/>
      </c>
      <c r="HR44" s="14" t="str">
        <f ca="1">IF(HR$1="","",'Total Value'!HR56/'Total Value'!HQ56-1)</f>
        <v/>
      </c>
      <c r="HS44" s="14" t="str">
        <f ca="1">IF(HS$1="","",'Total Value'!HS56/'Total Value'!HR56-1)</f>
        <v/>
      </c>
      <c r="HT44" s="14" t="str">
        <f ca="1">IF(HT$1="","",'Total Value'!HT56/'Total Value'!HS56-1)</f>
        <v/>
      </c>
      <c r="HU44" s="14" t="str">
        <f ca="1">IF(HU$1="","",'Total Value'!HU56/'Total Value'!HT56-1)</f>
        <v/>
      </c>
      <c r="HV44" s="14" t="str">
        <f ca="1">IF(HV$1="","",'Total Value'!HV56/'Total Value'!HU56-1)</f>
        <v/>
      </c>
      <c r="HW44" s="14" t="str">
        <f ca="1">IF(HW$1="","",'Total Value'!HW56/'Total Value'!HV56-1)</f>
        <v/>
      </c>
      <c r="HX44" s="14" t="str">
        <f ca="1">IF(HX$1="","",'Total Value'!HX56/'Total Value'!HW56-1)</f>
        <v/>
      </c>
      <c r="HY44" s="14" t="str">
        <f ca="1">IF(HY$1="","",'Total Value'!HY56/'Total Value'!HX56-1)</f>
        <v/>
      </c>
      <c r="HZ44" s="14" t="str">
        <f ca="1">IF(HZ$1="","",'Total Value'!HZ56/'Total Value'!HY56-1)</f>
        <v/>
      </c>
      <c r="IA44" s="14" t="str">
        <f ca="1">IF(IA$1="","",'Total Value'!IA56/'Total Value'!HZ56-1)</f>
        <v/>
      </c>
      <c r="IB44" s="14" t="str">
        <f ca="1">IF(IB$1="","",'Total Value'!IB56/'Total Value'!IA56-1)</f>
        <v/>
      </c>
      <c r="IC44" s="14" t="str">
        <f ca="1">IF(IC$1="","",'Total Value'!IC56/'Total Value'!IB56-1)</f>
        <v/>
      </c>
      <c r="ID44" s="14" t="str">
        <f ca="1">IF(ID$1="","",'Total Value'!ID56/'Total Value'!IC56-1)</f>
        <v/>
      </c>
      <c r="IE44" s="14" t="str">
        <f ca="1">IF(IE$1="","",'Total Value'!IE56/'Total Value'!ID56-1)</f>
        <v/>
      </c>
      <c r="IF44" s="14" t="str">
        <f ca="1">IF(IF$1="","",'Total Value'!IF56/'Total Value'!IE56-1)</f>
        <v/>
      </c>
      <c r="IG44" s="14" t="str">
        <f ca="1">IF(IG$1="","",'Total Value'!IG56/'Total Value'!IF56-1)</f>
        <v/>
      </c>
      <c r="IH44" s="14" t="str">
        <f ca="1">IF(IH$1="","",'Total Value'!IH56/'Total Value'!IG56-1)</f>
        <v/>
      </c>
      <c r="II44" s="14" t="str">
        <f ca="1">IF(II$1="","",'Total Value'!II56/'Total Value'!IH56-1)</f>
        <v/>
      </c>
      <c r="IJ44" s="14" t="str">
        <f ca="1">IF(IJ$1="","",'Total Value'!IJ56/'Total Value'!II56-1)</f>
        <v/>
      </c>
      <c r="IK44" s="14" t="str">
        <f ca="1">IF(IK$1="","",'Total Value'!IK56/'Total Value'!IJ56-1)</f>
        <v/>
      </c>
      <c r="IL44" s="14" t="str">
        <f ca="1">IF(IL$1="","",'Total Value'!IL56/'Total Value'!IK56-1)</f>
        <v/>
      </c>
      <c r="IM44" s="14" t="str">
        <f ca="1">IF(IM$1="","",'Total Value'!IM56/'Total Value'!IL56-1)</f>
        <v/>
      </c>
      <c r="IN44" s="14" t="str">
        <f ca="1">IF(IN$1="","",'Total Value'!IN56/'Total Value'!IM56-1)</f>
        <v/>
      </c>
      <c r="IO44" s="14" t="str">
        <f ca="1">IF(IO$1="","",'Total Value'!IO56/'Total Value'!IN56-1)</f>
        <v/>
      </c>
      <c r="IP44" s="14" t="str">
        <f ca="1">IF(IP$1="","",'Total Value'!IP56/'Total Value'!IO56-1)</f>
        <v/>
      </c>
      <c r="IQ44" s="14" t="str">
        <f ca="1">IF(IQ$1="","",'Total Value'!IQ56/'Total Value'!IP56-1)</f>
        <v/>
      </c>
      <c r="IR44" s="14" t="str">
        <f ca="1">IF(IR$1="","",'Total Value'!IR56/'Total Value'!IQ56-1)</f>
        <v/>
      </c>
      <c r="IS44" s="14" t="str">
        <f ca="1">IF(IS$1="","",'Total Value'!IS56/'Total Value'!IR56-1)</f>
        <v/>
      </c>
      <c r="IT44" s="14" t="str">
        <f ca="1">IF(IT$1="","",'Total Value'!IT56/'Total Value'!IS56-1)</f>
        <v/>
      </c>
      <c r="IU44" s="14" t="str">
        <f ca="1">IF(IU$1="","",'Total Value'!IU56/'Total Value'!IT56-1)</f>
        <v/>
      </c>
      <c r="IV44" s="14" t="str">
        <f ca="1">IF(IV$1="","",'Total Value'!IV56/'Total Value'!IU56-1)</f>
        <v/>
      </c>
      <c r="IW44" s="14" t="str">
        <f ca="1">IF(IW$1="","",'Total Value'!IW56/'Total Value'!IV56-1)</f>
        <v/>
      </c>
      <c r="IX44" s="14" t="str">
        <f ca="1">IF(IX$1="","",'Total Value'!IX56/'Total Value'!IW56-1)</f>
        <v/>
      </c>
      <c r="IY44" s="14" t="str">
        <f ca="1">IF(IY$1="","",'Total Value'!IY56/'Total Value'!IX56-1)</f>
        <v/>
      </c>
      <c r="IZ44" s="14" t="str">
        <f ca="1">IF(IZ$1="","",'Total Value'!IZ56/'Total Value'!IY56-1)</f>
        <v/>
      </c>
      <c r="JA44" s="14" t="str">
        <f ca="1">IF(JA$1="","",'Total Value'!JA56/'Total Value'!IZ56-1)</f>
        <v/>
      </c>
      <c r="JB44" s="14" t="str">
        <f ca="1">IF(JB$1="","",'Total Value'!JB56/'Total Value'!JA56-1)</f>
        <v/>
      </c>
      <c r="JC44" s="14" t="str">
        <f ca="1">IF(JC$1="","",'Total Value'!JC56/'Total Value'!JB56-1)</f>
        <v/>
      </c>
      <c r="JD44" s="14" t="str">
        <f ca="1">IF(JD$1="","",'Total Value'!JD56/'Total Value'!JC56-1)</f>
        <v/>
      </c>
      <c r="JE44" s="14" t="str">
        <f ca="1">IF(JE$1="","",'Total Value'!JE56/'Total Value'!JD56-1)</f>
        <v/>
      </c>
      <c r="JF44" s="14" t="str">
        <f ca="1">IF(JF$1="","",'Total Value'!JF56/'Total Value'!JE56-1)</f>
        <v/>
      </c>
      <c r="JG44" s="14" t="str">
        <f ca="1">IF(JG$1="","",'Total Value'!JG56/'Total Value'!JF56-1)</f>
        <v/>
      </c>
      <c r="JH44" s="14" t="str">
        <f ca="1">IF(JH$1="","",'Total Value'!JH56/'Total Value'!JG56-1)</f>
        <v/>
      </c>
      <c r="JI44" s="14" t="str">
        <f ca="1">IF(JI$1="","",'Total Value'!JI56/'Total Value'!JH56-1)</f>
        <v/>
      </c>
      <c r="JJ44" s="14" t="str">
        <f ca="1">IF(JJ$1="","",'Total Value'!JJ56/'Total Value'!JI56-1)</f>
        <v/>
      </c>
      <c r="JK44" s="14" t="str">
        <f ca="1">IF(JK$1="","",'Total Value'!JK56/'Total Value'!JJ56-1)</f>
        <v/>
      </c>
      <c r="JL44" s="14" t="str">
        <f ca="1">IF(JL$1="","",'Total Value'!JL56/'Total Value'!JK56-1)</f>
        <v/>
      </c>
      <c r="JM44" s="14" t="str">
        <f ca="1">IF(JM$1="","",'Total Value'!JM56/'Total Value'!JL56-1)</f>
        <v/>
      </c>
      <c r="JN44" s="14" t="str">
        <f ca="1">IF(JN$1="","",'Total Value'!JN56/'Total Value'!JM56-1)</f>
        <v/>
      </c>
      <c r="JO44" s="14" t="str">
        <f ca="1">IF(JO$1="","",'Total Value'!JO56/'Total Value'!JN56-1)</f>
        <v/>
      </c>
      <c r="JP44" s="14" t="str">
        <f ca="1">IF(JP$1="","",'Total Value'!JP56/'Total Value'!JO56-1)</f>
        <v/>
      </c>
      <c r="JQ44" s="14" t="str">
        <f ca="1">IF(JQ$1="","",'Total Value'!JQ56/'Total Value'!JP56-1)</f>
        <v/>
      </c>
      <c r="JR44" s="14" t="str">
        <f ca="1">IF(JR$1="","",'Total Value'!JR56/'Total Value'!JQ56-1)</f>
        <v/>
      </c>
      <c r="JS44" s="14" t="str">
        <f ca="1">IF(JS$1="","",'Total Value'!JS56/'Total Value'!JR56-1)</f>
        <v/>
      </c>
      <c r="JT44" s="14" t="str">
        <f ca="1">IF(JT$1="","",'Total Value'!JT56/'Total Value'!JS56-1)</f>
        <v/>
      </c>
      <c r="JU44" s="14" t="str">
        <f ca="1">IF(JU$1="","",'Total Value'!JU56/'Total Value'!JT56-1)</f>
        <v/>
      </c>
      <c r="JV44" s="14" t="str">
        <f ca="1">IF(JV$1="","",'Total Value'!JV56/'Total Value'!JU56-1)</f>
        <v/>
      </c>
      <c r="JW44" s="14" t="str">
        <f ca="1">IF(JW$1="","",'Total Value'!JW56/'Total Value'!JV56-1)</f>
        <v/>
      </c>
      <c r="JX44" s="14" t="str">
        <f ca="1">IF(JX$1="","",'Total Value'!JX56/'Total Value'!JW56-1)</f>
        <v/>
      </c>
      <c r="JY44" s="14" t="str">
        <f ca="1">IF(JY$1="","",'Total Value'!JY56/'Total Value'!JX56-1)</f>
        <v/>
      </c>
      <c r="JZ44" s="14" t="str">
        <f ca="1">IF(JZ$1="","",'Total Value'!JZ56/'Total Value'!JY56-1)</f>
        <v/>
      </c>
      <c r="KA44" s="14" t="str">
        <f ca="1">IF(KA$1="","",'Total Value'!KA56/'Total Value'!JZ56-1)</f>
        <v/>
      </c>
      <c r="KB44" s="14" t="str">
        <f ca="1">IF(KB$1="","",'Total Value'!KB56/'Total Value'!KA56-1)</f>
        <v/>
      </c>
    </row>
    <row r="45" spans="1:288" ht="15.75" customHeight="1">
      <c r="A45" s="22" t="s">
        <v>30</v>
      </c>
      <c r="B45" s="6" t="s">
        <v>88</v>
      </c>
      <c r="C45" s="26">
        <v>9</v>
      </c>
      <c r="D45" s="13">
        <v>0</v>
      </c>
      <c r="E45" s="14">
        <f ca="1">IF(E$1="","",'Total Value'!E57/'Total Value'!D57-1)</f>
        <v>-7.5440067057838123E-3</v>
      </c>
      <c r="F45" s="14">
        <f ca="1">IF(F$1="","",'Total Value'!F57/'Total Value'!E57-1)</f>
        <v>7.1790540540541681E-3</v>
      </c>
      <c r="G45" s="14">
        <f ca="1">IF(G$1="","",'Total Value'!G57/'Total Value'!F57-1)</f>
        <v>3.1027253668763022E-2</v>
      </c>
      <c r="H45" s="14">
        <f ca="1">IF(H$1="","",'Total Value'!H57/'Total Value'!G57-1)</f>
        <v>-6.9947132980886506E-2</v>
      </c>
      <c r="I45" s="14">
        <f ca="1">IF(I$1="","",'Total Value'!I57/'Total Value'!H57-1)</f>
        <v>-5.6843025797989055E-3</v>
      </c>
      <c r="J45" s="14">
        <f ca="1">IF(J$1="","",'Total Value'!J57/'Total Value'!I57-1)</f>
        <v>7.9155672823221224E-3</v>
      </c>
      <c r="K45" s="14">
        <f ca="1">IF(K$1="","",'Total Value'!K57/'Total Value'!J57-1)</f>
        <v>-2.3996509598603888E-2</v>
      </c>
      <c r="L45" s="14">
        <f ca="1">IF(L$1="","",'Total Value'!L57/'Total Value'!K57-1)</f>
        <v>2.1010281627179106E-2</v>
      </c>
      <c r="M45" s="14">
        <f ca="1">IF(M$1="","",'Total Value'!M57/'Total Value'!L57-1)</f>
        <v>0.11514886164623461</v>
      </c>
      <c r="N45" s="14">
        <f ca="1">IF(N$1="","",'Total Value'!N57/'Total Value'!M57-1)</f>
        <v>-1.9630938358853545E-2</v>
      </c>
      <c r="O45" s="14">
        <f ca="1">IF(O$1="","",'Total Value'!O57/'Total Value'!N57-1)</f>
        <v>-4.6055266319583454E-2</v>
      </c>
      <c r="P45" s="14">
        <f ca="1">IF(P$1="","",'Total Value'!P57/'Total Value'!O57-1)</f>
        <v>-1.9731318219983196E-2</v>
      </c>
      <c r="Q45" s="14">
        <f ca="1">IF(Q$1="","",'Total Value'!Q57/'Total Value'!P57-1)</f>
        <v>2.1413276231263323E-2</v>
      </c>
      <c r="R45" s="14">
        <f ca="1">IF(R$1="","",'Total Value'!R57/'Total Value'!Q57-1)</f>
        <v>1.7610062893081757E-2</v>
      </c>
      <c r="S45" s="14">
        <f ca="1">IF(S$1="","",'Total Value'!S57/'Total Value'!R57-1)</f>
        <v>1.0300782859497426E-2</v>
      </c>
      <c r="T45" s="14">
        <f ca="1">IF(T$1="","",'Total Value'!T57/'Total Value'!S57-1)</f>
        <v>-2.9771615008156727E-2</v>
      </c>
      <c r="U45" s="14">
        <f ca="1">IF(U$1="","",'Total Value'!U57/'Total Value'!T57-1)</f>
        <v>-2.9003783102143688E-2</v>
      </c>
      <c r="V45" s="14">
        <f ca="1">IF(V$1="","",'Total Value'!V57/'Total Value'!U57-1)</f>
        <v>-2.1645021645021689E-2</v>
      </c>
      <c r="W45" s="14">
        <f ca="1">IF(W$1="","",'Total Value'!W57/'Total Value'!V57-1)</f>
        <v>1.5929203539823078E-2</v>
      </c>
      <c r="X45" s="14">
        <f ca="1">IF(X$1="","",'Total Value'!X57/'Total Value'!W57-1)</f>
        <v>3.5714285714285587E-2</v>
      </c>
      <c r="Y45" s="14">
        <f ca="1">IF(Y$1="","",'Total Value'!Y57/'Total Value'!X57-1)</f>
        <v>1.6400336417157435E-2</v>
      </c>
      <c r="Z45" s="14">
        <f ca="1">IF(Z$1="","",'Total Value'!Z57/'Total Value'!Y57-1)</f>
        <v>-3.3098882912701799E-2</v>
      </c>
      <c r="AA45" s="14">
        <f ca="1">IF(AA$1="","",'Total Value'!AA57/'Total Value'!Z57-1)</f>
        <v>-3.3376123234916566E-2</v>
      </c>
      <c r="AB45" s="14">
        <f ca="1">IF(AB$1="","",'Total Value'!AB57/'Total Value'!AA57-1)</f>
        <v>1.3280212483399723E-3</v>
      </c>
      <c r="AC45" s="14">
        <f ca="1">IF(AC$1="","",'Total Value'!AC57/'Total Value'!AB57-1)</f>
        <v>5.3934571175950463E-2</v>
      </c>
      <c r="AD45" s="14">
        <f ca="1">IF(AD$1="","",'Total Value'!AD57/'Total Value'!AC57-1)</f>
        <v>-1.7617449664429352E-2</v>
      </c>
      <c r="AE45" s="14">
        <f ca="1">IF(AE$1="","",'Total Value'!AE57/'Total Value'!AD57-1)</f>
        <v>-2.6900085397096651E-2</v>
      </c>
      <c r="AF45" s="14">
        <f ca="1">IF(AF$1="","",'Total Value'!AF57/'Total Value'!AE57-1)</f>
        <v>-5.9675296182536086E-2</v>
      </c>
      <c r="AG45" s="14">
        <f ca="1">IF(AG$1="","",'Total Value'!AG57/'Total Value'!AF57-1)</f>
        <v>-8.6327578161456087E-2</v>
      </c>
      <c r="AH45" s="14">
        <f ca="1">IF(AH$1="","",'Total Value'!AH57/'Total Value'!AG57-1)</f>
        <v>-2.2471910112359383E-2</v>
      </c>
      <c r="AI45" s="14">
        <f ca="1">IF(AI$1="","",'Total Value'!AI57/'Total Value'!AH57-1)</f>
        <v>-2.6123301985370939E-2</v>
      </c>
      <c r="AJ45" s="14">
        <f ca="1">IF(AJ$1="","",'Total Value'!AJ57/'Total Value'!AI57-1)</f>
        <v>2.1459227467811148E-2</v>
      </c>
      <c r="AK45" s="14">
        <f ca="1">IF(AK$1="","",'Total Value'!AK57/'Total Value'!AJ57-1)</f>
        <v>-3.6764705882352811E-2</v>
      </c>
      <c r="AL45" s="14">
        <f ca="1">IF(AL$1="","",'Total Value'!AL57/'Total Value'!AK57-1)</f>
        <v>-2.0174482006543148E-2</v>
      </c>
      <c r="AM45" s="14">
        <f ca="1">IF(AM$1="","",'Total Value'!AM57/'Total Value'!AL57-1)</f>
        <v>8.1246521981079622E-2</v>
      </c>
      <c r="AN45" s="14">
        <f ca="1">IF(AN$1="","",'Total Value'!AN57/'Total Value'!AM57-1)</f>
        <v>-2.1101389603705556E-2</v>
      </c>
      <c r="AO45" s="14">
        <f ca="1">IF(AO$1="","",'Total Value'!AO57/'Total Value'!AN57-1)</f>
        <v>-7.3606729758149969E-3</v>
      </c>
      <c r="AP45" s="14">
        <f ca="1">IF(AP$1="","",'Total Value'!AP57/'Total Value'!AO57-1)</f>
        <v>-6.8326271186440635E-2</v>
      </c>
      <c r="AQ45" s="14">
        <f ca="1">IF(AQ$1="","",'Total Value'!AQ57/'Total Value'!AP57-1)</f>
        <v>6.1398521887436219E-2</v>
      </c>
      <c r="AR45" s="14">
        <f ca="1">IF(AR$1="","",'Total Value'!AR57/'Total Value'!AQ57-1)</f>
        <v>6.3202999464381238E-2</v>
      </c>
      <c r="AS45" s="14">
        <f ca="1">IF(AS$1="","",'Total Value'!AS57/'Total Value'!AR57-1)</f>
        <v>-4.5843828715365187E-2</v>
      </c>
      <c r="AT45" s="14">
        <f ca="1">IF(AT$1="","",'Total Value'!AT57/'Total Value'!AS57-1)</f>
        <v>-2.2175290390707536E-2</v>
      </c>
      <c r="AU45" s="14">
        <f ca="1">IF(AU$1="","",'Total Value'!AU57/'Total Value'!AT57-1)</f>
        <v>2.9697624190064831E-2</v>
      </c>
      <c r="AV45" s="14">
        <f ca="1">IF(AV$1="","",'Total Value'!AV57/'Total Value'!AU57-1)</f>
        <v>-7.3413738856842325E-3</v>
      </c>
      <c r="AW45" s="14">
        <f ca="1">IF(AW$1="","",'Total Value'!AW57/'Total Value'!AV57-1)</f>
        <v>3.3280507131537185E-2</v>
      </c>
      <c r="AX45" s="14">
        <f ca="1">IF(AX$1="","",'Total Value'!AX57/'Total Value'!AW57-1)</f>
        <v>1.6359918200409052E-2</v>
      </c>
      <c r="AY45" s="14">
        <f ca="1">IF(AY$1="","",'Total Value'!AY57/'Total Value'!AX57-1)</f>
        <v>-1.006036217303663E-3</v>
      </c>
      <c r="AZ45" s="14">
        <f ca="1">IF(AZ$1="","",'Total Value'!AZ57/'Total Value'!AY57-1)</f>
        <v>-7.0493454179255677E-3</v>
      </c>
      <c r="BA45" s="14">
        <f ca="1">IF(BA$1="","",'Total Value'!BA57/'Total Value'!AZ57-1)</f>
        <v>6.7951318458417953E-2</v>
      </c>
      <c r="BB45" s="14">
        <f ca="1">IF(BB$1="","",'Total Value'!BB57/'Total Value'!BA57-1)</f>
        <v>-3.9886039886039892E-2</v>
      </c>
      <c r="BC45" s="14">
        <f ca="1">IF(BC$1="","",'Total Value'!BC57/'Total Value'!BB57-1)</f>
        <v>-3.4619188921859445E-3</v>
      </c>
      <c r="BD45" s="14">
        <f ca="1">IF(BD$1="","",'Total Value'!BD57/'Total Value'!BC57-1)</f>
        <v>-3.8709677419354716E-2</v>
      </c>
      <c r="BE45" s="14">
        <f ca="1">IF(BE$1="","",'Total Value'!BE57/'Total Value'!BD57-1)</f>
        <v>5.3691275167785157E-2</v>
      </c>
      <c r="BF45" s="14">
        <f ca="1">IF(BF$1="","",'Total Value'!BF57/'Total Value'!BE57-1)</f>
        <v>-7.1043606075453125E-2</v>
      </c>
      <c r="BG45" s="14">
        <f ca="1">IF(BG$1="","",'Total Value'!BG57/'Total Value'!BF57-1)</f>
        <v>-0.10495780590717319</v>
      </c>
      <c r="BH45" s="14">
        <f ca="1">IF(BH$1="","",'Total Value'!BH57/'Total Value'!BG57-1)</f>
        <v>-9.1926929876252172E-2</v>
      </c>
      <c r="BI45" s="14">
        <f ca="1">IF(BI$1="","",'Total Value'!BI57/'Total Value'!BH57-1)</f>
        <v>-2.2712524334847495E-2</v>
      </c>
      <c r="BJ45" s="14">
        <f ca="1">IF(BJ$1="","",'Total Value'!BJ57/'Total Value'!BI57-1)</f>
        <v>3.5192563081009265E-2</v>
      </c>
      <c r="BK45" s="14">
        <f ca="1">IF(BK$1="","",'Total Value'!BK57/'Total Value'!BJ57-1)</f>
        <v>-3.0147530468249029E-2</v>
      </c>
      <c r="BL45" s="14">
        <f ca="1">IF(BL$1="","",'Total Value'!BL57/'Total Value'!BK57-1)</f>
        <v>-7.9365079365077973E-3</v>
      </c>
      <c r="BM45" s="14">
        <f ca="1">IF(BM$1="","",'Total Value'!BM57/'Total Value'!BL57-1)</f>
        <v>2.8000000000000025E-2</v>
      </c>
      <c r="BN45" s="14">
        <f ca="1">IF(BN$1="","",'Total Value'!BN57/'Total Value'!BM57-1)</f>
        <v>7.3281452658884749E-2</v>
      </c>
      <c r="BO45" s="14">
        <f ca="1">IF(BO$1="","",'Total Value'!BO57/'Total Value'!BN57-1)</f>
        <v>0</v>
      </c>
      <c r="BP45" s="14">
        <f ca="1">IF(BP$1="","",'Total Value'!BP57/'Total Value'!BO57-1)</f>
        <v>-1.2688821752265933E-2</v>
      </c>
      <c r="BQ45" s="14">
        <f ca="1">IF(BQ$1="","",'Total Value'!BQ57/'Total Value'!BP57-1)</f>
        <v>1.346389228886169E-2</v>
      </c>
      <c r="BR45" s="14">
        <f ca="1">IF(BR$1="","",'Total Value'!BR57/'Total Value'!BQ57-1)</f>
        <v>-3.0193236714975868E-2</v>
      </c>
      <c r="BS45" s="14">
        <f ca="1">IF(BS$1="","",'Total Value'!BS57/'Total Value'!BR57-1)</f>
        <v>-1.4321295143212898E-2</v>
      </c>
      <c r="BT45" s="14">
        <f ca="1">IF(BT$1="","",'Total Value'!BT57/'Total Value'!BS57-1)</f>
        <v>5.243209096651924E-2</v>
      </c>
      <c r="BU45" s="14">
        <f ca="1">IF(BU$1="","",'Total Value'!BU57/'Total Value'!BT57-1)</f>
        <v>-7.2028811524610381E-3</v>
      </c>
      <c r="BV45" s="14">
        <f ca="1">IF(BV$1="","",'Total Value'!BV57/'Total Value'!BU57-1)</f>
        <v>1.2091898428052694E-3</v>
      </c>
      <c r="BW45" s="14">
        <f ca="1">IF(BW$1="","",'Total Value'!BW57/'Total Value'!BV57-1)</f>
        <v>-3.8043478260869512E-2</v>
      </c>
      <c r="BX45" s="14">
        <f ca="1">IF(BX$1="","",'Total Value'!BX57/'Total Value'!BW57-1)</f>
        <v>2.1343377275580666E-2</v>
      </c>
      <c r="BY45" s="14">
        <f ca="1">IF(BY$1="","",'Total Value'!BY57/'Total Value'!BX57-1)</f>
        <v>-3.6263060848186868E-2</v>
      </c>
      <c r="BZ45" s="14">
        <f ca="1">IF(BZ$1="","",'Total Value'!BZ57/'Total Value'!BY57-1)</f>
        <v>-2.5510204081633514E-3</v>
      </c>
      <c r="CA45" s="14">
        <f ca="1">IF(CA$1="","",'Total Value'!CA57/'Total Value'!BZ57-1)</f>
        <v>4.6675191815856998E-2</v>
      </c>
      <c r="CB45" s="14">
        <f ca="1">IF(CB$1="","",'Total Value'!CB57/'Total Value'!CA57-1)</f>
        <v>-4.3982895540623179E-2</v>
      </c>
      <c r="CC45" s="14">
        <f ca="1">IF(CC$1="","",'Total Value'!CC57/'Total Value'!CB57-1)</f>
        <v>8.3067092651756269E-3</v>
      </c>
      <c r="CD45" s="14">
        <f ca="1">IF(CD$1="","",'Total Value'!CD57/'Total Value'!CC57-1)</f>
        <v>8.2382762991128899E-3</v>
      </c>
      <c r="CE45" s="14">
        <f ca="1">IF(CE$1="","",'Total Value'!CE57/'Total Value'!CD57-1)</f>
        <v>4.9025769956002607E-2</v>
      </c>
      <c r="CF45" s="14" t="str">
        <f ca="1">IF(CF$1="","",'Total Value'!CF57/'Total Value'!CE57-1)</f>
        <v/>
      </c>
      <c r="CG45" s="14" t="str">
        <f ca="1">IF(CG$1="","",'Total Value'!CG57/'Total Value'!CF57-1)</f>
        <v/>
      </c>
      <c r="CH45" s="14" t="str">
        <f ca="1">IF(CH$1="","",'Total Value'!CH57/'Total Value'!CG57-1)</f>
        <v/>
      </c>
      <c r="CI45" s="14" t="str">
        <f ca="1">IF(CI$1="","",'Total Value'!CI57/'Total Value'!CH57-1)</f>
        <v/>
      </c>
      <c r="CJ45" s="14" t="str">
        <f ca="1">IF(CJ$1="","",'Total Value'!CJ57/'Total Value'!CI57-1)</f>
        <v/>
      </c>
      <c r="CK45" s="14" t="str">
        <f ca="1">IF(CK$1="","",'Total Value'!CK57/'Total Value'!CJ57-1)</f>
        <v/>
      </c>
      <c r="CL45" s="14" t="str">
        <f ca="1">IF(CL$1="","",'Total Value'!CL57/'Total Value'!CK57-1)</f>
        <v/>
      </c>
      <c r="CM45" s="14" t="str">
        <f ca="1">IF(CM$1="","",'Total Value'!CM57/'Total Value'!CL57-1)</f>
        <v/>
      </c>
      <c r="CN45" s="14" t="str">
        <f ca="1">IF(CN$1="","",'Total Value'!CN57/'Total Value'!CM57-1)</f>
        <v/>
      </c>
      <c r="CO45" s="14" t="str">
        <f ca="1">IF(CO$1="","",'Total Value'!CO57/'Total Value'!CN57-1)</f>
        <v/>
      </c>
      <c r="CP45" s="14" t="str">
        <f ca="1">IF(CP$1="","",'Total Value'!CP57/'Total Value'!CO57-1)</f>
        <v/>
      </c>
      <c r="CQ45" s="14" t="str">
        <f ca="1">IF(CQ$1="","",'Total Value'!CQ57/'Total Value'!CP57-1)</f>
        <v/>
      </c>
      <c r="CR45" s="14" t="str">
        <f ca="1">IF(CR$1="","",'Total Value'!CR57/'Total Value'!CQ57-1)</f>
        <v/>
      </c>
      <c r="CS45" s="14" t="str">
        <f ca="1">IF(CS$1="","",'Total Value'!CS57/'Total Value'!CR57-1)</f>
        <v/>
      </c>
      <c r="CT45" s="14" t="str">
        <f ca="1">IF(CT$1="","",'Total Value'!CT57/'Total Value'!CS57-1)</f>
        <v/>
      </c>
      <c r="CU45" s="14" t="str">
        <f ca="1">IF(CU$1="","",'Total Value'!CU57/'Total Value'!CT57-1)</f>
        <v/>
      </c>
      <c r="CV45" s="14" t="str">
        <f ca="1">IF(CV$1="","",'Total Value'!CV57/'Total Value'!CU57-1)</f>
        <v/>
      </c>
      <c r="CW45" s="14" t="str">
        <f ca="1">IF(CW$1="","",'Total Value'!CW57/'Total Value'!CV57-1)</f>
        <v/>
      </c>
      <c r="CX45" s="14" t="str">
        <f ca="1">IF(CX$1="","",'Total Value'!CX57/'Total Value'!CW57-1)</f>
        <v/>
      </c>
      <c r="CY45" s="14" t="str">
        <f ca="1">IF(CY$1="","",'Total Value'!CY57/'Total Value'!CX57-1)</f>
        <v/>
      </c>
      <c r="CZ45" s="14" t="str">
        <f ca="1">IF(CZ$1="","",'Total Value'!CZ57/'Total Value'!CY57-1)</f>
        <v/>
      </c>
      <c r="DA45" s="14" t="str">
        <f ca="1">IF(DA$1="","",'Total Value'!DA57/'Total Value'!CZ57-1)</f>
        <v/>
      </c>
      <c r="DB45" s="14" t="str">
        <f ca="1">IF(DB$1="","",'Total Value'!DB57/'Total Value'!DA57-1)</f>
        <v/>
      </c>
      <c r="DC45" s="14" t="str">
        <f ca="1">IF(DC$1="","",'Total Value'!DC57/'Total Value'!DB57-1)</f>
        <v/>
      </c>
      <c r="DD45" s="14" t="str">
        <f ca="1">IF(DD$1="","",'Total Value'!DD57/'Total Value'!DC57-1)</f>
        <v/>
      </c>
      <c r="DE45" s="14" t="str">
        <f ca="1">IF(DE$1="","",'Total Value'!DE57/'Total Value'!DD57-1)</f>
        <v/>
      </c>
      <c r="DF45" s="14" t="str">
        <f ca="1">IF(DF$1="","",'Total Value'!DF57/'Total Value'!DE57-1)</f>
        <v/>
      </c>
      <c r="DG45" s="14" t="str">
        <f ca="1">IF(DG$1="","",'Total Value'!DG57/'Total Value'!DF57-1)</f>
        <v/>
      </c>
      <c r="DH45" s="14" t="str">
        <f ca="1">IF(DH$1="","",'Total Value'!DH57/'Total Value'!DG57-1)</f>
        <v/>
      </c>
      <c r="DI45" s="14" t="str">
        <f ca="1">IF(DI$1="","",'Total Value'!DI57/'Total Value'!DH57-1)</f>
        <v/>
      </c>
      <c r="DJ45" s="14" t="str">
        <f ca="1">IF(DJ$1="","",'Total Value'!DJ57/'Total Value'!DI57-1)</f>
        <v/>
      </c>
      <c r="DK45" s="14" t="str">
        <f ca="1">IF(DK$1="","",'Total Value'!DK57/'Total Value'!DJ57-1)</f>
        <v/>
      </c>
      <c r="DL45" s="14" t="str">
        <f ca="1">IF(DL$1="","",'Total Value'!DL57/'Total Value'!DK57-1)</f>
        <v/>
      </c>
      <c r="DM45" s="14" t="str">
        <f ca="1">IF(DM$1="","",'Total Value'!DM57/'Total Value'!DL57-1)</f>
        <v/>
      </c>
      <c r="DN45" s="14" t="str">
        <f ca="1">IF(DN$1="","",'Total Value'!DN57/'Total Value'!DM57-1)</f>
        <v/>
      </c>
      <c r="DO45" s="14" t="str">
        <f ca="1">IF(DO$1="","",'Total Value'!DO57/'Total Value'!DN57-1)</f>
        <v/>
      </c>
      <c r="DP45" s="14" t="str">
        <f ca="1">IF(DP$1="","",'Total Value'!DP57/'Total Value'!DO57-1)</f>
        <v/>
      </c>
      <c r="DQ45" s="14" t="str">
        <f ca="1">IF(DQ$1="","",'Total Value'!DQ57/'Total Value'!DP57-1)</f>
        <v/>
      </c>
      <c r="DR45" s="14" t="str">
        <f ca="1">IF(DR$1="","",'Total Value'!DR57/'Total Value'!DQ57-1)</f>
        <v/>
      </c>
      <c r="DS45" s="14" t="str">
        <f ca="1">IF(DS$1="","",'Total Value'!DS57/'Total Value'!DR57-1)</f>
        <v/>
      </c>
      <c r="DT45" s="14" t="str">
        <f ca="1">IF(DT$1="","",'Total Value'!DT57/'Total Value'!DS57-1)</f>
        <v/>
      </c>
      <c r="DU45" s="14" t="str">
        <f ca="1">IF(DU$1="","",'Total Value'!DU57/'Total Value'!DT57-1)</f>
        <v/>
      </c>
      <c r="DV45" s="14" t="str">
        <f ca="1">IF(DV$1="","",'Total Value'!DV57/'Total Value'!DU57-1)</f>
        <v/>
      </c>
      <c r="DW45" s="14" t="str">
        <f ca="1">IF(DW$1="","",'Total Value'!DW57/'Total Value'!DV57-1)</f>
        <v/>
      </c>
      <c r="DX45" s="14" t="str">
        <f ca="1">IF(DX$1="","",'Total Value'!DX57/'Total Value'!DW57-1)</f>
        <v/>
      </c>
      <c r="DY45" s="14" t="str">
        <f ca="1">IF(DY$1="","",'Total Value'!DY57/'Total Value'!DX57-1)</f>
        <v/>
      </c>
      <c r="DZ45" s="14" t="str">
        <f ca="1">IF(DZ$1="","",'Total Value'!DZ57/'Total Value'!DY57-1)</f>
        <v/>
      </c>
      <c r="EA45" s="14" t="str">
        <f ca="1">IF(EA$1="","",'Total Value'!EA57/'Total Value'!DZ57-1)</f>
        <v/>
      </c>
      <c r="EB45" s="14" t="str">
        <f ca="1">IF(EB$1="","",'Total Value'!EB57/'Total Value'!EA57-1)</f>
        <v/>
      </c>
      <c r="EC45" s="14" t="str">
        <f ca="1">IF(EC$1="","",'Total Value'!EC57/'Total Value'!EB57-1)</f>
        <v/>
      </c>
      <c r="ED45" s="14" t="str">
        <f ca="1">IF(ED$1="","",'Total Value'!ED57/'Total Value'!EC57-1)</f>
        <v/>
      </c>
      <c r="EE45" s="14" t="str">
        <f ca="1">IF(EE$1="","",'Total Value'!EE57/'Total Value'!ED57-1)</f>
        <v/>
      </c>
      <c r="EF45" s="14" t="str">
        <f ca="1">IF(EF$1="","",'Total Value'!EF57/'Total Value'!EE57-1)</f>
        <v/>
      </c>
      <c r="EG45" s="14" t="str">
        <f ca="1">IF(EG$1="","",'Total Value'!EG57/'Total Value'!EF57-1)</f>
        <v/>
      </c>
      <c r="EH45" s="14" t="str">
        <f ca="1">IF(EH$1="","",'Total Value'!EH57/'Total Value'!EG57-1)</f>
        <v/>
      </c>
      <c r="EI45" s="14" t="str">
        <f ca="1">IF(EI$1="","",'Total Value'!EI57/'Total Value'!EH57-1)</f>
        <v/>
      </c>
      <c r="EJ45" s="14" t="str">
        <f ca="1">IF(EJ$1="","",'Total Value'!EJ57/'Total Value'!EI57-1)</f>
        <v/>
      </c>
      <c r="EK45" s="14" t="str">
        <f ca="1">IF(EK$1="","",'Total Value'!EK57/'Total Value'!EJ57-1)</f>
        <v/>
      </c>
      <c r="EL45" s="14" t="str">
        <f ca="1">IF(EL$1="","",'Total Value'!EL57/'Total Value'!EK57-1)</f>
        <v/>
      </c>
      <c r="EM45" s="14" t="str">
        <f ca="1">IF(EM$1="","",'Total Value'!EM57/'Total Value'!EL57-1)</f>
        <v/>
      </c>
      <c r="EN45" s="14" t="str">
        <f ca="1">IF(EN$1="","",'Total Value'!EN57/'Total Value'!EM57-1)</f>
        <v/>
      </c>
      <c r="EO45" s="14" t="str">
        <f ca="1">IF(EO$1="","",'Total Value'!EO57/'Total Value'!EN57-1)</f>
        <v/>
      </c>
      <c r="EP45" s="14" t="str">
        <f ca="1">IF(EP$1="","",'Total Value'!EP57/'Total Value'!EO57-1)</f>
        <v/>
      </c>
      <c r="EQ45" s="14" t="str">
        <f ca="1">IF(EQ$1="","",'Total Value'!EQ57/'Total Value'!EP57-1)</f>
        <v/>
      </c>
      <c r="ER45" s="14" t="str">
        <f ca="1">IF(ER$1="","",'Total Value'!ER57/'Total Value'!EQ57-1)</f>
        <v/>
      </c>
      <c r="ES45" s="14" t="str">
        <f ca="1">IF(ES$1="","",'Total Value'!ES57/'Total Value'!ER57-1)</f>
        <v/>
      </c>
      <c r="ET45" s="14" t="str">
        <f ca="1">IF(ET$1="","",'Total Value'!ET57/'Total Value'!ES57-1)</f>
        <v/>
      </c>
      <c r="EU45" s="14" t="str">
        <f ca="1">IF(EU$1="","",'Total Value'!EU57/'Total Value'!ET57-1)</f>
        <v/>
      </c>
      <c r="EV45" s="14" t="str">
        <f ca="1">IF(EV$1="","",'Total Value'!EV57/'Total Value'!EU57-1)</f>
        <v/>
      </c>
      <c r="EW45" s="14" t="str">
        <f ca="1">IF(EW$1="","",'Total Value'!EW57/'Total Value'!EV57-1)</f>
        <v/>
      </c>
      <c r="EX45" s="14" t="str">
        <f ca="1">IF(EX$1="","",'Total Value'!EX57/'Total Value'!EW57-1)</f>
        <v/>
      </c>
      <c r="EY45" s="14" t="str">
        <f ca="1">IF(EY$1="","",'Total Value'!EY57/'Total Value'!EX57-1)</f>
        <v/>
      </c>
      <c r="EZ45" s="14" t="str">
        <f ca="1">IF(EZ$1="","",'Total Value'!EZ57/'Total Value'!EY57-1)</f>
        <v/>
      </c>
      <c r="FA45" s="14" t="str">
        <f ca="1">IF(FA$1="","",'Total Value'!FA57/'Total Value'!EZ57-1)</f>
        <v/>
      </c>
      <c r="FB45" s="14" t="str">
        <f ca="1">IF(FB$1="","",'Total Value'!FB57/'Total Value'!FA57-1)</f>
        <v/>
      </c>
      <c r="FC45" s="14" t="str">
        <f ca="1">IF(FC$1="","",'Total Value'!FC57/'Total Value'!FB57-1)</f>
        <v/>
      </c>
      <c r="FD45" s="14" t="str">
        <f ca="1">IF(FD$1="","",'Total Value'!FD57/'Total Value'!FC57-1)</f>
        <v/>
      </c>
      <c r="FE45" s="14" t="str">
        <f ca="1">IF(FE$1="","",'Total Value'!FE57/'Total Value'!FD57-1)</f>
        <v/>
      </c>
      <c r="FF45" s="14" t="str">
        <f ca="1">IF(FF$1="","",'Total Value'!FF57/'Total Value'!FE57-1)</f>
        <v/>
      </c>
      <c r="FG45" s="14" t="str">
        <f ca="1">IF(FG$1="","",'Total Value'!FG57/'Total Value'!FF57-1)</f>
        <v/>
      </c>
      <c r="FH45" s="14" t="str">
        <f ca="1">IF(FH$1="","",'Total Value'!FH57/'Total Value'!FG57-1)</f>
        <v/>
      </c>
      <c r="FI45" s="14" t="str">
        <f ca="1">IF(FI$1="","",'Total Value'!FI57/'Total Value'!FH57-1)</f>
        <v/>
      </c>
      <c r="FJ45" s="14" t="str">
        <f ca="1">IF(FJ$1="","",'Total Value'!FJ57/'Total Value'!FI57-1)</f>
        <v/>
      </c>
      <c r="FK45" s="14" t="str">
        <f ca="1">IF(FK$1="","",'Total Value'!FK57/'Total Value'!FJ57-1)</f>
        <v/>
      </c>
      <c r="FL45" s="14" t="str">
        <f ca="1">IF(FL$1="","",'Total Value'!FL57/'Total Value'!FK57-1)</f>
        <v/>
      </c>
      <c r="FM45" s="14" t="str">
        <f ca="1">IF(FM$1="","",'Total Value'!FM57/'Total Value'!FL57-1)</f>
        <v/>
      </c>
      <c r="FN45" s="14" t="str">
        <f ca="1">IF(FN$1="","",'Total Value'!FN57/'Total Value'!FM57-1)</f>
        <v/>
      </c>
      <c r="FO45" s="14" t="str">
        <f ca="1">IF(FO$1="","",'Total Value'!FO57/'Total Value'!FN57-1)</f>
        <v/>
      </c>
      <c r="FP45" s="14" t="str">
        <f ca="1">IF(FP$1="","",'Total Value'!FP57/'Total Value'!FO57-1)</f>
        <v/>
      </c>
      <c r="FQ45" s="14" t="str">
        <f ca="1">IF(FQ$1="","",'Total Value'!FQ57/'Total Value'!FP57-1)</f>
        <v/>
      </c>
      <c r="FR45" s="14" t="str">
        <f ca="1">IF(FR$1="","",'Total Value'!FR57/'Total Value'!FQ57-1)</f>
        <v/>
      </c>
      <c r="FS45" s="14" t="str">
        <f ca="1">IF(FS$1="","",'Total Value'!FS57/'Total Value'!FR57-1)</f>
        <v/>
      </c>
      <c r="FT45" s="14" t="str">
        <f ca="1">IF(FT$1="","",'Total Value'!FT57/'Total Value'!FS57-1)</f>
        <v/>
      </c>
      <c r="FU45" s="14" t="str">
        <f ca="1">IF(FU$1="","",'Total Value'!FU57/'Total Value'!FT57-1)</f>
        <v/>
      </c>
      <c r="FV45" s="14" t="str">
        <f ca="1">IF(FV$1="","",'Total Value'!FV57/'Total Value'!FU57-1)</f>
        <v/>
      </c>
      <c r="FW45" s="14" t="str">
        <f ca="1">IF(FW$1="","",'Total Value'!FW57/'Total Value'!FV57-1)</f>
        <v/>
      </c>
      <c r="FX45" s="14" t="str">
        <f ca="1">IF(FX$1="","",'Total Value'!FX57/'Total Value'!FW57-1)</f>
        <v/>
      </c>
      <c r="FY45" s="14" t="str">
        <f ca="1">IF(FY$1="","",'Total Value'!FY57/'Total Value'!FX57-1)</f>
        <v/>
      </c>
      <c r="FZ45" s="14" t="str">
        <f ca="1">IF(FZ$1="","",'Total Value'!FZ57/'Total Value'!FY57-1)</f>
        <v/>
      </c>
      <c r="GA45" s="14" t="str">
        <f ca="1">IF(GA$1="","",'Total Value'!GA57/'Total Value'!FZ57-1)</f>
        <v/>
      </c>
      <c r="GB45" s="14" t="str">
        <f ca="1">IF(GB$1="","",'Total Value'!GB57/'Total Value'!GA57-1)</f>
        <v/>
      </c>
      <c r="GC45" s="14" t="str">
        <f ca="1">IF(GC$1="","",'Total Value'!GC57/'Total Value'!GB57-1)</f>
        <v/>
      </c>
      <c r="GD45" s="14" t="str">
        <f ca="1">IF(GD$1="","",'Total Value'!GD57/'Total Value'!GC57-1)</f>
        <v/>
      </c>
      <c r="GE45" s="14" t="str">
        <f ca="1">IF(GE$1="","",'Total Value'!GE57/'Total Value'!GD57-1)</f>
        <v/>
      </c>
      <c r="GF45" s="14" t="str">
        <f ca="1">IF(GF$1="","",'Total Value'!GF57/'Total Value'!GE57-1)</f>
        <v/>
      </c>
      <c r="GG45" s="14" t="str">
        <f ca="1">IF(GG$1="","",'Total Value'!GG57/'Total Value'!GF57-1)</f>
        <v/>
      </c>
      <c r="GH45" s="14" t="str">
        <f ca="1">IF(GH$1="","",'Total Value'!GH57/'Total Value'!GG57-1)</f>
        <v/>
      </c>
      <c r="GI45" s="14" t="str">
        <f ca="1">IF(GI$1="","",'Total Value'!GI57/'Total Value'!GH57-1)</f>
        <v/>
      </c>
      <c r="GJ45" s="14" t="str">
        <f ca="1">IF(GJ$1="","",'Total Value'!GJ57/'Total Value'!GI57-1)</f>
        <v/>
      </c>
      <c r="GK45" s="14" t="str">
        <f ca="1">IF(GK$1="","",'Total Value'!GK57/'Total Value'!GJ57-1)</f>
        <v/>
      </c>
      <c r="GL45" s="14" t="str">
        <f ca="1">IF(GL$1="","",'Total Value'!GL57/'Total Value'!GK57-1)</f>
        <v/>
      </c>
      <c r="GM45" s="14" t="str">
        <f ca="1">IF(GM$1="","",'Total Value'!GM57/'Total Value'!GL57-1)</f>
        <v/>
      </c>
      <c r="GN45" s="14" t="str">
        <f ca="1">IF(GN$1="","",'Total Value'!GN57/'Total Value'!GM57-1)</f>
        <v/>
      </c>
      <c r="GO45" s="14" t="str">
        <f ca="1">IF(GO$1="","",'Total Value'!GO57/'Total Value'!GN57-1)</f>
        <v/>
      </c>
      <c r="GP45" s="14" t="str">
        <f ca="1">IF(GP$1="","",'Total Value'!GP57/'Total Value'!GO57-1)</f>
        <v/>
      </c>
      <c r="GQ45" s="14" t="str">
        <f ca="1">IF(GQ$1="","",'Total Value'!GQ57/'Total Value'!GP57-1)</f>
        <v/>
      </c>
      <c r="GR45" s="14" t="str">
        <f ca="1">IF(GR$1="","",'Total Value'!GR57/'Total Value'!GQ57-1)</f>
        <v/>
      </c>
      <c r="GS45" s="14" t="str">
        <f ca="1">IF(GS$1="","",'Total Value'!GS57/'Total Value'!GR57-1)</f>
        <v/>
      </c>
      <c r="GT45" s="14" t="str">
        <f ca="1">IF(GT$1="","",'Total Value'!GT57/'Total Value'!GS57-1)</f>
        <v/>
      </c>
      <c r="GU45" s="14" t="str">
        <f ca="1">IF(GU$1="","",'Total Value'!GU57/'Total Value'!GT57-1)</f>
        <v/>
      </c>
      <c r="GV45" s="14" t="str">
        <f ca="1">IF(GV$1="","",'Total Value'!GV57/'Total Value'!GU57-1)</f>
        <v/>
      </c>
      <c r="GW45" s="14" t="str">
        <f ca="1">IF(GW$1="","",'Total Value'!GW57/'Total Value'!GV57-1)</f>
        <v/>
      </c>
      <c r="GX45" s="14" t="str">
        <f ca="1">IF(GX$1="","",'Total Value'!GX57/'Total Value'!GW57-1)</f>
        <v/>
      </c>
      <c r="GY45" s="14" t="str">
        <f ca="1">IF(GY$1="","",'Total Value'!GY57/'Total Value'!GX57-1)</f>
        <v/>
      </c>
      <c r="GZ45" s="14" t="str">
        <f ca="1">IF(GZ$1="","",'Total Value'!GZ57/'Total Value'!GY57-1)</f>
        <v/>
      </c>
      <c r="HA45" s="14" t="str">
        <f ca="1">IF(HA$1="","",'Total Value'!HA57/'Total Value'!GZ57-1)</f>
        <v/>
      </c>
      <c r="HB45" s="14" t="str">
        <f ca="1">IF(HB$1="","",'Total Value'!HB57/'Total Value'!HA57-1)</f>
        <v/>
      </c>
      <c r="HC45" s="14" t="str">
        <f ca="1">IF(HC$1="","",'Total Value'!HC57/'Total Value'!HB57-1)</f>
        <v/>
      </c>
      <c r="HD45" s="14" t="str">
        <f ca="1">IF(HD$1="","",'Total Value'!HD57/'Total Value'!HC57-1)</f>
        <v/>
      </c>
      <c r="HE45" s="14" t="str">
        <f ca="1">IF(HE$1="","",'Total Value'!HE57/'Total Value'!HD57-1)</f>
        <v/>
      </c>
      <c r="HF45" s="14" t="str">
        <f ca="1">IF(HF$1="","",'Total Value'!HF57/'Total Value'!HE57-1)</f>
        <v/>
      </c>
      <c r="HG45" s="14" t="str">
        <f ca="1">IF(HG$1="","",'Total Value'!HG57/'Total Value'!HF57-1)</f>
        <v/>
      </c>
      <c r="HH45" s="14" t="str">
        <f ca="1">IF(HH$1="","",'Total Value'!HH57/'Total Value'!HG57-1)</f>
        <v/>
      </c>
      <c r="HI45" s="14" t="str">
        <f ca="1">IF(HI$1="","",'Total Value'!HI57/'Total Value'!HH57-1)</f>
        <v/>
      </c>
      <c r="HJ45" s="14" t="str">
        <f ca="1">IF(HJ$1="","",'Total Value'!HJ57/'Total Value'!HI57-1)</f>
        <v/>
      </c>
      <c r="HK45" s="14" t="str">
        <f ca="1">IF(HK$1="","",'Total Value'!HK57/'Total Value'!HJ57-1)</f>
        <v/>
      </c>
      <c r="HL45" s="14" t="str">
        <f ca="1">IF(HL$1="","",'Total Value'!HL57/'Total Value'!HK57-1)</f>
        <v/>
      </c>
      <c r="HM45" s="14" t="str">
        <f ca="1">IF(HM$1="","",'Total Value'!HM57/'Total Value'!HL57-1)</f>
        <v/>
      </c>
      <c r="HN45" s="14" t="str">
        <f ca="1">IF(HN$1="","",'Total Value'!HN57/'Total Value'!HM57-1)</f>
        <v/>
      </c>
      <c r="HO45" s="14" t="str">
        <f ca="1">IF(HO$1="","",'Total Value'!HO57/'Total Value'!HN57-1)</f>
        <v/>
      </c>
      <c r="HP45" s="14" t="str">
        <f ca="1">IF(HP$1="","",'Total Value'!HP57/'Total Value'!HO57-1)</f>
        <v/>
      </c>
      <c r="HQ45" s="14" t="str">
        <f ca="1">IF(HQ$1="","",'Total Value'!HQ57/'Total Value'!HP57-1)</f>
        <v/>
      </c>
      <c r="HR45" s="14" t="str">
        <f ca="1">IF(HR$1="","",'Total Value'!HR57/'Total Value'!HQ57-1)</f>
        <v/>
      </c>
      <c r="HS45" s="14" t="str">
        <f ca="1">IF(HS$1="","",'Total Value'!HS57/'Total Value'!HR57-1)</f>
        <v/>
      </c>
      <c r="HT45" s="14" t="str">
        <f ca="1">IF(HT$1="","",'Total Value'!HT57/'Total Value'!HS57-1)</f>
        <v/>
      </c>
      <c r="HU45" s="14" t="str">
        <f ca="1">IF(HU$1="","",'Total Value'!HU57/'Total Value'!HT57-1)</f>
        <v/>
      </c>
      <c r="HV45" s="14" t="str">
        <f ca="1">IF(HV$1="","",'Total Value'!HV57/'Total Value'!HU57-1)</f>
        <v/>
      </c>
      <c r="HW45" s="14" t="str">
        <f ca="1">IF(HW$1="","",'Total Value'!HW57/'Total Value'!HV57-1)</f>
        <v/>
      </c>
      <c r="HX45" s="14" t="str">
        <f ca="1">IF(HX$1="","",'Total Value'!HX57/'Total Value'!HW57-1)</f>
        <v/>
      </c>
      <c r="HY45" s="14" t="str">
        <f ca="1">IF(HY$1="","",'Total Value'!HY57/'Total Value'!HX57-1)</f>
        <v/>
      </c>
      <c r="HZ45" s="14" t="str">
        <f ca="1">IF(HZ$1="","",'Total Value'!HZ57/'Total Value'!HY57-1)</f>
        <v/>
      </c>
      <c r="IA45" s="14" t="str">
        <f ca="1">IF(IA$1="","",'Total Value'!IA57/'Total Value'!HZ57-1)</f>
        <v/>
      </c>
      <c r="IB45" s="14" t="str">
        <f ca="1">IF(IB$1="","",'Total Value'!IB57/'Total Value'!IA57-1)</f>
        <v/>
      </c>
      <c r="IC45" s="14" t="str">
        <f ca="1">IF(IC$1="","",'Total Value'!IC57/'Total Value'!IB57-1)</f>
        <v/>
      </c>
      <c r="ID45" s="14" t="str">
        <f ca="1">IF(ID$1="","",'Total Value'!ID57/'Total Value'!IC57-1)</f>
        <v/>
      </c>
      <c r="IE45" s="14" t="str">
        <f ca="1">IF(IE$1="","",'Total Value'!IE57/'Total Value'!ID57-1)</f>
        <v/>
      </c>
      <c r="IF45" s="14" t="str">
        <f ca="1">IF(IF$1="","",'Total Value'!IF57/'Total Value'!IE57-1)</f>
        <v/>
      </c>
      <c r="IG45" s="14" t="str">
        <f ca="1">IF(IG$1="","",'Total Value'!IG57/'Total Value'!IF57-1)</f>
        <v/>
      </c>
      <c r="IH45" s="14" t="str">
        <f ca="1">IF(IH$1="","",'Total Value'!IH57/'Total Value'!IG57-1)</f>
        <v/>
      </c>
      <c r="II45" s="14" t="str">
        <f ca="1">IF(II$1="","",'Total Value'!II57/'Total Value'!IH57-1)</f>
        <v/>
      </c>
      <c r="IJ45" s="14" t="str">
        <f ca="1">IF(IJ$1="","",'Total Value'!IJ57/'Total Value'!II57-1)</f>
        <v/>
      </c>
      <c r="IK45" s="14" t="str">
        <f ca="1">IF(IK$1="","",'Total Value'!IK57/'Total Value'!IJ57-1)</f>
        <v/>
      </c>
      <c r="IL45" s="14" t="str">
        <f ca="1">IF(IL$1="","",'Total Value'!IL57/'Total Value'!IK57-1)</f>
        <v/>
      </c>
      <c r="IM45" s="14" t="str">
        <f ca="1">IF(IM$1="","",'Total Value'!IM57/'Total Value'!IL57-1)</f>
        <v/>
      </c>
      <c r="IN45" s="14" t="str">
        <f ca="1">IF(IN$1="","",'Total Value'!IN57/'Total Value'!IM57-1)</f>
        <v/>
      </c>
      <c r="IO45" s="14" t="str">
        <f ca="1">IF(IO$1="","",'Total Value'!IO57/'Total Value'!IN57-1)</f>
        <v/>
      </c>
      <c r="IP45" s="14" t="str">
        <f ca="1">IF(IP$1="","",'Total Value'!IP57/'Total Value'!IO57-1)</f>
        <v/>
      </c>
      <c r="IQ45" s="14" t="str">
        <f ca="1">IF(IQ$1="","",'Total Value'!IQ57/'Total Value'!IP57-1)</f>
        <v/>
      </c>
      <c r="IR45" s="14" t="str">
        <f ca="1">IF(IR$1="","",'Total Value'!IR57/'Total Value'!IQ57-1)</f>
        <v/>
      </c>
      <c r="IS45" s="14" t="str">
        <f ca="1">IF(IS$1="","",'Total Value'!IS57/'Total Value'!IR57-1)</f>
        <v/>
      </c>
      <c r="IT45" s="14" t="str">
        <f ca="1">IF(IT$1="","",'Total Value'!IT57/'Total Value'!IS57-1)</f>
        <v/>
      </c>
      <c r="IU45" s="14" t="str">
        <f ca="1">IF(IU$1="","",'Total Value'!IU57/'Total Value'!IT57-1)</f>
        <v/>
      </c>
      <c r="IV45" s="14" t="str">
        <f ca="1">IF(IV$1="","",'Total Value'!IV57/'Total Value'!IU57-1)</f>
        <v/>
      </c>
      <c r="IW45" s="14" t="str">
        <f ca="1">IF(IW$1="","",'Total Value'!IW57/'Total Value'!IV57-1)</f>
        <v/>
      </c>
      <c r="IX45" s="14" t="str">
        <f ca="1">IF(IX$1="","",'Total Value'!IX57/'Total Value'!IW57-1)</f>
        <v/>
      </c>
      <c r="IY45" s="14" t="str">
        <f ca="1">IF(IY$1="","",'Total Value'!IY57/'Total Value'!IX57-1)</f>
        <v/>
      </c>
      <c r="IZ45" s="14" t="str">
        <f ca="1">IF(IZ$1="","",'Total Value'!IZ57/'Total Value'!IY57-1)</f>
        <v/>
      </c>
      <c r="JA45" s="14" t="str">
        <f ca="1">IF(JA$1="","",'Total Value'!JA57/'Total Value'!IZ57-1)</f>
        <v/>
      </c>
      <c r="JB45" s="14" t="str">
        <f ca="1">IF(JB$1="","",'Total Value'!JB57/'Total Value'!JA57-1)</f>
        <v/>
      </c>
      <c r="JC45" s="14" t="str">
        <f ca="1">IF(JC$1="","",'Total Value'!JC57/'Total Value'!JB57-1)</f>
        <v/>
      </c>
      <c r="JD45" s="14" t="str">
        <f ca="1">IF(JD$1="","",'Total Value'!JD57/'Total Value'!JC57-1)</f>
        <v/>
      </c>
      <c r="JE45" s="14" t="str">
        <f ca="1">IF(JE$1="","",'Total Value'!JE57/'Total Value'!JD57-1)</f>
        <v/>
      </c>
      <c r="JF45" s="14" t="str">
        <f ca="1">IF(JF$1="","",'Total Value'!JF57/'Total Value'!JE57-1)</f>
        <v/>
      </c>
      <c r="JG45" s="14" t="str">
        <f ca="1">IF(JG$1="","",'Total Value'!JG57/'Total Value'!JF57-1)</f>
        <v/>
      </c>
      <c r="JH45" s="14" t="str">
        <f ca="1">IF(JH$1="","",'Total Value'!JH57/'Total Value'!JG57-1)</f>
        <v/>
      </c>
      <c r="JI45" s="14" t="str">
        <f ca="1">IF(JI$1="","",'Total Value'!JI57/'Total Value'!JH57-1)</f>
        <v/>
      </c>
      <c r="JJ45" s="14" t="str">
        <f ca="1">IF(JJ$1="","",'Total Value'!JJ57/'Total Value'!JI57-1)</f>
        <v/>
      </c>
      <c r="JK45" s="14" t="str">
        <f ca="1">IF(JK$1="","",'Total Value'!JK57/'Total Value'!JJ57-1)</f>
        <v/>
      </c>
      <c r="JL45" s="14" t="str">
        <f ca="1">IF(JL$1="","",'Total Value'!JL57/'Total Value'!JK57-1)</f>
        <v/>
      </c>
      <c r="JM45" s="14" t="str">
        <f ca="1">IF(JM$1="","",'Total Value'!JM57/'Total Value'!JL57-1)</f>
        <v/>
      </c>
      <c r="JN45" s="14" t="str">
        <f ca="1">IF(JN$1="","",'Total Value'!JN57/'Total Value'!JM57-1)</f>
        <v/>
      </c>
      <c r="JO45" s="14" t="str">
        <f ca="1">IF(JO$1="","",'Total Value'!JO57/'Total Value'!JN57-1)</f>
        <v/>
      </c>
      <c r="JP45" s="14" t="str">
        <f ca="1">IF(JP$1="","",'Total Value'!JP57/'Total Value'!JO57-1)</f>
        <v/>
      </c>
      <c r="JQ45" s="14" t="str">
        <f ca="1">IF(JQ$1="","",'Total Value'!JQ57/'Total Value'!JP57-1)</f>
        <v/>
      </c>
      <c r="JR45" s="14" t="str">
        <f ca="1">IF(JR$1="","",'Total Value'!JR57/'Total Value'!JQ57-1)</f>
        <v/>
      </c>
      <c r="JS45" s="14" t="str">
        <f ca="1">IF(JS$1="","",'Total Value'!JS57/'Total Value'!JR57-1)</f>
        <v/>
      </c>
      <c r="JT45" s="14" t="str">
        <f ca="1">IF(JT$1="","",'Total Value'!JT57/'Total Value'!JS57-1)</f>
        <v/>
      </c>
      <c r="JU45" s="14" t="str">
        <f ca="1">IF(JU$1="","",'Total Value'!JU57/'Total Value'!JT57-1)</f>
        <v/>
      </c>
      <c r="JV45" s="14" t="str">
        <f ca="1">IF(JV$1="","",'Total Value'!JV57/'Total Value'!JU57-1)</f>
        <v/>
      </c>
      <c r="JW45" s="14" t="str">
        <f ca="1">IF(JW$1="","",'Total Value'!JW57/'Total Value'!JV57-1)</f>
        <v/>
      </c>
      <c r="JX45" s="14" t="str">
        <f ca="1">IF(JX$1="","",'Total Value'!JX57/'Total Value'!JW57-1)</f>
        <v/>
      </c>
      <c r="JY45" s="14" t="str">
        <f ca="1">IF(JY$1="","",'Total Value'!JY57/'Total Value'!JX57-1)</f>
        <v/>
      </c>
      <c r="JZ45" s="14" t="str">
        <f ca="1">IF(JZ$1="","",'Total Value'!JZ57/'Total Value'!JY57-1)</f>
        <v/>
      </c>
      <c r="KA45" s="14" t="str">
        <f ca="1">IF(KA$1="","",'Total Value'!KA57/'Total Value'!JZ57-1)</f>
        <v/>
      </c>
      <c r="KB45" s="14" t="str">
        <f ca="1">IF(KB$1="","",'Total Value'!KB57/'Total Value'!KA57-1)</f>
        <v/>
      </c>
    </row>
    <row r="46" spans="1:288" ht="15.75" customHeight="1">
      <c r="A46" s="22" t="s">
        <v>30</v>
      </c>
      <c r="B46" s="6" t="s">
        <v>89</v>
      </c>
      <c r="C46" s="26">
        <v>65</v>
      </c>
      <c r="D46" s="13">
        <v>0</v>
      </c>
      <c r="E46" s="14">
        <f ca="1">IF(E$1="","",'Total Value'!E58/'Total Value'!D58-1)</f>
        <v>-1.4814814814814836E-2</v>
      </c>
      <c r="F46" s="14">
        <f ca="1">IF(F$1="","",'Total Value'!F58/'Total Value'!E58-1)</f>
        <v>4.8872180451127845E-2</v>
      </c>
      <c r="G46" s="14">
        <f ca="1">IF(G$1="","",'Total Value'!G58/'Total Value'!F58-1)</f>
        <v>1.0752688172043001E-2</v>
      </c>
      <c r="H46" s="14">
        <f ca="1">IF(H$1="","",'Total Value'!H58/'Total Value'!G58-1)</f>
        <v>-2.1276595744680882E-2</v>
      </c>
      <c r="I46" s="14">
        <f ca="1">IF(I$1="","",'Total Value'!I58/'Total Value'!H58-1)</f>
        <v>-7.246376811593902E-3</v>
      </c>
      <c r="J46" s="14">
        <f ca="1">IF(J$1="","",'Total Value'!J58/'Total Value'!I58-1)</f>
        <v>-7.2992700729928028E-3</v>
      </c>
      <c r="K46" s="14">
        <f ca="1">IF(K$1="","",'Total Value'!K58/'Total Value'!J58-1)</f>
        <v>-2.941176470588247E-2</v>
      </c>
      <c r="L46" s="14">
        <f ca="1">IF(L$1="","",'Total Value'!L58/'Total Value'!K58-1)</f>
        <v>-1.1363636363636243E-2</v>
      </c>
      <c r="M46" s="14">
        <f ca="1">IF(M$1="","",'Total Value'!M58/'Total Value'!L58-1)</f>
        <v>1.9157088122605304E-2</v>
      </c>
      <c r="N46" s="14">
        <f ca="1">IF(N$1="","",'Total Value'!N58/'Total Value'!M58-1)</f>
        <v>-5.2631578947368363E-2</v>
      </c>
      <c r="O46" s="14">
        <f ca="1">IF(O$1="","",'Total Value'!O58/'Total Value'!N58-1)</f>
        <v>-3.1746031746031855E-2</v>
      </c>
      <c r="P46" s="14">
        <f ca="1">IF(P$1="","",'Total Value'!P58/'Total Value'!O58-1)</f>
        <v>-6.5573770491803351E-2</v>
      </c>
      <c r="Q46" s="14">
        <f ca="1">IF(Q$1="","",'Total Value'!Q58/'Total Value'!P58-1)</f>
        <v>-2.631578947368407E-2</v>
      </c>
      <c r="R46" s="14">
        <f ca="1">IF(R$1="","",'Total Value'!R58/'Total Value'!Q58-1)</f>
        <v>1.3513513513513375E-2</v>
      </c>
      <c r="S46" s="14">
        <f ca="1">IF(S$1="","",'Total Value'!S58/'Total Value'!R58-1)</f>
        <v>1.3333333333333197E-2</v>
      </c>
      <c r="T46" s="14">
        <f ca="1">IF(T$1="","",'Total Value'!T58/'Total Value'!S58-1)</f>
        <v>-5.2631578947368363E-2</v>
      </c>
      <c r="U46" s="14">
        <f ca="1">IF(U$1="","",'Total Value'!U58/'Total Value'!T58-1)</f>
        <v>-5.092592592592593E-2</v>
      </c>
      <c r="V46" s="14">
        <f ca="1">IF(V$1="","",'Total Value'!V58/'Total Value'!U58-1)</f>
        <v>4.3902439024390283E-2</v>
      </c>
      <c r="W46" s="14">
        <f ca="1">IF(W$1="","",'Total Value'!W58/'Total Value'!V58-1)</f>
        <v>9.3457943925234765E-3</v>
      </c>
      <c r="X46" s="14">
        <f ca="1">IF(X$1="","",'Total Value'!X58/'Total Value'!W58-1)</f>
        <v>5.0925925925926041E-2</v>
      </c>
      <c r="Y46" s="14">
        <f ca="1">IF(Y$1="","",'Total Value'!Y58/'Total Value'!X58-1)</f>
        <v>5.2863436123347984E-2</v>
      </c>
      <c r="Z46" s="14">
        <f ca="1">IF(Z$1="","",'Total Value'!Z58/'Total Value'!Y58-1)</f>
        <v>-6.2761506276150403E-2</v>
      </c>
      <c r="AA46" s="14">
        <f ca="1">IF(AA$1="","",'Total Value'!AA58/'Total Value'!Z58-1)</f>
        <v>-5.3571428571428603E-2</v>
      </c>
      <c r="AB46" s="14">
        <f ca="1">IF(AB$1="","",'Total Value'!AB58/'Total Value'!AA58-1)</f>
        <v>-2.8301886792452824E-2</v>
      </c>
      <c r="AC46" s="14">
        <f ca="1">IF(AC$1="","",'Total Value'!AC58/'Total Value'!AB58-1)</f>
        <v>7.7669902912621325E-2</v>
      </c>
      <c r="AD46" s="14">
        <f ca="1">IF(AD$1="","",'Total Value'!AD58/'Total Value'!AC58-1)</f>
        <v>-2.2522522522522737E-2</v>
      </c>
      <c r="AE46" s="14">
        <f ca="1">IF(AE$1="","",'Total Value'!AE58/'Total Value'!AD58-1)</f>
        <v>-3.2258064516128893E-2</v>
      </c>
      <c r="AF46" s="14">
        <f ca="1">IF(AF$1="","",'Total Value'!AF58/'Total Value'!AE58-1)</f>
        <v>9.523809523809712E-3</v>
      </c>
      <c r="AG46" s="14">
        <f ca="1">IF(AG$1="","",'Total Value'!AG58/'Total Value'!AF58-1)</f>
        <v>-5.6603773584905759E-2</v>
      </c>
      <c r="AH46" s="14">
        <f ca="1">IF(AH$1="","",'Total Value'!AH58/'Total Value'!AG58-1)</f>
        <v>0</v>
      </c>
      <c r="AI46" s="14">
        <f ca="1">IF(AI$1="","",'Total Value'!AI58/'Total Value'!AH58-1)</f>
        <v>0</v>
      </c>
      <c r="AJ46" s="14">
        <f ca="1">IF(AJ$1="","",'Total Value'!AJ58/'Total Value'!AI58-1)</f>
        <v>5.4999999999999938E-2</v>
      </c>
      <c r="AK46" s="14">
        <f ca="1">IF(AK$1="","",'Total Value'!AK58/'Total Value'!AJ58-1)</f>
        <v>-2.8436018957346043E-2</v>
      </c>
      <c r="AL46" s="14">
        <f ca="1">IF(AL$1="","",'Total Value'!AL58/'Total Value'!AK58-1)</f>
        <v>-1.4634146341463317E-2</v>
      </c>
      <c r="AM46" s="14">
        <f ca="1">IF(AM$1="","",'Total Value'!AM58/'Total Value'!AL58-1)</f>
        <v>-9.9009900990100208E-3</v>
      </c>
      <c r="AN46" s="14">
        <f ca="1">IF(AN$1="","",'Total Value'!AN58/'Total Value'!AM58-1)</f>
        <v>4.4999999999999929E-2</v>
      </c>
      <c r="AO46" s="14">
        <f ca="1">IF(AO$1="","",'Total Value'!AO58/'Total Value'!AN58-1)</f>
        <v>3.8277511961722466E-2</v>
      </c>
      <c r="AP46" s="14">
        <f ca="1">IF(AP$1="","",'Total Value'!AP58/'Total Value'!AO58-1)</f>
        <v>2.7649769585253559E-2</v>
      </c>
      <c r="AQ46" s="14">
        <f ca="1">IF(AQ$1="","",'Total Value'!AQ58/'Total Value'!AP58-1)</f>
        <v>4.9327354260089828E-2</v>
      </c>
      <c r="AR46" s="14">
        <f ca="1">IF(AR$1="","",'Total Value'!AR58/'Total Value'!AQ58-1)</f>
        <v>-0.31623931623931623</v>
      </c>
      <c r="AS46" s="14">
        <f ca="1">IF(AS$1="","",'Total Value'!AS58/'Total Value'!AR58-1)</f>
        <v>-5.0000000000000044E-2</v>
      </c>
      <c r="AT46" s="14">
        <f ca="1">IF(AT$1="","",'Total Value'!AT58/'Total Value'!AS58-1)</f>
        <v>-4.6052631578947345E-2</v>
      </c>
      <c r="AU46" s="14">
        <f ca="1">IF(AU$1="","",'Total Value'!AU58/'Total Value'!AT58-1)</f>
        <v>-4.1379310344827669E-2</v>
      </c>
      <c r="AV46" s="14">
        <f ca="1">IF(AV$1="","",'Total Value'!AV58/'Total Value'!AU58-1)</f>
        <v>0.12230215827338142</v>
      </c>
      <c r="AW46" s="14">
        <f ca="1">IF(AW$1="","",'Total Value'!AW58/'Total Value'!AV58-1)</f>
        <v>2.564102564102555E-2</v>
      </c>
      <c r="AX46" s="14">
        <f ca="1">IF(AX$1="","",'Total Value'!AX58/'Total Value'!AW58-1)</f>
        <v>5.6249999999999911E-2</v>
      </c>
      <c r="AY46" s="14">
        <f ca="1">IF(AY$1="","",'Total Value'!AY58/'Total Value'!AX58-1)</f>
        <v>2.3668639053254559E-2</v>
      </c>
      <c r="AZ46" s="14">
        <f ca="1">IF(AZ$1="","",'Total Value'!AZ58/'Total Value'!AY58-1)</f>
        <v>-8.0924855491329439E-2</v>
      </c>
      <c r="BA46" s="14">
        <f ca="1">IF(BA$1="","",'Total Value'!BA58/'Total Value'!AZ58-1)</f>
        <v>6.2893081761006275E-3</v>
      </c>
      <c r="BB46" s="14">
        <f ca="1">IF(BB$1="","",'Total Value'!BB58/'Total Value'!BA58-1)</f>
        <v>0</v>
      </c>
      <c r="BC46" s="14">
        <f ca="1">IF(BC$1="","",'Total Value'!BC58/'Total Value'!BB58-1)</f>
        <v>-6.2499999999998668E-3</v>
      </c>
      <c r="BD46" s="14">
        <f ca="1">IF(BD$1="","",'Total Value'!BD58/'Total Value'!BC58-1)</f>
        <v>-1.2578616352201366E-2</v>
      </c>
      <c r="BE46" s="14">
        <f ca="1">IF(BE$1="","",'Total Value'!BE58/'Total Value'!BD58-1)</f>
        <v>-5.7324840764331197E-2</v>
      </c>
      <c r="BF46" s="14">
        <f ca="1">IF(BF$1="","",'Total Value'!BF58/'Total Value'!BE58-1)</f>
        <v>-6.7567567567567988E-3</v>
      </c>
      <c r="BG46" s="14">
        <f ca="1">IF(BG$1="","",'Total Value'!BG58/'Total Value'!BF58-1)</f>
        <v>-6.8027210884353817E-3</v>
      </c>
      <c r="BH46" s="14">
        <f ca="1">IF(BH$1="","",'Total Value'!BH58/'Total Value'!BG58-1)</f>
        <v>-3.4246575342465779E-2</v>
      </c>
      <c r="BI46" s="14">
        <f ca="1">IF(BI$1="","",'Total Value'!BI58/'Total Value'!BH58-1)</f>
        <v>4.9645390070922168E-2</v>
      </c>
      <c r="BJ46" s="14">
        <f ca="1">IF(BJ$1="","",'Total Value'!BJ58/'Total Value'!BI58-1)</f>
        <v>1.3513513513513375E-2</v>
      </c>
      <c r="BK46" s="14">
        <f ca="1">IF(BK$1="","",'Total Value'!BK58/'Total Value'!BJ58-1)</f>
        <v>-6.6666666666667096E-3</v>
      </c>
      <c r="BL46" s="14">
        <f ca="1">IF(BL$1="","",'Total Value'!BL58/'Total Value'!BK58-1)</f>
        <v>-1.3422818791946289E-2</v>
      </c>
      <c r="BM46" s="14">
        <f ca="1">IF(BM$1="","",'Total Value'!BM58/'Total Value'!BL58-1)</f>
        <v>-2.0408163265306145E-2</v>
      </c>
      <c r="BN46" s="14">
        <f ca="1">IF(BN$1="","",'Total Value'!BN58/'Total Value'!BM58-1)</f>
        <v>1.388888888888884E-2</v>
      </c>
      <c r="BO46" s="14">
        <f ca="1">IF(BO$1="","",'Total Value'!BO58/'Total Value'!BN58-1)</f>
        <v>-3.4246575342465779E-2</v>
      </c>
      <c r="BP46" s="14">
        <f ca="1">IF(BP$1="","",'Total Value'!BP58/'Total Value'!BO58-1)</f>
        <v>7.0921985815604049E-3</v>
      </c>
      <c r="BQ46" s="14">
        <f ca="1">IF(BQ$1="","",'Total Value'!BQ58/'Total Value'!BP58-1)</f>
        <v>5.6338028169014009E-2</v>
      </c>
      <c r="BR46" s="14">
        <f ca="1">IF(BR$1="","",'Total Value'!BR58/'Total Value'!BQ58-1)</f>
        <v>-2.6666666666666727E-2</v>
      </c>
      <c r="BS46" s="14">
        <f ca="1">IF(BS$1="","",'Total Value'!BS58/'Total Value'!BR58-1)</f>
        <v>-6.849315068493067E-3</v>
      </c>
      <c r="BT46" s="14">
        <f ca="1">IF(BT$1="","",'Total Value'!BT58/'Total Value'!BS58-1)</f>
        <v>2.7586206896551557E-2</v>
      </c>
      <c r="BU46" s="14">
        <f ca="1">IF(BU$1="","",'Total Value'!BU58/'Total Value'!BT58-1)</f>
        <v>4.6979865771812124E-2</v>
      </c>
      <c r="BV46" s="14">
        <f ca="1">IF(BV$1="","",'Total Value'!BV58/'Total Value'!BU58-1)</f>
        <v>-1.9230769230769273E-2</v>
      </c>
      <c r="BW46" s="14">
        <f ca="1">IF(BW$1="","",'Total Value'!BW58/'Total Value'!BV58-1)</f>
        <v>-5.882352941176483E-2</v>
      </c>
      <c r="BX46" s="14">
        <f ca="1">IF(BX$1="","",'Total Value'!BX58/'Total Value'!BW58-1)</f>
        <v>3.4722222222222321E-2</v>
      </c>
      <c r="BY46" s="14">
        <f ca="1">IF(BY$1="","",'Total Value'!BY58/'Total Value'!BX58-1)</f>
        <v>6.7114093959732557E-3</v>
      </c>
      <c r="BZ46" s="14">
        <f ca="1">IF(BZ$1="","",'Total Value'!BZ58/'Total Value'!BY58-1)</f>
        <v>5.3333333333333455E-2</v>
      </c>
      <c r="CA46" s="14">
        <f ca="1">IF(CA$1="","",'Total Value'!CA58/'Total Value'!BZ58-1)</f>
        <v>1.8987341772152E-2</v>
      </c>
      <c r="CB46" s="14">
        <f ca="1">IF(CB$1="","",'Total Value'!CB58/'Total Value'!CA58-1)</f>
        <v>3.105590062111796E-2</v>
      </c>
      <c r="CC46" s="14">
        <f ca="1">IF(CC$1="","",'Total Value'!CC58/'Total Value'!CB58-1)</f>
        <v>-6.6265060240963791E-2</v>
      </c>
      <c r="CD46" s="14">
        <f ca="1">IF(CD$1="","",'Total Value'!CD58/'Total Value'!CC58-1)</f>
        <v>1.2903225806451646E-2</v>
      </c>
      <c r="CE46" s="14">
        <f ca="1">IF(CE$1="","",'Total Value'!CE58/'Total Value'!CD58-1)</f>
        <v>3.8216560509554132E-2</v>
      </c>
      <c r="CF46" s="14" t="str">
        <f ca="1">IF(CF$1="","",'Total Value'!CF58/'Total Value'!CE58-1)</f>
        <v/>
      </c>
      <c r="CG46" s="14" t="str">
        <f ca="1">IF(CG$1="","",'Total Value'!CG58/'Total Value'!CF58-1)</f>
        <v/>
      </c>
      <c r="CH46" s="14" t="str">
        <f ca="1">IF(CH$1="","",'Total Value'!CH58/'Total Value'!CG58-1)</f>
        <v/>
      </c>
      <c r="CI46" s="14" t="str">
        <f ca="1">IF(CI$1="","",'Total Value'!CI58/'Total Value'!CH58-1)</f>
        <v/>
      </c>
      <c r="CJ46" s="14" t="str">
        <f ca="1">IF(CJ$1="","",'Total Value'!CJ58/'Total Value'!CI58-1)</f>
        <v/>
      </c>
      <c r="CK46" s="14" t="str">
        <f ca="1">IF(CK$1="","",'Total Value'!CK58/'Total Value'!CJ58-1)</f>
        <v/>
      </c>
      <c r="CL46" s="14" t="str">
        <f ca="1">IF(CL$1="","",'Total Value'!CL58/'Total Value'!CK58-1)</f>
        <v/>
      </c>
      <c r="CM46" s="14" t="str">
        <f ca="1">IF(CM$1="","",'Total Value'!CM58/'Total Value'!CL58-1)</f>
        <v/>
      </c>
      <c r="CN46" s="14" t="str">
        <f ca="1">IF(CN$1="","",'Total Value'!CN58/'Total Value'!CM58-1)</f>
        <v/>
      </c>
      <c r="CO46" s="14" t="str">
        <f ca="1">IF(CO$1="","",'Total Value'!CO58/'Total Value'!CN58-1)</f>
        <v/>
      </c>
      <c r="CP46" s="14" t="str">
        <f ca="1">IF(CP$1="","",'Total Value'!CP58/'Total Value'!CO58-1)</f>
        <v/>
      </c>
      <c r="CQ46" s="14" t="str">
        <f ca="1">IF(CQ$1="","",'Total Value'!CQ58/'Total Value'!CP58-1)</f>
        <v/>
      </c>
      <c r="CR46" s="14" t="str">
        <f ca="1">IF(CR$1="","",'Total Value'!CR58/'Total Value'!CQ58-1)</f>
        <v/>
      </c>
      <c r="CS46" s="14" t="str">
        <f ca="1">IF(CS$1="","",'Total Value'!CS58/'Total Value'!CR58-1)</f>
        <v/>
      </c>
      <c r="CT46" s="14" t="str">
        <f ca="1">IF(CT$1="","",'Total Value'!CT58/'Total Value'!CS58-1)</f>
        <v/>
      </c>
      <c r="CU46" s="14" t="str">
        <f ca="1">IF(CU$1="","",'Total Value'!CU58/'Total Value'!CT58-1)</f>
        <v/>
      </c>
      <c r="CV46" s="14" t="str">
        <f ca="1">IF(CV$1="","",'Total Value'!CV58/'Total Value'!CU58-1)</f>
        <v/>
      </c>
      <c r="CW46" s="14" t="str">
        <f ca="1">IF(CW$1="","",'Total Value'!CW58/'Total Value'!CV58-1)</f>
        <v/>
      </c>
      <c r="CX46" s="14" t="str">
        <f ca="1">IF(CX$1="","",'Total Value'!CX58/'Total Value'!CW58-1)</f>
        <v/>
      </c>
      <c r="CY46" s="14" t="str">
        <f ca="1">IF(CY$1="","",'Total Value'!CY58/'Total Value'!CX58-1)</f>
        <v/>
      </c>
      <c r="CZ46" s="14" t="str">
        <f ca="1">IF(CZ$1="","",'Total Value'!CZ58/'Total Value'!CY58-1)</f>
        <v/>
      </c>
      <c r="DA46" s="14" t="str">
        <f ca="1">IF(DA$1="","",'Total Value'!DA58/'Total Value'!CZ58-1)</f>
        <v/>
      </c>
      <c r="DB46" s="14" t="str">
        <f ca="1">IF(DB$1="","",'Total Value'!DB58/'Total Value'!DA58-1)</f>
        <v/>
      </c>
      <c r="DC46" s="14" t="str">
        <f ca="1">IF(DC$1="","",'Total Value'!DC58/'Total Value'!DB58-1)</f>
        <v/>
      </c>
      <c r="DD46" s="14" t="str">
        <f ca="1">IF(DD$1="","",'Total Value'!DD58/'Total Value'!DC58-1)</f>
        <v/>
      </c>
      <c r="DE46" s="14" t="str">
        <f ca="1">IF(DE$1="","",'Total Value'!DE58/'Total Value'!DD58-1)</f>
        <v/>
      </c>
      <c r="DF46" s="14" t="str">
        <f ca="1">IF(DF$1="","",'Total Value'!DF58/'Total Value'!DE58-1)</f>
        <v/>
      </c>
      <c r="DG46" s="14" t="str">
        <f ca="1">IF(DG$1="","",'Total Value'!DG58/'Total Value'!DF58-1)</f>
        <v/>
      </c>
      <c r="DH46" s="14" t="str">
        <f ca="1">IF(DH$1="","",'Total Value'!DH58/'Total Value'!DG58-1)</f>
        <v/>
      </c>
      <c r="DI46" s="14" t="str">
        <f ca="1">IF(DI$1="","",'Total Value'!DI58/'Total Value'!DH58-1)</f>
        <v/>
      </c>
      <c r="DJ46" s="14" t="str">
        <f ca="1">IF(DJ$1="","",'Total Value'!DJ58/'Total Value'!DI58-1)</f>
        <v/>
      </c>
      <c r="DK46" s="14" t="str">
        <f ca="1">IF(DK$1="","",'Total Value'!DK58/'Total Value'!DJ58-1)</f>
        <v/>
      </c>
      <c r="DL46" s="14" t="str">
        <f ca="1">IF(DL$1="","",'Total Value'!DL58/'Total Value'!DK58-1)</f>
        <v/>
      </c>
      <c r="DM46" s="14" t="str">
        <f ca="1">IF(DM$1="","",'Total Value'!DM58/'Total Value'!DL58-1)</f>
        <v/>
      </c>
      <c r="DN46" s="14" t="str">
        <f ca="1">IF(DN$1="","",'Total Value'!DN58/'Total Value'!DM58-1)</f>
        <v/>
      </c>
      <c r="DO46" s="14" t="str">
        <f ca="1">IF(DO$1="","",'Total Value'!DO58/'Total Value'!DN58-1)</f>
        <v/>
      </c>
      <c r="DP46" s="14" t="str">
        <f ca="1">IF(DP$1="","",'Total Value'!DP58/'Total Value'!DO58-1)</f>
        <v/>
      </c>
      <c r="DQ46" s="14" t="str">
        <f ca="1">IF(DQ$1="","",'Total Value'!DQ58/'Total Value'!DP58-1)</f>
        <v/>
      </c>
      <c r="DR46" s="14" t="str">
        <f ca="1">IF(DR$1="","",'Total Value'!DR58/'Total Value'!DQ58-1)</f>
        <v/>
      </c>
      <c r="DS46" s="14" t="str">
        <f ca="1">IF(DS$1="","",'Total Value'!DS58/'Total Value'!DR58-1)</f>
        <v/>
      </c>
      <c r="DT46" s="14" t="str">
        <f ca="1">IF(DT$1="","",'Total Value'!DT58/'Total Value'!DS58-1)</f>
        <v/>
      </c>
      <c r="DU46" s="14" t="str">
        <f ca="1">IF(DU$1="","",'Total Value'!DU58/'Total Value'!DT58-1)</f>
        <v/>
      </c>
      <c r="DV46" s="14" t="str">
        <f ca="1">IF(DV$1="","",'Total Value'!DV58/'Total Value'!DU58-1)</f>
        <v/>
      </c>
      <c r="DW46" s="14" t="str">
        <f ca="1">IF(DW$1="","",'Total Value'!DW58/'Total Value'!DV58-1)</f>
        <v/>
      </c>
      <c r="DX46" s="14" t="str">
        <f ca="1">IF(DX$1="","",'Total Value'!DX58/'Total Value'!DW58-1)</f>
        <v/>
      </c>
      <c r="DY46" s="14" t="str">
        <f ca="1">IF(DY$1="","",'Total Value'!DY58/'Total Value'!DX58-1)</f>
        <v/>
      </c>
      <c r="DZ46" s="14" t="str">
        <f ca="1">IF(DZ$1="","",'Total Value'!DZ58/'Total Value'!DY58-1)</f>
        <v/>
      </c>
      <c r="EA46" s="14" t="str">
        <f ca="1">IF(EA$1="","",'Total Value'!EA58/'Total Value'!DZ58-1)</f>
        <v/>
      </c>
      <c r="EB46" s="14" t="str">
        <f ca="1">IF(EB$1="","",'Total Value'!EB58/'Total Value'!EA58-1)</f>
        <v/>
      </c>
      <c r="EC46" s="14" t="str">
        <f ca="1">IF(EC$1="","",'Total Value'!EC58/'Total Value'!EB58-1)</f>
        <v/>
      </c>
      <c r="ED46" s="14" t="str">
        <f ca="1">IF(ED$1="","",'Total Value'!ED58/'Total Value'!EC58-1)</f>
        <v/>
      </c>
      <c r="EE46" s="14" t="str">
        <f ca="1">IF(EE$1="","",'Total Value'!EE58/'Total Value'!ED58-1)</f>
        <v/>
      </c>
      <c r="EF46" s="14" t="str">
        <f ca="1">IF(EF$1="","",'Total Value'!EF58/'Total Value'!EE58-1)</f>
        <v/>
      </c>
      <c r="EG46" s="14" t="str">
        <f ca="1">IF(EG$1="","",'Total Value'!EG58/'Total Value'!EF58-1)</f>
        <v/>
      </c>
      <c r="EH46" s="14" t="str">
        <f ca="1">IF(EH$1="","",'Total Value'!EH58/'Total Value'!EG58-1)</f>
        <v/>
      </c>
      <c r="EI46" s="14" t="str">
        <f ca="1">IF(EI$1="","",'Total Value'!EI58/'Total Value'!EH58-1)</f>
        <v/>
      </c>
      <c r="EJ46" s="14" t="str">
        <f ca="1">IF(EJ$1="","",'Total Value'!EJ58/'Total Value'!EI58-1)</f>
        <v/>
      </c>
      <c r="EK46" s="14" t="str">
        <f ca="1">IF(EK$1="","",'Total Value'!EK58/'Total Value'!EJ58-1)</f>
        <v/>
      </c>
      <c r="EL46" s="14" t="str">
        <f ca="1">IF(EL$1="","",'Total Value'!EL58/'Total Value'!EK58-1)</f>
        <v/>
      </c>
      <c r="EM46" s="14" t="str">
        <f ca="1">IF(EM$1="","",'Total Value'!EM58/'Total Value'!EL58-1)</f>
        <v/>
      </c>
      <c r="EN46" s="14" t="str">
        <f ca="1">IF(EN$1="","",'Total Value'!EN58/'Total Value'!EM58-1)</f>
        <v/>
      </c>
      <c r="EO46" s="14" t="str">
        <f ca="1">IF(EO$1="","",'Total Value'!EO58/'Total Value'!EN58-1)</f>
        <v/>
      </c>
      <c r="EP46" s="14" t="str">
        <f ca="1">IF(EP$1="","",'Total Value'!EP58/'Total Value'!EO58-1)</f>
        <v/>
      </c>
      <c r="EQ46" s="14" t="str">
        <f ca="1">IF(EQ$1="","",'Total Value'!EQ58/'Total Value'!EP58-1)</f>
        <v/>
      </c>
      <c r="ER46" s="14" t="str">
        <f ca="1">IF(ER$1="","",'Total Value'!ER58/'Total Value'!EQ58-1)</f>
        <v/>
      </c>
      <c r="ES46" s="14" t="str">
        <f ca="1">IF(ES$1="","",'Total Value'!ES58/'Total Value'!ER58-1)</f>
        <v/>
      </c>
      <c r="ET46" s="14" t="str">
        <f ca="1">IF(ET$1="","",'Total Value'!ET58/'Total Value'!ES58-1)</f>
        <v/>
      </c>
      <c r="EU46" s="14" t="str">
        <f ca="1">IF(EU$1="","",'Total Value'!EU58/'Total Value'!ET58-1)</f>
        <v/>
      </c>
      <c r="EV46" s="14" t="str">
        <f ca="1">IF(EV$1="","",'Total Value'!EV58/'Total Value'!EU58-1)</f>
        <v/>
      </c>
      <c r="EW46" s="14" t="str">
        <f ca="1">IF(EW$1="","",'Total Value'!EW58/'Total Value'!EV58-1)</f>
        <v/>
      </c>
      <c r="EX46" s="14" t="str">
        <f ca="1">IF(EX$1="","",'Total Value'!EX58/'Total Value'!EW58-1)</f>
        <v/>
      </c>
      <c r="EY46" s="14" t="str">
        <f ca="1">IF(EY$1="","",'Total Value'!EY58/'Total Value'!EX58-1)</f>
        <v/>
      </c>
      <c r="EZ46" s="14" t="str">
        <f ca="1">IF(EZ$1="","",'Total Value'!EZ58/'Total Value'!EY58-1)</f>
        <v/>
      </c>
      <c r="FA46" s="14" t="str">
        <f ca="1">IF(FA$1="","",'Total Value'!FA58/'Total Value'!EZ58-1)</f>
        <v/>
      </c>
      <c r="FB46" s="14" t="str">
        <f ca="1">IF(FB$1="","",'Total Value'!FB58/'Total Value'!FA58-1)</f>
        <v/>
      </c>
      <c r="FC46" s="14" t="str">
        <f ca="1">IF(FC$1="","",'Total Value'!FC58/'Total Value'!FB58-1)</f>
        <v/>
      </c>
      <c r="FD46" s="14" t="str">
        <f ca="1">IF(FD$1="","",'Total Value'!FD58/'Total Value'!FC58-1)</f>
        <v/>
      </c>
      <c r="FE46" s="14" t="str">
        <f ca="1">IF(FE$1="","",'Total Value'!FE58/'Total Value'!FD58-1)</f>
        <v/>
      </c>
      <c r="FF46" s="14" t="str">
        <f ca="1">IF(FF$1="","",'Total Value'!FF58/'Total Value'!FE58-1)</f>
        <v/>
      </c>
      <c r="FG46" s="14" t="str">
        <f ca="1">IF(FG$1="","",'Total Value'!FG58/'Total Value'!FF58-1)</f>
        <v/>
      </c>
      <c r="FH46" s="14" t="str">
        <f ca="1">IF(FH$1="","",'Total Value'!FH58/'Total Value'!FG58-1)</f>
        <v/>
      </c>
      <c r="FI46" s="14" t="str">
        <f ca="1">IF(FI$1="","",'Total Value'!FI58/'Total Value'!FH58-1)</f>
        <v/>
      </c>
      <c r="FJ46" s="14" t="str">
        <f ca="1">IF(FJ$1="","",'Total Value'!FJ58/'Total Value'!FI58-1)</f>
        <v/>
      </c>
      <c r="FK46" s="14" t="str">
        <f ca="1">IF(FK$1="","",'Total Value'!FK58/'Total Value'!FJ58-1)</f>
        <v/>
      </c>
      <c r="FL46" s="14" t="str">
        <f ca="1">IF(FL$1="","",'Total Value'!FL58/'Total Value'!FK58-1)</f>
        <v/>
      </c>
      <c r="FM46" s="14" t="str">
        <f ca="1">IF(FM$1="","",'Total Value'!FM58/'Total Value'!FL58-1)</f>
        <v/>
      </c>
      <c r="FN46" s="14" t="str">
        <f ca="1">IF(FN$1="","",'Total Value'!FN58/'Total Value'!FM58-1)</f>
        <v/>
      </c>
      <c r="FO46" s="14" t="str">
        <f ca="1">IF(FO$1="","",'Total Value'!FO58/'Total Value'!FN58-1)</f>
        <v/>
      </c>
      <c r="FP46" s="14" t="str">
        <f ca="1">IF(FP$1="","",'Total Value'!FP58/'Total Value'!FO58-1)</f>
        <v/>
      </c>
      <c r="FQ46" s="14" t="str">
        <f ca="1">IF(FQ$1="","",'Total Value'!FQ58/'Total Value'!FP58-1)</f>
        <v/>
      </c>
      <c r="FR46" s="14" t="str">
        <f ca="1">IF(FR$1="","",'Total Value'!FR58/'Total Value'!FQ58-1)</f>
        <v/>
      </c>
      <c r="FS46" s="14" t="str">
        <f ca="1">IF(FS$1="","",'Total Value'!FS58/'Total Value'!FR58-1)</f>
        <v/>
      </c>
      <c r="FT46" s="14" t="str">
        <f ca="1">IF(FT$1="","",'Total Value'!FT58/'Total Value'!FS58-1)</f>
        <v/>
      </c>
      <c r="FU46" s="14" t="str">
        <f ca="1">IF(FU$1="","",'Total Value'!FU58/'Total Value'!FT58-1)</f>
        <v/>
      </c>
      <c r="FV46" s="14" t="str">
        <f ca="1">IF(FV$1="","",'Total Value'!FV58/'Total Value'!FU58-1)</f>
        <v/>
      </c>
      <c r="FW46" s="14" t="str">
        <f ca="1">IF(FW$1="","",'Total Value'!FW58/'Total Value'!FV58-1)</f>
        <v/>
      </c>
      <c r="FX46" s="14" t="str">
        <f ca="1">IF(FX$1="","",'Total Value'!FX58/'Total Value'!FW58-1)</f>
        <v/>
      </c>
      <c r="FY46" s="14" t="str">
        <f ca="1">IF(FY$1="","",'Total Value'!FY58/'Total Value'!FX58-1)</f>
        <v/>
      </c>
      <c r="FZ46" s="14" t="str">
        <f ca="1">IF(FZ$1="","",'Total Value'!FZ58/'Total Value'!FY58-1)</f>
        <v/>
      </c>
      <c r="GA46" s="14" t="str">
        <f ca="1">IF(GA$1="","",'Total Value'!GA58/'Total Value'!FZ58-1)</f>
        <v/>
      </c>
      <c r="GB46" s="14" t="str">
        <f ca="1">IF(GB$1="","",'Total Value'!GB58/'Total Value'!GA58-1)</f>
        <v/>
      </c>
      <c r="GC46" s="14" t="str">
        <f ca="1">IF(GC$1="","",'Total Value'!GC58/'Total Value'!GB58-1)</f>
        <v/>
      </c>
      <c r="GD46" s="14" t="str">
        <f ca="1">IF(GD$1="","",'Total Value'!GD58/'Total Value'!GC58-1)</f>
        <v/>
      </c>
      <c r="GE46" s="14" t="str">
        <f ca="1">IF(GE$1="","",'Total Value'!GE58/'Total Value'!GD58-1)</f>
        <v/>
      </c>
      <c r="GF46" s="14" t="str">
        <f ca="1">IF(GF$1="","",'Total Value'!GF58/'Total Value'!GE58-1)</f>
        <v/>
      </c>
      <c r="GG46" s="14" t="str">
        <f ca="1">IF(GG$1="","",'Total Value'!GG58/'Total Value'!GF58-1)</f>
        <v/>
      </c>
      <c r="GH46" s="14" t="str">
        <f ca="1">IF(GH$1="","",'Total Value'!GH58/'Total Value'!GG58-1)</f>
        <v/>
      </c>
      <c r="GI46" s="14" t="str">
        <f ca="1">IF(GI$1="","",'Total Value'!GI58/'Total Value'!GH58-1)</f>
        <v/>
      </c>
      <c r="GJ46" s="14" t="str">
        <f ca="1">IF(GJ$1="","",'Total Value'!GJ58/'Total Value'!GI58-1)</f>
        <v/>
      </c>
      <c r="GK46" s="14" t="str">
        <f ca="1">IF(GK$1="","",'Total Value'!GK58/'Total Value'!GJ58-1)</f>
        <v/>
      </c>
      <c r="GL46" s="14" t="str">
        <f ca="1">IF(GL$1="","",'Total Value'!GL58/'Total Value'!GK58-1)</f>
        <v/>
      </c>
      <c r="GM46" s="14" t="str">
        <f ca="1">IF(GM$1="","",'Total Value'!GM58/'Total Value'!GL58-1)</f>
        <v/>
      </c>
      <c r="GN46" s="14" t="str">
        <f ca="1">IF(GN$1="","",'Total Value'!GN58/'Total Value'!GM58-1)</f>
        <v/>
      </c>
      <c r="GO46" s="14" t="str">
        <f ca="1">IF(GO$1="","",'Total Value'!GO58/'Total Value'!GN58-1)</f>
        <v/>
      </c>
      <c r="GP46" s="14" t="str">
        <f ca="1">IF(GP$1="","",'Total Value'!GP58/'Total Value'!GO58-1)</f>
        <v/>
      </c>
      <c r="GQ46" s="14" t="str">
        <f ca="1">IF(GQ$1="","",'Total Value'!GQ58/'Total Value'!GP58-1)</f>
        <v/>
      </c>
      <c r="GR46" s="14" t="str">
        <f ca="1">IF(GR$1="","",'Total Value'!GR58/'Total Value'!GQ58-1)</f>
        <v/>
      </c>
      <c r="GS46" s="14" t="str">
        <f ca="1">IF(GS$1="","",'Total Value'!GS58/'Total Value'!GR58-1)</f>
        <v/>
      </c>
      <c r="GT46" s="14" t="str">
        <f ca="1">IF(GT$1="","",'Total Value'!GT58/'Total Value'!GS58-1)</f>
        <v/>
      </c>
      <c r="GU46" s="14" t="str">
        <f ca="1">IF(GU$1="","",'Total Value'!GU58/'Total Value'!GT58-1)</f>
        <v/>
      </c>
      <c r="GV46" s="14" t="str">
        <f ca="1">IF(GV$1="","",'Total Value'!GV58/'Total Value'!GU58-1)</f>
        <v/>
      </c>
      <c r="GW46" s="14" t="str">
        <f ca="1">IF(GW$1="","",'Total Value'!GW58/'Total Value'!GV58-1)</f>
        <v/>
      </c>
      <c r="GX46" s="14" t="str">
        <f ca="1">IF(GX$1="","",'Total Value'!GX58/'Total Value'!GW58-1)</f>
        <v/>
      </c>
      <c r="GY46" s="14" t="str">
        <f ca="1">IF(GY$1="","",'Total Value'!GY58/'Total Value'!GX58-1)</f>
        <v/>
      </c>
      <c r="GZ46" s="14" t="str">
        <f ca="1">IF(GZ$1="","",'Total Value'!GZ58/'Total Value'!GY58-1)</f>
        <v/>
      </c>
      <c r="HA46" s="14" t="str">
        <f ca="1">IF(HA$1="","",'Total Value'!HA58/'Total Value'!GZ58-1)</f>
        <v/>
      </c>
      <c r="HB46" s="14" t="str">
        <f ca="1">IF(HB$1="","",'Total Value'!HB58/'Total Value'!HA58-1)</f>
        <v/>
      </c>
      <c r="HC46" s="14" t="str">
        <f ca="1">IF(HC$1="","",'Total Value'!HC58/'Total Value'!HB58-1)</f>
        <v/>
      </c>
      <c r="HD46" s="14" t="str">
        <f ca="1">IF(HD$1="","",'Total Value'!HD58/'Total Value'!HC58-1)</f>
        <v/>
      </c>
      <c r="HE46" s="14" t="str">
        <f ca="1">IF(HE$1="","",'Total Value'!HE58/'Total Value'!HD58-1)</f>
        <v/>
      </c>
      <c r="HF46" s="14" t="str">
        <f ca="1">IF(HF$1="","",'Total Value'!HF58/'Total Value'!HE58-1)</f>
        <v/>
      </c>
      <c r="HG46" s="14" t="str">
        <f ca="1">IF(HG$1="","",'Total Value'!HG58/'Total Value'!HF58-1)</f>
        <v/>
      </c>
      <c r="HH46" s="14" t="str">
        <f ca="1">IF(HH$1="","",'Total Value'!HH58/'Total Value'!HG58-1)</f>
        <v/>
      </c>
      <c r="HI46" s="14" t="str">
        <f ca="1">IF(HI$1="","",'Total Value'!HI58/'Total Value'!HH58-1)</f>
        <v/>
      </c>
      <c r="HJ46" s="14" t="str">
        <f ca="1">IF(HJ$1="","",'Total Value'!HJ58/'Total Value'!HI58-1)</f>
        <v/>
      </c>
      <c r="HK46" s="14" t="str">
        <f ca="1">IF(HK$1="","",'Total Value'!HK58/'Total Value'!HJ58-1)</f>
        <v/>
      </c>
      <c r="HL46" s="14" t="str">
        <f ca="1">IF(HL$1="","",'Total Value'!HL58/'Total Value'!HK58-1)</f>
        <v/>
      </c>
      <c r="HM46" s="14" t="str">
        <f ca="1">IF(HM$1="","",'Total Value'!HM58/'Total Value'!HL58-1)</f>
        <v/>
      </c>
      <c r="HN46" s="14" t="str">
        <f ca="1">IF(HN$1="","",'Total Value'!HN58/'Total Value'!HM58-1)</f>
        <v/>
      </c>
      <c r="HO46" s="14" t="str">
        <f ca="1">IF(HO$1="","",'Total Value'!HO58/'Total Value'!HN58-1)</f>
        <v/>
      </c>
      <c r="HP46" s="14" t="str">
        <f ca="1">IF(HP$1="","",'Total Value'!HP58/'Total Value'!HO58-1)</f>
        <v/>
      </c>
      <c r="HQ46" s="14" t="str">
        <f ca="1">IF(HQ$1="","",'Total Value'!HQ58/'Total Value'!HP58-1)</f>
        <v/>
      </c>
      <c r="HR46" s="14" t="str">
        <f ca="1">IF(HR$1="","",'Total Value'!HR58/'Total Value'!HQ58-1)</f>
        <v/>
      </c>
      <c r="HS46" s="14" t="str">
        <f ca="1">IF(HS$1="","",'Total Value'!HS58/'Total Value'!HR58-1)</f>
        <v/>
      </c>
      <c r="HT46" s="14" t="str">
        <f ca="1">IF(HT$1="","",'Total Value'!HT58/'Total Value'!HS58-1)</f>
        <v/>
      </c>
      <c r="HU46" s="14" t="str">
        <f ca="1">IF(HU$1="","",'Total Value'!HU58/'Total Value'!HT58-1)</f>
        <v/>
      </c>
      <c r="HV46" s="14" t="str">
        <f ca="1">IF(HV$1="","",'Total Value'!HV58/'Total Value'!HU58-1)</f>
        <v/>
      </c>
      <c r="HW46" s="14" t="str">
        <f ca="1">IF(HW$1="","",'Total Value'!HW58/'Total Value'!HV58-1)</f>
        <v/>
      </c>
      <c r="HX46" s="14" t="str">
        <f ca="1">IF(HX$1="","",'Total Value'!HX58/'Total Value'!HW58-1)</f>
        <v/>
      </c>
      <c r="HY46" s="14" t="str">
        <f ca="1">IF(HY$1="","",'Total Value'!HY58/'Total Value'!HX58-1)</f>
        <v/>
      </c>
      <c r="HZ46" s="14" t="str">
        <f ca="1">IF(HZ$1="","",'Total Value'!HZ58/'Total Value'!HY58-1)</f>
        <v/>
      </c>
      <c r="IA46" s="14" t="str">
        <f ca="1">IF(IA$1="","",'Total Value'!IA58/'Total Value'!HZ58-1)</f>
        <v/>
      </c>
      <c r="IB46" s="14" t="str">
        <f ca="1">IF(IB$1="","",'Total Value'!IB58/'Total Value'!IA58-1)</f>
        <v/>
      </c>
      <c r="IC46" s="14" t="str">
        <f ca="1">IF(IC$1="","",'Total Value'!IC58/'Total Value'!IB58-1)</f>
        <v/>
      </c>
      <c r="ID46" s="14" t="str">
        <f ca="1">IF(ID$1="","",'Total Value'!ID58/'Total Value'!IC58-1)</f>
        <v/>
      </c>
      <c r="IE46" s="14" t="str">
        <f ca="1">IF(IE$1="","",'Total Value'!IE58/'Total Value'!ID58-1)</f>
        <v/>
      </c>
      <c r="IF46" s="14" t="str">
        <f ca="1">IF(IF$1="","",'Total Value'!IF58/'Total Value'!IE58-1)</f>
        <v/>
      </c>
      <c r="IG46" s="14" t="str">
        <f ca="1">IF(IG$1="","",'Total Value'!IG58/'Total Value'!IF58-1)</f>
        <v/>
      </c>
      <c r="IH46" s="14" t="str">
        <f ca="1">IF(IH$1="","",'Total Value'!IH58/'Total Value'!IG58-1)</f>
        <v/>
      </c>
      <c r="II46" s="14" t="str">
        <f ca="1">IF(II$1="","",'Total Value'!II58/'Total Value'!IH58-1)</f>
        <v/>
      </c>
      <c r="IJ46" s="14" t="str">
        <f ca="1">IF(IJ$1="","",'Total Value'!IJ58/'Total Value'!II58-1)</f>
        <v/>
      </c>
      <c r="IK46" s="14" t="str">
        <f ca="1">IF(IK$1="","",'Total Value'!IK58/'Total Value'!IJ58-1)</f>
        <v/>
      </c>
      <c r="IL46" s="14" t="str">
        <f ca="1">IF(IL$1="","",'Total Value'!IL58/'Total Value'!IK58-1)</f>
        <v/>
      </c>
      <c r="IM46" s="14" t="str">
        <f ca="1">IF(IM$1="","",'Total Value'!IM58/'Total Value'!IL58-1)</f>
        <v/>
      </c>
      <c r="IN46" s="14" t="str">
        <f ca="1">IF(IN$1="","",'Total Value'!IN58/'Total Value'!IM58-1)</f>
        <v/>
      </c>
      <c r="IO46" s="14" t="str">
        <f ca="1">IF(IO$1="","",'Total Value'!IO58/'Total Value'!IN58-1)</f>
        <v/>
      </c>
      <c r="IP46" s="14" t="str">
        <f ca="1">IF(IP$1="","",'Total Value'!IP58/'Total Value'!IO58-1)</f>
        <v/>
      </c>
      <c r="IQ46" s="14" t="str">
        <f ca="1">IF(IQ$1="","",'Total Value'!IQ58/'Total Value'!IP58-1)</f>
        <v/>
      </c>
      <c r="IR46" s="14" t="str">
        <f ca="1">IF(IR$1="","",'Total Value'!IR58/'Total Value'!IQ58-1)</f>
        <v/>
      </c>
      <c r="IS46" s="14" t="str">
        <f ca="1">IF(IS$1="","",'Total Value'!IS58/'Total Value'!IR58-1)</f>
        <v/>
      </c>
      <c r="IT46" s="14" t="str">
        <f ca="1">IF(IT$1="","",'Total Value'!IT58/'Total Value'!IS58-1)</f>
        <v/>
      </c>
      <c r="IU46" s="14" t="str">
        <f ca="1">IF(IU$1="","",'Total Value'!IU58/'Total Value'!IT58-1)</f>
        <v/>
      </c>
      <c r="IV46" s="14" t="str">
        <f ca="1">IF(IV$1="","",'Total Value'!IV58/'Total Value'!IU58-1)</f>
        <v/>
      </c>
      <c r="IW46" s="14" t="str">
        <f ca="1">IF(IW$1="","",'Total Value'!IW58/'Total Value'!IV58-1)</f>
        <v/>
      </c>
      <c r="IX46" s="14" t="str">
        <f ca="1">IF(IX$1="","",'Total Value'!IX58/'Total Value'!IW58-1)</f>
        <v/>
      </c>
      <c r="IY46" s="14" t="str">
        <f ca="1">IF(IY$1="","",'Total Value'!IY58/'Total Value'!IX58-1)</f>
        <v/>
      </c>
      <c r="IZ46" s="14" t="str">
        <f ca="1">IF(IZ$1="","",'Total Value'!IZ58/'Total Value'!IY58-1)</f>
        <v/>
      </c>
      <c r="JA46" s="14" t="str">
        <f ca="1">IF(JA$1="","",'Total Value'!JA58/'Total Value'!IZ58-1)</f>
        <v/>
      </c>
      <c r="JB46" s="14" t="str">
        <f ca="1">IF(JB$1="","",'Total Value'!JB58/'Total Value'!JA58-1)</f>
        <v/>
      </c>
      <c r="JC46" s="14" t="str">
        <f ca="1">IF(JC$1="","",'Total Value'!JC58/'Total Value'!JB58-1)</f>
        <v/>
      </c>
      <c r="JD46" s="14" t="str">
        <f ca="1">IF(JD$1="","",'Total Value'!JD58/'Total Value'!JC58-1)</f>
        <v/>
      </c>
      <c r="JE46" s="14" t="str">
        <f ca="1">IF(JE$1="","",'Total Value'!JE58/'Total Value'!JD58-1)</f>
        <v/>
      </c>
      <c r="JF46" s="14" t="str">
        <f ca="1">IF(JF$1="","",'Total Value'!JF58/'Total Value'!JE58-1)</f>
        <v/>
      </c>
      <c r="JG46" s="14" t="str">
        <f ca="1">IF(JG$1="","",'Total Value'!JG58/'Total Value'!JF58-1)</f>
        <v/>
      </c>
      <c r="JH46" s="14" t="str">
        <f ca="1">IF(JH$1="","",'Total Value'!JH58/'Total Value'!JG58-1)</f>
        <v/>
      </c>
      <c r="JI46" s="14" t="str">
        <f ca="1">IF(JI$1="","",'Total Value'!JI58/'Total Value'!JH58-1)</f>
        <v/>
      </c>
      <c r="JJ46" s="14" t="str">
        <f ca="1">IF(JJ$1="","",'Total Value'!JJ58/'Total Value'!JI58-1)</f>
        <v/>
      </c>
      <c r="JK46" s="14" t="str">
        <f ca="1">IF(JK$1="","",'Total Value'!JK58/'Total Value'!JJ58-1)</f>
        <v/>
      </c>
      <c r="JL46" s="14" t="str">
        <f ca="1">IF(JL$1="","",'Total Value'!JL58/'Total Value'!JK58-1)</f>
        <v/>
      </c>
      <c r="JM46" s="14" t="str">
        <f ca="1">IF(JM$1="","",'Total Value'!JM58/'Total Value'!JL58-1)</f>
        <v/>
      </c>
      <c r="JN46" s="14" t="str">
        <f ca="1">IF(JN$1="","",'Total Value'!JN58/'Total Value'!JM58-1)</f>
        <v/>
      </c>
      <c r="JO46" s="14" t="str">
        <f ca="1">IF(JO$1="","",'Total Value'!JO58/'Total Value'!JN58-1)</f>
        <v/>
      </c>
      <c r="JP46" s="14" t="str">
        <f ca="1">IF(JP$1="","",'Total Value'!JP58/'Total Value'!JO58-1)</f>
        <v/>
      </c>
      <c r="JQ46" s="14" t="str">
        <f ca="1">IF(JQ$1="","",'Total Value'!JQ58/'Total Value'!JP58-1)</f>
        <v/>
      </c>
      <c r="JR46" s="14" t="str">
        <f ca="1">IF(JR$1="","",'Total Value'!JR58/'Total Value'!JQ58-1)</f>
        <v/>
      </c>
      <c r="JS46" s="14" t="str">
        <f ca="1">IF(JS$1="","",'Total Value'!JS58/'Total Value'!JR58-1)</f>
        <v/>
      </c>
      <c r="JT46" s="14" t="str">
        <f ca="1">IF(JT$1="","",'Total Value'!JT58/'Total Value'!JS58-1)</f>
        <v/>
      </c>
      <c r="JU46" s="14" t="str">
        <f ca="1">IF(JU$1="","",'Total Value'!JU58/'Total Value'!JT58-1)</f>
        <v/>
      </c>
      <c r="JV46" s="14" t="str">
        <f ca="1">IF(JV$1="","",'Total Value'!JV58/'Total Value'!JU58-1)</f>
        <v/>
      </c>
      <c r="JW46" s="14" t="str">
        <f ca="1">IF(JW$1="","",'Total Value'!JW58/'Total Value'!JV58-1)</f>
        <v/>
      </c>
      <c r="JX46" s="14" t="str">
        <f ca="1">IF(JX$1="","",'Total Value'!JX58/'Total Value'!JW58-1)</f>
        <v/>
      </c>
      <c r="JY46" s="14" t="str">
        <f ca="1">IF(JY$1="","",'Total Value'!JY58/'Total Value'!JX58-1)</f>
        <v/>
      </c>
      <c r="JZ46" s="14" t="str">
        <f ca="1">IF(JZ$1="","",'Total Value'!JZ58/'Total Value'!JY58-1)</f>
        <v/>
      </c>
      <c r="KA46" s="14" t="str">
        <f ca="1">IF(KA$1="","",'Total Value'!KA58/'Total Value'!JZ58-1)</f>
        <v/>
      </c>
      <c r="KB46" s="14" t="str">
        <f ca="1">IF(KB$1="","",'Total Value'!KB58/'Total Value'!KA58-1)</f>
        <v/>
      </c>
    </row>
    <row r="47" spans="1:288" ht="15.75" customHeight="1">
      <c r="A47" s="22" t="s">
        <v>30</v>
      </c>
      <c r="B47" s="6" t="s">
        <v>90</v>
      </c>
      <c r="C47" s="26">
        <v>19</v>
      </c>
      <c r="D47" s="13">
        <v>0</v>
      </c>
      <c r="E47" s="14">
        <f ca="1">IF(E$1="","",'Total Value'!E59/'Total Value'!D59-1)</f>
        <v>2.7624309392265234E-2</v>
      </c>
      <c r="F47" s="14">
        <f ca="1">IF(F$1="","",'Total Value'!F59/'Total Value'!E59-1)</f>
        <v>-3.3333333333333437E-2</v>
      </c>
      <c r="G47" s="14">
        <f ca="1">IF(G$1="","",'Total Value'!G59/'Total Value'!F59-1)</f>
        <v>-7.7864293659621886E-2</v>
      </c>
      <c r="H47" s="14">
        <f ca="1">IF(H$1="","",'Total Value'!H59/'Total Value'!G59-1)</f>
        <v>3.6188178528349102E-3</v>
      </c>
      <c r="I47" s="14">
        <f ca="1">IF(I$1="","",'Total Value'!I59/'Total Value'!H59-1)</f>
        <v>-3.725961538461553E-2</v>
      </c>
      <c r="J47" s="14">
        <f ca="1">IF(J$1="","",'Total Value'!J59/'Total Value'!I59-1)</f>
        <v>1.1235955056179803E-2</v>
      </c>
      <c r="K47" s="14">
        <f ca="1">IF(K$1="","",'Total Value'!K59/'Total Value'!J59-1)</f>
        <v>-2.0987654320987814E-2</v>
      </c>
      <c r="L47" s="14">
        <f ca="1">IF(L$1="","",'Total Value'!L59/'Total Value'!K59-1)</f>
        <v>-2.2698612862547263E-2</v>
      </c>
      <c r="M47" s="14">
        <f ca="1">IF(M$1="","",'Total Value'!M59/'Total Value'!L59-1)</f>
        <v>-1.806451612903226E-2</v>
      </c>
      <c r="N47" s="14">
        <f ca="1">IF(N$1="","",'Total Value'!N59/'Total Value'!M59-1)</f>
        <v>1.7082785808147261E-2</v>
      </c>
      <c r="O47" s="14">
        <f ca="1">IF(O$1="","",'Total Value'!O59/'Total Value'!N59-1)</f>
        <v>1.2919896640826156E-3</v>
      </c>
      <c r="P47" s="14">
        <f ca="1">IF(P$1="","",'Total Value'!P59/'Total Value'!O59-1)</f>
        <v>-2.0645161290322567E-2</v>
      </c>
      <c r="Q47" s="14">
        <f ca="1">IF(Q$1="","",'Total Value'!Q59/'Total Value'!P59-1)</f>
        <v>2.6350461133068936E-3</v>
      </c>
      <c r="R47" s="14">
        <f ca="1">IF(R$1="","",'Total Value'!R59/'Total Value'!Q59-1)</f>
        <v>7.6215505913271864E-2</v>
      </c>
      <c r="S47" s="14">
        <f ca="1">IF(S$1="","",'Total Value'!S59/'Total Value'!R59-1)</f>
        <v>1.9536019536019689E-2</v>
      </c>
      <c r="T47" s="14">
        <f ca="1">IF(T$1="","",'Total Value'!T59/'Total Value'!S59-1)</f>
        <v>-2.3952095808382756E-3</v>
      </c>
      <c r="U47" s="14">
        <f ca="1">IF(U$1="","",'Total Value'!U59/'Total Value'!T59-1)</f>
        <v>-5.282112845138065E-2</v>
      </c>
      <c r="V47" s="14">
        <f ca="1">IF(V$1="","",'Total Value'!V59/'Total Value'!U59-1)</f>
        <v>-8.8719898605829073E-3</v>
      </c>
      <c r="W47" s="14">
        <f ca="1">IF(W$1="","",'Total Value'!W59/'Total Value'!V59-1)</f>
        <v>-3.8363171355499937E-3</v>
      </c>
      <c r="X47" s="14">
        <f ca="1">IF(X$1="","",'Total Value'!X59/'Total Value'!W59-1)</f>
        <v>1.6688061617458283E-2</v>
      </c>
      <c r="Y47" s="14">
        <f ca="1">IF(Y$1="","",'Total Value'!Y59/'Total Value'!X59-1)</f>
        <v>2.1464646464646631E-2</v>
      </c>
      <c r="Z47" s="14">
        <f ca="1">IF(Z$1="","",'Total Value'!Z59/'Total Value'!Y59-1)</f>
        <v>6.1804697156984112E-3</v>
      </c>
      <c r="AA47" s="14">
        <f ca="1">IF(AA$1="","",'Total Value'!AA59/'Total Value'!Z59-1)</f>
        <v>1.228501228501222E-2</v>
      </c>
      <c r="AB47" s="14">
        <f ca="1">IF(AB$1="","",'Total Value'!AB59/'Total Value'!AA59-1)</f>
        <v>0</v>
      </c>
      <c r="AC47" s="14">
        <f ca="1">IF(AC$1="","",'Total Value'!AC59/'Total Value'!AB59-1)</f>
        <v>1.6990291262136026E-2</v>
      </c>
      <c r="AD47" s="14">
        <f ca="1">IF(AD$1="","",'Total Value'!AD59/'Total Value'!AC59-1)</f>
        <v>3.5799522673027884E-3</v>
      </c>
      <c r="AE47" s="14">
        <f ca="1">IF(AE$1="","",'Total Value'!AE59/'Total Value'!AD59-1)</f>
        <v>-2.4970273483947758E-2</v>
      </c>
      <c r="AF47" s="14">
        <f ca="1">IF(AF$1="","",'Total Value'!AF59/'Total Value'!AE59-1)</f>
        <v>-3.6585365853658458E-2</v>
      </c>
      <c r="AG47" s="14">
        <f ca="1">IF(AG$1="","",'Total Value'!AG59/'Total Value'!AF59-1)</f>
        <v>2.7848101265822711E-2</v>
      </c>
      <c r="AH47" s="14">
        <f ca="1">IF(AH$1="","",'Total Value'!AH59/'Total Value'!AG59-1)</f>
        <v>-3.694581280787923E-3</v>
      </c>
      <c r="AI47" s="14">
        <f ca="1">IF(AI$1="","",'Total Value'!AI59/'Total Value'!AH59-1)</f>
        <v>-1.1124845488257207E-2</v>
      </c>
      <c r="AJ47" s="14">
        <f ca="1">IF(AJ$1="","",'Total Value'!AJ59/'Total Value'!AI59-1)</f>
        <v>7.5000000000000622E-3</v>
      </c>
      <c r="AK47" s="14">
        <f ca="1">IF(AK$1="","",'Total Value'!AK59/'Total Value'!AJ59-1)</f>
        <v>3.97022332506205E-2</v>
      </c>
      <c r="AL47" s="14">
        <f ca="1">IF(AL$1="","",'Total Value'!AL59/'Total Value'!AK59-1)</f>
        <v>-7.1599045346062429E-3</v>
      </c>
      <c r="AM47" s="14">
        <f ca="1">IF(AM$1="","",'Total Value'!AM59/'Total Value'!AL59-1)</f>
        <v>3.2451923076923128E-2</v>
      </c>
      <c r="AN47" s="14">
        <f ca="1">IF(AN$1="","",'Total Value'!AN59/'Total Value'!AM59-1)</f>
        <v>-1.862630966239831E-2</v>
      </c>
      <c r="AO47" s="14">
        <f ca="1">IF(AO$1="","",'Total Value'!AO59/'Total Value'!AN59-1)</f>
        <v>-3.4400948991696101E-2</v>
      </c>
      <c r="AP47" s="14">
        <f ca="1">IF(AP$1="","",'Total Value'!AP59/'Total Value'!AO59-1)</f>
        <v>-5.6511056511056701E-2</v>
      </c>
      <c r="AQ47" s="14">
        <f ca="1">IF(AQ$1="","",'Total Value'!AQ59/'Total Value'!AP59-1)</f>
        <v>2.6041666666667407E-3</v>
      </c>
      <c r="AR47" s="14">
        <f ca="1">IF(AR$1="","",'Total Value'!AR59/'Total Value'!AQ59-1)</f>
        <v>3.3766233766233666E-2</v>
      </c>
      <c r="AS47" s="14">
        <f ca="1">IF(AS$1="","",'Total Value'!AS59/'Total Value'!AR59-1)</f>
        <v>3.7688442211054607E-3</v>
      </c>
      <c r="AT47" s="14">
        <f ca="1">IF(AT$1="","",'Total Value'!AT59/'Total Value'!AS59-1)</f>
        <v>-1.3767209011264048E-2</v>
      </c>
      <c r="AU47" s="14">
        <f ca="1">IF(AU$1="","",'Total Value'!AU59/'Total Value'!AT59-1)</f>
        <v>-2.4111675126903487E-2</v>
      </c>
      <c r="AV47" s="14">
        <f ca="1">IF(AV$1="","",'Total Value'!AV59/'Total Value'!AU59-1)</f>
        <v>3.6410923276983143E-2</v>
      </c>
      <c r="AW47" s="14">
        <f ca="1">IF(AW$1="","",'Total Value'!AW59/'Total Value'!AV59-1)</f>
        <v>6.273525721455453E-3</v>
      </c>
      <c r="AX47" s="14">
        <f ca="1">IF(AX$1="","",'Total Value'!AX59/'Total Value'!AW59-1)</f>
        <v>4.7381546134663388E-2</v>
      </c>
      <c r="AY47" s="14">
        <f ca="1">IF(AY$1="","",'Total Value'!AY59/'Total Value'!AX59-1)</f>
        <v>2.4999999999999911E-2</v>
      </c>
      <c r="AZ47" s="14">
        <f ca="1">IF(AZ$1="","",'Total Value'!AZ59/'Total Value'!AY59-1)</f>
        <v>-1.9744483159117254E-2</v>
      </c>
      <c r="BA47" s="14">
        <f ca="1">IF(BA$1="","",'Total Value'!BA59/'Total Value'!AZ59-1)</f>
        <v>-4.7393364928909332E-3</v>
      </c>
      <c r="BB47" s="14">
        <f ca="1">IF(BB$1="","",'Total Value'!BB59/'Total Value'!BA59-1)</f>
        <v>-8.3333333333331927E-3</v>
      </c>
      <c r="BC47" s="14">
        <f ca="1">IF(BC$1="","",'Total Value'!BC59/'Total Value'!BB59-1)</f>
        <v>0</v>
      </c>
      <c r="BD47" s="14">
        <f ca="1">IF(BD$1="","",'Total Value'!BD59/'Total Value'!BC59-1)</f>
        <v>1.2004801920768582E-3</v>
      </c>
      <c r="BE47" s="14">
        <f ca="1">IF(BE$1="","",'Total Value'!BE59/'Total Value'!BD59-1)</f>
        <v>-3.597122302158251E-3</v>
      </c>
      <c r="BF47" s="14">
        <f ca="1">IF(BF$1="","",'Total Value'!BF59/'Total Value'!BE59-1)</f>
        <v>1.3237063778579916E-2</v>
      </c>
      <c r="BG47" s="14">
        <f ca="1">IF(BG$1="","",'Total Value'!BG59/'Total Value'!BF59-1)</f>
        <v>-2.8503562945368155E-2</v>
      </c>
      <c r="BH47" s="14">
        <f ca="1">IF(BH$1="","",'Total Value'!BH59/'Total Value'!BG59-1)</f>
        <v>-8.5574572127140591E-3</v>
      </c>
      <c r="BI47" s="14">
        <f ca="1">IF(BI$1="","",'Total Value'!BI59/'Total Value'!BH59-1)</f>
        <v>4.5622688039457682E-2</v>
      </c>
      <c r="BJ47" s="14">
        <f ca="1">IF(BJ$1="","",'Total Value'!BJ59/'Total Value'!BI59-1)</f>
        <v>2.0047169811320709E-2</v>
      </c>
      <c r="BK47" s="14">
        <f ca="1">IF(BK$1="","",'Total Value'!BK59/'Total Value'!BJ59-1)</f>
        <v>1.6184971098265777E-2</v>
      </c>
      <c r="BL47" s="14">
        <f ca="1">IF(BL$1="","",'Total Value'!BL59/'Total Value'!BK59-1)</f>
        <v>1.5927189988623525E-2</v>
      </c>
      <c r="BM47" s="14">
        <f ca="1">IF(BM$1="","",'Total Value'!BM59/'Total Value'!BL59-1)</f>
        <v>-1.4557670772676223E-2</v>
      </c>
      <c r="BN47" s="14">
        <f ca="1">IF(BN$1="","",'Total Value'!BN59/'Total Value'!BM59-1)</f>
        <v>-2.2727272727274261E-3</v>
      </c>
      <c r="BO47" s="14">
        <f ca="1">IF(BO$1="","",'Total Value'!BO59/'Total Value'!BN59-1)</f>
        <v>-8.2004555808655955E-2</v>
      </c>
      <c r="BP47" s="14">
        <f ca="1">IF(BP$1="","",'Total Value'!BP59/'Total Value'!BO59-1)</f>
        <v>-3.2258064516129226E-2</v>
      </c>
      <c r="BQ47" s="14">
        <f ca="1">IF(BQ$1="","",'Total Value'!BQ59/'Total Value'!BP59-1)</f>
        <v>5.128205128205332E-3</v>
      </c>
      <c r="BR47" s="14">
        <f ca="1">IF(BR$1="","",'Total Value'!BR59/'Total Value'!BQ59-1)</f>
        <v>1.0204081632652962E-2</v>
      </c>
      <c r="BS47" s="14">
        <f ca="1">IF(BS$1="","",'Total Value'!BS59/'Total Value'!BR59-1)</f>
        <v>-4.4191919191919005E-2</v>
      </c>
      <c r="BT47" s="14">
        <f ca="1">IF(BT$1="","",'Total Value'!BT59/'Total Value'!BS59-1)</f>
        <v>6.6050198150593431E-3</v>
      </c>
      <c r="BU47" s="14">
        <f ca="1">IF(BU$1="","",'Total Value'!BU59/'Total Value'!BT59-1)</f>
        <v>-3.937007874015741E-3</v>
      </c>
      <c r="BV47" s="14">
        <f ca="1">IF(BV$1="","",'Total Value'!BV59/'Total Value'!BU59-1)</f>
        <v>-4.6113306982872193E-2</v>
      </c>
      <c r="BW47" s="14">
        <f ca="1">IF(BW$1="","",'Total Value'!BW59/'Total Value'!BV59-1)</f>
        <v>8.2872928176793703E-3</v>
      </c>
      <c r="BX47" s="14">
        <f ca="1">IF(BX$1="","",'Total Value'!BX59/'Total Value'!BW59-1)</f>
        <v>-8.219178082191636E-3</v>
      </c>
      <c r="BY47" s="14">
        <f ca="1">IF(BY$1="","",'Total Value'!BY59/'Total Value'!BX59-1)</f>
        <v>-5.6629834254143585E-2</v>
      </c>
      <c r="BZ47" s="14">
        <f ca="1">IF(BZ$1="","",'Total Value'!BZ59/'Total Value'!BY59-1)</f>
        <v>-2.9282576866764387E-2</v>
      </c>
      <c r="CA47" s="14">
        <f ca="1">IF(CA$1="","",'Total Value'!CA59/'Total Value'!BZ59-1)</f>
        <v>0</v>
      </c>
      <c r="CB47" s="14">
        <f ca="1">IF(CB$1="","",'Total Value'!CB59/'Total Value'!CA59-1)</f>
        <v>-9.0497737556559654E-3</v>
      </c>
      <c r="CC47" s="14">
        <f ca="1">IF(CC$1="","",'Total Value'!CC59/'Total Value'!CB59-1)</f>
        <v>4.5662100456618226E-3</v>
      </c>
      <c r="CD47" s="14">
        <f ca="1">IF(CD$1="","",'Total Value'!CD59/'Total Value'!CC59-1)</f>
        <v>-1.3636363636363558E-2</v>
      </c>
      <c r="CE47" s="14">
        <f ca="1">IF(CE$1="","",'Total Value'!CE59/'Total Value'!CD59-1)</f>
        <v>6.1443932411675561E-3</v>
      </c>
      <c r="CF47" s="14" t="str">
        <f ca="1">IF(CF$1="","",'Total Value'!CF59/'Total Value'!CE59-1)</f>
        <v/>
      </c>
      <c r="CG47" s="14" t="str">
        <f ca="1">IF(CG$1="","",'Total Value'!CG59/'Total Value'!CF59-1)</f>
        <v/>
      </c>
      <c r="CH47" s="14" t="str">
        <f ca="1">IF(CH$1="","",'Total Value'!CH59/'Total Value'!CG59-1)</f>
        <v/>
      </c>
      <c r="CI47" s="14" t="str">
        <f ca="1">IF(CI$1="","",'Total Value'!CI59/'Total Value'!CH59-1)</f>
        <v/>
      </c>
      <c r="CJ47" s="14" t="str">
        <f ca="1">IF(CJ$1="","",'Total Value'!CJ59/'Total Value'!CI59-1)</f>
        <v/>
      </c>
      <c r="CK47" s="14" t="str">
        <f ca="1">IF(CK$1="","",'Total Value'!CK59/'Total Value'!CJ59-1)</f>
        <v/>
      </c>
      <c r="CL47" s="14" t="str">
        <f ca="1">IF(CL$1="","",'Total Value'!CL59/'Total Value'!CK59-1)</f>
        <v/>
      </c>
      <c r="CM47" s="14" t="str">
        <f ca="1">IF(CM$1="","",'Total Value'!CM59/'Total Value'!CL59-1)</f>
        <v/>
      </c>
      <c r="CN47" s="14" t="str">
        <f ca="1">IF(CN$1="","",'Total Value'!CN59/'Total Value'!CM59-1)</f>
        <v/>
      </c>
      <c r="CO47" s="14" t="str">
        <f ca="1">IF(CO$1="","",'Total Value'!CO59/'Total Value'!CN59-1)</f>
        <v/>
      </c>
      <c r="CP47" s="14" t="str">
        <f ca="1">IF(CP$1="","",'Total Value'!CP59/'Total Value'!CO59-1)</f>
        <v/>
      </c>
      <c r="CQ47" s="14" t="str">
        <f ca="1">IF(CQ$1="","",'Total Value'!CQ59/'Total Value'!CP59-1)</f>
        <v/>
      </c>
      <c r="CR47" s="14" t="str">
        <f ca="1">IF(CR$1="","",'Total Value'!CR59/'Total Value'!CQ59-1)</f>
        <v/>
      </c>
      <c r="CS47" s="14" t="str">
        <f ca="1">IF(CS$1="","",'Total Value'!CS59/'Total Value'!CR59-1)</f>
        <v/>
      </c>
      <c r="CT47" s="14" t="str">
        <f ca="1">IF(CT$1="","",'Total Value'!CT59/'Total Value'!CS59-1)</f>
        <v/>
      </c>
      <c r="CU47" s="14" t="str">
        <f ca="1">IF(CU$1="","",'Total Value'!CU59/'Total Value'!CT59-1)</f>
        <v/>
      </c>
      <c r="CV47" s="14" t="str">
        <f ca="1">IF(CV$1="","",'Total Value'!CV59/'Total Value'!CU59-1)</f>
        <v/>
      </c>
      <c r="CW47" s="14" t="str">
        <f ca="1">IF(CW$1="","",'Total Value'!CW59/'Total Value'!CV59-1)</f>
        <v/>
      </c>
      <c r="CX47" s="14" t="str">
        <f ca="1">IF(CX$1="","",'Total Value'!CX59/'Total Value'!CW59-1)</f>
        <v/>
      </c>
      <c r="CY47" s="14" t="str">
        <f ca="1">IF(CY$1="","",'Total Value'!CY59/'Total Value'!CX59-1)</f>
        <v/>
      </c>
      <c r="CZ47" s="14" t="str">
        <f ca="1">IF(CZ$1="","",'Total Value'!CZ59/'Total Value'!CY59-1)</f>
        <v/>
      </c>
      <c r="DA47" s="14" t="str">
        <f ca="1">IF(DA$1="","",'Total Value'!DA59/'Total Value'!CZ59-1)</f>
        <v/>
      </c>
      <c r="DB47" s="14" t="str">
        <f ca="1">IF(DB$1="","",'Total Value'!DB59/'Total Value'!DA59-1)</f>
        <v/>
      </c>
      <c r="DC47" s="14" t="str">
        <f ca="1">IF(DC$1="","",'Total Value'!DC59/'Total Value'!DB59-1)</f>
        <v/>
      </c>
      <c r="DD47" s="14" t="str">
        <f ca="1">IF(DD$1="","",'Total Value'!DD59/'Total Value'!DC59-1)</f>
        <v/>
      </c>
      <c r="DE47" s="14" t="str">
        <f ca="1">IF(DE$1="","",'Total Value'!DE59/'Total Value'!DD59-1)</f>
        <v/>
      </c>
      <c r="DF47" s="14" t="str">
        <f ca="1">IF(DF$1="","",'Total Value'!DF59/'Total Value'!DE59-1)</f>
        <v/>
      </c>
      <c r="DG47" s="14" t="str">
        <f ca="1">IF(DG$1="","",'Total Value'!DG59/'Total Value'!DF59-1)</f>
        <v/>
      </c>
      <c r="DH47" s="14" t="str">
        <f ca="1">IF(DH$1="","",'Total Value'!DH59/'Total Value'!DG59-1)</f>
        <v/>
      </c>
      <c r="DI47" s="14" t="str">
        <f ca="1">IF(DI$1="","",'Total Value'!DI59/'Total Value'!DH59-1)</f>
        <v/>
      </c>
      <c r="DJ47" s="14" t="str">
        <f ca="1">IF(DJ$1="","",'Total Value'!DJ59/'Total Value'!DI59-1)</f>
        <v/>
      </c>
      <c r="DK47" s="14" t="str">
        <f ca="1">IF(DK$1="","",'Total Value'!DK59/'Total Value'!DJ59-1)</f>
        <v/>
      </c>
      <c r="DL47" s="14" t="str">
        <f ca="1">IF(DL$1="","",'Total Value'!DL59/'Total Value'!DK59-1)</f>
        <v/>
      </c>
      <c r="DM47" s="14" t="str">
        <f ca="1">IF(DM$1="","",'Total Value'!DM59/'Total Value'!DL59-1)</f>
        <v/>
      </c>
      <c r="DN47" s="14" t="str">
        <f ca="1">IF(DN$1="","",'Total Value'!DN59/'Total Value'!DM59-1)</f>
        <v/>
      </c>
      <c r="DO47" s="14" t="str">
        <f ca="1">IF(DO$1="","",'Total Value'!DO59/'Total Value'!DN59-1)</f>
        <v/>
      </c>
      <c r="DP47" s="14" t="str">
        <f ca="1">IF(DP$1="","",'Total Value'!DP59/'Total Value'!DO59-1)</f>
        <v/>
      </c>
      <c r="DQ47" s="14" t="str">
        <f ca="1">IF(DQ$1="","",'Total Value'!DQ59/'Total Value'!DP59-1)</f>
        <v/>
      </c>
      <c r="DR47" s="14" t="str">
        <f ca="1">IF(DR$1="","",'Total Value'!DR59/'Total Value'!DQ59-1)</f>
        <v/>
      </c>
      <c r="DS47" s="14" t="str">
        <f ca="1">IF(DS$1="","",'Total Value'!DS59/'Total Value'!DR59-1)</f>
        <v/>
      </c>
      <c r="DT47" s="14" t="str">
        <f ca="1">IF(DT$1="","",'Total Value'!DT59/'Total Value'!DS59-1)</f>
        <v/>
      </c>
      <c r="DU47" s="14" t="str">
        <f ca="1">IF(DU$1="","",'Total Value'!DU59/'Total Value'!DT59-1)</f>
        <v/>
      </c>
      <c r="DV47" s="14" t="str">
        <f ca="1">IF(DV$1="","",'Total Value'!DV59/'Total Value'!DU59-1)</f>
        <v/>
      </c>
      <c r="DW47" s="14" t="str">
        <f ca="1">IF(DW$1="","",'Total Value'!DW59/'Total Value'!DV59-1)</f>
        <v/>
      </c>
      <c r="DX47" s="14" t="str">
        <f ca="1">IF(DX$1="","",'Total Value'!DX59/'Total Value'!DW59-1)</f>
        <v/>
      </c>
      <c r="DY47" s="14" t="str">
        <f ca="1">IF(DY$1="","",'Total Value'!DY59/'Total Value'!DX59-1)</f>
        <v/>
      </c>
      <c r="DZ47" s="14" t="str">
        <f ca="1">IF(DZ$1="","",'Total Value'!DZ59/'Total Value'!DY59-1)</f>
        <v/>
      </c>
      <c r="EA47" s="14" t="str">
        <f ca="1">IF(EA$1="","",'Total Value'!EA59/'Total Value'!DZ59-1)</f>
        <v/>
      </c>
      <c r="EB47" s="14" t="str">
        <f ca="1">IF(EB$1="","",'Total Value'!EB59/'Total Value'!EA59-1)</f>
        <v/>
      </c>
      <c r="EC47" s="14" t="str">
        <f ca="1">IF(EC$1="","",'Total Value'!EC59/'Total Value'!EB59-1)</f>
        <v/>
      </c>
      <c r="ED47" s="14" t="str">
        <f ca="1">IF(ED$1="","",'Total Value'!ED59/'Total Value'!EC59-1)</f>
        <v/>
      </c>
      <c r="EE47" s="14" t="str">
        <f ca="1">IF(EE$1="","",'Total Value'!EE59/'Total Value'!ED59-1)</f>
        <v/>
      </c>
      <c r="EF47" s="14" t="str">
        <f ca="1">IF(EF$1="","",'Total Value'!EF59/'Total Value'!EE59-1)</f>
        <v/>
      </c>
      <c r="EG47" s="14" t="str">
        <f ca="1">IF(EG$1="","",'Total Value'!EG59/'Total Value'!EF59-1)</f>
        <v/>
      </c>
      <c r="EH47" s="14" t="str">
        <f ca="1">IF(EH$1="","",'Total Value'!EH59/'Total Value'!EG59-1)</f>
        <v/>
      </c>
      <c r="EI47" s="14" t="str">
        <f ca="1">IF(EI$1="","",'Total Value'!EI59/'Total Value'!EH59-1)</f>
        <v/>
      </c>
      <c r="EJ47" s="14" t="str">
        <f ca="1">IF(EJ$1="","",'Total Value'!EJ59/'Total Value'!EI59-1)</f>
        <v/>
      </c>
      <c r="EK47" s="14" t="str">
        <f ca="1">IF(EK$1="","",'Total Value'!EK59/'Total Value'!EJ59-1)</f>
        <v/>
      </c>
      <c r="EL47" s="14" t="str">
        <f ca="1">IF(EL$1="","",'Total Value'!EL59/'Total Value'!EK59-1)</f>
        <v/>
      </c>
      <c r="EM47" s="14" t="str">
        <f ca="1">IF(EM$1="","",'Total Value'!EM59/'Total Value'!EL59-1)</f>
        <v/>
      </c>
      <c r="EN47" s="14" t="str">
        <f ca="1">IF(EN$1="","",'Total Value'!EN59/'Total Value'!EM59-1)</f>
        <v/>
      </c>
      <c r="EO47" s="14" t="str">
        <f ca="1">IF(EO$1="","",'Total Value'!EO59/'Total Value'!EN59-1)</f>
        <v/>
      </c>
      <c r="EP47" s="14" t="str">
        <f ca="1">IF(EP$1="","",'Total Value'!EP59/'Total Value'!EO59-1)</f>
        <v/>
      </c>
      <c r="EQ47" s="14" t="str">
        <f ca="1">IF(EQ$1="","",'Total Value'!EQ59/'Total Value'!EP59-1)</f>
        <v/>
      </c>
      <c r="ER47" s="14" t="str">
        <f ca="1">IF(ER$1="","",'Total Value'!ER59/'Total Value'!EQ59-1)</f>
        <v/>
      </c>
      <c r="ES47" s="14" t="str">
        <f ca="1">IF(ES$1="","",'Total Value'!ES59/'Total Value'!ER59-1)</f>
        <v/>
      </c>
      <c r="ET47" s="14" t="str">
        <f ca="1">IF(ET$1="","",'Total Value'!ET59/'Total Value'!ES59-1)</f>
        <v/>
      </c>
      <c r="EU47" s="14" t="str">
        <f ca="1">IF(EU$1="","",'Total Value'!EU59/'Total Value'!ET59-1)</f>
        <v/>
      </c>
      <c r="EV47" s="14" t="str">
        <f ca="1">IF(EV$1="","",'Total Value'!EV59/'Total Value'!EU59-1)</f>
        <v/>
      </c>
      <c r="EW47" s="14" t="str">
        <f ca="1">IF(EW$1="","",'Total Value'!EW59/'Total Value'!EV59-1)</f>
        <v/>
      </c>
      <c r="EX47" s="14" t="str">
        <f ca="1">IF(EX$1="","",'Total Value'!EX59/'Total Value'!EW59-1)</f>
        <v/>
      </c>
      <c r="EY47" s="14" t="str">
        <f ca="1">IF(EY$1="","",'Total Value'!EY59/'Total Value'!EX59-1)</f>
        <v/>
      </c>
      <c r="EZ47" s="14" t="str">
        <f ca="1">IF(EZ$1="","",'Total Value'!EZ59/'Total Value'!EY59-1)</f>
        <v/>
      </c>
      <c r="FA47" s="14" t="str">
        <f ca="1">IF(FA$1="","",'Total Value'!FA59/'Total Value'!EZ59-1)</f>
        <v/>
      </c>
      <c r="FB47" s="14" t="str">
        <f ca="1">IF(FB$1="","",'Total Value'!FB59/'Total Value'!FA59-1)</f>
        <v/>
      </c>
      <c r="FC47" s="14" t="str">
        <f ca="1">IF(FC$1="","",'Total Value'!FC59/'Total Value'!FB59-1)</f>
        <v/>
      </c>
      <c r="FD47" s="14" t="str">
        <f ca="1">IF(FD$1="","",'Total Value'!FD59/'Total Value'!FC59-1)</f>
        <v/>
      </c>
      <c r="FE47" s="14" t="str">
        <f ca="1">IF(FE$1="","",'Total Value'!FE59/'Total Value'!FD59-1)</f>
        <v/>
      </c>
      <c r="FF47" s="14" t="str">
        <f ca="1">IF(FF$1="","",'Total Value'!FF59/'Total Value'!FE59-1)</f>
        <v/>
      </c>
      <c r="FG47" s="14" t="str">
        <f ca="1">IF(FG$1="","",'Total Value'!FG59/'Total Value'!FF59-1)</f>
        <v/>
      </c>
      <c r="FH47" s="14" t="str">
        <f ca="1">IF(FH$1="","",'Total Value'!FH59/'Total Value'!FG59-1)</f>
        <v/>
      </c>
      <c r="FI47" s="14" t="str">
        <f ca="1">IF(FI$1="","",'Total Value'!FI59/'Total Value'!FH59-1)</f>
        <v/>
      </c>
      <c r="FJ47" s="14" t="str">
        <f ca="1">IF(FJ$1="","",'Total Value'!FJ59/'Total Value'!FI59-1)</f>
        <v/>
      </c>
      <c r="FK47" s="14" t="str">
        <f ca="1">IF(FK$1="","",'Total Value'!FK59/'Total Value'!FJ59-1)</f>
        <v/>
      </c>
      <c r="FL47" s="14" t="str">
        <f ca="1">IF(FL$1="","",'Total Value'!FL59/'Total Value'!FK59-1)</f>
        <v/>
      </c>
      <c r="FM47" s="14" t="str">
        <f ca="1">IF(FM$1="","",'Total Value'!FM59/'Total Value'!FL59-1)</f>
        <v/>
      </c>
      <c r="FN47" s="14" t="str">
        <f ca="1">IF(FN$1="","",'Total Value'!FN59/'Total Value'!FM59-1)</f>
        <v/>
      </c>
      <c r="FO47" s="14" t="str">
        <f ca="1">IF(FO$1="","",'Total Value'!FO59/'Total Value'!FN59-1)</f>
        <v/>
      </c>
      <c r="FP47" s="14" t="str">
        <f ca="1">IF(FP$1="","",'Total Value'!FP59/'Total Value'!FO59-1)</f>
        <v/>
      </c>
      <c r="FQ47" s="14" t="str">
        <f ca="1">IF(FQ$1="","",'Total Value'!FQ59/'Total Value'!FP59-1)</f>
        <v/>
      </c>
      <c r="FR47" s="14" t="str">
        <f ca="1">IF(FR$1="","",'Total Value'!FR59/'Total Value'!FQ59-1)</f>
        <v/>
      </c>
      <c r="FS47" s="14" t="str">
        <f ca="1">IF(FS$1="","",'Total Value'!FS59/'Total Value'!FR59-1)</f>
        <v/>
      </c>
      <c r="FT47" s="14" t="str">
        <f ca="1">IF(FT$1="","",'Total Value'!FT59/'Total Value'!FS59-1)</f>
        <v/>
      </c>
      <c r="FU47" s="14" t="str">
        <f ca="1">IF(FU$1="","",'Total Value'!FU59/'Total Value'!FT59-1)</f>
        <v/>
      </c>
      <c r="FV47" s="14" t="str">
        <f ca="1">IF(FV$1="","",'Total Value'!FV59/'Total Value'!FU59-1)</f>
        <v/>
      </c>
      <c r="FW47" s="14" t="str">
        <f ca="1">IF(FW$1="","",'Total Value'!FW59/'Total Value'!FV59-1)</f>
        <v/>
      </c>
      <c r="FX47" s="14" t="str">
        <f ca="1">IF(FX$1="","",'Total Value'!FX59/'Total Value'!FW59-1)</f>
        <v/>
      </c>
      <c r="FY47" s="14" t="str">
        <f ca="1">IF(FY$1="","",'Total Value'!FY59/'Total Value'!FX59-1)</f>
        <v/>
      </c>
      <c r="FZ47" s="14" t="str">
        <f ca="1">IF(FZ$1="","",'Total Value'!FZ59/'Total Value'!FY59-1)</f>
        <v/>
      </c>
      <c r="GA47" s="14" t="str">
        <f ca="1">IF(GA$1="","",'Total Value'!GA59/'Total Value'!FZ59-1)</f>
        <v/>
      </c>
      <c r="GB47" s="14" t="str">
        <f ca="1">IF(GB$1="","",'Total Value'!GB59/'Total Value'!GA59-1)</f>
        <v/>
      </c>
      <c r="GC47" s="14" t="str">
        <f ca="1">IF(GC$1="","",'Total Value'!GC59/'Total Value'!GB59-1)</f>
        <v/>
      </c>
      <c r="GD47" s="14" t="str">
        <f ca="1">IF(GD$1="","",'Total Value'!GD59/'Total Value'!GC59-1)</f>
        <v/>
      </c>
      <c r="GE47" s="14" t="str">
        <f ca="1">IF(GE$1="","",'Total Value'!GE59/'Total Value'!GD59-1)</f>
        <v/>
      </c>
      <c r="GF47" s="14" t="str">
        <f ca="1">IF(GF$1="","",'Total Value'!GF59/'Total Value'!GE59-1)</f>
        <v/>
      </c>
      <c r="GG47" s="14" t="str">
        <f ca="1">IF(GG$1="","",'Total Value'!GG59/'Total Value'!GF59-1)</f>
        <v/>
      </c>
      <c r="GH47" s="14" t="str">
        <f ca="1">IF(GH$1="","",'Total Value'!GH59/'Total Value'!GG59-1)</f>
        <v/>
      </c>
      <c r="GI47" s="14" t="str">
        <f ca="1">IF(GI$1="","",'Total Value'!GI59/'Total Value'!GH59-1)</f>
        <v/>
      </c>
      <c r="GJ47" s="14" t="str">
        <f ca="1">IF(GJ$1="","",'Total Value'!GJ59/'Total Value'!GI59-1)</f>
        <v/>
      </c>
      <c r="GK47" s="14" t="str">
        <f ca="1">IF(GK$1="","",'Total Value'!GK59/'Total Value'!GJ59-1)</f>
        <v/>
      </c>
      <c r="GL47" s="14" t="str">
        <f ca="1">IF(GL$1="","",'Total Value'!GL59/'Total Value'!GK59-1)</f>
        <v/>
      </c>
      <c r="GM47" s="14" t="str">
        <f ca="1">IF(GM$1="","",'Total Value'!GM59/'Total Value'!GL59-1)</f>
        <v/>
      </c>
      <c r="GN47" s="14" t="str">
        <f ca="1">IF(GN$1="","",'Total Value'!GN59/'Total Value'!GM59-1)</f>
        <v/>
      </c>
      <c r="GO47" s="14" t="str">
        <f ca="1">IF(GO$1="","",'Total Value'!GO59/'Total Value'!GN59-1)</f>
        <v/>
      </c>
      <c r="GP47" s="14" t="str">
        <f ca="1">IF(GP$1="","",'Total Value'!GP59/'Total Value'!GO59-1)</f>
        <v/>
      </c>
      <c r="GQ47" s="14" t="str">
        <f ca="1">IF(GQ$1="","",'Total Value'!GQ59/'Total Value'!GP59-1)</f>
        <v/>
      </c>
      <c r="GR47" s="14" t="str">
        <f ca="1">IF(GR$1="","",'Total Value'!GR59/'Total Value'!GQ59-1)</f>
        <v/>
      </c>
      <c r="GS47" s="14" t="str">
        <f ca="1">IF(GS$1="","",'Total Value'!GS59/'Total Value'!GR59-1)</f>
        <v/>
      </c>
      <c r="GT47" s="14" t="str">
        <f ca="1">IF(GT$1="","",'Total Value'!GT59/'Total Value'!GS59-1)</f>
        <v/>
      </c>
      <c r="GU47" s="14" t="str">
        <f ca="1">IF(GU$1="","",'Total Value'!GU59/'Total Value'!GT59-1)</f>
        <v/>
      </c>
      <c r="GV47" s="14" t="str">
        <f ca="1">IF(GV$1="","",'Total Value'!GV59/'Total Value'!GU59-1)</f>
        <v/>
      </c>
      <c r="GW47" s="14" t="str">
        <f ca="1">IF(GW$1="","",'Total Value'!GW59/'Total Value'!GV59-1)</f>
        <v/>
      </c>
      <c r="GX47" s="14" t="str">
        <f ca="1">IF(GX$1="","",'Total Value'!GX59/'Total Value'!GW59-1)</f>
        <v/>
      </c>
      <c r="GY47" s="14" t="str">
        <f ca="1">IF(GY$1="","",'Total Value'!GY59/'Total Value'!GX59-1)</f>
        <v/>
      </c>
      <c r="GZ47" s="14" t="str">
        <f ca="1">IF(GZ$1="","",'Total Value'!GZ59/'Total Value'!GY59-1)</f>
        <v/>
      </c>
      <c r="HA47" s="14" t="str">
        <f ca="1">IF(HA$1="","",'Total Value'!HA59/'Total Value'!GZ59-1)</f>
        <v/>
      </c>
      <c r="HB47" s="14" t="str">
        <f ca="1">IF(HB$1="","",'Total Value'!HB59/'Total Value'!HA59-1)</f>
        <v/>
      </c>
      <c r="HC47" s="14" t="str">
        <f ca="1">IF(HC$1="","",'Total Value'!HC59/'Total Value'!HB59-1)</f>
        <v/>
      </c>
      <c r="HD47" s="14" t="str">
        <f ca="1">IF(HD$1="","",'Total Value'!HD59/'Total Value'!HC59-1)</f>
        <v/>
      </c>
      <c r="HE47" s="14" t="str">
        <f ca="1">IF(HE$1="","",'Total Value'!HE59/'Total Value'!HD59-1)</f>
        <v/>
      </c>
      <c r="HF47" s="14" t="str">
        <f ca="1">IF(HF$1="","",'Total Value'!HF59/'Total Value'!HE59-1)</f>
        <v/>
      </c>
      <c r="HG47" s="14" t="str">
        <f ca="1">IF(HG$1="","",'Total Value'!HG59/'Total Value'!HF59-1)</f>
        <v/>
      </c>
      <c r="HH47" s="14" t="str">
        <f ca="1">IF(HH$1="","",'Total Value'!HH59/'Total Value'!HG59-1)</f>
        <v/>
      </c>
      <c r="HI47" s="14" t="str">
        <f ca="1">IF(HI$1="","",'Total Value'!HI59/'Total Value'!HH59-1)</f>
        <v/>
      </c>
      <c r="HJ47" s="14" t="str">
        <f ca="1">IF(HJ$1="","",'Total Value'!HJ59/'Total Value'!HI59-1)</f>
        <v/>
      </c>
      <c r="HK47" s="14" t="str">
        <f ca="1">IF(HK$1="","",'Total Value'!HK59/'Total Value'!HJ59-1)</f>
        <v/>
      </c>
      <c r="HL47" s="14" t="str">
        <f ca="1">IF(HL$1="","",'Total Value'!HL59/'Total Value'!HK59-1)</f>
        <v/>
      </c>
      <c r="HM47" s="14" t="str">
        <f ca="1">IF(HM$1="","",'Total Value'!HM59/'Total Value'!HL59-1)</f>
        <v/>
      </c>
      <c r="HN47" s="14" t="str">
        <f ca="1">IF(HN$1="","",'Total Value'!HN59/'Total Value'!HM59-1)</f>
        <v/>
      </c>
      <c r="HO47" s="14" t="str">
        <f ca="1">IF(HO$1="","",'Total Value'!HO59/'Total Value'!HN59-1)</f>
        <v/>
      </c>
      <c r="HP47" s="14" t="str">
        <f ca="1">IF(HP$1="","",'Total Value'!HP59/'Total Value'!HO59-1)</f>
        <v/>
      </c>
      <c r="HQ47" s="14" t="str">
        <f ca="1">IF(HQ$1="","",'Total Value'!HQ59/'Total Value'!HP59-1)</f>
        <v/>
      </c>
      <c r="HR47" s="14" t="str">
        <f ca="1">IF(HR$1="","",'Total Value'!HR59/'Total Value'!HQ59-1)</f>
        <v/>
      </c>
      <c r="HS47" s="14" t="str">
        <f ca="1">IF(HS$1="","",'Total Value'!HS59/'Total Value'!HR59-1)</f>
        <v/>
      </c>
      <c r="HT47" s="14" t="str">
        <f ca="1">IF(HT$1="","",'Total Value'!HT59/'Total Value'!HS59-1)</f>
        <v/>
      </c>
      <c r="HU47" s="14" t="str">
        <f ca="1">IF(HU$1="","",'Total Value'!HU59/'Total Value'!HT59-1)</f>
        <v/>
      </c>
      <c r="HV47" s="14" t="str">
        <f ca="1">IF(HV$1="","",'Total Value'!HV59/'Total Value'!HU59-1)</f>
        <v/>
      </c>
      <c r="HW47" s="14" t="str">
        <f ca="1">IF(HW$1="","",'Total Value'!HW59/'Total Value'!HV59-1)</f>
        <v/>
      </c>
      <c r="HX47" s="14" t="str">
        <f ca="1">IF(HX$1="","",'Total Value'!HX59/'Total Value'!HW59-1)</f>
        <v/>
      </c>
      <c r="HY47" s="14" t="str">
        <f ca="1">IF(HY$1="","",'Total Value'!HY59/'Total Value'!HX59-1)</f>
        <v/>
      </c>
      <c r="HZ47" s="14" t="str">
        <f ca="1">IF(HZ$1="","",'Total Value'!HZ59/'Total Value'!HY59-1)</f>
        <v/>
      </c>
      <c r="IA47" s="14" t="str">
        <f ca="1">IF(IA$1="","",'Total Value'!IA59/'Total Value'!HZ59-1)</f>
        <v/>
      </c>
      <c r="IB47" s="14" t="str">
        <f ca="1">IF(IB$1="","",'Total Value'!IB59/'Total Value'!IA59-1)</f>
        <v/>
      </c>
      <c r="IC47" s="14" t="str">
        <f ca="1">IF(IC$1="","",'Total Value'!IC59/'Total Value'!IB59-1)</f>
        <v/>
      </c>
      <c r="ID47" s="14" t="str">
        <f ca="1">IF(ID$1="","",'Total Value'!ID59/'Total Value'!IC59-1)</f>
        <v/>
      </c>
      <c r="IE47" s="14" t="str">
        <f ca="1">IF(IE$1="","",'Total Value'!IE59/'Total Value'!ID59-1)</f>
        <v/>
      </c>
      <c r="IF47" s="14" t="str">
        <f ca="1">IF(IF$1="","",'Total Value'!IF59/'Total Value'!IE59-1)</f>
        <v/>
      </c>
      <c r="IG47" s="14" t="str">
        <f ca="1">IF(IG$1="","",'Total Value'!IG59/'Total Value'!IF59-1)</f>
        <v/>
      </c>
      <c r="IH47" s="14" t="str">
        <f ca="1">IF(IH$1="","",'Total Value'!IH59/'Total Value'!IG59-1)</f>
        <v/>
      </c>
      <c r="II47" s="14" t="str">
        <f ca="1">IF(II$1="","",'Total Value'!II59/'Total Value'!IH59-1)</f>
        <v/>
      </c>
      <c r="IJ47" s="14" t="str">
        <f ca="1">IF(IJ$1="","",'Total Value'!IJ59/'Total Value'!II59-1)</f>
        <v/>
      </c>
      <c r="IK47" s="14" t="str">
        <f ca="1">IF(IK$1="","",'Total Value'!IK59/'Total Value'!IJ59-1)</f>
        <v/>
      </c>
      <c r="IL47" s="14" t="str">
        <f ca="1">IF(IL$1="","",'Total Value'!IL59/'Total Value'!IK59-1)</f>
        <v/>
      </c>
      <c r="IM47" s="14" t="str">
        <f ca="1">IF(IM$1="","",'Total Value'!IM59/'Total Value'!IL59-1)</f>
        <v/>
      </c>
      <c r="IN47" s="14" t="str">
        <f ca="1">IF(IN$1="","",'Total Value'!IN59/'Total Value'!IM59-1)</f>
        <v/>
      </c>
      <c r="IO47" s="14" t="str">
        <f ca="1">IF(IO$1="","",'Total Value'!IO59/'Total Value'!IN59-1)</f>
        <v/>
      </c>
      <c r="IP47" s="14" t="str">
        <f ca="1">IF(IP$1="","",'Total Value'!IP59/'Total Value'!IO59-1)</f>
        <v/>
      </c>
      <c r="IQ47" s="14" t="str">
        <f ca="1">IF(IQ$1="","",'Total Value'!IQ59/'Total Value'!IP59-1)</f>
        <v/>
      </c>
      <c r="IR47" s="14" t="str">
        <f ca="1">IF(IR$1="","",'Total Value'!IR59/'Total Value'!IQ59-1)</f>
        <v/>
      </c>
      <c r="IS47" s="14" t="str">
        <f ca="1">IF(IS$1="","",'Total Value'!IS59/'Total Value'!IR59-1)</f>
        <v/>
      </c>
      <c r="IT47" s="14" t="str">
        <f ca="1">IF(IT$1="","",'Total Value'!IT59/'Total Value'!IS59-1)</f>
        <v/>
      </c>
      <c r="IU47" s="14" t="str">
        <f ca="1">IF(IU$1="","",'Total Value'!IU59/'Total Value'!IT59-1)</f>
        <v/>
      </c>
      <c r="IV47" s="14" t="str">
        <f ca="1">IF(IV$1="","",'Total Value'!IV59/'Total Value'!IU59-1)</f>
        <v/>
      </c>
      <c r="IW47" s="14" t="str">
        <f ca="1">IF(IW$1="","",'Total Value'!IW59/'Total Value'!IV59-1)</f>
        <v/>
      </c>
      <c r="IX47" s="14" t="str">
        <f ca="1">IF(IX$1="","",'Total Value'!IX59/'Total Value'!IW59-1)</f>
        <v/>
      </c>
      <c r="IY47" s="14" t="str">
        <f ca="1">IF(IY$1="","",'Total Value'!IY59/'Total Value'!IX59-1)</f>
        <v/>
      </c>
      <c r="IZ47" s="14" t="str">
        <f ca="1">IF(IZ$1="","",'Total Value'!IZ59/'Total Value'!IY59-1)</f>
        <v/>
      </c>
      <c r="JA47" s="14" t="str">
        <f ca="1">IF(JA$1="","",'Total Value'!JA59/'Total Value'!IZ59-1)</f>
        <v/>
      </c>
      <c r="JB47" s="14" t="str">
        <f ca="1">IF(JB$1="","",'Total Value'!JB59/'Total Value'!JA59-1)</f>
        <v/>
      </c>
      <c r="JC47" s="14" t="str">
        <f ca="1">IF(JC$1="","",'Total Value'!JC59/'Total Value'!JB59-1)</f>
        <v/>
      </c>
      <c r="JD47" s="14" t="str">
        <f ca="1">IF(JD$1="","",'Total Value'!JD59/'Total Value'!JC59-1)</f>
        <v/>
      </c>
      <c r="JE47" s="14" t="str">
        <f ca="1">IF(JE$1="","",'Total Value'!JE59/'Total Value'!JD59-1)</f>
        <v/>
      </c>
      <c r="JF47" s="14" t="str">
        <f ca="1">IF(JF$1="","",'Total Value'!JF59/'Total Value'!JE59-1)</f>
        <v/>
      </c>
      <c r="JG47" s="14" t="str">
        <f ca="1">IF(JG$1="","",'Total Value'!JG59/'Total Value'!JF59-1)</f>
        <v/>
      </c>
      <c r="JH47" s="14" t="str">
        <f ca="1">IF(JH$1="","",'Total Value'!JH59/'Total Value'!JG59-1)</f>
        <v/>
      </c>
      <c r="JI47" s="14" t="str">
        <f ca="1">IF(JI$1="","",'Total Value'!JI59/'Total Value'!JH59-1)</f>
        <v/>
      </c>
      <c r="JJ47" s="14" t="str">
        <f ca="1">IF(JJ$1="","",'Total Value'!JJ59/'Total Value'!JI59-1)</f>
        <v/>
      </c>
      <c r="JK47" s="14" t="str">
        <f ca="1">IF(JK$1="","",'Total Value'!JK59/'Total Value'!JJ59-1)</f>
        <v/>
      </c>
      <c r="JL47" s="14" t="str">
        <f ca="1">IF(JL$1="","",'Total Value'!JL59/'Total Value'!JK59-1)</f>
        <v/>
      </c>
      <c r="JM47" s="14" t="str">
        <f ca="1">IF(JM$1="","",'Total Value'!JM59/'Total Value'!JL59-1)</f>
        <v/>
      </c>
      <c r="JN47" s="14" t="str">
        <f ca="1">IF(JN$1="","",'Total Value'!JN59/'Total Value'!JM59-1)</f>
        <v/>
      </c>
      <c r="JO47" s="14" t="str">
        <f ca="1">IF(JO$1="","",'Total Value'!JO59/'Total Value'!JN59-1)</f>
        <v/>
      </c>
      <c r="JP47" s="14" t="str">
        <f ca="1">IF(JP$1="","",'Total Value'!JP59/'Total Value'!JO59-1)</f>
        <v/>
      </c>
      <c r="JQ47" s="14" t="str">
        <f ca="1">IF(JQ$1="","",'Total Value'!JQ59/'Total Value'!JP59-1)</f>
        <v/>
      </c>
      <c r="JR47" s="14" t="str">
        <f ca="1">IF(JR$1="","",'Total Value'!JR59/'Total Value'!JQ59-1)</f>
        <v/>
      </c>
      <c r="JS47" s="14" t="str">
        <f ca="1">IF(JS$1="","",'Total Value'!JS59/'Total Value'!JR59-1)</f>
        <v/>
      </c>
      <c r="JT47" s="14" t="str">
        <f ca="1">IF(JT$1="","",'Total Value'!JT59/'Total Value'!JS59-1)</f>
        <v/>
      </c>
      <c r="JU47" s="14" t="str">
        <f ca="1">IF(JU$1="","",'Total Value'!JU59/'Total Value'!JT59-1)</f>
        <v/>
      </c>
      <c r="JV47" s="14" t="str">
        <f ca="1">IF(JV$1="","",'Total Value'!JV59/'Total Value'!JU59-1)</f>
        <v/>
      </c>
      <c r="JW47" s="14" t="str">
        <f ca="1">IF(JW$1="","",'Total Value'!JW59/'Total Value'!JV59-1)</f>
        <v/>
      </c>
      <c r="JX47" s="14" t="str">
        <f ca="1">IF(JX$1="","",'Total Value'!JX59/'Total Value'!JW59-1)</f>
        <v/>
      </c>
      <c r="JY47" s="14" t="str">
        <f ca="1">IF(JY$1="","",'Total Value'!JY59/'Total Value'!JX59-1)</f>
        <v/>
      </c>
      <c r="JZ47" s="14" t="str">
        <f ca="1">IF(JZ$1="","",'Total Value'!JZ59/'Total Value'!JY59-1)</f>
        <v/>
      </c>
      <c r="KA47" s="14" t="str">
        <f ca="1">IF(KA$1="","",'Total Value'!KA59/'Total Value'!JZ59-1)</f>
        <v/>
      </c>
      <c r="KB47" s="14" t="str">
        <f ca="1">IF(KB$1="","",'Total Value'!KB59/'Total Value'!KA59-1)</f>
        <v/>
      </c>
    </row>
    <row r="48" spans="1:288" ht="15.75" customHeight="1">
      <c r="A48" s="22" t="s">
        <v>30</v>
      </c>
      <c r="B48" s="6" t="s">
        <v>91</v>
      </c>
      <c r="C48" s="26">
        <v>5</v>
      </c>
      <c r="D48" s="13">
        <v>0</v>
      </c>
      <c r="E48" s="14">
        <f ca="1">IF(E$1="","",'Total Value'!E60/'Total Value'!D60-1)</f>
        <v>2.5055928411633177E-2</v>
      </c>
      <c r="F48" s="14">
        <f ca="1">IF(F$1="","",'Total Value'!F60/'Total Value'!E60-1)</f>
        <v>6.110868616324705E-3</v>
      </c>
      <c r="G48" s="14">
        <f ca="1">IF(G$1="","",'Total Value'!G60/'Total Value'!F60-1)</f>
        <v>1.258134490238616E-2</v>
      </c>
      <c r="H48" s="14">
        <f ca="1">IF(H$1="","",'Total Value'!H60/'Total Value'!G60-1)</f>
        <v>-7.7120822622108731E-3</v>
      </c>
      <c r="I48" s="14">
        <f ca="1">IF(I$1="","",'Total Value'!I60/'Total Value'!H60-1)</f>
        <v>-8.6355785837644028E-4</v>
      </c>
      <c r="J48" s="14">
        <f ca="1">IF(J$1="","",'Total Value'!J60/'Total Value'!I60-1)</f>
        <v>-1.3396715643906765E-2</v>
      </c>
      <c r="K48" s="14">
        <f ca="1">IF(K$1="","",'Total Value'!K60/'Total Value'!J60-1)</f>
        <v>-1.3140604467805406E-2</v>
      </c>
      <c r="L48" s="14">
        <f ca="1">IF(L$1="","",'Total Value'!L60/'Total Value'!K60-1)</f>
        <v>-2.086107412339111E-2</v>
      </c>
      <c r="M48" s="14">
        <f ca="1">IF(M$1="","",'Total Value'!M60/'Total Value'!L60-1)</f>
        <v>3.7171350861287422E-2</v>
      </c>
      <c r="N48" s="14">
        <f ca="1">IF(N$1="","",'Total Value'!N60/'Total Value'!M60-1)</f>
        <v>-4.0646853146853124E-2</v>
      </c>
      <c r="O48" s="14">
        <f ca="1">IF(O$1="","",'Total Value'!O60/'Total Value'!N60-1)</f>
        <v>-3.6446469248291313E-3</v>
      </c>
      <c r="P48" s="14">
        <f ca="1">IF(P$1="","",'Total Value'!P60/'Total Value'!O60-1)</f>
        <v>-4.1152263374485742E-2</v>
      </c>
      <c r="Q48" s="14">
        <f ca="1">IF(Q$1="","",'Total Value'!Q60/'Total Value'!P60-1)</f>
        <v>-4.7687172150678858E-4</v>
      </c>
      <c r="R48" s="14">
        <f ca="1">IF(R$1="","",'Total Value'!R60/'Total Value'!Q60-1)</f>
        <v>3.6259541984732691E-2</v>
      </c>
      <c r="S48" s="14">
        <f ca="1">IF(S$1="","",'Total Value'!S60/'Total Value'!R60-1)</f>
        <v>-1.012891344383049E-2</v>
      </c>
      <c r="T48" s="14">
        <f ca="1">IF(T$1="","",'Total Value'!T60/'Total Value'!S60-1)</f>
        <v>9.302325581395321E-3</v>
      </c>
      <c r="U48" s="14">
        <f ca="1">IF(U$1="","",'Total Value'!U60/'Total Value'!T60-1)</f>
        <v>-1.3364055299539213E-2</v>
      </c>
      <c r="V48" s="14">
        <f ca="1">IF(V$1="","",'Total Value'!V60/'Total Value'!U60-1)</f>
        <v>-3.8766931340495137E-2</v>
      </c>
      <c r="W48" s="14">
        <f ca="1">IF(W$1="","",'Total Value'!W60/'Total Value'!V60-1)</f>
        <v>4.859086491739717E-3</v>
      </c>
      <c r="X48" s="14">
        <f ca="1">IF(X$1="","",'Total Value'!X60/'Total Value'!W60-1)</f>
        <v>9.6711798839455021E-4</v>
      </c>
      <c r="Y48" s="14">
        <f ca="1">IF(Y$1="","",'Total Value'!Y60/'Total Value'!X60-1)</f>
        <v>3.0917874396135359E-2</v>
      </c>
      <c r="Z48" s="14">
        <f ca="1">IF(Z$1="","",'Total Value'!Z60/'Total Value'!Y60-1)</f>
        <v>1.3120899718837897E-2</v>
      </c>
      <c r="AA48" s="14">
        <f ca="1">IF(AA$1="","",'Total Value'!AA60/'Total Value'!Z60-1)</f>
        <v>1.8501387604070274E-2</v>
      </c>
      <c r="AB48" s="14">
        <f ca="1">IF(AB$1="","",'Total Value'!AB60/'Total Value'!AA60-1)</f>
        <v>-2.2706630336058131E-2</v>
      </c>
      <c r="AC48" s="14">
        <f ca="1">IF(AC$1="","",'Total Value'!AC60/'Total Value'!AB60-1)</f>
        <v>3.2527881040893547E-3</v>
      </c>
      <c r="AD48" s="14">
        <f ca="1">IF(AD$1="","",'Total Value'!AD60/'Total Value'!AC60-1)</f>
        <v>2.8253821213524821E-2</v>
      </c>
      <c r="AE48" s="14">
        <f ca="1">IF(AE$1="","",'Total Value'!AE60/'Total Value'!AD60-1)</f>
        <v>1.0810810810810922E-2</v>
      </c>
      <c r="AF48" s="14">
        <f ca="1">IF(AF$1="","",'Total Value'!AF60/'Total Value'!AE60-1)</f>
        <v>4.0106951871659025E-3</v>
      </c>
      <c r="AG48" s="14">
        <f ca="1">IF(AG$1="","",'Total Value'!AG60/'Total Value'!AF60-1)</f>
        <v>-5.2374611628939194E-2</v>
      </c>
      <c r="AH48" s="14">
        <f ca="1">IF(AH$1="","",'Total Value'!AH60/'Total Value'!AG60-1)</f>
        <v>-1.8735362997658322E-3</v>
      </c>
      <c r="AI48" s="14">
        <f ca="1">IF(AI$1="","",'Total Value'!AI60/'Total Value'!AH60-1)</f>
        <v>1.8770530267480101E-2</v>
      </c>
      <c r="AJ48" s="14">
        <f ca="1">IF(AJ$1="","",'Total Value'!AJ60/'Total Value'!AI60-1)</f>
        <v>3.4546292031321979E-2</v>
      </c>
      <c r="AK48" s="14">
        <f ca="1">IF(AK$1="","",'Total Value'!AK60/'Total Value'!AJ60-1)</f>
        <v>2.2261798753340223E-3</v>
      </c>
      <c r="AL48" s="14">
        <f ca="1">IF(AL$1="","",'Total Value'!AL60/'Total Value'!AK60-1)</f>
        <v>-2.1768103065304412E-2</v>
      </c>
      <c r="AM48" s="14">
        <f ca="1">IF(AM$1="","",'Total Value'!AM60/'Total Value'!AL60-1)</f>
        <v>3.0881017257039067E-2</v>
      </c>
      <c r="AN48" s="14">
        <f ca="1">IF(AN$1="","",'Total Value'!AN60/'Total Value'!AM60-1)</f>
        <v>-1.8942731277533098E-2</v>
      </c>
      <c r="AO48" s="14">
        <f ca="1">IF(AO$1="","",'Total Value'!AO60/'Total Value'!AN60-1)</f>
        <v>-1.3471037269869868E-3</v>
      </c>
      <c r="AP48" s="14">
        <f ca="1">IF(AP$1="","",'Total Value'!AP60/'Total Value'!AO60-1)</f>
        <v>-2.4280575539568194E-2</v>
      </c>
      <c r="AQ48" s="14">
        <f ca="1">IF(AQ$1="","",'Total Value'!AQ60/'Total Value'!AP60-1)</f>
        <v>-2.2580645161290214E-2</v>
      </c>
      <c r="AR48" s="14">
        <f ca="1">IF(AR$1="","",'Total Value'!AR60/'Total Value'!AQ60-1)</f>
        <v>5.421970768505413E-2</v>
      </c>
      <c r="AS48" s="14">
        <f ca="1">IF(AS$1="","",'Total Value'!AS60/'Total Value'!AR60-1)</f>
        <v>-8.944543828264262E-4</v>
      </c>
      <c r="AT48" s="14">
        <f ca="1">IF(AT$1="","",'Total Value'!AT60/'Total Value'!AS60-1)</f>
        <v>-1.8800358102059045E-2</v>
      </c>
      <c r="AU48" s="14">
        <f ca="1">IF(AU$1="","",'Total Value'!AU60/'Total Value'!AT60-1)</f>
        <v>4.1058394160584655E-3</v>
      </c>
      <c r="AV48" s="14">
        <f ca="1">IF(AV$1="","",'Total Value'!AV60/'Total Value'!AU60-1)</f>
        <v>2.9077691958200758E-2</v>
      </c>
      <c r="AW48" s="14">
        <f ca="1">IF(AW$1="","",'Total Value'!AW60/'Total Value'!AV60-1)</f>
        <v>5.695364238410594E-2</v>
      </c>
      <c r="AX48" s="14">
        <f ca="1">IF(AX$1="","",'Total Value'!AX60/'Total Value'!AW60-1)</f>
        <v>-8.3542188805341144E-4</v>
      </c>
      <c r="AY48" s="14">
        <f ca="1">IF(AY$1="","",'Total Value'!AY60/'Total Value'!AX60-1)</f>
        <v>9.1973244147156574E-3</v>
      </c>
      <c r="AZ48" s="14">
        <f ca="1">IF(AZ$1="","",'Total Value'!AZ60/'Total Value'!AY60-1)</f>
        <v>1.2427506213754658E-3</v>
      </c>
      <c r="BA48" s="14">
        <f ca="1">IF(BA$1="","",'Total Value'!BA60/'Total Value'!AZ60-1)</f>
        <v>-3.3098882912702132E-3</v>
      </c>
      <c r="BB48" s="14">
        <f ca="1">IF(BB$1="","",'Total Value'!BB60/'Total Value'!BA60-1)</f>
        <v>-3.2793690327936886E-2</v>
      </c>
      <c r="BC48" s="14">
        <f ca="1">IF(BC$1="","",'Total Value'!BC60/'Total Value'!BB60-1)</f>
        <v>-6.8669527896995097E-3</v>
      </c>
      <c r="BD48" s="14">
        <f ca="1">IF(BD$1="","",'Total Value'!BD60/'Total Value'!BC60-1)</f>
        <v>-1.8582541054451118E-2</v>
      </c>
      <c r="BE48" s="14">
        <f ca="1">IF(BE$1="","",'Total Value'!BE60/'Total Value'!BD60-1)</f>
        <v>1.2769704975781559E-2</v>
      </c>
      <c r="BF48" s="14">
        <f ca="1">IF(BF$1="","",'Total Value'!BF60/'Total Value'!BE60-1)</f>
        <v>1.4347826086956506E-2</v>
      </c>
      <c r="BG48" s="14">
        <f ca="1">IF(BG$1="","",'Total Value'!BG60/'Total Value'!BF60-1)</f>
        <v>-5.100728675525068E-2</v>
      </c>
      <c r="BH48" s="14">
        <f ca="1">IF(BH$1="","",'Total Value'!BH60/'Total Value'!BG60-1)</f>
        <v>-2.7551942186088474E-2</v>
      </c>
      <c r="BI48" s="14">
        <f ca="1">IF(BI$1="","",'Total Value'!BI60/'Total Value'!BH60-1)</f>
        <v>-4.5982350209010869E-2</v>
      </c>
      <c r="BJ48" s="14">
        <f ca="1">IF(BJ$1="","",'Total Value'!BJ60/'Total Value'!BI60-1)</f>
        <v>-1.8013631937682351E-2</v>
      </c>
      <c r="BK48" s="14">
        <f ca="1">IF(BK$1="","",'Total Value'!BK60/'Total Value'!BJ60-1)</f>
        <v>-4.412493802677242E-2</v>
      </c>
      <c r="BL48" s="14">
        <f ca="1">IF(BL$1="","",'Total Value'!BL60/'Total Value'!BK60-1)</f>
        <v>-1.9190871369294649E-2</v>
      </c>
      <c r="BM48" s="14">
        <f ca="1">IF(BM$1="","",'Total Value'!BM60/'Total Value'!BL60-1)</f>
        <v>2.2739291380222237E-2</v>
      </c>
      <c r="BN48" s="14">
        <f ca="1">IF(BN$1="","",'Total Value'!BN60/'Total Value'!BM60-1)</f>
        <v>-3.8262668045501602E-2</v>
      </c>
      <c r="BO48" s="14">
        <f ca="1">IF(BO$1="","",'Total Value'!BO60/'Total Value'!BN60-1)</f>
        <v>3.4408602150537426E-2</v>
      </c>
      <c r="BP48" s="14">
        <f ca="1">IF(BP$1="","",'Total Value'!BP60/'Total Value'!BO60-1)</f>
        <v>-1.0914760914760735E-2</v>
      </c>
      <c r="BQ48" s="14">
        <f ca="1">IF(BQ$1="","",'Total Value'!BQ60/'Total Value'!BP60-1)</f>
        <v>2.9952706253284278E-2</v>
      </c>
      <c r="BR48" s="14">
        <f ca="1">IF(BR$1="","",'Total Value'!BR60/'Total Value'!BQ60-1)</f>
        <v>-7.9591836734693944E-2</v>
      </c>
      <c r="BS48" s="14">
        <f ca="1">IF(BS$1="","",'Total Value'!BS60/'Total Value'!BR60-1)</f>
        <v>4.434589800443467E-2</v>
      </c>
      <c r="BT48" s="14">
        <f ca="1">IF(BT$1="","",'Total Value'!BT60/'Total Value'!BS60-1)</f>
        <v>1.5923566878980999E-2</v>
      </c>
      <c r="BU48" s="14">
        <f ca="1">IF(BU$1="","",'Total Value'!BU60/'Total Value'!BT60-1)</f>
        <v>1.5151515151515138E-2</v>
      </c>
      <c r="BV48" s="14">
        <f ca="1">IF(BV$1="","",'Total Value'!BV60/'Total Value'!BU60-1)</f>
        <v>1.1837364899639713E-2</v>
      </c>
      <c r="BW48" s="14">
        <f ca="1">IF(BW$1="","",'Total Value'!BW60/'Total Value'!BV60-1)</f>
        <v>-1.8819938962360228E-2</v>
      </c>
      <c r="BX48" s="14">
        <f ca="1">IF(BX$1="","",'Total Value'!BX60/'Total Value'!BW60-1)</f>
        <v>2.0736132711249411E-2</v>
      </c>
      <c r="BY48" s="14">
        <f ca="1">IF(BY$1="","",'Total Value'!BY60/'Total Value'!BX60-1)</f>
        <v>-4.7739969527679005E-2</v>
      </c>
      <c r="BZ48" s="14">
        <f ca="1">IF(BZ$1="","",'Total Value'!BZ60/'Total Value'!BY60-1)</f>
        <v>-9.0666666666667783E-3</v>
      </c>
      <c r="CA48" s="14">
        <f ca="1">IF(CA$1="","",'Total Value'!CA60/'Total Value'!BZ60-1)</f>
        <v>9.4187298170075318E-2</v>
      </c>
      <c r="CB48" s="14">
        <f ca="1">IF(CB$1="","",'Total Value'!CB60/'Total Value'!CA60-1)</f>
        <v>1.032956222331527E-2</v>
      </c>
      <c r="CC48" s="14">
        <f ca="1">IF(CC$1="","",'Total Value'!CC60/'Total Value'!CB60-1)</f>
        <v>2.8724440116845162E-2</v>
      </c>
      <c r="CD48" s="14">
        <f ca="1">IF(CD$1="","",'Total Value'!CD60/'Total Value'!CC60-1)</f>
        <v>3.0288689067676344E-2</v>
      </c>
      <c r="CE48" s="14">
        <f ca="1">IF(CE$1="","",'Total Value'!CE60/'Total Value'!CD60-1)</f>
        <v>4.3638033991731717E-2</v>
      </c>
      <c r="CF48" s="14" t="str">
        <f ca="1">IF(CF$1="","",'Total Value'!CF60/'Total Value'!CE60-1)</f>
        <v/>
      </c>
      <c r="CG48" s="14" t="str">
        <f ca="1">IF(CG$1="","",'Total Value'!CG60/'Total Value'!CF60-1)</f>
        <v/>
      </c>
      <c r="CH48" s="14" t="str">
        <f ca="1">IF(CH$1="","",'Total Value'!CH60/'Total Value'!CG60-1)</f>
        <v/>
      </c>
      <c r="CI48" s="14" t="str">
        <f ca="1">IF(CI$1="","",'Total Value'!CI60/'Total Value'!CH60-1)</f>
        <v/>
      </c>
      <c r="CJ48" s="14" t="str">
        <f ca="1">IF(CJ$1="","",'Total Value'!CJ60/'Total Value'!CI60-1)</f>
        <v/>
      </c>
      <c r="CK48" s="14" t="str">
        <f ca="1">IF(CK$1="","",'Total Value'!CK60/'Total Value'!CJ60-1)</f>
        <v/>
      </c>
      <c r="CL48" s="14" t="str">
        <f ca="1">IF(CL$1="","",'Total Value'!CL60/'Total Value'!CK60-1)</f>
        <v/>
      </c>
      <c r="CM48" s="14" t="str">
        <f ca="1">IF(CM$1="","",'Total Value'!CM60/'Total Value'!CL60-1)</f>
        <v/>
      </c>
      <c r="CN48" s="14" t="str">
        <f ca="1">IF(CN$1="","",'Total Value'!CN60/'Total Value'!CM60-1)</f>
        <v/>
      </c>
      <c r="CO48" s="14" t="str">
        <f ca="1">IF(CO$1="","",'Total Value'!CO60/'Total Value'!CN60-1)</f>
        <v/>
      </c>
      <c r="CP48" s="14" t="str">
        <f ca="1">IF(CP$1="","",'Total Value'!CP60/'Total Value'!CO60-1)</f>
        <v/>
      </c>
      <c r="CQ48" s="14" t="str">
        <f ca="1">IF(CQ$1="","",'Total Value'!CQ60/'Total Value'!CP60-1)</f>
        <v/>
      </c>
      <c r="CR48" s="14" t="str">
        <f ca="1">IF(CR$1="","",'Total Value'!CR60/'Total Value'!CQ60-1)</f>
        <v/>
      </c>
      <c r="CS48" s="14" t="str">
        <f ca="1">IF(CS$1="","",'Total Value'!CS60/'Total Value'!CR60-1)</f>
        <v/>
      </c>
      <c r="CT48" s="14" t="str">
        <f ca="1">IF(CT$1="","",'Total Value'!CT60/'Total Value'!CS60-1)</f>
        <v/>
      </c>
      <c r="CU48" s="14" t="str">
        <f ca="1">IF(CU$1="","",'Total Value'!CU60/'Total Value'!CT60-1)</f>
        <v/>
      </c>
      <c r="CV48" s="14" t="str">
        <f ca="1">IF(CV$1="","",'Total Value'!CV60/'Total Value'!CU60-1)</f>
        <v/>
      </c>
      <c r="CW48" s="14" t="str">
        <f ca="1">IF(CW$1="","",'Total Value'!CW60/'Total Value'!CV60-1)</f>
        <v/>
      </c>
      <c r="CX48" s="14" t="str">
        <f ca="1">IF(CX$1="","",'Total Value'!CX60/'Total Value'!CW60-1)</f>
        <v/>
      </c>
      <c r="CY48" s="14" t="str">
        <f ca="1">IF(CY$1="","",'Total Value'!CY60/'Total Value'!CX60-1)</f>
        <v/>
      </c>
      <c r="CZ48" s="14" t="str">
        <f ca="1">IF(CZ$1="","",'Total Value'!CZ60/'Total Value'!CY60-1)</f>
        <v/>
      </c>
      <c r="DA48" s="14" t="str">
        <f ca="1">IF(DA$1="","",'Total Value'!DA60/'Total Value'!CZ60-1)</f>
        <v/>
      </c>
      <c r="DB48" s="14" t="str">
        <f ca="1">IF(DB$1="","",'Total Value'!DB60/'Total Value'!DA60-1)</f>
        <v/>
      </c>
      <c r="DC48" s="14" t="str">
        <f ca="1">IF(DC$1="","",'Total Value'!DC60/'Total Value'!DB60-1)</f>
        <v/>
      </c>
      <c r="DD48" s="14" t="str">
        <f ca="1">IF(DD$1="","",'Total Value'!DD60/'Total Value'!DC60-1)</f>
        <v/>
      </c>
      <c r="DE48" s="14" t="str">
        <f ca="1">IF(DE$1="","",'Total Value'!DE60/'Total Value'!DD60-1)</f>
        <v/>
      </c>
      <c r="DF48" s="14" t="str">
        <f ca="1">IF(DF$1="","",'Total Value'!DF60/'Total Value'!DE60-1)</f>
        <v/>
      </c>
      <c r="DG48" s="14" t="str">
        <f ca="1">IF(DG$1="","",'Total Value'!DG60/'Total Value'!DF60-1)</f>
        <v/>
      </c>
      <c r="DH48" s="14" t="str">
        <f ca="1">IF(DH$1="","",'Total Value'!DH60/'Total Value'!DG60-1)</f>
        <v/>
      </c>
      <c r="DI48" s="14" t="str">
        <f ca="1">IF(DI$1="","",'Total Value'!DI60/'Total Value'!DH60-1)</f>
        <v/>
      </c>
      <c r="DJ48" s="14" t="str">
        <f ca="1">IF(DJ$1="","",'Total Value'!DJ60/'Total Value'!DI60-1)</f>
        <v/>
      </c>
      <c r="DK48" s="14" t="str">
        <f ca="1">IF(DK$1="","",'Total Value'!DK60/'Total Value'!DJ60-1)</f>
        <v/>
      </c>
      <c r="DL48" s="14" t="str">
        <f ca="1">IF(DL$1="","",'Total Value'!DL60/'Total Value'!DK60-1)</f>
        <v/>
      </c>
      <c r="DM48" s="14" t="str">
        <f ca="1">IF(DM$1="","",'Total Value'!DM60/'Total Value'!DL60-1)</f>
        <v/>
      </c>
      <c r="DN48" s="14" t="str">
        <f ca="1">IF(DN$1="","",'Total Value'!DN60/'Total Value'!DM60-1)</f>
        <v/>
      </c>
      <c r="DO48" s="14" t="str">
        <f ca="1">IF(DO$1="","",'Total Value'!DO60/'Total Value'!DN60-1)</f>
        <v/>
      </c>
      <c r="DP48" s="14" t="str">
        <f ca="1">IF(DP$1="","",'Total Value'!DP60/'Total Value'!DO60-1)</f>
        <v/>
      </c>
      <c r="DQ48" s="14" t="str">
        <f ca="1">IF(DQ$1="","",'Total Value'!DQ60/'Total Value'!DP60-1)</f>
        <v/>
      </c>
      <c r="DR48" s="14" t="str">
        <f ca="1">IF(DR$1="","",'Total Value'!DR60/'Total Value'!DQ60-1)</f>
        <v/>
      </c>
      <c r="DS48" s="14" t="str">
        <f ca="1">IF(DS$1="","",'Total Value'!DS60/'Total Value'!DR60-1)</f>
        <v/>
      </c>
      <c r="DT48" s="14" t="str">
        <f ca="1">IF(DT$1="","",'Total Value'!DT60/'Total Value'!DS60-1)</f>
        <v/>
      </c>
      <c r="DU48" s="14" t="str">
        <f ca="1">IF(DU$1="","",'Total Value'!DU60/'Total Value'!DT60-1)</f>
        <v/>
      </c>
      <c r="DV48" s="14" t="str">
        <f ca="1">IF(DV$1="","",'Total Value'!DV60/'Total Value'!DU60-1)</f>
        <v/>
      </c>
      <c r="DW48" s="14" t="str">
        <f ca="1">IF(DW$1="","",'Total Value'!DW60/'Total Value'!DV60-1)</f>
        <v/>
      </c>
      <c r="DX48" s="14" t="str">
        <f ca="1">IF(DX$1="","",'Total Value'!DX60/'Total Value'!DW60-1)</f>
        <v/>
      </c>
      <c r="DY48" s="14" t="str">
        <f ca="1">IF(DY$1="","",'Total Value'!DY60/'Total Value'!DX60-1)</f>
        <v/>
      </c>
      <c r="DZ48" s="14" t="str">
        <f ca="1">IF(DZ$1="","",'Total Value'!DZ60/'Total Value'!DY60-1)</f>
        <v/>
      </c>
      <c r="EA48" s="14" t="str">
        <f ca="1">IF(EA$1="","",'Total Value'!EA60/'Total Value'!DZ60-1)</f>
        <v/>
      </c>
      <c r="EB48" s="14" t="str">
        <f ca="1">IF(EB$1="","",'Total Value'!EB60/'Total Value'!EA60-1)</f>
        <v/>
      </c>
      <c r="EC48" s="14" t="str">
        <f ca="1">IF(EC$1="","",'Total Value'!EC60/'Total Value'!EB60-1)</f>
        <v/>
      </c>
      <c r="ED48" s="14" t="str">
        <f ca="1">IF(ED$1="","",'Total Value'!ED60/'Total Value'!EC60-1)</f>
        <v/>
      </c>
      <c r="EE48" s="14" t="str">
        <f ca="1">IF(EE$1="","",'Total Value'!EE60/'Total Value'!ED60-1)</f>
        <v/>
      </c>
      <c r="EF48" s="14" t="str">
        <f ca="1">IF(EF$1="","",'Total Value'!EF60/'Total Value'!EE60-1)</f>
        <v/>
      </c>
      <c r="EG48" s="14" t="str">
        <f ca="1">IF(EG$1="","",'Total Value'!EG60/'Total Value'!EF60-1)</f>
        <v/>
      </c>
      <c r="EH48" s="14" t="str">
        <f ca="1">IF(EH$1="","",'Total Value'!EH60/'Total Value'!EG60-1)</f>
        <v/>
      </c>
      <c r="EI48" s="14" t="str">
        <f ca="1">IF(EI$1="","",'Total Value'!EI60/'Total Value'!EH60-1)</f>
        <v/>
      </c>
      <c r="EJ48" s="14" t="str">
        <f ca="1">IF(EJ$1="","",'Total Value'!EJ60/'Total Value'!EI60-1)</f>
        <v/>
      </c>
      <c r="EK48" s="14" t="str">
        <f ca="1">IF(EK$1="","",'Total Value'!EK60/'Total Value'!EJ60-1)</f>
        <v/>
      </c>
      <c r="EL48" s="14" t="str">
        <f ca="1">IF(EL$1="","",'Total Value'!EL60/'Total Value'!EK60-1)</f>
        <v/>
      </c>
      <c r="EM48" s="14" t="str">
        <f ca="1">IF(EM$1="","",'Total Value'!EM60/'Total Value'!EL60-1)</f>
        <v/>
      </c>
      <c r="EN48" s="14" t="str">
        <f ca="1">IF(EN$1="","",'Total Value'!EN60/'Total Value'!EM60-1)</f>
        <v/>
      </c>
      <c r="EO48" s="14" t="str">
        <f ca="1">IF(EO$1="","",'Total Value'!EO60/'Total Value'!EN60-1)</f>
        <v/>
      </c>
      <c r="EP48" s="14" t="str">
        <f ca="1">IF(EP$1="","",'Total Value'!EP60/'Total Value'!EO60-1)</f>
        <v/>
      </c>
      <c r="EQ48" s="14" t="str">
        <f ca="1">IF(EQ$1="","",'Total Value'!EQ60/'Total Value'!EP60-1)</f>
        <v/>
      </c>
      <c r="ER48" s="14" t="str">
        <f ca="1">IF(ER$1="","",'Total Value'!ER60/'Total Value'!EQ60-1)</f>
        <v/>
      </c>
      <c r="ES48" s="14" t="str">
        <f ca="1">IF(ES$1="","",'Total Value'!ES60/'Total Value'!ER60-1)</f>
        <v/>
      </c>
      <c r="ET48" s="14" t="str">
        <f ca="1">IF(ET$1="","",'Total Value'!ET60/'Total Value'!ES60-1)</f>
        <v/>
      </c>
      <c r="EU48" s="14" t="str">
        <f ca="1">IF(EU$1="","",'Total Value'!EU60/'Total Value'!ET60-1)</f>
        <v/>
      </c>
      <c r="EV48" s="14" t="str">
        <f ca="1">IF(EV$1="","",'Total Value'!EV60/'Total Value'!EU60-1)</f>
        <v/>
      </c>
      <c r="EW48" s="14" t="str">
        <f ca="1">IF(EW$1="","",'Total Value'!EW60/'Total Value'!EV60-1)</f>
        <v/>
      </c>
      <c r="EX48" s="14" t="str">
        <f ca="1">IF(EX$1="","",'Total Value'!EX60/'Total Value'!EW60-1)</f>
        <v/>
      </c>
      <c r="EY48" s="14" t="str">
        <f ca="1">IF(EY$1="","",'Total Value'!EY60/'Total Value'!EX60-1)</f>
        <v/>
      </c>
      <c r="EZ48" s="14" t="str">
        <f ca="1">IF(EZ$1="","",'Total Value'!EZ60/'Total Value'!EY60-1)</f>
        <v/>
      </c>
      <c r="FA48" s="14" t="str">
        <f ca="1">IF(FA$1="","",'Total Value'!FA60/'Total Value'!EZ60-1)</f>
        <v/>
      </c>
      <c r="FB48" s="14" t="str">
        <f ca="1">IF(FB$1="","",'Total Value'!FB60/'Total Value'!FA60-1)</f>
        <v/>
      </c>
      <c r="FC48" s="14" t="str">
        <f ca="1">IF(FC$1="","",'Total Value'!FC60/'Total Value'!FB60-1)</f>
        <v/>
      </c>
      <c r="FD48" s="14" t="str">
        <f ca="1">IF(FD$1="","",'Total Value'!FD60/'Total Value'!FC60-1)</f>
        <v/>
      </c>
      <c r="FE48" s="14" t="str">
        <f ca="1">IF(FE$1="","",'Total Value'!FE60/'Total Value'!FD60-1)</f>
        <v/>
      </c>
      <c r="FF48" s="14" t="str">
        <f ca="1">IF(FF$1="","",'Total Value'!FF60/'Total Value'!FE60-1)</f>
        <v/>
      </c>
      <c r="FG48" s="14" t="str">
        <f ca="1">IF(FG$1="","",'Total Value'!FG60/'Total Value'!FF60-1)</f>
        <v/>
      </c>
      <c r="FH48" s="14" t="str">
        <f ca="1">IF(FH$1="","",'Total Value'!FH60/'Total Value'!FG60-1)</f>
        <v/>
      </c>
      <c r="FI48" s="14" t="str">
        <f ca="1">IF(FI$1="","",'Total Value'!FI60/'Total Value'!FH60-1)</f>
        <v/>
      </c>
      <c r="FJ48" s="14" t="str">
        <f ca="1">IF(FJ$1="","",'Total Value'!FJ60/'Total Value'!FI60-1)</f>
        <v/>
      </c>
      <c r="FK48" s="14" t="str">
        <f ca="1">IF(FK$1="","",'Total Value'!FK60/'Total Value'!FJ60-1)</f>
        <v/>
      </c>
      <c r="FL48" s="14" t="str">
        <f ca="1">IF(FL$1="","",'Total Value'!FL60/'Total Value'!FK60-1)</f>
        <v/>
      </c>
      <c r="FM48" s="14" t="str">
        <f ca="1">IF(FM$1="","",'Total Value'!FM60/'Total Value'!FL60-1)</f>
        <v/>
      </c>
      <c r="FN48" s="14" t="str">
        <f ca="1">IF(FN$1="","",'Total Value'!FN60/'Total Value'!FM60-1)</f>
        <v/>
      </c>
      <c r="FO48" s="14" t="str">
        <f ca="1">IF(FO$1="","",'Total Value'!FO60/'Total Value'!FN60-1)</f>
        <v/>
      </c>
      <c r="FP48" s="14" t="str">
        <f ca="1">IF(FP$1="","",'Total Value'!FP60/'Total Value'!FO60-1)</f>
        <v/>
      </c>
      <c r="FQ48" s="14" t="str">
        <f ca="1">IF(FQ$1="","",'Total Value'!FQ60/'Total Value'!FP60-1)</f>
        <v/>
      </c>
      <c r="FR48" s="14" t="str">
        <f ca="1">IF(FR$1="","",'Total Value'!FR60/'Total Value'!FQ60-1)</f>
        <v/>
      </c>
      <c r="FS48" s="14" t="str">
        <f ca="1">IF(FS$1="","",'Total Value'!FS60/'Total Value'!FR60-1)</f>
        <v/>
      </c>
      <c r="FT48" s="14" t="str">
        <f ca="1">IF(FT$1="","",'Total Value'!FT60/'Total Value'!FS60-1)</f>
        <v/>
      </c>
      <c r="FU48" s="14" t="str">
        <f ca="1">IF(FU$1="","",'Total Value'!FU60/'Total Value'!FT60-1)</f>
        <v/>
      </c>
      <c r="FV48" s="14" t="str">
        <f ca="1">IF(FV$1="","",'Total Value'!FV60/'Total Value'!FU60-1)</f>
        <v/>
      </c>
      <c r="FW48" s="14" t="str">
        <f ca="1">IF(FW$1="","",'Total Value'!FW60/'Total Value'!FV60-1)</f>
        <v/>
      </c>
      <c r="FX48" s="14" t="str">
        <f ca="1">IF(FX$1="","",'Total Value'!FX60/'Total Value'!FW60-1)</f>
        <v/>
      </c>
      <c r="FY48" s="14" t="str">
        <f ca="1">IF(FY$1="","",'Total Value'!FY60/'Total Value'!FX60-1)</f>
        <v/>
      </c>
      <c r="FZ48" s="14" t="str">
        <f ca="1">IF(FZ$1="","",'Total Value'!FZ60/'Total Value'!FY60-1)</f>
        <v/>
      </c>
      <c r="GA48" s="14" t="str">
        <f ca="1">IF(GA$1="","",'Total Value'!GA60/'Total Value'!FZ60-1)</f>
        <v/>
      </c>
      <c r="GB48" s="14" t="str">
        <f ca="1">IF(GB$1="","",'Total Value'!GB60/'Total Value'!GA60-1)</f>
        <v/>
      </c>
      <c r="GC48" s="14" t="str">
        <f ca="1">IF(GC$1="","",'Total Value'!GC60/'Total Value'!GB60-1)</f>
        <v/>
      </c>
      <c r="GD48" s="14" t="str">
        <f ca="1">IF(GD$1="","",'Total Value'!GD60/'Total Value'!GC60-1)</f>
        <v/>
      </c>
      <c r="GE48" s="14" t="str">
        <f ca="1">IF(GE$1="","",'Total Value'!GE60/'Total Value'!GD60-1)</f>
        <v/>
      </c>
      <c r="GF48" s="14" t="str">
        <f ca="1">IF(GF$1="","",'Total Value'!GF60/'Total Value'!GE60-1)</f>
        <v/>
      </c>
      <c r="GG48" s="14" t="str">
        <f ca="1">IF(GG$1="","",'Total Value'!GG60/'Total Value'!GF60-1)</f>
        <v/>
      </c>
      <c r="GH48" s="14" t="str">
        <f ca="1">IF(GH$1="","",'Total Value'!GH60/'Total Value'!GG60-1)</f>
        <v/>
      </c>
      <c r="GI48" s="14" t="str">
        <f ca="1">IF(GI$1="","",'Total Value'!GI60/'Total Value'!GH60-1)</f>
        <v/>
      </c>
      <c r="GJ48" s="14" t="str">
        <f ca="1">IF(GJ$1="","",'Total Value'!GJ60/'Total Value'!GI60-1)</f>
        <v/>
      </c>
      <c r="GK48" s="14" t="str">
        <f ca="1">IF(GK$1="","",'Total Value'!GK60/'Total Value'!GJ60-1)</f>
        <v/>
      </c>
      <c r="GL48" s="14" t="str">
        <f ca="1">IF(GL$1="","",'Total Value'!GL60/'Total Value'!GK60-1)</f>
        <v/>
      </c>
      <c r="GM48" s="14" t="str">
        <f ca="1">IF(GM$1="","",'Total Value'!GM60/'Total Value'!GL60-1)</f>
        <v/>
      </c>
      <c r="GN48" s="14" t="str">
        <f ca="1">IF(GN$1="","",'Total Value'!GN60/'Total Value'!GM60-1)</f>
        <v/>
      </c>
      <c r="GO48" s="14" t="str">
        <f ca="1">IF(GO$1="","",'Total Value'!GO60/'Total Value'!GN60-1)</f>
        <v/>
      </c>
      <c r="GP48" s="14" t="str">
        <f ca="1">IF(GP$1="","",'Total Value'!GP60/'Total Value'!GO60-1)</f>
        <v/>
      </c>
      <c r="GQ48" s="14" t="str">
        <f ca="1">IF(GQ$1="","",'Total Value'!GQ60/'Total Value'!GP60-1)</f>
        <v/>
      </c>
      <c r="GR48" s="14" t="str">
        <f ca="1">IF(GR$1="","",'Total Value'!GR60/'Total Value'!GQ60-1)</f>
        <v/>
      </c>
      <c r="GS48" s="14" t="str">
        <f ca="1">IF(GS$1="","",'Total Value'!GS60/'Total Value'!GR60-1)</f>
        <v/>
      </c>
      <c r="GT48" s="14" t="str">
        <f ca="1">IF(GT$1="","",'Total Value'!GT60/'Total Value'!GS60-1)</f>
        <v/>
      </c>
      <c r="GU48" s="14" t="str">
        <f ca="1">IF(GU$1="","",'Total Value'!GU60/'Total Value'!GT60-1)</f>
        <v/>
      </c>
      <c r="GV48" s="14" t="str">
        <f ca="1">IF(GV$1="","",'Total Value'!GV60/'Total Value'!GU60-1)</f>
        <v/>
      </c>
      <c r="GW48" s="14" t="str">
        <f ca="1">IF(GW$1="","",'Total Value'!GW60/'Total Value'!GV60-1)</f>
        <v/>
      </c>
      <c r="GX48" s="14" t="str">
        <f ca="1">IF(GX$1="","",'Total Value'!GX60/'Total Value'!GW60-1)</f>
        <v/>
      </c>
      <c r="GY48" s="14" t="str">
        <f ca="1">IF(GY$1="","",'Total Value'!GY60/'Total Value'!GX60-1)</f>
        <v/>
      </c>
      <c r="GZ48" s="14" t="str">
        <f ca="1">IF(GZ$1="","",'Total Value'!GZ60/'Total Value'!GY60-1)</f>
        <v/>
      </c>
      <c r="HA48" s="14" t="str">
        <f ca="1">IF(HA$1="","",'Total Value'!HA60/'Total Value'!GZ60-1)</f>
        <v/>
      </c>
      <c r="HB48" s="14" t="str">
        <f ca="1">IF(HB$1="","",'Total Value'!HB60/'Total Value'!HA60-1)</f>
        <v/>
      </c>
      <c r="HC48" s="14" t="str">
        <f ca="1">IF(HC$1="","",'Total Value'!HC60/'Total Value'!HB60-1)</f>
        <v/>
      </c>
      <c r="HD48" s="14" t="str">
        <f ca="1">IF(HD$1="","",'Total Value'!HD60/'Total Value'!HC60-1)</f>
        <v/>
      </c>
      <c r="HE48" s="14" t="str">
        <f ca="1">IF(HE$1="","",'Total Value'!HE60/'Total Value'!HD60-1)</f>
        <v/>
      </c>
      <c r="HF48" s="14" t="str">
        <f ca="1">IF(HF$1="","",'Total Value'!HF60/'Total Value'!HE60-1)</f>
        <v/>
      </c>
      <c r="HG48" s="14" t="str">
        <f ca="1">IF(HG$1="","",'Total Value'!HG60/'Total Value'!HF60-1)</f>
        <v/>
      </c>
      <c r="HH48" s="14" t="str">
        <f ca="1">IF(HH$1="","",'Total Value'!HH60/'Total Value'!HG60-1)</f>
        <v/>
      </c>
      <c r="HI48" s="14" t="str">
        <f ca="1">IF(HI$1="","",'Total Value'!HI60/'Total Value'!HH60-1)</f>
        <v/>
      </c>
      <c r="HJ48" s="14" t="str">
        <f ca="1">IF(HJ$1="","",'Total Value'!HJ60/'Total Value'!HI60-1)</f>
        <v/>
      </c>
      <c r="HK48" s="14" t="str">
        <f ca="1">IF(HK$1="","",'Total Value'!HK60/'Total Value'!HJ60-1)</f>
        <v/>
      </c>
      <c r="HL48" s="14" t="str">
        <f ca="1">IF(HL$1="","",'Total Value'!HL60/'Total Value'!HK60-1)</f>
        <v/>
      </c>
      <c r="HM48" s="14" t="str">
        <f ca="1">IF(HM$1="","",'Total Value'!HM60/'Total Value'!HL60-1)</f>
        <v/>
      </c>
      <c r="HN48" s="14" t="str">
        <f ca="1">IF(HN$1="","",'Total Value'!HN60/'Total Value'!HM60-1)</f>
        <v/>
      </c>
      <c r="HO48" s="14" t="str">
        <f ca="1">IF(HO$1="","",'Total Value'!HO60/'Total Value'!HN60-1)</f>
        <v/>
      </c>
      <c r="HP48" s="14" t="str">
        <f ca="1">IF(HP$1="","",'Total Value'!HP60/'Total Value'!HO60-1)</f>
        <v/>
      </c>
      <c r="HQ48" s="14" t="str">
        <f ca="1">IF(HQ$1="","",'Total Value'!HQ60/'Total Value'!HP60-1)</f>
        <v/>
      </c>
      <c r="HR48" s="14" t="str">
        <f ca="1">IF(HR$1="","",'Total Value'!HR60/'Total Value'!HQ60-1)</f>
        <v/>
      </c>
      <c r="HS48" s="14" t="str">
        <f ca="1">IF(HS$1="","",'Total Value'!HS60/'Total Value'!HR60-1)</f>
        <v/>
      </c>
      <c r="HT48" s="14" t="str">
        <f ca="1">IF(HT$1="","",'Total Value'!HT60/'Total Value'!HS60-1)</f>
        <v/>
      </c>
      <c r="HU48" s="14" t="str">
        <f ca="1">IF(HU$1="","",'Total Value'!HU60/'Total Value'!HT60-1)</f>
        <v/>
      </c>
      <c r="HV48" s="14" t="str">
        <f ca="1">IF(HV$1="","",'Total Value'!HV60/'Total Value'!HU60-1)</f>
        <v/>
      </c>
      <c r="HW48" s="14" t="str">
        <f ca="1">IF(HW$1="","",'Total Value'!HW60/'Total Value'!HV60-1)</f>
        <v/>
      </c>
      <c r="HX48" s="14" t="str">
        <f ca="1">IF(HX$1="","",'Total Value'!HX60/'Total Value'!HW60-1)</f>
        <v/>
      </c>
      <c r="HY48" s="14" t="str">
        <f ca="1">IF(HY$1="","",'Total Value'!HY60/'Total Value'!HX60-1)</f>
        <v/>
      </c>
      <c r="HZ48" s="14" t="str">
        <f ca="1">IF(HZ$1="","",'Total Value'!HZ60/'Total Value'!HY60-1)</f>
        <v/>
      </c>
      <c r="IA48" s="14" t="str">
        <f ca="1">IF(IA$1="","",'Total Value'!IA60/'Total Value'!HZ60-1)</f>
        <v/>
      </c>
      <c r="IB48" s="14" t="str">
        <f ca="1">IF(IB$1="","",'Total Value'!IB60/'Total Value'!IA60-1)</f>
        <v/>
      </c>
      <c r="IC48" s="14" t="str">
        <f ca="1">IF(IC$1="","",'Total Value'!IC60/'Total Value'!IB60-1)</f>
        <v/>
      </c>
      <c r="ID48" s="14" t="str">
        <f ca="1">IF(ID$1="","",'Total Value'!ID60/'Total Value'!IC60-1)</f>
        <v/>
      </c>
      <c r="IE48" s="14" t="str">
        <f ca="1">IF(IE$1="","",'Total Value'!IE60/'Total Value'!ID60-1)</f>
        <v/>
      </c>
      <c r="IF48" s="14" t="str">
        <f ca="1">IF(IF$1="","",'Total Value'!IF60/'Total Value'!IE60-1)</f>
        <v/>
      </c>
      <c r="IG48" s="14" t="str">
        <f ca="1">IF(IG$1="","",'Total Value'!IG60/'Total Value'!IF60-1)</f>
        <v/>
      </c>
      <c r="IH48" s="14" t="str">
        <f ca="1">IF(IH$1="","",'Total Value'!IH60/'Total Value'!IG60-1)</f>
        <v/>
      </c>
      <c r="II48" s="14" t="str">
        <f ca="1">IF(II$1="","",'Total Value'!II60/'Total Value'!IH60-1)</f>
        <v/>
      </c>
      <c r="IJ48" s="14" t="str">
        <f ca="1">IF(IJ$1="","",'Total Value'!IJ60/'Total Value'!II60-1)</f>
        <v/>
      </c>
      <c r="IK48" s="14" t="str">
        <f ca="1">IF(IK$1="","",'Total Value'!IK60/'Total Value'!IJ60-1)</f>
        <v/>
      </c>
      <c r="IL48" s="14" t="str">
        <f ca="1">IF(IL$1="","",'Total Value'!IL60/'Total Value'!IK60-1)</f>
        <v/>
      </c>
      <c r="IM48" s="14" t="str">
        <f ca="1">IF(IM$1="","",'Total Value'!IM60/'Total Value'!IL60-1)</f>
        <v/>
      </c>
      <c r="IN48" s="14" t="str">
        <f ca="1">IF(IN$1="","",'Total Value'!IN60/'Total Value'!IM60-1)</f>
        <v/>
      </c>
      <c r="IO48" s="14" t="str">
        <f ca="1">IF(IO$1="","",'Total Value'!IO60/'Total Value'!IN60-1)</f>
        <v/>
      </c>
      <c r="IP48" s="14" t="str">
        <f ca="1">IF(IP$1="","",'Total Value'!IP60/'Total Value'!IO60-1)</f>
        <v/>
      </c>
      <c r="IQ48" s="14" t="str">
        <f ca="1">IF(IQ$1="","",'Total Value'!IQ60/'Total Value'!IP60-1)</f>
        <v/>
      </c>
      <c r="IR48" s="14" t="str">
        <f ca="1">IF(IR$1="","",'Total Value'!IR60/'Total Value'!IQ60-1)</f>
        <v/>
      </c>
      <c r="IS48" s="14" t="str">
        <f ca="1">IF(IS$1="","",'Total Value'!IS60/'Total Value'!IR60-1)</f>
        <v/>
      </c>
      <c r="IT48" s="14" t="str">
        <f ca="1">IF(IT$1="","",'Total Value'!IT60/'Total Value'!IS60-1)</f>
        <v/>
      </c>
      <c r="IU48" s="14" t="str">
        <f ca="1">IF(IU$1="","",'Total Value'!IU60/'Total Value'!IT60-1)</f>
        <v/>
      </c>
      <c r="IV48" s="14" t="str">
        <f ca="1">IF(IV$1="","",'Total Value'!IV60/'Total Value'!IU60-1)</f>
        <v/>
      </c>
      <c r="IW48" s="14" t="str">
        <f ca="1">IF(IW$1="","",'Total Value'!IW60/'Total Value'!IV60-1)</f>
        <v/>
      </c>
      <c r="IX48" s="14" t="str">
        <f ca="1">IF(IX$1="","",'Total Value'!IX60/'Total Value'!IW60-1)</f>
        <v/>
      </c>
      <c r="IY48" s="14" t="str">
        <f ca="1">IF(IY$1="","",'Total Value'!IY60/'Total Value'!IX60-1)</f>
        <v/>
      </c>
      <c r="IZ48" s="14" t="str">
        <f ca="1">IF(IZ$1="","",'Total Value'!IZ60/'Total Value'!IY60-1)</f>
        <v/>
      </c>
      <c r="JA48" s="14" t="str">
        <f ca="1">IF(JA$1="","",'Total Value'!JA60/'Total Value'!IZ60-1)</f>
        <v/>
      </c>
      <c r="JB48" s="14" t="str">
        <f ca="1">IF(JB$1="","",'Total Value'!JB60/'Total Value'!JA60-1)</f>
        <v/>
      </c>
      <c r="JC48" s="14" t="str">
        <f ca="1">IF(JC$1="","",'Total Value'!JC60/'Total Value'!JB60-1)</f>
        <v/>
      </c>
      <c r="JD48" s="14" t="str">
        <f ca="1">IF(JD$1="","",'Total Value'!JD60/'Total Value'!JC60-1)</f>
        <v/>
      </c>
      <c r="JE48" s="14" t="str">
        <f ca="1">IF(JE$1="","",'Total Value'!JE60/'Total Value'!JD60-1)</f>
        <v/>
      </c>
      <c r="JF48" s="14" t="str">
        <f ca="1">IF(JF$1="","",'Total Value'!JF60/'Total Value'!JE60-1)</f>
        <v/>
      </c>
      <c r="JG48" s="14" t="str">
        <f ca="1">IF(JG$1="","",'Total Value'!JG60/'Total Value'!JF60-1)</f>
        <v/>
      </c>
      <c r="JH48" s="14" t="str">
        <f ca="1">IF(JH$1="","",'Total Value'!JH60/'Total Value'!JG60-1)</f>
        <v/>
      </c>
      <c r="JI48" s="14" t="str">
        <f ca="1">IF(JI$1="","",'Total Value'!JI60/'Total Value'!JH60-1)</f>
        <v/>
      </c>
      <c r="JJ48" s="14" t="str">
        <f ca="1">IF(JJ$1="","",'Total Value'!JJ60/'Total Value'!JI60-1)</f>
        <v/>
      </c>
      <c r="JK48" s="14" t="str">
        <f ca="1">IF(JK$1="","",'Total Value'!JK60/'Total Value'!JJ60-1)</f>
        <v/>
      </c>
      <c r="JL48" s="14" t="str">
        <f ca="1">IF(JL$1="","",'Total Value'!JL60/'Total Value'!JK60-1)</f>
        <v/>
      </c>
      <c r="JM48" s="14" t="str">
        <f ca="1">IF(JM$1="","",'Total Value'!JM60/'Total Value'!JL60-1)</f>
        <v/>
      </c>
      <c r="JN48" s="14" t="str">
        <f ca="1">IF(JN$1="","",'Total Value'!JN60/'Total Value'!JM60-1)</f>
        <v/>
      </c>
      <c r="JO48" s="14" t="str">
        <f ca="1">IF(JO$1="","",'Total Value'!JO60/'Total Value'!JN60-1)</f>
        <v/>
      </c>
      <c r="JP48" s="14" t="str">
        <f ca="1">IF(JP$1="","",'Total Value'!JP60/'Total Value'!JO60-1)</f>
        <v/>
      </c>
      <c r="JQ48" s="14" t="str">
        <f ca="1">IF(JQ$1="","",'Total Value'!JQ60/'Total Value'!JP60-1)</f>
        <v/>
      </c>
      <c r="JR48" s="14" t="str">
        <f ca="1">IF(JR$1="","",'Total Value'!JR60/'Total Value'!JQ60-1)</f>
        <v/>
      </c>
      <c r="JS48" s="14" t="str">
        <f ca="1">IF(JS$1="","",'Total Value'!JS60/'Total Value'!JR60-1)</f>
        <v/>
      </c>
      <c r="JT48" s="14" t="str">
        <f ca="1">IF(JT$1="","",'Total Value'!JT60/'Total Value'!JS60-1)</f>
        <v/>
      </c>
      <c r="JU48" s="14" t="str">
        <f ca="1">IF(JU$1="","",'Total Value'!JU60/'Total Value'!JT60-1)</f>
        <v/>
      </c>
      <c r="JV48" s="14" t="str">
        <f ca="1">IF(JV$1="","",'Total Value'!JV60/'Total Value'!JU60-1)</f>
        <v/>
      </c>
      <c r="JW48" s="14" t="str">
        <f ca="1">IF(JW$1="","",'Total Value'!JW60/'Total Value'!JV60-1)</f>
        <v/>
      </c>
      <c r="JX48" s="14" t="str">
        <f ca="1">IF(JX$1="","",'Total Value'!JX60/'Total Value'!JW60-1)</f>
        <v/>
      </c>
      <c r="JY48" s="14" t="str">
        <f ca="1">IF(JY$1="","",'Total Value'!JY60/'Total Value'!JX60-1)</f>
        <v/>
      </c>
      <c r="JZ48" s="14" t="str">
        <f ca="1">IF(JZ$1="","",'Total Value'!JZ60/'Total Value'!JY60-1)</f>
        <v/>
      </c>
      <c r="KA48" s="14" t="str">
        <f ca="1">IF(KA$1="","",'Total Value'!KA60/'Total Value'!JZ60-1)</f>
        <v/>
      </c>
      <c r="KB48" s="14" t="str">
        <f ca="1">IF(KB$1="","",'Total Value'!KB60/'Total Value'!KA60-1)</f>
        <v/>
      </c>
    </row>
    <row r="49" spans="1:288" ht="15.75" customHeight="1">
      <c r="A49" s="22" t="s">
        <v>30</v>
      </c>
      <c r="B49" s="6" t="s">
        <v>92</v>
      </c>
      <c r="C49" s="26">
        <v>100</v>
      </c>
      <c r="D49" s="13">
        <v>0</v>
      </c>
      <c r="E49" s="14">
        <f ca="1">IF(E$1="","",'Total Value'!E61/'Total Value'!D61-1)</f>
        <v>7.5949367088607556E-2</v>
      </c>
      <c r="F49" s="14">
        <f ca="1">IF(F$1="","",'Total Value'!F61/'Total Value'!E61-1)</f>
        <v>1.1764705882352899E-2</v>
      </c>
      <c r="G49" s="14">
        <f ca="1">IF(G$1="","",'Total Value'!G61/'Total Value'!F61-1)</f>
        <v>-2.3255813953488413E-2</v>
      </c>
      <c r="H49" s="14">
        <f ca="1">IF(H$1="","",'Total Value'!H61/'Total Value'!G61-1)</f>
        <v>2.3809523809523725E-2</v>
      </c>
      <c r="I49" s="14">
        <f ca="1">IF(I$1="","",'Total Value'!I61/'Total Value'!H61-1)</f>
        <v>3.488372093023262E-2</v>
      </c>
      <c r="J49" s="14">
        <f ca="1">IF(J$1="","",'Total Value'!J61/'Total Value'!I61-1)</f>
        <v>3.3707865168539408E-2</v>
      </c>
      <c r="K49" s="14">
        <f ca="1">IF(K$1="","",'Total Value'!K61/'Total Value'!J61-1)</f>
        <v>-2.1739130434782594E-2</v>
      </c>
      <c r="L49" s="14">
        <f ca="1">IF(L$1="","",'Total Value'!L61/'Total Value'!K61-1)</f>
        <v>-4.4444444444444398E-2</v>
      </c>
      <c r="M49" s="14">
        <f ca="1">IF(M$1="","",'Total Value'!M61/'Total Value'!L61-1)</f>
        <v>-3.4883720930232509E-2</v>
      </c>
      <c r="N49" s="14">
        <f ca="1">IF(N$1="","",'Total Value'!N61/'Total Value'!M61-1)</f>
        <v>6.024096385542177E-2</v>
      </c>
      <c r="O49" s="14">
        <f ca="1">IF(O$1="","",'Total Value'!O61/'Total Value'!N61-1)</f>
        <v>-1.1363636363636354E-2</v>
      </c>
      <c r="P49" s="14">
        <f ca="1">IF(P$1="","",'Total Value'!P61/'Total Value'!O61-1)</f>
        <v>-1.1494252873563204E-2</v>
      </c>
      <c r="Q49" s="14">
        <f ca="1">IF(Q$1="","",'Total Value'!Q61/'Total Value'!P61-1)</f>
        <v>2.3255813953488413E-2</v>
      </c>
      <c r="R49" s="14">
        <f ca="1">IF(R$1="","",'Total Value'!R61/'Total Value'!Q61-1)</f>
        <v>3.4090909090909172E-2</v>
      </c>
      <c r="S49" s="14">
        <f ca="1">IF(S$1="","",'Total Value'!S61/'Total Value'!R61-1)</f>
        <v>5.4945054945054972E-2</v>
      </c>
      <c r="T49" s="14">
        <f ca="1">IF(T$1="","",'Total Value'!T61/'Total Value'!S61-1)</f>
        <v>6.25E-2</v>
      </c>
      <c r="U49" s="14">
        <f ca="1">IF(U$1="","",'Total Value'!U61/'Total Value'!T61-1)</f>
        <v>4.9019607843137303E-2</v>
      </c>
      <c r="V49" s="14">
        <f ca="1">IF(V$1="","",'Total Value'!V61/'Total Value'!U61-1)</f>
        <v>-9.3457943925233655E-3</v>
      </c>
      <c r="W49" s="14">
        <f ca="1">IF(W$1="","",'Total Value'!W61/'Total Value'!V61-1)</f>
        <v>3.7735849056603987E-2</v>
      </c>
      <c r="X49" s="14">
        <f ca="1">IF(X$1="","",'Total Value'!X61/'Total Value'!W61-1)</f>
        <v>-2.7272727272727448E-2</v>
      </c>
      <c r="Y49" s="14">
        <f ca="1">IF(Y$1="","",'Total Value'!Y61/'Total Value'!X61-1)</f>
        <v>0</v>
      </c>
      <c r="Z49" s="14">
        <f ca="1">IF(Z$1="","",'Total Value'!Z61/'Total Value'!Y61-1)</f>
        <v>2.8037383177570208E-2</v>
      </c>
      <c r="AA49" s="14">
        <f ca="1">IF(AA$1="","",'Total Value'!AA61/'Total Value'!Z61-1)</f>
        <v>0.14545454545454528</v>
      </c>
      <c r="AB49" s="14">
        <f ca="1">IF(AB$1="","",'Total Value'!AB61/'Total Value'!AA61-1)</f>
        <v>3.1746031746031855E-2</v>
      </c>
      <c r="AC49" s="14">
        <f ca="1">IF(AC$1="","",'Total Value'!AC61/'Total Value'!AB61-1)</f>
        <v>-7.692307692307665E-3</v>
      </c>
      <c r="AD49" s="14">
        <f ca="1">IF(AD$1="","",'Total Value'!AD61/'Total Value'!AC61-1)</f>
        <v>-1.5503875968992276E-2</v>
      </c>
      <c r="AE49" s="14">
        <f ca="1">IF(AE$1="","",'Total Value'!AE61/'Total Value'!AD61-1)</f>
        <v>3.1496062992125928E-2</v>
      </c>
      <c r="AF49" s="14">
        <f ca="1">IF(AF$1="","",'Total Value'!AF61/'Total Value'!AE61-1)</f>
        <v>-3.8167938931297662E-2</v>
      </c>
      <c r="AG49" s="14">
        <f ca="1">IF(AG$1="","",'Total Value'!AG61/'Total Value'!AF61-1)</f>
        <v>2.3809523809523725E-2</v>
      </c>
      <c r="AH49" s="14">
        <f ca="1">IF(AH$1="","",'Total Value'!AH61/'Total Value'!AG61-1)</f>
        <v>2.3255813953488413E-2</v>
      </c>
      <c r="AI49" s="14">
        <f ca="1">IF(AI$1="","",'Total Value'!AI61/'Total Value'!AH61-1)</f>
        <v>7.575757575757569E-2</v>
      </c>
      <c r="AJ49" s="14">
        <f ca="1">IF(AJ$1="","",'Total Value'!AJ61/'Total Value'!AI61-1)</f>
        <v>-2.8169014084507005E-2</v>
      </c>
      <c r="AK49" s="14">
        <f ca="1">IF(AK$1="","",'Total Value'!AK61/'Total Value'!AJ61-1)</f>
        <v>1.449275362318847E-2</v>
      </c>
      <c r="AL49" s="14">
        <f ca="1">IF(AL$1="","",'Total Value'!AL61/'Total Value'!AK61-1)</f>
        <v>2.857142857142847E-2</v>
      </c>
      <c r="AM49" s="14">
        <f ca="1">IF(AM$1="","",'Total Value'!AM61/'Total Value'!AL61-1)</f>
        <v>4.861111111111116E-2</v>
      </c>
      <c r="AN49" s="14">
        <f ca="1">IF(AN$1="","",'Total Value'!AN61/'Total Value'!AM61-1)</f>
        <v>-6.6225165562913912E-2</v>
      </c>
      <c r="AO49" s="14">
        <f ca="1">IF(AO$1="","",'Total Value'!AO61/'Total Value'!AN61-1)</f>
        <v>8.5106382978723305E-2</v>
      </c>
      <c r="AP49" s="14">
        <f ca="1">IF(AP$1="","",'Total Value'!AP61/'Total Value'!AO61-1)</f>
        <v>0.1633986928104576</v>
      </c>
      <c r="AQ49" s="14">
        <f ca="1">IF(AQ$1="","",'Total Value'!AQ61/'Total Value'!AP61-1)</f>
        <v>1.1235955056179803E-2</v>
      </c>
      <c r="AR49" s="14">
        <f ca="1">IF(AR$1="","",'Total Value'!AR61/'Total Value'!AQ61-1)</f>
        <v>-0.11111111111111116</v>
      </c>
      <c r="AS49" s="14">
        <f ca="1">IF(AS$1="","",'Total Value'!AS61/'Total Value'!AR61-1)</f>
        <v>3.7500000000000089E-2</v>
      </c>
      <c r="AT49" s="14">
        <f ca="1">IF(AT$1="","",'Total Value'!AT61/'Total Value'!AS61-1)</f>
        <v>-4.8192771084337394E-2</v>
      </c>
      <c r="AU49" s="14">
        <f ca="1">IF(AU$1="","",'Total Value'!AU61/'Total Value'!AT61-1)</f>
        <v>-0.11392405063291144</v>
      </c>
      <c r="AV49" s="14">
        <f ca="1">IF(AV$1="","",'Total Value'!AV61/'Total Value'!AU61-1)</f>
        <v>-7.1428571428571175E-3</v>
      </c>
      <c r="AW49" s="14">
        <f ca="1">IF(AW$1="","",'Total Value'!AW61/'Total Value'!AV61-1)</f>
        <v>0</v>
      </c>
      <c r="AX49" s="14">
        <f ca="1">IF(AX$1="","",'Total Value'!AX61/'Total Value'!AW61-1)</f>
        <v>6.4748201438848962E-2</v>
      </c>
      <c r="AY49" s="14">
        <f ca="1">IF(AY$1="","",'Total Value'!AY61/'Total Value'!AX61-1)</f>
        <v>2.0270270270270174E-2</v>
      </c>
      <c r="AZ49" s="14">
        <f ca="1">IF(AZ$1="","",'Total Value'!AZ61/'Total Value'!AY61-1)</f>
        <v>6.6225165562913801E-2</v>
      </c>
      <c r="BA49" s="14">
        <f ca="1">IF(BA$1="","",'Total Value'!BA61/'Total Value'!AZ61-1)</f>
        <v>-3.105590062111796E-2</v>
      </c>
      <c r="BB49" s="14">
        <f ca="1">IF(BB$1="","",'Total Value'!BB61/'Total Value'!BA61-1)</f>
        <v>7.6923076923076872E-2</v>
      </c>
      <c r="BC49" s="14">
        <f ca="1">IF(BC$1="","",'Total Value'!BC61/'Total Value'!BB61-1)</f>
        <v>-2.3809523809523836E-2</v>
      </c>
      <c r="BD49" s="14">
        <f ca="1">IF(BD$1="","",'Total Value'!BD61/'Total Value'!BC61-1)</f>
        <v>3.6585365853658569E-2</v>
      </c>
      <c r="BE49" s="14">
        <f ca="1">IF(BE$1="","",'Total Value'!BE61/'Total Value'!BD61-1)</f>
        <v>-5.2941176470588269E-2</v>
      </c>
      <c r="BF49" s="14">
        <f ca="1">IF(BF$1="","",'Total Value'!BF61/'Total Value'!BE61-1)</f>
        <v>-1.8633540372670843E-2</v>
      </c>
      <c r="BG49" s="14">
        <f ca="1">IF(BG$1="","",'Total Value'!BG61/'Total Value'!BF61-1)</f>
        <v>3.7974683544303778E-2</v>
      </c>
      <c r="BH49" s="14">
        <f ca="1">IF(BH$1="","",'Total Value'!BH61/'Total Value'!BG61-1)</f>
        <v>-4.2682926829268331E-2</v>
      </c>
      <c r="BI49" s="14">
        <f ca="1">IF(BI$1="","",'Total Value'!BI61/'Total Value'!BH61-1)</f>
        <v>0</v>
      </c>
      <c r="BJ49" s="14">
        <f ca="1">IF(BJ$1="","",'Total Value'!BJ61/'Total Value'!BI61-1)</f>
        <v>4.4585987261146487E-2</v>
      </c>
      <c r="BK49" s="14">
        <f ca="1">IF(BK$1="","",'Total Value'!BK61/'Total Value'!BJ61-1)</f>
        <v>-3.0487804878048808E-2</v>
      </c>
      <c r="BL49" s="14">
        <f ca="1">IF(BL$1="","",'Total Value'!BL61/'Total Value'!BK61-1)</f>
        <v>-1.8867924528301883E-2</v>
      </c>
      <c r="BM49" s="14">
        <f ca="1">IF(BM$1="","",'Total Value'!BM61/'Total Value'!BL61-1)</f>
        <v>0</v>
      </c>
      <c r="BN49" s="14">
        <f ca="1">IF(BN$1="","",'Total Value'!BN61/'Total Value'!BM61-1)</f>
        <v>5.1282051282051322E-2</v>
      </c>
      <c r="BO49" s="14">
        <f ca="1">IF(BO$1="","",'Total Value'!BO61/'Total Value'!BN61-1)</f>
        <v>-7.3170731707317027E-2</v>
      </c>
      <c r="BP49" s="14">
        <f ca="1">IF(BP$1="","",'Total Value'!BP61/'Total Value'!BO61-1)</f>
        <v>3.289473684210531E-2</v>
      </c>
      <c r="BQ49" s="14">
        <f ca="1">IF(BQ$1="","",'Total Value'!BQ61/'Total Value'!BP61-1)</f>
        <v>1.2738853503184711E-2</v>
      </c>
      <c r="BR49" s="14">
        <f ca="1">IF(BR$1="","",'Total Value'!BR61/'Total Value'!BQ61-1)</f>
        <v>8.1761006289308158E-2</v>
      </c>
      <c r="BS49" s="14">
        <f ca="1">IF(BS$1="","",'Total Value'!BS61/'Total Value'!BR61-1)</f>
        <v>3.488372093023262E-2</v>
      </c>
      <c r="BT49" s="14">
        <f ca="1">IF(BT$1="","",'Total Value'!BT61/'Total Value'!BS61-1)</f>
        <v>-4.49438202247191E-2</v>
      </c>
      <c r="BU49" s="14">
        <f ca="1">IF(BU$1="","",'Total Value'!BU61/'Total Value'!BT61-1)</f>
        <v>0.11176470588235299</v>
      </c>
      <c r="BV49" s="14">
        <f ca="1">IF(BV$1="","",'Total Value'!BV61/'Total Value'!BU61-1)</f>
        <v>-6.3492063492063489E-2</v>
      </c>
      <c r="BW49" s="14">
        <f ca="1">IF(BW$1="","",'Total Value'!BW61/'Total Value'!BV61-1)</f>
        <v>-3.9548022598870025E-2</v>
      </c>
      <c r="BX49" s="14">
        <f ca="1">IF(BX$1="","",'Total Value'!BX61/'Total Value'!BW61-1)</f>
        <v>-5.2941176470588269E-2</v>
      </c>
      <c r="BY49" s="14">
        <f ca="1">IF(BY$1="","",'Total Value'!BY61/'Total Value'!BX61-1)</f>
        <v>6.2111801242235032E-3</v>
      </c>
      <c r="BZ49" s="14">
        <f ca="1">IF(BZ$1="","",'Total Value'!BZ61/'Total Value'!BY61-1)</f>
        <v>-6.1728395061728669E-3</v>
      </c>
      <c r="CA49" s="14">
        <f ca="1">IF(CA$1="","",'Total Value'!CA61/'Total Value'!BZ61-1)</f>
        <v>4.3478260869565188E-2</v>
      </c>
      <c r="CB49" s="14">
        <f ca="1">IF(CB$1="","",'Total Value'!CB61/'Total Value'!CA61-1)</f>
        <v>-3.5714285714285698E-2</v>
      </c>
      <c r="CC49" s="14">
        <f ca="1">IF(CC$1="","",'Total Value'!CC61/'Total Value'!CB61-1)</f>
        <v>-1.851851851851849E-2</v>
      </c>
      <c r="CD49" s="14">
        <f ca="1">IF(CD$1="","",'Total Value'!CD61/'Total Value'!CC61-1)</f>
        <v>8.8050314465408785E-2</v>
      </c>
      <c r="CE49" s="14">
        <f ca="1">IF(CE$1="","",'Total Value'!CE61/'Total Value'!CD61-1)</f>
        <v>-3.4682080924855474E-2</v>
      </c>
      <c r="CF49" s="14" t="str">
        <f ca="1">IF(CF$1="","",'Total Value'!CF61/'Total Value'!CE61-1)</f>
        <v/>
      </c>
      <c r="CG49" s="14" t="str">
        <f ca="1">IF(CG$1="","",'Total Value'!CG61/'Total Value'!CF61-1)</f>
        <v/>
      </c>
      <c r="CH49" s="14" t="str">
        <f ca="1">IF(CH$1="","",'Total Value'!CH61/'Total Value'!CG61-1)</f>
        <v/>
      </c>
      <c r="CI49" s="14" t="str">
        <f ca="1">IF(CI$1="","",'Total Value'!CI61/'Total Value'!CH61-1)</f>
        <v/>
      </c>
      <c r="CJ49" s="14" t="str">
        <f ca="1">IF(CJ$1="","",'Total Value'!CJ61/'Total Value'!CI61-1)</f>
        <v/>
      </c>
      <c r="CK49" s="14" t="str">
        <f ca="1">IF(CK$1="","",'Total Value'!CK61/'Total Value'!CJ61-1)</f>
        <v/>
      </c>
      <c r="CL49" s="14" t="str">
        <f ca="1">IF(CL$1="","",'Total Value'!CL61/'Total Value'!CK61-1)</f>
        <v/>
      </c>
      <c r="CM49" s="14" t="str">
        <f ca="1">IF(CM$1="","",'Total Value'!CM61/'Total Value'!CL61-1)</f>
        <v/>
      </c>
      <c r="CN49" s="14" t="str">
        <f ca="1">IF(CN$1="","",'Total Value'!CN61/'Total Value'!CM61-1)</f>
        <v/>
      </c>
      <c r="CO49" s="14" t="str">
        <f ca="1">IF(CO$1="","",'Total Value'!CO61/'Total Value'!CN61-1)</f>
        <v/>
      </c>
      <c r="CP49" s="14" t="str">
        <f ca="1">IF(CP$1="","",'Total Value'!CP61/'Total Value'!CO61-1)</f>
        <v/>
      </c>
      <c r="CQ49" s="14" t="str">
        <f ca="1">IF(CQ$1="","",'Total Value'!CQ61/'Total Value'!CP61-1)</f>
        <v/>
      </c>
      <c r="CR49" s="14" t="str">
        <f ca="1">IF(CR$1="","",'Total Value'!CR61/'Total Value'!CQ61-1)</f>
        <v/>
      </c>
      <c r="CS49" s="14" t="str">
        <f ca="1">IF(CS$1="","",'Total Value'!CS61/'Total Value'!CR61-1)</f>
        <v/>
      </c>
      <c r="CT49" s="14" t="str">
        <f ca="1">IF(CT$1="","",'Total Value'!CT61/'Total Value'!CS61-1)</f>
        <v/>
      </c>
      <c r="CU49" s="14" t="str">
        <f ca="1">IF(CU$1="","",'Total Value'!CU61/'Total Value'!CT61-1)</f>
        <v/>
      </c>
      <c r="CV49" s="14" t="str">
        <f ca="1">IF(CV$1="","",'Total Value'!CV61/'Total Value'!CU61-1)</f>
        <v/>
      </c>
      <c r="CW49" s="14" t="str">
        <f ca="1">IF(CW$1="","",'Total Value'!CW61/'Total Value'!CV61-1)</f>
        <v/>
      </c>
      <c r="CX49" s="14" t="str">
        <f ca="1">IF(CX$1="","",'Total Value'!CX61/'Total Value'!CW61-1)</f>
        <v/>
      </c>
      <c r="CY49" s="14" t="str">
        <f ca="1">IF(CY$1="","",'Total Value'!CY61/'Total Value'!CX61-1)</f>
        <v/>
      </c>
      <c r="CZ49" s="14" t="str">
        <f ca="1">IF(CZ$1="","",'Total Value'!CZ61/'Total Value'!CY61-1)</f>
        <v/>
      </c>
      <c r="DA49" s="14" t="str">
        <f ca="1">IF(DA$1="","",'Total Value'!DA61/'Total Value'!CZ61-1)</f>
        <v/>
      </c>
      <c r="DB49" s="14" t="str">
        <f ca="1">IF(DB$1="","",'Total Value'!DB61/'Total Value'!DA61-1)</f>
        <v/>
      </c>
      <c r="DC49" s="14" t="str">
        <f ca="1">IF(DC$1="","",'Total Value'!DC61/'Total Value'!DB61-1)</f>
        <v/>
      </c>
      <c r="DD49" s="14" t="str">
        <f ca="1">IF(DD$1="","",'Total Value'!DD61/'Total Value'!DC61-1)</f>
        <v/>
      </c>
      <c r="DE49" s="14" t="str">
        <f ca="1">IF(DE$1="","",'Total Value'!DE61/'Total Value'!DD61-1)</f>
        <v/>
      </c>
      <c r="DF49" s="14" t="str">
        <f ca="1">IF(DF$1="","",'Total Value'!DF61/'Total Value'!DE61-1)</f>
        <v/>
      </c>
      <c r="DG49" s="14" t="str">
        <f ca="1">IF(DG$1="","",'Total Value'!DG61/'Total Value'!DF61-1)</f>
        <v/>
      </c>
      <c r="DH49" s="14" t="str">
        <f ca="1">IF(DH$1="","",'Total Value'!DH61/'Total Value'!DG61-1)</f>
        <v/>
      </c>
      <c r="DI49" s="14" t="str">
        <f ca="1">IF(DI$1="","",'Total Value'!DI61/'Total Value'!DH61-1)</f>
        <v/>
      </c>
      <c r="DJ49" s="14" t="str">
        <f ca="1">IF(DJ$1="","",'Total Value'!DJ61/'Total Value'!DI61-1)</f>
        <v/>
      </c>
      <c r="DK49" s="14" t="str">
        <f ca="1">IF(DK$1="","",'Total Value'!DK61/'Total Value'!DJ61-1)</f>
        <v/>
      </c>
      <c r="DL49" s="14" t="str">
        <f ca="1">IF(DL$1="","",'Total Value'!DL61/'Total Value'!DK61-1)</f>
        <v/>
      </c>
      <c r="DM49" s="14" t="str">
        <f ca="1">IF(DM$1="","",'Total Value'!DM61/'Total Value'!DL61-1)</f>
        <v/>
      </c>
      <c r="DN49" s="14" t="str">
        <f ca="1">IF(DN$1="","",'Total Value'!DN61/'Total Value'!DM61-1)</f>
        <v/>
      </c>
      <c r="DO49" s="14" t="str">
        <f ca="1">IF(DO$1="","",'Total Value'!DO61/'Total Value'!DN61-1)</f>
        <v/>
      </c>
      <c r="DP49" s="14" t="str">
        <f ca="1">IF(DP$1="","",'Total Value'!DP61/'Total Value'!DO61-1)</f>
        <v/>
      </c>
      <c r="DQ49" s="14" t="str">
        <f ca="1">IF(DQ$1="","",'Total Value'!DQ61/'Total Value'!DP61-1)</f>
        <v/>
      </c>
      <c r="DR49" s="14" t="str">
        <f ca="1">IF(DR$1="","",'Total Value'!DR61/'Total Value'!DQ61-1)</f>
        <v/>
      </c>
      <c r="DS49" s="14" t="str">
        <f ca="1">IF(DS$1="","",'Total Value'!DS61/'Total Value'!DR61-1)</f>
        <v/>
      </c>
      <c r="DT49" s="14" t="str">
        <f ca="1">IF(DT$1="","",'Total Value'!DT61/'Total Value'!DS61-1)</f>
        <v/>
      </c>
      <c r="DU49" s="14" t="str">
        <f ca="1">IF(DU$1="","",'Total Value'!DU61/'Total Value'!DT61-1)</f>
        <v/>
      </c>
      <c r="DV49" s="14" t="str">
        <f ca="1">IF(DV$1="","",'Total Value'!DV61/'Total Value'!DU61-1)</f>
        <v/>
      </c>
      <c r="DW49" s="14" t="str">
        <f ca="1">IF(DW$1="","",'Total Value'!DW61/'Total Value'!DV61-1)</f>
        <v/>
      </c>
      <c r="DX49" s="14" t="str">
        <f ca="1">IF(DX$1="","",'Total Value'!DX61/'Total Value'!DW61-1)</f>
        <v/>
      </c>
      <c r="DY49" s="14" t="str">
        <f ca="1">IF(DY$1="","",'Total Value'!DY61/'Total Value'!DX61-1)</f>
        <v/>
      </c>
      <c r="DZ49" s="14" t="str">
        <f ca="1">IF(DZ$1="","",'Total Value'!DZ61/'Total Value'!DY61-1)</f>
        <v/>
      </c>
      <c r="EA49" s="14" t="str">
        <f ca="1">IF(EA$1="","",'Total Value'!EA61/'Total Value'!DZ61-1)</f>
        <v/>
      </c>
      <c r="EB49" s="14" t="str">
        <f ca="1">IF(EB$1="","",'Total Value'!EB61/'Total Value'!EA61-1)</f>
        <v/>
      </c>
      <c r="EC49" s="14" t="str">
        <f ca="1">IF(EC$1="","",'Total Value'!EC61/'Total Value'!EB61-1)</f>
        <v/>
      </c>
      <c r="ED49" s="14" t="str">
        <f ca="1">IF(ED$1="","",'Total Value'!ED61/'Total Value'!EC61-1)</f>
        <v/>
      </c>
      <c r="EE49" s="14" t="str">
        <f ca="1">IF(EE$1="","",'Total Value'!EE61/'Total Value'!ED61-1)</f>
        <v/>
      </c>
      <c r="EF49" s="14" t="str">
        <f ca="1">IF(EF$1="","",'Total Value'!EF61/'Total Value'!EE61-1)</f>
        <v/>
      </c>
      <c r="EG49" s="14" t="str">
        <f ca="1">IF(EG$1="","",'Total Value'!EG61/'Total Value'!EF61-1)</f>
        <v/>
      </c>
      <c r="EH49" s="14" t="str">
        <f ca="1">IF(EH$1="","",'Total Value'!EH61/'Total Value'!EG61-1)</f>
        <v/>
      </c>
      <c r="EI49" s="14" t="str">
        <f ca="1">IF(EI$1="","",'Total Value'!EI61/'Total Value'!EH61-1)</f>
        <v/>
      </c>
      <c r="EJ49" s="14" t="str">
        <f ca="1">IF(EJ$1="","",'Total Value'!EJ61/'Total Value'!EI61-1)</f>
        <v/>
      </c>
      <c r="EK49" s="14" t="str">
        <f ca="1">IF(EK$1="","",'Total Value'!EK61/'Total Value'!EJ61-1)</f>
        <v/>
      </c>
      <c r="EL49" s="14" t="str">
        <f ca="1">IF(EL$1="","",'Total Value'!EL61/'Total Value'!EK61-1)</f>
        <v/>
      </c>
      <c r="EM49" s="14" t="str">
        <f ca="1">IF(EM$1="","",'Total Value'!EM61/'Total Value'!EL61-1)</f>
        <v/>
      </c>
      <c r="EN49" s="14" t="str">
        <f ca="1">IF(EN$1="","",'Total Value'!EN61/'Total Value'!EM61-1)</f>
        <v/>
      </c>
      <c r="EO49" s="14" t="str">
        <f ca="1">IF(EO$1="","",'Total Value'!EO61/'Total Value'!EN61-1)</f>
        <v/>
      </c>
      <c r="EP49" s="14" t="str">
        <f ca="1">IF(EP$1="","",'Total Value'!EP61/'Total Value'!EO61-1)</f>
        <v/>
      </c>
      <c r="EQ49" s="14" t="str">
        <f ca="1">IF(EQ$1="","",'Total Value'!EQ61/'Total Value'!EP61-1)</f>
        <v/>
      </c>
      <c r="ER49" s="14" t="str">
        <f ca="1">IF(ER$1="","",'Total Value'!ER61/'Total Value'!EQ61-1)</f>
        <v/>
      </c>
      <c r="ES49" s="14" t="str">
        <f ca="1">IF(ES$1="","",'Total Value'!ES61/'Total Value'!ER61-1)</f>
        <v/>
      </c>
      <c r="ET49" s="14" t="str">
        <f ca="1">IF(ET$1="","",'Total Value'!ET61/'Total Value'!ES61-1)</f>
        <v/>
      </c>
      <c r="EU49" s="14" t="str">
        <f ca="1">IF(EU$1="","",'Total Value'!EU61/'Total Value'!ET61-1)</f>
        <v/>
      </c>
      <c r="EV49" s="14" t="str">
        <f ca="1">IF(EV$1="","",'Total Value'!EV61/'Total Value'!EU61-1)</f>
        <v/>
      </c>
      <c r="EW49" s="14" t="str">
        <f ca="1">IF(EW$1="","",'Total Value'!EW61/'Total Value'!EV61-1)</f>
        <v/>
      </c>
      <c r="EX49" s="14" t="str">
        <f ca="1">IF(EX$1="","",'Total Value'!EX61/'Total Value'!EW61-1)</f>
        <v/>
      </c>
      <c r="EY49" s="14" t="str">
        <f ca="1">IF(EY$1="","",'Total Value'!EY61/'Total Value'!EX61-1)</f>
        <v/>
      </c>
      <c r="EZ49" s="14" t="str">
        <f ca="1">IF(EZ$1="","",'Total Value'!EZ61/'Total Value'!EY61-1)</f>
        <v/>
      </c>
      <c r="FA49" s="14" t="str">
        <f ca="1">IF(FA$1="","",'Total Value'!FA61/'Total Value'!EZ61-1)</f>
        <v/>
      </c>
      <c r="FB49" s="14" t="str">
        <f ca="1">IF(FB$1="","",'Total Value'!FB61/'Total Value'!FA61-1)</f>
        <v/>
      </c>
      <c r="FC49" s="14" t="str">
        <f ca="1">IF(FC$1="","",'Total Value'!FC61/'Total Value'!FB61-1)</f>
        <v/>
      </c>
      <c r="FD49" s="14" t="str">
        <f ca="1">IF(FD$1="","",'Total Value'!FD61/'Total Value'!FC61-1)</f>
        <v/>
      </c>
      <c r="FE49" s="14" t="str">
        <f ca="1">IF(FE$1="","",'Total Value'!FE61/'Total Value'!FD61-1)</f>
        <v/>
      </c>
      <c r="FF49" s="14" t="str">
        <f ca="1">IF(FF$1="","",'Total Value'!FF61/'Total Value'!FE61-1)</f>
        <v/>
      </c>
      <c r="FG49" s="14" t="str">
        <f ca="1">IF(FG$1="","",'Total Value'!FG61/'Total Value'!FF61-1)</f>
        <v/>
      </c>
      <c r="FH49" s="14" t="str">
        <f ca="1">IF(FH$1="","",'Total Value'!FH61/'Total Value'!FG61-1)</f>
        <v/>
      </c>
      <c r="FI49" s="14" t="str">
        <f ca="1">IF(FI$1="","",'Total Value'!FI61/'Total Value'!FH61-1)</f>
        <v/>
      </c>
      <c r="FJ49" s="14" t="str">
        <f ca="1">IF(FJ$1="","",'Total Value'!FJ61/'Total Value'!FI61-1)</f>
        <v/>
      </c>
      <c r="FK49" s="14" t="str">
        <f ca="1">IF(FK$1="","",'Total Value'!FK61/'Total Value'!FJ61-1)</f>
        <v/>
      </c>
      <c r="FL49" s="14" t="str">
        <f ca="1">IF(FL$1="","",'Total Value'!FL61/'Total Value'!FK61-1)</f>
        <v/>
      </c>
      <c r="FM49" s="14" t="str">
        <f ca="1">IF(FM$1="","",'Total Value'!FM61/'Total Value'!FL61-1)</f>
        <v/>
      </c>
      <c r="FN49" s="14" t="str">
        <f ca="1">IF(FN$1="","",'Total Value'!FN61/'Total Value'!FM61-1)</f>
        <v/>
      </c>
      <c r="FO49" s="14" t="str">
        <f ca="1">IF(FO$1="","",'Total Value'!FO61/'Total Value'!FN61-1)</f>
        <v/>
      </c>
      <c r="FP49" s="14" t="str">
        <f ca="1">IF(FP$1="","",'Total Value'!FP61/'Total Value'!FO61-1)</f>
        <v/>
      </c>
      <c r="FQ49" s="14" t="str">
        <f ca="1">IF(FQ$1="","",'Total Value'!FQ61/'Total Value'!FP61-1)</f>
        <v/>
      </c>
      <c r="FR49" s="14" t="str">
        <f ca="1">IF(FR$1="","",'Total Value'!FR61/'Total Value'!FQ61-1)</f>
        <v/>
      </c>
      <c r="FS49" s="14" t="str">
        <f ca="1">IF(FS$1="","",'Total Value'!FS61/'Total Value'!FR61-1)</f>
        <v/>
      </c>
      <c r="FT49" s="14" t="str">
        <f ca="1">IF(FT$1="","",'Total Value'!FT61/'Total Value'!FS61-1)</f>
        <v/>
      </c>
      <c r="FU49" s="14" t="str">
        <f ca="1">IF(FU$1="","",'Total Value'!FU61/'Total Value'!FT61-1)</f>
        <v/>
      </c>
      <c r="FV49" s="14" t="str">
        <f ca="1">IF(FV$1="","",'Total Value'!FV61/'Total Value'!FU61-1)</f>
        <v/>
      </c>
      <c r="FW49" s="14" t="str">
        <f ca="1">IF(FW$1="","",'Total Value'!FW61/'Total Value'!FV61-1)</f>
        <v/>
      </c>
      <c r="FX49" s="14" t="str">
        <f ca="1">IF(FX$1="","",'Total Value'!FX61/'Total Value'!FW61-1)</f>
        <v/>
      </c>
      <c r="FY49" s="14" t="str">
        <f ca="1">IF(FY$1="","",'Total Value'!FY61/'Total Value'!FX61-1)</f>
        <v/>
      </c>
      <c r="FZ49" s="14" t="str">
        <f ca="1">IF(FZ$1="","",'Total Value'!FZ61/'Total Value'!FY61-1)</f>
        <v/>
      </c>
      <c r="GA49" s="14" t="str">
        <f ca="1">IF(GA$1="","",'Total Value'!GA61/'Total Value'!FZ61-1)</f>
        <v/>
      </c>
      <c r="GB49" s="14" t="str">
        <f ca="1">IF(GB$1="","",'Total Value'!GB61/'Total Value'!GA61-1)</f>
        <v/>
      </c>
      <c r="GC49" s="14" t="str">
        <f ca="1">IF(GC$1="","",'Total Value'!GC61/'Total Value'!GB61-1)</f>
        <v/>
      </c>
      <c r="GD49" s="14" t="str">
        <f ca="1">IF(GD$1="","",'Total Value'!GD61/'Total Value'!GC61-1)</f>
        <v/>
      </c>
      <c r="GE49" s="14" t="str">
        <f ca="1">IF(GE$1="","",'Total Value'!GE61/'Total Value'!GD61-1)</f>
        <v/>
      </c>
      <c r="GF49" s="14" t="str">
        <f ca="1">IF(GF$1="","",'Total Value'!GF61/'Total Value'!GE61-1)</f>
        <v/>
      </c>
      <c r="GG49" s="14" t="str">
        <f ca="1">IF(GG$1="","",'Total Value'!GG61/'Total Value'!GF61-1)</f>
        <v/>
      </c>
      <c r="GH49" s="14" t="str">
        <f ca="1">IF(GH$1="","",'Total Value'!GH61/'Total Value'!GG61-1)</f>
        <v/>
      </c>
      <c r="GI49" s="14" t="str">
        <f ca="1">IF(GI$1="","",'Total Value'!GI61/'Total Value'!GH61-1)</f>
        <v/>
      </c>
      <c r="GJ49" s="14" t="str">
        <f ca="1">IF(GJ$1="","",'Total Value'!GJ61/'Total Value'!GI61-1)</f>
        <v/>
      </c>
      <c r="GK49" s="14" t="str">
        <f ca="1">IF(GK$1="","",'Total Value'!GK61/'Total Value'!GJ61-1)</f>
        <v/>
      </c>
      <c r="GL49" s="14" t="str">
        <f ca="1">IF(GL$1="","",'Total Value'!GL61/'Total Value'!GK61-1)</f>
        <v/>
      </c>
      <c r="GM49" s="14" t="str">
        <f ca="1">IF(GM$1="","",'Total Value'!GM61/'Total Value'!GL61-1)</f>
        <v/>
      </c>
      <c r="GN49" s="14" t="str">
        <f ca="1">IF(GN$1="","",'Total Value'!GN61/'Total Value'!GM61-1)</f>
        <v/>
      </c>
      <c r="GO49" s="14" t="str">
        <f ca="1">IF(GO$1="","",'Total Value'!GO61/'Total Value'!GN61-1)</f>
        <v/>
      </c>
      <c r="GP49" s="14" t="str">
        <f ca="1">IF(GP$1="","",'Total Value'!GP61/'Total Value'!GO61-1)</f>
        <v/>
      </c>
      <c r="GQ49" s="14" t="str">
        <f ca="1">IF(GQ$1="","",'Total Value'!GQ61/'Total Value'!GP61-1)</f>
        <v/>
      </c>
      <c r="GR49" s="14" t="str">
        <f ca="1">IF(GR$1="","",'Total Value'!GR61/'Total Value'!GQ61-1)</f>
        <v/>
      </c>
      <c r="GS49" s="14" t="str">
        <f ca="1">IF(GS$1="","",'Total Value'!GS61/'Total Value'!GR61-1)</f>
        <v/>
      </c>
      <c r="GT49" s="14" t="str">
        <f ca="1">IF(GT$1="","",'Total Value'!GT61/'Total Value'!GS61-1)</f>
        <v/>
      </c>
      <c r="GU49" s="14" t="str">
        <f ca="1">IF(GU$1="","",'Total Value'!GU61/'Total Value'!GT61-1)</f>
        <v/>
      </c>
      <c r="GV49" s="14" t="str">
        <f ca="1">IF(GV$1="","",'Total Value'!GV61/'Total Value'!GU61-1)</f>
        <v/>
      </c>
      <c r="GW49" s="14" t="str">
        <f ca="1">IF(GW$1="","",'Total Value'!GW61/'Total Value'!GV61-1)</f>
        <v/>
      </c>
      <c r="GX49" s="14" t="str">
        <f ca="1">IF(GX$1="","",'Total Value'!GX61/'Total Value'!GW61-1)</f>
        <v/>
      </c>
      <c r="GY49" s="14" t="str">
        <f ca="1">IF(GY$1="","",'Total Value'!GY61/'Total Value'!GX61-1)</f>
        <v/>
      </c>
      <c r="GZ49" s="14" t="str">
        <f ca="1">IF(GZ$1="","",'Total Value'!GZ61/'Total Value'!GY61-1)</f>
        <v/>
      </c>
      <c r="HA49" s="14" t="str">
        <f ca="1">IF(HA$1="","",'Total Value'!HA61/'Total Value'!GZ61-1)</f>
        <v/>
      </c>
      <c r="HB49" s="14" t="str">
        <f ca="1">IF(HB$1="","",'Total Value'!HB61/'Total Value'!HA61-1)</f>
        <v/>
      </c>
      <c r="HC49" s="14" t="str">
        <f ca="1">IF(HC$1="","",'Total Value'!HC61/'Total Value'!HB61-1)</f>
        <v/>
      </c>
      <c r="HD49" s="14" t="str">
        <f ca="1">IF(HD$1="","",'Total Value'!HD61/'Total Value'!HC61-1)</f>
        <v/>
      </c>
      <c r="HE49" s="14" t="str">
        <f ca="1">IF(HE$1="","",'Total Value'!HE61/'Total Value'!HD61-1)</f>
        <v/>
      </c>
      <c r="HF49" s="14" t="str">
        <f ca="1">IF(HF$1="","",'Total Value'!HF61/'Total Value'!HE61-1)</f>
        <v/>
      </c>
      <c r="HG49" s="14" t="str">
        <f ca="1">IF(HG$1="","",'Total Value'!HG61/'Total Value'!HF61-1)</f>
        <v/>
      </c>
      <c r="HH49" s="14" t="str">
        <f ca="1">IF(HH$1="","",'Total Value'!HH61/'Total Value'!HG61-1)</f>
        <v/>
      </c>
      <c r="HI49" s="14" t="str">
        <f ca="1">IF(HI$1="","",'Total Value'!HI61/'Total Value'!HH61-1)</f>
        <v/>
      </c>
      <c r="HJ49" s="14" t="str">
        <f ca="1">IF(HJ$1="","",'Total Value'!HJ61/'Total Value'!HI61-1)</f>
        <v/>
      </c>
      <c r="HK49" s="14" t="str">
        <f ca="1">IF(HK$1="","",'Total Value'!HK61/'Total Value'!HJ61-1)</f>
        <v/>
      </c>
      <c r="HL49" s="14" t="str">
        <f ca="1">IF(HL$1="","",'Total Value'!HL61/'Total Value'!HK61-1)</f>
        <v/>
      </c>
      <c r="HM49" s="14" t="str">
        <f ca="1">IF(HM$1="","",'Total Value'!HM61/'Total Value'!HL61-1)</f>
        <v/>
      </c>
      <c r="HN49" s="14" t="str">
        <f ca="1">IF(HN$1="","",'Total Value'!HN61/'Total Value'!HM61-1)</f>
        <v/>
      </c>
      <c r="HO49" s="14" t="str">
        <f ca="1">IF(HO$1="","",'Total Value'!HO61/'Total Value'!HN61-1)</f>
        <v/>
      </c>
      <c r="HP49" s="14" t="str">
        <f ca="1">IF(HP$1="","",'Total Value'!HP61/'Total Value'!HO61-1)</f>
        <v/>
      </c>
      <c r="HQ49" s="14" t="str">
        <f ca="1">IF(HQ$1="","",'Total Value'!HQ61/'Total Value'!HP61-1)</f>
        <v/>
      </c>
      <c r="HR49" s="14" t="str">
        <f ca="1">IF(HR$1="","",'Total Value'!HR61/'Total Value'!HQ61-1)</f>
        <v/>
      </c>
      <c r="HS49" s="14" t="str">
        <f ca="1">IF(HS$1="","",'Total Value'!HS61/'Total Value'!HR61-1)</f>
        <v/>
      </c>
      <c r="HT49" s="14" t="str">
        <f ca="1">IF(HT$1="","",'Total Value'!HT61/'Total Value'!HS61-1)</f>
        <v/>
      </c>
      <c r="HU49" s="14" t="str">
        <f ca="1">IF(HU$1="","",'Total Value'!HU61/'Total Value'!HT61-1)</f>
        <v/>
      </c>
      <c r="HV49" s="14" t="str">
        <f ca="1">IF(HV$1="","",'Total Value'!HV61/'Total Value'!HU61-1)</f>
        <v/>
      </c>
      <c r="HW49" s="14" t="str">
        <f ca="1">IF(HW$1="","",'Total Value'!HW61/'Total Value'!HV61-1)</f>
        <v/>
      </c>
      <c r="HX49" s="14" t="str">
        <f ca="1">IF(HX$1="","",'Total Value'!HX61/'Total Value'!HW61-1)</f>
        <v/>
      </c>
      <c r="HY49" s="14" t="str">
        <f ca="1">IF(HY$1="","",'Total Value'!HY61/'Total Value'!HX61-1)</f>
        <v/>
      </c>
      <c r="HZ49" s="14" t="str">
        <f ca="1">IF(HZ$1="","",'Total Value'!HZ61/'Total Value'!HY61-1)</f>
        <v/>
      </c>
      <c r="IA49" s="14" t="str">
        <f ca="1">IF(IA$1="","",'Total Value'!IA61/'Total Value'!HZ61-1)</f>
        <v/>
      </c>
      <c r="IB49" s="14" t="str">
        <f ca="1">IF(IB$1="","",'Total Value'!IB61/'Total Value'!IA61-1)</f>
        <v/>
      </c>
      <c r="IC49" s="14" t="str">
        <f ca="1">IF(IC$1="","",'Total Value'!IC61/'Total Value'!IB61-1)</f>
        <v/>
      </c>
      <c r="ID49" s="14" t="str">
        <f ca="1">IF(ID$1="","",'Total Value'!ID61/'Total Value'!IC61-1)</f>
        <v/>
      </c>
      <c r="IE49" s="14" t="str">
        <f ca="1">IF(IE$1="","",'Total Value'!IE61/'Total Value'!ID61-1)</f>
        <v/>
      </c>
      <c r="IF49" s="14" t="str">
        <f ca="1">IF(IF$1="","",'Total Value'!IF61/'Total Value'!IE61-1)</f>
        <v/>
      </c>
      <c r="IG49" s="14" t="str">
        <f ca="1">IF(IG$1="","",'Total Value'!IG61/'Total Value'!IF61-1)</f>
        <v/>
      </c>
      <c r="IH49" s="14" t="str">
        <f ca="1">IF(IH$1="","",'Total Value'!IH61/'Total Value'!IG61-1)</f>
        <v/>
      </c>
      <c r="II49" s="14" t="str">
        <f ca="1">IF(II$1="","",'Total Value'!II61/'Total Value'!IH61-1)</f>
        <v/>
      </c>
      <c r="IJ49" s="14" t="str">
        <f ca="1">IF(IJ$1="","",'Total Value'!IJ61/'Total Value'!II61-1)</f>
        <v/>
      </c>
      <c r="IK49" s="14" t="str">
        <f ca="1">IF(IK$1="","",'Total Value'!IK61/'Total Value'!IJ61-1)</f>
        <v/>
      </c>
      <c r="IL49" s="14" t="str">
        <f ca="1">IF(IL$1="","",'Total Value'!IL61/'Total Value'!IK61-1)</f>
        <v/>
      </c>
      <c r="IM49" s="14" t="str">
        <f ca="1">IF(IM$1="","",'Total Value'!IM61/'Total Value'!IL61-1)</f>
        <v/>
      </c>
      <c r="IN49" s="14" t="str">
        <f ca="1">IF(IN$1="","",'Total Value'!IN61/'Total Value'!IM61-1)</f>
        <v/>
      </c>
      <c r="IO49" s="14" t="str">
        <f ca="1">IF(IO$1="","",'Total Value'!IO61/'Total Value'!IN61-1)</f>
        <v/>
      </c>
      <c r="IP49" s="14" t="str">
        <f ca="1">IF(IP$1="","",'Total Value'!IP61/'Total Value'!IO61-1)</f>
        <v/>
      </c>
      <c r="IQ49" s="14" t="str">
        <f ca="1">IF(IQ$1="","",'Total Value'!IQ61/'Total Value'!IP61-1)</f>
        <v/>
      </c>
      <c r="IR49" s="14" t="str">
        <f ca="1">IF(IR$1="","",'Total Value'!IR61/'Total Value'!IQ61-1)</f>
        <v/>
      </c>
      <c r="IS49" s="14" t="str">
        <f ca="1">IF(IS$1="","",'Total Value'!IS61/'Total Value'!IR61-1)</f>
        <v/>
      </c>
      <c r="IT49" s="14" t="str">
        <f ca="1">IF(IT$1="","",'Total Value'!IT61/'Total Value'!IS61-1)</f>
        <v/>
      </c>
      <c r="IU49" s="14" t="str">
        <f ca="1">IF(IU$1="","",'Total Value'!IU61/'Total Value'!IT61-1)</f>
        <v/>
      </c>
      <c r="IV49" s="14" t="str">
        <f ca="1">IF(IV$1="","",'Total Value'!IV61/'Total Value'!IU61-1)</f>
        <v/>
      </c>
      <c r="IW49" s="14" t="str">
        <f ca="1">IF(IW$1="","",'Total Value'!IW61/'Total Value'!IV61-1)</f>
        <v/>
      </c>
      <c r="IX49" s="14" t="str">
        <f ca="1">IF(IX$1="","",'Total Value'!IX61/'Total Value'!IW61-1)</f>
        <v/>
      </c>
      <c r="IY49" s="14" t="str">
        <f ca="1">IF(IY$1="","",'Total Value'!IY61/'Total Value'!IX61-1)</f>
        <v/>
      </c>
      <c r="IZ49" s="14" t="str">
        <f ca="1">IF(IZ$1="","",'Total Value'!IZ61/'Total Value'!IY61-1)</f>
        <v/>
      </c>
      <c r="JA49" s="14" t="str">
        <f ca="1">IF(JA$1="","",'Total Value'!JA61/'Total Value'!IZ61-1)</f>
        <v/>
      </c>
      <c r="JB49" s="14" t="str">
        <f ca="1">IF(JB$1="","",'Total Value'!JB61/'Total Value'!JA61-1)</f>
        <v/>
      </c>
      <c r="JC49" s="14" t="str">
        <f ca="1">IF(JC$1="","",'Total Value'!JC61/'Total Value'!JB61-1)</f>
        <v/>
      </c>
      <c r="JD49" s="14" t="str">
        <f ca="1">IF(JD$1="","",'Total Value'!JD61/'Total Value'!JC61-1)</f>
        <v/>
      </c>
      <c r="JE49" s="14" t="str">
        <f ca="1">IF(JE$1="","",'Total Value'!JE61/'Total Value'!JD61-1)</f>
        <v/>
      </c>
      <c r="JF49" s="14" t="str">
        <f ca="1">IF(JF$1="","",'Total Value'!JF61/'Total Value'!JE61-1)</f>
        <v/>
      </c>
      <c r="JG49" s="14" t="str">
        <f ca="1">IF(JG$1="","",'Total Value'!JG61/'Total Value'!JF61-1)</f>
        <v/>
      </c>
      <c r="JH49" s="14" t="str">
        <f ca="1">IF(JH$1="","",'Total Value'!JH61/'Total Value'!JG61-1)</f>
        <v/>
      </c>
      <c r="JI49" s="14" t="str">
        <f ca="1">IF(JI$1="","",'Total Value'!JI61/'Total Value'!JH61-1)</f>
        <v/>
      </c>
      <c r="JJ49" s="14" t="str">
        <f ca="1">IF(JJ$1="","",'Total Value'!JJ61/'Total Value'!JI61-1)</f>
        <v/>
      </c>
      <c r="JK49" s="14" t="str">
        <f ca="1">IF(JK$1="","",'Total Value'!JK61/'Total Value'!JJ61-1)</f>
        <v/>
      </c>
      <c r="JL49" s="14" t="str">
        <f ca="1">IF(JL$1="","",'Total Value'!JL61/'Total Value'!JK61-1)</f>
        <v/>
      </c>
      <c r="JM49" s="14" t="str">
        <f ca="1">IF(JM$1="","",'Total Value'!JM61/'Total Value'!JL61-1)</f>
        <v/>
      </c>
      <c r="JN49" s="14" t="str">
        <f ca="1">IF(JN$1="","",'Total Value'!JN61/'Total Value'!JM61-1)</f>
        <v/>
      </c>
      <c r="JO49" s="14" t="str">
        <f ca="1">IF(JO$1="","",'Total Value'!JO61/'Total Value'!JN61-1)</f>
        <v/>
      </c>
      <c r="JP49" s="14" t="str">
        <f ca="1">IF(JP$1="","",'Total Value'!JP61/'Total Value'!JO61-1)</f>
        <v/>
      </c>
      <c r="JQ49" s="14" t="str">
        <f ca="1">IF(JQ$1="","",'Total Value'!JQ61/'Total Value'!JP61-1)</f>
        <v/>
      </c>
      <c r="JR49" s="14" t="str">
        <f ca="1">IF(JR$1="","",'Total Value'!JR61/'Total Value'!JQ61-1)</f>
        <v/>
      </c>
      <c r="JS49" s="14" t="str">
        <f ca="1">IF(JS$1="","",'Total Value'!JS61/'Total Value'!JR61-1)</f>
        <v/>
      </c>
      <c r="JT49" s="14" t="str">
        <f ca="1">IF(JT$1="","",'Total Value'!JT61/'Total Value'!JS61-1)</f>
        <v/>
      </c>
      <c r="JU49" s="14" t="str">
        <f ca="1">IF(JU$1="","",'Total Value'!JU61/'Total Value'!JT61-1)</f>
        <v/>
      </c>
      <c r="JV49" s="14" t="str">
        <f ca="1">IF(JV$1="","",'Total Value'!JV61/'Total Value'!JU61-1)</f>
        <v/>
      </c>
      <c r="JW49" s="14" t="str">
        <f ca="1">IF(JW$1="","",'Total Value'!JW61/'Total Value'!JV61-1)</f>
        <v/>
      </c>
      <c r="JX49" s="14" t="str">
        <f ca="1">IF(JX$1="","",'Total Value'!JX61/'Total Value'!JW61-1)</f>
        <v/>
      </c>
      <c r="JY49" s="14" t="str">
        <f ca="1">IF(JY$1="","",'Total Value'!JY61/'Total Value'!JX61-1)</f>
        <v/>
      </c>
      <c r="JZ49" s="14" t="str">
        <f ca="1">IF(JZ$1="","",'Total Value'!JZ61/'Total Value'!JY61-1)</f>
        <v/>
      </c>
      <c r="KA49" s="14" t="str">
        <f ca="1">IF(KA$1="","",'Total Value'!KA61/'Total Value'!JZ61-1)</f>
        <v/>
      </c>
      <c r="KB49" s="14" t="str">
        <f ca="1">IF(KB$1="","",'Total Value'!KB61/'Total Value'!KA61-1)</f>
        <v/>
      </c>
    </row>
    <row r="50" spans="1:288" ht="15.75" customHeight="1"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4"/>
      <c r="BO50" s="14"/>
      <c r="BP50" s="14"/>
      <c r="BQ50" s="14"/>
      <c r="BR50" s="14"/>
      <c r="BS50" s="14"/>
      <c r="BT50" s="14"/>
      <c r="BU50" s="14"/>
      <c r="BV50" s="14"/>
      <c r="BW50" s="14"/>
      <c r="BX50" s="14"/>
      <c r="BY50" s="14"/>
      <c r="BZ50" s="14"/>
      <c r="CA50" s="14"/>
      <c r="CB50" s="14"/>
      <c r="CC50" s="14"/>
      <c r="CD50" s="14"/>
      <c r="CE50" s="14"/>
      <c r="CF50" s="14"/>
      <c r="CG50" s="14"/>
      <c r="CH50" s="14"/>
      <c r="CI50" s="14"/>
      <c r="CJ50" s="14"/>
      <c r="CK50" s="14"/>
      <c r="CL50" s="14"/>
      <c r="CM50" s="14"/>
      <c r="CN50" s="14"/>
      <c r="CO50" s="14"/>
      <c r="CP50" s="14"/>
      <c r="CQ50" s="14"/>
      <c r="CR50" s="14"/>
      <c r="CS50" s="14"/>
      <c r="CT50" s="14"/>
      <c r="CU50" s="14"/>
      <c r="CV50" s="14"/>
      <c r="CW50" s="14"/>
      <c r="CX50" s="14"/>
      <c r="CY50" s="14"/>
      <c r="CZ50" s="14"/>
      <c r="DA50" s="14"/>
      <c r="DB50" s="14"/>
      <c r="DC50" s="14"/>
      <c r="DD50" s="14"/>
      <c r="DE50" s="14"/>
      <c r="DF50" s="14"/>
      <c r="DG50" s="14"/>
      <c r="DH50" s="14"/>
      <c r="DI50" s="14"/>
      <c r="DJ50" s="14"/>
      <c r="DK50" s="14"/>
      <c r="DL50" s="14"/>
      <c r="DM50" s="14"/>
      <c r="DN50" s="14"/>
      <c r="DO50" s="14"/>
      <c r="DP50" s="14"/>
      <c r="DQ50" s="14"/>
      <c r="DR50" s="14"/>
      <c r="DS50" s="14"/>
      <c r="DT50" s="14"/>
      <c r="DU50" s="14"/>
      <c r="DV50" s="14"/>
      <c r="DW50" s="14"/>
      <c r="DX50" s="14"/>
      <c r="DY50" s="14"/>
      <c r="DZ50" s="14"/>
      <c r="EA50" s="14"/>
      <c r="EB50" s="14"/>
      <c r="EC50" s="14"/>
      <c r="ED50" s="14"/>
      <c r="EE50" s="14"/>
      <c r="EF50" s="14"/>
      <c r="EG50" s="14"/>
      <c r="EH50" s="14"/>
      <c r="EI50" s="14"/>
      <c r="EJ50" s="14"/>
      <c r="EK50" s="14"/>
      <c r="EL50" s="14"/>
      <c r="EM50" s="14"/>
      <c r="EN50" s="14"/>
      <c r="EO50" s="14"/>
      <c r="EP50" s="14"/>
      <c r="EQ50" s="14"/>
      <c r="ER50" s="14"/>
      <c r="ES50" s="14"/>
      <c r="ET50" s="14"/>
      <c r="EU50" s="14"/>
      <c r="EV50" s="14"/>
      <c r="EW50" s="14"/>
      <c r="EX50" s="14"/>
      <c r="EY50" s="14"/>
      <c r="EZ50" s="14"/>
      <c r="FA50" s="14"/>
      <c r="FB50" s="14"/>
      <c r="FC50" s="14"/>
      <c r="FD50" s="14"/>
      <c r="FE50" s="14"/>
      <c r="FF50" s="14"/>
      <c r="FG50" s="14"/>
      <c r="FH50" s="14"/>
      <c r="FI50" s="14"/>
      <c r="FJ50" s="14"/>
      <c r="FK50" s="14"/>
      <c r="FL50" s="14"/>
      <c r="FM50" s="14"/>
      <c r="FN50" s="14"/>
      <c r="FO50" s="14"/>
      <c r="FP50" s="14"/>
      <c r="FQ50" s="14"/>
      <c r="FR50" s="14"/>
      <c r="FS50" s="14"/>
      <c r="FT50" s="14"/>
      <c r="FU50" s="14"/>
      <c r="FV50" s="14"/>
      <c r="FW50" s="14"/>
      <c r="FX50" s="14"/>
      <c r="FY50" s="14"/>
      <c r="FZ50" s="14"/>
      <c r="GA50" s="14"/>
      <c r="GB50" s="14"/>
      <c r="GC50" s="14"/>
      <c r="GD50" s="14"/>
      <c r="GE50" s="14"/>
      <c r="GF50" s="14"/>
      <c r="GG50" s="14"/>
      <c r="GH50" s="14"/>
      <c r="GI50" s="14"/>
      <c r="GJ50" s="14"/>
      <c r="GK50" s="14"/>
      <c r="GL50" s="14"/>
      <c r="GM50" s="14"/>
      <c r="GN50" s="14"/>
      <c r="GO50" s="14"/>
      <c r="GP50" s="14"/>
      <c r="GQ50" s="14"/>
      <c r="GR50" s="14"/>
      <c r="GS50" s="14"/>
      <c r="GT50" s="14"/>
      <c r="GU50" s="14"/>
      <c r="GV50" s="14"/>
      <c r="GW50" s="14"/>
      <c r="GX50" s="14"/>
      <c r="GY50" s="14"/>
      <c r="GZ50" s="14"/>
      <c r="HA50" s="14"/>
      <c r="HB50" s="14"/>
      <c r="HC50" s="14"/>
      <c r="HD50" s="14"/>
      <c r="HE50" s="14"/>
      <c r="HF50" s="14"/>
      <c r="HG50" s="14"/>
      <c r="HH50" s="14"/>
      <c r="HI50" s="14"/>
      <c r="HJ50" s="14"/>
      <c r="HK50" s="14"/>
      <c r="HL50" s="14"/>
      <c r="HM50" s="14"/>
      <c r="HN50" s="14"/>
      <c r="HO50" s="14"/>
      <c r="HP50" s="14"/>
      <c r="HQ50" s="14"/>
      <c r="HR50" s="14"/>
      <c r="HS50" s="14"/>
      <c r="HT50" s="14"/>
      <c r="HU50" s="14"/>
      <c r="HV50" s="14"/>
      <c r="HW50" s="14"/>
      <c r="HX50" s="14"/>
      <c r="HY50" s="14"/>
      <c r="HZ50" s="14"/>
      <c r="IA50" s="14"/>
      <c r="IB50" s="14"/>
      <c r="IC50" s="14"/>
      <c r="ID50" s="14"/>
      <c r="IE50" s="14"/>
      <c r="IF50" s="14"/>
      <c r="IG50" s="14"/>
      <c r="IH50" s="14"/>
      <c r="II50" s="14"/>
      <c r="IJ50" s="14"/>
      <c r="IK50" s="14"/>
      <c r="IL50" s="14"/>
      <c r="IM50" s="14"/>
      <c r="IN50" s="14"/>
      <c r="IO50" s="14"/>
      <c r="IP50" s="14"/>
      <c r="IQ50" s="14"/>
      <c r="IR50" s="14"/>
      <c r="IS50" s="14"/>
      <c r="IT50" s="14"/>
      <c r="IU50" s="14"/>
      <c r="IV50" s="14"/>
      <c r="IW50" s="14"/>
      <c r="IX50" s="14"/>
      <c r="IY50" s="14"/>
      <c r="IZ50" s="14"/>
      <c r="JA50" s="14"/>
      <c r="JB50" s="14"/>
      <c r="JC50" s="14"/>
      <c r="JD50" s="14"/>
      <c r="JE50" s="14"/>
      <c r="JF50" s="14"/>
      <c r="JG50" s="14"/>
      <c r="JH50" s="14"/>
      <c r="JI50" s="14"/>
      <c r="JJ50" s="14"/>
      <c r="JK50" s="14"/>
      <c r="JL50" s="14"/>
      <c r="JM50" s="14"/>
      <c r="JN50" s="14"/>
      <c r="JO50" s="14"/>
      <c r="JP50" s="14"/>
      <c r="JQ50" s="14"/>
      <c r="JR50" s="14"/>
      <c r="JS50" s="14"/>
      <c r="JT50" s="14"/>
      <c r="JU50" s="14"/>
      <c r="JV50" s="14"/>
      <c r="JW50" s="14"/>
      <c r="JX50" s="14"/>
      <c r="JY50" s="14"/>
      <c r="JZ50" s="14"/>
      <c r="KA50" s="14"/>
      <c r="KB50" s="14"/>
    </row>
    <row r="51" spans="1:288" ht="15.75" customHeight="1"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  <c r="BO51" s="14"/>
      <c r="BP51" s="14"/>
      <c r="BQ51" s="14"/>
      <c r="BR51" s="14"/>
      <c r="BS51" s="14"/>
      <c r="BT51" s="14"/>
      <c r="BU51" s="14"/>
      <c r="BV51" s="14"/>
      <c r="BW51" s="14"/>
      <c r="BX51" s="14"/>
      <c r="BY51" s="14"/>
      <c r="BZ51" s="14"/>
      <c r="CA51" s="14"/>
      <c r="CB51" s="14"/>
      <c r="CC51" s="14"/>
      <c r="CD51" s="14"/>
      <c r="CE51" s="14"/>
      <c r="CF51" s="14"/>
      <c r="CG51" s="14"/>
      <c r="CH51" s="14"/>
      <c r="CI51" s="14"/>
      <c r="CJ51" s="14"/>
      <c r="CK51" s="14"/>
      <c r="CL51" s="14"/>
      <c r="CM51" s="14"/>
      <c r="CN51" s="14"/>
      <c r="CO51" s="14"/>
      <c r="CP51" s="14"/>
      <c r="CQ51" s="14"/>
      <c r="CR51" s="14"/>
      <c r="CS51" s="14"/>
      <c r="CT51" s="14"/>
      <c r="CU51" s="14"/>
      <c r="CV51" s="14"/>
      <c r="CW51" s="14"/>
      <c r="CX51" s="14"/>
      <c r="CY51" s="14"/>
      <c r="CZ51" s="14"/>
      <c r="DA51" s="14"/>
      <c r="DB51" s="14"/>
      <c r="DC51" s="14"/>
      <c r="DD51" s="14"/>
      <c r="DE51" s="14"/>
      <c r="DF51" s="14"/>
      <c r="DG51" s="14"/>
      <c r="DH51" s="14"/>
      <c r="DI51" s="14"/>
      <c r="DJ51" s="14"/>
      <c r="DK51" s="14"/>
      <c r="DL51" s="14"/>
      <c r="DM51" s="14"/>
      <c r="DN51" s="14"/>
      <c r="DO51" s="14"/>
      <c r="DP51" s="14"/>
      <c r="DQ51" s="14"/>
      <c r="DR51" s="14"/>
      <c r="DS51" s="14"/>
      <c r="DT51" s="14"/>
      <c r="DU51" s="14"/>
      <c r="DV51" s="14"/>
      <c r="DW51" s="14"/>
      <c r="DX51" s="14"/>
      <c r="DY51" s="14"/>
      <c r="DZ51" s="14"/>
      <c r="EA51" s="14"/>
      <c r="EB51" s="14"/>
      <c r="EC51" s="14"/>
      <c r="ED51" s="14"/>
      <c r="EE51" s="14"/>
      <c r="EF51" s="14"/>
      <c r="EG51" s="14"/>
      <c r="EH51" s="14"/>
      <c r="EI51" s="14"/>
      <c r="EJ51" s="14"/>
      <c r="EK51" s="14"/>
      <c r="EL51" s="14"/>
      <c r="EM51" s="14"/>
      <c r="EN51" s="14"/>
      <c r="EO51" s="14"/>
      <c r="EP51" s="14"/>
      <c r="EQ51" s="14"/>
      <c r="ER51" s="14"/>
      <c r="ES51" s="14"/>
      <c r="ET51" s="14"/>
      <c r="EU51" s="14"/>
      <c r="EV51" s="14"/>
      <c r="EW51" s="14"/>
      <c r="EX51" s="14"/>
      <c r="EY51" s="14"/>
      <c r="EZ51" s="14"/>
      <c r="FA51" s="14"/>
      <c r="FB51" s="14"/>
      <c r="FC51" s="14"/>
      <c r="FD51" s="14"/>
      <c r="FE51" s="14"/>
      <c r="FF51" s="14"/>
      <c r="FG51" s="14"/>
      <c r="FH51" s="14"/>
      <c r="FI51" s="14"/>
      <c r="FJ51" s="14"/>
      <c r="FK51" s="14"/>
      <c r="FL51" s="14"/>
      <c r="FM51" s="14"/>
      <c r="FN51" s="14"/>
      <c r="FO51" s="14"/>
      <c r="FP51" s="14"/>
      <c r="FQ51" s="14"/>
      <c r="FR51" s="14"/>
      <c r="FS51" s="14"/>
      <c r="FT51" s="14"/>
      <c r="FU51" s="14"/>
      <c r="FV51" s="14"/>
      <c r="FW51" s="14"/>
      <c r="FX51" s="14"/>
      <c r="FY51" s="14"/>
      <c r="FZ51" s="14"/>
      <c r="GA51" s="14"/>
      <c r="GB51" s="14"/>
      <c r="GC51" s="14"/>
      <c r="GD51" s="14"/>
      <c r="GE51" s="14"/>
      <c r="GF51" s="14"/>
      <c r="GG51" s="14"/>
      <c r="GH51" s="14"/>
      <c r="GI51" s="14"/>
      <c r="GJ51" s="14"/>
      <c r="GK51" s="14"/>
      <c r="GL51" s="14"/>
      <c r="GM51" s="14"/>
      <c r="GN51" s="14"/>
      <c r="GO51" s="14"/>
      <c r="GP51" s="14"/>
      <c r="GQ51" s="14"/>
      <c r="GR51" s="14"/>
      <c r="GS51" s="14"/>
      <c r="GT51" s="14"/>
      <c r="GU51" s="14"/>
      <c r="GV51" s="14"/>
      <c r="GW51" s="14"/>
      <c r="GX51" s="14"/>
      <c r="GY51" s="14"/>
      <c r="GZ51" s="14"/>
      <c r="HA51" s="14"/>
      <c r="HB51" s="14"/>
      <c r="HC51" s="14"/>
      <c r="HD51" s="14"/>
      <c r="HE51" s="14"/>
      <c r="HF51" s="14"/>
      <c r="HG51" s="14"/>
      <c r="HH51" s="14"/>
      <c r="HI51" s="14"/>
      <c r="HJ51" s="14"/>
      <c r="HK51" s="14"/>
      <c r="HL51" s="14"/>
      <c r="HM51" s="14"/>
      <c r="HN51" s="14"/>
      <c r="HO51" s="14"/>
      <c r="HP51" s="14"/>
      <c r="HQ51" s="14"/>
      <c r="HR51" s="14"/>
      <c r="HS51" s="14"/>
      <c r="HT51" s="14"/>
      <c r="HU51" s="14"/>
      <c r="HV51" s="14"/>
      <c r="HW51" s="14"/>
      <c r="HX51" s="14"/>
      <c r="HY51" s="14"/>
      <c r="HZ51" s="14"/>
      <c r="IA51" s="14"/>
      <c r="IB51" s="14"/>
      <c r="IC51" s="14"/>
      <c r="ID51" s="14"/>
      <c r="IE51" s="14"/>
      <c r="IF51" s="14"/>
      <c r="IG51" s="14"/>
      <c r="IH51" s="14"/>
      <c r="II51" s="14"/>
      <c r="IJ51" s="14"/>
      <c r="IK51" s="14"/>
      <c r="IL51" s="14"/>
      <c r="IM51" s="14"/>
      <c r="IN51" s="14"/>
      <c r="IO51" s="14"/>
      <c r="IP51" s="14"/>
      <c r="IQ51" s="14"/>
      <c r="IR51" s="14"/>
      <c r="IS51" s="14"/>
      <c r="IT51" s="14"/>
      <c r="IU51" s="14"/>
      <c r="IV51" s="14"/>
      <c r="IW51" s="14"/>
      <c r="IX51" s="14"/>
      <c r="IY51" s="14"/>
      <c r="IZ51" s="14"/>
      <c r="JA51" s="14"/>
      <c r="JB51" s="14"/>
      <c r="JC51" s="14"/>
      <c r="JD51" s="14"/>
      <c r="JE51" s="14"/>
      <c r="JF51" s="14"/>
      <c r="JG51" s="14"/>
      <c r="JH51" s="14"/>
      <c r="JI51" s="14"/>
      <c r="JJ51" s="14"/>
      <c r="JK51" s="14"/>
      <c r="JL51" s="14"/>
      <c r="JM51" s="14"/>
      <c r="JN51" s="14"/>
      <c r="JO51" s="14"/>
      <c r="JP51" s="14"/>
      <c r="JQ51" s="14"/>
      <c r="JR51" s="14"/>
      <c r="JS51" s="14"/>
      <c r="JT51" s="14"/>
      <c r="JU51" s="14"/>
      <c r="JV51" s="14"/>
      <c r="JW51" s="14"/>
      <c r="JX51" s="14"/>
      <c r="JY51" s="14"/>
      <c r="JZ51" s="14"/>
      <c r="KA51" s="14"/>
      <c r="KB51" s="14"/>
    </row>
    <row r="52" spans="1:288">
      <c r="A52" s="37" t="s">
        <v>195</v>
      </c>
      <c r="B52" s="19"/>
      <c r="C52" s="19"/>
      <c r="D52" s="38">
        <v>44571</v>
      </c>
      <c r="E52" s="38">
        <f ca="1">IF(History!I2="","",History!I2)</f>
        <v>44572.666666666599</v>
      </c>
      <c r="F52" s="38">
        <f ca="1">IF(History!J2="","",History!J2)</f>
        <v>44573.666666666599</v>
      </c>
      <c r="G52" s="38">
        <f ca="1">IF(History!K2="","",History!K2)</f>
        <v>44574.666666666599</v>
      </c>
      <c r="H52" s="38">
        <f ca="1">IF(History!L2="","",History!L2)</f>
        <v>44575.666666666599</v>
      </c>
      <c r="I52" s="38">
        <f ca="1">IF(History!M2="","",History!M2)</f>
        <v>44579.666666666599</v>
      </c>
      <c r="J52" s="38">
        <f ca="1">IF(History!N2="","",History!N2)</f>
        <v>44580.666666666599</v>
      </c>
      <c r="K52" s="38">
        <f ca="1">IF(History!O2="","",History!O2)</f>
        <v>44581.666666666599</v>
      </c>
      <c r="L52" s="38">
        <f ca="1">IF(History!P2="","",History!P2)</f>
        <v>44582.666666666599</v>
      </c>
      <c r="M52" s="38">
        <f ca="1">IF(History!Q2="","",History!Q2)</f>
        <v>44585.666666666599</v>
      </c>
      <c r="N52" s="38">
        <f ca="1">IF(History!R2="","",History!R2)</f>
        <v>44586.666666666599</v>
      </c>
      <c r="O52" s="38">
        <f ca="1">IF(History!S2="","",History!S2)</f>
        <v>44587.666666666599</v>
      </c>
      <c r="P52" s="38">
        <f ca="1">IF(History!T2="","",History!T2)</f>
        <v>44588.666666666599</v>
      </c>
      <c r="Q52" s="38">
        <f ca="1">IF(History!U2="","",History!U2)</f>
        <v>44589.666666666599</v>
      </c>
      <c r="R52" s="38">
        <f ca="1">IF(History!V2="","",History!V2)</f>
        <v>44592.666666666599</v>
      </c>
      <c r="S52" s="38">
        <f ca="1">IF(History!W2="","",History!W2)</f>
        <v>44593.666666666599</v>
      </c>
      <c r="T52" s="38">
        <f ca="1">IF(History!X2="","",History!X2)</f>
        <v>44594.666666666599</v>
      </c>
      <c r="U52" s="38">
        <f ca="1">IF(History!Y2="","",History!Y2)</f>
        <v>44595.666666666599</v>
      </c>
      <c r="V52" s="38">
        <f ca="1">IF(History!Z2="","",History!Z2)</f>
        <v>44596.666666666599</v>
      </c>
      <c r="W52" s="38">
        <f ca="1">IF(History!AA2="","",History!AA2)</f>
        <v>44599.666666666599</v>
      </c>
      <c r="X52" s="38">
        <f ca="1">IF(History!AB2="","",History!AB2)</f>
        <v>44600.666666666599</v>
      </c>
      <c r="Y52" s="38">
        <f ca="1">IF(History!AC2="","",History!AC2)</f>
        <v>44601.666666666599</v>
      </c>
      <c r="Z52" s="38">
        <f ca="1">IF(History!AD2="","",History!AD2)</f>
        <v>44602.666666666599</v>
      </c>
      <c r="AA52" s="38">
        <f ca="1">IF(History!AE2="","",History!AE2)</f>
        <v>44603.666666666599</v>
      </c>
      <c r="AB52" s="38">
        <f ca="1">IF(History!AF2="","",History!AF2)</f>
        <v>44606.666666666599</v>
      </c>
      <c r="AC52" s="38">
        <f ca="1">IF(History!AG2="","",History!AG2)</f>
        <v>44607.666666666599</v>
      </c>
      <c r="AD52" s="38">
        <f ca="1">IF(History!AH2="","",History!AH2)</f>
        <v>44608.666666666599</v>
      </c>
      <c r="AE52" s="38">
        <f ca="1">IF(History!AI2="","",History!AI2)</f>
        <v>44609.666666666599</v>
      </c>
      <c r="AF52" s="38">
        <f ca="1">IF(History!AJ2="","",History!AJ2)</f>
        <v>44610.666666666599</v>
      </c>
      <c r="AG52" s="38">
        <f ca="1">IF(History!AK2="","",History!AK2)</f>
        <v>44614.666666666599</v>
      </c>
      <c r="AH52" s="38">
        <f ca="1">IF(History!AL2="","",History!AL2)</f>
        <v>44615.666666666599</v>
      </c>
      <c r="AI52" s="38">
        <f ca="1">IF(History!AM2="","",History!AM2)</f>
        <v>44616.666666666599</v>
      </c>
      <c r="AJ52" s="38">
        <f ca="1">IF(History!AN2="","",History!AN2)</f>
        <v>44617.666666666599</v>
      </c>
      <c r="AK52" s="38">
        <f ca="1">IF(History!AO2="","",History!AO2)</f>
        <v>44620.666666666599</v>
      </c>
      <c r="AL52" s="38">
        <f ca="1">IF(History!AP2="","",History!AP2)</f>
        <v>44621.666666666599</v>
      </c>
      <c r="AM52" s="38">
        <f ca="1">IF(History!AQ2="","",History!AQ2)</f>
        <v>44622.666666666599</v>
      </c>
      <c r="AN52" s="38">
        <f ca="1">IF(History!AR2="","",History!AR2)</f>
        <v>44623.666666666599</v>
      </c>
      <c r="AO52" s="38">
        <f ca="1">IF(History!AS2="","",History!AS2)</f>
        <v>44624.666666666599</v>
      </c>
      <c r="AP52" s="38">
        <f ca="1">IF(History!AT2="","",History!AT2)</f>
        <v>44627.666666666599</v>
      </c>
      <c r="AQ52" s="38">
        <f ca="1">IF(History!AU2="","",History!AU2)</f>
        <v>44628.666666666599</v>
      </c>
      <c r="AR52" s="38">
        <f ca="1">IF(History!AV2="","",History!AV2)</f>
        <v>44629.666666666599</v>
      </c>
      <c r="AS52" s="38">
        <f ca="1">IF(History!AW2="","",History!AW2)</f>
        <v>44630.666666666599</v>
      </c>
      <c r="AT52" s="38">
        <f ca="1">IF(History!AX2="","",History!AX2)</f>
        <v>44631.666666666599</v>
      </c>
      <c r="AU52" s="38">
        <f ca="1">IF(History!AY2="","",History!AY2)</f>
        <v>44634.666666666599</v>
      </c>
      <c r="AV52" s="38">
        <f ca="1">IF(History!AZ2="","",History!AZ2)</f>
        <v>44635.666666666599</v>
      </c>
      <c r="AW52" s="38">
        <f ca="1">IF(History!BA2="","",History!BA2)</f>
        <v>44636.666666666599</v>
      </c>
      <c r="AX52" s="38">
        <f ca="1">IF(History!BB2="","",History!BB2)</f>
        <v>44637.666666666599</v>
      </c>
      <c r="AY52" s="38">
        <f ca="1">IF(History!BC2="","",History!BC2)</f>
        <v>44638.666666666599</v>
      </c>
      <c r="AZ52" s="38">
        <f ca="1">IF(History!BD2="","",History!BD2)</f>
        <v>44641.666666666599</v>
      </c>
      <c r="BA52" s="38">
        <f ca="1">IF(History!BE2="","",History!BE2)</f>
        <v>44642.666666666599</v>
      </c>
      <c r="BB52" s="38">
        <f ca="1">IF(History!BF2="","",History!BF2)</f>
        <v>44643.666666666599</v>
      </c>
      <c r="BC52" s="38">
        <f ca="1">IF(History!BG2="","",History!BG2)</f>
        <v>44644.666666666599</v>
      </c>
      <c r="BD52" s="38">
        <f ca="1">IF(History!BH2="","",History!BH2)</f>
        <v>44645.666666666599</v>
      </c>
      <c r="BE52" s="38">
        <f ca="1">IF(History!BI2="","",History!BI2)</f>
        <v>44648.666666666599</v>
      </c>
      <c r="BF52" s="38">
        <f ca="1">IF(History!BJ2="","",History!BJ2)</f>
        <v>44649.666666666599</v>
      </c>
      <c r="BG52" s="38">
        <f ca="1">IF(History!BK2="","",History!BK2)</f>
        <v>44650.666666666599</v>
      </c>
      <c r="BH52" s="38">
        <f ca="1">IF(History!BL2="","",History!BL2)</f>
        <v>44651.666666666599</v>
      </c>
      <c r="BI52" s="38">
        <f ca="1">IF(History!BM2="","",History!BM2)</f>
        <v>44652.666666666599</v>
      </c>
      <c r="BJ52" s="38">
        <f ca="1">IF(History!BN2="","",History!BN2)</f>
        <v>44655.666666666599</v>
      </c>
      <c r="BK52" s="38">
        <f ca="1">IF(History!BO2="","",History!BO2)</f>
        <v>44656.666666666599</v>
      </c>
      <c r="BL52" s="38">
        <f ca="1">IF(History!BP2="","",History!BP2)</f>
        <v>44657.666666666599</v>
      </c>
      <c r="BM52" s="38">
        <f ca="1">IF(History!BQ2="","",History!BQ2)</f>
        <v>44658.666666666599</v>
      </c>
      <c r="BN52" s="38">
        <f ca="1">IF(History!BR2="","",History!BR2)</f>
        <v>44659.666666666599</v>
      </c>
      <c r="BO52" s="38">
        <f ca="1">IF(History!BS2="","",History!BS2)</f>
        <v>44662.666666666599</v>
      </c>
      <c r="BP52" s="38">
        <f ca="1">IF(History!BT2="","",History!BT2)</f>
        <v>44663.666666666599</v>
      </c>
      <c r="BQ52" s="38">
        <f ca="1">IF(History!BU2="","",History!BU2)</f>
        <v>44664.666666666599</v>
      </c>
      <c r="BR52" s="38">
        <f ca="1">IF(History!BV2="","",History!BV2)</f>
        <v>44665.666666666599</v>
      </c>
      <c r="BS52" s="38">
        <f ca="1">IF(History!BW2="","",History!BW2)</f>
        <v>44669.666666666599</v>
      </c>
      <c r="BT52" s="38">
        <f ca="1">IF(History!BX2="","",History!BX2)</f>
        <v>44670.666666666599</v>
      </c>
      <c r="BU52" s="38">
        <f ca="1">IF(History!BY2="","",History!BY2)</f>
        <v>44671.666666666599</v>
      </c>
      <c r="BV52" s="38">
        <f ca="1">IF(History!BZ2="","",History!BZ2)</f>
        <v>44672.666666666599</v>
      </c>
      <c r="BW52" s="38">
        <f ca="1">IF(History!CA2="","",History!CA2)</f>
        <v>44673.666666666599</v>
      </c>
      <c r="BX52" s="38">
        <f ca="1">IF(History!CB2="","",History!CB2)</f>
        <v>44676.666666666599</v>
      </c>
      <c r="BY52" s="38">
        <f ca="1">IF(History!CC2="","",History!CC2)</f>
        <v>44677.666666666599</v>
      </c>
      <c r="BZ52" s="38">
        <f ca="1">IF(History!CD2="","",History!CD2)</f>
        <v>44678.666666666599</v>
      </c>
      <c r="CA52" s="38">
        <f ca="1">IF(History!CE2="","",History!CE2)</f>
        <v>44679.666666666599</v>
      </c>
      <c r="CB52" s="38">
        <f ca="1">IF(History!CF2="","",History!CF2)</f>
        <v>44680.666666666599</v>
      </c>
      <c r="CC52" s="38">
        <f ca="1">IF(History!CG2="","",History!CG2)</f>
        <v>44683.666666666599</v>
      </c>
      <c r="CD52" s="38">
        <f ca="1">IF(History!CH2="","",History!CH2)</f>
        <v>44684.666666666599</v>
      </c>
      <c r="CE52" s="38">
        <f ca="1">IF(History!CI2="","",History!CI2)</f>
        <v>44685.666666666599</v>
      </c>
      <c r="CF52" s="38" t="str">
        <f ca="1">IF(History!CJ2="","",History!CJ2)</f>
        <v/>
      </c>
      <c r="CG52" s="38" t="str">
        <f ca="1">IF(History!CK2="","",History!CK2)</f>
        <v/>
      </c>
      <c r="CH52" s="38" t="str">
        <f ca="1">IF(History!CL2="","",History!CL2)</f>
        <v/>
      </c>
      <c r="CI52" s="38" t="str">
        <f ca="1">IF(History!CM2="","",History!CM2)</f>
        <v/>
      </c>
      <c r="CJ52" s="38" t="str">
        <f ca="1">IF(History!CN2="","",History!CN2)</f>
        <v/>
      </c>
      <c r="CK52" s="38" t="str">
        <f ca="1">IF(History!CO2="","",History!CO2)</f>
        <v/>
      </c>
      <c r="CL52" s="38" t="str">
        <f ca="1">IF(History!CP2="","",History!CP2)</f>
        <v/>
      </c>
      <c r="CM52" s="38" t="str">
        <f ca="1">IF(History!CQ2="","",History!CQ2)</f>
        <v/>
      </c>
      <c r="CN52" s="38" t="str">
        <f ca="1">IF(History!CR2="","",History!CR2)</f>
        <v/>
      </c>
      <c r="CO52" s="38" t="str">
        <f ca="1">IF(History!CS2="","",History!CS2)</f>
        <v/>
      </c>
      <c r="CP52" s="38" t="str">
        <f ca="1">IF(History!CT2="","",History!CT2)</f>
        <v/>
      </c>
      <c r="CQ52" s="38" t="str">
        <f ca="1">IF(History!CU2="","",History!CU2)</f>
        <v/>
      </c>
      <c r="CR52" s="38" t="str">
        <f ca="1">IF(History!CV2="","",History!CV2)</f>
        <v/>
      </c>
      <c r="CS52" s="38" t="str">
        <f ca="1">IF(History!CW2="","",History!CW2)</f>
        <v/>
      </c>
      <c r="CT52" s="38" t="str">
        <f ca="1">IF(History!CX2="","",History!CX2)</f>
        <v/>
      </c>
      <c r="CU52" s="38" t="str">
        <f ca="1">IF(History!CY2="","",History!CY2)</f>
        <v/>
      </c>
      <c r="CV52" s="38" t="str">
        <f ca="1">IF(History!CZ2="","",History!CZ2)</f>
        <v/>
      </c>
      <c r="CW52" s="38" t="str">
        <f ca="1">IF(History!DA2="","",History!DA2)</f>
        <v/>
      </c>
      <c r="CX52" s="38" t="str">
        <f ca="1">IF(History!DB2="","",History!DB2)</f>
        <v/>
      </c>
      <c r="CY52" s="38" t="str">
        <f ca="1">IF(History!DC2="","",History!DC2)</f>
        <v/>
      </c>
      <c r="CZ52" s="38" t="str">
        <f ca="1">IF(History!DD2="","",History!DD2)</f>
        <v/>
      </c>
      <c r="DA52" s="38" t="str">
        <f ca="1">IF(History!DE2="","",History!DE2)</f>
        <v/>
      </c>
      <c r="DB52" s="38" t="str">
        <f ca="1">IF(History!DF2="","",History!DF2)</f>
        <v/>
      </c>
      <c r="DC52" s="38" t="str">
        <f ca="1">IF(History!DG2="","",History!DG2)</f>
        <v/>
      </c>
      <c r="DD52" s="38" t="str">
        <f ca="1">IF(History!DH2="","",History!DH2)</f>
        <v/>
      </c>
      <c r="DE52" s="38" t="str">
        <f ca="1">IF(History!DI2="","",History!DI2)</f>
        <v/>
      </c>
      <c r="DF52" s="38" t="str">
        <f ca="1">IF(History!DJ2="","",History!DJ2)</f>
        <v/>
      </c>
      <c r="DG52" s="38" t="str">
        <f ca="1">IF(History!DK2="","",History!DK2)</f>
        <v/>
      </c>
      <c r="DH52" s="38" t="str">
        <f ca="1">IF(History!DL2="","",History!DL2)</f>
        <v/>
      </c>
      <c r="DI52" s="38" t="str">
        <f ca="1">IF(History!DM2="","",History!DM2)</f>
        <v/>
      </c>
      <c r="DJ52" s="38" t="str">
        <f ca="1">IF(History!DN2="","",History!DN2)</f>
        <v/>
      </c>
      <c r="DK52" s="38" t="str">
        <f ca="1">IF(History!DO2="","",History!DO2)</f>
        <v/>
      </c>
      <c r="DL52" s="38" t="str">
        <f ca="1">IF(History!DP2="","",History!DP2)</f>
        <v/>
      </c>
      <c r="DM52" s="38" t="str">
        <f ca="1">IF(History!DQ2="","",History!DQ2)</f>
        <v/>
      </c>
      <c r="DN52" s="38" t="str">
        <f ca="1">IF(History!DR2="","",History!DR2)</f>
        <v/>
      </c>
      <c r="DO52" s="38" t="str">
        <f ca="1">IF(History!DS2="","",History!DS2)</f>
        <v/>
      </c>
      <c r="DP52" s="38" t="str">
        <f ca="1">IF(History!DT2="","",History!DT2)</f>
        <v/>
      </c>
      <c r="DQ52" s="38" t="str">
        <f ca="1">IF(History!DU2="","",History!DU2)</f>
        <v/>
      </c>
      <c r="DR52" s="38" t="str">
        <f ca="1">IF(History!DV2="","",History!DV2)</f>
        <v/>
      </c>
      <c r="DS52" s="38" t="str">
        <f ca="1">IF(History!DW2="","",History!DW2)</f>
        <v/>
      </c>
      <c r="DT52" s="38" t="str">
        <f ca="1">IF(History!DX2="","",History!DX2)</f>
        <v/>
      </c>
      <c r="DU52" s="38" t="str">
        <f ca="1">IF(History!DY2="","",History!DY2)</f>
        <v/>
      </c>
      <c r="DV52" s="38" t="str">
        <f ca="1">IF(History!DZ2="","",History!DZ2)</f>
        <v/>
      </c>
      <c r="DW52" s="38" t="str">
        <f ca="1">IF(History!EA2="","",History!EA2)</f>
        <v/>
      </c>
      <c r="DX52" s="38" t="str">
        <f ca="1">IF(History!EB2="","",History!EB2)</f>
        <v/>
      </c>
      <c r="DY52" s="38" t="str">
        <f ca="1">IF(History!EC2="","",History!EC2)</f>
        <v/>
      </c>
      <c r="DZ52" s="38" t="str">
        <f ca="1">IF(History!ED2="","",History!ED2)</f>
        <v/>
      </c>
      <c r="EA52" s="38" t="str">
        <f ca="1">IF(History!EE2="","",History!EE2)</f>
        <v/>
      </c>
      <c r="EB52" s="38" t="str">
        <f ca="1">IF(History!EF2="","",History!EF2)</f>
        <v/>
      </c>
      <c r="EC52" s="38" t="str">
        <f ca="1">IF(History!EG2="","",History!EG2)</f>
        <v/>
      </c>
      <c r="ED52" s="38" t="str">
        <f ca="1">IF(History!EH2="","",History!EH2)</f>
        <v/>
      </c>
      <c r="EE52" s="38" t="str">
        <f ca="1">IF(History!EI2="","",History!EI2)</f>
        <v/>
      </c>
      <c r="EF52" s="38" t="str">
        <f ca="1">IF(History!EJ2="","",History!EJ2)</f>
        <v/>
      </c>
      <c r="EG52" s="38" t="str">
        <f ca="1">IF(History!EK2="","",History!EK2)</f>
        <v/>
      </c>
      <c r="EH52" s="38" t="str">
        <f ca="1">IF(History!EL2="","",History!EL2)</f>
        <v/>
      </c>
      <c r="EI52" s="38" t="str">
        <f ca="1">IF(History!EM2="","",History!EM2)</f>
        <v/>
      </c>
      <c r="EJ52" s="38" t="str">
        <f ca="1">IF(History!EN2="","",History!EN2)</f>
        <v/>
      </c>
      <c r="EK52" s="38" t="str">
        <f ca="1">IF(History!EO2="","",History!EO2)</f>
        <v/>
      </c>
      <c r="EL52" s="38" t="str">
        <f ca="1">IF(History!EP2="","",History!EP2)</f>
        <v/>
      </c>
      <c r="EM52" s="38" t="str">
        <f ca="1">IF(History!EQ2="","",History!EQ2)</f>
        <v/>
      </c>
      <c r="EN52" s="38" t="str">
        <f ca="1">IF(History!ER2="","",History!ER2)</f>
        <v/>
      </c>
      <c r="EO52" s="38" t="str">
        <f ca="1">IF(History!ES2="","",History!ES2)</f>
        <v/>
      </c>
      <c r="EP52" s="38" t="str">
        <f ca="1">IF(History!ET2="","",History!ET2)</f>
        <v/>
      </c>
      <c r="EQ52" s="38" t="str">
        <f ca="1">IF(History!EU2="","",History!EU2)</f>
        <v/>
      </c>
      <c r="ER52" s="38" t="str">
        <f ca="1">IF(History!EV2="","",History!EV2)</f>
        <v/>
      </c>
      <c r="ES52" s="38" t="str">
        <f ca="1">IF(History!EW2="","",History!EW2)</f>
        <v/>
      </c>
      <c r="ET52" s="38" t="str">
        <f ca="1">IF(History!EX2="","",History!EX2)</f>
        <v/>
      </c>
      <c r="EU52" s="38" t="str">
        <f ca="1">IF(History!EY2="","",History!EY2)</f>
        <v/>
      </c>
      <c r="EV52" s="38" t="str">
        <f ca="1">IF(History!EZ2="","",History!EZ2)</f>
        <v/>
      </c>
      <c r="EW52" s="38" t="str">
        <f ca="1">IF(History!FA2="","",History!FA2)</f>
        <v/>
      </c>
      <c r="EX52" s="38" t="str">
        <f ca="1">IF(History!FB2="","",History!FB2)</f>
        <v/>
      </c>
      <c r="EY52" s="38" t="str">
        <f ca="1">IF(History!FC2="","",History!FC2)</f>
        <v/>
      </c>
      <c r="EZ52" s="38" t="str">
        <f ca="1">IF(History!FD2="","",History!FD2)</f>
        <v/>
      </c>
      <c r="FA52" s="38" t="str">
        <f ca="1">IF(History!FE2="","",History!FE2)</f>
        <v/>
      </c>
      <c r="FB52" s="38" t="str">
        <f ca="1">IF(History!FF2="","",History!FF2)</f>
        <v/>
      </c>
      <c r="FC52" s="38" t="str">
        <f ca="1">IF(History!FG2="","",History!FG2)</f>
        <v/>
      </c>
      <c r="FD52" s="38" t="str">
        <f ca="1">IF(History!FH2="","",History!FH2)</f>
        <v/>
      </c>
      <c r="FE52" s="38" t="str">
        <f ca="1">IF(History!FI2="","",History!FI2)</f>
        <v/>
      </c>
      <c r="FF52" s="38" t="str">
        <f ca="1">IF(History!FJ2="","",History!FJ2)</f>
        <v/>
      </c>
      <c r="FG52" s="38" t="str">
        <f ca="1">IF(History!FK2="","",History!FK2)</f>
        <v/>
      </c>
      <c r="FH52" s="38" t="str">
        <f ca="1">IF(History!FL2="","",History!FL2)</f>
        <v/>
      </c>
      <c r="FI52" s="38" t="str">
        <f ca="1">IF(History!FM2="","",History!FM2)</f>
        <v/>
      </c>
      <c r="FJ52" s="38" t="str">
        <f ca="1">IF(History!FN2="","",History!FN2)</f>
        <v/>
      </c>
      <c r="FK52" s="38" t="str">
        <f ca="1">IF(History!FO2="","",History!FO2)</f>
        <v/>
      </c>
      <c r="FL52" s="38" t="str">
        <f ca="1">IF(History!FP2="","",History!FP2)</f>
        <v/>
      </c>
      <c r="FM52" s="38" t="str">
        <f ca="1">IF(History!FQ2="","",History!FQ2)</f>
        <v/>
      </c>
      <c r="FN52" s="38" t="str">
        <f ca="1">IF(History!FR2="","",History!FR2)</f>
        <v/>
      </c>
      <c r="FO52" s="38" t="str">
        <f ca="1">IF(History!FS2="","",History!FS2)</f>
        <v/>
      </c>
      <c r="FP52" s="38" t="str">
        <f ca="1">IF(History!FT2="","",History!FT2)</f>
        <v/>
      </c>
      <c r="FQ52" s="38" t="str">
        <f ca="1">IF(History!FU2="","",History!FU2)</f>
        <v/>
      </c>
      <c r="FR52" s="38" t="str">
        <f ca="1">IF(History!FV2="","",History!FV2)</f>
        <v/>
      </c>
      <c r="FS52" s="38" t="str">
        <f ca="1">IF(History!FW2="","",History!FW2)</f>
        <v/>
      </c>
      <c r="FT52" s="38" t="str">
        <f ca="1">IF(History!FX2="","",History!FX2)</f>
        <v/>
      </c>
      <c r="FU52" s="38" t="str">
        <f ca="1">IF(History!FY2="","",History!FY2)</f>
        <v/>
      </c>
      <c r="FV52" s="38" t="str">
        <f ca="1">IF(History!FZ2="","",History!FZ2)</f>
        <v/>
      </c>
      <c r="FW52" s="38" t="str">
        <f ca="1">IF(History!GA2="","",History!GA2)</f>
        <v/>
      </c>
      <c r="FX52" s="38" t="str">
        <f ca="1">IF(History!GB2="","",History!GB2)</f>
        <v/>
      </c>
      <c r="FY52" s="38" t="str">
        <f ca="1">IF(History!GC2="","",History!GC2)</f>
        <v/>
      </c>
      <c r="FZ52" s="38" t="str">
        <f ca="1">IF(History!GD2="","",History!GD2)</f>
        <v/>
      </c>
      <c r="GA52" s="38" t="str">
        <f ca="1">IF(History!GE2="","",History!GE2)</f>
        <v/>
      </c>
      <c r="GB52" s="38" t="str">
        <f ca="1">IF(History!GF2="","",History!GF2)</f>
        <v/>
      </c>
      <c r="GC52" s="38" t="str">
        <f ca="1">IF(History!GG2="","",History!GG2)</f>
        <v/>
      </c>
      <c r="GD52" s="38" t="str">
        <f ca="1">IF(History!GH2="","",History!GH2)</f>
        <v/>
      </c>
      <c r="GE52" s="38" t="str">
        <f ca="1">IF(History!GI2="","",History!GI2)</f>
        <v/>
      </c>
      <c r="GF52" s="38" t="str">
        <f ca="1">IF(History!GJ2="","",History!GJ2)</f>
        <v/>
      </c>
      <c r="GG52" s="38" t="str">
        <f ca="1">IF(History!GK2="","",History!GK2)</f>
        <v/>
      </c>
      <c r="GH52" s="38" t="str">
        <f ca="1">IF(History!GL2="","",History!GL2)</f>
        <v/>
      </c>
      <c r="GI52" s="38" t="str">
        <f ca="1">IF(History!GM2="","",History!GM2)</f>
        <v/>
      </c>
      <c r="GJ52" s="38" t="str">
        <f ca="1">IF(History!GN2="","",History!GN2)</f>
        <v/>
      </c>
      <c r="GK52" s="38" t="str">
        <f ca="1">IF(History!GO2="","",History!GO2)</f>
        <v/>
      </c>
      <c r="GL52" s="38" t="str">
        <f ca="1">IF(History!GP2="","",History!GP2)</f>
        <v/>
      </c>
      <c r="GM52" s="38" t="str">
        <f ca="1">IF(History!GQ2="","",History!GQ2)</f>
        <v/>
      </c>
      <c r="GN52" s="38" t="str">
        <f ca="1">IF(History!GR2="","",History!GR2)</f>
        <v/>
      </c>
      <c r="GO52" s="38" t="str">
        <f ca="1">IF(History!GS2="","",History!GS2)</f>
        <v/>
      </c>
      <c r="GP52" s="38" t="str">
        <f ca="1">IF(History!GT2="","",History!GT2)</f>
        <v/>
      </c>
      <c r="GQ52" s="38" t="str">
        <f ca="1">IF(History!GU2="","",History!GU2)</f>
        <v/>
      </c>
      <c r="GR52" s="38" t="str">
        <f ca="1">IF(History!GV2="","",History!GV2)</f>
        <v/>
      </c>
      <c r="GS52" s="38" t="str">
        <f ca="1">IF(History!GW2="","",History!GW2)</f>
        <v/>
      </c>
      <c r="GT52" s="38" t="str">
        <f ca="1">IF(History!GX2="","",History!GX2)</f>
        <v/>
      </c>
      <c r="GU52" s="38" t="str">
        <f ca="1">IF(History!GY2="","",History!GY2)</f>
        <v/>
      </c>
      <c r="GV52" s="38" t="str">
        <f ca="1">IF(History!GZ2="","",History!GZ2)</f>
        <v/>
      </c>
      <c r="GW52" s="38" t="str">
        <f ca="1">IF(History!HA2="","",History!HA2)</f>
        <v/>
      </c>
      <c r="GX52" s="38" t="str">
        <f ca="1">IF(History!HB2="","",History!HB2)</f>
        <v/>
      </c>
      <c r="GY52" s="38" t="str">
        <f ca="1">IF(History!HC2="","",History!HC2)</f>
        <v/>
      </c>
      <c r="GZ52" s="38" t="str">
        <f ca="1">IF(History!HD2="","",History!HD2)</f>
        <v/>
      </c>
      <c r="HA52" s="38" t="str">
        <f ca="1">IF(History!HE2="","",History!HE2)</f>
        <v/>
      </c>
      <c r="HB52" s="38" t="str">
        <f ca="1">IF(History!HF2="","",History!HF2)</f>
        <v/>
      </c>
      <c r="HC52" s="38" t="str">
        <f ca="1">IF(History!HG2="","",History!HG2)</f>
        <v/>
      </c>
      <c r="HD52" s="38" t="str">
        <f ca="1">IF(History!HH2="","",History!HH2)</f>
        <v/>
      </c>
      <c r="HE52" s="38" t="str">
        <f ca="1">IF(History!HI2="","",History!HI2)</f>
        <v/>
      </c>
      <c r="HF52" s="38" t="str">
        <f ca="1">IF(History!HJ2="","",History!HJ2)</f>
        <v/>
      </c>
      <c r="HG52" s="38" t="str">
        <f ca="1">IF(History!HK2="","",History!HK2)</f>
        <v/>
      </c>
      <c r="HH52" s="38" t="str">
        <f ca="1">IF(History!HL2="","",History!HL2)</f>
        <v/>
      </c>
      <c r="HI52" s="38" t="str">
        <f ca="1">IF(History!HM2="","",History!HM2)</f>
        <v/>
      </c>
      <c r="HJ52" s="38" t="str">
        <f ca="1">IF(History!HN2="","",History!HN2)</f>
        <v/>
      </c>
      <c r="HK52" s="38" t="str">
        <f ca="1">IF(History!HO2="","",History!HO2)</f>
        <v/>
      </c>
      <c r="HL52" s="38" t="str">
        <f ca="1">IF(History!HP2="","",History!HP2)</f>
        <v/>
      </c>
      <c r="HM52" s="38" t="str">
        <f ca="1">IF(History!HQ2="","",History!HQ2)</f>
        <v/>
      </c>
      <c r="HN52" s="38" t="str">
        <f ca="1">IF(History!HR2="","",History!HR2)</f>
        <v/>
      </c>
      <c r="HO52" s="38" t="str">
        <f ca="1">IF(History!HS2="","",History!HS2)</f>
        <v/>
      </c>
      <c r="HP52" s="38" t="str">
        <f ca="1">IF(History!HT2="","",History!HT2)</f>
        <v/>
      </c>
      <c r="HQ52" s="38" t="str">
        <f ca="1">IF(History!HU2="","",History!HU2)</f>
        <v/>
      </c>
      <c r="HR52" s="38" t="str">
        <f ca="1">IF(History!HV2="","",History!HV2)</f>
        <v/>
      </c>
      <c r="HS52" s="38" t="str">
        <f ca="1">IF(History!HW2="","",History!HW2)</f>
        <v/>
      </c>
      <c r="HT52" s="38" t="str">
        <f ca="1">IF(History!HX2="","",History!HX2)</f>
        <v/>
      </c>
      <c r="HU52" s="38" t="str">
        <f ca="1">IF(History!HY2="","",History!HY2)</f>
        <v/>
      </c>
      <c r="HV52" s="38" t="str">
        <f ca="1">IF(History!HZ2="","",History!HZ2)</f>
        <v/>
      </c>
      <c r="HW52" s="38" t="str">
        <f ca="1">IF(History!IA2="","",History!IA2)</f>
        <v/>
      </c>
      <c r="HX52" s="38" t="str">
        <f ca="1">IF(History!IB2="","",History!IB2)</f>
        <v/>
      </c>
      <c r="HY52" s="38" t="str">
        <f ca="1">IF(History!IC2="","",History!IC2)</f>
        <v/>
      </c>
      <c r="HZ52" s="38" t="str">
        <f ca="1">IF(History!ID2="","",History!ID2)</f>
        <v/>
      </c>
      <c r="IA52" s="38" t="str">
        <f ca="1">IF(History!IE2="","",History!IE2)</f>
        <v/>
      </c>
      <c r="IB52" s="38" t="str">
        <f ca="1">IF(History!IF2="","",History!IF2)</f>
        <v/>
      </c>
      <c r="IC52" s="38" t="str">
        <f ca="1">IF(History!IG2="","",History!IG2)</f>
        <v/>
      </c>
      <c r="ID52" s="38" t="str">
        <f ca="1">IF(History!IH2="","",History!IH2)</f>
        <v/>
      </c>
      <c r="IE52" s="38" t="str">
        <f ca="1">IF(History!II2="","",History!II2)</f>
        <v/>
      </c>
      <c r="IF52" s="38" t="str">
        <f ca="1">IF(History!IJ2="","",History!IJ2)</f>
        <v/>
      </c>
      <c r="IG52" s="38" t="str">
        <f ca="1">IF(History!IK2="","",History!IK2)</f>
        <v/>
      </c>
      <c r="IH52" s="38" t="str">
        <f ca="1">IF(History!IL2="","",History!IL2)</f>
        <v/>
      </c>
      <c r="II52" s="38" t="str">
        <f ca="1">IF(History!IM2="","",History!IM2)</f>
        <v/>
      </c>
      <c r="IJ52" s="38" t="str">
        <f ca="1">IF(History!IN2="","",History!IN2)</f>
        <v/>
      </c>
      <c r="IK52" s="38" t="str">
        <f ca="1">IF(History!IO2="","",History!IO2)</f>
        <v/>
      </c>
      <c r="IL52" s="38" t="str">
        <f ca="1">IF(History!IP2="","",History!IP2)</f>
        <v/>
      </c>
      <c r="IM52" s="38" t="str">
        <f ca="1">IF(History!IQ2="","",History!IQ2)</f>
        <v/>
      </c>
      <c r="IN52" s="38" t="str">
        <f ca="1">IF(History!IR2="","",History!IR2)</f>
        <v/>
      </c>
      <c r="IO52" s="38" t="str">
        <f ca="1">IF(History!IS2="","",History!IS2)</f>
        <v/>
      </c>
      <c r="IP52" s="38" t="str">
        <f ca="1">IF(History!IT2="","",History!IT2)</f>
        <v/>
      </c>
      <c r="IQ52" s="38" t="str">
        <f ca="1">IF(History!IU2="","",History!IU2)</f>
        <v/>
      </c>
      <c r="IR52" s="38" t="str">
        <f ca="1">IF(History!IV2="","",History!IV2)</f>
        <v/>
      </c>
      <c r="IS52" s="38" t="str">
        <f ca="1">IF(History!IW2="","",History!IW2)</f>
        <v/>
      </c>
      <c r="IT52" s="38" t="str">
        <f ca="1">IF(History!IX2="","",History!IX2)</f>
        <v/>
      </c>
      <c r="IU52" s="38" t="str">
        <f ca="1">IF(History!IY2="","",History!IY2)</f>
        <v/>
      </c>
      <c r="IV52" s="38" t="str">
        <f ca="1">IF(History!IZ2="","",History!IZ2)</f>
        <v/>
      </c>
      <c r="IW52" s="38" t="str">
        <f ca="1">IF(History!JA2="","",History!JA2)</f>
        <v/>
      </c>
      <c r="IX52" s="38" t="str">
        <f ca="1">IF(History!JB2="","",History!JB2)</f>
        <v/>
      </c>
      <c r="IY52" s="38" t="str">
        <f ca="1">IF(History!JC2="","",History!JC2)</f>
        <v/>
      </c>
      <c r="IZ52" s="38" t="str">
        <f ca="1">IF(History!JD2="","",History!JD2)</f>
        <v/>
      </c>
      <c r="JA52" s="38" t="str">
        <f ca="1">IF(History!JE2="","",History!JE2)</f>
        <v/>
      </c>
      <c r="JB52" s="38" t="str">
        <f ca="1">IF(History!JF2="","",History!JF2)</f>
        <v/>
      </c>
      <c r="JC52" s="38" t="str">
        <f ca="1">IF(History!JG2="","",History!JG2)</f>
        <v/>
      </c>
      <c r="JD52" s="38" t="str">
        <f ca="1">IF(History!JH2="","",History!JH2)</f>
        <v/>
      </c>
      <c r="JE52" s="38" t="str">
        <f ca="1">IF(History!JI2="","",History!JI2)</f>
        <v/>
      </c>
      <c r="JF52" s="38" t="str">
        <f ca="1">IF(History!JJ2="","",History!JJ2)</f>
        <v/>
      </c>
      <c r="JG52" s="38" t="str">
        <f ca="1">IF(History!JK2="","",History!JK2)</f>
        <v/>
      </c>
      <c r="JH52" s="38" t="str">
        <f ca="1">IF(History!JL2="","",History!JL2)</f>
        <v/>
      </c>
      <c r="JI52" s="38" t="str">
        <f ca="1">IF(History!JM2="","",History!JM2)</f>
        <v/>
      </c>
      <c r="JJ52" s="38" t="str">
        <f ca="1">IF(History!JN2="","",History!JN2)</f>
        <v/>
      </c>
      <c r="JK52" s="38" t="str">
        <f ca="1">IF(History!JO2="","",History!JO2)</f>
        <v/>
      </c>
      <c r="JL52" s="38" t="str">
        <f ca="1">IF(History!JP2="","",History!JP2)</f>
        <v/>
      </c>
      <c r="JM52" s="38" t="str">
        <f ca="1">IF(History!JQ2="","",History!JQ2)</f>
        <v/>
      </c>
      <c r="JN52" s="38" t="str">
        <f ca="1">IF(History!JR2="","",History!JR2)</f>
        <v/>
      </c>
      <c r="JO52" s="38" t="str">
        <f ca="1">IF(History!JS2="","",History!JS2)</f>
        <v/>
      </c>
      <c r="JP52" s="38" t="str">
        <f ca="1">IF(History!JT2="","",History!JT2)</f>
        <v/>
      </c>
      <c r="JQ52" s="38" t="str">
        <f ca="1">IF(History!JU2="","",History!JU2)</f>
        <v/>
      </c>
      <c r="JR52" s="38" t="str">
        <f ca="1">IF(History!JV2="","",History!JV2)</f>
        <v/>
      </c>
      <c r="JS52" s="38" t="str">
        <f ca="1">IF(History!JW2="","",History!JW2)</f>
        <v/>
      </c>
      <c r="JT52" s="38" t="str">
        <f ca="1">IF(History!JX2="","",History!JX2)</f>
        <v/>
      </c>
      <c r="JU52" s="38" t="str">
        <f ca="1">IF(History!JY2="","",History!JY2)</f>
        <v/>
      </c>
      <c r="JV52" s="38" t="str">
        <f ca="1">IF(History!JZ2="","",History!JZ2)</f>
        <v/>
      </c>
      <c r="JW52" s="38" t="str">
        <f ca="1">IF(History!KA2="","",History!KA2)</f>
        <v/>
      </c>
      <c r="JX52" s="38" t="str">
        <f ca="1">IF(History!KB2="","",History!KB2)</f>
        <v/>
      </c>
      <c r="JY52" s="38" t="str">
        <f ca="1">IF(History!KC2="","",History!KC2)</f>
        <v/>
      </c>
      <c r="JZ52" s="38" t="str">
        <f ca="1">IF(History!KD2="","",History!KD2)</f>
        <v/>
      </c>
      <c r="KA52" s="38" t="str">
        <f ca="1">IF(History!KE2="","",History!KE2)</f>
        <v/>
      </c>
      <c r="KB52" s="38" t="str">
        <f ca="1">IF(History!KF2="","",History!KF2)</f>
        <v/>
      </c>
    </row>
    <row r="53" spans="1:288" ht="15.75" customHeight="1">
      <c r="A53" s="22" t="s">
        <v>30</v>
      </c>
      <c r="D53" s="13">
        <v>0</v>
      </c>
      <c r="E53" s="14">
        <f ca="1">IF(E$1="","",'Total Value'!E149/'Total Value'!D149-1)</f>
        <v>1.2627299077323517E-2</v>
      </c>
      <c r="F53" s="14">
        <f ca="1">IF(F$1="","",'Total Value'!F149/'Total Value'!E149-1)</f>
        <v>-3.750090301503417E-3</v>
      </c>
      <c r="G53" s="14">
        <f ca="1">IF(G$1="","",'Total Value'!G149/'Total Value'!F149-1)</f>
        <v>-2.1364620914592236E-2</v>
      </c>
      <c r="H53" s="14">
        <f ca="1">IF(H$1="","",'Total Value'!H149/'Total Value'!G149-1)</f>
        <v>1.6093032628234916E-3</v>
      </c>
      <c r="I53" s="14">
        <f ca="1">IF(I$1="","",'Total Value'!I149/'Total Value'!H149-1)</f>
        <v>-2.2349364477577738E-2</v>
      </c>
      <c r="J53" s="14">
        <f ca="1">IF(J$1="","",'Total Value'!J149/'Total Value'!I149-1)</f>
        <v>-6.6072978243505442E-3</v>
      </c>
      <c r="K53" s="14">
        <f ca="1">IF(K$1="","",'Total Value'!K149/'Total Value'!J149-1)</f>
        <v>-8.595621802051201E-3</v>
      </c>
      <c r="L53" s="14">
        <f ca="1">IF(L$1="","",'Total Value'!L149/'Total Value'!K149-1)</f>
        <v>-1.9650223450820903E-2</v>
      </c>
      <c r="M53" s="14">
        <f ca="1">IF(M$1="","",'Total Value'!M149/'Total Value'!L149-1)</f>
        <v>9.1944147723745928E-3</v>
      </c>
      <c r="N53" s="14">
        <f ca="1">IF(N$1="","",'Total Value'!N149/'Total Value'!M149-1)</f>
        <v>-1.3721022492289681E-2</v>
      </c>
      <c r="O53" s="14">
        <f ca="1">IF(O$1="","",'Total Value'!O149/'Total Value'!N149-1)</f>
        <v>-6.9032098756020011E-3</v>
      </c>
      <c r="P53" s="14">
        <f ca="1">IF(P$1="","",'Total Value'!P149/'Total Value'!O149-1)</f>
        <v>1.2828692198813219E-2</v>
      </c>
      <c r="Q53" s="14">
        <f ca="1">IF(Q$1="","",'Total Value'!Q149/'Total Value'!P149-1)</f>
        <v>2.3162217100968219E-2</v>
      </c>
      <c r="R53" s="14">
        <f ca="1">IF(R$1="","",'Total Value'!R149/'Total Value'!Q149-1)</f>
        <v>2.4261397130588058E-2</v>
      </c>
      <c r="S53" s="14">
        <f ca="1">IF(S$1="","",'Total Value'!S149/'Total Value'!R149-1)</f>
        <v>1.2963085010156306E-2</v>
      </c>
      <c r="T53" s="14">
        <f ca="1">IF(T$1="","",'Total Value'!T149/'Total Value'!S149-1)</f>
        <v>-2.1129787306396475E-3</v>
      </c>
      <c r="U53" s="14">
        <f ca="1">IF(U$1="","",'Total Value'!U149/'Total Value'!T149-1)</f>
        <v>-2.341349871188747E-2</v>
      </c>
      <c r="V53" s="14">
        <f ca="1">IF(V$1="","",'Total Value'!V149/'Total Value'!U149-1)</f>
        <v>9.3131543164863828E-3</v>
      </c>
      <c r="W53" s="14">
        <f ca="1">IF(W$1="","",'Total Value'!W149/'Total Value'!V149-1)</f>
        <v>1.7708862557277438E-3</v>
      </c>
      <c r="X53" s="14">
        <f ca="1">IF(X$1="","",'Total Value'!X149/'Total Value'!W149-1)</f>
        <v>1.7654319040309341E-2</v>
      </c>
      <c r="Y53" s="14">
        <f ca="1">IF(Y$1="","",'Total Value'!Y149/'Total Value'!X149-1)</f>
        <v>2.3610913014785906E-2</v>
      </c>
      <c r="Z53" s="14">
        <f ca="1">IF(Z$1="","",'Total Value'!Z149/'Total Value'!Y149-1)</f>
        <v>-5.4458416267583187E-3</v>
      </c>
      <c r="AA53" s="14">
        <f ca="1">IF(AA$1="","",'Total Value'!AA149/'Total Value'!Z149-1)</f>
        <v>-2.1431838072620057E-2</v>
      </c>
      <c r="AB53" s="14">
        <f ca="1">IF(AB$1="","",'Total Value'!AB149/'Total Value'!AA149-1)</f>
        <v>-6.4955861211872801E-3</v>
      </c>
      <c r="AC53" s="14">
        <f ca="1">IF(AC$1="","",'Total Value'!AC149/'Total Value'!AB149-1)</f>
        <v>1.995379338932457E-2</v>
      </c>
      <c r="AD53" s="14">
        <f ca="1">IF(AD$1="","",'Total Value'!AD149/'Total Value'!AC149-1)</f>
        <v>7.0269853323856601E-4</v>
      </c>
      <c r="AE53" s="14">
        <f ca="1">IF(AE$1="","",'Total Value'!AE149/'Total Value'!AD149-1)</f>
        <v>-3.2101425006625939E-2</v>
      </c>
      <c r="AF53" s="14">
        <f ca="1">IF(AF$1="","",'Total Value'!AF149/'Total Value'!AE149-1)</f>
        <v>-1.3183301120523794E-2</v>
      </c>
      <c r="AG53" s="14">
        <f ca="1">IF(AG$1="","",'Total Value'!AG149/'Total Value'!AF149-1)</f>
        <v>-7.3601692379909878E-3</v>
      </c>
      <c r="AH53" s="14">
        <f ca="1">IF(AH$1="","",'Total Value'!AH149/'Total Value'!AG149-1)</f>
        <v>-1.8569752311865639E-2</v>
      </c>
      <c r="AI53" s="14">
        <f ca="1">IF(AI$1="","",'Total Value'!AI149/'Total Value'!AH149-1)</f>
        <v>1.5656931044950806E-2</v>
      </c>
      <c r="AJ53" s="14">
        <f ca="1">IF(AJ$1="","",'Total Value'!AJ149/'Total Value'!AI149-1)</f>
        <v>1.8013690991543818E-2</v>
      </c>
      <c r="AK53" s="14">
        <f ca="1">IF(AK$1="","",'Total Value'!AK149/'Total Value'!AJ149-1)</f>
        <v>-1.1028965585018535E-2</v>
      </c>
      <c r="AL53" s="14">
        <f ca="1">IF(AL$1="","",'Total Value'!AL149/'Total Value'!AK149-1)</f>
        <v>-1.4239934434870705E-2</v>
      </c>
      <c r="AM53" s="14">
        <f ca="1">IF(AM$1="","",'Total Value'!AM149/'Total Value'!AL149-1)</f>
        <v>2.2441635596212262E-2</v>
      </c>
      <c r="AN53" s="14">
        <f ca="1">IF(AN$1="","",'Total Value'!AN149/'Total Value'!AM149-1)</f>
        <v>-3.3395515939318887E-2</v>
      </c>
      <c r="AO53" s="14">
        <f ca="1">IF(AO$1="","",'Total Value'!AO149/'Total Value'!AN149-1)</f>
        <v>-2.4014558131408625E-2</v>
      </c>
      <c r="AP53" s="14">
        <f ca="1">IF(AP$1="","",'Total Value'!AP149/'Total Value'!AO149-1)</f>
        <v>-3.6331982614618341E-2</v>
      </c>
      <c r="AQ53" s="14">
        <f ca="1">IF(AQ$1="","",'Total Value'!AQ149/'Total Value'!AP149-1)</f>
        <v>-4.3192704820070871E-3</v>
      </c>
      <c r="AR53" s="14">
        <f ca="1">IF(AR$1="","",'Total Value'!AR149/'Total Value'!AQ149-1)</f>
        <v>4.1917785655787076E-2</v>
      </c>
      <c r="AS53" s="14">
        <f ca="1">IF(AS$1="","",'Total Value'!AS149/'Total Value'!AR149-1)</f>
        <v>-1.5199649079691069E-2</v>
      </c>
      <c r="AT53" s="14">
        <f ca="1">IF(AT$1="","",'Total Value'!AT149/'Total Value'!AS149-1)</f>
        <v>-2.424793057469099E-2</v>
      </c>
      <c r="AU53" s="14">
        <f ca="1">IF(AU$1="","",'Total Value'!AU149/'Total Value'!AT149-1)</f>
        <v>-1.8441192011746987E-2</v>
      </c>
      <c r="AV53" s="14">
        <f ca="1">IF(AV$1="","",'Total Value'!AV149/'Total Value'!AU149-1)</f>
        <v>1.7241131230647522E-2</v>
      </c>
      <c r="AW53" s="14">
        <f ca="1">IF(AW$1="","",'Total Value'!AW149/'Total Value'!AV149-1)</f>
        <v>4.0334877678714909E-2</v>
      </c>
      <c r="AX53" s="14">
        <f ca="1">IF(AX$1="","",'Total Value'!AX149/'Total Value'!AW149-1)</f>
        <v>2.1899671769445073E-2</v>
      </c>
      <c r="AY53" s="14">
        <f ca="1">IF(AY$1="","",'Total Value'!AY149/'Total Value'!AX149-1)</f>
        <v>1.3023358718382116E-2</v>
      </c>
      <c r="AZ53" s="14">
        <f ca="1">IF(AZ$1="","",'Total Value'!AZ149/'Total Value'!AY149-1)</f>
        <v>-5.8602323800402978E-3</v>
      </c>
      <c r="BA53" s="14">
        <f ca="1">IF(BA$1="","",'Total Value'!BA149/'Total Value'!AZ149-1)</f>
        <v>1.7783220298955627E-2</v>
      </c>
      <c r="BB53" s="14">
        <f ca="1">IF(BB$1="","",'Total Value'!BB149/'Total Value'!BA149-1)</f>
        <v>-1.9392525714178044E-2</v>
      </c>
      <c r="BC53" s="14">
        <f ca="1">IF(BC$1="","",'Total Value'!BC149/'Total Value'!BB149-1)</f>
        <v>1.1746091680661541E-2</v>
      </c>
      <c r="BD53" s="14">
        <f ca="1">IF(BD$1="","",'Total Value'!BD149/'Total Value'!BC149-1)</f>
        <v>-6.411901608610493E-3</v>
      </c>
      <c r="BE53" s="14">
        <f ca="1">IF(BE$1="","",'Total Value'!BE149/'Total Value'!BD149-1)</f>
        <v>4.5861666317643657E-3</v>
      </c>
      <c r="BF53" s="14">
        <f ca="1">IF(BF$1="","",'Total Value'!BF149/'Total Value'!BE149-1)</f>
        <v>2.1515493654358009E-2</v>
      </c>
      <c r="BG53" s="14">
        <f ca="1">IF(BG$1="","",'Total Value'!BG149/'Total Value'!BF149-1)</f>
        <v>-1.9641812690203486E-2</v>
      </c>
      <c r="BH53" s="14">
        <f ca="1">IF(BH$1="","",'Total Value'!BH149/'Total Value'!BG149-1)</f>
        <v>-1.852950929268149E-2</v>
      </c>
      <c r="BI53" s="14">
        <f ca="1">IF(BI$1="","",'Total Value'!BI149/'Total Value'!BH149-1)</f>
        <v>-1.5547620877742752E-5</v>
      </c>
      <c r="BJ53" s="14">
        <f ca="1">IF(BJ$1="","",'Total Value'!BJ149/'Total Value'!BI149-1)</f>
        <v>1.1785114806440289E-2</v>
      </c>
      <c r="BK53" s="14">
        <f ca="1">IF(BK$1="","",'Total Value'!BK149/'Total Value'!BJ149-1)</f>
        <v>-1.8518581353439645E-2</v>
      </c>
      <c r="BL53" s="14">
        <f ca="1">IF(BL$1="","",'Total Value'!BL149/'Total Value'!BK149-1)</f>
        <v>-2.1850242733753023E-2</v>
      </c>
      <c r="BM53" s="14">
        <f ca="1">IF(BM$1="","",'Total Value'!BM149/'Total Value'!BL149-1)</f>
        <v>-1.8326533651379373E-3</v>
      </c>
      <c r="BN53" s="14">
        <f ca="1">IF(BN$1="","",'Total Value'!BN149/'Total Value'!BM149-1)</f>
        <v>-5.3823893287259228E-3</v>
      </c>
      <c r="BO53" s="14">
        <f ca="1">IF(BO$1="","",'Total Value'!BO149/'Total Value'!BN149-1)</f>
        <v>-6.270053999462788E-3</v>
      </c>
      <c r="BP53" s="14">
        <f ca="1">IF(BP$1="","",'Total Value'!BP149/'Total Value'!BO149-1)</f>
        <v>-3.7464451553681499E-3</v>
      </c>
      <c r="BQ53" s="14">
        <f ca="1">IF(BQ$1="","",'Total Value'!BQ149/'Total Value'!BP149-1)</f>
        <v>1.6697812838889048E-2</v>
      </c>
      <c r="BR53" s="14">
        <f ca="1">IF(BR$1="","",'Total Value'!BR149/'Total Value'!BQ149-1)</f>
        <v>-7.6130210962428446E-3</v>
      </c>
      <c r="BS53" s="14">
        <f ca="1">IF(BS$1="","",'Total Value'!BS149/'Total Value'!BR149-1)</f>
        <v>-2.5788907575856612E-3</v>
      </c>
      <c r="BT53" s="14">
        <f ca="1">IF(BT$1="","",'Total Value'!BT149/'Total Value'!BS149-1)</f>
        <v>2.5895991030427279E-2</v>
      </c>
      <c r="BU53" s="14">
        <f ca="1">IF(BU$1="","",'Total Value'!BU149/'Total Value'!BT149-1)</f>
        <v>-1.1510345630206809E-3</v>
      </c>
      <c r="BV53" s="14">
        <f ca="1">IF(BV$1="","",'Total Value'!BV149/'Total Value'!BU149-1)</f>
        <v>-1.8694809456917483E-2</v>
      </c>
      <c r="BW53" s="14">
        <f ca="1">IF(BW$1="","",'Total Value'!BW149/'Total Value'!BV149-1)</f>
        <v>-2.737776915836998E-2</v>
      </c>
      <c r="BX53" s="14">
        <f ca="1">IF(BX$1="","",'Total Value'!BX149/'Total Value'!BW149-1)</f>
        <v>2.8289174181148624E-3</v>
      </c>
      <c r="BY53" s="14">
        <f ca="1">IF(BY$1="","",'Total Value'!BY149/'Total Value'!BX149-1)</f>
        <v>-2.2951677402876847E-2</v>
      </c>
      <c r="BZ53" s="14">
        <f ca="1">IF(BZ$1="","",'Total Value'!BZ149/'Total Value'!BY149-1)</f>
        <v>3.8546359355140503E-3</v>
      </c>
      <c r="CA53" s="14">
        <f ca="1">IF(CA$1="","",'Total Value'!CA149/'Total Value'!BZ149-1)</f>
        <v>1.74749965721821E-2</v>
      </c>
      <c r="CB53" s="14">
        <f ca="1">IF(CB$1="","",'Total Value'!CB149/'Total Value'!CA149-1)</f>
        <v>-2.8215249285658439E-2</v>
      </c>
      <c r="CC53" s="14">
        <f ca="1">IF(CC$1="","",'Total Value'!CC149/'Total Value'!CB149-1)</f>
        <v>1.3706882168515566E-2</v>
      </c>
      <c r="CD53" s="14">
        <f ca="1">IF(CD$1="","",'Total Value'!CD149/'Total Value'!CC149-1)</f>
        <v>7.7152754079299335E-3</v>
      </c>
      <c r="CE53" s="14">
        <f ca="1">IF(CE$1="","",'Total Value'!CE149/'Total Value'!CD149-1)</f>
        <v>2.9784733394348617E-2</v>
      </c>
      <c r="CF53" s="14" t="str">
        <f ca="1">IF(CF$1="","",'Total Value'!CF149/'Total Value'!CE149-1)</f>
        <v/>
      </c>
      <c r="CG53" s="14" t="str">
        <f ca="1">IF(CG$1="","",'Total Value'!CG149/'Total Value'!CF149-1)</f>
        <v/>
      </c>
      <c r="CH53" s="14" t="str">
        <f ca="1">IF(CH$1="","",'Total Value'!CH149/'Total Value'!CG149-1)</f>
        <v/>
      </c>
      <c r="CI53" s="14" t="str">
        <f ca="1">IF(CI$1="","",'Total Value'!CI149/'Total Value'!CH149-1)</f>
        <v/>
      </c>
      <c r="CJ53" s="14" t="str">
        <f ca="1">IF(CJ$1="","",'Total Value'!CJ149/'Total Value'!CI149-1)</f>
        <v/>
      </c>
      <c r="CK53" s="14" t="str">
        <f ca="1">IF(CK$1="","",'Total Value'!CK149/'Total Value'!CJ149-1)</f>
        <v/>
      </c>
      <c r="CL53" s="14" t="str">
        <f ca="1">IF(CL$1="","",'Total Value'!CL149/'Total Value'!CK149-1)</f>
        <v/>
      </c>
      <c r="CM53" s="14" t="str">
        <f ca="1">IF(CM$1="","",'Total Value'!CM149/'Total Value'!CL149-1)</f>
        <v/>
      </c>
      <c r="CN53" s="14" t="str">
        <f ca="1">IF(CN$1="","",'Total Value'!CN149/'Total Value'!CM149-1)</f>
        <v/>
      </c>
      <c r="CO53" s="14" t="str">
        <f ca="1">IF(CO$1="","",'Total Value'!CO149/'Total Value'!CN149-1)</f>
        <v/>
      </c>
      <c r="CP53" s="14" t="str">
        <f ca="1">IF(CP$1="","",'Total Value'!CP149/'Total Value'!CO149-1)</f>
        <v/>
      </c>
      <c r="CQ53" s="14" t="str">
        <f ca="1">IF(CQ$1="","",'Total Value'!CQ149/'Total Value'!CP149-1)</f>
        <v/>
      </c>
      <c r="CR53" s="14" t="str">
        <f ca="1">IF(CR$1="","",'Total Value'!CR149/'Total Value'!CQ149-1)</f>
        <v/>
      </c>
      <c r="CS53" s="14" t="str">
        <f ca="1">IF(CS$1="","",'Total Value'!CS149/'Total Value'!CR149-1)</f>
        <v/>
      </c>
      <c r="CT53" s="14" t="str">
        <f ca="1">IF(CT$1="","",'Total Value'!CT149/'Total Value'!CS149-1)</f>
        <v/>
      </c>
      <c r="CU53" s="14" t="str">
        <f ca="1">IF(CU$1="","",'Total Value'!CU149/'Total Value'!CT149-1)</f>
        <v/>
      </c>
      <c r="CV53" s="14" t="str">
        <f ca="1">IF(CV$1="","",'Total Value'!CV149/'Total Value'!CU149-1)</f>
        <v/>
      </c>
      <c r="CW53" s="14" t="str">
        <f ca="1">IF(CW$1="","",'Total Value'!CW149/'Total Value'!CV149-1)</f>
        <v/>
      </c>
      <c r="CX53" s="14" t="str">
        <f ca="1">IF(CX$1="","",'Total Value'!CX149/'Total Value'!CW149-1)</f>
        <v/>
      </c>
      <c r="CY53" s="14" t="str">
        <f ca="1">IF(CY$1="","",'Total Value'!CY149/'Total Value'!CX149-1)</f>
        <v/>
      </c>
      <c r="CZ53" s="14" t="str">
        <f ca="1">IF(CZ$1="","",'Total Value'!CZ149/'Total Value'!CY149-1)</f>
        <v/>
      </c>
      <c r="DA53" s="14" t="str">
        <f ca="1">IF(DA$1="","",'Total Value'!DA149/'Total Value'!CZ149-1)</f>
        <v/>
      </c>
      <c r="DB53" s="14" t="str">
        <f ca="1">IF(DB$1="","",'Total Value'!DB149/'Total Value'!DA149-1)</f>
        <v/>
      </c>
      <c r="DC53" s="14" t="str">
        <f ca="1">IF(DC$1="","",'Total Value'!DC149/'Total Value'!DB149-1)</f>
        <v/>
      </c>
      <c r="DD53" s="14" t="str">
        <f ca="1">IF(DD$1="","",'Total Value'!DD149/'Total Value'!DC149-1)</f>
        <v/>
      </c>
      <c r="DE53" s="14" t="str">
        <f ca="1">IF(DE$1="","",'Total Value'!DE149/'Total Value'!DD149-1)</f>
        <v/>
      </c>
      <c r="DF53" s="14" t="str">
        <f ca="1">IF(DF$1="","",'Total Value'!DF149/'Total Value'!DE149-1)</f>
        <v/>
      </c>
      <c r="DG53" s="14" t="str">
        <f ca="1">IF(DG$1="","",'Total Value'!DG149/'Total Value'!DF149-1)</f>
        <v/>
      </c>
      <c r="DH53" s="14" t="str">
        <f ca="1">IF(DH$1="","",'Total Value'!DH149/'Total Value'!DG149-1)</f>
        <v/>
      </c>
      <c r="DI53" s="14" t="str">
        <f ca="1">IF(DI$1="","",'Total Value'!DI149/'Total Value'!DH149-1)</f>
        <v/>
      </c>
      <c r="DJ53" s="14" t="str">
        <f ca="1">IF(DJ$1="","",'Total Value'!DJ149/'Total Value'!DI149-1)</f>
        <v/>
      </c>
      <c r="DK53" s="14" t="str">
        <f ca="1">IF(DK$1="","",'Total Value'!DK149/'Total Value'!DJ149-1)</f>
        <v/>
      </c>
      <c r="DL53" s="14" t="str">
        <f ca="1">IF(DL$1="","",'Total Value'!DL149/'Total Value'!DK149-1)</f>
        <v/>
      </c>
      <c r="DM53" s="14" t="str">
        <f ca="1">IF(DM$1="","",'Total Value'!DM149/'Total Value'!DL149-1)</f>
        <v/>
      </c>
      <c r="DN53" s="14" t="str">
        <f ca="1">IF(DN$1="","",'Total Value'!DN149/'Total Value'!DM149-1)</f>
        <v/>
      </c>
      <c r="DO53" s="14" t="str">
        <f ca="1">IF(DO$1="","",'Total Value'!DO149/'Total Value'!DN149-1)</f>
        <v/>
      </c>
      <c r="DP53" s="14" t="str">
        <f ca="1">IF(DP$1="","",'Total Value'!DP149/'Total Value'!DO149-1)</f>
        <v/>
      </c>
      <c r="DQ53" s="14" t="str">
        <f ca="1">IF(DQ$1="","",'Total Value'!DQ149/'Total Value'!DP149-1)</f>
        <v/>
      </c>
      <c r="DR53" s="14" t="str">
        <f ca="1">IF(DR$1="","",'Total Value'!DR149/'Total Value'!DQ149-1)</f>
        <v/>
      </c>
      <c r="DS53" s="14" t="str">
        <f ca="1">IF(DS$1="","",'Total Value'!DS149/'Total Value'!DR149-1)</f>
        <v/>
      </c>
      <c r="DT53" s="14" t="str">
        <f ca="1">IF(DT$1="","",'Total Value'!DT149/'Total Value'!DS149-1)</f>
        <v/>
      </c>
      <c r="DU53" s="14" t="str">
        <f ca="1">IF(DU$1="","",'Total Value'!DU149/'Total Value'!DT149-1)</f>
        <v/>
      </c>
      <c r="DV53" s="14" t="str">
        <f ca="1">IF(DV$1="","",'Total Value'!DV149/'Total Value'!DU149-1)</f>
        <v/>
      </c>
      <c r="DW53" s="14" t="str">
        <f ca="1">IF(DW$1="","",'Total Value'!DW149/'Total Value'!DV149-1)</f>
        <v/>
      </c>
      <c r="DX53" s="14" t="str">
        <f ca="1">IF(DX$1="","",'Total Value'!DX149/'Total Value'!DW149-1)</f>
        <v/>
      </c>
      <c r="DY53" s="14" t="str">
        <f ca="1">IF(DY$1="","",'Total Value'!DY149/'Total Value'!DX149-1)</f>
        <v/>
      </c>
      <c r="DZ53" s="14" t="str">
        <f ca="1">IF(DZ$1="","",'Total Value'!DZ149/'Total Value'!DY149-1)</f>
        <v/>
      </c>
      <c r="EA53" s="14" t="str">
        <f ca="1">IF(EA$1="","",'Total Value'!EA149/'Total Value'!DZ149-1)</f>
        <v/>
      </c>
      <c r="EB53" s="14" t="str">
        <f ca="1">IF(EB$1="","",'Total Value'!EB149/'Total Value'!EA149-1)</f>
        <v/>
      </c>
      <c r="EC53" s="14" t="str">
        <f ca="1">IF(EC$1="","",'Total Value'!EC149/'Total Value'!EB149-1)</f>
        <v/>
      </c>
      <c r="ED53" s="14" t="str">
        <f ca="1">IF(ED$1="","",'Total Value'!ED149/'Total Value'!EC149-1)</f>
        <v/>
      </c>
      <c r="EE53" s="14" t="str">
        <f ca="1">IF(EE$1="","",'Total Value'!EE149/'Total Value'!ED149-1)</f>
        <v/>
      </c>
      <c r="EF53" s="14" t="str">
        <f ca="1">IF(EF$1="","",'Total Value'!EF149/'Total Value'!EE149-1)</f>
        <v/>
      </c>
      <c r="EG53" s="14" t="str">
        <f ca="1">IF(EG$1="","",'Total Value'!EG149/'Total Value'!EF149-1)</f>
        <v/>
      </c>
      <c r="EH53" s="14" t="str">
        <f ca="1">IF(EH$1="","",'Total Value'!EH149/'Total Value'!EG149-1)</f>
        <v/>
      </c>
      <c r="EI53" s="14" t="str">
        <f ca="1">IF(EI$1="","",'Total Value'!EI149/'Total Value'!EH149-1)</f>
        <v/>
      </c>
      <c r="EJ53" s="14" t="str">
        <f ca="1">IF(EJ$1="","",'Total Value'!EJ149/'Total Value'!EI149-1)</f>
        <v/>
      </c>
      <c r="EK53" s="14" t="str">
        <f ca="1">IF(EK$1="","",'Total Value'!EK149/'Total Value'!EJ149-1)</f>
        <v/>
      </c>
      <c r="EL53" s="14" t="str">
        <f ca="1">IF(EL$1="","",'Total Value'!EL149/'Total Value'!EK149-1)</f>
        <v/>
      </c>
      <c r="EM53" s="14" t="str">
        <f ca="1">IF(EM$1="","",'Total Value'!EM149/'Total Value'!EL149-1)</f>
        <v/>
      </c>
      <c r="EN53" s="14" t="str">
        <f ca="1">IF(EN$1="","",'Total Value'!EN149/'Total Value'!EM149-1)</f>
        <v/>
      </c>
      <c r="EO53" s="14" t="str">
        <f ca="1">IF(EO$1="","",'Total Value'!EO149/'Total Value'!EN149-1)</f>
        <v/>
      </c>
      <c r="EP53" s="14" t="str">
        <f ca="1">IF(EP$1="","",'Total Value'!EP149/'Total Value'!EO149-1)</f>
        <v/>
      </c>
      <c r="EQ53" s="14" t="str">
        <f ca="1">IF(EQ$1="","",'Total Value'!EQ149/'Total Value'!EP149-1)</f>
        <v/>
      </c>
      <c r="ER53" s="14" t="str">
        <f ca="1">IF(ER$1="","",'Total Value'!ER149/'Total Value'!EQ149-1)</f>
        <v/>
      </c>
      <c r="ES53" s="14" t="str">
        <f ca="1">IF(ES$1="","",'Total Value'!ES149/'Total Value'!ER149-1)</f>
        <v/>
      </c>
      <c r="ET53" s="14" t="str">
        <f ca="1">IF(ET$1="","",'Total Value'!ET149/'Total Value'!ES149-1)</f>
        <v/>
      </c>
      <c r="EU53" s="14" t="str">
        <f ca="1">IF(EU$1="","",'Total Value'!EU149/'Total Value'!ET149-1)</f>
        <v/>
      </c>
      <c r="EV53" s="14" t="str">
        <f ca="1">IF(EV$1="","",'Total Value'!EV149/'Total Value'!EU149-1)</f>
        <v/>
      </c>
      <c r="EW53" s="14" t="str">
        <f ca="1">IF(EW$1="","",'Total Value'!EW149/'Total Value'!EV149-1)</f>
        <v/>
      </c>
      <c r="EX53" s="14" t="str">
        <f ca="1">IF(EX$1="","",'Total Value'!EX149/'Total Value'!EW149-1)</f>
        <v/>
      </c>
      <c r="EY53" s="14" t="str">
        <f ca="1">IF(EY$1="","",'Total Value'!EY149/'Total Value'!EX149-1)</f>
        <v/>
      </c>
      <c r="EZ53" s="14" t="str">
        <f ca="1">IF(EZ$1="","",'Total Value'!EZ149/'Total Value'!EY149-1)</f>
        <v/>
      </c>
      <c r="FA53" s="14" t="str">
        <f ca="1">IF(FA$1="","",'Total Value'!FA149/'Total Value'!EZ149-1)</f>
        <v/>
      </c>
      <c r="FB53" s="14" t="str">
        <f ca="1">IF(FB$1="","",'Total Value'!FB149/'Total Value'!FA149-1)</f>
        <v/>
      </c>
      <c r="FC53" s="14" t="str">
        <f ca="1">IF(FC$1="","",'Total Value'!FC149/'Total Value'!FB149-1)</f>
        <v/>
      </c>
      <c r="FD53" s="14" t="str">
        <f ca="1">IF(FD$1="","",'Total Value'!FD149/'Total Value'!FC149-1)</f>
        <v/>
      </c>
      <c r="FE53" s="14" t="str">
        <f ca="1">IF(FE$1="","",'Total Value'!FE149/'Total Value'!FD149-1)</f>
        <v/>
      </c>
      <c r="FF53" s="14" t="str">
        <f ca="1">IF(FF$1="","",'Total Value'!FF149/'Total Value'!FE149-1)</f>
        <v/>
      </c>
      <c r="FG53" s="14" t="str">
        <f ca="1">IF(FG$1="","",'Total Value'!FG149/'Total Value'!FF149-1)</f>
        <v/>
      </c>
      <c r="FH53" s="14" t="str">
        <f ca="1">IF(FH$1="","",'Total Value'!FH149/'Total Value'!FG149-1)</f>
        <v/>
      </c>
      <c r="FI53" s="14" t="str">
        <f ca="1">IF(FI$1="","",'Total Value'!FI149/'Total Value'!FH149-1)</f>
        <v/>
      </c>
      <c r="FJ53" s="14" t="str">
        <f ca="1">IF(FJ$1="","",'Total Value'!FJ149/'Total Value'!FI149-1)</f>
        <v/>
      </c>
      <c r="FK53" s="14" t="str">
        <f ca="1">IF(FK$1="","",'Total Value'!FK149/'Total Value'!FJ149-1)</f>
        <v/>
      </c>
      <c r="FL53" s="14" t="str">
        <f ca="1">IF(FL$1="","",'Total Value'!FL149/'Total Value'!FK149-1)</f>
        <v/>
      </c>
      <c r="FM53" s="14" t="str">
        <f ca="1">IF(FM$1="","",'Total Value'!FM149/'Total Value'!FL149-1)</f>
        <v/>
      </c>
      <c r="FN53" s="14" t="str">
        <f ca="1">IF(FN$1="","",'Total Value'!FN149/'Total Value'!FM149-1)</f>
        <v/>
      </c>
      <c r="FO53" s="14" t="str">
        <f ca="1">IF(FO$1="","",'Total Value'!FO149/'Total Value'!FN149-1)</f>
        <v/>
      </c>
      <c r="FP53" s="14" t="str">
        <f ca="1">IF(FP$1="","",'Total Value'!FP149/'Total Value'!FO149-1)</f>
        <v/>
      </c>
      <c r="FQ53" s="14" t="str">
        <f ca="1">IF(FQ$1="","",'Total Value'!FQ149/'Total Value'!FP149-1)</f>
        <v/>
      </c>
      <c r="FR53" s="14" t="str">
        <f ca="1">IF(FR$1="","",'Total Value'!FR149/'Total Value'!FQ149-1)</f>
        <v/>
      </c>
      <c r="FS53" s="14" t="str">
        <f ca="1">IF(FS$1="","",'Total Value'!FS149/'Total Value'!FR149-1)</f>
        <v/>
      </c>
      <c r="FT53" s="14" t="str">
        <f ca="1">IF(FT$1="","",'Total Value'!FT149/'Total Value'!FS149-1)</f>
        <v/>
      </c>
      <c r="FU53" s="14" t="str">
        <f ca="1">IF(FU$1="","",'Total Value'!FU149/'Total Value'!FT149-1)</f>
        <v/>
      </c>
      <c r="FV53" s="14" t="str">
        <f ca="1">IF(FV$1="","",'Total Value'!FV149/'Total Value'!FU149-1)</f>
        <v/>
      </c>
      <c r="FW53" s="14" t="str">
        <f ca="1">IF(FW$1="","",'Total Value'!FW149/'Total Value'!FV149-1)</f>
        <v/>
      </c>
      <c r="FX53" s="14" t="str">
        <f ca="1">IF(FX$1="","",'Total Value'!FX149/'Total Value'!FW149-1)</f>
        <v/>
      </c>
      <c r="FY53" s="14" t="str">
        <f ca="1">IF(FY$1="","",'Total Value'!FY149/'Total Value'!FX149-1)</f>
        <v/>
      </c>
      <c r="FZ53" s="14" t="str">
        <f ca="1">IF(FZ$1="","",'Total Value'!FZ149/'Total Value'!FY149-1)</f>
        <v/>
      </c>
      <c r="GA53" s="14" t="str">
        <f ca="1">IF(GA$1="","",'Total Value'!GA149/'Total Value'!FZ149-1)</f>
        <v/>
      </c>
      <c r="GB53" s="14" t="str">
        <f ca="1">IF(GB$1="","",'Total Value'!GB149/'Total Value'!GA149-1)</f>
        <v/>
      </c>
      <c r="GC53" s="14" t="str">
        <f ca="1">IF(GC$1="","",'Total Value'!GC149/'Total Value'!GB149-1)</f>
        <v/>
      </c>
      <c r="GD53" s="14" t="str">
        <f ca="1">IF(GD$1="","",'Total Value'!GD149/'Total Value'!GC149-1)</f>
        <v/>
      </c>
      <c r="GE53" s="14" t="str">
        <f ca="1">IF(GE$1="","",'Total Value'!GE149/'Total Value'!GD149-1)</f>
        <v/>
      </c>
      <c r="GF53" s="14" t="str">
        <f ca="1">IF(GF$1="","",'Total Value'!GF149/'Total Value'!GE149-1)</f>
        <v/>
      </c>
      <c r="GG53" s="14" t="str">
        <f ca="1">IF(GG$1="","",'Total Value'!GG149/'Total Value'!GF149-1)</f>
        <v/>
      </c>
      <c r="GH53" s="14" t="str">
        <f ca="1">IF(GH$1="","",'Total Value'!GH149/'Total Value'!GG149-1)</f>
        <v/>
      </c>
      <c r="GI53" s="14" t="str">
        <f ca="1">IF(GI$1="","",'Total Value'!GI149/'Total Value'!GH149-1)</f>
        <v/>
      </c>
      <c r="GJ53" s="14" t="str">
        <f ca="1">IF(GJ$1="","",'Total Value'!GJ149/'Total Value'!GI149-1)</f>
        <v/>
      </c>
      <c r="GK53" s="14" t="str">
        <f ca="1">IF(GK$1="","",'Total Value'!GK149/'Total Value'!GJ149-1)</f>
        <v/>
      </c>
      <c r="GL53" s="14" t="str">
        <f ca="1">IF(GL$1="","",'Total Value'!GL149/'Total Value'!GK149-1)</f>
        <v/>
      </c>
      <c r="GM53" s="14" t="str">
        <f ca="1">IF(GM$1="","",'Total Value'!GM149/'Total Value'!GL149-1)</f>
        <v/>
      </c>
      <c r="GN53" s="14" t="str">
        <f ca="1">IF(GN$1="","",'Total Value'!GN149/'Total Value'!GM149-1)</f>
        <v/>
      </c>
      <c r="GO53" s="14" t="str">
        <f ca="1">IF(GO$1="","",'Total Value'!GO149/'Total Value'!GN149-1)</f>
        <v/>
      </c>
      <c r="GP53" s="14" t="str">
        <f ca="1">IF(GP$1="","",'Total Value'!GP149/'Total Value'!GO149-1)</f>
        <v/>
      </c>
      <c r="GQ53" s="14" t="str">
        <f ca="1">IF(GQ$1="","",'Total Value'!GQ149/'Total Value'!GP149-1)</f>
        <v/>
      </c>
      <c r="GR53" s="14" t="str">
        <f ca="1">IF(GR$1="","",'Total Value'!GR149/'Total Value'!GQ149-1)</f>
        <v/>
      </c>
      <c r="GS53" s="14" t="str">
        <f ca="1">IF(GS$1="","",'Total Value'!GS149/'Total Value'!GR149-1)</f>
        <v/>
      </c>
      <c r="GT53" s="14" t="str">
        <f ca="1">IF(GT$1="","",'Total Value'!GT149/'Total Value'!GS149-1)</f>
        <v/>
      </c>
      <c r="GU53" s="14" t="str">
        <f ca="1">IF(GU$1="","",'Total Value'!GU149/'Total Value'!GT149-1)</f>
        <v/>
      </c>
      <c r="GV53" s="14" t="str">
        <f ca="1">IF(GV$1="","",'Total Value'!GV149/'Total Value'!GU149-1)</f>
        <v/>
      </c>
      <c r="GW53" s="14" t="str">
        <f ca="1">IF(GW$1="","",'Total Value'!GW149/'Total Value'!GV149-1)</f>
        <v/>
      </c>
      <c r="GX53" s="14" t="str">
        <f ca="1">IF(GX$1="","",'Total Value'!GX149/'Total Value'!GW149-1)</f>
        <v/>
      </c>
      <c r="GY53" s="14" t="str">
        <f ca="1">IF(GY$1="","",'Total Value'!GY149/'Total Value'!GX149-1)</f>
        <v/>
      </c>
      <c r="GZ53" s="14" t="str">
        <f ca="1">IF(GZ$1="","",'Total Value'!GZ149/'Total Value'!GY149-1)</f>
        <v/>
      </c>
      <c r="HA53" s="14" t="str">
        <f ca="1">IF(HA$1="","",'Total Value'!HA149/'Total Value'!GZ149-1)</f>
        <v/>
      </c>
      <c r="HB53" s="14" t="str">
        <f ca="1">IF(HB$1="","",'Total Value'!HB149/'Total Value'!HA149-1)</f>
        <v/>
      </c>
      <c r="HC53" s="14" t="str">
        <f ca="1">IF(HC$1="","",'Total Value'!HC149/'Total Value'!HB149-1)</f>
        <v/>
      </c>
      <c r="HD53" s="14" t="str">
        <f ca="1">IF(HD$1="","",'Total Value'!HD149/'Total Value'!HC149-1)</f>
        <v/>
      </c>
      <c r="HE53" s="14" t="str">
        <f ca="1">IF(HE$1="","",'Total Value'!HE149/'Total Value'!HD149-1)</f>
        <v/>
      </c>
      <c r="HF53" s="14" t="str">
        <f ca="1">IF(HF$1="","",'Total Value'!HF149/'Total Value'!HE149-1)</f>
        <v/>
      </c>
      <c r="HG53" s="14" t="str">
        <f ca="1">IF(HG$1="","",'Total Value'!HG149/'Total Value'!HF149-1)</f>
        <v/>
      </c>
      <c r="HH53" s="14" t="str">
        <f ca="1">IF(HH$1="","",'Total Value'!HH149/'Total Value'!HG149-1)</f>
        <v/>
      </c>
      <c r="HI53" s="14" t="str">
        <f ca="1">IF(HI$1="","",'Total Value'!HI149/'Total Value'!HH149-1)</f>
        <v/>
      </c>
      <c r="HJ53" s="14" t="str">
        <f ca="1">IF(HJ$1="","",'Total Value'!HJ149/'Total Value'!HI149-1)</f>
        <v/>
      </c>
      <c r="HK53" s="14" t="str">
        <f ca="1">IF(HK$1="","",'Total Value'!HK149/'Total Value'!HJ149-1)</f>
        <v/>
      </c>
      <c r="HL53" s="14" t="str">
        <f ca="1">IF(HL$1="","",'Total Value'!HL149/'Total Value'!HK149-1)</f>
        <v/>
      </c>
      <c r="HM53" s="14" t="str">
        <f ca="1">IF(HM$1="","",'Total Value'!HM149/'Total Value'!HL149-1)</f>
        <v/>
      </c>
      <c r="HN53" s="14" t="str">
        <f ca="1">IF(HN$1="","",'Total Value'!HN149/'Total Value'!HM149-1)</f>
        <v/>
      </c>
      <c r="HO53" s="14" t="str">
        <f ca="1">IF(HO$1="","",'Total Value'!HO149/'Total Value'!HN149-1)</f>
        <v/>
      </c>
      <c r="HP53" s="14" t="str">
        <f ca="1">IF(HP$1="","",'Total Value'!HP149/'Total Value'!HO149-1)</f>
        <v/>
      </c>
      <c r="HQ53" s="14" t="str">
        <f ca="1">IF(HQ$1="","",'Total Value'!HQ149/'Total Value'!HP149-1)</f>
        <v/>
      </c>
      <c r="HR53" s="14" t="str">
        <f ca="1">IF(HR$1="","",'Total Value'!HR149/'Total Value'!HQ149-1)</f>
        <v/>
      </c>
      <c r="HS53" s="14" t="str">
        <f ca="1">IF(HS$1="","",'Total Value'!HS149/'Total Value'!HR149-1)</f>
        <v/>
      </c>
      <c r="HT53" s="14" t="str">
        <f ca="1">IF(HT$1="","",'Total Value'!HT149/'Total Value'!HS149-1)</f>
        <v/>
      </c>
      <c r="HU53" s="14" t="str">
        <f ca="1">IF(HU$1="","",'Total Value'!HU149/'Total Value'!HT149-1)</f>
        <v/>
      </c>
      <c r="HV53" s="14" t="str">
        <f ca="1">IF(HV$1="","",'Total Value'!HV149/'Total Value'!HU149-1)</f>
        <v/>
      </c>
      <c r="HW53" s="14" t="str">
        <f ca="1">IF(HW$1="","",'Total Value'!HW149/'Total Value'!HV149-1)</f>
        <v/>
      </c>
      <c r="HX53" s="14" t="str">
        <f ca="1">IF(HX$1="","",'Total Value'!HX149/'Total Value'!HW149-1)</f>
        <v/>
      </c>
      <c r="HY53" s="14" t="str">
        <f ca="1">IF(HY$1="","",'Total Value'!HY149/'Total Value'!HX149-1)</f>
        <v/>
      </c>
      <c r="HZ53" s="14" t="str">
        <f ca="1">IF(HZ$1="","",'Total Value'!HZ149/'Total Value'!HY149-1)</f>
        <v/>
      </c>
      <c r="IA53" s="14" t="str">
        <f ca="1">IF(IA$1="","",'Total Value'!IA149/'Total Value'!HZ149-1)</f>
        <v/>
      </c>
      <c r="IB53" s="14" t="str">
        <f ca="1">IF(IB$1="","",'Total Value'!IB149/'Total Value'!IA149-1)</f>
        <v/>
      </c>
      <c r="IC53" s="14" t="str">
        <f ca="1">IF(IC$1="","",'Total Value'!IC149/'Total Value'!IB149-1)</f>
        <v/>
      </c>
      <c r="ID53" s="14" t="str">
        <f ca="1">IF(ID$1="","",'Total Value'!ID149/'Total Value'!IC149-1)</f>
        <v/>
      </c>
      <c r="IE53" s="14" t="str">
        <f ca="1">IF(IE$1="","",'Total Value'!IE149/'Total Value'!ID149-1)</f>
        <v/>
      </c>
      <c r="IF53" s="14" t="str">
        <f ca="1">IF(IF$1="","",'Total Value'!IF149/'Total Value'!IE149-1)</f>
        <v/>
      </c>
      <c r="IG53" s="14" t="str">
        <f ca="1">IF(IG$1="","",'Total Value'!IG149/'Total Value'!IF149-1)</f>
        <v/>
      </c>
      <c r="IH53" s="14" t="str">
        <f ca="1">IF(IH$1="","",'Total Value'!IH149/'Total Value'!IG149-1)</f>
        <v/>
      </c>
      <c r="II53" s="14" t="str">
        <f ca="1">IF(II$1="","",'Total Value'!II149/'Total Value'!IH149-1)</f>
        <v/>
      </c>
      <c r="IJ53" s="14" t="str">
        <f ca="1">IF(IJ$1="","",'Total Value'!IJ149/'Total Value'!II149-1)</f>
        <v/>
      </c>
      <c r="IK53" s="14" t="str">
        <f ca="1">IF(IK$1="","",'Total Value'!IK149/'Total Value'!IJ149-1)</f>
        <v/>
      </c>
      <c r="IL53" s="14" t="str">
        <f ca="1">IF(IL$1="","",'Total Value'!IL149/'Total Value'!IK149-1)</f>
        <v/>
      </c>
      <c r="IM53" s="14" t="str">
        <f ca="1">IF(IM$1="","",'Total Value'!IM149/'Total Value'!IL149-1)</f>
        <v/>
      </c>
      <c r="IN53" s="14" t="str">
        <f ca="1">IF(IN$1="","",'Total Value'!IN149/'Total Value'!IM149-1)</f>
        <v/>
      </c>
      <c r="IO53" s="14" t="str">
        <f ca="1">IF(IO$1="","",'Total Value'!IO149/'Total Value'!IN149-1)</f>
        <v/>
      </c>
      <c r="IP53" s="14" t="str">
        <f ca="1">IF(IP$1="","",'Total Value'!IP149/'Total Value'!IO149-1)</f>
        <v/>
      </c>
      <c r="IQ53" s="14" t="str">
        <f ca="1">IF(IQ$1="","",'Total Value'!IQ149/'Total Value'!IP149-1)</f>
        <v/>
      </c>
      <c r="IR53" s="14" t="str">
        <f ca="1">IF(IR$1="","",'Total Value'!IR149/'Total Value'!IQ149-1)</f>
        <v/>
      </c>
      <c r="IS53" s="14" t="str">
        <f ca="1">IF(IS$1="","",'Total Value'!IS149/'Total Value'!IR149-1)</f>
        <v/>
      </c>
      <c r="IT53" s="14" t="str">
        <f ca="1">IF(IT$1="","",'Total Value'!IT149/'Total Value'!IS149-1)</f>
        <v/>
      </c>
      <c r="IU53" s="14" t="str">
        <f ca="1">IF(IU$1="","",'Total Value'!IU149/'Total Value'!IT149-1)</f>
        <v/>
      </c>
      <c r="IV53" s="14" t="str">
        <f ca="1">IF(IV$1="","",'Total Value'!IV149/'Total Value'!IU149-1)</f>
        <v/>
      </c>
      <c r="IW53" s="14" t="str">
        <f ca="1">IF(IW$1="","",'Total Value'!IW149/'Total Value'!IV149-1)</f>
        <v/>
      </c>
      <c r="IX53" s="14" t="str">
        <f ca="1">IF(IX$1="","",'Total Value'!IX149/'Total Value'!IW149-1)</f>
        <v/>
      </c>
      <c r="IY53" s="14" t="str">
        <f ca="1">IF(IY$1="","",'Total Value'!IY149/'Total Value'!IX149-1)</f>
        <v/>
      </c>
      <c r="IZ53" s="14" t="str">
        <f ca="1">IF(IZ$1="","",'Total Value'!IZ149/'Total Value'!IY149-1)</f>
        <v/>
      </c>
      <c r="JA53" s="14" t="str">
        <f ca="1">IF(JA$1="","",'Total Value'!JA149/'Total Value'!IZ149-1)</f>
        <v/>
      </c>
      <c r="JB53" s="14" t="str">
        <f ca="1">IF(JB$1="","",'Total Value'!JB149/'Total Value'!JA149-1)</f>
        <v/>
      </c>
      <c r="JC53" s="14" t="str">
        <f ca="1">IF(JC$1="","",'Total Value'!JC149/'Total Value'!JB149-1)</f>
        <v/>
      </c>
      <c r="JD53" s="14" t="str">
        <f ca="1">IF(JD$1="","",'Total Value'!JD149/'Total Value'!JC149-1)</f>
        <v/>
      </c>
      <c r="JE53" s="14" t="str">
        <f ca="1">IF(JE$1="","",'Total Value'!JE149/'Total Value'!JD149-1)</f>
        <v/>
      </c>
      <c r="JF53" s="14" t="str">
        <f ca="1">IF(JF$1="","",'Total Value'!JF149/'Total Value'!JE149-1)</f>
        <v/>
      </c>
      <c r="JG53" s="14" t="str">
        <f ca="1">IF(JG$1="","",'Total Value'!JG149/'Total Value'!JF149-1)</f>
        <v/>
      </c>
      <c r="JH53" s="14" t="str">
        <f ca="1">IF(JH$1="","",'Total Value'!JH149/'Total Value'!JG149-1)</f>
        <v/>
      </c>
      <c r="JI53" s="14" t="str">
        <f ca="1">IF(JI$1="","",'Total Value'!JI149/'Total Value'!JH149-1)</f>
        <v/>
      </c>
      <c r="JJ53" s="14" t="str">
        <f ca="1">IF(JJ$1="","",'Total Value'!JJ149/'Total Value'!JI149-1)</f>
        <v/>
      </c>
      <c r="JK53" s="14" t="str">
        <f ca="1">IF(JK$1="","",'Total Value'!JK149/'Total Value'!JJ149-1)</f>
        <v/>
      </c>
      <c r="JL53" s="14" t="str">
        <f ca="1">IF(JL$1="","",'Total Value'!JL149/'Total Value'!JK149-1)</f>
        <v/>
      </c>
      <c r="JM53" s="14" t="str">
        <f ca="1">IF(JM$1="","",'Total Value'!JM149/'Total Value'!JL149-1)</f>
        <v/>
      </c>
      <c r="JN53" s="14" t="str">
        <f ca="1">IF(JN$1="","",'Total Value'!JN149/'Total Value'!JM149-1)</f>
        <v/>
      </c>
      <c r="JO53" s="14" t="str">
        <f ca="1">IF(JO$1="","",'Total Value'!JO149/'Total Value'!JN149-1)</f>
        <v/>
      </c>
      <c r="JP53" s="14" t="str">
        <f ca="1">IF(JP$1="","",'Total Value'!JP149/'Total Value'!JO149-1)</f>
        <v/>
      </c>
      <c r="JQ53" s="14" t="str">
        <f ca="1">IF(JQ$1="","",'Total Value'!JQ149/'Total Value'!JP149-1)</f>
        <v/>
      </c>
      <c r="JR53" s="14" t="str">
        <f ca="1">IF(JR$1="","",'Total Value'!JR149/'Total Value'!JQ149-1)</f>
        <v/>
      </c>
      <c r="JS53" s="14" t="str">
        <f ca="1">IF(JS$1="","",'Total Value'!JS149/'Total Value'!JR149-1)</f>
        <v/>
      </c>
      <c r="JT53" s="14" t="str">
        <f ca="1">IF(JT$1="","",'Total Value'!JT149/'Total Value'!JS149-1)</f>
        <v/>
      </c>
      <c r="JU53" s="14" t="str">
        <f ca="1">IF(JU$1="","",'Total Value'!JU149/'Total Value'!JT149-1)</f>
        <v/>
      </c>
      <c r="JV53" s="14" t="str">
        <f ca="1">IF(JV$1="","",'Total Value'!JV149/'Total Value'!JU149-1)</f>
        <v/>
      </c>
      <c r="JW53" s="14" t="str">
        <f ca="1">IF(JW$1="","",'Total Value'!JW149/'Total Value'!JV149-1)</f>
        <v/>
      </c>
      <c r="JX53" s="14" t="str">
        <f ca="1">IF(JX$1="","",'Total Value'!JX149/'Total Value'!JW149-1)</f>
        <v/>
      </c>
      <c r="JY53" s="14" t="str">
        <f ca="1">IF(JY$1="","",'Total Value'!JY149/'Total Value'!JX149-1)</f>
        <v/>
      </c>
      <c r="JZ53" s="14" t="str">
        <f ca="1">IF(JZ$1="","",'Total Value'!JZ149/'Total Value'!JY149-1)</f>
        <v/>
      </c>
      <c r="KA53" s="14" t="str">
        <f ca="1">IF(KA$1="","",'Total Value'!KA149/'Total Value'!JZ149-1)</f>
        <v/>
      </c>
      <c r="KB53" s="14" t="str">
        <f ca="1">IF(KB$1="","",'Total Value'!KB149/'Total Value'!KA149-1)</f>
        <v/>
      </c>
    </row>
    <row r="54" spans="1:288" ht="15.75" customHeight="1">
      <c r="A54" s="2" t="s">
        <v>192</v>
      </c>
      <c r="D54" s="13">
        <v>0</v>
      </c>
      <c r="E54" s="14">
        <f ca="1">IF(E$1="","",'Total Value'!E150/'Total Value'!D150-1)</f>
        <v>2.6115912747409098E-2</v>
      </c>
      <c r="F54" s="14">
        <f ca="1">IF(F$1="","",'Total Value'!F150/'Total Value'!E150-1)</f>
        <v>-8.1768459434822249E-3</v>
      </c>
      <c r="G54" s="14">
        <f ca="1">IF(G$1="","",'Total Value'!G150/'Total Value'!F150-1)</f>
        <v>-7.6376570498974949E-3</v>
      </c>
      <c r="H54" s="14">
        <f ca="1">IF(H$1="","",'Total Value'!H150/'Total Value'!G150-1)</f>
        <v>1.398510725002744E-3</v>
      </c>
      <c r="I54" s="14">
        <f ca="1">IF(I$1="","",'Total Value'!I150/'Total Value'!H150-1)</f>
        <v>-3.0627156109245934E-2</v>
      </c>
      <c r="J54" s="14">
        <f ca="1">IF(J$1="","",'Total Value'!J150/'Total Value'!I150-1)</f>
        <v>-1.5957218434999865E-2</v>
      </c>
      <c r="K54" s="14">
        <f ca="1">IF(K$1="","",'Total Value'!K150/'Total Value'!J150-1)</f>
        <v>-1.8780480710497649E-2</v>
      </c>
      <c r="L54" s="14">
        <f ca="1">IF(L$1="","",'Total Value'!L150/'Total Value'!K150-1)</f>
        <v>-1.7845497124562737E-2</v>
      </c>
      <c r="M54" s="14">
        <f ca="1">IF(M$1="","",'Total Value'!M150/'Total Value'!L150-1)</f>
        <v>2.2933518451446755E-2</v>
      </c>
      <c r="N54" s="14">
        <f ca="1">IF(N$1="","",'Total Value'!N150/'Total Value'!M150-1)</f>
        <v>-1.4497101071546226E-2</v>
      </c>
      <c r="O54" s="14">
        <f ca="1">IF(O$1="","",'Total Value'!O150/'Total Value'!N150-1)</f>
        <v>-1.3757279082648455E-2</v>
      </c>
      <c r="P54" s="14">
        <f ca="1">IF(P$1="","",'Total Value'!P150/'Total Value'!O150-1)</f>
        <v>-2.285399147971634E-2</v>
      </c>
      <c r="Q54" s="14">
        <f ca="1">IF(Q$1="","",'Total Value'!Q150/'Total Value'!P150-1)</f>
        <v>1.9272092746299041E-2</v>
      </c>
      <c r="R54" s="14">
        <f ca="1">IF(R$1="","",'Total Value'!R150/'Total Value'!Q150-1)</f>
        <v>3.0449426215767295E-2</v>
      </c>
      <c r="S54" s="14">
        <f ca="1">IF(S$1="","",'Total Value'!S150/'Total Value'!R150-1)</f>
        <v>1.0988685942468157E-2</v>
      </c>
      <c r="T54" s="14">
        <f ca="1">IF(T$1="","",'Total Value'!T150/'Total Value'!S150-1)</f>
        <v>-1.0347484322732137E-2</v>
      </c>
      <c r="U54" s="14">
        <f ca="1">IF(U$1="","",'Total Value'!U150/'Total Value'!T150-1)</f>
        <v>-1.8965075485829153E-2</v>
      </c>
      <c r="V54" s="14">
        <f ca="1">IF(V$1="","",'Total Value'!V150/'Total Value'!U150-1)</f>
        <v>5.6905219911302929E-3</v>
      </c>
      <c r="W54" s="14">
        <f ca="1">IF(W$1="","",'Total Value'!W150/'Total Value'!V150-1)</f>
        <v>5.1139655206855483E-3</v>
      </c>
      <c r="X54" s="14">
        <f ca="1">IF(X$1="","",'Total Value'!X150/'Total Value'!W150-1)</f>
        <v>1.6282420749279547E-2</v>
      </c>
      <c r="Y54" s="14">
        <f ca="1">IF(Y$1="","",'Total Value'!Y150/'Total Value'!X150-1)</f>
        <v>1.8642103873626859E-2</v>
      </c>
      <c r="Z54" s="14">
        <f ca="1">IF(Z$1="","",'Total Value'!Z150/'Total Value'!Y150-1)</f>
        <v>-1.5521958243340572E-2</v>
      </c>
      <c r="AA54" s="14">
        <f ca="1">IF(AA$1="","",'Total Value'!AA150/'Total Value'!Z150-1)</f>
        <v>-1.0242984457575099E-2</v>
      </c>
      <c r="AB54" s="14">
        <f ca="1">IF(AB$1="","",'Total Value'!AB150/'Total Value'!AA150-1)</f>
        <v>-4.6104967613230796E-3</v>
      </c>
      <c r="AC54" s="14">
        <f ca="1">IF(AC$1="","",'Total Value'!AC150/'Total Value'!AB150-1)</f>
        <v>2.7548631970665038E-2</v>
      </c>
      <c r="AD54" s="14">
        <f ca="1">IF(AD$1="","",'Total Value'!AD150/'Total Value'!AC150-1)</f>
        <v>1.3725282451864107E-3</v>
      </c>
      <c r="AE54" s="14">
        <f ca="1">IF(AE$1="","",'Total Value'!AE150/'Total Value'!AD150-1)</f>
        <v>-2.4633171580957125E-2</v>
      </c>
      <c r="AF54" s="14">
        <f ca="1">IF(AF$1="","",'Total Value'!AF150/'Total Value'!AE150-1)</f>
        <v>-9.2500825900231343E-3</v>
      </c>
      <c r="AG54" s="14">
        <f ca="1">IF(AG$1="","",'Total Value'!AG150/'Total Value'!AF150-1)</f>
        <v>-1.4512300119940424E-2</v>
      </c>
      <c r="AH54" s="14">
        <f ca="1">IF(AH$1="","",'Total Value'!AH150/'Total Value'!AG150-1)</f>
        <v>-1.8220657822308306E-2</v>
      </c>
      <c r="AI54" s="14">
        <f ca="1">IF(AI$1="","",'Total Value'!AI150/'Total Value'!AH150-1)</f>
        <v>2.6701438719400894E-2</v>
      </c>
      <c r="AJ54" s="14">
        <f ca="1">IF(AJ$1="","",'Total Value'!AJ150/'Total Value'!AI150-1)</f>
        <v>2.2510020040080292E-2</v>
      </c>
      <c r="AK54" s="14">
        <f ca="1">IF(AK$1="","",'Total Value'!AK150/'Total Value'!AJ150-1)</f>
        <v>3.5082045930041605E-3</v>
      </c>
      <c r="AL54" s="14">
        <f ca="1">IF(AL$1="","",'Total Value'!AL150/'Total Value'!AK150-1)</f>
        <v>-1.9325322617658514E-2</v>
      </c>
      <c r="AM54" s="14">
        <f ca="1">IF(AM$1="","",'Total Value'!AM150/'Total Value'!AL150-1)</f>
        <v>2.5073313052959678E-2</v>
      </c>
      <c r="AN54" s="14">
        <f ca="1">IF(AN$1="","",'Total Value'!AN150/'Total Value'!AM150-1)</f>
        <v>-1.2851709918547449E-2</v>
      </c>
      <c r="AO54" s="14">
        <f ca="1">IF(AO$1="","",'Total Value'!AO150/'Total Value'!AN150-1)</f>
        <v>-1.5503761544176653E-2</v>
      </c>
      <c r="AP54" s="14">
        <f ca="1">IF(AP$1="","",'Total Value'!AP150/'Total Value'!AO150-1)</f>
        <v>-2.4773851766705102E-2</v>
      </c>
      <c r="AQ54" s="14">
        <f ca="1">IF(AQ$1="","",'Total Value'!AQ150/'Total Value'!AP150-1)</f>
        <v>5.9856610619424266E-3</v>
      </c>
      <c r="AR54" s="14">
        <f ca="1">IF(AR$1="","",'Total Value'!AR150/'Total Value'!AQ150-1)</f>
        <v>2.7141991125873011E-2</v>
      </c>
      <c r="AS54" s="14">
        <f ca="1">IF(AS$1="","",'Total Value'!AS150/'Total Value'!AR150-1)</f>
        <v>-2.2913370596491234E-3</v>
      </c>
      <c r="AT54" s="14">
        <f ca="1">IF(AT$1="","",'Total Value'!AT150/'Total Value'!AS150-1)</f>
        <v>-1.590718159539084E-2</v>
      </c>
      <c r="AU54" s="14">
        <f ca="1">IF(AU$1="","",'Total Value'!AU150/'Total Value'!AT150-1)</f>
        <v>-1.9169861643607344E-2</v>
      </c>
      <c r="AV54" s="14">
        <f ca="1">IF(AV$1="","",'Total Value'!AV150/'Total Value'!AU150-1)</f>
        <v>1.4033949282079794E-2</v>
      </c>
      <c r="AW54" s="14">
        <f ca="1">IF(AW$1="","",'Total Value'!AW150/'Total Value'!AV150-1)</f>
        <v>3.1361574833542516E-2</v>
      </c>
      <c r="AX54" s="14">
        <f ca="1">IF(AX$1="","",'Total Value'!AX150/'Total Value'!AW150-1)</f>
        <v>1.6890560983296554E-2</v>
      </c>
      <c r="AY54" s="14">
        <f ca="1">IF(AY$1="","",'Total Value'!AY150/'Total Value'!AX150-1)</f>
        <v>1.0227503849841613E-2</v>
      </c>
      <c r="AZ54" s="14">
        <f ca="1">IF(AZ$1="","",'Total Value'!AZ150/'Total Value'!AY150-1)</f>
        <v>-9.6829551228584387E-3</v>
      </c>
      <c r="BA54" s="14">
        <f ca="1">IF(BA$1="","",'Total Value'!BA150/'Total Value'!AZ150-1)</f>
        <v>1.084252204807501E-2</v>
      </c>
      <c r="BB54" s="14">
        <f ca="1">IF(BB$1="","",'Total Value'!BB150/'Total Value'!BA150-1)</f>
        <v>-1.7300822662976389E-2</v>
      </c>
      <c r="BC54" s="14">
        <f ca="1">IF(BC$1="","",'Total Value'!BC150/'Total Value'!BB150-1)</f>
        <v>1.1319504339224462E-2</v>
      </c>
      <c r="BD54" s="14">
        <f ca="1">IF(BD$1="","",'Total Value'!BD150/'Total Value'!BC150-1)</f>
        <v>1.2238368731449789E-3</v>
      </c>
      <c r="BE54" s="14">
        <f ca="1">IF(BE$1="","",'Total Value'!BE150/'Total Value'!BD150-1)</f>
        <v>3.8498926842489567E-5</v>
      </c>
      <c r="BF54" s="14">
        <f ca="1">IF(BF$1="","",'Total Value'!BF150/'Total Value'!BE150-1)</f>
        <v>2.6486241975688829E-2</v>
      </c>
      <c r="BG54" s="14">
        <f ca="1">IF(BG$1="","",'Total Value'!BG150/'Total Value'!BF150-1)</f>
        <v>-1.9703717594111714E-2</v>
      </c>
      <c r="BH54" s="14">
        <f ca="1">IF(BH$1="","",'Total Value'!BH150/'Total Value'!BG150-1)</f>
        <v>-1.0014011965166159E-2</v>
      </c>
      <c r="BI54" s="14">
        <f ca="1">IF(BI$1="","",'Total Value'!BI150/'Total Value'!BH150-1)</f>
        <v>1.0134629226183911E-2</v>
      </c>
      <c r="BJ54" s="14">
        <f ca="1">IF(BJ$1="","",'Total Value'!BJ150/'Total Value'!BI150-1)</f>
        <v>2.0706706007813658E-3</v>
      </c>
      <c r="BK54" s="14">
        <f ca="1">IF(BK$1="","",'Total Value'!BK150/'Total Value'!BJ150-1)</f>
        <v>-2.3575000954453529E-2</v>
      </c>
      <c r="BL54" s="14">
        <f ca="1">IF(BL$1="","",'Total Value'!BL150/'Total Value'!BK150-1)</f>
        <v>-1.4222595843678465E-2</v>
      </c>
      <c r="BM54" s="14">
        <f ca="1">IF(BM$1="","",'Total Value'!BM150/'Total Value'!BL150-1)</f>
        <v>-3.5400160639385003E-3</v>
      </c>
      <c r="BN54" s="14">
        <f ca="1">IF(BN$1="","",'Total Value'!BN150/'Total Value'!BM150-1)</f>
        <v>-7.5828440640859363E-3</v>
      </c>
      <c r="BO54" s="14">
        <f ca="1">IF(BO$1="","",'Total Value'!BO150/'Total Value'!BN150-1)</f>
        <v>-7.139419220279164E-3</v>
      </c>
      <c r="BP54" s="14">
        <f ca="1">IF(BP$1="","",'Total Value'!BP150/'Total Value'!BO150-1)</f>
        <v>3.3428940777249228E-3</v>
      </c>
      <c r="BQ54" s="14">
        <f ca="1">IF(BQ$1="","",'Total Value'!BQ150/'Total Value'!BP150-1)</f>
        <v>1.920541133602427E-2</v>
      </c>
      <c r="BR54" s="14">
        <f ca="1">IF(BR$1="","",'Total Value'!BR150/'Total Value'!BQ150-1)</f>
        <v>-9.9353118364524651E-3</v>
      </c>
      <c r="BS54" s="14">
        <f ca="1">IF(BS$1="","",'Total Value'!BS150/'Total Value'!BR150-1)</f>
        <v>-7.4065576713981951E-3</v>
      </c>
      <c r="BT54" s="14">
        <f ca="1">IF(BT$1="","",'Total Value'!BT150/'Total Value'!BS150-1)</f>
        <v>2.0420776532186213E-2</v>
      </c>
      <c r="BU54" s="14">
        <f ca="1">IF(BU$1="","",'Total Value'!BU150/'Total Value'!BT150-1)</f>
        <v>3.6537864947778775E-3</v>
      </c>
      <c r="BV54" s="14">
        <f ca="1">IF(BV$1="","",'Total Value'!BV150/'Total Value'!BU150-1)</f>
        <v>-2.2927205020140451E-2</v>
      </c>
      <c r="BW54" s="14">
        <f ca="1">IF(BW$1="","",'Total Value'!BW150/'Total Value'!BV150-1)</f>
        <v>-2.5508923101643988E-2</v>
      </c>
      <c r="BX54" s="14">
        <f ca="1">IF(BX$1="","",'Total Value'!BX150/'Total Value'!BW150-1)</f>
        <v>6.9770078220812159E-3</v>
      </c>
      <c r="BY54" s="14">
        <f ca="1">IF(BY$1="","",'Total Value'!BY150/'Total Value'!BX150-1)</f>
        <v>-3.2611810459523105E-2</v>
      </c>
      <c r="BZ54" s="14">
        <f ca="1">IF(BZ$1="","",'Total Value'!BZ150/'Total Value'!BY150-1)</f>
        <v>-3.4012705835057E-3</v>
      </c>
      <c r="CA54" s="14">
        <f ca="1">IF(CA$1="","",'Total Value'!CA150/'Total Value'!BZ150-1)</f>
        <v>1.7993248550986163E-2</v>
      </c>
      <c r="CB54" s="14">
        <f ca="1">IF(CB$1="","",'Total Value'!CB150/'Total Value'!CA150-1)</f>
        <v>-2.8071785353035117E-2</v>
      </c>
      <c r="CC54" s="14">
        <f ca="1">IF(CC$1="","",'Total Value'!CC150/'Total Value'!CB150-1)</f>
        <v>1.0090660372297666E-2</v>
      </c>
      <c r="CD54" s="14">
        <f ca="1">IF(CD$1="","",'Total Value'!CD150/'Total Value'!CC150-1)</f>
        <v>8.4709306339654233E-3</v>
      </c>
      <c r="CE54" s="14">
        <f ca="1">IF(CE$1="","",'Total Value'!CE150/'Total Value'!CD150-1)</f>
        <v>2.6889818101387242E-2</v>
      </c>
      <c r="CF54" s="14" t="str">
        <f ca="1">IF(CF$1="","",'Total Value'!CF150/'Total Value'!CE150-1)</f>
        <v/>
      </c>
      <c r="CG54" s="14" t="str">
        <f ca="1">IF(CG$1="","",'Total Value'!CG150/'Total Value'!CF150-1)</f>
        <v/>
      </c>
      <c r="CH54" s="14" t="str">
        <f ca="1">IF(CH$1="","",'Total Value'!CH150/'Total Value'!CG150-1)</f>
        <v/>
      </c>
      <c r="CI54" s="14" t="str">
        <f ca="1">IF(CI$1="","",'Total Value'!CI150/'Total Value'!CH150-1)</f>
        <v/>
      </c>
      <c r="CJ54" s="14" t="str">
        <f ca="1">IF(CJ$1="","",'Total Value'!CJ150/'Total Value'!CI150-1)</f>
        <v/>
      </c>
      <c r="CK54" s="14" t="str">
        <f ca="1">IF(CK$1="","",'Total Value'!CK150/'Total Value'!CJ150-1)</f>
        <v/>
      </c>
      <c r="CL54" s="14" t="str">
        <f ca="1">IF(CL$1="","",'Total Value'!CL150/'Total Value'!CK150-1)</f>
        <v/>
      </c>
      <c r="CM54" s="14" t="str">
        <f ca="1">IF(CM$1="","",'Total Value'!CM150/'Total Value'!CL150-1)</f>
        <v/>
      </c>
      <c r="CN54" s="14" t="str">
        <f ca="1">IF(CN$1="","",'Total Value'!CN150/'Total Value'!CM150-1)</f>
        <v/>
      </c>
      <c r="CO54" s="14" t="str">
        <f ca="1">IF(CO$1="","",'Total Value'!CO150/'Total Value'!CN150-1)</f>
        <v/>
      </c>
      <c r="CP54" s="14" t="str">
        <f ca="1">IF(CP$1="","",'Total Value'!CP150/'Total Value'!CO150-1)</f>
        <v/>
      </c>
      <c r="CQ54" s="14" t="str">
        <f ca="1">IF(CQ$1="","",'Total Value'!CQ150/'Total Value'!CP150-1)</f>
        <v/>
      </c>
      <c r="CR54" s="14" t="str">
        <f ca="1">IF(CR$1="","",'Total Value'!CR150/'Total Value'!CQ150-1)</f>
        <v/>
      </c>
      <c r="CS54" s="14" t="str">
        <f ca="1">IF(CS$1="","",'Total Value'!CS150/'Total Value'!CR150-1)</f>
        <v/>
      </c>
      <c r="CT54" s="14" t="str">
        <f ca="1">IF(CT$1="","",'Total Value'!CT150/'Total Value'!CS150-1)</f>
        <v/>
      </c>
      <c r="CU54" s="14" t="str">
        <f ca="1">IF(CU$1="","",'Total Value'!CU150/'Total Value'!CT150-1)</f>
        <v/>
      </c>
      <c r="CV54" s="14" t="str">
        <f ca="1">IF(CV$1="","",'Total Value'!CV150/'Total Value'!CU150-1)</f>
        <v/>
      </c>
      <c r="CW54" s="14" t="str">
        <f ca="1">IF(CW$1="","",'Total Value'!CW150/'Total Value'!CV150-1)</f>
        <v/>
      </c>
      <c r="CX54" s="14" t="str">
        <f ca="1">IF(CX$1="","",'Total Value'!CX150/'Total Value'!CW150-1)</f>
        <v/>
      </c>
      <c r="CY54" s="14" t="str">
        <f ca="1">IF(CY$1="","",'Total Value'!CY150/'Total Value'!CX150-1)</f>
        <v/>
      </c>
      <c r="CZ54" s="14" t="str">
        <f ca="1">IF(CZ$1="","",'Total Value'!CZ150/'Total Value'!CY150-1)</f>
        <v/>
      </c>
      <c r="DA54" s="14" t="str">
        <f ca="1">IF(DA$1="","",'Total Value'!DA150/'Total Value'!CZ150-1)</f>
        <v/>
      </c>
      <c r="DB54" s="14" t="str">
        <f ca="1">IF(DB$1="","",'Total Value'!DB150/'Total Value'!DA150-1)</f>
        <v/>
      </c>
      <c r="DC54" s="14" t="str">
        <f ca="1">IF(DC$1="","",'Total Value'!DC150/'Total Value'!DB150-1)</f>
        <v/>
      </c>
      <c r="DD54" s="14" t="str">
        <f ca="1">IF(DD$1="","",'Total Value'!DD150/'Total Value'!DC150-1)</f>
        <v/>
      </c>
      <c r="DE54" s="14" t="str">
        <f ca="1">IF(DE$1="","",'Total Value'!DE150/'Total Value'!DD150-1)</f>
        <v/>
      </c>
      <c r="DF54" s="14" t="str">
        <f ca="1">IF(DF$1="","",'Total Value'!DF150/'Total Value'!DE150-1)</f>
        <v/>
      </c>
      <c r="DG54" s="14" t="str">
        <f ca="1">IF(DG$1="","",'Total Value'!DG150/'Total Value'!DF150-1)</f>
        <v/>
      </c>
      <c r="DH54" s="14" t="str">
        <f ca="1">IF(DH$1="","",'Total Value'!DH150/'Total Value'!DG150-1)</f>
        <v/>
      </c>
      <c r="DI54" s="14" t="str">
        <f ca="1">IF(DI$1="","",'Total Value'!DI150/'Total Value'!DH150-1)</f>
        <v/>
      </c>
      <c r="DJ54" s="14" t="str">
        <f ca="1">IF(DJ$1="","",'Total Value'!DJ150/'Total Value'!DI150-1)</f>
        <v/>
      </c>
      <c r="DK54" s="14" t="str">
        <f ca="1">IF(DK$1="","",'Total Value'!DK150/'Total Value'!DJ150-1)</f>
        <v/>
      </c>
      <c r="DL54" s="14" t="str">
        <f ca="1">IF(DL$1="","",'Total Value'!DL150/'Total Value'!DK150-1)</f>
        <v/>
      </c>
      <c r="DM54" s="14" t="str">
        <f ca="1">IF(DM$1="","",'Total Value'!DM150/'Total Value'!DL150-1)</f>
        <v/>
      </c>
      <c r="DN54" s="14" t="str">
        <f ca="1">IF(DN$1="","",'Total Value'!DN150/'Total Value'!DM150-1)</f>
        <v/>
      </c>
      <c r="DO54" s="14" t="str">
        <f ca="1">IF(DO$1="","",'Total Value'!DO150/'Total Value'!DN150-1)</f>
        <v/>
      </c>
      <c r="DP54" s="14" t="str">
        <f ca="1">IF(DP$1="","",'Total Value'!DP150/'Total Value'!DO150-1)</f>
        <v/>
      </c>
      <c r="DQ54" s="14" t="str">
        <f ca="1">IF(DQ$1="","",'Total Value'!DQ150/'Total Value'!DP150-1)</f>
        <v/>
      </c>
      <c r="DR54" s="14" t="str">
        <f ca="1">IF(DR$1="","",'Total Value'!DR150/'Total Value'!DQ150-1)</f>
        <v/>
      </c>
      <c r="DS54" s="14" t="str">
        <f ca="1">IF(DS$1="","",'Total Value'!DS150/'Total Value'!DR150-1)</f>
        <v/>
      </c>
      <c r="DT54" s="14" t="str">
        <f ca="1">IF(DT$1="","",'Total Value'!DT150/'Total Value'!DS150-1)</f>
        <v/>
      </c>
      <c r="DU54" s="14" t="str">
        <f ca="1">IF(DU$1="","",'Total Value'!DU150/'Total Value'!DT150-1)</f>
        <v/>
      </c>
      <c r="DV54" s="14" t="str">
        <f ca="1">IF(DV$1="","",'Total Value'!DV150/'Total Value'!DU150-1)</f>
        <v/>
      </c>
      <c r="DW54" s="14" t="str">
        <f ca="1">IF(DW$1="","",'Total Value'!DW150/'Total Value'!DV150-1)</f>
        <v/>
      </c>
      <c r="DX54" s="14" t="str">
        <f ca="1">IF(DX$1="","",'Total Value'!DX150/'Total Value'!DW150-1)</f>
        <v/>
      </c>
      <c r="DY54" s="14" t="str">
        <f ca="1">IF(DY$1="","",'Total Value'!DY150/'Total Value'!DX150-1)</f>
        <v/>
      </c>
      <c r="DZ54" s="14" t="str">
        <f ca="1">IF(DZ$1="","",'Total Value'!DZ150/'Total Value'!DY150-1)</f>
        <v/>
      </c>
      <c r="EA54" s="14" t="str">
        <f ca="1">IF(EA$1="","",'Total Value'!EA150/'Total Value'!DZ150-1)</f>
        <v/>
      </c>
      <c r="EB54" s="14" t="str">
        <f ca="1">IF(EB$1="","",'Total Value'!EB150/'Total Value'!EA150-1)</f>
        <v/>
      </c>
      <c r="EC54" s="14" t="str">
        <f ca="1">IF(EC$1="","",'Total Value'!EC150/'Total Value'!EB150-1)</f>
        <v/>
      </c>
      <c r="ED54" s="14" t="str">
        <f ca="1">IF(ED$1="","",'Total Value'!ED150/'Total Value'!EC150-1)</f>
        <v/>
      </c>
      <c r="EE54" s="14" t="str">
        <f ca="1">IF(EE$1="","",'Total Value'!EE150/'Total Value'!ED150-1)</f>
        <v/>
      </c>
      <c r="EF54" s="14" t="str">
        <f ca="1">IF(EF$1="","",'Total Value'!EF150/'Total Value'!EE150-1)</f>
        <v/>
      </c>
      <c r="EG54" s="14" t="str">
        <f ca="1">IF(EG$1="","",'Total Value'!EG150/'Total Value'!EF150-1)</f>
        <v/>
      </c>
      <c r="EH54" s="14" t="str">
        <f ca="1">IF(EH$1="","",'Total Value'!EH150/'Total Value'!EG150-1)</f>
        <v/>
      </c>
      <c r="EI54" s="14" t="str">
        <f ca="1">IF(EI$1="","",'Total Value'!EI150/'Total Value'!EH150-1)</f>
        <v/>
      </c>
      <c r="EJ54" s="14" t="str">
        <f ca="1">IF(EJ$1="","",'Total Value'!EJ150/'Total Value'!EI150-1)</f>
        <v/>
      </c>
      <c r="EK54" s="14" t="str">
        <f ca="1">IF(EK$1="","",'Total Value'!EK150/'Total Value'!EJ150-1)</f>
        <v/>
      </c>
      <c r="EL54" s="14" t="str">
        <f ca="1">IF(EL$1="","",'Total Value'!EL150/'Total Value'!EK150-1)</f>
        <v/>
      </c>
      <c r="EM54" s="14" t="str">
        <f ca="1">IF(EM$1="","",'Total Value'!EM150/'Total Value'!EL150-1)</f>
        <v/>
      </c>
      <c r="EN54" s="14" t="str">
        <f ca="1">IF(EN$1="","",'Total Value'!EN150/'Total Value'!EM150-1)</f>
        <v/>
      </c>
      <c r="EO54" s="14" t="str">
        <f ca="1">IF(EO$1="","",'Total Value'!EO150/'Total Value'!EN150-1)</f>
        <v/>
      </c>
      <c r="EP54" s="14" t="str">
        <f ca="1">IF(EP$1="","",'Total Value'!EP150/'Total Value'!EO150-1)</f>
        <v/>
      </c>
      <c r="EQ54" s="14" t="str">
        <f ca="1">IF(EQ$1="","",'Total Value'!EQ150/'Total Value'!EP150-1)</f>
        <v/>
      </c>
      <c r="ER54" s="14" t="str">
        <f ca="1">IF(ER$1="","",'Total Value'!ER150/'Total Value'!EQ150-1)</f>
        <v/>
      </c>
      <c r="ES54" s="14" t="str">
        <f ca="1">IF(ES$1="","",'Total Value'!ES150/'Total Value'!ER150-1)</f>
        <v/>
      </c>
      <c r="ET54" s="14" t="str">
        <f ca="1">IF(ET$1="","",'Total Value'!ET150/'Total Value'!ES150-1)</f>
        <v/>
      </c>
      <c r="EU54" s="14" t="str">
        <f ca="1">IF(EU$1="","",'Total Value'!EU150/'Total Value'!ET150-1)</f>
        <v/>
      </c>
      <c r="EV54" s="14" t="str">
        <f ca="1">IF(EV$1="","",'Total Value'!EV150/'Total Value'!EU150-1)</f>
        <v/>
      </c>
      <c r="EW54" s="14" t="str">
        <f ca="1">IF(EW$1="","",'Total Value'!EW150/'Total Value'!EV150-1)</f>
        <v/>
      </c>
      <c r="EX54" s="14" t="str">
        <f ca="1">IF(EX$1="","",'Total Value'!EX150/'Total Value'!EW150-1)</f>
        <v/>
      </c>
      <c r="EY54" s="14" t="str">
        <f ca="1">IF(EY$1="","",'Total Value'!EY150/'Total Value'!EX150-1)</f>
        <v/>
      </c>
      <c r="EZ54" s="14" t="str">
        <f ca="1">IF(EZ$1="","",'Total Value'!EZ150/'Total Value'!EY150-1)</f>
        <v/>
      </c>
      <c r="FA54" s="14" t="str">
        <f ca="1">IF(FA$1="","",'Total Value'!FA150/'Total Value'!EZ150-1)</f>
        <v/>
      </c>
      <c r="FB54" s="14" t="str">
        <f ca="1">IF(FB$1="","",'Total Value'!FB150/'Total Value'!FA150-1)</f>
        <v/>
      </c>
      <c r="FC54" s="14" t="str">
        <f ca="1">IF(FC$1="","",'Total Value'!FC150/'Total Value'!FB150-1)</f>
        <v/>
      </c>
      <c r="FD54" s="14" t="str">
        <f ca="1">IF(FD$1="","",'Total Value'!FD150/'Total Value'!FC150-1)</f>
        <v/>
      </c>
      <c r="FE54" s="14" t="str">
        <f ca="1">IF(FE$1="","",'Total Value'!FE150/'Total Value'!FD150-1)</f>
        <v/>
      </c>
      <c r="FF54" s="14" t="str">
        <f ca="1">IF(FF$1="","",'Total Value'!FF150/'Total Value'!FE150-1)</f>
        <v/>
      </c>
      <c r="FG54" s="14" t="str">
        <f ca="1">IF(FG$1="","",'Total Value'!FG150/'Total Value'!FF150-1)</f>
        <v/>
      </c>
      <c r="FH54" s="14" t="str">
        <f ca="1">IF(FH$1="","",'Total Value'!FH150/'Total Value'!FG150-1)</f>
        <v/>
      </c>
      <c r="FI54" s="14" t="str">
        <f ca="1">IF(FI$1="","",'Total Value'!FI150/'Total Value'!FH150-1)</f>
        <v/>
      </c>
      <c r="FJ54" s="14" t="str">
        <f ca="1">IF(FJ$1="","",'Total Value'!FJ150/'Total Value'!FI150-1)</f>
        <v/>
      </c>
      <c r="FK54" s="14" t="str">
        <f ca="1">IF(FK$1="","",'Total Value'!FK150/'Total Value'!FJ150-1)</f>
        <v/>
      </c>
      <c r="FL54" s="14" t="str">
        <f ca="1">IF(FL$1="","",'Total Value'!FL150/'Total Value'!FK150-1)</f>
        <v/>
      </c>
      <c r="FM54" s="14" t="str">
        <f ca="1">IF(FM$1="","",'Total Value'!FM150/'Total Value'!FL150-1)</f>
        <v/>
      </c>
      <c r="FN54" s="14" t="str">
        <f ca="1">IF(FN$1="","",'Total Value'!FN150/'Total Value'!FM150-1)</f>
        <v/>
      </c>
      <c r="FO54" s="14" t="str">
        <f ca="1">IF(FO$1="","",'Total Value'!FO150/'Total Value'!FN150-1)</f>
        <v/>
      </c>
      <c r="FP54" s="14" t="str">
        <f ca="1">IF(FP$1="","",'Total Value'!FP150/'Total Value'!FO150-1)</f>
        <v/>
      </c>
      <c r="FQ54" s="14" t="str">
        <f ca="1">IF(FQ$1="","",'Total Value'!FQ150/'Total Value'!FP150-1)</f>
        <v/>
      </c>
      <c r="FR54" s="14" t="str">
        <f ca="1">IF(FR$1="","",'Total Value'!FR150/'Total Value'!FQ150-1)</f>
        <v/>
      </c>
      <c r="FS54" s="14" t="str">
        <f ca="1">IF(FS$1="","",'Total Value'!FS150/'Total Value'!FR150-1)</f>
        <v/>
      </c>
      <c r="FT54" s="14" t="str">
        <f ca="1">IF(FT$1="","",'Total Value'!FT150/'Total Value'!FS150-1)</f>
        <v/>
      </c>
      <c r="FU54" s="14" t="str">
        <f ca="1">IF(FU$1="","",'Total Value'!FU150/'Total Value'!FT150-1)</f>
        <v/>
      </c>
      <c r="FV54" s="14" t="str">
        <f ca="1">IF(FV$1="","",'Total Value'!FV150/'Total Value'!FU150-1)</f>
        <v/>
      </c>
      <c r="FW54" s="14" t="str">
        <f ca="1">IF(FW$1="","",'Total Value'!FW150/'Total Value'!FV150-1)</f>
        <v/>
      </c>
      <c r="FX54" s="14" t="str">
        <f ca="1">IF(FX$1="","",'Total Value'!FX150/'Total Value'!FW150-1)</f>
        <v/>
      </c>
      <c r="FY54" s="14" t="str">
        <f ca="1">IF(FY$1="","",'Total Value'!FY150/'Total Value'!FX150-1)</f>
        <v/>
      </c>
      <c r="FZ54" s="14" t="str">
        <f ca="1">IF(FZ$1="","",'Total Value'!FZ150/'Total Value'!FY150-1)</f>
        <v/>
      </c>
      <c r="GA54" s="14" t="str">
        <f ca="1">IF(GA$1="","",'Total Value'!GA150/'Total Value'!FZ150-1)</f>
        <v/>
      </c>
      <c r="GB54" s="14" t="str">
        <f ca="1">IF(GB$1="","",'Total Value'!GB150/'Total Value'!GA150-1)</f>
        <v/>
      </c>
      <c r="GC54" s="14" t="str">
        <f ca="1">IF(GC$1="","",'Total Value'!GC150/'Total Value'!GB150-1)</f>
        <v/>
      </c>
      <c r="GD54" s="14" t="str">
        <f ca="1">IF(GD$1="","",'Total Value'!GD150/'Total Value'!GC150-1)</f>
        <v/>
      </c>
      <c r="GE54" s="14" t="str">
        <f ca="1">IF(GE$1="","",'Total Value'!GE150/'Total Value'!GD150-1)</f>
        <v/>
      </c>
      <c r="GF54" s="14" t="str">
        <f ca="1">IF(GF$1="","",'Total Value'!GF150/'Total Value'!GE150-1)</f>
        <v/>
      </c>
      <c r="GG54" s="14" t="str">
        <f ca="1">IF(GG$1="","",'Total Value'!GG150/'Total Value'!GF150-1)</f>
        <v/>
      </c>
      <c r="GH54" s="14" t="str">
        <f ca="1">IF(GH$1="","",'Total Value'!GH150/'Total Value'!GG150-1)</f>
        <v/>
      </c>
      <c r="GI54" s="14" t="str">
        <f ca="1">IF(GI$1="","",'Total Value'!GI150/'Total Value'!GH150-1)</f>
        <v/>
      </c>
      <c r="GJ54" s="14" t="str">
        <f ca="1">IF(GJ$1="","",'Total Value'!GJ150/'Total Value'!GI150-1)</f>
        <v/>
      </c>
      <c r="GK54" s="14" t="str">
        <f ca="1">IF(GK$1="","",'Total Value'!GK150/'Total Value'!GJ150-1)</f>
        <v/>
      </c>
      <c r="GL54" s="14" t="str">
        <f ca="1">IF(GL$1="","",'Total Value'!GL150/'Total Value'!GK150-1)</f>
        <v/>
      </c>
      <c r="GM54" s="14" t="str">
        <f ca="1">IF(GM$1="","",'Total Value'!GM150/'Total Value'!GL150-1)</f>
        <v/>
      </c>
      <c r="GN54" s="14" t="str">
        <f ca="1">IF(GN$1="","",'Total Value'!GN150/'Total Value'!GM150-1)</f>
        <v/>
      </c>
      <c r="GO54" s="14" t="str">
        <f ca="1">IF(GO$1="","",'Total Value'!GO150/'Total Value'!GN150-1)</f>
        <v/>
      </c>
      <c r="GP54" s="14" t="str">
        <f ca="1">IF(GP$1="","",'Total Value'!GP150/'Total Value'!GO150-1)</f>
        <v/>
      </c>
      <c r="GQ54" s="14" t="str">
        <f ca="1">IF(GQ$1="","",'Total Value'!GQ150/'Total Value'!GP150-1)</f>
        <v/>
      </c>
      <c r="GR54" s="14" t="str">
        <f ca="1">IF(GR$1="","",'Total Value'!GR150/'Total Value'!GQ150-1)</f>
        <v/>
      </c>
      <c r="GS54" s="14" t="str">
        <f ca="1">IF(GS$1="","",'Total Value'!GS150/'Total Value'!GR150-1)</f>
        <v/>
      </c>
      <c r="GT54" s="14" t="str">
        <f ca="1">IF(GT$1="","",'Total Value'!GT150/'Total Value'!GS150-1)</f>
        <v/>
      </c>
      <c r="GU54" s="14" t="str">
        <f ca="1">IF(GU$1="","",'Total Value'!GU150/'Total Value'!GT150-1)</f>
        <v/>
      </c>
      <c r="GV54" s="14" t="str">
        <f ca="1">IF(GV$1="","",'Total Value'!GV150/'Total Value'!GU150-1)</f>
        <v/>
      </c>
      <c r="GW54" s="14" t="str">
        <f ca="1">IF(GW$1="","",'Total Value'!GW150/'Total Value'!GV150-1)</f>
        <v/>
      </c>
      <c r="GX54" s="14" t="str">
        <f ca="1">IF(GX$1="","",'Total Value'!GX150/'Total Value'!GW150-1)</f>
        <v/>
      </c>
      <c r="GY54" s="14" t="str">
        <f ca="1">IF(GY$1="","",'Total Value'!GY150/'Total Value'!GX150-1)</f>
        <v/>
      </c>
      <c r="GZ54" s="14" t="str">
        <f ca="1">IF(GZ$1="","",'Total Value'!GZ150/'Total Value'!GY150-1)</f>
        <v/>
      </c>
      <c r="HA54" s="14" t="str">
        <f ca="1">IF(HA$1="","",'Total Value'!HA150/'Total Value'!GZ150-1)</f>
        <v/>
      </c>
      <c r="HB54" s="14" t="str">
        <f ca="1">IF(HB$1="","",'Total Value'!HB150/'Total Value'!HA150-1)</f>
        <v/>
      </c>
      <c r="HC54" s="14" t="str">
        <f ca="1">IF(HC$1="","",'Total Value'!HC150/'Total Value'!HB150-1)</f>
        <v/>
      </c>
      <c r="HD54" s="14" t="str">
        <f ca="1">IF(HD$1="","",'Total Value'!HD150/'Total Value'!HC150-1)</f>
        <v/>
      </c>
      <c r="HE54" s="14" t="str">
        <f ca="1">IF(HE$1="","",'Total Value'!HE150/'Total Value'!HD150-1)</f>
        <v/>
      </c>
      <c r="HF54" s="14" t="str">
        <f ca="1">IF(HF$1="","",'Total Value'!HF150/'Total Value'!HE150-1)</f>
        <v/>
      </c>
      <c r="HG54" s="14" t="str">
        <f ca="1">IF(HG$1="","",'Total Value'!HG150/'Total Value'!HF150-1)</f>
        <v/>
      </c>
      <c r="HH54" s="14" t="str">
        <f ca="1">IF(HH$1="","",'Total Value'!HH150/'Total Value'!HG150-1)</f>
        <v/>
      </c>
      <c r="HI54" s="14" t="str">
        <f ca="1">IF(HI$1="","",'Total Value'!HI150/'Total Value'!HH150-1)</f>
        <v/>
      </c>
      <c r="HJ54" s="14" t="str">
        <f ca="1">IF(HJ$1="","",'Total Value'!HJ150/'Total Value'!HI150-1)</f>
        <v/>
      </c>
      <c r="HK54" s="14" t="str">
        <f ca="1">IF(HK$1="","",'Total Value'!HK150/'Total Value'!HJ150-1)</f>
        <v/>
      </c>
      <c r="HL54" s="14" t="str">
        <f ca="1">IF(HL$1="","",'Total Value'!HL150/'Total Value'!HK150-1)</f>
        <v/>
      </c>
      <c r="HM54" s="14" t="str">
        <f ca="1">IF(HM$1="","",'Total Value'!HM150/'Total Value'!HL150-1)</f>
        <v/>
      </c>
      <c r="HN54" s="14" t="str">
        <f ca="1">IF(HN$1="","",'Total Value'!HN150/'Total Value'!HM150-1)</f>
        <v/>
      </c>
      <c r="HO54" s="14" t="str">
        <f ca="1">IF(HO$1="","",'Total Value'!HO150/'Total Value'!HN150-1)</f>
        <v/>
      </c>
      <c r="HP54" s="14" t="str">
        <f ca="1">IF(HP$1="","",'Total Value'!HP150/'Total Value'!HO150-1)</f>
        <v/>
      </c>
      <c r="HQ54" s="14" t="str">
        <f ca="1">IF(HQ$1="","",'Total Value'!HQ150/'Total Value'!HP150-1)</f>
        <v/>
      </c>
      <c r="HR54" s="14" t="str">
        <f ca="1">IF(HR$1="","",'Total Value'!HR150/'Total Value'!HQ150-1)</f>
        <v/>
      </c>
      <c r="HS54" s="14" t="str">
        <f ca="1">IF(HS$1="","",'Total Value'!HS150/'Total Value'!HR150-1)</f>
        <v/>
      </c>
      <c r="HT54" s="14" t="str">
        <f ca="1">IF(HT$1="","",'Total Value'!HT150/'Total Value'!HS150-1)</f>
        <v/>
      </c>
      <c r="HU54" s="14" t="str">
        <f ca="1">IF(HU$1="","",'Total Value'!HU150/'Total Value'!HT150-1)</f>
        <v/>
      </c>
      <c r="HV54" s="14" t="str">
        <f ca="1">IF(HV$1="","",'Total Value'!HV150/'Total Value'!HU150-1)</f>
        <v/>
      </c>
      <c r="HW54" s="14" t="str">
        <f ca="1">IF(HW$1="","",'Total Value'!HW150/'Total Value'!HV150-1)</f>
        <v/>
      </c>
      <c r="HX54" s="14" t="str">
        <f ca="1">IF(HX$1="","",'Total Value'!HX150/'Total Value'!HW150-1)</f>
        <v/>
      </c>
      <c r="HY54" s="14" t="str">
        <f ca="1">IF(HY$1="","",'Total Value'!HY150/'Total Value'!HX150-1)</f>
        <v/>
      </c>
      <c r="HZ54" s="14" t="str">
        <f ca="1">IF(HZ$1="","",'Total Value'!HZ150/'Total Value'!HY150-1)</f>
        <v/>
      </c>
      <c r="IA54" s="14" t="str">
        <f ca="1">IF(IA$1="","",'Total Value'!IA150/'Total Value'!HZ150-1)</f>
        <v/>
      </c>
      <c r="IB54" s="14" t="str">
        <f ca="1">IF(IB$1="","",'Total Value'!IB150/'Total Value'!IA150-1)</f>
        <v/>
      </c>
      <c r="IC54" s="14" t="str">
        <f ca="1">IF(IC$1="","",'Total Value'!IC150/'Total Value'!IB150-1)</f>
        <v/>
      </c>
      <c r="ID54" s="14" t="str">
        <f ca="1">IF(ID$1="","",'Total Value'!ID150/'Total Value'!IC150-1)</f>
        <v/>
      </c>
      <c r="IE54" s="14" t="str">
        <f ca="1">IF(IE$1="","",'Total Value'!IE150/'Total Value'!ID150-1)</f>
        <v/>
      </c>
      <c r="IF54" s="14" t="str">
        <f ca="1">IF(IF$1="","",'Total Value'!IF150/'Total Value'!IE150-1)</f>
        <v/>
      </c>
      <c r="IG54" s="14" t="str">
        <f ca="1">IF(IG$1="","",'Total Value'!IG150/'Total Value'!IF150-1)</f>
        <v/>
      </c>
      <c r="IH54" s="14" t="str">
        <f ca="1">IF(IH$1="","",'Total Value'!IH150/'Total Value'!IG150-1)</f>
        <v/>
      </c>
      <c r="II54" s="14" t="str">
        <f ca="1">IF(II$1="","",'Total Value'!II150/'Total Value'!IH150-1)</f>
        <v/>
      </c>
      <c r="IJ54" s="14" t="str">
        <f ca="1">IF(IJ$1="","",'Total Value'!IJ150/'Total Value'!II150-1)</f>
        <v/>
      </c>
      <c r="IK54" s="14" t="str">
        <f ca="1">IF(IK$1="","",'Total Value'!IK150/'Total Value'!IJ150-1)</f>
        <v/>
      </c>
      <c r="IL54" s="14" t="str">
        <f ca="1">IF(IL$1="","",'Total Value'!IL150/'Total Value'!IK150-1)</f>
        <v/>
      </c>
      <c r="IM54" s="14" t="str">
        <f ca="1">IF(IM$1="","",'Total Value'!IM150/'Total Value'!IL150-1)</f>
        <v/>
      </c>
      <c r="IN54" s="14" t="str">
        <f ca="1">IF(IN$1="","",'Total Value'!IN150/'Total Value'!IM150-1)</f>
        <v/>
      </c>
      <c r="IO54" s="14" t="str">
        <f ca="1">IF(IO$1="","",'Total Value'!IO150/'Total Value'!IN150-1)</f>
        <v/>
      </c>
      <c r="IP54" s="14" t="str">
        <f ca="1">IF(IP$1="","",'Total Value'!IP150/'Total Value'!IO150-1)</f>
        <v/>
      </c>
      <c r="IQ54" s="14" t="str">
        <f ca="1">IF(IQ$1="","",'Total Value'!IQ150/'Total Value'!IP150-1)</f>
        <v/>
      </c>
      <c r="IR54" s="14" t="str">
        <f ca="1">IF(IR$1="","",'Total Value'!IR150/'Total Value'!IQ150-1)</f>
        <v/>
      </c>
      <c r="IS54" s="14" t="str">
        <f ca="1">IF(IS$1="","",'Total Value'!IS150/'Total Value'!IR150-1)</f>
        <v/>
      </c>
      <c r="IT54" s="14" t="str">
        <f ca="1">IF(IT$1="","",'Total Value'!IT150/'Total Value'!IS150-1)</f>
        <v/>
      </c>
      <c r="IU54" s="14" t="str">
        <f ca="1">IF(IU$1="","",'Total Value'!IU150/'Total Value'!IT150-1)</f>
        <v/>
      </c>
      <c r="IV54" s="14" t="str">
        <f ca="1">IF(IV$1="","",'Total Value'!IV150/'Total Value'!IU150-1)</f>
        <v/>
      </c>
      <c r="IW54" s="14" t="str">
        <f ca="1">IF(IW$1="","",'Total Value'!IW150/'Total Value'!IV150-1)</f>
        <v/>
      </c>
      <c r="IX54" s="14" t="str">
        <f ca="1">IF(IX$1="","",'Total Value'!IX150/'Total Value'!IW150-1)</f>
        <v/>
      </c>
      <c r="IY54" s="14" t="str">
        <f ca="1">IF(IY$1="","",'Total Value'!IY150/'Total Value'!IX150-1)</f>
        <v/>
      </c>
      <c r="IZ54" s="14" t="str">
        <f ca="1">IF(IZ$1="","",'Total Value'!IZ150/'Total Value'!IY150-1)</f>
        <v/>
      </c>
      <c r="JA54" s="14" t="str">
        <f ca="1">IF(JA$1="","",'Total Value'!JA150/'Total Value'!IZ150-1)</f>
        <v/>
      </c>
      <c r="JB54" s="14" t="str">
        <f ca="1">IF(JB$1="","",'Total Value'!JB150/'Total Value'!JA150-1)</f>
        <v/>
      </c>
      <c r="JC54" s="14" t="str">
        <f ca="1">IF(JC$1="","",'Total Value'!JC150/'Total Value'!JB150-1)</f>
        <v/>
      </c>
      <c r="JD54" s="14" t="str">
        <f ca="1">IF(JD$1="","",'Total Value'!JD150/'Total Value'!JC150-1)</f>
        <v/>
      </c>
      <c r="JE54" s="14" t="str">
        <f ca="1">IF(JE$1="","",'Total Value'!JE150/'Total Value'!JD150-1)</f>
        <v/>
      </c>
      <c r="JF54" s="14" t="str">
        <f ca="1">IF(JF$1="","",'Total Value'!JF150/'Total Value'!JE150-1)</f>
        <v/>
      </c>
      <c r="JG54" s="14" t="str">
        <f ca="1">IF(JG$1="","",'Total Value'!JG150/'Total Value'!JF150-1)</f>
        <v/>
      </c>
      <c r="JH54" s="14" t="str">
        <f ca="1">IF(JH$1="","",'Total Value'!JH150/'Total Value'!JG150-1)</f>
        <v/>
      </c>
      <c r="JI54" s="14" t="str">
        <f ca="1">IF(JI$1="","",'Total Value'!JI150/'Total Value'!JH150-1)</f>
        <v/>
      </c>
      <c r="JJ54" s="14" t="str">
        <f ca="1">IF(JJ$1="","",'Total Value'!JJ150/'Total Value'!JI150-1)</f>
        <v/>
      </c>
      <c r="JK54" s="14" t="str">
        <f ca="1">IF(JK$1="","",'Total Value'!JK150/'Total Value'!JJ150-1)</f>
        <v/>
      </c>
      <c r="JL54" s="14" t="str">
        <f ca="1">IF(JL$1="","",'Total Value'!JL150/'Total Value'!JK150-1)</f>
        <v/>
      </c>
      <c r="JM54" s="14" t="str">
        <f ca="1">IF(JM$1="","",'Total Value'!JM150/'Total Value'!JL150-1)</f>
        <v/>
      </c>
      <c r="JN54" s="14" t="str">
        <f ca="1">IF(JN$1="","",'Total Value'!JN150/'Total Value'!JM150-1)</f>
        <v/>
      </c>
      <c r="JO54" s="14" t="str">
        <f ca="1">IF(JO$1="","",'Total Value'!JO150/'Total Value'!JN150-1)</f>
        <v/>
      </c>
      <c r="JP54" s="14" t="str">
        <f ca="1">IF(JP$1="","",'Total Value'!JP150/'Total Value'!JO150-1)</f>
        <v/>
      </c>
      <c r="JQ54" s="14" t="str">
        <f ca="1">IF(JQ$1="","",'Total Value'!JQ150/'Total Value'!JP150-1)</f>
        <v/>
      </c>
      <c r="JR54" s="14" t="str">
        <f ca="1">IF(JR$1="","",'Total Value'!JR150/'Total Value'!JQ150-1)</f>
        <v/>
      </c>
      <c r="JS54" s="14" t="str">
        <f ca="1">IF(JS$1="","",'Total Value'!JS150/'Total Value'!JR150-1)</f>
        <v/>
      </c>
      <c r="JT54" s="14" t="str">
        <f ca="1">IF(JT$1="","",'Total Value'!JT150/'Total Value'!JS150-1)</f>
        <v/>
      </c>
      <c r="JU54" s="14" t="str">
        <f ca="1">IF(JU$1="","",'Total Value'!JU150/'Total Value'!JT150-1)</f>
        <v/>
      </c>
      <c r="JV54" s="14" t="str">
        <f ca="1">IF(JV$1="","",'Total Value'!JV150/'Total Value'!JU150-1)</f>
        <v/>
      </c>
      <c r="JW54" s="14" t="str">
        <f ca="1">IF(JW$1="","",'Total Value'!JW150/'Total Value'!JV150-1)</f>
        <v/>
      </c>
      <c r="JX54" s="14" t="str">
        <f ca="1">IF(JX$1="","",'Total Value'!JX150/'Total Value'!JW150-1)</f>
        <v/>
      </c>
      <c r="JY54" s="14" t="str">
        <f ca="1">IF(JY$1="","",'Total Value'!JY150/'Total Value'!JX150-1)</f>
        <v/>
      </c>
      <c r="JZ54" s="14" t="str">
        <f ca="1">IF(JZ$1="","",'Total Value'!JZ150/'Total Value'!JY150-1)</f>
        <v/>
      </c>
      <c r="KA54" s="14" t="str">
        <f ca="1">IF(KA$1="","",'Total Value'!KA150/'Total Value'!JZ150-1)</f>
        <v/>
      </c>
      <c r="KB54" s="14" t="str">
        <f ca="1">IF(KB$1="","",'Total Value'!KB150/'Total Value'!KA150-1)</f>
        <v/>
      </c>
    </row>
    <row r="55" spans="1:288" ht="15.75" customHeight="1">
      <c r="A55" s="2" t="s">
        <v>193</v>
      </c>
      <c r="D55" s="13">
        <v>0</v>
      </c>
      <c r="E55" s="14">
        <f ca="1">IF(E$1="","",'Total Value'!E151/'Total Value'!D151-1)</f>
        <v>9.1600307475552256E-3</v>
      </c>
      <c r="F55" s="14">
        <f ca="1">IF(F$1="","",'Total Value'!F151/'Total Value'!E151-1)</f>
        <v>2.8176963210817529E-3</v>
      </c>
      <c r="G55" s="14">
        <f ca="1">IF(G$1="","",'Total Value'!G151/'Total Value'!F151-1)</f>
        <v>-1.4243549462058636E-2</v>
      </c>
      <c r="H55" s="14">
        <f ca="1">IF(H$1="","",'Total Value'!H151/'Total Value'!G151-1)</f>
        <v>8.1991315788920716E-4</v>
      </c>
      <c r="I55" s="14">
        <f ca="1">IF(I$1="","",'Total Value'!I151/'Total Value'!H151-1)</f>
        <v>-1.8387895814791499E-2</v>
      </c>
      <c r="J55" s="14">
        <f ca="1">IF(J$1="","",'Total Value'!J151/'Total Value'!I151-1)</f>
        <v>-9.6895202431227512E-3</v>
      </c>
      <c r="K55" s="14">
        <f ca="1">IF(K$1="","",'Total Value'!K151/'Total Value'!J151-1)</f>
        <v>-1.103742532143781E-2</v>
      </c>
      <c r="L55" s="14">
        <f ca="1">IF(L$1="","",'Total Value'!L151/'Total Value'!K151-1)</f>
        <v>-1.8914813071498782E-2</v>
      </c>
      <c r="M55" s="14">
        <f ca="1">IF(M$1="","",'Total Value'!M151/'Total Value'!L151-1)</f>
        <v>2.7717522294530283E-3</v>
      </c>
      <c r="N55" s="14">
        <f ca="1">IF(N$1="","",'Total Value'!N151/'Total Value'!M151-1)</f>
        <v>-1.2171976789799865E-2</v>
      </c>
      <c r="O55" s="14">
        <f ca="1">IF(O$1="","",'Total Value'!O151/'Total Value'!N151-1)</f>
        <v>-1.4966314315554285E-3</v>
      </c>
      <c r="P55" s="14">
        <f ca="1">IF(P$1="","",'Total Value'!P151/'Total Value'!O151-1)</f>
        <v>-5.3839946849719711E-3</v>
      </c>
      <c r="Q55" s="14">
        <f ca="1">IF(Q$1="","",'Total Value'!Q151/'Total Value'!P151-1)</f>
        <v>2.4347568825681787E-2</v>
      </c>
      <c r="R55" s="14">
        <f ca="1">IF(R$1="","",'Total Value'!R151/'Total Value'!Q151-1)</f>
        <v>1.8886018254227865E-2</v>
      </c>
      <c r="S55" s="14">
        <f ca="1">IF(S$1="","",'Total Value'!S151/'Total Value'!R151-1)</f>
        <v>6.8629513569775646E-3</v>
      </c>
      <c r="T55" s="14">
        <f ca="1">IF(T$1="","",'Total Value'!T151/'Total Value'!S151-1)</f>
        <v>9.4225498950850639E-3</v>
      </c>
      <c r="U55" s="14">
        <f ca="1">IF(U$1="","",'Total Value'!U151/'Total Value'!T151-1)</f>
        <v>-2.4391094221877574E-2</v>
      </c>
      <c r="V55" s="14">
        <f ca="1">IF(V$1="","",'Total Value'!V151/'Total Value'!U151-1)</f>
        <v>5.156964694110977E-3</v>
      </c>
      <c r="W55" s="14">
        <f ca="1">IF(W$1="","",'Total Value'!W151/'Total Value'!V151-1)</f>
        <v>-3.701786234065696E-3</v>
      </c>
      <c r="X55" s="14">
        <f ca="1">IF(X$1="","",'Total Value'!X151/'Total Value'!W151-1)</f>
        <v>8.4012248347966612E-3</v>
      </c>
      <c r="Y55" s="14">
        <f ca="1">IF(Y$1="","",'Total Value'!Y151/'Total Value'!X151-1)</f>
        <v>1.4517177775713597E-2</v>
      </c>
      <c r="Z55" s="14">
        <f ca="1">IF(Z$1="","",'Total Value'!Z151/'Total Value'!Y151-1)</f>
        <v>-1.8115705073705524E-2</v>
      </c>
      <c r="AA55" s="14">
        <f ca="1">IF(AA$1="","",'Total Value'!AA151/'Total Value'!Z151-1)</f>
        <v>-1.89694676826343E-2</v>
      </c>
      <c r="AB55" s="14">
        <f ca="1">IF(AB$1="","",'Total Value'!AB151/'Total Value'!AA151-1)</f>
        <v>-3.8405482229827426E-3</v>
      </c>
      <c r="AC55" s="14">
        <f ca="1">IF(AC$1="","",'Total Value'!AC151/'Total Value'!AB151-1)</f>
        <v>1.5766743077059386E-2</v>
      </c>
      <c r="AD55" s="14">
        <f ca="1">IF(AD$1="","",'Total Value'!AD151/'Total Value'!AC151-1)</f>
        <v>8.8122082633468324E-4</v>
      </c>
      <c r="AE55" s="14">
        <f ca="1">IF(AE$1="","",'Total Value'!AE151/'Total Value'!AD151-1)</f>
        <v>-2.1173137043269175E-2</v>
      </c>
      <c r="AF55" s="14">
        <f ca="1">IF(AF$1="","",'Total Value'!AF151/'Total Value'!AE151-1)</f>
        <v>-7.1662412733491943E-3</v>
      </c>
      <c r="AG55" s="14">
        <f ca="1">IF(AG$1="","",'Total Value'!AG151/'Total Value'!AF151-1)</f>
        <v>-1.0142864698185927E-2</v>
      </c>
      <c r="AH55" s="14">
        <f ca="1">IF(AH$1="","",'Total Value'!AH151/'Total Value'!AG151-1)</f>
        <v>-1.8412176288573612E-2</v>
      </c>
      <c r="AI55" s="14">
        <f ca="1">IF(AI$1="","",'Total Value'!AI151/'Total Value'!AH151-1)</f>
        <v>1.4956809844988816E-2</v>
      </c>
      <c r="AJ55" s="14">
        <f ca="1">IF(AJ$1="","",'Total Value'!AJ151/'Total Value'!AI151-1)</f>
        <v>2.2372746986266234E-2</v>
      </c>
      <c r="AK55" s="14">
        <f ca="1">IF(AK$1="","",'Total Value'!AK151/'Total Value'!AJ151-1)</f>
        <v>-2.4426122951660689E-3</v>
      </c>
      <c r="AL55" s="14">
        <f ca="1">IF(AL$1="","",'Total Value'!AL151/'Total Value'!AK151-1)</f>
        <v>-1.5473463284818578E-2</v>
      </c>
      <c r="AM55" s="14">
        <f ca="1">IF(AM$1="","",'Total Value'!AM151/'Total Value'!AL151-1)</f>
        <v>1.8642627244987553E-2</v>
      </c>
      <c r="AN55" s="14">
        <f ca="1">IF(AN$1="","",'Total Value'!AN151/'Total Value'!AM151-1)</f>
        <v>-5.2547110022934662E-3</v>
      </c>
      <c r="AO55" s="14">
        <f ca="1">IF(AO$1="","",'Total Value'!AO151/'Total Value'!AN151-1)</f>
        <v>-7.93401612012401E-3</v>
      </c>
      <c r="AP55" s="14">
        <f ca="1">IF(AP$1="","",'Total Value'!AP151/'Total Value'!AO151-1)</f>
        <v>-2.9518095946517109E-2</v>
      </c>
      <c r="AQ55" s="14">
        <f ca="1">IF(AQ$1="","",'Total Value'!AQ151/'Total Value'!AP151-1)</f>
        <v>-7.2338369327961116E-3</v>
      </c>
      <c r="AR55" s="14">
        <f ca="1">IF(AR$1="","",'Total Value'!AR151/'Total Value'!AQ151-1)</f>
        <v>2.5698324022346508E-2</v>
      </c>
      <c r="AS55" s="14">
        <f ca="1">IF(AS$1="","",'Total Value'!AS151/'Total Value'!AR151-1)</f>
        <v>-4.2918454935622075E-3</v>
      </c>
      <c r="AT55" s="14">
        <f ca="1">IF(AT$1="","",'Total Value'!AT151/'Total Value'!AS151-1)</f>
        <v>-1.2961554353542182E-2</v>
      </c>
      <c r="AU55" s="14">
        <f ca="1">IF(AU$1="","",'Total Value'!AU151/'Total Value'!AT151-1)</f>
        <v>-7.4209561140831104E-3</v>
      </c>
      <c r="AV55" s="14">
        <f ca="1">IF(AV$1="","",'Total Value'!AV151/'Total Value'!AU151-1)</f>
        <v>2.1408493905025416E-2</v>
      </c>
      <c r="AW55" s="14">
        <f ca="1">IF(AW$1="","",'Total Value'!AW151/'Total Value'!AV151-1)</f>
        <v>2.2383840279651235E-2</v>
      </c>
      <c r="AX55" s="14">
        <f ca="1">IF(AX$1="","",'Total Value'!AX151/'Total Value'!AW151-1)</f>
        <v>1.2347803738532281E-2</v>
      </c>
      <c r="AY55" s="14">
        <f ca="1">IF(AY$1="","",'Total Value'!AY151/'Total Value'!AX151-1)</f>
        <v>1.1662250349640857E-2</v>
      </c>
      <c r="AZ55" s="14">
        <f ca="1">IF(AZ$1="","",'Total Value'!AZ151/'Total Value'!AY151-1)</f>
        <v>-4.3467350194470455E-4</v>
      </c>
      <c r="BA55" s="14">
        <f ca="1">IF(BA$1="","",'Total Value'!BA151/'Total Value'!AZ151-1)</f>
        <v>1.1304184094790948E-2</v>
      </c>
      <c r="BB55" s="14">
        <f ca="1">IF(BB$1="","",'Total Value'!BB151/'Total Value'!BA151-1)</f>
        <v>-1.2272780670315009E-2</v>
      </c>
      <c r="BC55" s="14">
        <f ca="1">IF(BC$1="","",'Total Value'!BC151/'Total Value'!BB151-1)</f>
        <v>1.4343931206577842E-2</v>
      </c>
      <c r="BD55" s="14">
        <f ca="1">IF(BD$1="","",'Total Value'!BD151/'Total Value'!BC151-1)</f>
        <v>5.0661923471737591E-3</v>
      </c>
      <c r="BE55" s="14">
        <f ca="1">IF(BE$1="","",'Total Value'!BE151/'Total Value'!BD151-1)</f>
        <v>7.1449639670178033E-3</v>
      </c>
      <c r="BF55" s="14">
        <f ca="1">IF(BF$1="","",'Total Value'!BF151/'Total Value'!BE151-1)</f>
        <v>1.2256530405287291E-2</v>
      </c>
      <c r="BG55" s="14">
        <f ca="1">IF(BG$1="","",'Total Value'!BG151/'Total Value'!BF151-1)</f>
        <v>-6.2937213921756552E-3</v>
      </c>
      <c r="BH55" s="14">
        <f ca="1">IF(BH$1="","",'Total Value'!BH151/'Total Value'!BG151-1)</f>
        <v>-1.5652532890091164E-2</v>
      </c>
      <c r="BI55" s="14">
        <f ca="1">IF(BI$1="","",'Total Value'!BI151/'Total Value'!BH151-1)</f>
        <v>3.4102873691344016E-3</v>
      </c>
      <c r="BJ55" s="14">
        <f ca="1">IF(BJ$1="","",'Total Value'!BJ151/'Total Value'!BI151-1)</f>
        <v>8.0908782936564005E-3</v>
      </c>
      <c r="BK55" s="14">
        <f ca="1">IF(BK$1="","",'Total Value'!BK151/'Total Value'!BJ151-1)</f>
        <v>-1.2551716914267819E-2</v>
      </c>
      <c r="BL55" s="14">
        <f ca="1">IF(BL$1="","",'Total Value'!BL151/'Total Value'!BK151-1)</f>
        <v>-9.7168693868892042E-3</v>
      </c>
      <c r="BM55" s="14">
        <f ca="1">IF(BM$1="","",'Total Value'!BM151/'Total Value'!BL151-1)</f>
        <v>4.2533724601945266E-3</v>
      </c>
      <c r="BN55" s="14">
        <f ca="1">IF(BN$1="","",'Total Value'!BN151/'Total Value'!BM151-1)</f>
        <v>-2.6509873983658894E-3</v>
      </c>
      <c r="BO55" s="14">
        <f ca="1">IF(BO$1="","",'Total Value'!BO151/'Total Value'!BN151-1)</f>
        <v>-1.6877289295676778E-2</v>
      </c>
      <c r="BP55" s="14">
        <f ca="1">IF(BP$1="","",'Total Value'!BP151/'Total Value'!BO151-1)</f>
        <v>-3.4175405039739148E-3</v>
      </c>
      <c r="BQ55" s="14">
        <f ca="1">IF(BQ$1="","",'Total Value'!BQ151/'Total Value'!BP151-1)</f>
        <v>1.1174658040455254E-2</v>
      </c>
      <c r="BR55" s="14">
        <f ca="1">IF(BR$1="","",'Total Value'!BR151/'Total Value'!BQ151-1)</f>
        <v>-1.2144137417661627E-2</v>
      </c>
      <c r="BS55" s="14">
        <f ca="1">IF(BS$1="","",'Total Value'!BS151/'Total Value'!BR151-1)</f>
        <v>-2.0489050878880199E-4</v>
      </c>
      <c r="BT55" s="14">
        <f ca="1">IF(BT$1="","",'Total Value'!BT151/'Total Value'!BS151-1)</f>
        <v>1.6057599693967584E-2</v>
      </c>
      <c r="BU55" s="14">
        <f ca="1">IF(BU$1="","",'Total Value'!BU151/'Total Value'!BT151-1)</f>
        <v>-6.1852759058855789E-4</v>
      </c>
      <c r="BV55" s="14">
        <f ca="1">IF(BV$1="","",'Total Value'!BV151/'Total Value'!BU151-1)</f>
        <v>-1.475294038502506E-2</v>
      </c>
      <c r="BW55" s="14">
        <f ca="1">IF(BW$1="","",'Total Value'!BW151/'Total Value'!BV151-1)</f>
        <v>-2.773997077607282E-2</v>
      </c>
      <c r="BX55" s="14">
        <f ca="1">IF(BX$1="","",'Total Value'!BX151/'Total Value'!BW151-1)</f>
        <v>5.6978589721381478E-3</v>
      </c>
      <c r="BY55" s="14">
        <f ca="1">IF(BY$1="","",'Total Value'!BY151/'Total Value'!BX151-1)</f>
        <v>-2.8146327383778869E-2</v>
      </c>
      <c r="BZ55" s="14">
        <f ca="1">IF(BZ$1="","",'Total Value'!BZ151/'Total Value'!BY151-1)</f>
        <v>2.0981030848821192E-3</v>
      </c>
      <c r="CA55" s="14">
        <f ca="1">IF(CA$1="","",'Total Value'!CA151/'Total Value'!BZ151-1)</f>
        <v>2.474689050564538E-2</v>
      </c>
      <c r="CB55" s="14">
        <f ca="1">IF(CB$1="","",'Total Value'!CB151/'Total Value'!CA151-1)</f>
        <v>-3.6284548104956182E-2</v>
      </c>
      <c r="CC55" s="14">
        <f ca="1">IF(CC$1="","",'Total Value'!CC151/'Total Value'!CB151-1)</f>
        <v>5.6753139573999523E-3</v>
      </c>
      <c r="CD55" s="14">
        <f ca="1">IF(CD$1="","",'Total Value'!CD151/'Total Value'!CC151-1)</f>
        <v>4.8371027439124692E-3</v>
      </c>
      <c r="CE55" s="14">
        <f ca="1">IF(CE$1="","",'Total Value'!CE151/'Total Value'!CD151-1)</f>
        <v>2.9862434977535601E-2</v>
      </c>
      <c r="CF55" s="14" t="str">
        <f ca="1">IF(CF$1="","",'Total Value'!CF151/'Total Value'!CE151-1)</f>
        <v/>
      </c>
      <c r="CG55" s="14" t="str">
        <f ca="1">IF(CG$1="","",'Total Value'!CG151/'Total Value'!CF151-1)</f>
        <v/>
      </c>
      <c r="CH55" s="14" t="str">
        <f ca="1">IF(CH$1="","",'Total Value'!CH151/'Total Value'!CG151-1)</f>
        <v/>
      </c>
      <c r="CI55" s="14" t="str">
        <f ca="1">IF(CI$1="","",'Total Value'!CI151/'Total Value'!CH151-1)</f>
        <v/>
      </c>
      <c r="CJ55" s="14" t="str">
        <f ca="1">IF(CJ$1="","",'Total Value'!CJ151/'Total Value'!CI151-1)</f>
        <v/>
      </c>
      <c r="CK55" s="14" t="str">
        <f ca="1">IF(CK$1="","",'Total Value'!CK151/'Total Value'!CJ151-1)</f>
        <v/>
      </c>
      <c r="CL55" s="14" t="str">
        <f ca="1">IF(CL$1="","",'Total Value'!CL151/'Total Value'!CK151-1)</f>
        <v/>
      </c>
      <c r="CM55" s="14" t="str">
        <f ca="1">IF(CM$1="","",'Total Value'!CM151/'Total Value'!CL151-1)</f>
        <v/>
      </c>
      <c r="CN55" s="14" t="str">
        <f ca="1">IF(CN$1="","",'Total Value'!CN151/'Total Value'!CM151-1)</f>
        <v/>
      </c>
      <c r="CO55" s="14" t="str">
        <f ca="1">IF(CO$1="","",'Total Value'!CO151/'Total Value'!CN151-1)</f>
        <v/>
      </c>
      <c r="CP55" s="14" t="str">
        <f ca="1">IF(CP$1="","",'Total Value'!CP151/'Total Value'!CO151-1)</f>
        <v/>
      </c>
      <c r="CQ55" s="14" t="str">
        <f ca="1">IF(CQ$1="","",'Total Value'!CQ151/'Total Value'!CP151-1)</f>
        <v/>
      </c>
      <c r="CR55" s="14" t="str">
        <f ca="1">IF(CR$1="","",'Total Value'!CR151/'Total Value'!CQ151-1)</f>
        <v/>
      </c>
      <c r="CS55" s="14" t="str">
        <f ca="1">IF(CS$1="","",'Total Value'!CS151/'Total Value'!CR151-1)</f>
        <v/>
      </c>
      <c r="CT55" s="14" t="str">
        <f ca="1">IF(CT$1="","",'Total Value'!CT151/'Total Value'!CS151-1)</f>
        <v/>
      </c>
      <c r="CU55" s="14" t="str">
        <f ca="1">IF(CU$1="","",'Total Value'!CU151/'Total Value'!CT151-1)</f>
        <v/>
      </c>
      <c r="CV55" s="14" t="str">
        <f ca="1">IF(CV$1="","",'Total Value'!CV151/'Total Value'!CU151-1)</f>
        <v/>
      </c>
      <c r="CW55" s="14" t="str">
        <f ca="1">IF(CW$1="","",'Total Value'!CW151/'Total Value'!CV151-1)</f>
        <v/>
      </c>
      <c r="CX55" s="14" t="str">
        <f ca="1">IF(CX$1="","",'Total Value'!CX151/'Total Value'!CW151-1)</f>
        <v/>
      </c>
      <c r="CY55" s="14" t="str">
        <f ca="1">IF(CY$1="","",'Total Value'!CY151/'Total Value'!CX151-1)</f>
        <v/>
      </c>
      <c r="CZ55" s="14" t="str">
        <f ca="1">IF(CZ$1="","",'Total Value'!CZ151/'Total Value'!CY151-1)</f>
        <v/>
      </c>
      <c r="DA55" s="14" t="str">
        <f ca="1">IF(DA$1="","",'Total Value'!DA151/'Total Value'!CZ151-1)</f>
        <v/>
      </c>
      <c r="DB55" s="14" t="str">
        <f ca="1">IF(DB$1="","",'Total Value'!DB151/'Total Value'!DA151-1)</f>
        <v/>
      </c>
      <c r="DC55" s="14" t="str">
        <f ca="1">IF(DC$1="","",'Total Value'!DC151/'Total Value'!DB151-1)</f>
        <v/>
      </c>
      <c r="DD55" s="14" t="str">
        <f ca="1">IF(DD$1="","",'Total Value'!DD151/'Total Value'!DC151-1)</f>
        <v/>
      </c>
      <c r="DE55" s="14" t="str">
        <f ca="1">IF(DE$1="","",'Total Value'!DE151/'Total Value'!DD151-1)</f>
        <v/>
      </c>
      <c r="DF55" s="14" t="str">
        <f ca="1">IF(DF$1="","",'Total Value'!DF151/'Total Value'!DE151-1)</f>
        <v/>
      </c>
      <c r="DG55" s="14" t="str">
        <f ca="1">IF(DG$1="","",'Total Value'!DG151/'Total Value'!DF151-1)</f>
        <v/>
      </c>
      <c r="DH55" s="14" t="str">
        <f ca="1">IF(DH$1="","",'Total Value'!DH151/'Total Value'!DG151-1)</f>
        <v/>
      </c>
      <c r="DI55" s="14" t="str">
        <f ca="1">IF(DI$1="","",'Total Value'!DI151/'Total Value'!DH151-1)</f>
        <v/>
      </c>
      <c r="DJ55" s="14" t="str">
        <f ca="1">IF(DJ$1="","",'Total Value'!DJ151/'Total Value'!DI151-1)</f>
        <v/>
      </c>
      <c r="DK55" s="14" t="str">
        <f ca="1">IF(DK$1="","",'Total Value'!DK151/'Total Value'!DJ151-1)</f>
        <v/>
      </c>
      <c r="DL55" s="14" t="str">
        <f ca="1">IF(DL$1="","",'Total Value'!DL151/'Total Value'!DK151-1)</f>
        <v/>
      </c>
      <c r="DM55" s="14" t="str">
        <f ca="1">IF(DM$1="","",'Total Value'!DM151/'Total Value'!DL151-1)</f>
        <v/>
      </c>
      <c r="DN55" s="14" t="str">
        <f ca="1">IF(DN$1="","",'Total Value'!DN151/'Total Value'!DM151-1)</f>
        <v/>
      </c>
      <c r="DO55" s="14" t="str">
        <f ca="1">IF(DO$1="","",'Total Value'!DO151/'Total Value'!DN151-1)</f>
        <v/>
      </c>
      <c r="DP55" s="14" t="str">
        <f ca="1">IF(DP$1="","",'Total Value'!DP151/'Total Value'!DO151-1)</f>
        <v/>
      </c>
      <c r="DQ55" s="14" t="str">
        <f ca="1">IF(DQ$1="","",'Total Value'!DQ151/'Total Value'!DP151-1)</f>
        <v/>
      </c>
      <c r="DR55" s="14" t="str">
        <f ca="1">IF(DR$1="","",'Total Value'!DR151/'Total Value'!DQ151-1)</f>
        <v/>
      </c>
      <c r="DS55" s="14" t="str">
        <f ca="1">IF(DS$1="","",'Total Value'!DS151/'Total Value'!DR151-1)</f>
        <v/>
      </c>
      <c r="DT55" s="14" t="str">
        <f ca="1">IF(DT$1="","",'Total Value'!DT151/'Total Value'!DS151-1)</f>
        <v/>
      </c>
      <c r="DU55" s="14" t="str">
        <f ca="1">IF(DU$1="","",'Total Value'!DU151/'Total Value'!DT151-1)</f>
        <v/>
      </c>
      <c r="DV55" s="14" t="str">
        <f ca="1">IF(DV$1="","",'Total Value'!DV151/'Total Value'!DU151-1)</f>
        <v/>
      </c>
      <c r="DW55" s="14" t="str">
        <f ca="1">IF(DW$1="","",'Total Value'!DW151/'Total Value'!DV151-1)</f>
        <v/>
      </c>
      <c r="DX55" s="14" t="str">
        <f ca="1">IF(DX$1="","",'Total Value'!DX151/'Total Value'!DW151-1)</f>
        <v/>
      </c>
      <c r="DY55" s="14" t="str">
        <f ca="1">IF(DY$1="","",'Total Value'!DY151/'Total Value'!DX151-1)</f>
        <v/>
      </c>
      <c r="DZ55" s="14" t="str">
        <f ca="1">IF(DZ$1="","",'Total Value'!DZ151/'Total Value'!DY151-1)</f>
        <v/>
      </c>
      <c r="EA55" s="14" t="str">
        <f ca="1">IF(EA$1="","",'Total Value'!EA151/'Total Value'!DZ151-1)</f>
        <v/>
      </c>
      <c r="EB55" s="14" t="str">
        <f ca="1">IF(EB$1="","",'Total Value'!EB151/'Total Value'!EA151-1)</f>
        <v/>
      </c>
      <c r="EC55" s="14" t="str">
        <f ca="1">IF(EC$1="","",'Total Value'!EC151/'Total Value'!EB151-1)</f>
        <v/>
      </c>
      <c r="ED55" s="14" t="str">
        <f ca="1">IF(ED$1="","",'Total Value'!ED151/'Total Value'!EC151-1)</f>
        <v/>
      </c>
      <c r="EE55" s="14" t="str">
        <f ca="1">IF(EE$1="","",'Total Value'!EE151/'Total Value'!ED151-1)</f>
        <v/>
      </c>
      <c r="EF55" s="14" t="str">
        <f ca="1">IF(EF$1="","",'Total Value'!EF151/'Total Value'!EE151-1)</f>
        <v/>
      </c>
      <c r="EG55" s="14" t="str">
        <f ca="1">IF(EG$1="","",'Total Value'!EG151/'Total Value'!EF151-1)</f>
        <v/>
      </c>
      <c r="EH55" s="14" t="str">
        <f ca="1">IF(EH$1="","",'Total Value'!EH151/'Total Value'!EG151-1)</f>
        <v/>
      </c>
      <c r="EI55" s="14" t="str">
        <f ca="1">IF(EI$1="","",'Total Value'!EI151/'Total Value'!EH151-1)</f>
        <v/>
      </c>
      <c r="EJ55" s="14" t="str">
        <f ca="1">IF(EJ$1="","",'Total Value'!EJ151/'Total Value'!EI151-1)</f>
        <v/>
      </c>
      <c r="EK55" s="14" t="str">
        <f ca="1">IF(EK$1="","",'Total Value'!EK151/'Total Value'!EJ151-1)</f>
        <v/>
      </c>
      <c r="EL55" s="14" t="str">
        <f ca="1">IF(EL$1="","",'Total Value'!EL151/'Total Value'!EK151-1)</f>
        <v/>
      </c>
      <c r="EM55" s="14" t="str">
        <f ca="1">IF(EM$1="","",'Total Value'!EM151/'Total Value'!EL151-1)</f>
        <v/>
      </c>
      <c r="EN55" s="14" t="str">
        <f ca="1">IF(EN$1="","",'Total Value'!EN151/'Total Value'!EM151-1)</f>
        <v/>
      </c>
      <c r="EO55" s="14" t="str">
        <f ca="1">IF(EO$1="","",'Total Value'!EO151/'Total Value'!EN151-1)</f>
        <v/>
      </c>
      <c r="EP55" s="14" t="str">
        <f ca="1">IF(EP$1="","",'Total Value'!EP151/'Total Value'!EO151-1)</f>
        <v/>
      </c>
      <c r="EQ55" s="14" t="str">
        <f ca="1">IF(EQ$1="","",'Total Value'!EQ151/'Total Value'!EP151-1)</f>
        <v/>
      </c>
      <c r="ER55" s="14" t="str">
        <f ca="1">IF(ER$1="","",'Total Value'!ER151/'Total Value'!EQ151-1)</f>
        <v/>
      </c>
      <c r="ES55" s="14" t="str">
        <f ca="1">IF(ES$1="","",'Total Value'!ES151/'Total Value'!ER151-1)</f>
        <v/>
      </c>
      <c r="ET55" s="14" t="str">
        <f ca="1">IF(ET$1="","",'Total Value'!ET151/'Total Value'!ES151-1)</f>
        <v/>
      </c>
      <c r="EU55" s="14" t="str">
        <f ca="1">IF(EU$1="","",'Total Value'!EU151/'Total Value'!ET151-1)</f>
        <v/>
      </c>
      <c r="EV55" s="14" t="str">
        <f ca="1">IF(EV$1="","",'Total Value'!EV151/'Total Value'!EU151-1)</f>
        <v/>
      </c>
      <c r="EW55" s="14" t="str">
        <f ca="1">IF(EW$1="","",'Total Value'!EW151/'Total Value'!EV151-1)</f>
        <v/>
      </c>
      <c r="EX55" s="14" t="str">
        <f ca="1">IF(EX$1="","",'Total Value'!EX151/'Total Value'!EW151-1)</f>
        <v/>
      </c>
      <c r="EY55" s="14" t="str">
        <f ca="1">IF(EY$1="","",'Total Value'!EY151/'Total Value'!EX151-1)</f>
        <v/>
      </c>
      <c r="EZ55" s="14" t="str">
        <f ca="1">IF(EZ$1="","",'Total Value'!EZ151/'Total Value'!EY151-1)</f>
        <v/>
      </c>
      <c r="FA55" s="14" t="str">
        <f ca="1">IF(FA$1="","",'Total Value'!FA151/'Total Value'!EZ151-1)</f>
        <v/>
      </c>
      <c r="FB55" s="14" t="str">
        <f ca="1">IF(FB$1="","",'Total Value'!FB151/'Total Value'!FA151-1)</f>
        <v/>
      </c>
      <c r="FC55" s="14" t="str">
        <f ca="1">IF(FC$1="","",'Total Value'!FC151/'Total Value'!FB151-1)</f>
        <v/>
      </c>
      <c r="FD55" s="14" t="str">
        <f ca="1">IF(FD$1="","",'Total Value'!FD151/'Total Value'!FC151-1)</f>
        <v/>
      </c>
      <c r="FE55" s="14" t="str">
        <f ca="1">IF(FE$1="","",'Total Value'!FE151/'Total Value'!FD151-1)</f>
        <v/>
      </c>
      <c r="FF55" s="14" t="str">
        <f ca="1">IF(FF$1="","",'Total Value'!FF151/'Total Value'!FE151-1)</f>
        <v/>
      </c>
      <c r="FG55" s="14" t="str">
        <f ca="1">IF(FG$1="","",'Total Value'!FG151/'Total Value'!FF151-1)</f>
        <v/>
      </c>
      <c r="FH55" s="14" t="str">
        <f ca="1">IF(FH$1="","",'Total Value'!FH151/'Total Value'!FG151-1)</f>
        <v/>
      </c>
      <c r="FI55" s="14" t="str">
        <f ca="1">IF(FI$1="","",'Total Value'!FI151/'Total Value'!FH151-1)</f>
        <v/>
      </c>
      <c r="FJ55" s="14" t="str">
        <f ca="1">IF(FJ$1="","",'Total Value'!FJ151/'Total Value'!FI151-1)</f>
        <v/>
      </c>
      <c r="FK55" s="14" t="str">
        <f ca="1">IF(FK$1="","",'Total Value'!FK151/'Total Value'!FJ151-1)</f>
        <v/>
      </c>
      <c r="FL55" s="14" t="str">
        <f ca="1">IF(FL$1="","",'Total Value'!FL151/'Total Value'!FK151-1)</f>
        <v/>
      </c>
      <c r="FM55" s="14" t="str">
        <f ca="1">IF(FM$1="","",'Total Value'!FM151/'Total Value'!FL151-1)</f>
        <v/>
      </c>
      <c r="FN55" s="14" t="str">
        <f ca="1">IF(FN$1="","",'Total Value'!FN151/'Total Value'!FM151-1)</f>
        <v/>
      </c>
      <c r="FO55" s="14" t="str">
        <f ca="1">IF(FO$1="","",'Total Value'!FO151/'Total Value'!FN151-1)</f>
        <v/>
      </c>
      <c r="FP55" s="14" t="str">
        <f ca="1">IF(FP$1="","",'Total Value'!FP151/'Total Value'!FO151-1)</f>
        <v/>
      </c>
      <c r="FQ55" s="14" t="str">
        <f ca="1">IF(FQ$1="","",'Total Value'!FQ151/'Total Value'!FP151-1)</f>
        <v/>
      </c>
      <c r="FR55" s="14" t="str">
        <f ca="1">IF(FR$1="","",'Total Value'!FR151/'Total Value'!FQ151-1)</f>
        <v/>
      </c>
      <c r="FS55" s="14" t="str">
        <f ca="1">IF(FS$1="","",'Total Value'!FS151/'Total Value'!FR151-1)</f>
        <v/>
      </c>
      <c r="FT55" s="14" t="str">
        <f ca="1">IF(FT$1="","",'Total Value'!FT151/'Total Value'!FS151-1)</f>
        <v/>
      </c>
      <c r="FU55" s="14" t="str">
        <f ca="1">IF(FU$1="","",'Total Value'!FU151/'Total Value'!FT151-1)</f>
        <v/>
      </c>
      <c r="FV55" s="14" t="str">
        <f ca="1">IF(FV$1="","",'Total Value'!FV151/'Total Value'!FU151-1)</f>
        <v/>
      </c>
      <c r="FW55" s="14" t="str">
        <f ca="1">IF(FW$1="","",'Total Value'!FW151/'Total Value'!FV151-1)</f>
        <v/>
      </c>
      <c r="FX55" s="14" t="str">
        <f ca="1">IF(FX$1="","",'Total Value'!FX151/'Total Value'!FW151-1)</f>
        <v/>
      </c>
      <c r="FY55" s="14" t="str">
        <f ca="1">IF(FY$1="","",'Total Value'!FY151/'Total Value'!FX151-1)</f>
        <v/>
      </c>
      <c r="FZ55" s="14" t="str">
        <f ca="1">IF(FZ$1="","",'Total Value'!FZ151/'Total Value'!FY151-1)</f>
        <v/>
      </c>
      <c r="GA55" s="14" t="str">
        <f ca="1">IF(GA$1="","",'Total Value'!GA151/'Total Value'!FZ151-1)</f>
        <v/>
      </c>
      <c r="GB55" s="14" t="str">
        <f ca="1">IF(GB$1="","",'Total Value'!GB151/'Total Value'!GA151-1)</f>
        <v/>
      </c>
      <c r="GC55" s="14" t="str">
        <f ca="1">IF(GC$1="","",'Total Value'!GC151/'Total Value'!GB151-1)</f>
        <v/>
      </c>
      <c r="GD55" s="14" t="str">
        <f ca="1">IF(GD$1="","",'Total Value'!GD151/'Total Value'!GC151-1)</f>
        <v/>
      </c>
      <c r="GE55" s="14" t="str">
        <f ca="1">IF(GE$1="","",'Total Value'!GE151/'Total Value'!GD151-1)</f>
        <v/>
      </c>
      <c r="GF55" s="14" t="str">
        <f ca="1">IF(GF$1="","",'Total Value'!GF151/'Total Value'!GE151-1)</f>
        <v/>
      </c>
      <c r="GG55" s="14" t="str">
        <f ca="1">IF(GG$1="","",'Total Value'!GG151/'Total Value'!GF151-1)</f>
        <v/>
      </c>
      <c r="GH55" s="14" t="str">
        <f ca="1">IF(GH$1="","",'Total Value'!GH151/'Total Value'!GG151-1)</f>
        <v/>
      </c>
      <c r="GI55" s="14" t="str">
        <f ca="1">IF(GI$1="","",'Total Value'!GI151/'Total Value'!GH151-1)</f>
        <v/>
      </c>
      <c r="GJ55" s="14" t="str">
        <f ca="1">IF(GJ$1="","",'Total Value'!GJ151/'Total Value'!GI151-1)</f>
        <v/>
      </c>
      <c r="GK55" s="14" t="str">
        <f ca="1">IF(GK$1="","",'Total Value'!GK151/'Total Value'!GJ151-1)</f>
        <v/>
      </c>
      <c r="GL55" s="14" t="str">
        <f ca="1">IF(GL$1="","",'Total Value'!GL151/'Total Value'!GK151-1)</f>
        <v/>
      </c>
      <c r="GM55" s="14" t="str">
        <f ca="1">IF(GM$1="","",'Total Value'!GM151/'Total Value'!GL151-1)</f>
        <v/>
      </c>
      <c r="GN55" s="14" t="str">
        <f ca="1">IF(GN$1="","",'Total Value'!GN151/'Total Value'!GM151-1)</f>
        <v/>
      </c>
      <c r="GO55" s="14" t="str">
        <f ca="1">IF(GO$1="","",'Total Value'!GO151/'Total Value'!GN151-1)</f>
        <v/>
      </c>
      <c r="GP55" s="14" t="str">
        <f ca="1">IF(GP$1="","",'Total Value'!GP151/'Total Value'!GO151-1)</f>
        <v/>
      </c>
      <c r="GQ55" s="14" t="str">
        <f ca="1">IF(GQ$1="","",'Total Value'!GQ151/'Total Value'!GP151-1)</f>
        <v/>
      </c>
      <c r="GR55" s="14" t="str">
        <f ca="1">IF(GR$1="","",'Total Value'!GR151/'Total Value'!GQ151-1)</f>
        <v/>
      </c>
      <c r="GS55" s="14" t="str">
        <f ca="1">IF(GS$1="","",'Total Value'!GS151/'Total Value'!GR151-1)</f>
        <v/>
      </c>
      <c r="GT55" s="14" t="str">
        <f ca="1">IF(GT$1="","",'Total Value'!GT151/'Total Value'!GS151-1)</f>
        <v/>
      </c>
      <c r="GU55" s="14" t="str">
        <f ca="1">IF(GU$1="","",'Total Value'!GU151/'Total Value'!GT151-1)</f>
        <v/>
      </c>
      <c r="GV55" s="14" t="str">
        <f ca="1">IF(GV$1="","",'Total Value'!GV151/'Total Value'!GU151-1)</f>
        <v/>
      </c>
      <c r="GW55" s="14" t="str">
        <f ca="1">IF(GW$1="","",'Total Value'!GW151/'Total Value'!GV151-1)</f>
        <v/>
      </c>
      <c r="GX55" s="14" t="str">
        <f ca="1">IF(GX$1="","",'Total Value'!GX151/'Total Value'!GW151-1)</f>
        <v/>
      </c>
      <c r="GY55" s="14" t="str">
        <f ca="1">IF(GY$1="","",'Total Value'!GY151/'Total Value'!GX151-1)</f>
        <v/>
      </c>
      <c r="GZ55" s="14" t="str">
        <f ca="1">IF(GZ$1="","",'Total Value'!GZ151/'Total Value'!GY151-1)</f>
        <v/>
      </c>
      <c r="HA55" s="14" t="str">
        <f ca="1">IF(HA$1="","",'Total Value'!HA151/'Total Value'!GZ151-1)</f>
        <v/>
      </c>
      <c r="HB55" s="14" t="str">
        <f ca="1">IF(HB$1="","",'Total Value'!HB151/'Total Value'!HA151-1)</f>
        <v/>
      </c>
      <c r="HC55" s="14" t="str">
        <f ca="1">IF(HC$1="","",'Total Value'!HC151/'Total Value'!HB151-1)</f>
        <v/>
      </c>
      <c r="HD55" s="14" t="str">
        <f ca="1">IF(HD$1="","",'Total Value'!HD151/'Total Value'!HC151-1)</f>
        <v/>
      </c>
      <c r="HE55" s="14" t="str">
        <f ca="1">IF(HE$1="","",'Total Value'!HE151/'Total Value'!HD151-1)</f>
        <v/>
      </c>
      <c r="HF55" s="14" t="str">
        <f ca="1">IF(HF$1="","",'Total Value'!HF151/'Total Value'!HE151-1)</f>
        <v/>
      </c>
      <c r="HG55" s="14" t="str">
        <f ca="1">IF(HG$1="","",'Total Value'!HG151/'Total Value'!HF151-1)</f>
        <v/>
      </c>
      <c r="HH55" s="14" t="str">
        <f ca="1">IF(HH$1="","",'Total Value'!HH151/'Total Value'!HG151-1)</f>
        <v/>
      </c>
      <c r="HI55" s="14" t="str">
        <f ca="1">IF(HI$1="","",'Total Value'!HI151/'Total Value'!HH151-1)</f>
        <v/>
      </c>
      <c r="HJ55" s="14" t="str">
        <f ca="1">IF(HJ$1="","",'Total Value'!HJ151/'Total Value'!HI151-1)</f>
        <v/>
      </c>
      <c r="HK55" s="14" t="str">
        <f ca="1">IF(HK$1="","",'Total Value'!HK151/'Total Value'!HJ151-1)</f>
        <v/>
      </c>
      <c r="HL55" s="14" t="str">
        <f ca="1">IF(HL$1="","",'Total Value'!HL151/'Total Value'!HK151-1)</f>
        <v/>
      </c>
      <c r="HM55" s="14" t="str">
        <f ca="1">IF(HM$1="","",'Total Value'!HM151/'Total Value'!HL151-1)</f>
        <v/>
      </c>
      <c r="HN55" s="14" t="str">
        <f ca="1">IF(HN$1="","",'Total Value'!HN151/'Total Value'!HM151-1)</f>
        <v/>
      </c>
      <c r="HO55" s="14" t="str">
        <f ca="1">IF(HO$1="","",'Total Value'!HO151/'Total Value'!HN151-1)</f>
        <v/>
      </c>
      <c r="HP55" s="14" t="str">
        <f ca="1">IF(HP$1="","",'Total Value'!HP151/'Total Value'!HO151-1)</f>
        <v/>
      </c>
      <c r="HQ55" s="14" t="str">
        <f ca="1">IF(HQ$1="","",'Total Value'!HQ151/'Total Value'!HP151-1)</f>
        <v/>
      </c>
      <c r="HR55" s="14" t="str">
        <f ca="1">IF(HR$1="","",'Total Value'!HR151/'Total Value'!HQ151-1)</f>
        <v/>
      </c>
      <c r="HS55" s="14" t="str">
        <f ca="1">IF(HS$1="","",'Total Value'!HS151/'Total Value'!HR151-1)</f>
        <v/>
      </c>
      <c r="HT55" s="14" t="str">
        <f ca="1">IF(HT$1="","",'Total Value'!HT151/'Total Value'!HS151-1)</f>
        <v/>
      </c>
      <c r="HU55" s="14" t="str">
        <f ca="1">IF(HU$1="","",'Total Value'!HU151/'Total Value'!HT151-1)</f>
        <v/>
      </c>
      <c r="HV55" s="14" t="str">
        <f ca="1">IF(HV$1="","",'Total Value'!HV151/'Total Value'!HU151-1)</f>
        <v/>
      </c>
      <c r="HW55" s="14" t="str">
        <f ca="1">IF(HW$1="","",'Total Value'!HW151/'Total Value'!HV151-1)</f>
        <v/>
      </c>
      <c r="HX55" s="14" t="str">
        <f ca="1">IF(HX$1="","",'Total Value'!HX151/'Total Value'!HW151-1)</f>
        <v/>
      </c>
      <c r="HY55" s="14" t="str">
        <f ca="1">IF(HY$1="","",'Total Value'!HY151/'Total Value'!HX151-1)</f>
        <v/>
      </c>
      <c r="HZ55" s="14" t="str">
        <f ca="1">IF(HZ$1="","",'Total Value'!HZ151/'Total Value'!HY151-1)</f>
        <v/>
      </c>
      <c r="IA55" s="14" t="str">
        <f ca="1">IF(IA$1="","",'Total Value'!IA151/'Total Value'!HZ151-1)</f>
        <v/>
      </c>
      <c r="IB55" s="14" t="str">
        <f ca="1">IF(IB$1="","",'Total Value'!IB151/'Total Value'!IA151-1)</f>
        <v/>
      </c>
      <c r="IC55" s="14" t="str">
        <f ca="1">IF(IC$1="","",'Total Value'!IC151/'Total Value'!IB151-1)</f>
        <v/>
      </c>
      <c r="ID55" s="14" t="str">
        <f ca="1">IF(ID$1="","",'Total Value'!ID151/'Total Value'!IC151-1)</f>
        <v/>
      </c>
      <c r="IE55" s="14" t="str">
        <f ca="1">IF(IE$1="","",'Total Value'!IE151/'Total Value'!ID151-1)</f>
        <v/>
      </c>
      <c r="IF55" s="14" t="str">
        <f ca="1">IF(IF$1="","",'Total Value'!IF151/'Total Value'!IE151-1)</f>
        <v/>
      </c>
      <c r="IG55" s="14" t="str">
        <f ca="1">IF(IG$1="","",'Total Value'!IG151/'Total Value'!IF151-1)</f>
        <v/>
      </c>
      <c r="IH55" s="14" t="str">
        <f ca="1">IF(IH$1="","",'Total Value'!IH151/'Total Value'!IG151-1)</f>
        <v/>
      </c>
      <c r="II55" s="14" t="str">
        <f ca="1">IF(II$1="","",'Total Value'!II151/'Total Value'!IH151-1)</f>
        <v/>
      </c>
      <c r="IJ55" s="14" t="str">
        <f ca="1">IF(IJ$1="","",'Total Value'!IJ151/'Total Value'!II151-1)</f>
        <v/>
      </c>
      <c r="IK55" s="14" t="str">
        <f ca="1">IF(IK$1="","",'Total Value'!IK151/'Total Value'!IJ151-1)</f>
        <v/>
      </c>
      <c r="IL55" s="14" t="str">
        <f ca="1">IF(IL$1="","",'Total Value'!IL151/'Total Value'!IK151-1)</f>
        <v/>
      </c>
      <c r="IM55" s="14" t="str">
        <f ca="1">IF(IM$1="","",'Total Value'!IM151/'Total Value'!IL151-1)</f>
        <v/>
      </c>
      <c r="IN55" s="14" t="str">
        <f ca="1">IF(IN$1="","",'Total Value'!IN151/'Total Value'!IM151-1)</f>
        <v/>
      </c>
      <c r="IO55" s="14" t="str">
        <f ca="1">IF(IO$1="","",'Total Value'!IO151/'Total Value'!IN151-1)</f>
        <v/>
      </c>
      <c r="IP55" s="14" t="str">
        <f ca="1">IF(IP$1="","",'Total Value'!IP151/'Total Value'!IO151-1)</f>
        <v/>
      </c>
      <c r="IQ55" s="14" t="str">
        <f ca="1">IF(IQ$1="","",'Total Value'!IQ151/'Total Value'!IP151-1)</f>
        <v/>
      </c>
      <c r="IR55" s="14" t="str">
        <f ca="1">IF(IR$1="","",'Total Value'!IR151/'Total Value'!IQ151-1)</f>
        <v/>
      </c>
      <c r="IS55" s="14" t="str">
        <f ca="1">IF(IS$1="","",'Total Value'!IS151/'Total Value'!IR151-1)</f>
        <v/>
      </c>
      <c r="IT55" s="14" t="str">
        <f ca="1">IF(IT$1="","",'Total Value'!IT151/'Total Value'!IS151-1)</f>
        <v/>
      </c>
      <c r="IU55" s="14" t="str">
        <f ca="1">IF(IU$1="","",'Total Value'!IU151/'Total Value'!IT151-1)</f>
        <v/>
      </c>
      <c r="IV55" s="14" t="str">
        <f ca="1">IF(IV$1="","",'Total Value'!IV151/'Total Value'!IU151-1)</f>
        <v/>
      </c>
      <c r="IW55" s="14" t="str">
        <f ca="1">IF(IW$1="","",'Total Value'!IW151/'Total Value'!IV151-1)</f>
        <v/>
      </c>
      <c r="IX55" s="14" t="str">
        <f ca="1">IF(IX$1="","",'Total Value'!IX151/'Total Value'!IW151-1)</f>
        <v/>
      </c>
      <c r="IY55" s="14" t="str">
        <f ca="1">IF(IY$1="","",'Total Value'!IY151/'Total Value'!IX151-1)</f>
        <v/>
      </c>
      <c r="IZ55" s="14" t="str">
        <f ca="1">IF(IZ$1="","",'Total Value'!IZ151/'Total Value'!IY151-1)</f>
        <v/>
      </c>
      <c r="JA55" s="14" t="str">
        <f ca="1">IF(JA$1="","",'Total Value'!JA151/'Total Value'!IZ151-1)</f>
        <v/>
      </c>
      <c r="JB55" s="14" t="str">
        <f ca="1">IF(JB$1="","",'Total Value'!JB151/'Total Value'!JA151-1)</f>
        <v/>
      </c>
      <c r="JC55" s="14" t="str">
        <f ca="1">IF(JC$1="","",'Total Value'!JC151/'Total Value'!JB151-1)</f>
        <v/>
      </c>
      <c r="JD55" s="14" t="str">
        <f ca="1">IF(JD$1="","",'Total Value'!JD151/'Total Value'!JC151-1)</f>
        <v/>
      </c>
      <c r="JE55" s="14" t="str">
        <f ca="1">IF(JE$1="","",'Total Value'!JE151/'Total Value'!JD151-1)</f>
        <v/>
      </c>
      <c r="JF55" s="14" t="str">
        <f ca="1">IF(JF$1="","",'Total Value'!JF151/'Total Value'!JE151-1)</f>
        <v/>
      </c>
      <c r="JG55" s="14" t="str">
        <f ca="1">IF(JG$1="","",'Total Value'!JG151/'Total Value'!JF151-1)</f>
        <v/>
      </c>
      <c r="JH55" s="14" t="str">
        <f ca="1">IF(JH$1="","",'Total Value'!JH151/'Total Value'!JG151-1)</f>
        <v/>
      </c>
      <c r="JI55" s="14" t="str">
        <f ca="1">IF(JI$1="","",'Total Value'!JI151/'Total Value'!JH151-1)</f>
        <v/>
      </c>
      <c r="JJ55" s="14" t="str">
        <f ca="1">IF(JJ$1="","",'Total Value'!JJ151/'Total Value'!JI151-1)</f>
        <v/>
      </c>
      <c r="JK55" s="14" t="str">
        <f ca="1">IF(JK$1="","",'Total Value'!JK151/'Total Value'!JJ151-1)</f>
        <v/>
      </c>
      <c r="JL55" s="14" t="str">
        <f ca="1">IF(JL$1="","",'Total Value'!JL151/'Total Value'!JK151-1)</f>
        <v/>
      </c>
      <c r="JM55" s="14" t="str">
        <f ca="1">IF(JM$1="","",'Total Value'!JM151/'Total Value'!JL151-1)</f>
        <v/>
      </c>
      <c r="JN55" s="14" t="str">
        <f ca="1">IF(JN$1="","",'Total Value'!JN151/'Total Value'!JM151-1)</f>
        <v/>
      </c>
      <c r="JO55" s="14" t="str">
        <f ca="1">IF(JO$1="","",'Total Value'!JO151/'Total Value'!JN151-1)</f>
        <v/>
      </c>
      <c r="JP55" s="14" t="str">
        <f ca="1">IF(JP$1="","",'Total Value'!JP151/'Total Value'!JO151-1)</f>
        <v/>
      </c>
      <c r="JQ55" s="14" t="str">
        <f ca="1">IF(JQ$1="","",'Total Value'!JQ151/'Total Value'!JP151-1)</f>
        <v/>
      </c>
      <c r="JR55" s="14" t="str">
        <f ca="1">IF(JR$1="","",'Total Value'!JR151/'Total Value'!JQ151-1)</f>
        <v/>
      </c>
      <c r="JS55" s="14" t="str">
        <f ca="1">IF(JS$1="","",'Total Value'!JS151/'Total Value'!JR151-1)</f>
        <v/>
      </c>
      <c r="JT55" s="14" t="str">
        <f ca="1">IF(JT$1="","",'Total Value'!JT151/'Total Value'!JS151-1)</f>
        <v/>
      </c>
      <c r="JU55" s="14" t="str">
        <f ca="1">IF(JU$1="","",'Total Value'!JU151/'Total Value'!JT151-1)</f>
        <v/>
      </c>
      <c r="JV55" s="14" t="str">
        <f ca="1">IF(JV$1="","",'Total Value'!JV151/'Total Value'!JU151-1)</f>
        <v/>
      </c>
      <c r="JW55" s="14" t="str">
        <f ca="1">IF(JW$1="","",'Total Value'!JW151/'Total Value'!JV151-1)</f>
        <v/>
      </c>
      <c r="JX55" s="14" t="str">
        <f ca="1">IF(JX$1="","",'Total Value'!JX151/'Total Value'!JW151-1)</f>
        <v/>
      </c>
      <c r="JY55" s="14" t="str">
        <f ca="1">IF(JY$1="","",'Total Value'!JY151/'Total Value'!JX151-1)</f>
        <v/>
      </c>
      <c r="JZ55" s="14" t="str">
        <f ca="1">IF(JZ$1="","",'Total Value'!JZ151/'Total Value'!JY151-1)</f>
        <v/>
      </c>
      <c r="KA55" s="14" t="str">
        <f ca="1">IF(KA$1="","",'Total Value'!KA151/'Total Value'!JZ151-1)</f>
        <v/>
      </c>
      <c r="KB55" s="14" t="str">
        <f ca="1">IF(KB$1="","",'Total Value'!KB151/'Total Value'!KA151-1)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53AB3-75EA-FF49-A169-EAFA7B29018D}">
  <dimension ref="A1"/>
  <sheetViews>
    <sheetView workbookViewId="0">
      <selection sqref="A1:CC4"/>
    </sheetView>
  </sheetViews>
  <sheetFormatPr baseColWidth="10" defaultRowHeight="13"/>
  <cols>
    <col min="1" max="1" width="16.33203125" bestFit="1" customWidth="1"/>
  </cols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E5A07-3F80-8940-BA44-68B2253FC471}">
  <dimension ref="A1:D81"/>
  <sheetViews>
    <sheetView tabSelected="1" workbookViewId="0"/>
  </sheetViews>
  <sheetFormatPr baseColWidth="10" defaultRowHeight="13"/>
  <sheetData>
    <row r="1" spans="1:4">
      <c r="A1" s="22" t="s">
        <v>201</v>
      </c>
      <c r="B1" s="22" t="s">
        <v>30</v>
      </c>
      <c r="C1" s="32" t="s">
        <v>192</v>
      </c>
      <c r="D1" s="32" t="s">
        <v>193</v>
      </c>
    </row>
    <row r="2" spans="1:4">
      <c r="A2" s="38">
        <v>44571</v>
      </c>
      <c r="B2" s="13">
        <v>0</v>
      </c>
      <c r="C2" s="13">
        <v>0</v>
      </c>
      <c r="D2" s="13">
        <v>0</v>
      </c>
    </row>
    <row r="3" spans="1:4">
      <c r="A3" s="38">
        <v>44572.666666666599</v>
      </c>
      <c r="B3" s="14">
        <v>1.2627299077323517E-2</v>
      </c>
      <c r="C3" s="14">
        <v>2.6115912747409098E-2</v>
      </c>
      <c r="D3" s="14">
        <v>9.1600307475552256E-3</v>
      </c>
    </row>
    <row r="4" spans="1:4">
      <c r="A4" s="38">
        <v>44573.666666666599</v>
      </c>
      <c r="B4" s="14">
        <v>-3.750090301503417E-3</v>
      </c>
      <c r="C4" s="14">
        <v>-8.1768459434822249E-3</v>
      </c>
      <c r="D4" s="14">
        <v>2.8176963210817529E-3</v>
      </c>
    </row>
    <row r="5" spans="1:4">
      <c r="A5" s="38">
        <v>44574.666666666599</v>
      </c>
      <c r="B5" s="14">
        <v>-2.1364620914592236E-2</v>
      </c>
      <c r="C5" s="14">
        <v>-7.6376570498974949E-3</v>
      </c>
      <c r="D5" s="14">
        <v>-1.4243549462058636E-2</v>
      </c>
    </row>
    <row r="6" spans="1:4">
      <c r="A6" s="38">
        <v>44575.666666666599</v>
      </c>
      <c r="B6" s="14">
        <v>1.6093032628234916E-3</v>
      </c>
      <c r="C6" s="14">
        <v>1.398510725002744E-3</v>
      </c>
      <c r="D6" s="14">
        <v>8.1991315788920716E-4</v>
      </c>
    </row>
    <row r="7" spans="1:4">
      <c r="A7" s="38">
        <v>44579.666666666599</v>
      </c>
      <c r="B7" s="14">
        <v>-2.2349364477577738E-2</v>
      </c>
      <c r="C7" s="14">
        <v>-3.0627156109245934E-2</v>
      </c>
      <c r="D7" s="14">
        <v>-1.8387895814791499E-2</v>
      </c>
    </row>
    <row r="8" spans="1:4">
      <c r="A8" s="38">
        <v>44580.666666666599</v>
      </c>
      <c r="B8" s="14">
        <v>-6.6072978243505442E-3</v>
      </c>
      <c r="C8" s="14">
        <v>-1.5957218434999865E-2</v>
      </c>
      <c r="D8" s="14">
        <v>-9.6895202431227512E-3</v>
      </c>
    </row>
    <row r="9" spans="1:4">
      <c r="A9" s="38">
        <v>44581.666666666599</v>
      </c>
      <c r="B9" s="14">
        <v>-8.595621802051201E-3</v>
      </c>
      <c r="C9" s="14">
        <v>-1.8780480710497649E-2</v>
      </c>
      <c r="D9" s="14">
        <v>-1.103742532143781E-2</v>
      </c>
    </row>
    <row r="10" spans="1:4">
      <c r="A10" s="38">
        <v>44582.666666666599</v>
      </c>
      <c r="B10" s="14">
        <v>-1.9650223450820903E-2</v>
      </c>
      <c r="C10" s="14">
        <v>-1.7845497124562737E-2</v>
      </c>
      <c r="D10" s="14">
        <v>-1.8914813071498782E-2</v>
      </c>
    </row>
    <row r="11" spans="1:4">
      <c r="A11" s="38">
        <v>44585.666666666599</v>
      </c>
      <c r="B11" s="14">
        <v>9.1944147723745928E-3</v>
      </c>
      <c r="C11" s="14">
        <v>2.2933518451446755E-2</v>
      </c>
      <c r="D11" s="14">
        <v>2.7717522294530283E-3</v>
      </c>
    </row>
    <row r="12" spans="1:4">
      <c r="A12" s="38">
        <v>44586.666666666599</v>
      </c>
      <c r="B12" s="14">
        <v>-1.3721022492289681E-2</v>
      </c>
      <c r="C12" s="14">
        <v>-1.4497101071546226E-2</v>
      </c>
      <c r="D12" s="14">
        <v>-1.2171976789799865E-2</v>
      </c>
    </row>
    <row r="13" spans="1:4">
      <c r="A13" s="38">
        <v>44587.666666666599</v>
      </c>
      <c r="B13" s="14">
        <v>-6.9032098756020011E-3</v>
      </c>
      <c r="C13" s="14">
        <v>-1.3757279082648455E-2</v>
      </c>
      <c r="D13" s="14">
        <v>-1.4966314315554285E-3</v>
      </c>
    </row>
    <row r="14" spans="1:4">
      <c r="A14" s="38">
        <v>44588.666666666599</v>
      </c>
      <c r="B14" s="14">
        <v>1.2828692198813219E-2</v>
      </c>
      <c r="C14" s="14">
        <v>-2.285399147971634E-2</v>
      </c>
      <c r="D14" s="14">
        <v>-5.3839946849719711E-3</v>
      </c>
    </row>
    <row r="15" spans="1:4">
      <c r="A15" s="38">
        <v>44589.666666666599</v>
      </c>
      <c r="B15" s="14">
        <v>2.3162217100968219E-2</v>
      </c>
      <c r="C15" s="14">
        <v>1.9272092746299041E-2</v>
      </c>
      <c r="D15" s="14">
        <v>2.4347568825681787E-2</v>
      </c>
    </row>
    <row r="16" spans="1:4">
      <c r="A16" s="38">
        <v>44592.666666666599</v>
      </c>
      <c r="B16" s="14">
        <v>2.4261397130588058E-2</v>
      </c>
      <c r="C16" s="14">
        <v>3.0449426215767295E-2</v>
      </c>
      <c r="D16" s="14">
        <v>1.8886018254227865E-2</v>
      </c>
    </row>
    <row r="17" spans="1:4">
      <c r="A17" s="38">
        <v>44593.666666666599</v>
      </c>
      <c r="B17" s="14">
        <v>1.2963085010156306E-2</v>
      </c>
      <c r="C17" s="14">
        <v>1.0988685942468157E-2</v>
      </c>
      <c r="D17" s="14">
        <v>6.8629513569775646E-3</v>
      </c>
    </row>
    <row r="18" spans="1:4">
      <c r="A18" s="38">
        <v>44594.666666666599</v>
      </c>
      <c r="B18" s="14">
        <v>-2.1129787306396475E-3</v>
      </c>
      <c r="C18" s="14">
        <v>-1.0347484322732137E-2</v>
      </c>
      <c r="D18" s="14">
        <v>9.4225498950850639E-3</v>
      </c>
    </row>
    <row r="19" spans="1:4">
      <c r="A19" s="38">
        <v>44595.666666666599</v>
      </c>
      <c r="B19" s="14">
        <v>-2.341349871188747E-2</v>
      </c>
      <c r="C19" s="14">
        <v>-1.8965075485829153E-2</v>
      </c>
      <c r="D19" s="14">
        <v>-2.4391094221877574E-2</v>
      </c>
    </row>
    <row r="20" spans="1:4">
      <c r="A20" s="38">
        <v>44596.666666666599</v>
      </c>
      <c r="B20" s="14">
        <v>9.3131543164863828E-3</v>
      </c>
      <c r="C20" s="14">
        <v>5.6905219911302929E-3</v>
      </c>
      <c r="D20" s="14">
        <v>5.156964694110977E-3</v>
      </c>
    </row>
    <row r="21" spans="1:4">
      <c r="A21" s="38">
        <v>44599.666666666599</v>
      </c>
      <c r="B21" s="14">
        <v>1.7708862557277438E-3</v>
      </c>
      <c r="C21" s="14">
        <v>5.1139655206855483E-3</v>
      </c>
      <c r="D21" s="14">
        <v>-3.701786234065696E-3</v>
      </c>
    </row>
    <row r="22" spans="1:4">
      <c r="A22" s="38">
        <v>44600.666666666599</v>
      </c>
      <c r="B22" s="14">
        <v>1.7654319040309341E-2</v>
      </c>
      <c r="C22" s="14">
        <v>1.6282420749279547E-2</v>
      </c>
      <c r="D22" s="14">
        <v>8.4012248347966612E-3</v>
      </c>
    </row>
    <row r="23" spans="1:4">
      <c r="A23" s="38">
        <v>44601.666666666599</v>
      </c>
      <c r="B23" s="14">
        <v>2.3610913014785906E-2</v>
      </c>
      <c r="C23" s="14">
        <v>1.8642103873626859E-2</v>
      </c>
      <c r="D23" s="14">
        <v>1.4517177775713597E-2</v>
      </c>
    </row>
    <row r="24" spans="1:4">
      <c r="A24" s="38">
        <v>44602.666666666599</v>
      </c>
      <c r="B24" s="14">
        <v>-5.4458416267583187E-3</v>
      </c>
      <c r="C24" s="14">
        <v>-1.5521958243340572E-2</v>
      </c>
      <c r="D24" s="14">
        <v>-1.8115705073705524E-2</v>
      </c>
    </row>
    <row r="25" spans="1:4">
      <c r="A25" s="38">
        <v>44603.666666666599</v>
      </c>
      <c r="B25" s="14">
        <v>-2.1431838072620057E-2</v>
      </c>
      <c r="C25" s="14">
        <v>-1.0242984457575099E-2</v>
      </c>
      <c r="D25" s="14">
        <v>-1.89694676826343E-2</v>
      </c>
    </row>
    <row r="26" spans="1:4">
      <c r="A26" s="38">
        <v>44606.666666666599</v>
      </c>
      <c r="B26" s="14">
        <v>-6.4955861211872801E-3</v>
      </c>
      <c r="C26" s="14">
        <v>-4.6104967613230796E-3</v>
      </c>
      <c r="D26" s="14">
        <v>-3.8405482229827426E-3</v>
      </c>
    </row>
    <row r="27" spans="1:4">
      <c r="A27" s="38">
        <v>44607.666666666599</v>
      </c>
      <c r="B27" s="14">
        <v>1.995379338932457E-2</v>
      </c>
      <c r="C27" s="14">
        <v>2.7548631970665038E-2</v>
      </c>
      <c r="D27" s="14">
        <v>1.5766743077059386E-2</v>
      </c>
    </row>
    <row r="28" spans="1:4">
      <c r="A28" s="38">
        <v>44608.666666666599</v>
      </c>
      <c r="B28" s="14">
        <v>7.0269853323856601E-4</v>
      </c>
      <c r="C28" s="14">
        <v>1.3725282451864107E-3</v>
      </c>
      <c r="D28" s="14">
        <v>8.8122082633468324E-4</v>
      </c>
    </row>
    <row r="29" spans="1:4">
      <c r="A29" s="38">
        <v>44609.666666666599</v>
      </c>
      <c r="B29" s="14">
        <v>-3.2101425006625939E-2</v>
      </c>
      <c r="C29" s="14">
        <v>-2.4633171580957125E-2</v>
      </c>
      <c r="D29" s="14">
        <v>-2.1173137043269175E-2</v>
      </c>
    </row>
    <row r="30" spans="1:4">
      <c r="A30" s="38">
        <v>44610.666666666599</v>
      </c>
      <c r="B30" s="14">
        <v>-1.3183301120523794E-2</v>
      </c>
      <c r="C30" s="14">
        <v>-9.2500825900231343E-3</v>
      </c>
      <c r="D30" s="14">
        <v>-7.1662412733491943E-3</v>
      </c>
    </row>
    <row r="31" spans="1:4">
      <c r="A31" s="38">
        <v>44614.666666666599</v>
      </c>
      <c r="B31" s="14">
        <v>-7.3601692379909878E-3</v>
      </c>
      <c r="C31" s="14">
        <v>-1.4512300119940424E-2</v>
      </c>
      <c r="D31" s="14">
        <v>-1.0142864698185927E-2</v>
      </c>
    </row>
    <row r="32" spans="1:4">
      <c r="A32" s="38">
        <v>44615.666666666599</v>
      </c>
      <c r="B32" s="14">
        <v>-1.8569752311865639E-2</v>
      </c>
      <c r="C32" s="14">
        <v>-1.8220657822308306E-2</v>
      </c>
      <c r="D32" s="14">
        <v>-1.8412176288573612E-2</v>
      </c>
    </row>
    <row r="33" spans="1:4">
      <c r="A33" s="38">
        <v>44616.666666666599</v>
      </c>
      <c r="B33" s="14">
        <v>1.5656931044950806E-2</v>
      </c>
      <c r="C33" s="14">
        <v>2.6701438719400894E-2</v>
      </c>
      <c r="D33" s="14">
        <v>1.4956809844988816E-2</v>
      </c>
    </row>
    <row r="34" spans="1:4">
      <c r="A34" s="38">
        <v>44617.666666666599</v>
      </c>
      <c r="B34" s="14">
        <v>1.8013690991543818E-2</v>
      </c>
      <c r="C34" s="14">
        <v>2.2510020040080292E-2</v>
      </c>
      <c r="D34" s="14">
        <v>2.2372746986266234E-2</v>
      </c>
    </row>
    <row r="35" spans="1:4">
      <c r="A35" s="38">
        <v>44620.666666666599</v>
      </c>
      <c r="B35" s="14">
        <v>-1.1028965585018535E-2</v>
      </c>
      <c r="C35" s="14">
        <v>3.5082045930041605E-3</v>
      </c>
      <c r="D35" s="14">
        <v>-2.4426122951660689E-3</v>
      </c>
    </row>
    <row r="36" spans="1:4">
      <c r="A36" s="38">
        <v>44621.666666666599</v>
      </c>
      <c r="B36" s="14">
        <v>-1.4239934434870705E-2</v>
      </c>
      <c r="C36" s="14">
        <v>-1.9325322617658514E-2</v>
      </c>
      <c r="D36" s="14">
        <v>-1.5473463284818578E-2</v>
      </c>
    </row>
    <row r="37" spans="1:4">
      <c r="A37" s="38">
        <v>44622.666666666599</v>
      </c>
      <c r="B37" s="14">
        <v>2.2441635596212262E-2</v>
      </c>
      <c r="C37" s="14">
        <v>2.5073313052959678E-2</v>
      </c>
      <c r="D37" s="14">
        <v>1.8642627244987553E-2</v>
      </c>
    </row>
    <row r="38" spans="1:4">
      <c r="A38" s="38">
        <v>44623.666666666599</v>
      </c>
      <c r="B38" s="14">
        <v>-3.3395515939318887E-2</v>
      </c>
      <c r="C38" s="14">
        <v>-1.2851709918547449E-2</v>
      </c>
      <c r="D38" s="14">
        <v>-5.2547110022934662E-3</v>
      </c>
    </row>
    <row r="39" spans="1:4">
      <c r="A39" s="38">
        <v>44624.666666666599</v>
      </c>
      <c r="B39" s="14">
        <v>-2.4014558131408625E-2</v>
      </c>
      <c r="C39" s="14">
        <v>-1.5503761544176653E-2</v>
      </c>
      <c r="D39" s="14">
        <v>-7.93401612012401E-3</v>
      </c>
    </row>
    <row r="40" spans="1:4">
      <c r="A40" s="38">
        <v>44627.666666666599</v>
      </c>
      <c r="B40" s="14">
        <v>-3.6331982614618341E-2</v>
      </c>
      <c r="C40" s="14">
        <v>-2.4773851766705102E-2</v>
      </c>
      <c r="D40" s="14">
        <v>-2.9518095946517109E-2</v>
      </c>
    </row>
    <row r="41" spans="1:4">
      <c r="A41" s="38">
        <v>44628.666666666599</v>
      </c>
      <c r="B41" s="14">
        <v>-4.3192704820070871E-3</v>
      </c>
      <c r="C41" s="14">
        <v>5.9856610619424266E-3</v>
      </c>
      <c r="D41" s="14">
        <v>-7.2338369327961116E-3</v>
      </c>
    </row>
    <row r="42" spans="1:4">
      <c r="A42" s="38">
        <v>44629.666666666599</v>
      </c>
      <c r="B42" s="14">
        <v>4.1917785655787076E-2</v>
      </c>
      <c r="C42" s="14">
        <v>2.7141991125873011E-2</v>
      </c>
      <c r="D42" s="14">
        <v>2.5698324022346508E-2</v>
      </c>
    </row>
    <row r="43" spans="1:4">
      <c r="A43" s="38">
        <v>44630.666666666599</v>
      </c>
      <c r="B43" s="14">
        <v>-1.5199649079691069E-2</v>
      </c>
      <c r="C43" s="14">
        <v>-2.2913370596491234E-3</v>
      </c>
      <c r="D43" s="14">
        <v>-4.2918454935622075E-3</v>
      </c>
    </row>
    <row r="44" spans="1:4">
      <c r="A44" s="38">
        <v>44631.666666666599</v>
      </c>
      <c r="B44" s="14">
        <v>-2.424793057469099E-2</v>
      </c>
      <c r="C44" s="14">
        <v>-1.590718159539084E-2</v>
      </c>
      <c r="D44" s="14">
        <v>-1.2961554353542182E-2</v>
      </c>
    </row>
    <row r="45" spans="1:4">
      <c r="A45" s="38">
        <v>44634.666666666599</v>
      </c>
      <c r="B45" s="14">
        <v>-1.8441192011746987E-2</v>
      </c>
      <c r="C45" s="14">
        <v>-1.9169861643607344E-2</v>
      </c>
      <c r="D45" s="14">
        <v>-7.4209561140831104E-3</v>
      </c>
    </row>
    <row r="46" spans="1:4">
      <c r="A46" s="38">
        <v>44635.666666666599</v>
      </c>
      <c r="B46" s="14">
        <v>1.7241131230647522E-2</v>
      </c>
      <c r="C46" s="14">
        <v>1.4033949282079794E-2</v>
      </c>
      <c r="D46" s="14">
        <v>2.1408493905025416E-2</v>
      </c>
    </row>
    <row r="47" spans="1:4">
      <c r="A47" s="38">
        <v>44636.666666666599</v>
      </c>
      <c r="B47" s="14">
        <v>4.0334877678714909E-2</v>
      </c>
      <c r="C47" s="14">
        <v>3.1361574833542516E-2</v>
      </c>
      <c r="D47" s="14">
        <v>2.2383840279651235E-2</v>
      </c>
    </row>
    <row r="48" spans="1:4">
      <c r="A48" s="38">
        <v>44637.666666666599</v>
      </c>
      <c r="B48" s="14">
        <v>2.1899671769445073E-2</v>
      </c>
      <c r="C48" s="14">
        <v>1.6890560983296554E-2</v>
      </c>
      <c r="D48" s="14">
        <v>1.2347803738532281E-2</v>
      </c>
    </row>
    <row r="49" spans="1:4">
      <c r="A49" s="38">
        <v>44638.666666666599</v>
      </c>
      <c r="B49" s="14">
        <v>1.3023358718382116E-2</v>
      </c>
      <c r="C49" s="14">
        <v>1.0227503849841613E-2</v>
      </c>
      <c r="D49" s="14">
        <v>1.1662250349640857E-2</v>
      </c>
    </row>
    <row r="50" spans="1:4">
      <c r="A50" s="38">
        <v>44641.666666666599</v>
      </c>
      <c r="B50" s="14">
        <v>-5.8602323800402978E-3</v>
      </c>
      <c r="C50" s="14">
        <v>-9.6829551228584387E-3</v>
      </c>
      <c r="D50" s="14">
        <v>-4.3467350194470455E-4</v>
      </c>
    </row>
    <row r="51" spans="1:4">
      <c r="A51" s="38">
        <v>44642.666666666599</v>
      </c>
      <c r="B51" s="14">
        <v>1.7783220298955627E-2</v>
      </c>
      <c r="C51" s="14">
        <v>1.084252204807501E-2</v>
      </c>
      <c r="D51" s="14">
        <v>1.1304184094790948E-2</v>
      </c>
    </row>
    <row r="52" spans="1:4">
      <c r="A52" s="38">
        <v>44643.666666666599</v>
      </c>
      <c r="B52" s="14">
        <v>-1.9392525714178044E-2</v>
      </c>
      <c r="C52" s="14">
        <v>-1.7300822662976389E-2</v>
      </c>
      <c r="D52" s="14">
        <v>-1.2272780670315009E-2</v>
      </c>
    </row>
    <row r="53" spans="1:4">
      <c r="A53" s="38">
        <v>44644.666666666599</v>
      </c>
      <c r="B53" s="14">
        <v>1.1746091680661541E-2</v>
      </c>
      <c r="C53" s="14">
        <v>1.1319504339224462E-2</v>
      </c>
      <c r="D53" s="14">
        <v>1.4343931206577842E-2</v>
      </c>
    </row>
    <row r="54" spans="1:4">
      <c r="A54" s="38">
        <v>44645.666666666599</v>
      </c>
      <c r="B54" s="14">
        <v>-6.411901608610493E-3</v>
      </c>
      <c r="C54" s="14">
        <v>1.2238368731449789E-3</v>
      </c>
      <c r="D54" s="14">
        <v>5.0661923471737591E-3</v>
      </c>
    </row>
    <row r="55" spans="1:4">
      <c r="A55" s="38">
        <v>44648.666666666599</v>
      </c>
      <c r="B55" s="14">
        <v>4.5861666317643657E-3</v>
      </c>
      <c r="C55" s="14">
        <v>3.8498926842489567E-5</v>
      </c>
      <c r="D55" s="14">
        <v>7.1449639670178033E-3</v>
      </c>
    </row>
    <row r="56" spans="1:4">
      <c r="A56" s="38">
        <v>44649.666666666599</v>
      </c>
      <c r="B56" s="14">
        <v>2.1515493654358009E-2</v>
      </c>
      <c r="C56" s="14">
        <v>2.6486241975688829E-2</v>
      </c>
      <c r="D56" s="14">
        <v>1.2256530405287291E-2</v>
      </c>
    </row>
    <row r="57" spans="1:4">
      <c r="A57" s="38">
        <v>44650.666666666599</v>
      </c>
      <c r="B57" s="14">
        <v>-1.9641812690203486E-2</v>
      </c>
      <c r="C57" s="14">
        <v>-1.9703717594111714E-2</v>
      </c>
      <c r="D57" s="14">
        <v>-6.2937213921756552E-3</v>
      </c>
    </row>
    <row r="58" spans="1:4">
      <c r="A58" s="38">
        <v>44651.666666666599</v>
      </c>
      <c r="B58" s="14">
        <v>-1.852950929268149E-2</v>
      </c>
      <c r="C58" s="14">
        <v>-1.0014011965166159E-2</v>
      </c>
      <c r="D58" s="14">
        <v>-1.5652532890091164E-2</v>
      </c>
    </row>
    <row r="59" spans="1:4">
      <c r="A59" s="38">
        <v>44652.666666666599</v>
      </c>
      <c r="B59" s="14">
        <v>-1.5547620877742752E-5</v>
      </c>
      <c r="C59" s="14">
        <v>1.0134629226183911E-2</v>
      </c>
      <c r="D59" s="14">
        <v>3.4102873691344016E-3</v>
      </c>
    </row>
    <row r="60" spans="1:4">
      <c r="A60" s="38">
        <v>44655.666666666599</v>
      </c>
      <c r="B60" s="14">
        <v>1.1785114806440289E-2</v>
      </c>
      <c r="C60" s="14">
        <v>2.0706706007813658E-3</v>
      </c>
      <c r="D60" s="14">
        <v>8.0908782936564005E-3</v>
      </c>
    </row>
    <row r="61" spans="1:4">
      <c r="A61" s="38">
        <v>44656.666666666599</v>
      </c>
      <c r="B61" s="14">
        <v>-1.8518581353439645E-2</v>
      </c>
      <c r="C61" s="14">
        <v>-2.3575000954453529E-2</v>
      </c>
      <c r="D61" s="14">
        <v>-1.2551716914267819E-2</v>
      </c>
    </row>
    <row r="62" spans="1:4">
      <c r="A62" s="38">
        <v>44657.666666666599</v>
      </c>
      <c r="B62" s="14">
        <v>-2.1850242733753023E-2</v>
      </c>
      <c r="C62" s="14">
        <v>-1.4222595843678465E-2</v>
      </c>
      <c r="D62" s="14">
        <v>-9.7168693868892042E-3</v>
      </c>
    </row>
    <row r="63" spans="1:4">
      <c r="A63" s="38">
        <v>44658.666666666599</v>
      </c>
      <c r="B63" s="14">
        <v>-1.8326533651379373E-3</v>
      </c>
      <c r="C63" s="14">
        <v>-3.5400160639385003E-3</v>
      </c>
      <c r="D63" s="14">
        <v>4.2533724601945266E-3</v>
      </c>
    </row>
    <row r="64" spans="1:4">
      <c r="A64" s="38">
        <v>44659.666666666599</v>
      </c>
      <c r="B64" s="14">
        <v>-5.3823893287259228E-3</v>
      </c>
      <c r="C64" s="14">
        <v>-7.5828440640859363E-3</v>
      </c>
      <c r="D64" s="14">
        <v>-2.6509873983658894E-3</v>
      </c>
    </row>
    <row r="65" spans="1:4">
      <c r="A65" s="38">
        <v>44662.666666666599</v>
      </c>
      <c r="B65" s="14">
        <v>-6.270053999462788E-3</v>
      </c>
      <c r="C65" s="14">
        <v>-7.139419220279164E-3</v>
      </c>
      <c r="D65" s="14">
        <v>-1.6877289295676778E-2</v>
      </c>
    </row>
    <row r="66" spans="1:4">
      <c r="A66" s="38">
        <v>44663.666666666599</v>
      </c>
      <c r="B66" s="14">
        <v>-3.7464451553681499E-3</v>
      </c>
      <c r="C66" s="14">
        <v>3.3428940777249228E-3</v>
      </c>
      <c r="D66" s="14">
        <v>-3.4175405039739148E-3</v>
      </c>
    </row>
    <row r="67" spans="1:4">
      <c r="A67" s="38">
        <v>44664.666666666599</v>
      </c>
      <c r="B67" s="14">
        <v>1.6697812838889048E-2</v>
      </c>
      <c r="C67" s="14">
        <v>1.920541133602427E-2</v>
      </c>
      <c r="D67" s="14">
        <v>1.1174658040455254E-2</v>
      </c>
    </row>
    <row r="68" spans="1:4">
      <c r="A68" s="38">
        <v>44665.666666666599</v>
      </c>
      <c r="B68" s="14">
        <v>-7.6130210962428446E-3</v>
      </c>
      <c r="C68" s="14">
        <v>-9.9353118364524651E-3</v>
      </c>
      <c r="D68" s="14">
        <v>-1.2144137417661627E-2</v>
      </c>
    </row>
    <row r="69" spans="1:4">
      <c r="A69" s="38">
        <v>44669.666666666599</v>
      </c>
      <c r="B69" s="14">
        <v>-2.5788907575856612E-3</v>
      </c>
      <c r="C69" s="14">
        <v>-7.4065576713981951E-3</v>
      </c>
      <c r="D69" s="14">
        <v>-2.0489050878880199E-4</v>
      </c>
    </row>
    <row r="70" spans="1:4">
      <c r="A70" s="38">
        <v>44670.666666666599</v>
      </c>
      <c r="B70" s="14">
        <v>2.5895991030427279E-2</v>
      </c>
      <c r="C70" s="14">
        <v>2.0420776532186213E-2</v>
      </c>
      <c r="D70" s="14">
        <v>1.6057599693967584E-2</v>
      </c>
    </row>
    <row r="71" spans="1:4">
      <c r="A71" s="38">
        <v>44671.666666666599</v>
      </c>
      <c r="B71" s="14">
        <v>-1.1510345630206809E-3</v>
      </c>
      <c r="C71" s="14">
        <v>3.6537864947778775E-3</v>
      </c>
      <c r="D71" s="14">
        <v>-6.1852759058855789E-4</v>
      </c>
    </row>
    <row r="72" spans="1:4">
      <c r="A72" s="38">
        <v>44672.666666666599</v>
      </c>
      <c r="B72" s="14">
        <v>-1.8694809456917483E-2</v>
      </c>
      <c r="C72" s="14">
        <v>-2.2927205020140451E-2</v>
      </c>
      <c r="D72" s="14">
        <v>-1.475294038502506E-2</v>
      </c>
    </row>
    <row r="73" spans="1:4">
      <c r="A73" s="38">
        <v>44673.666666666599</v>
      </c>
      <c r="B73" s="14">
        <v>-2.737776915836998E-2</v>
      </c>
      <c r="C73" s="14">
        <v>-2.5508923101643988E-2</v>
      </c>
      <c r="D73" s="14">
        <v>-2.773997077607282E-2</v>
      </c>
    </row>
    <row r="74" spans="1:4">
      <c r="A74" s="38">
        <v>44676.666666666599</v>
      </c>
      <c r="B74" s="14">
        <v>2.8289174181148624E-3</v>
      </c>
      <c r="C74" s="14">
        <v>6.9770078220812159E-3</v>
      </c>
      <c r="D74" s="14">
        <v>5.6978589721381478E-3</v>
      </c>
    </row>
    <row r="75" spans="1:4">
      <c r="A75" s="38">
        <v>44677.666666666599</v>
      </c>
      <c r="B75" s="14">
        <v>-2.2951677402876847E-2</v>
      </c>
      <c r="C75" s="14">
        <v>-3.2611810459523105E-2</v>
      </c>
      <c r="D75" s="14">
        <v>-2.8146327383778869E-2</v>
      </c>
    </row>
    <row r="76" spans="1:4">
      <c r="A76" s="38">
        <v>44678.666666666599</v>
      </c>
      <c r="B76" s="14">
        <v>3.8546359355140503E-3</v>
      </c>
      <c r="C76" s="14">
        <v>-3.4012705835057E-3</v>
      </c>
      <c r="D76" s="14">
        <v>2.0981030848821192E-3</v>
      </c>
    </row>
    <row r="77" spans="1:4">
      <c r="A77" s="38">
        <v>44679.666666666599</v>
      </c>
      <c r="B77" s="14">
        <v>1.74749965721821E-2</v>
      </c>
      <c r="C77" s="14">
        <v>1.7993248550986163E-2</v>
      </c>
      <c r="D77" s="14">
        <v>2.474689050564538E-2</v>
      </c>
    </row>
    <row r="78" spans="1:4">
      <c r="A78" s="38">
        <v>44680.666666666599</v>
      </c>
      <c r="B78" s="14">
        <v>-2.8215249285658439E-2</v>
      </c>
      <c r="C78" s="14">
        <v>-2.8071785353035117E-2</v>
      </c>
      <c r="D78" s="14">
        <v>-3.6284548104956182E-2</v>
      </c>
    </row>
    <row r="79" spans="1:4">
      <c r="A79" s="38">
        <v>44683.666666666599</v>
      </c>
      <c r="B79" s="14">
        <v>1.3706882168515566E-2</v>
      </c>
      <c r="C79" s="14">
        <v>1.0090660372297666E-2</v>
      </c>
      <c r="D79" s="14">
        <v>5.6753139573999523E-3</v>
      </c>
    </row>
    <row r="80" spans="1:4">
      <c r="A80" s="38">
        <v>44684.666666666599</v>
      </c>
      <c r="B80" s="14">
        <v>7.7152754079299335E-3</v>
      </c>
      <c r="C80" s="14">
        <v>8.4709306339654233E-3</v>
      </c>
      <c r="D80" s="14">
        <v>4.8371027439124692E-3</v>
      </c>
    </row>
    <row r="81" spans="1:4">
      <c r="A81" s="38">
        <v>44685.666666666599</v>
      </c>
      <c r="B81" s="14">
        <v>2.9784733394348617E-2</v>
      </c>
      <c r="C81" s="14">
        <v>2.6889818101387242E-2</v>
      </c>
      <c r="D81" s="14">
        <v>2.9862434977535601E-2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E54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2.6640625" defaultRowHeight="15.75" customHeight="1"/>
  <cols>
    <col min="1" max="1" width="23.83203125" customWidth="1"/>
  </cols>
  <sheetData>
    <row r="1" spans="1:5">
      <c r="A1" s="19"/>
      <c r="B1" s="64" t="s">
        <v>196</v>
      </c>
      <c r="C1" s="57"/>
      <c r="D1" s="57"/>
      <c r="E1" s="57"/>
    </row>
    <row r="2" spans="1:5">
      <c r="A2" s="39" t="s">
        <v>45</v>
      </c>
      <c r="B2" s="39" t="s">
        <v>93</v>
      </c>
      <c r="C2" s="39" t="s">
        <v>98</v>
      </c>
      <c r="D2" s="39" t="s">
        <v>103</v>
      </c>
      <c r="E2" s="39" t="s">
        <v>197</v>
      </c>
    </row>
    <row r="3" spans="1:5" ht="15.75" customHeight="1">
      <c r="A3" s="9" t="s">
        <v>30</v>
      </c>
      <c r="B3" s="6" t="s">
        <v>47</v>
      </c>
      <c r="C3" s="26">
        <v>1202</v>
      </c>
      <c r="D3" s="40">
        <v>60.37</v>
      </c>
      <c r="E3" s="8">
        <f t="shared" ref="E3:E50" si="0">IF(ISBLANK(B3),"",D3*C3)</f>
        <v>72564.739999999991</v>
      </c>
    </row>
    <row r="4" spans="1:5" ht="15.75" customHeight="1">
      <c r="A4" s="9" t="s">
        <v>30</v>
      </c>
      <c r="B4" s="6" t="s">
        <v>48</v>
      </c>
      <c r="C4" s="26">
        <v>93</v>
      </c>
      <c r="D4" s="40">
        <v>660</v>
      </c>
      <c r="E4" s="8">
        <f t="shared" si="0"/>
        <v>61380</v>
      </c>
    </row>
    <row r="5" spans="1:5" ht="15.75" customHeight="1">
      <c r="A5" s="9" t="s">
        <v>30</v>
      </c>
      <c r="B5" s="6" t="s">
        <v>49</v>
      </c>
      <c r="C5" s="26">
        <v>36</v>
      </c>
      <c r="D5" s="40">
        <v>700</v>
      </c>
      <c r="E5" s="8">
        <f t="shared" si="0"/>
        <v>25200</v>
      </c>
    </row>
    <row r="6" spans="1:5" ht="15.75" customHeight="1">
      <c r="A6" s="9" t="s">
        <v>30</v>
      </c>
      <c r="B6" s="6" t="s">
        <v>50</v>
      </c>
      <c r="C6" s="26">
        <v>411</v>
      </c>
      <c r="D6" s="40">
        <v>56.9</v>
      </c>
      <c r="E6" s="8">
        <f t="shared" si="0"/>
        <v>23385.899999999998</v>
      </c>
    </row>
    <row r="7" spans="1:5" ht="15.75" customHeight="1">
      <c r="A7" s="9" t="s">
        <v>30</v>
      </c>
      <c r="B7" s="6" t="s">
        <v>51</v>
      </c>
      <c r="C7" s="26">
        <v>116</v>
      </c>
      <c r="D7" s="40">
        <v>209.02</v>
      </c>
      <c r="E7" s="8">
        <f t="shared" si="0"/>
        <v>24246.32</v>
      </c>
    </row>
    <row r="8" spans="1:5" ht="15.75" customHeight="1">
      <c r="A8" s="9" t="s">
        <v>30</v>
      </c>
      <c r="B8" s="6" t="s">
        <v>52</v>
      </c>
      <c r="C8" s="26">
        <v>83</v>
      </c>
      <c r="D8" s="40">
        <v>262.29000000000002</v>
      </c>
      <c r="E8" s="8">
        <f t="shared" si="0"/>
        <v>21770.070000000003</v>
      </c>
    </row>
    <row r="9" spans="1:5" ht="15.75" customHeight="1">
      <c r="A9" s="9" t="s">
        <v>30</v>
      </c>
      <c r="B9" s="6" t="s">
        <v>53</v>
      </c>
      <c r="C9" s="26">
        <v>334</v>
      </c>
      <c r="D9" s="40">
        <v>58.88</v>
      </c>
      <c r="E9" s="8">
        <f t="shared" si="0"/>
        <v>19665.920000000002</v>
      </c>
    </row>
    <row r="10" spans="1:5" ht="15.75" customHeight="1">
      <c r="A10" s="9" t="s">
        <v>30</v>
      </c>
      <c r="B10" s="6" t="s">
        <v>54</v>
      </c>
      <c r="C10" s="26">
        <v>91</v>
      </c>
      <c r="D10" s="40">
        <v>107.5</v>
      </c>
      <c r="E10" s="8">
        <f t="shared" si="0"/>
        <v>9782.5</v>
      </c>
    </row>
    <row r="11" spans="1:5" ht="15.75" customHeight="1">
      <c r="A11" s="9" t="s">
        <v>30</v>
      </c>
      <c r="B11" s="6" t="s">
        <v>55</v>
      </c>
      <c r="C11" s="26">
        <v>78</v>
      </c>
      <c r="D11" s="40">
        <v>116.4</v>
      </c>
      <c r="E11" s="8">
        <f t="shared" si="0"/>
        <v>9079.2000000000007</v>
      </c>
    </row>
    <row r="12" spans="1:5" ht="15.75" customHeight="1">
      <c r="A12" s="9" t="s">
        <v>30</v>
      </c>
      <c r="B12" s="6" t="s">
        <v>56</v>
      </c>
      <c r="C12" s="26">
        <v>48</v>
      </c>
      <c r="D12" s="40">
        <v>138.16</v>
      </c>
      <c r="E12" s="8">
        <f t="shared" si="0"/>
        <v>6631.68</v>
      </c>
    </row>
    <row r="13" spans="1:5" ht="15.75" customHeight="1">
      <c r="A13" s="9" t="s">
        <v>30</v>
      </c>
      <c r="B13" s="6" t="s">
        <v>57</v>
      </c>
      <c r="C13" s="26">
        <v>197</v>
      </c>
      <c r="D13" s="40">
        <v>34.07</v>
      </c>
      <c r="E13" s="8">
        <f t="shared" si="0"/>
        <v>6711.79</v>
      </c>
    </row>
    <row r="14" spans="1:5" ht="15.75" customHeight="1">
      <c r="A14" s="9" t="s">
        <v>30</v>
      </c>
      <c r="B14" s="6" t="s">
        <v>58</v>
      </c>
      <c r="C14" s="26">
        <v>84</v>
      </c>
      <c r="D14" s="40">
        <v>72.5</v>
      </c>
      <c r="E14" s="8">
        <f t="shared" si="0"/>
        <v>6090</v>
      </c>
    </row>
    <row r="15" spans="1:5" ht="15.75" customHeight="1">
      <c r="A15" s="9" t="s">
        <v>30</v>
      </c>
      <c r="B15" s="6" t="s">
        <v>59</v>
      </c>
      <c r="C15" s="26">
        <v>119</v>
      </c>
      <c r="D15" s="40">
        <v>45</v>
      </c>
      <c r="E15" s="8">
        <f t="shared" si="0"/>
        <v>5355</v>
      </c>
    </row>
    <row r="16" spans="1:5" ht="15.75" customHeight="1">
      <c r="A16" s="9" t="s">
        <v>30</v>
      </c>
      <c r="B16" s="6" t="s">
        <v>60</v>
      </c>
      <c r="C16" s="26">
        <v>262</v>
      </c>
      <c r="D16" s="40">
        <v>16.86</v>
      </c>
      <c r="E16" s="8">
        <f t="shared" si="0"/>
        <v>4417.32</v>
      </c>
    </row>
    <row r="17" spans="1:5" ht="15.75" customHeight="1">
      <c r="A17" s="9" t="s">
        <v>30</v>
      </c>
      <c r="B17" s="6" t="s">
        <v>61</v>
      </c>
      <c r="C17" s="26">
        <v>52</v>
      </c>
      <c r="D17" s="40">
        <v>89</v>
      </c>
      <c r="E17" s="8">
        <f t="shared" si="0"/>
        <v>4628</v>
      </c>
    </row>
    <row r="18" spans="1:5" ht="15.75" customHeight="1">
      <c r="A18" s="9" t="s">
        <v>30</v>
      </c>
      <c r="B18" s="6" t="s">
        <v>62</v>
      </c>
      <c r="C18" s="26">
        <v>39</v>
      </c>
      <c r="D18" s="40">
        <v>104</v>
      </c>
      <c r="E18" s="8">
        <f t="shared" si="0"/>
        <v>4056</v>
      </c>
    </row>
    <row r="19" spans="1:5" ht="15.75" customHeight="1">
      <c r="A19" s="9" t="s">
        <v>30</v>
      </c>
      <c r="B19" s="6" t="s">
        <v>63</v>
      </c>
      <c r="C19" s="26">
        <v>37</v>
      </c>
      <c r="D19" s="40">
        <v>119.11</v>
      </c>
      <c r="E19" s="8">
        <f t="shared" si="0"/>
        <v>4407.07</v>
      </c>
    </row>
    <row r="20" spans="1:5" ht="15.75" customHeight="1">
      <c r="A20" s="9" t="s">
        <v>30</v>
      </c>
      <c r="B20" s="6" t="s">
        <v>64</v>
      </c>
      <c r="C20" s="26">
        <v>30</v>
      </c>
      <c r="D20" s="40">
        <v>112.7</v>
      </c>
      <c r="E20" s="8">
        <f t="shared" si="0"/>
        <v>3381</v>
      </c>
    </row>
    <row r="21" spans="1:5" ht="15.75" customHeight="1">
      <c r="A21" s="9" t="s">
        <v>30</v>
      </c>
      <c r="B21" s="6" t="s">
        <v>65</v>
      </c>
      <c r="C21" s="26">
        <v>51</v>
      </c>
      <c r="D21" s="41">
        <v>45.05</v>
      </c>
      <c r="E21" s="8">
        <f t="shared" si="0"/>
        <v>2297.5499999999997</v>
      </c>
    </row>
    <row r="22" spans="1:5" ht="15.75" customHeight="1">
      <c r="A22" s="9" t="s">
        <v>30</v>
      </c>
      <c r="B22" s="6" t="s">
        <v>66</v>
      </c>
      <c r="C22" s="26">
        <v>74</v>
      </c>
      <c r="D22" s="41">
        <v>34.700000000000003</v>
      </c>
      <c r="E22" s="8">
        <f t="shared" si="0"/>
        <v>2567.8000000000002</v>
      </c>
    </row>
    <row r="23" spans="1:5" ht="15.75" customHeight="1">
      <c r="A23" s="9" t="s">
        <v>30</v>
      </c>
      <c r="B23" s="6" t="s">
        <v>31</v>
      </c>
      <c r="C23" s="26">
        <v>67</v>
      </c>
      <c r="D23" s="41">
        <v>39.15</v>
      </c>
      <c r="E23" s="8">
        <f t="shared" si="0"/>
        <v>2623.0499999999997</v>
      </c>
    </row>
    <row r="24" spans="1:5" ht="15.75" customHeight="1">
      <c r="A24" s="9" t="s">
        <v>30</v>
      </c>
      <c r="B24" s="6" t="s">
        <v>67</v>
      </c>
      <c r="C24" s="26">
        <v>7</v>
      </c>
      <c r="D24" s="41">
        <v>156.31</v>
      </c>
      <c r="E24" s="8">
        <f t="shared" si="0"/>
        <v>1094.17</v>
      </c>
    </row>
    <row r="25" spans="1:5" ht="15.75" customHeight="1">
      <c r="A25" s="9" t="s">
        <v>30</v>
      </c>
      <c r="B25" s="6" t="s">
        <v>68</v>
      </c>
      <c r="C25" s="26">
        <v>115</v>
      </c>
      <c r="D25" s="41">
        <v>17.55</v>
      </c>
      <c r="E25" s="8">
        <f t="shared" si="0"/>
        <v>2018.25</v>
      </c>
    </row>
    <row r="26" spans="1:5" ht="15.75" customHeight="1">
      <c r="A26" s="9" t="s">
        <v>30</v>
      </c>
      <c r="B26" s="6" t="s">
        <v>69</v>
      </c>
      <c r="C26" s="26">
        <v>23</v>
      </c>
      <c r="D26" s="41">
        <v>84.88</v>
      </c>
      <c r="E26" s="8">
        <f t="shared" si="0"/>
        <v>1952.2399999999998</v>
      </c>
    </row>
    <row r="27" spans="1:5" ht="15.75" customHeight="1">
      <c r="A27" s="9" t="s">
        <v>30</v>
      </c>
      <c r="B27" s="6" t="s">
        <v>70</v>
      </c>
      <c r="C27" s="26">
        <v>65</v>
      </c>
      <c r="D27" s="41">
        <v>29.15</v>
      </c>
      <c r="E27" s="8">
        <f t="shared" si="0"/>
        <v>1894.75</v>
      </c>
    </row>
    <row r="28" spans="1:5" ht="15.75" customHeight="1">
      <c r="A28" s="9" t="s">
        <v>30</v>
      </c>
      <c r="B28" s="6" t="s">
        <v>71</v>
      </c>
      <c r="C28" s="26">
        <v>129</v>
      </c>
      <c r="D28" s="41">
        <v>13.61</v>
      </c>
      <c r="E28" s="8">
        <f t="shared" si="0"/>
        <v>1755.6899999999998</v>
      </c>
    </row>
    <row r="29" spans="1:5" ht="15.75" customHeight="1">
      <c r="A29" s="9" t="s">
        <v>30</v>
      </c>
      <c r="B29" s="6" t="s">
        <v>72</v>
      </c>
      <c r="C29" s="26">
        <v>67</v>
      </c>
      <c r="D29" s="41">
        <v>28.21</v>
      </c>
      <c r="E29" s="8">
        <f t="shared" si="0"/>
        <v>1890.0700000000002</v>
      </c>
    </row>
    <row r="30" spans="1:5" ht="15.75" customHeight="1">
      <c r="A30" s="9" t="s">
        <v>30</v>
      </c>
      <c r="B30" s="6" t="s">
        <v>73</v>
      </c>
      <c r="C30" s="26">
        <v>52</v>
      </c>
      <c r="D30" s="41">
        <v>29.5</v>
      </c>
      <c r="E30" s="8">
        <f t="shared" si="0"/>
        <v>1534</v>
      </c>
    </row>
    <row r="31" spans="1:5" ht="15.75" customHeight="1">
      <c r="A31" s="9" t="s">
        <v>30</v>
      </c>
      <c r="B31" s="6" t="s">
        <v>74</v>
      </c>
      <c r="C31" s="26">
        <v>26</v>
      </c>
      <c r="D31" s="42">
        <v>64.3</v>
      </c>
      <c r="E31" s="8">
        <f t="shared" si="0"/>
        <v>1671.8</v>
      </c>
    </row>
    <row r="32" spans="1:5" ht="15.75" customHeight="1">
      <c r="A32" s="9" t="s">
        <v>30</v>
      </c>
      <c r="B32" s="6" t="s">
        <v>75</v>
      </c>
      <c r="C32" s="26">
        <v>88</v>
      </c>
      <c r="D32" s="42">
        <v>12.2</v>
      </c>
      <c r="E32" s="8">
        <f t="shared" si="0"/>
        <v>1073.5999999999999</v>
      </c>
    </row>
    <row r="33" spans="1:5" ht="15.75" customHeight="1">
      <c r="A33" s="9" t="s">
        <v>30</v>
      </c>
      <c r="B33" s="6" t="s">
        <v>76</v>
      </c>
      <c r="C33" s="26">
        <v>65</v>
      </c>
      <c r="D33" s="42">
        <v>15.25</v>
      </c>
      <c r="E33" s="8">
        <f t="shared" si="0"/>
        <v>991.25</v>
      </c>
    </row>
    <row r="34" spans="1:5" ht="15.75" customHeight="1">
      <c r="A34" s="9" t="s">
        <v>30</v>
      </c>
      <c r="B34" s="6" t="s">
        <v>77</v>
      </c>
      <c r="C34" s="26">
        <v>24</v>
      </c>
      <c r="D34" s="42">
        <v>44.95</v>
      </c>
      <c r="E34" s="8">
        <f t="shared" si="0"/>
        <v>1078.8000000000002</v>
      </c>
    </row>
    <row r="35" spans="1:5" ht="15.75" customHeight="1">
      <c r="A35" s="9" t="s">
        <v>30</v>
      </c>
      <c r="B35" s="6" t="s">
        <v>78</v>
      </c>
      <c r="C35" s="26">
        <v>4</v>
      </c>
      <c r="D35" s="42">
        <v>297.10000000000002</v>
      </c>
      <c r="E35" s="8">
        <f t="shared" si="0"/>
        <v>1188.4000000000001</v>
      </c>
    </row>
    <row r="36" spans="1:5" ht="15.75" customHeight="1">
      <c r="A36" s="9" t="s">
        <v>30</v>
      </c>
      <c r="B36" s="6" t="s">
        <v>79</v>
      </c>
      <c r="C36" s="26">
        <v>35</v>
      </c>
      <c r="D36" s="42">
        <v>24.5</v>
      </c>
      <c r="E36" s="8">
        <f t="shared" si="0"/>
        <v>857.5</v>
      </c>
    </row>
    <row r="37" spans="1:5" ht="15.75" customHeight="1">
      <c r="A37" s="9" t="s">
        <v>30</v>
      </c>
      <c r="B37" s="6" t="s">
        <v>80</v>
      </c>
      <c r="C37" s="26">
        <v>16</v>
      </c>
      <c r="D37" s="42">
        <v>50.98</v>
      </c>
      <c r="E37" s="8">
        <f t="shared" si="0"/>
        <v>815.68</v>
      </c>
    </row>
    <row r="38" spans="1:5" ht="15.75" customHeight="1">
      <c r="A38" s="9" t="s">
        <v>30</v>
      </c>
      <c r="B38" s="6" t="s">
        <v>81</v>
      </c>
      <c r="C38" s="26">
        <v>30</v>
      </c>
      <c r="D38" s="42">
        <v>20.72</v>
      </c>
      <c r="E38" s="8">
        <f t="shared" si="0"/>
        <v>621.59999999999991</v>
      </c>
    </row>
    <row r="39" spans="1:5" ht="15.75" customHeight="1">
      <c r="A39" s="9" t="s">
        <v>30</v>
      </c>
      <c r="B39" s="6" t="s">
        <v>82</v>
      </c>
      <c r="C39" s="26">
        <v>12</v>
      </c>
      <c r="D39" s="42">
        <v>46.26</v>
      </c>
      <c r="E39" s="8">
        <f t="shared" si="0"/>
        <v>555.12</v>
      </c>
    </row>
    <row r="40" spans="1:5" ht="15.75" customHeight="1">
      <c r="A40" s="9" t="s">
        <v>30</v>
      </c>
      <c r="B40" s="6" t="s">
        <v>33</v>
      </c>
      <c r="C40" s="26">
        <v>18</v>
      </c>
      <c r="D40" s="42">
        <v>30.58</v>
      </c>
      <c r="E40" s="8">
        <f t="shared" si="0"/>
        <v>550.43999999999994</v>
      </c>
    </row>
    <row r="41" spans="1:5" ht="15.75" customHeight="1">
      <c r="A41" s="9" t="s">
        <v>30</v>
      </c>
      <c r="B41" s="6" t="s">
        <v>83</v>
      </c>
      <c r="C41" s="26">
        <v>26</v>
      </c>
      <c r="D41" s="42">
        <v>17.84</v>
      </c>
      <c r="E41" s="8">
        <f t="shared" si="0"/>
        <v>463.84</v>
      </c>
    </row>
    <row r="42" spans="1:5" ht="15.75" customHeight="1">
      <c r="A42" s="9" t="s">
        <v>30</v>
      </c>
      <c r="B42" s="6" t="s">
        <v>84</v>
      </c>
      <c r="C42" s="26">
        <v>39</v>
      </c>
      <c r="D42" s="42">
        <v>10.28</v>
      </c>
      <c r="E42" s="8">
        <f t="shared" si="0"/>
        <v>400.91999999999996</v>
      </c>
    </row>
    <row r="43" spans="1:5" ht="15.75" customHeight="1">
      <c r="A43" s="9" t="s">
        <v>30</v>
      </c>
      <c r="B43" s="6" t="s">
        <v>85</v>
      </c>
      <c r="C43" s="26">
        <v>10</v>
      </c>
      <c r="D43" s="42">
        <v>42</v>
      </c>
      <c r="E43" s="8">
        <f t="shared" si="0"/>
        <v>420</v>
      </c>
    </row>
    <row r="44" spans="1:5" ht="15.75" customHeight="1">
      <c r="A44" s="9" t="s">
        <v>30</v>
      </c>
      <c r="B44" s="6" t="s">
        <v>86</v>
      </c>
      <c r="C44" s="26">
        <v>77</v>
      </c>
      <c r="D44" s="42">
        <v>3.08</v>
      </c>
      <c r="E44" s="8">
        <f t="shared" si="0"/>
        <v>237.16</v>
      </c>
    </row>
    <row r="45" spans="1:5" ht="15.75" customHeight="1">
      <c r="A45" s="9" t="s">
        <v>30</v>
      </c>
      <c r="B45" s="6" t="s">
        <v>87</v>
      </c>
      <c r="C45" s="26">
        <v>116</v>
      </c>
      <c r="D45" s="42">
        <v>2.0099999999999998</v>
      </c>
      <c r="E45" s="8">
        <f t="shared" si="0"/>
        <v>233.15999999999997</v>
      </c>
    </row>
    <row r="46" spans="1:5" ht="15.75" customHeight="1">
      <c r="A46" s="9" t="s">
        <v>30</v>
      </c>
      <c r="B46" s="6" t="s">
        <v>88</v>
      </c>
      <c r="C46" s="26">
        <v>9</v>
      </c>
      <c r="D46" s="42">
        <v>23.95</v>
      </c>
      <c r="E46" s="8">
        <f t="shared" si="0"/>
        <v>215.54999999999998</v>
      </c>
    </row>
    <row r="47" spans="1:5" ht="15.75" customHeight="1">
      <c r="A47" s="9" t="s">
        <v>30</v>
      </c>
      <c r="B47" s="6" t="s">
        <v>89</v>
      </c>
      <c r="C47" s="26">
        <v>65</v>
      </c>
      <c r="D47" s="42">
        <v>2.78</v>
      </c>
      <c r="E47" s="8">
        <f t="shared" si="0"/>
        <v>180.7</v>
      </c>
    </row>
    <row r="48" spans="1:5" ht="15.75" customHeight="1">
      <c r="A48" s="9" t="s">
        <v>30</v>
      </c>
      <c r="B48" s="6" t="s">
        <v>90</v>
      </c>
      <c r="C48" s="26">
        <v>19</v>
      </c>
      <c r="D48" s="41">
        <v>11</v>
      </c>
      <c r="E48" s="8">
        <f t="shared" si="0"/>
        <v>209</v>
      </c>
    </row>
    <row r="49" spans="1:5" ht="15.75" customHeight="1">
      <c r="A49" s="9" t="s">
        <v>30</v>
      </c>
      <c r="B49" s="6" t="s">
        <v>91</v>
      </c>
      <c r="C49" s="26">
        <v>5</v>
      </c>
      <c r="D49" s="42">
        <v>26.85</v>
      </c>
      <c r="E49" s="8">
        <f t="shared" si="0"/>
        <v>134.25</v>
      </c>
    </row>
    <row r="50" spans="1:5" ht="15.75" customHeight="1">
      <c r="A50" s="9" t="s">
        <v>30</v>
      </c>
      <c r="B50" s="6" t="s">
        <v>92</v>
      </c>
      <c r="C50" s="26">
        <v>100</v>
      </c>
      <c r="D50" s="41">
        <v>0.77</v>
      </c>
      <c r="E50" s="8">
        <f t="shared" si="0"/>
        <v>77</v>
      </c>
    </row>
    <row r="51" spans="1:5" ht="15.75" customHeight="1">
      <c r="A51" s="9" t="s">
        <v>30</v>
      </c>
      <c r="B51" s="43" t="s">
        <v>198</v>
      </c>
      <c r="C51" s="26"/>
      <c r="D51" s="40"/>
      <c r="E51" s="8"/>
    </row>
    <row r="53" spans="1:5" ht="15.75" customHeight="1">
      <c r="A53" s="17" t="s">
        <v>199</v>
      </c>
    </row>
    <row r="54" spans="1:5" ht="15.75" customHeight="1">
      <c r="A54" s="9" t="s">
        <v>30</v>
      </c>
      <c r="E54" s="3">
        <f>SUMIF($A$3:$A$50,A54,$E$3:$E$50)</f>
        <v>344355.84999999986</v>
      </c>
    </row>
  </sheetData>
  <mergeCells count="1">
    <mergeCell ref="B1:E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A1119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2.6640625" defaultRowHeight="15.75" customHeight="1"/>
  <cols>
    <col min="1" max="1" width="15.5" customWidth="1"/>
  </cols>
  <sheetData>
    <row r="1" spans="1:27">
      <c r="A1" s="19"/>
      <c r="B1" s="64" t="s">
        <v>200</v>
      </c>
      <c r="C1" s="57"/>
      <c r="D1" s="57"/>
      <c r="E1" s="57"/>
      <c r="F1" s="57"/>
      <c r="G1" s="57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  <c r="AA1" s="44"/>
    </row>
    <row r="2" spans="1:27">
      <c r="A2" s="19" t="s">
        <v>45</v>
      </c>
      <c r="B2" s="19" t="s">
        <v>201</v>
      </c>
      <c r="C2" s="19" t="s">
        <v>202</v>
      </c>
      <c r="D2" s="19" t="s">
        <v>203</v>
      </c>
      <c r="E2" s="19" t="s">
        <v>204</v>
      </c>
      <c r="F2" s="19" t="s">
        <v>205</v>
      </c>
      <c r="G2" s="19" t="s">
        <v>206</v>
      </c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</row>
    <row r="3" spans="1:27" ht="15.75" customHeight="1">
      <c r="A3" s="18" t="s">
        <v>132</v>
      </c>
      <c r="B3" s="45">
        <v>44568</v>
      </c>
      <c r="C3" s="46" t="s">
        <v>207</v>
      </c>
      <c r="D3" s="46" t="s">
        <v>208</v>
      </c>
      <c r="E3" s="46">
        <v>1</v>
      </c>
      <c r="F3" s="40">
        <v>310776.68</v>
      </c>
      <c r="G3" s="40">
        <f t="shared" ref="G3:G168" si="0">IFERROR((IF(ISBLANK(C3),"",ABS(F3*E3))),"-")</f>
        <v>310776.68</v>
      </c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</row>
    <row r="4" spans="1:27" ht="15.75" customHeight="1">
      <c r="A4" s="18" t="s">
        <v>132</v>
      </c>
      <c r="B4" s="45">
        <v>44571</v>
      </c>
      <c r="C4" s="46" t="s">
        <v>209</v>
      </c>
      <c r="D4" s="46" t="s">
        <v>210</v>
      </c>
      <c r="E4" s="46">
        <v>903</v>
      </c>
      <c r="F4" s="40">
        <v>31.94</v>
      </c>
      <c r="G4" s="40">
        <f t="shared" si="0"/>
        <v>28841.82</v>
      </c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</row>
    <row r="5" spans="1:27" ht="15.75" customHeight="1">
      <c r="A5" s="18" t="s">
        <v>132</v>
      </c>
      <c r="B5" s="45">
        <v>44571</v>
      </c>
      <c r="C5" s="46" t="s">
        <v>211</v>
      </c>
      <c r="D5" s="46" t="s">
        <v>210</v>
      </c>
      <c r="E5" s="46">
        <v>410</v>
      </c>
      <c r="F5" s="40">
        <v>68.930000000000007</v>
      </c>
      <c r="G5" s="40">
        <f t="shared" si="0"/>
        <v>28261.300000000003</v>
      </c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</row>
    <row r="6" spans="1:27" ht="15.75" customHeight="1">
      <c r="A6" s="18" t="s">
        <v>132</v>
      </c>
      <c r="B6" s="45">
        <v>44571</v>
      </c>
      <c r="C6" s="46" t="s">
        <v>212</v>
      </c>
      <c r="D6" s="46" t="s">
        <v>210</v>
      </c>
      <c r="E6" s="46">
        <v>452</v>
      </c>
      <c r="F6" s="40">
        <v>66</v>
      </c>
      <c r="G6" s="40">
        <f t="shared" si="0"/>
        <v>29832</v>
      </c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</row>
    <row r="7" spans="1:27" ht="15.75" customHeight="1">
      <c r="A7" s="18" t="s">
        <v>132</v>
      </c>
      <c r="B7" s="45">
        <v>44571</v>
      </c>
      <c r="C7" s="46" t="s">
        <v>213</v>
      </c>
      <c r="D7" s="46" t="s">
        <v>210</v>
      </c>
      <c r="E7" s="46">
        <v>2052</v>
      </c>
      <c r="F7" s="40">
        <v>13.76</v>
      </c>
      <c r="G7" s="40">
        <f t="shared" si="0"/>
        <v>28235.52</v>
      </c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</row>
    <row r="8" spans="1:27" ht="15.75" customHeight="1">
      <c r="A8" s="18" t="s">
        <v>132</v>
      </c>
      <c r="B8" s="45">
        <v>44571</v>
      </c>
      <c r="C8" s="46" t="s">
        <v>214</v>
      </c>
      <c r="D8" s="46" t="s">
        <v>210</v>
      </c>
      <c r="E8" s="46">
        <v>1636</v>
      </c>
      <c r="F8" s="40">
        <v>17.29</v>
      </c>
      <c r="G8" s="40">
        <f t="shared" si="0"/>
        <v>28286.44</v>
      </c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</row>
    <row r="9" spans="1:27" ht="15.75" customHeight="1">
      <c r="A9" s="18" t="s">
        <v>132</v>
      </c>
      <c r="B9" s="45">
        <v>44571</v>
      </c>
      <c r="C9" s="46" t="s">
        <v>215</v>
      </c>
      <c r="D9" s="46" t="s">
        <v>210</v>
      </c>
      <c r="E9" s="46">
        <v>696</v>
      </c>
      <c r="F9" s="40">
        <v>42</v>
      </c>
      <c r="G9" s="40">
        <f t="shared" si="0"/>
        <v>29232</v>
      </c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</row>
    <row r="10" spans="1:27" ht="15.75" customHeight="1">
      <c r="A10" s="18" t="s">
        <v>132</v>
      </c>
      <c r="B10" s="45">
        <v>44571</v>
      </c>
      <c r="C10" s="46" t="s">
        <v>216</v>
      </c>
      <c r="D10" s="46" t="s">
        <v>210</v>
      </c>
      <c r="E10" s="46">
        <v>1009</v>
      </c>
      <c r="F10" s="40">
        <v>28.7</v>
      </c>
      <c r="G10" s="40">
        <f t="shared" si="0"/>
        <v>28958.3</v>
      </c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</row>
    <row r="11" spans="1:27" ht="15.75" customHeight="1">
      <c r="A11" s="18" t="s">
        <v>132</v>
      </c>
      <c r="B11" s="45">
        <v>44571</v>
      </c>
      <c r="C11" s="46" t="s">
        <v>217</v>
      </c>
      <c r="D11" s="46" t="s">
        <v>210</v>
      </c>
      <c r="E11" s="46">
        <v>604</v>
      </c>
      <c r="F11" s="40">
        <v>46.74</v>
      </c>
      <c r="G11" s="40">
        <f t="shared" si="0"/>
        <v>28230.960000000003</v>
      </c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</row>
    <row r="12" spans="1:27" ht="15.75" customHeight="1">
      <c r="A12" s="18" t="s">
        <v>132</v>
      </c>
      <c r="B12" s="45">
        <v>44571</v>
      </c>
      <c r="C12" s="46" t="s">
        <v>218</v>
      </c>
      <c r="D12" s="46" t="s">
        <v>210</v>
      </c>
      <c r="E12" s="46">
        <v>226</v>
      </c>
      <c r="F12" s="40">
        <v>125.09</v>
      </c>
      <c r="G12" s="40">
        <f t="shared" si="0"/>
        <v>28270.34</v>
      </c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</row>
    <row r="13" spans="1:27" ht="15.75" customHeight="1">
      <c r="A13" s="18" t="s">
        <v>132</v>
      </c>
      <c r="B13" s="45">
        <v>44571</v>
      </c>
      <c r="C13" s="46" t="s">
        <v>219</v>
      </c>
      <c r="D13" s="46" t="s">
        <v>210</v>
      </c>
      <c r="E13" s="46">
        <v>2814</v>
      </c>
      <c r="F13" s="40">
        <v>10.25</v>
      </c>
      <c r="G13" s="40">
        <f t="shared" si="0"/>
        <v>28843.5</v>
      </c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</row>
    <row r="14" spans="1:27" ht="15.75" customHeight="1">
      <c r="A14" s="18" t="s">
        <v>132</v>
      </c>
      <c r="B14" s="45">
        <v>44571</v>
      </c>
      <c r="C14" s="46" t="s">
        <v>220</v>
      </c>
      <c r="D14" s="46" t="s">
        <v>210</v>
      </c>
      <c r="E14" s="46">
        <v>756</v>
      </c>
      <c r="F14" s="40">
        <v>37.42</v>
      </c>
      <c r="G14" s="40">
        <f t="shared" si="0"/>
        <v>28289.52</v>
      </c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</row>
    <row r="15" spans="1:27" ht="15.75" customHeight="1">
      <c r="A15" s="18" t="s">
        <v>132</v>
      </c>
      <c r="B15" s="45">
        <v>44588</v>
      </c>
      <c r="C15" s="46" t="s">
        <v>216</v>
      </c>
      <c r="D15" s="46" t="s">
        <v>221</v>
      </c>
      <c r="E15" s="46">
        <v>1</v>
      </c>
      <c r="F15" s="40">
        <v>29.65</v>
      </c>
      <c r="G15" s="40">
        <f t="shared" si="0"/>
        <v>29.65</v>
      </c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</row>
    <row r="16" spans="1:27" ht="15.75" customHeight="1">
      <c r="A16" s="2" t="s">
        <v>30</v>
      </c>
      <c r="B16" s="45">
        <v>44563</v>
      </c>
      <c r="C16" s="46" t="s">
        <v>207</v>
      </c>
      <c r="D16" s="46" t="s">
        <v>208</v>
      </c>
      <c r="E16" s="46">
        <v>1</v>
      </c>
      <c r="F16" s="40">
        <v>337220.17</v>
      </c>
      <c r="G16" s="40">
        <f t="shared" si="0"/>
        <v>337220.17</v>
      </c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</row>
    <row r="17" spans="1:27" ht="15.75" customHeight="1">
      <c r="A17" s="2" t="s">
        <v>30</v>
      </c>
      <c r="B17" s="45">
        <v>44564</v>
      </c>
      <c r="C17" s="46" t="s">
        <v>47</v>
      </c>
      <c r="D17" s="46" t="s">
        <v>210</v>
      </c>
      <c r="E17" s="46">
        <v>1202</v>
      </c>
      <c r="F17" s="40">
        <v>60.37</v>
      </c>
      <c r="G17" s="40">
        <f t="shared" si="0"/>
        <v>72564.739999999991</v>
      </c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</row>
    <row r="18" spans="1:27" ht="15.75" customHeight="1">
      <c r="A18" s="2" t="s">
        <v>30</v>
      </c>
      <c r="B18" s="45">
        <v>44564</v>
      </c>
      <c r="C18" s="46" t="s">
        <v>48</v>
      </c>
      <c r="D18" s="46" t="s">
        <v>210</v>
      </c>
      <c r="E18" s="46">
        <v>93</v>
      </c>
      <c r="F18" s="40">
        <v>660</v>
      </c>
      <c r="G18" s="40">
        <f t="shared" si="0"/>
        <v>61380</v>
      </c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</row>
    <row r="19" spans="1:27" ht="15.75" customHeight="1">
      <c r="A19" s="2" t="s">
        <v>30</v>
      </c>
      <c r="B19" s="45">
        <v>44564</v>
      </c>
      <c r="C19" s="46" t="s">
        <v>49</v>
      </c>
      <c r="D19" s="46" t="s">
        <v>210</v>
      </c>
      <c r="E19" s="46">
        <v>36</v>
      </c>
      <c r="F19" s="40">
        <v>700</v>
      </c>
      <c r="G19" s="40">
        <f t="shared" si="0"/>
        <v>25200</v>
      </c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</row>
    <row r="20" spans="1:27" ht="15.75" customHeight="1">
      <c r="A20" s="2" t="s">
        <v>30</v>
      </c>
      <c r="B20" s="45">
        <v>44564</v>
      </c>
      <c r="C20" s="46" t="s">
        <v>50</v>
      </c>
      <c r="D20" s="46" t="s">
        <v>210</v>
      </c>
      <c r="E20" s="46">
        <v>411</v>
      </c>
      <c r="F20" s="40">
        <v>56.9</v>
      </c>
      <c r="G20" s="40">
        <f t="shared" si="0"/>
        <v>23385.899999999998</v>
      </c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</row>
    <row r="21" spans="1:27" ht="15.75" customHeight="1">
      <c r="A21" s="2" t="s">
        <v>30</v>
      </c>
      <c r="B21" s="45">
        <v>44564</v>
      </c>
      <c r="C21" s="46" t="s">
        <v>51</v>
      </c>
      <c r="D21" s="46" t="s">
        <v>210</v>
      </c>
      <c r="E21" s="46">
        <v>116</v>
      </c>
      <c r="F21" s="40">
        <v>209.02</v>
      </c>
      <c r="G21" s="40">
        <f t="shared" si="0"/>
        <v>24246.32</v>
      </c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</row>
    <row r="22" spans="1:27" ht="15.75" customHeight="1">
      <c r="A22" s="2" t="s">
        <v>30</v>
      </c>
      <c r="B22" s="45">
        <v>44564</v>
      </c>
      <c r="C22" s="46" t="s">
        <v>52</v>
      </c>
      <c r="D22" s="46" t="s">
        <v>210</v>
      </c>
      <c r="E22" s="46">
        <v>83</v>
      </c>
      <c r="F22" s="40">
        <v>262.29000000000002</v>
      </c>
      <c r="G22" s="40">
        <f t="shared" si="0"/>
        <v>21770.070000000003</v>
      </c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</row>
    <row r="23" spans="1:27" ht="15.75" customHeight="1">
      <c r="A23" s="2" t="s">
        <v>30</v>
      </c>
      <c r="B23" s="45">
        <v>44564</v>
      </c>
      <c r="C23" s="46" t="s">
        <v>53</v>
      </c>
      <c r="D23" s="46" t="s">
        <v>210</v>
      </c>
      <c r="E23" s="46">
        <v>334</v>
      </c>
      <c r="F23" s="40">
        <v>58.88</v>
      </c>
      <c r="G23" s="40">
        <f t="shared" si="0"/>
        <v>19665.920000000002</v>
      </c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</row>
    <row r="24" spans="1:27" ht="15.75" customHeight="1">
      <c r="A24" s="2" t="s">
        <v>30</v>
      </c>
      <c r="B24" s="45">
        <v>44564</v>
      </c>
      <c r="C24" s="46" t="s">
        <v>54</v>
      </c>
      <c r="D24" s="46" t="s">
        <v>210</v>
      </c>
      <c r="E24" s="46">
        <v>91</v>
      </c>
      <c r="F24" s="40">
        <v>107.5</v>
      </c>
      <c r="G24" s="40">
        <f t="shared" si="0"/>
        <v>9782.5</v>
      </c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</row>
    <row r="25" spans="1:27" ht="15.75" customHeight="1">
      <c r="A25" s="2" t="s">
        <v>30</v>
      </c>
      <c r="B25" s="45">
        <v>44564</v>
      </c>
      <c r="C25" s="46" t="s">
        <v>55</v>
      </c>
      <c r="D25" s="46" t="s">
        <v>210</v>
      </c>
      <c r="E25" s="46">
        <v>78</v>
      </c>
      <c r="F25" s="40">
        <v>116.4</v>
      </c>
      <c r="G25" s="40">
        <f t="shared" si="0"/>
        <v>9079.2000000000007</v>
      </c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</row>
    <row r="26" spans="1:27" ht="15.75" customHeight="1">
      <c r="A26" s="2" t="s">
        <v>30</v>
      </c>
      <c r="B26" s="45">
        <v>44564</v>
      </c>
      <c r="C26" s="46" t="s">
        <v>56</v>
      </c>
      <c r="D26" s="46" t="s">
        <v>210</v>
      </c>
      <c r="E26" s="46">
        <v>48</v>
      </c>
      <c r="F26" s="40">
        <v>138.16</v>
      </c>
      <c r="G26" s="40">
        <f t="shared" si="0"/>
        <v>6631.68</v>
      </c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</row>
    <row r="27" spans="1:27" ht="15.75" customHeight="1">
      <c r="A27" s="2" t="s">
        <v>30</v>
      </c>
      <c r="B27" s="45">
        <v>44564</v>
      </c>
      <c r="C27" s="46" t="s">
        <v>57</v>
      </c>
      <c r="D27" s="46" t="s">
        <v>210</v>
      </c>
      <c r="E27" s="46">
        <v>197</v>
      </c>
      <c r="F27" s="40">
        <v>34.07</v>
      </c>
      <c r="G27" s="40">
        <f t="shared" si="0"/>
        <v>6711.79</v>
      </c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</row>
    <row r="28" spans="1:27" ht="15.75" customHeight="1">
      <c r="A28" s="2" t="s">
        <v>30</v>
      </c>
      <c r="B28" s="45">
        <v>44564</v>
      </c>
      <c r="C28" s="46" t="s">
        <v>58</v>
      </c>
      <c r="D28" s="46" t="s">
        <v>210</v>
      </c>
      <c r="E28" s="46">
        <v>84</v>
      </c>
      <c r="F28" s="40">
        <v>72.5</v>
      </c>
      <c r="G28" s="40">
        <f t="shared" si="0"/>
        <v>6090</v>
      </c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</row>
    <row r="29" spans="1:27" ht="15.75" customHeight="1">
      <c r="A29" s="2" t="s">
        <v>30</v>
      </c>
      <c r="B29" s="45">
        <v>44564</v>
      </c>
      <c r="C29" s="46" t="s">
        <v>59</v>
      </c>
      <c r="D29" s="46" t="s">
        <v>210</v>
      </c>
      <c r="E29" s="46">
        <v>119</v>
      </c>
      <c r="F29" s="40">
        <v>45</v>
      </c>
      <c r="G29" s="40">
        <f t="shared" si="0"/>
        <v>5355</v>
      </c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</row>
    <row r="30" spans="1:27" ht="15.75" customHeight="1">
      <c r="A30" s="2" t="s">
        <v>30</v>
      </c>
      <c r="B30" s="45">
        <v>44564</v>
      </c>
      <c r="C30" s="46" t="s">
        <v>60</v>
      </c>
      <c r="D30" s="46" t="s">
        <v>210</v>
      </c>
      <c r="E30" s="46">
        <v>262</v>
      </c>
      <c r="F30" s="40">
        <v>16.86</v>
      </c>
      <c r="G30" s="40">
        <f t="shared" si="0"/>
        <v>4417.32</v>
      </c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</row>
    <row r="31" spans="1:27" ht="15.75" customHeight="1">
      <c r="A31" s="2" t="s">
        <v>30</v>
      </c>
      <c r="B31" s="45">
        <v>44564</v>
      </c>
      <c r="C31" s="46" t="s">
        <v>61</v>
      </c>
      <c r="D31" s="46" t="s">
        <v>210</v>
      </c>
      <c r="E31" s="46">
        <v>52</v>
      </c>
      <c r="F31" s="40">
        <v>89</v>
      </c>
      <c r="G31" s="40">
        <f t="shared" si="0"/>
        <v>4628</v>
      </c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</row>
    <row r="32" spans="1:27" ht="15.75" customHeight="1">
      <c r="A32" s="2" t="s">
        <v>30</v>
      </c>
      <c r="B32" s="45">
        <v>44564</v>
      </c>
      <c r="C32" s="46" t="s">
        <v>62</v>
      </c>
      <c r="D32" s="46" t="s">
        <v>210</v>
      </c>
      <c r="E32" s="46">
        <v>39</v>
      </c>
      <c r="F32" s="40">
        <v>104</v>
      </c>
      <c r="G32" s="40">
        <f t="shared" si="0"/>
        <v>4056</v>
      </c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</row>
    <row r="33" spans="1:27" ht="15.75" customHeight="1">
      <c r="A33" s="2" t="s">
        <v>30</v>
      </c>
      <c r="B33" s="45">
        <v>44564</v>
      </c>
      <c r="C33" s="46" t="s">
        <v>63</v>
      </c>
      <c r="D33" s="46" t="s">
        <v>210</v>
      </c>
      <c r="E33" s="46">
        <v>37</v>
      </c>
      <c r="F33" s="40">
        <v>119.11</v>
      </c>
      <c r="G33" s="40">
        <f t="shared" si="0"/>
        <v>4407.07</v>
      </c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</row>
    <row r="34" spans="1:27" ht="15.75" customHeight="1">
      <c r="A34" s="2" t="s">
        <v>30</v>
      </c>
      <c r="B34" s="45">
        <v>44564</v>
      </c>
      <c r="C34" s="46" t="s">
        <v>64</v>
      </c>
      <c r="D34" s="46" t="s">
        <v>210</v>
      </c>
      <c r="E34" s="46">
        <v>30</v>
      </c>
      <c r="F34" s="40">
        <v>112.7</v>
      </c>
      <c r="G34" s="40">
        <f t="shared" si="0"/>
        <v>3381</v>
      </c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</row>
    <row r="35" spans="1:27" ht="15.75" customHeight="1">
      <c r="A35" s="2" t="s">
        <v>30</v>
      </c>
      <c r="B35" s="45">
        <v>44564</v>
      </c>
      <c r="C35" s="46" t="s">
        <v>66</v>
      </c>
      <c r="D35" s="46" t="s">
        <v>210</v>
      </c>
      <c r="E35" s="46">
        <v>74</v>
      </c>
      <c r="F35" s="40">
        <v>34.700000000000003</v>
      </c>
      <c r="G35" s="40">
        <f t="shared" si="0"/>
        <v>2567.8000000000002</v>
      </c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</row>
    <row r="36" spans="1:27" ht="15.75" customHeight="1">
      <c r="A36" s="2" t="s">
        <v>30</v>
      </c>
      <c r="B36" s="45">
        <v>44564</v>
      </c>
      <c r="C36" s="46" t="s">
        <v>31</v>
      </c>
      <c r="D36" s="46" t="s">
        <v>210</v>
      </c>
      <c r="E36" s="46">
        <v>67</v>
      </c>
      <c r="F36" s="40">
        <v>39.15</v>
      </c>
      <c r="G36" s="40">
        <f t="shared" si="0"/>
        <v>2623.0499999999997</v>
      </c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</row>
    <row r="37" spans="1:27" ht="15.75" customHeight="1">
      <c r="A37" s="2" t="s">
        <v>30</v>
      </c>
      <c r="B37" s="45">
        <v>44564</v>
      </c>
      <c r="C37" s="46" t="s">
        <v>68</v>
      </c>
      <c r="D37" s="46" t="s">
        <v>210</v>
      </c>
      <c r="E37" s="46">
        <v>115</v>
      </c>
      <c r="F37" s="40">
        <v>17.55</v>
      </c>
      <c r="G37" s="40">
        <f t="shared" si="0"/>
        <v>2018.25</v>
      </c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</row>
    <row r="38" spans="1:27" ht="15.75" customHeight="1">
      <c r="A38" s="2" t="s">
        <v>30</v>
      </c>
      <c r="B38" s="45">
        <v>44564</v>
      </c>
      <c r="C38" s="46" t="s">
        <v>69</v>
      </c>
      <c r="D38" s="46" t="s">
        <v>210</v>
      </c>
      <c r="E38" s="46">
        <v>23</v>
      </c>
      <c r="F38" s="40">
        <v>84.88</v>
      </c>
      <c r="G38" s="40">
        <f t="shared" si="0"/>
        <v>1952.2399999999998</v>
      </c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</row>
    <row r="39" spans="1:27" ht="15.75" customHeight="1">
      <c r="A39" s="2" t="s">
        <v>30</v>
      </c>
      <c r="B39" s="45">
        <v>44564</v>
      </c>
      <c r="C39" s="46" t="s">
        <v>70</v>
      </c>
      <c r="D39" s="46" t="s">
        <v>210</v>
      </c>
      <c r="E39" s="46">
        <v>65</v>
      </c>
      <c r="F39" s="40">
        <v>29.15</v>
      </c>
      <c r="G39" s="40">
        <f t="shared" si="0"/>
        <v>1894.75</v>
      </c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</row>
    <row r="40" spans="1:27" ht="15.75" customHeight="1">
      <c r="A40" s="2" t="s">
        <v>30</v>
      </c>
      <c r="B40" s="45">
        <v>44564</v>
      </c>
      <c r="C40" s="46" t="s">
        <v>71</v>
      </c>
      <c r="D40" s="46" t="s">
        <v>210</v>
      </c>
      <c r="E40" s="46">
        <v>129</v>
      </c>
      <c r="F40" s="40">
        <v>13.61</v>
      </c>
      <c r="G40" s="40">
        <f t="shared" si="0"/>
        <v>1755.6899999999998</v>
      </c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</row>
    <row r="41" spans="1:27" ht="15.75" customHeight="1">
      <c r="A41" s="2" t="s">
        <v>30</v>
      </c>
      <c r="B41" s="45">
        <v>44564</v>
      </c>
      <c r="C41" s="46" t="s">
        <v>72</v>
      </c>
      <c r="D41" s="46" t="s">
        <v>210</v>
      </c>
      <c r="E41" s="46">
        <v>67</v>
      </c>
      <c r="F41" s="40">
        <v>28.21</v>
      </c>
      <c r="G41" s="40">
        <f t="shared" si="0"/>
        <v>1890.0700000000002</v>
      </c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</row>
    <row r="42" spans="1:27" ht="15.75" customHeight="1">
      <c r="A42" s="2" t="s">
        <v>30</v>
      </c>
      <c r="B42" s="45">
        <v>44564</v>
      </c>
      <c r="C42" s="46" t="s">
        <v>73</v>
      </c>
      <c r="D42" s="46" t="s">
        <v>210</v>
      </c>
      <c r="E42" s="46">
        <v>52</v>
      </c>
      <c r="F42" s="40">
        <v>29.5</v>
      </c>
      <c r="G42" s="40">
        <f t="shared" si="0"/>
        <v>1534</v>
      </c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</row>
    <row r="43" spans="1:27" ht="15.75" customHeight="1">
      <c r="A43" s="2" t="s">
        <v>30</v>
      </c>
      <c r="B43" s="45">
        <v>44564</v>
      </c>
      <c r="C43" s="46" t="s">
        <v>74</v>
      </c>
      <c r="D43" s="46" t="s">
        <v>210</v>
      </c>
      <c r="E43" s="46">
        <v>26</v>
      </c>
      <c r="F43" s="40">
        <v>64.3</v>
      </c>
      <c r="G43" s="40">
        <f t="shared" si="0"/>
        <v>1671.8</v>
      </c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</row>
    <row r="44" spans="1:27" ht="15.75" customHeight="1">
      <c r="A44" s="2" t="s">
        <v>30</v>
      </c>
      <c r="B44" s="45">
        <v>44564</v>
      </c>
      <c r="C44" s="46" t="s">
        <v>75</v>
      </c>
      <c r="D44" s="46" t="s">
        <v>210</v>
      </c>
      <c r="E44" s="46">
        <v>88</v>
      </c>
      <c r="F44" s="40">
        <v>12.2</v>
      </c>
      <c r="G44" s="40">
        <f t="shared" si="0"/>
        <v>1073.5999999999999</v>
      </c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</row>
    <row r="45" spans="1:27" ht="15.75" customHeight="1">
      <c r="A45" s="2" t="s">
        <v>30</v>
      </c>
      <c r="B45" s="45">
        <v>44564</v>
      </c>
      <c r="C45" s="47" t="s">
        <v>76</v>
      </c>
      <c r="D45" s="46" t="s">
        <v>210</v>
      </c>
      <c r="E45" s="47">
        <v>65</v>
      </c>
      <c r="F45" s="8">
        <v>15.25</v>
      </c>
      <c r="G45" s="40">
        <f t="shared" si="0"/>
        <v>991.25</v>
      </c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</row>
    <row r="46" spans="1:27" ht="15.75" customHeight="1">
      <c r="A46" s="2" t="s">
        <v>30</v>
      </c>
      <c r="B46" s="45">
        <v>44564</v>
      </c>
      <c r="C46" s="47" t="s">
        <v>77</v>
      </c>
      <c r="D46" s="46" t="s">
        <v>210</v>
      </c>
      <c r="E46" s="47">
        <v>24</v>
      </c>
      <c r="F46" s="8">
        <v>44.95</v>
      </c>
      <c r="G46" s="40">
        <f t="shared" si="0"/>
        <v>1078.8000000000002</v>
      </c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</row>
    <row r="47" spans="1:27" ht="15.75" customHeight="1">
      <c r="A47" s="2" t="s">
        <v>30</v>
      </c>
      <c r="B47" s="45">
        <v>44564</v>
      </c>
      <c r="C47" s="47" t="s">
        <v>78</v>
      </c>
      <c r="D47" s="46" t="s">
        <v>210</v>
      </c>
      <c r="E47" s="47">
        <v>4</v>
      </c>
      <c r="F47" s="8">
        <v>297.10000000000002</v>
      </c>
      <c r="G47" s="40">
        <f t="shared" si="0"/>
        <v>1188.4000000000001</v>
      </c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</row>
    <row r="48" spans="1:27" ht="15.75" customHeight="1">
      <c r="A48" s="2" t="s">
        <v>30</v>
      </c>
      <c r="B48" s="45">
        <v>44564</v>
      </c>
      <c r="C48" s="47" t="s">
        <v>79</v>
      </c>
      <c r="D48" s="46" t="s">
        <v>210</v>
      </c>
      <c r="E48" s="47">
        <v>35</v>
      </c>
      <c r="F48" s="8">
        <v>24.5</v>
      </c>
      <c r="G48" s="40">
        <f t="shared" si="0"/>
        <v>857.5</v>
      </c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</row>
    <row r="49" spans="1:27" ht="15.75" customHeight="1">
      <c r="A49" s="2" t="s">
        <v>30</v>
      </c>
      <c r="B49" s="45">
        <v>44564</v>
      </c>
      <c r="C49" s="47" t="s">
        <v>80</v>
      </c>
      <c r="D49" s="46" t="s">
        <v>210</v>
      </c>
      <c r="E49" s="47">
        <v>16</v>
      </c>
      <c r="F49" s="8">
        <v>50.98</v>
      </c>
      <c r="G49" s="40">
        <f t="shared" si="0"/>
        <v>815.68</v>
      </c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</row>
    <row r="50" spans="1:27" ht="15.75" customHeight="1">
      <c r="A50" s="2" t="s">
        <v>30</v>
      </c>
      <c r="B50" s="45">
        <v>44564</v>
      </c>
      <c r="C50" s="47" t="s">
        <v>82</v>
      </c>
      <c r="D50" s="46" t="s">
        <v>210</v>
      </c>
      <c r="E50" s="47">
        <v>12</v>
      </c>
      <c r="F50" s="8">
        <v>46.26</v>
      </c>
      <c r="G50" s="40">
        <f t="shared" si="0"/>
        <v>555.12</v>
      </c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</row>
    <row r="51" spans="1:27" ht="15.75" customHeight="1">
      <c r="A51" s="2" t="s">
        <v>30</v>
      </c>
      <c r="B51" s="45">
        <v>44564</v>
      </c>
      <c r="C51" s="47" t="s">
        <v>33</v>
      </c>
      <c r="D51" s="46" t="s">
        <v>210</v>
      </c>
      <c r="E51" s="47">
        <v>18</v>
      </c>
      <c r="F51" s="8">
        <v>30.58</v>
      </c>
      <c r="G51" s="40">
        <f t="shared" si="0"/>
        <v>550.43999999999994</v>
      </c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</row>
    <row r="52" spans="1:27" ht="15.75" customHeight="1">
      <c r="A52" s="2" t="s">
        <v>30</v>
      </c>
      <c r="B52" s="45">
        <v>44564</v>
      </c>
      <c r="C52" s="47" t="s">
        <v>83</v>
      </c>
      <c r="D52" s="46" t="s">
        <v>210</v>
      </c>
      <c r="E52" s="47">
        <v>26</v>
      </c>
      <c r="F52" s="8">
        <v>17.84</v>
      </c>
      <c r="G52" s="40">
        <f t="shared" si="0"/>
        <v>463.84</v>
      </c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</row>
    <row r="53" spans="1:27" ht="15.75" customHeight="1">
      <c r="A53" s="2" t="s">
        <v>30</v>
      </c>
      <c r="B53" s="45">
        <v>44564</v>
      </c>
      <c r="C53" s="47" t="s">
        <v>84</v>
      </c>
      <c r="D53" s="46" t="s">
        <v>210</v>
      </c>
      <c r="E53" s="47">
        <v>39</v>
      </c>
      <c r="F53" s="8">
        <v>10.28</v>
      </c>
      <c r="G53" s="40">
        <f t="shared" si="0"/>
        <v>400.91999999999996</v>
      </c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</row>
    <row r="54" spans="1:27" ht="15.75" customHeight="1">
      <c r="A54" s="2" t="s">
        <v>30</v>
      </c>
      <c r="B54" s="45">
        <v>44564</v>
      </c>
      <c r="C54" s="47" t="s">
        <v>85</v>
      </c>
      <c r="D54" s="46" t="s">
        <v>210</v>
      </c>
      <c r="E54" s="47">
        <v>10</v>
      </c>
      <c r="F54" s="8">
        <v>42</v>
      </c>
      <c r="G54" s="40">
        <f t="shared" si="0"/>
        <v>420</v>
      </c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</row>
    <row r="55" spans="1:27" ht="15.75" customHeight="1">
      <c r="A55" s="2" t="s">
        <v>30</v>
      </c>
      <c r="B55" s="45">
        <v>44564</v>
      </c>
      <c r="C55" s="47" t="s">
        <v>86</v>
      </c>
      <c r="D55" s="46" t="s">
        <v>210</v>
      </c>
      <c r="E55" s="47">
        <v>77</v>
      </c>
      <c r="F55" s="8">
        <v>3.08</v>
      </c>
      <c r="G55" s="40">
        <f t="shared" si="0"/>
        <v>237.16</v>
      </c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</row>
    <row r="56" spans="1:27" ht="15.75" customHeight="1">
      <c r="A56" s="2" t="s">
        <v>30</v>
      </c>
      <c r="B56" s="45">
        <v>44564</v>
      </c>
      <c r="C56" s="47" t="s">
        <v>87</v>
      </c>
      <c r="D56" s="46" t="s">
        <v>210</v>
      </c>
      <c r="E56" s="47">
        <v>116</v>
      </c>
      <c r="F56" s="8">
        <v>2.0099999999999998</v>
      </c>
      <c r="G56" s="40">
        <f t="shared" si="0"/>
        <v>233.15999999999997</v>
      </c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</row>
    <row r="57" spans="1:27" ht="15.75" customHeight="1">
      <c r="A57" s="2" t="s">
        <v>30</v>
      </c>
      <c r="B57" s="45">
        <v>44564</v>
      </c>
      <c r="C57" s="47" t="s">
        <v>88</v>
      </c>
      <c r="D57" s="46" t="s">
        <v>210</v>
      </c>
      <c r="E57" s="47">
        <v>9</v>
      </c>
      <c r="F57" s="8">
        <v>23.95</v>
      </c>
      <c r="G57" s="40">
        <f t="shared" si="0"/>
        <v>215.54999999999998</v>
      </c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</row>
    <row r="58" spans="1:27" ht="15.75" customHeight="1">
      <c r="A58" s="2" t="s">
        <v>30</v>
      </c>
      <c r="B58" s="45">
        <v>44564</v>
      </c>
      <c r="C58" s="47" t="s">
        <v>89</v>
      </c>
      <c r="D58" s="46" t="s">
        <v>210</v>
      </c>
      <c r="E58" s="47">
        <v>65</v>
      </c>
      <c r="F58" s="8">
        <v>2.78</v>
      </c>
      <c r="G58" s="40">
        <f t="shared" si="0"/>
        <v>180.7</v>
      </c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</row>
    <row r="59" spans="1:27" ht="15.75" customHeight="1">
      <c r="A59" s="2" t="s">
        <v>30</v>
      </c>
      <c r="B59" s="45">
        <v>44564</v>
      </c>
      <c r="C59" s="47" t="s">
        <v>90</v>
      </c>
      <c r="D59" s="46" t="s">
        <v>210</v>
      </c>
      <c r="E59" s="47">
        <v>19</v>
      </c>
      <c r="F59" s="8">
        <v>11</v>
      </c>
      <c r="G59" s="40">
        <f t="shared" si="0"/>
        <v>209</v>
      </c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</row>
    <row r="60" spans="1:27" ht="15.75" customHeight="1">
      <c r="A60" s="2" t="s">
        <v>30</v>
      </c>
      <c r="B60" s="45">
        <v>44564</v>
      </c>
      <c r="C60" s="47" t="s">
        <v>91</v>
      </c>
      <c r="D60" s="46" t="s">
        <v>210</v>
      </c>
      <c r="E60" s="47">
        <v>5</v>
      </c>
      <c r="F60" s="8">
        <v>26.85</v>
      </c>
      <c r="G60" s="40">
        <f t="shared" si="0"/>
        <v>134.25</v>
      </c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</row>
    <row r="61" spans="1:27" ht="13">
      <c r="A61" s="2" t="s">
        <v>30</v>
      </c>
      <c r="B61" s="45">
        <v>44564</v>
      </c>
      <c r="C61" s="47" t="s">
        <v>92</v>
      </c>
      <c r="D61" s="46" t="s">
        <v>210</v>
      </c>
      <c r="E61" s="47">
        <v>100</v>
      </c>
      <c r="F61" s="8">
        <v>0.77</v>
      </c>
      <c r="G61" s="40">
        <f t="shared" si="0"/>
        <v>77</v>
      </c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</row>
    <row r="62" spans="1:27" ht="13">
      <c r="A62" s="2" t="s">
        <v>30</v>
      </c>
      <c r="B62" s="45">
        <v>44565</v>
      </c>
      <c r="C62" s="46" t="s">
        <v>65</v>
      </c>
      <c r="D62" s="46" t="s">
        <v>210</v>
      </c>
      <c r="E62" s="46">
        <v>51</v>
      </c>
      <c r="F62" s="40">
        <v>45.05</v>
      </c>
      <c r="G62" s="40">
        <f t="shared" si="0"/>
        <v>2297.5499999999997</v>
      </c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</row>
    <row r="63" spans="1:27" ht="13">
      <c r="A63" s="2" t="s">
        <v>30</v>
      </c>
      <c r="B63" s="45">
        <v>44566</v>
      </c>
      <c r="C63" s="47" t="s">
        <v>81</v>
      </c>
      <c r="D63" s="46" t="s">
        <v>210</v>
      </c>
      <c r="E63" s="47">
        <v>30</v>
      </c>
      <c r="F63" s="8">
        <v>20.72</v>
      </c>
      <c r="G63" s="40">
        <f t="shared" si="0"/>
        <v>621.59999999999991</v>
      </c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</row>
    <row r="64" spans="1:27" ht="13">
      <c r="A64" s="2" t="s">
        <v>30</v>
      </c>
      <c r="B64" s="45">
        <v>44571</v>
      </c>
      <c r="C64" s="46" t="s">
        <v>67</v>
      </c>
      <c r="D64" s="46" t="s">
        <v>210</v>
      </c>
      <c r="E64" s="46">
        <v>7</v>
      </c>
      <c r="F64" s="40">
        <v>156.31</v>
      </c>
      <c r="G64" s="40">
        <f t="shared" si="0"/>
        <v>1094.17</v>
      </c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</row>
    <row r="65" spans="1:27" ht="14">
      <c r="A65" s="48" t="s">
        <v>140</v>
      </c>
      <c r="B65" s="45">
        <v>44563</v>
      </c>
      <c r="C65" s="46" t="s">
        <v>207</v>
      </c>
      <c r="D65" s="46" t="s">
        <v>208</v>
      </c>
      <c r="E65" s="46">
        <v>1</v>
      </c>
      <c r="F65" s="40">
        <v>377306.33</v>
      </c>
      <c r="G65" s="40">
        <f t="shared" si="0"/>
        <v>377306.33</v>
      </c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</row>
    <row r="66" spans="1:27" ht="14">
      <c r="A66" s="48" t="s">
        <v>140</v>
      </c>
      <c r="B66" s="45">
        <v>44564</v>
      </c>
      <c r="C66" s="46" t="s">
        <v>141</v>
      </c>
      <c r="D66" s="46" t="s">
        <v>210</v>
      </c>
      <c r="E66" s="47">
        <v>1033</v>
      </c>
      <c r="F66" s="40">
        <v>52.02</v>
      </c>
      <c r="G66" s="40">
        <f t="shared" si="0"/>
        <v>53736.66</v>
      </c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</row>
    <row r="67" spans="1:27" ht="14">
      <c r="A67" s="48" t="s">
        <v>140</v>
      </c>
      <c r="B67" s="45">
        <v>44564</v>
      </c>
      <c r="C67" s="46" t="s">
        <v>142</v>
      </c>
      <c r="D67" s="46" t="s">
        <v>210</v>
      </c>
      <c r="E67" s="47">
        <v>630</v>
      </c>
      <c r="F67" s="40">
        <v>76.62</v>
      </c>
      <c r="G67" s="40">
        <f t="shared" si="0"/>
        <v>48270.600000000006</v>
      </c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</row>
    <row r="68" spans="1:27" ht="14">
      <c r="A68" s="48" t="s">
        <v>140</v>
      </c>
      <c r="B68" s="45">
        <v>44564</v>
      </c>
      <c r="C68" s="46" t="s">
        <v>143</v>
      </c>
      <c r="D68" s="46" t="s">
        <v>210</v>
      </c>
      <c r="E68" s="47">
        <v>192</v>
      </c>
      <c r="F68" s="40">
        <v>105.25</v>
      </c>
      <c r="G68" s="40">
        <f t="shared" si="0"/>
        <v>20208</v>
      </c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</row>
    <row r="69" spans="1:27" ht="14">
      <c r="A69" s="48" t="s">
        <v>140</v>
      </c>
      <c r="B69" s="45">
        <v>44564</v>
      </c>
      <c r="C69" s="46" t="s">
        <v>144</v>
      </c>
      <c r="D69" s="46" t="s">
        <v>210</v>
      </c>
      <c r="E69" s="47">
        <v>71</v>
      </c>
      <c r="F69" s="40">
        <v>260</v>
      </c>
      <c r="G69" s="40">
        <f t="shared" si="0"/>
        <v>18460</v>
      </c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</row>
    <row r="70" spans="1:27" ht="14">
      <c r="A70" s="48" t="s">
        <v>140</v>
      </c>
      <c r="B70" s="45">
        <v>44564</v>
      </c>
      <c r="C70" s="46" t="s">
        <v>145</v>
      </c>
      <c r="D70" s="46" t="s">
        <v>210</v>
      </c>
      <c r="E70" s="47">
        <v>210</v>
      </c>
      <c r="F70" s="40">
        <v>85.56</v>
      </c>
      <c r="G70" s="40">
        <f t="shared" si="0"/>
        <v>17967.600000000002</v>
      </c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</row>
    <row r="71" spans="1:27" ht="14">
      <c r="A71" s="48" t="s">
        <v>140</v>
      </c>
      <c r="B71" s="45">
        <v>44564</v>
      </c>
      <c r="C71" s="46" t="s">
        <v>146</v>
      </c>
      <c r="D71" s="46" t="s">
        <v>210</v>
      </c>
      <c r="E71" s="47">
        <v>202</v>
      </c>
      <c r="F71" s="40">
        <v>78.900000000000006</v>
      </c>
      <c r="G71" s="40">
        <f t="shared" si="0"/>
        <v>15937.800000000001</v>
      </c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</row>
    <row r="72" spans="1:27" ht="14">
      <c r="A72" s="48" t="s">
        <v>140</v>
      </c>
      <c r="B72" s="45">
        <v>44564</v>
      </c>
      <c r="C72" s="46" t="s">
        <v>147</v>
      </c>
      <c r="D72" s="46" t="s">
        <v>210</v>
      </c>
      <c r="E72" s="47">
        <v>84</v>
      </c>
      <c r="F72" s="40">
        <v>143.22</v>
      </c>
      <c r="G72" s="40">
        <f t="shared" si="0"/>
        <v>12030.48</v>
      </c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</row>
    <row r="73" spans="1:27" ht="14">
      <c r="A73" s="48" t="s">
        <v>140</v>
      </c>
      <c r="B73" s="45">
        <v>44564</v>
      </c>
      <c r="C73" s="46" t="s">
        <v>148</v>
      </c>
      <c r="D73" s="46" t="s">
        <v>210</v>
      </c>
      <c r="E73" s="47">
        <v>146</v>
      </c>
      <c r="F73" s="40">
        <v>82.99</v>
      </c>
      <c r="G73" s="40">
        <f t="shared" si="0"/>
        <v>12116.539999999999</v>
      </c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</row>
    <row r="74" spans="1:27" ht="14">
      <c r="A74" s="48" t="s">
        <v>140</v>
      </c>
      <c r="B74" s="45">
        <v>44564</v>
      </c>
      <c r="C74" s="46" t="s">
        <v>149</v>
      </c>
      <c r="D74" s="46" t="s">
        <v>210</v>
      </c>
      <c r="E74" s="47">
        <v>126</v>
      </c>
      <c r="F74" s="40">
        <v>89.26</v>
      </c>
      <c r="G74" s="40">
        <f t="shared" si="0"/>
        <v>11246.76</v>
      </c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</row>
    <row r="75" spans="1:27" ht="14">
      <c r="A75" s="48" t="s">
        <v>140</v>
      </c>
      <c r="B75" s="45">
        <v>44564</v>
      </c>
      <c r="C75" s="46" t="s">
        <v>150</v>
      </c>
      <c r="D75" s="46" t="s">
        <v>210</v>
      </c>
      <c r="E75" s="47">
        <v>125</v>
      </c>
      <c r="F75" s="40">
        <v>86.8</v>
      </c>
      <c r="G75" s="40">
        <f t="shared" si="0"/>
        <v>10850</v>
      </c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</row>
    <row r="76" spans="1:27" ht="14">
      <c r="A76" s="48" t="s">
        <v>140</v>
      </c>
      <c r="B76" s="45">
        <v>44564</v>
      </c>
      <c r="C76" s="46" t="s">
        <v>151</v>
      </c>
      <c r="D76" s="46" t="s">
        <v>210</v>
      </c>
      <c r="E76" s="47">
        <v>151</v>
      </c>
      <c r="F76" s="40">
        <v>67.900000000000006</v>
      </c>
      <c r="G76" s="40">
        <f t="shared" si="0"/>
        <v>10252.900000000001</v>
      </c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</row>
    <row r="77" spans="1:27" ht="14">
      <c r="A77" s="48" t="s">
        <v>140</v>
      </c>
      <c r="B77" s="45">
        <v>44564</v>
      </c>
      <c r="C77" s="46" t="s">
        <v>152</v>
      </c>
      <c r="D77" s="46" t="s">
        <v>210</v>
      </c>
      <c r="E77" s="47">
        <v>37</v>
      </c>
      <c r="F77" s="40">
        <v>239.85</v>
      </c>
      <c r="G77" s="40">
        <f t="shared" si="0"/>
        <v>8874.4499999999989</v>
      </c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</row>
    <row r="78" spans="1:27" ht="14">
      <c r="A78" s="48" t="s">
        <v>140</v>
      </c>
      <c r="B78" s="45">
        <v>44564</v>
      </c>
      <c r="C78" s="46" t="s">
        <v>38</v>
      </c>
      <c r="D78" s="46" t="s">
        <v>210</v>
      </c>
      <c r="E78" s="47">
        <v>186</v>
      </c>
      <c r="F78" s="40">
        <v>45.5</v>
      </c>
      <c r="G78" s="40">
        <f t="shared" si="0"/>
        <v>8463</v>
      </c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</row>
    <row r="79" spans="1:27" ht="14">
      <c r="A79" s="48" t="s">
        <v>140</v>
      </c>
      <c r="B79" s="45">
        <v>44564</v>
      </c>
      <c r="C79" s="46" t="s">
        <v>153</v>
      </c>
      <c r="D79" s="46" t="s">
        <v>210</v>
      </c>
      <c r="E79" s="47">
        <v>91</v>
      </c>
      <c r="F79" s="40">
        <v>87.4</v>
      </c>
      <c r="G79" s="40">
        <f t="shared" si="0"/>
        <v>7953.4000000000005</v>
      </c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</row>
    <row r="80" spans="1:27" ht="14">
      <c r="A80" s="48" t="s">
        <v>140</v>
      </c>
      <c r="B80" s="45">
        <v>44564</v>
      </c>
      <c r="C80" s="46" t="s">
        <v>154</v>
      </c>
      <c r="D80" s="46" t="s">
        <v>210</v>
      </c>
      <c r="E80" s="47">
        <v>79</v>
      </c>
      <c r="F80" s="40">
        <v>99.5</v>
      </c>
      <c r="G80" s="40">
        <f t="shared" si="0"/>
        <v>7860.5</v>
      </c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</row>
    <row r="81" spans="1:27" ht="14">
      <c r="A81" s="48" t="s">
        <v>140</v>
      </c>
      <c r="B81" s="45">
        <v>44564</v>
      </c>
      <c r="C81" s="46" t="s">
        <v>155</v>
      </c>
      <c r="D81" s="46" t="s">
        <v>210</v>
      </c>
      <c r="E81" s="47">
        <v>88</v>
      </c>
      <c r="F81" s="40">
        <v>85.75</v>
      </c>
      <c r="G81" s="40">
        <f t="shared" si="0"/>
        <v>7546</v>
      </c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</row>
    <row r="82" spans="1:27" ht="14">
      <c r="A82" s="48" t="s">
        <v>140</v>
      </c>
      <c r="B82" s="45">
        <v>44564</v>
      </c>
      <c r="C82" s="46" t="s">
        <v>156</v>
      </c>
      <c r="D82" s="46" t="s">
        <v>210</v>
      </c>
      <c r="E82" s="47">
        <v>135</v>
      </c>
      <c r="F82" s="40">
        <v>49.2</v>
      </c>
      <c r="G82" s="40">
        <f t="shared" si="0"/>
        <v>6642</v>
      </c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</row>
    <row r="83" spans="1:27" ht="14">
      <c r="A83" s="48" t="s">
        <v>140</v>
      </c>
      <c r="B83" s="45">
        <v>44564</v>
      </c>
      <c r="C83" s="46" t="s">
        <v>157</v>
      </c>
      <c r="D83" s="46" t="s">
        <v>210</v>
      </c>
      <c r="E83" s="47">
        <v>67</v>
      </c>
      <c r="F83" s="40">
        <v>97</v>
      </c>
      <c r="G83" s="40">
        <f t="shared" si="0"/>
        <v>6499</v>
      </c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</row>
    <row r="84" spans="1:27" ht="14">
      <c r="A84" s="48" t="s">
        <v>140</v>
      </c>
      <c r="B84" s="45">
        <v>44564</v>
      </c>
      <c r="C84" s="46" t="s">
        <v>158</v>
      </c>
      <c r="D84" s="46" t="s">
        <v>210</v>
      </c>
      <c r="E84" s="47">
        <v>61</v>
      </c>
      <c r="F84" s="40">
        <v>102.97</v>
      </c>
      <c r="G84" s="40">
        <f t="shared" si="0"/>
        <v>6281.17</v>
      </c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</row>
    <row r="85" spans="1:27" ht="14">
      <c r="A85" s="48" t="s">
        <v>140</v>
      </c>
      <c r="B85" s="45">
        <v>44564</v>
      </c>
      <c r="C85" s="46" t="s">
        <v>159</v>
      </c>
      <c r="D85" s="46" t="s">
        <v>210</v>
      </c>
      <c r="E85" s="47">
        <v>64</v>
      </c>
      <c r="F85" s="40">
        <v>89.06</v>
      </c>
      <c r="G85" s="40">
        <f t="shared" si="0"/>
        <v>5699.84</v>
      </c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</row>
    <row r="86" spans="1:27" ht="14">
      <c r="A86" s="48" t="s">
        <v>140</v>
      </c>
      <c r="B86" s="45">
        <v>44564</v>
      </c>
      <c r="C86" s="46" t="s">
        <v>160</v>
      </c>
      <c r="D86" s="46" t="s">
        <v>210</v>
      </c>
      <c r="E86" s="47">
        <v>73</v>
      </c>
      <c r="F86" s="40">
        <v>93.12</v>
      </c>
      <c r="G86" s="40">
        <f t="shared" si="0"/>
        <v>6797.76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</row>
    <row r="87" spans="1:27" ht="14">
      <c r="A87" s="48" t="s">
        <v>140</v>
      </c>
      <c r="B87" s="45">
        <v>44564</v>
      </c>
      <c r="C87" s="46" t="s">
        <v>161</v>
      </c>
      <c r="D87" s="46" t="s">
        <v>210</v>
      </c>
      <c r="E87" s="47">
        <v>85</v>
      </c>
      <c r="F87" s="40">
        <v>64.64</v>
      </c>
      <c r="G87" s="40">
        <f t="shared" si="0"/>
        <v>5494.4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</row>
    <row r="88" spans="1:27" ht="14">
      <c r="A88" s="48" t="s">
        <v>140</v>
      </c>
      <c r="B88" s="45">
        <v>44564</v>
      </c>
      <c r="C88" s="46" t="s">
        <v>162</v>
      </c>
      <c r="D88" s="46" t="s">
        <v>210</v>
      </c>
      <c r="E88" s="47">
        <v>31</v>
      </c>
      <c r="F88" s="40">
        <v>178</v>
      </c>
      <c r="G88" s="40">
        <f t="shared" si="0"/>
        <v>5518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</row>
    <row r="89" spans="1:27" ht="14">
      <c r="A89" s="48" t="s">
        <v>140</v>
      </c>
      <c r="B89" s="45">
        <v>44564</v>
      </c>
      <c r="C89" s="46" t="s">
        <v>163</v>
      </c>
      <c r="D89" s="46" t="s">
        <v>210</v>
      </c>
      <c r="E89" s="47">
        <v>30</v>
      </c>
      <c r="F89" s="40">
        <v>174</v>
      </c>
      <c r="G89" s="40">
        <f t="shared" si="0"/>
        <v>5220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</row>
    <row r="90" spans="1:27" ht="14">
      <c r="A90" s="48" t="s">
        <v>140</v>
      </c>
      <c r="B90" s="45">
        <v>44564</v>
      </c>
      <c r="C90" s="46" t="s">
        <v>164</v>
      </c>
      <c r="D90" s="46" t="s">
        <v>210</v>
      </c>
      <c r="E90" s="47">
        <v>72</v>
      </c>
      <c r="F90" s="40">
        <v>66.430000000000007</v>
      </c>
      <c r="G90" s="40">
        <f t="shared" si="0"/>
        <v>4782.9600000000009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</row>
    <row r="91" spans="1:27" ht="14">
      <c r="A91" s="48" t="s">
        <v>140</v>
      </c>
      <c r="B91" s="45">
        <v>44564</v>
      </c>
      <c r="C91" s="46" t="s">
        <v>165</v>
      </c>
      <c r="D91" s="46" t="s">
        <v>210</v>
      </c>
      <c r="E91" s="47">
        <v>120</v>
      </c>
      <c r="F91" s="40">
        <v>34.47</v>
      </c>
      <c r="G91" s="40">
        <f t="shared" si="0"/>
        <v>4136.3999999999996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</row>
    <row r="92" spans="1:27" ht="14">
      <c r="A92" s="48" t="s">
        <v>140</v>
      </c>
      <c r="B92" s="45">
        <v>44564</v>
      </c>
      <c r="C92" s="46" t="s">
        <v>166</v>
      </c>
      <c r="D92" s="46" t="s">
        <v>210</v>
      </c>
      <c r="E92" s="47">
        <v>57</v>
      </c>
      <c r="F92" s="40">
        <v>69.39</v>
      </c>
      <c r="G92" s="40">
        <f t="shared" si="0"/>
        <v>3955.23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</row>
    <row r="93" spans="1:27" ht="14">
      <c r="A93" s="48" t="s">
        <v>140</v>
      </c>
      <c r="B93" s="45">
        <v>44564</v>
      </c>
      <c r="C93" s="46" t="s">
        <v>167</v>
      </c>
      <c r="D93" s="46" t="s">
        <v>210</v>
      </c>
      <c r="E93" s="47">
        <v>62</v>
      </c>
      <c r="F93" s="40">
        <v>61.8</v>
      </c>
      <c r="G93" s="40">
        <f t="shared" si="0"/>
        <v>3831.6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</row>
    <row r="94" spans="1:27" ht="14">
      <c r="A94" s="48" t="s">
        <v>140</v>
      </c>
      <c r="B94" s="45">
        <v>44564</v>
      </c>
      <c r="C94" s="46" t="s">
        <v>168</v>
      </c>
      <c r="D94" s="46" t="s">
        <v>210</v>
      </c>
      <c r="E94" s="47">
        <v>27</v>
      </c>
      <c r="F94" s="40">
        <v>139.69999999999999</v>
      </c>
      <c r="G94" s="40">
        <f t="shared" si="0"/>
        <v>3771.8999999999996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</row>
    <row r="95" spans="1:27" ht="14">
      <c r="A95" s="48" t="s">
        <v>140</v>
      </c>
      <c r="B95" s="45">
        <v>44564</v>
      </c>
      <c r="C95" s="46" t="s">
        <v>169</v>
      </c>
      <c r="D95" s="46" t="s">
        <v>210</v>
      </c>
      <c r="E95" s="47">
        <v>75</v>
      </c>
      <c r="F95" s="40">
        <v>43.75</v>
      </c>
      <c r="G95" s="40">
        <f t="shared" si="0"/>
        <v>3281.25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</row>
    <row r="96" spans="1:27" ht="14">
      <c r="A96" s="48" t="s">
        <v>140</v>
      </c>
      <c r="B96" s="45">
        <v>44564</v>
      </c>
      <c r="C96" s="47" t="s">
        <v>170</v>
      </c>
      <c r="D96" s="46" t="s">
        <v>210</v>
      </c>
      <c r="E96" s="47">
        <v>33</v>
      </c>
      <c r="F96" s="8">
        <v>106.38</v>
      </c>
      <c r="G96" s="40">
        <f t="shared" si="0"/>
        <v>3510.54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</row>
    <row r="97" spans="1:27" ht="14">
      <c r="A97" s="48" t="s">
        <v>140</v>
      </c>
      <c r="B97" s="45">
        <v>44564</v>
      </c>
      <c r="C97" s="47" t="s">
        <v>26</v>
      </c>
      <c r="D97" s="46" t="s">
        <v>210</v>
      </c>
      <c r="E97" s="47">
        <v>255</v>
      </c>
      <c r="F97" s="8">
        <v>12.65</v>
      </c>
      <c r="G97" s="40">
        <f t="shared" si="0"/>
        <v>3225.75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</row>
    <row r="98" spans="1:27" ht="14">
      <c r="A98" s="48" t="s">
        <v>140</v>
      </c>
      <c r="B98" s="45">
        <v>44564</v>
      </c>
      <c r="C98" s="47" t="s">
        <v>171</v>
      </c>
      <c r="D98" s="46" t="s">
        <v>210</v>
      </c>
      <c r="E98" s="47">
        <v>400</v>
      </c>
      <c r="F98" s="8">
        <v>6.18</v>
      </c>
      <c r="G98" s="40">
        <f t="shared" si="0"/>
        <v>2472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</row>
    <row r="99" spans="1:27" ht="14">
      <c r="A99" s="48" t="s">
        <v>140</v>
      </c>
      <c r="B99" s="45">
        <v>44564</v>
      </c>
      <c r="C99" s="47" t="s">
        <v>172</v>
      </c>
      <c r="D99" s="46" t="s">
        <v>210</v>
      </c>
      <c r="E99" s="47">
        <v>98</v>
      </c>
      <c r="F99" s="8">
        <v>28</v>
      </c>
      <c r="G99" s="40">
        <f t="shared" si="0"/>
        <v>2744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</row>
    <row r="100" spans="1:27" ht="14">
      <c r="A100" s="48" t="s">
        <v>140</v>
      </c>
      <c r="B100" s="45">
        <v>44564</v>
      </c>
      <c r="C100" s="47" t="s">
        <v>173</v>
      </c>
      <c r="D100" s="46" t="s">
        <v>210</v>
      </c>
      <c r="E100" s="47">
        <v>76</v>
      </c>
      <c r="F100" s="8">
        <v>29.1</v>
      </c>
      <c r="G100" s="40">
        <f t="shared" si="0"/>
        <v>2211.6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</row>
    <row r="101" spans="1:27" ht="14">
      <c r="A101" s="48" t="s">
        <v>140</v>
      </c>
      <c r="B101" s="45">
        <v>44564</v>
      </c>
      <c r="C101" s="47" t="s">
        <v>174</v>
      </c>
      <c r="D101" s="46" t="s">
        <v>210</v>
      </c>
      <c r="E101" s="47">
        <v>78</v>
      </c>
      <c r="F101" s="8">
        <v>21.84</v>
      </c>
      <c r="G101" s="40">
        <f t="shared" si="0"/>
        <v>1703.52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</row>
    <row r="102" spans="1:27" ht="14">
      <c r="A102" s="48" t="s">
        <v>140</v>
      </c>
      <c r="B102" s="45">
        <v>44564</v>
      </c>
      <c r="C102" s="47" t="s">
        <v>175</v>
      </c>
      <c r="D102" s="46" t="s">
        <v>210</v>
      </c>
      <c r="E102" s="47">
        <v>52</v>
      </c>
      <c r="F102" s="8">
        <v>31.5</v>
      </c>
      <c r="G102" s="40">
        <f t="shared" si="0"/>
        <v>1638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</row>
    <row r="103" spans="1:27" ht="14">
      <c r="A103" s="48" t="s">
        <v>140</v>
      </c>
      <c r="B103" s="45">
        <v>44564</v>
      </c>
      <c r="C103" s="47" t="s">
        <v>176</v>
      </c>
      <c r="D103" s="46" t="s">
        <v>210</v>
      </c>
      <c r="E103" s="47">
        <v>10</v>
      </c>
      <c r="F103" s="8">
        <v>135.30000000000001</v>
      </c>
      <c r="G103" s="40">
        <f t="shared" si="0"/>
        <v>1353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</row>
    <row r="104" spans="1:27" ht="14">
      <c r="A104" s="48" t="s">
        <v>140</v>
      </c>
      <c r="B104" s="45">
        <v>44564</v>
      </c>
      <c r="C104" s="47" t="s">
        <v>36</v>
      </c>
      <c r="D104" s="46" t="s">
        <v>210</v>
      </c>
      <c r="E104" s="47">
        <v>27</v>
      </c>
      <c r="F104" s="8">
        <v>53</v>
      </c>
      <c r="G104" s="40">
        <f t="shared" si="0"/>
        <v>1431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</row>
    <row r="105" spans="1:27" ht="14">
      <c r="A105" s="48" t="s">
        <v>140</v>
      </c>
      <c r="B105" s="45">
        <v>44564</v>
      </c>
      <c r="C105" s="47" t="s">
        <v>177</v>
      </c>
      <c r="D105" s="46" t="s">
        <v>210</v>
      </c>
      <c r="E105" s="47">
        <v>53</v>
      </c>
      <c r="F105" s="8">
        <v>27.83</v>
      </c>
      <c r="G105" s="40">
        <f t="shared" si="0"/>
        <v>1474.99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</row>
    <row r="106" spans="1:27" ht="14">
      <c r="A106" s="48" t="s">
        <v>140</v>
      </c>
      <c r="B106" s="45">
        <v>44564</v>
      </c>
      <c r="C106" s="47" t="s">
        <v>178</v>
      </c>
      <c r="D106" s="46" t="s">
        <v>210</v>
      </c>
      <c r="E106" s="47">
        <v>112</v>
      </c>
      <c r="F106" s="8">
        <v>12.41</v>
      </c>
      <c r="G106" s="40">
        <f t="shared" si="0"/>
        <v>1389.92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</row>
    <row r="107" spans="1:27" ht="14">
      <c r="A107" s="48" t="s">
        <v>140</v>
      </c>
      <c r="B107" s="45">
        <v>44564</v>
      </c>
      <c r="C107" s="47" t="s">
        <v>179</v>
      </c>
      <c r="D107" s="46" t="s">
        <v>210</v>
      </c>
      <c r="E107" s="47">
        <v>9</v>
      </c>
      <c r="F107" s="8">
        <v>179.15</v>
      </c>
      <c r="G107" s="40">
        <f t="shared" si="0"/>
        <v>1612.3500000000001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</row>
    <row r="108" spans="1:27" ht="14">
      <c r="A108" s="48" t="s">
        <v>140</v>
      </c>
      <c r="B108" s="45">
        <v>44564</v>
      </c>
      <c r="C108" s="47" t="s">
        <v>180</v>
      </c>
      <c r="D108" s="46" t="s">
        <v>210</v>
      </c>
      <c r="E108" s="47">
        <v>59</v>
      </c>
      <c r="F108" s="8">
        <v>29</v>
      </c>
      <c r="G108" s="40">
        <f t="shared" si="0"/>
        <v>1711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</row>
    <row r="109" spans="1:27" ht="14">
      <c r="A109" s="48" t="s">
        <v>140</v>
      </c>
      <c r="B109" s="45">
        <v>44564</v>
      </c>
      <c r="C109" s="47" t="s">
        <v>181</v>
      </c>
      <c r="D109" s="46" t="s">
        <v>210</v>
      </c>
      <c r="E109" s="47">
        <v>45</v>
      </c>
      <c r="F109" s="8">
        <v>29.1</v>
      </c>
      <c r="G109" s="40">
        <f t="shared" si="0"/>
        <v>1309.5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</row>
    <row r="110" spans="1:27" ht="14">
      <c r="A110" s="48" t="s">
        <v>140</v>
      </c>
      <c r="B110" s="45">
        <v>44564</v>
      </c>
      <c r="C110" s="47" t="s">
        <v>182</v>
      </c>
      <c r="D110" s="46" t="s">
        <v>210</v>
      </c>
      <c r="E110" s="47">
        <v>30</v>
      </c>
      <c r="F110" s="8">
        <v>43</v>
      </c>
      <c r="G110" s="40">
        <f t="shared" si="0"/>
        <v>1290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</row>
    <row r="111" spans="1:27" ht="14">
      <c r="A111" s="48" t="s">
        <v>140</v>
      </c>
      <c r="B111" s="45">
        <v>44564</v>
      </c>
      <c r="C111" s="47" t="s">
        <v>183</v>
      </c>
      <c r="D111" s="46" t="s">
        <v>210</v>
      </c>
      <c r="E111" s="47">
        <v>27</v>
      </c>
      <c r="F111" s="8">
        <v>42</v>
      </c>
      <c r="G111" s="40">
        <f t="shared" si="0"/>
        <v>1134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</row>
    <row r="112" spans="1:27" ht="14">
      <c r="A112" s="48" t="s">
        <v>140</v>
      </c>
      <c r="B112" s="45">
        <v>44564</v>
      </c>
      <c r="C112" s="47" t="s">
        <v>184</v>
      </c>
      <c r="D112" s="46" t="s">
        <v>210</v>
      </c>
      <c r="E112" s="47">
        <v>21</v>
      </c>
      <c r="F112" s="8">
        <v>46.28</v>
      </c>
      <c r="G112" s="40">
        <f t="shared" si="0"/>
        <v>971.88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</row>
    <row r="113" spans="1:27" ht="14">
      <c r="A113" s="48" t="s">
        <v>140</v>
      </c>
      <c r="B113" s="45">
        <v>44564</v>
      </c>
      <c r="C113" s="47" t="s">
        <v>185</v>
      </c>
      <c r="D113" s="46" t="s">
        <v>210</v>
      </c>
      <c r="E113" s="47">
        <v>24</v>
      </c>
      <c r="F113" s="8">
        <v>42.8</v>
      </c>
      <c r="G113" s="40">
        <f t="shared" si="0"/>
        <v>1027.1999999999998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</row>
    <row r="114" spans="1:27" ht="14">
      <c r="A114" s="48" t="s">
        <v>140</v>
      </c>
      <c r="B114" s="45">
        <v>44564</v>
      </c>
      <c r="C114" s="47" t="s">
        <v>186</v>
      </c>
      <c r="D114" s="46" t="s">
        <v>210</v>
      </c>
      <c r="E114" s="47">
        <v>20</v>
      </c>
      <c r="F114" s="8">
        <v>47</v>
      </c>
      <c r="G114" s="40">
        <f t="shared" si="0"/>
        <v>940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</row>
    <row r="115" spans="1:27" ht="14">
      <c r="A115" s="48" t="s">
        <v>140</v>
      </c>
      <c r="B115" s="45">
        <v>44564</v>
      </c>
      <c r="C115" s="47" t="s">
        <v>187</v>
      </c>
      <c r="D115" s="46" t="s">
        <v>210</v>
      </c>
      <c r="E115" s="47">
        <v>28</v>
      </c>
      <c r="F115" s="8">
        <v>30.1</v>
      </c>
      <c r="G115" s="40">
        <f t="shared" si="0"/>
        <v>842.80000000000007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</row>
    <row r="116" spans="1:27" ht="14">
      <c r="A116" s="48" t="s">
        <v>140</v>
      </c>
      <c r="B116" s="45">
        <v>44564</v>
      </c>
      <c r="C116" s="47" t="s">
        <v>188</v>
      </c>
      <c r="D116" s="46" t="s">
        <v>210</v>
      </c>
      <c r="E116" s="47">
        <v>18</v>
      </c>
      <c r="F116" s="8">
        <v>43.2</v>
      </c>
      <c r="G116" s="40">
        <f t="shared" si="0"/>
        <v>777.6</v>
      </c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</row>
    <row r="117" spans="1:27" ht="14">
      <c r="A117" s="48" t="s">
        <v>140</v>
      </c>
      <c r="B117" s="45">
        <v>44564</v>
      </c>
      <c r="C117" s="47" t="s">
        <v>189</v>
      </c>
      <c r="D117" s="46" t="s">
        <v>210</v>
      </c>
      <c r="E117" s="47">
        <v>17</v>
      </c>
      <c r="F117" s="8">
        <v>38.25</v>
      </c>
      <c r="G117" s="40">
        <f t="shared" si="0"/>
        <v>650.25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</row>
    <row r="118" spans="1:27" ht="14">
      <c r="A118" s="48" t="s">
        <v>140</v>
      </c>
      <c r="B118" s="45">
        <v>44564</v>
      </c>
      <c r="C118" s="47" t="s">
        <v>222</v>
      </c>
      <c r="D118" s="46" t="s">
        <v>210</v>
      </c>
      <c r="E118" s="47">
        <v>7</v>
      </c>
      <c r="F118" s="8">
        <v>95.01</v>
      </c>
      <c r="G118" s="40">
        <f t="shared" si="0"/>
        <v>665.07</v>
      </c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</row>
    <row r="119" spans="1:27" ht="14">
      <c r="A119" s="48" t="s">
        <v>140</v>
      </c>
      <c r="B119" s="45">
        <v>44564</v>
      </c>
      <c r="C119" s="47" t="s">
        <v>190</v>
      </c>
      <c r="D119" s="46" t="s">
        <v>210</v>
      </c>
      <c r="E119" s="47">
        <v>14</v>
      </c>
      <c r="F119" s="8">
        <v>44</v>
      </c>
      <c r="G119" s="40">
        <f t="shared" si="0"/>
        <v>616</v>
      </c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</row>
    <row r="120" spans="1:27" ht="14">
      <c r="A120" s="48" t="s">
        <v>140</v>
      </c>
      <c r="B120" s="45">
        <v>44565</v>
      </c>
      <c r="C120" s="47" t="s">
        <v>222</v>
      </c>
      <c r="D120" s="46" t="s">
        <v>221</v>
      </c>
      <c r="E120" s="47">
        <v>7</v>
      </c>
      <c r="F120" s="8">
        <f>665/E120</f>
        <v>95</v>
      </c>
      <c r="G120" s="40">
        <f t="shared" si="0"/>
        <v>665</v>
      </c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</row>
    <row r="121" spans="1:27" ht="13">
      <c r="A121" s="2" t="s">
        <v>40</v>
      </c>
      <c r="B121" s="49">
        <v>44568</v>
      </c>
      <c r="C121" s="50" t="s">
        <v>207</v>
      </c>
      <c r="D121" s="51" t="s">
        <v>208</v>
      </c>
      <c r="E121" s="51">
        <v>1</v>
      </c>
      <c r="F121" s="52">
        <v>230313.73</v>
      </c>
      <c r="G121" s="52">
        <f t="shared" si="0"/>
        <v>230313.73</v>
      </c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</row>
    <row r="122" spans="1:27" ht="13">
      <c r="A122" s="2" t="s">
        <v>40</v>
      </c>
      <c r="B122" s="49">
        <v>44571</v>
      </c>
      <c r="C122" s="50" t="s">
        <v>105</v>
      </c>
      <c r="D122" s="51" t="s">
        <v>210</v>
      </c>
      <c r="E122" s="51">
        <v>947</v>
      </c>
      <c r="F122" s="52">
        <v>8.1999999999999993</v>
      </c>
      <c r="G122" s="52">
        <f t="shared" si="0"/>
        <v>7765.4</v>
      </c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</row>
    <row r="123" spans="1:27" ht="13">
      <c r="A123" s="2" t="s">
        <v>40</v>
      </c>
      <c r="B123" s="49">
        <v>44571</v>
      </c>
      <c r="C123" s="50" t="s">
        <v>106</v>
      </c>
      <c r="D123" s="51" t="s">
        <v>210</v>
      </c>
      <c r="E123" s="51">
        <v>554</v>
      </c>
      <c r="F123" s="52">
        <v>14.1</v>
      </c>
      <c r="G123" s="52">
        <f t="shared" si="0"/>
        <v>7811.4</v>
      </c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</row>
    <row r="124" spans="1:27" ht="13">
      <c r="A124" s="2" t="s">
        <v>40</v>
      </c>
      <c r="B124" s="49">
        <v>44571</v>
      </c>
      <c r="C124" s="50" t="s">
        <v>107</v>
      </c>
      <c r="D124" s="51" t="s">
        <v>210</v>
      </c>
      <c r="E124" s="51">
        <v>759</v>
      </c>
      <c r="F124" s="52">
        <v>10.11</v>
      </c>
      <c r="G124" s="52">
        <f t="shared" si="0"/>
        <v>7673.49</v>
      </c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</row>
    <row r="125" spans="1:27" ht="13">
      <c r="A125" s="2" t="s">
        <v>40</v>
      </c>
      <c r="B125" s="49">
        <v>44571</v>
      </c>
      <c r="C125" s="50" t="s">
        <v>108</v>
      </c>
      <c r="D125" s="51" t="s">
        <v>210</v>
      </c>
      <c r="E125" s="51">
        <v>144</v>
      </c>
      <c r="F125" s="52">
        <v>59.16</v>
      </c>
      <c r="G125" s="52">
        <f t="shared" si="0"/>
        <v>8519.0399999999991</v>
      </c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</row>
    <row r="126" spans="1:27" ht="13">
      <c r="A126" s="2" t="s">
        <v>40</v>
      </c>
      <c r="B126" s="49">
        <v>44571</v>
      </c>
      <c r="C126" s="50" t="s">
        <v>43</v>
      </c>
      <c r="D126" s="51" t="s">
        <v>210</v>
      </c>
      <c r="E126" s="51">
        <v>170</v>
      </c>
      <c r="F126" s="52">
        <v>48.8</v>
      </c>
      <c r="G126" s="52">
        <f t="shared" si="0"/>
        <v>8296</v>
      </c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</row>
    <row r="127" spans="1:27" ht="13">
      <c r="A127" s="2" t="s">
        <v>40</v>
      </c>
      <c r="B127" s="49">
        <v>44571</v>
      </c>
      <c r="C127" s="50" t="s">
        <v>109</v>
      </c>
      <c r="D127" s="51" t="s">
        <v>210</v>
      </c>
      <c r="E127" s="51">
        <v>193</v>
      </c>
      <c r="F127" s="52">
        <v>41.79</v>
      </c>
      <c r="G127" s="52">
        <f t="shared" si="0"/>
        <v>8065.47</v>
      </c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</row>
    <row r="128" spans="1:27" ht="13">
      <c r="A128" s="2" t="s">
        <v>40</v>
      </c>
      <c r="B128" s="49">
        <v>44571</v>
      </c>
      <c r="C128" s="50" t="s">
        <v>110</v>
      </c>
      <c r="D128" s="51" t="s">
        <v>210</v>
      </c>
      <c r="E128" s="51">
        <v>142</v>
      </c>
      <c r="F128" s="52">
        <v>54.3</v>
      </c>
      <c r="G128" s="52">
        <f t="shared" si="0"/>
        <v>7710.5999999999995</v>
      </c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</row>
    <row r="129" spans="1:27" ht="13">
      <c r="A129" s="2" t="s">
        <v>40</v>
      </c>
      <c r="B129" s="49">
        <v>44571</v>
      </c>
      <c r="C129" s="50" t="s">
        <v>111</v>
      </c>
      <c r="D129" s="51" t="s">
        <v>210</v>
      </c>
      <c r="E129" s="51">
        <v>1432</v>
      </c>
      <c r="F129" s="52">
        <v>5.45</v>
      </c>
      <c r="G129" s="52">
        <f t="shared" si="0"/>
        <v>7804.4000000000005</v>
      </c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</row>
    <row r="130" spans="1:27" ht="13">
      <c r="A130" s="2" t="s">
        <v>40</v>
      </c>
      <c r="B130" s="49">
        <v>44571</v>
      </c>
      <c r="C130" s="50" t="s">
        <v>112</v>
      </c>
      <c r="D130" s="51" t="s">
        <v>210</v>
      </c>
      <c r="E130" s="51">
        <v>41</v>
      </c>
      <c r="F130" s="52">
        <v>188.99</v>
      </c>
      <c r="G130" s="52">
        <f t="shared" si="0"/>
        <v>7748.59</v>
      </c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</row>
    <row r="131" spans="1:27" ht="13">
      <c r="A131" s="2" t="s">
        <v>40</v>
      </c>
      <c r="B131" s="49">
        <v>44571</v>
      </c>
      <c r="C131" s="50" t="s">
        <v>41</v>
      </c>
      <c r="D131" s="51" t="s">
        <v>210</v>
      </c>
      <c r="E131" s="51">
        <v>123</v>
      </c>
      <c r="F131" s="52">
        <v>63</v>
      </c>
      <c r="G131" s="52">
        <f t="shared" si="0"/>
        <v>7749</v>
      </c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</row>
    <row r="132" spans="1:27" ht="13">
      <c r="A132" s="2" t="s">
        <v>40</v>
      </c>
      <c r="B132" s="49">
        <v>44571</v>
      </c>
      <c r="C132" s="50" t="s">
        <v>113</v>
      </c>
      <c r="D132" s="51" t="s">
        <v>210</v>
      </c>
      <c r="E132" s="51">
        <v>37</v>
      </c>
      <c r="F132" s="52">
        <v>209.82</v>
      </c>
      <c r="G132" s="52">
        <f t="shared" si="0"/>
        <v>7763.34</v>
      </c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</row>
    <row r="133" spans="1:27" ht="13">
      <c r="A133" s="2" t="s">
        <v>40</v>
      </c>
      <c r="B133" s="49">
        <v>44571</v>
      </c>
      <c r="C133" s="50" t="s">
        <v>114</v>
      </c>
      <c r="D133" s="51" t="s">
        <v>210</v>
      </c>
      <c r="E133" s="51">
        <v>301</v>
      </c>
      <c r="F133" s="52">
        <v>25.49</v>
      </c>
      <c r="G133" s="52">
        <f t="shared" si="0"/>
        <v>7672.49</v>
      </c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</row>
    <row r="134" spans="1:27" ht="13">
      <c r="A134" s="2" t="s">
        <v>40</v>
      </c>
      <c r="B134" s="49">
        <v>44571</v>
      </c>
      <c r="C134" s="50" t="s">
        <v>115</v>
      </c>
      <c r="D134" s="51" t="s">
        <v>210</v>
      </c>
      <c r="E134" s="51">
        <v>139</v>
      </c>
      <c r="F134" s="52">
        <v>56</v>
      </c>
      <c r="G134" s="52">
        <f t="shared" si="0"/>
        <v>7784</v>
      </c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</row>
    <row r="135" spans="1:27" ht="13">
      <c r="A135" s="2" t="s">
        <v>40</v>
      </c>
      <c r="B135" s="49">
        <v>44571</v>
      </c>
      <c r="C135" s="50" t="s">
        <v>116</v>
      </c>
      <c r="D135" s="51" t="s">
        <v>210</v>
      </c>
      <c r="E135" s="51">
        <v>752</v>
      </c>
      <c r="F135" s="52">
        <v>10.9</v>
      </c>
      <c r="G135" s="52">
        <f t="shared" si="0"/>
        <v>8196.8000000000011</v>
      </c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</row>
    <row r="136" spans="1:27" ht="13">
      <c r="A136" s="2" t="s">
        <v>40</v>
      </c>
      <c r="B136" s="49">
        <v>44571</v>
      </c>
      <c r="C136" s="50" t="s">
        <v>117</v>
      </c>
      <c r="D136" s="51" t="s">
        <v>210</v>
      </c>
      <c r="E136" s="51">
        <v>657</v>
      </c>
      <c r="F136" s="52">
        <v>12.09</v>
      </c>
      <c r="G136" s="52">
        <f t="shared" si="0"/>
        <v>7943.13</v>
      </c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</row>
    <row r="137" spans="1:27" ht="13">
      <c r="A137" s="2" t="s">
        <v>40</v>
      </c>
      <c r="B137" s="49">
        <v>44571</v>
      </c>
      <c r="C137" s="50" t="s">
        <v>118</v>
      </c>
      <c r="D137" s="51" t="s">
        <v>210</v>
      </c>
      <c r="E137" s="51">
        <v>292</v>
      </c>
      <c r="F137" s="52">
        <v>26.23</v>
      </c>
      <c r="G137" s="52">
        <f t="shared" si="0"/>
        <v>7659.16</v>
      </c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</row>
    <row r="138" spans="1:27" ht="13">
      <c r="A138" s="2" t="s">
        <v>40</v>
      </c>
      <c r="B138" s="49">
        <v>44571</v>
      </c>
      <c r="C138" s="50" t="s">
        <v>26</v>
      </c>
      <c r="D138" s="51" t="s">
        <v>210</v>
      </c>
      <c r="E138" s="51">
        <v>558</v>
      </c>
      <c r="F138" s="52">
        <v>13.76</v>
      </c>
      <c r="G138" s="52">
        <f t="shared" si="0"/>
        <v>7678.08</v>
      </c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</row>
    <row r="139" spans="1:27" ht="13">
      <c r="A139" s="2" t="s">
        <v>40</v>
      </c>
      <c r="B139" s="49">
        <v>44571</v>
      </c>
      <c r="C139" s="50" t="s">
        <v>119</v>
      </c>
      <c r="D139" s="51" t="s">
        <v>210</v>
      </c>
      <c r="E139" s="51">
        <v>939</v>
      </c>
      <c r="F139" s="52">
        <v>8.18</v>
      </c>
      <c r="G139" s="52">
        <f t="shared" si="0"/>
        <v>7681.0199999999995</v>
      </c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</row>
    <row r="140" spans="1:27" ht="13">
      <c r="A140" s="2" t="s">
        <v>40</v>
      </c>
      <c r="B140" s="49">
        <v>44571</v>
      </c>
      <c r="C140" s="50" t="s">
        <v>120</v>
      </c>
      <c r="D140" s="51" t="s">
        <v>210</v>
      </c>
      <c r="E140" s="51">
        <v>162</v>
      </c>
      <c r="F140" s="52">
        <v>49.94</v>
      </c>
      <c r="G140" s="52">
        <f t="shared" si="0"/>
        <v>8090.28</v>
      </c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</row>
    <row r="141" spans="1:27" ht="13">
      <c r="A141" s="2" t="s">
        <v>40</v>
      </c>
      <c r="B141" s="49">
        <v>44571</v>
      </c>
      <c r="C141" s="50" t="s">
        <v>121</v>
      </c>
      <c r="D141" s="51" t="s">
        <v>210</v>
      </c>
      <c r="E141" s="51">
        <v>111</v>
      </c>
      <c r="F141" s="52">
        <v>69.03</v>
      </c>
      <c r="G141" s="52">
        <f t="shared" si="0"/>
        <v>7662.33</v>
      </c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</row>
    <row r="142" spans="1:27" ht="13">
      <c r="A142" s="2" t="s">
        <v>40</v>
      </c>
      <c r="B142" s="49">
        <v>44571</v>
      </c>
      <c r="C142" s="50" t="s">
        <v>122</v>
      </c>
      <c r="D142" s="51" t="s">
        <v>210</v>
      </c>
      <c r="E142" s="51">
        <v>157</v>
      </c>
      <c r="F142" s="52">
        <v>49.04</v>
      </c>
      <c r="G142" s="52">
        <f t="shared" si="0"/>
        <v>7699.28</v>
      </c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</row>
    <row r="143" spans="1:27" ht="13">
      <c r="A143" s="2" t="s">
        <v>40</v>
      </c>
      <c r="B143" s="49">
        <v>44571</v>
      </c>
      <c r="C143" s="50" t="s">
        <v>123</v>
      </c>
      <c r="D143" s="51" t="s">
        <v>210</v>
      </c>
      <c r="E143" s="51">
        <v>1165</v>
      </c>
      <c r="F143" s="52">
        <v>14</v>
      </c>
      <c r="G143" s="52">
        <f t="shared" si="0"/>
        <v>16310</v>
      </c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</row>
    <row r="144" spans="1:27" ht="13">
      <c r="A144" s="2" t="s">
        <v>40</v>
      </c>
      <c r="B144" s="49">
        <v>44571</v>
      </c>
      <c r="C144" s="50" t="s">
        <v>124</v>
      </c>
      <c r="D144" s="51" t="s">
        <v>210</v>
      </c>
      <c r="E144" s="51">
        <v>92</v>
      </c>
      <c r="F144" s="52">
        <v>83.52</v>
      </c>
      <c r="G144" s="52">
        <f t="shared" si="0"/>
        <v>7683.8399999999992</v>
      </c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  <c r="AA144" s="44"/>
    </row>
    <row r="145" spans="1:27" ht="13">
      <c r="A145" s="2" t="s">
        <v>40</v>
      </c>
      <c r="B145" s="49">
        <v>44571</v>
      </c>
      <c r="C145" s="50" t="s">
        <v>125</v>
      </c>
      <c r="D145" s="51" t="s">
        <v>210</v>
      </c>
      <c r="E145" s="51">
        <v>154</v>
      </c>
      <c r="F145" s="52">
        <v>49.81</v>
      </c>
      <c r="G145" s="52">
        <f t="shared" si="0"/>
        <v>7670.7400000000007</v>
      </c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  <c r="AA145" s="44"/>
    </row>
    <row r="146" spans="1:27" ht="13">
      <c r="A146" s="2" t="s">
        <v>40</v>
      </c>
      <c r="B146" s="49">
        <v>44571</v>
      </c>
      <c r="C146" s="50" t="s">
        <v>126</v>
      </c>
      <c r="D146" s="51" t="s">
        <v>210</v>
      </c>
      <c r="E146" s="51">
        <v>268</v>
      </c>
      <c r="F146" s="52">
        <v>30</v>
      </c>
      <c r="G146" s="52">
        <f t="shared" si="0"/>
        <v>8040</v>
      </c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</row>
    <row r="147" spans="1:27" ht="13">
      <c r="A147" s="2" t="s">
        <v>40</v>
      </c>
      <c r="B147" s="49">
        <v>44571</v>
      </c>
      <c r="C147" s="50" t="s">
        <v>127</v>
      </c>
      <c r="D147" s="51" t="s">
        <v>210</v>
      </c>
      <c r="E147" s="51">
        <v>290</v>
      </c>
      <c r="F147" s="52">
        <v>27.81</v>
      </c>
      <c r="G147" s="52">
        <f t="shared" si="0"/>
        <v>8064.9</v>
      </c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</row>
    <row r="148" spans="1:27" ht="13">
      <c r="A148" s="2" t="s">
        <v>40</v>
      </c>
      <c r="B148" s="49">
        <v>44571</v>
      </c>
      <c r="C148" s="50" t="s">
        <v>128</v>
      </c>
      <c r="D148" s="51" t="s">
        <v>210</v>
      </c>
      <c r="E148" s="51">
        <v>634</v>
      </c>
      <c r="F148" s="52">
        <v>12.19</v>
      </c>
      <c r="G148" s="52">
        <f t="shared" si="0"/>
        <v>7728.46</v>
      </c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  <c r="AA148" s="44"/>
    </row>
    <row r="149" spans="1:27" ht="13">
      <c r="A149" s="2" t="s">
        <v>40</v>
      </c>
      <c r="B149" s="49">
        <v>44571</v>
      </c>
      <c r="C149" s="50" t="s">
        <v>129</v>
      </c>
      <c r="D149" s="51" t="s">
        <v>210</v>
      </c>
      <c r="E149" s="51">
        <v>697</v>
      </c>
      <c r="F149" s="52">
        <v>11.29</v>
      </c>
      <c r="G149" s="52">
        <f t="shared" si="0"/>
        <v>7869.1299999999992</v>
      </c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  <c r="AA149" s="44"/>
    </row>
    <row r="150" spans="1:27" ht="13">
      <c r="A150" s="2" t="s">
        <v>40</v>
      </c>
      <c r="B150" s="49">
        <v>44571</v>
      </c>
      <c r="C150" s="50" t="s">
        <v>130</v>
      </c>
      <c r="D150" s="51" t="s">
        <v>210</v>
      </c>
      <c r="E150" s="51">
        <v>189</v>
      </c>
      <c r="F150" s="52">
        <v>42</v>
      </c>
      <c r="G150" s="52">
        <f t="shared" si="0"/>
        <v>7938</v>
      </c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  <c r="AA150" s="44"/>
    </row>
    <row r="151" spans="1:27" ht="13">
      <c r="A151" s="2" t="s">
        <v>40</v>
      </c>
      <c r="B151" s="49">
        <v>44571</v>
      </c>
      <c r="C151" s="50" t="s">
        <v>131</v>
      </c>
      <c r="D151" s="51" t="s">
        <v>210</v>
      </c>
      <c r="E151" s="51">
        <v>445</v>
      </c>
      <c r="F151" s="52">
        <v>17.29</v>
      </c>
      <c r="G151" s="52">
        <f t="shared" si="0"/>
        <v>7694.0499999999993</v>
      </c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  <c r="AA151" s="44"/>
    </row>
    <row r="152" spans="1:27" ht="13">
      <c r="A152" s="2" t="s">
        <v>40</v>
      </c>
      <c r="B152" s="45">
        <v>44579</v>
      </c>
      <c r="C152" s="53" t="s">
        <v>123</v>
      </c>
      <c r="D152" s="46" t="s">
        <v>221</v>
      </c>
      <c r="E152" s="53">
        <v>70</v>
      </c>
      <c r="F152" s="40">
        <v>7.03</v>
      </c>
      <c r="G152" s="52">
        <f t="shared" si="0"/>
        <v>492.1</v>
      </c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">
      <c r="A153" s="44"/>
      <c r="B153" s="44"/>
      <c r="C153" s="44"/>
      <c r="D153" s="54"/>
      <c r="E153" s="44"/>
      <c r="F153" s="44"/>
      <c r="G153" s="55" t="str">
        <f t="shared" si="0"/>
        <v/>
      </c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  <c r="AA153" s="44"/>
    </row>
    <row r="154" spans="1:27" ht="13">
      <c r="A154" s="44"/>
      <c r="B154" s="44"/>
      <c r="C154" s="44"/>
      <c r="D154" s="54"/>
      <c r="E154" s="44"/>
      <c r="F154" s="44"/>
      <c r="G154" s="55" t="str">
        <f t="shared" si="0"/>
        <v/>
      </c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  <c r="AA154" s="44"/>
    </row>
    <row r="155" spans="1:27" ht="13">
      <c r="A155" s="44"/>
      <c r="B155" s="44"/>
      <c r="C155" s="44"/>
      <c r="D155" s="54"/>
      <c r="E155" s="44"/>
      <c r="F155" s="44"/>
      <c r="G155" s="55" t="str">
        <f t="shared" si="0"/>
        <v/>
      </c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  <c r="AA155" s="44"/>
    </row>
    <row r="156" spans="1:27" ht="13">
      <c r="A156" s="44"/>
      <c r="B156" s="44"/>
      <c r="C156" s="44"/>
      <c r="D156" s="54"/>
      <c r="E156" s="44"/>
      <c r="F156" s="44"/>
      <c r="G156" s="55" t="str">
        <f t="shared" si="0"/>
        <v/>
      </c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  <c r="AA156" s="44"/>
    </row>
    <row r="157" spans="1:27" ht="13">
      <c r="A157" s="44"/>
      <c r="B157" s="44"/>
      <c r="C157" s="44"/>
      <c r="D157" s="54"/>
      <c r="E157" s="44"/>
      <c r="F157" s="44"/>
      <c r="G157" s="55" t="str">
        <f t="shared" si="0"/>
        <v/>
      </c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  <c r="AA157" s="44"/>
    </row>
    <row r="158" spans="1:27" ht="13">
      <c r="A158" s="44"/>
      <c r="B158" s="44"/>
      <c r="C158" s="44"/>
      <c r="D158" s="54"/>
      <c r="E158" s="44"/>
      <c r="F158" s="44"/>
      <c r="G158" s="55" t="str">
        <f t="shared" si="0"/>
        <v/>
      </c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  <c r="AA158" s="44"/>
    </row>
    <row r="159" spans="1:27" ht="13">
      <c r="A159" s="44"/>
      <c r="B159" s="44"/>
      <c r="C159" s="44"/>
      <c r="D159" s="54"/>
      <c r="E159" s="44"/>
      <c r="F159" s="44"/>
      <c r="G159" s="55" t="str">
        <f t="shared" si="0"/>
        <v/>
      </c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  <c r="AA159" s="44"/>
    </row>
    <row r="160" spans="1:27" ht="13">
      <c r="A160" s="44"/>
      <c r="B160" s="44"/>
      <c r="C160" s="44"/>
      <c r="D160" s="54"/>
      <c r="E160" s="44"/>
      <c r="F160" s="44"/>
      <c r="G160" s="55" t="str">
        <f t="shared" si="0"/>
        <v/>
      </c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  <c r="AA160" s="44"/>
    </row>
    <row r="161" spans="1:27" ht="13">
      <c r="A161" s="44"/>
      <c r="B161" s="44"/>
      <c r="C161" s="44"/>
      <c r="D161" s="54"/>
      <c r="E161" s="44"/>
      <c r="F161" s="44"/>
      <c r="G161" s="55" t="str">
        <f t="shared" si="0"/>
        <v/>
      </c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</row>
    <row r="162" spans="1:27" ht="13">
      <c r="A162" s="44"/>
      <c r="B162" s="44"/>
      <c r="C162" s="44"/>
      <c r="D162" s="44"/>
      <c r="E162" s="44"/>
      <c r="F162" s="44"/>
      <c r="G162" s="55" t="str">
        <f t="shared" si="0"/>
        <v/>
      </c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  <c r="AA162" s="44"/>
    </row>
    <row r="163" spans="1:27" ht="13">
      <c r="A163" s="44"/>
      <c r="B163" s="44"/>
      <c r="C163" s="44"/>
      <c r="D163" s="44"/>
      <c r="E163" s="44"/>
      <c r="F163" s="44"/>
      <c r="G163" s="55" t="str">
        <f t="shared" si="0"/>
        <v/>
      </c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  <c r="AA163" s="44"/>
    </row>
    <row r="164" spans="1:27" ht="13">
      <c r="A164" s="44"/>
      <c r="B164" s="44"/>
      <c r="C164" s="44"/>
      <c r="D164" s="44"/>
      <c r="E164" s="44"/>
      <c r="F164" s="44"/>
      <c r="G164" s="55" t="str">
        <f t="shared" si="0"/>
        <v/>
      </c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  <c r="AA164" s="44"/>
    </row>
    <row r="165" spans="1:27" ht="13">
      <c r="A165" s="44"/>
      <c r="B165" s="44"/>
      <c r="C165" s="44"/>
      <c r="D165" s="44"/>
      <c r="E165" s="44"/>
      <c r="F165" s="44"/>
      <c r="G165" s="55" t="str">
        <f t="shared" si="0"/>
        <v/>
      </c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</row>
    <row r="166" spans="1:27" ht="13">
      <c r="A166" s="44"/>
      <c r="B166" s="44"/>
      <c r="C166" s="44"/>
      <c r="D166" s="44"/>
      <c r="E166" s="44"/>
      <c r="F166" s="44"/>
      <c r="G166" s="55" t="str">
        <f t="shared" si="0"/>
        <v/>
      </c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  <c r="AA166" s="44"/>
    </row>
    <row r="167" spans="1:27" ht="13">
      <c r="A167" s="44"/>
      <c r="B167" s="44"/>
      <c r="C167" s="44"/>
      <c r="D167" s="44"/>
      <c r="E167" s="44"/>
      <c r="F167" s="44"/>
      <c r="G167" s="55" t="str">
        <f t="shared" si="0"/>
        <v/>
      </c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  <c r="AA167" s="44"/>
    </row>
    <row r="168" spans="1:27" ht="13">
      <c r="A168" s="44"/>
      <c r="B168" s="44"/>
      <c r="C168" s="44"/>
      <c r="D168" s="44"/>
      <c r="E168" s="44"/>
      <c r="F168" s="44"/>
      <c r="G168" s="55" t="str">
        <f t="shared" si="0"/>
        <v/>
      </c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  <c r="AA168" s="44"/>
    </row>
    <row r="169" spans="1:27" ht="13">
      <c r="A169" s="44"/>
      <c r="B169" s="44"/>
      <c r="C169" s="44"/>
      <c r="D169" s="44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  <c r="AA169" s="44"/>
    </row>
    <row r="170" spans="1:27" ht="13">
      <c r="A170" s="44"/>
      <c r="B170" s="44"/>
      <c r="C170" s="44"/>
      <c r="D170" s="44"/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  <c r="AA170" s="44"/>
    </row>
    <row r="171" spans="1:27" ht="13">
      <c r="A171" s="44"/>
      <c r="B171" s="44"/>
      <c r="C171" s="44"/>
      <c r="D171" s="44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  <c r="AA171" s="44"/>
    </row>
    <row r="172" spans="1:27" ht="13">
      <c r="A172" s="44"/>
      <c r="B172" s="44"/>
      <c r="C172" s="44"/>
      <c r="D172" s="44"/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  <c r="AA172" s="44"/>
    </row>
    <row r="173" spans="1:27" ht="13">
      <c r="A173" s="44"/>
      <c r="B173" s="44"/>
      <c r="C173" s="44"/>
      <c r="D173" s="44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  <c r="AA173" s="44"/>
    </row>
    <row r="174" spans="1:27" ht="13">
      <c r="A174" s="44"/>
      <c r="B174" s="44"/>
      <c r="C174" s="44"/>
      <c r="D174" s="44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  <c r="AA174" s="44"/>
    </row>
    <row r="175" spans="1:27" ht="13">
      <c r="A175" s="44"/>
      <c r="B175" s="44"/>
      <c r="C175" s="44"/>
      <c r="D175" s="44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  <c r="AA175" s="44"/>
    </row>
    <row r="176" spans="1:27" ht="13">
      <c r="A176" s="44"/>
      <c r="B176" s="44"/>
      <c r="C176" s="44"/>
      <c r="D176" s="44"/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  <c r="AA176" s="44"/>
    </row>
    <row r="177" spans="1:27" ht="13">
      <c r="A177" s="44"/>
      <c r="B177" s="44"/>
      <c r="C177" s="44"/>
      <c r="D177" s="44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  <c r="AA177" s="44"/>
    </row>
    <row r="178" spans="1:27" ht="13">
      <c r="A178" s="44"/>
      <c r="B178" s="44"/>
      <c r="C178" s="44"/>
      <c r="D178" s="44"/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  <c r="AA178" s="44"/>
    </row>
    <row r="179" spans="1:27" ht="13">
      <c r="A179" s="44"/>
      <c r="B179" s="44"/>
      <c r="C179" s="44"/>
      <c r="D179" s="44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  <c r="AA179" s="44"/>
    </row>
    <row r="180" spans="1:27" ht="13">
      <c r="A180" s="44"/>
      <c r="B180" s="44"/>
      <c r="C180" s="44"/>
      <c r="D180" s="44"/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  <c r="AA180" s="44"/>
    </row>
    <row r="181" spans="1:27" ht="13">
      <c r="A181" s="44"/>
      <c r="B181" s="44"/>
      <c r="C181" s="44"/>
      <c r="D181" s="44"/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  <c r="AA181" s="44"/>
    </row>
    <row r="182" spans="1:27" ht="13">
      <c r="A182" s="44"/>
      <c r="B182" s="44"/>
      <c r="C182" s="44"/>
      <c r="D182" s="44"/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  <c r="AA182" s="44"/>
    </row>
    <row r="183" spans="1:27" ht="13">
      <c r="A183" s="44"/>
      <c r="B183" s="44"/>
      <c r="C183" s="44"/>
      <c r="D183" s="44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  <c r="AA183" s="44"/>
    </row>
    <row r="184" spans="1:27" ht="13">
      <c r="A184" s="44"/>
      <c r="B184" s="44"/>
      <c r="C184" s="44"/>
      <c r="D184" s="44"/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  <c r="AA184" s="44"/>
    </row>
    <row r="185" spans="1:27" ht="13">
      <c r="A185" s="44"/>
      <c r="B185" s="44"/>
      <c r="C185" s="44"/>
      <c r="D185" s="44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  <c r="AA185" s="44"/>
    </row>
    <row r="186" spans="1:27" ht="13">
      <c r="A186" s="44"/>
      <c r="B186" s="44"/>
      <c r="C186" s="44"/>
      <c r="D186" s="44"/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  <c r="AA186" s="44"/>
    </row>
    <row r="187" spans="1:27" ht="13">
      <c r="A187" s="44"/>
      <c r="B187" s="44"/>
      <c r="C187" s="44"/>
      <c r="D187" s="44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  <c r="AA187" s="44"/>
    </row>
    <row r="188" spans="1:27" ht="13">
      <c r="A188" s="44"/>
      <c r="B188" s="44"/>
      <c r="C188" s="44"/>
      <c r="D188" s="44"/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  <c r="AA188" s="44"/>
    </row>
    <row r="189" spans="1:27" ht="13">
      <c r="A189" s="44"/>
      <c r="B189" s="44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  <c r="AA189" s="44"/>
    </row>
    <row r="190" spans="1:27" ht="13">
      <c r="A190" s="44"/>
      <c r="B190" s="44"/>
      <c r="C190" s="44"/>
      <c r="D190" s="44"/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  <c r="AA190" s="44"/>
    </row>
    <row r="191" spans="1:27" ht="13">
      <c r="A191" s="44"/>
      <c r="B191" s="44"/>
      <c r="C191" s="44"/>
      <c r="D191" s="44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  <c r="AA191" s="44"/>
    </row>
    <row r="192" spans="1:27" ht="13">
      <c r="A192" s="44"/>
      <c r="B192" s="44"/>
      <c r="C192" s="44"/>
      <c r="D192" s="44"/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  <c r="AA192" s="44"/>
    </row>
    <row r="193" spans="1:27" ht="13">
      <c r="A193" s="44"/>
      <c r="B193" s="44"/>
      <c r="C193" s="44"/>
      <c r="D193" s="44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  <c r="AA193" s="44"/>
    </row>
    <row r="194" spans="1:27" ht="13">
      <c r="A194" s="44"/>
      <c r="B194" s="44"/>
      <c r="C194" s="44"/>
      <c r="D194" s="44"/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  <c r="AA194" s="44"/>
    </row>
    <row r="195" spans="1:27" ht="13">
      <c r="A195" s="44"/>
      <c r="B195" s="44"/>
      <c r="C195" s="44"/>
      <c r="D195" s="44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  <c r="AA195" s="44"/>
    </row>
    <row r="196" spans="1:27" ht="13">
      <c r="A196" s="44"/>
      <c r="B196" s="44"/>
      <c r="C196" s="44"/>
      <c r="D196" s="44"/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  <c r="AA196" s="44"/>
    </row>
    <row r="197" spans="1:27" ht="13">
      <c r="A197" s="44"/>
      <c r="B197" s="44"/>
      <c r="C197" s="44"/>
      <c r="D197" s="44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  <c r="AA197" s="44"/>
    </row>
    <row r="198" spans="1:27" ht="13">
      <c r="A198" s="44"/>
      <c r="B198" s="44"/>
      <c r="C198" s="44"/>
      <c r="D198" s="44"/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  <c r="AA198" s="44"/>
    </row>
    <row r="199" spans="1:27" ht="13">
      <c r="A199" s="44"/>
      <c r="B199" s="44"/>
      <c r="C199" s="44"/>
      <c r="D199" s="44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  <c r="AA199" s="44"/>
    </row>
    <row r="200" spans="1:27" ht="13">
      <c r="A200" s="44"/>
      <c r="B200" s="44"/>
      <c r="C200" s="44"/>
      <c r="D200" s="44"/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</row>
    <row r="201" spans="1:27" ht="13">
      <c r="A201" s="44"/>
      <c r="B201" s="44"/>
      <c r="C201" s="44"/>
      <c r="D201" s="44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  <c r="AA201" s="44"/>
    </row>
    <row r="202" spans="1:27" ht="13">
      <c r="A202" s="44"/>
      <c r="B202" s="44"/>
      <c r="C202" s="44"/>
      <c r="D202" s="44"/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  <c r="AA202" s="44"/>
    </row>
    <row r="203" spans="1:27" ht="13">
      <c r="A203" s="44"/>
      <c r="B203" s="44"/>
      <c r="C203" s="44"/>
      <c r="D203" s="44"/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  <c r="AA203" s="44"/>
    </row>
    <row r="204" spans="1:27" ht="13">
      <c r="A204" s="44"/>
      <c r="B204" s="44"/>
      <c r="C204" s="44"/>
      <c r="D204" s="44"/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  <c r="AA204" s="44"/>
    </row>
    <row r="205" spans="1:27" ht="13">
      <c r="A205" s="44"/>
      <c r="B205" s="44"/>
      <c r="C205" s="44"/>
      <c r="D205" s="44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  <c r="AA205" s="44"/>
    </row>
    <row r="206" spans="1:27" ht="13">
      <c r="A206" s="44"/>
      <c r="B206" s="44"/>
      <c r="C206" s="44"/>
      <c r="D206" s="44"/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  <c r="AA206" s="44"/>
    </row>
    <row r="207" spans="1:27" ht="13">
      <c r="A207" s="44"/>
      <c r="B207" s="44"/>
      <c r="C207" s="44"/>
      <c r="D207" s="44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  <c r="AA207" s="44"/>
    </row>
    <row r="208" spans="1:27" ht="13">
      <c r="A208" s="44"/>
      <c r="B208" s="44"/>
      <c r="C208" s="44"/>
      <c r="D208" s="44"/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  <c r="AA208" s="44"/>
    </row>
    <row r="209" spans="1:27" ht="13">
      <c r="A209" s="44"/>
      <c r="B209" s="44"/>
      <c r="C209" s="44"/>
      <c r="D209" s="44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  <c r="AA209" s="44"/>
    </row>
    <row r="210" spans="1:27" ht="13">
      <c r="A210" s="44"/>
      <c r="B210" s="44"/>
      <c r="C210" s="44"/>
      <c r="D210" s="44"/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  <c r="AA210" s="44"/>
    </row>
    <row r="211" spans="1:27" ht="13">
      <c r="A211" s="44"/>
      <c r="B211" s="44"/>
      <c r="C211" s="44"/>
      <c r="D211" s="44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  <c r="AA211" s="44"/>
    </row>
    <row r="212" spans="1:27" ht="13">
      <c r="A212" s="44"/>
      <c r="B212" s="44"/>
      <c r="C212" s="44"/>
      <c r="D212" s="44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  <c r="AA212" s="44"/>
    </row>
    <row r="213" spans="1:27" ht="13">
      <c r="A213" s="44"/>
      <c r="B213" s="44"/>
      <c r="C213" s="44"/>
      <c r="D213" s="44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  <c r="AA213" s="44"/>
    </row>
    <row r="214" spans="1:27" ht="13">
      <c r="A214" s="44"/>
      <c r="B214" s="44"/>
      <c r="C214" s="44"/>
      <c r="D214" s="44"/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  <c r="AA214" s="44"/>
    </row>
    <row r="215" spans="1:27" ht="13">
      <c r="A215" s="44"/>
      <c r="B215" s="44"/>
      <c r="C215" s="44"/>
      <c r="D215" s="44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  <c r="AA215" s="44"/>
    </row>
    <row r="216" spans="1:27" ht="13">
      <c r="A216" s="44"/>
      <c r="B216" s="44"/>
      <c r="C216" s="44"/>
      <c r="D216" s="44"/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  <c r="AA216" s="44"/>
    </row>
    <row r="217" spans="1:27" ht="13">
      <c r="A217" s="44"/>
      <c r="B217" s="44"/>
      <c r="C217" s="44"/>
      <c r="D217" s="44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  <c r="AA217" s="44"/>
    </row>
    <row r="218" spans="1:27" ht="13">
      <c r="A218" s="44"/>
      <c r="B218" s="44"/>
      <c r="C218" s="44"/>
      <c r="D218" s="44"/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  <c r="AA218" s="44"/>
    </row>
    <row r="219" spans="1:27" ht="13">
      <c r="A219" s="44"/>
      <c r="B219" s="44"/>
      <c r="C219" s="44"/>
      <c r="D219" s="44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  <c r="AA219" s="44"/>
    </row>
    <row r="220" spans="1:27" ht="13">
      <c r="A220" s="44"/>
      <c r="B220" s="44"/>
      <c r="C220" s="44"/>
      <c r="D220" s="44"/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  <c r="AA220" s="44"/>
    </row>
    <row r="221" spans="1:27" ht="13">
      <c r="A221" s="44"/>
      <c r="B221" s="44"/>
      <c r="C221" s="44"/>
      <c r="D221" s="44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  <c r="AA221" s="44"/>
    </row>
    <row r="222" spans="1:27" ht="13">
      <c r="A222" s="44"/>
      <c r="B222" s="44"/>
      <c r="C222" s="44"/>
      <c r="D222" s="44"/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  <c r="AA222" s="44"/>
    </row>
    <row r="223" spans="1:27" ht="13">
      <c r="A223" s="44"/>
      <c r="B223" s="44"/>
      <c r="C223" s="44"/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  <c r="AA223" s="44"/>
    </row>
    <row r="224" spans="1:27" ht="13">
      <c r="A224" s="44"/>
      <c r="B224" s="44"/>
      <c r="C224" s="44"/>
      <c r="D224" s="44"/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  <c r="AA224" s="44"/>
    </row>
    <row r="225" spans="1:27" ht="13">
      <c r="A225" s="44"/>
      <c r="B225" s="44"/>
      <c r="C225" s="44"/>
      <c r="D225" s="44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  <c r="AA225" s="44"/>
    </row>
    <row r="226" spans="1:27" ht="13">
      <c r="A226" s="44"/>
      <c r="B226" s="44"/>
      <c r="C226" s="44"/>
      <c r="D226" s="44"/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  <c r="AA226" s="44"/>
    </row>
    <row r="227" spans="1:27" ht="13">
      <c r="A227" s="44"/>
      <c r="B227" s="44"/>
      <c r="C227" s="44"/>
      <c r="D227" s="44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  <c r="AA227" s="44"/>
    </row>
    <row r="228" spans="1:27" ht="13">
      <c r="A228" s="44"/>
      <c r="B228" s="44"/>
      <c r="C228" s="44"/>
      <c r="D228" s="44"/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  <c r="AA228" s="44"/>
    </row>
    <row r="229" spans="1:27" ht="13">
      <c r="A229" s="44"/>
      <c r="B229" s="44"/>
      <c r="C229" s="44"/>
      <c r="D229" s="44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  <c r="AA229" s="44"/>
    </row>
    <row r="230" spans="1:27" ht="13">
      <c r="A230" s="44"/>
      <c r="B230" s="44"/>
      <c r="C230" s="44"/>
      <c r="D230" s="44"/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  <c r="AA230" s="44"/>
    </row>
    <row r="231" spans="1:27" ht="13">
      <c r="A231" s="44"/>
      <c r="B231" s="44"/>
      <c r="C231" s="44"/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  <c r="AA231" s="44"/>
    </row>
    <row r="232" spans="1:27" ht="13">
      <c r="A232" s="44"/>
      <c r="B232" s="44"/>
      <c r="C232" s="44"/>
      <c r="D232" s="44"/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  <c r="AA232" s="44"/>
    </row>
    <row r="233" spans="1:27" ht="13">
      <c r="A233" s="44"/>
      <c r="B233" s="44"/>
      <c r="C233" s="44"/>
      <c r="D233" s="44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  <c r="AA233" s="44"/>
    </row>
    <row r="234" spans="1:27" ht="13">
      <c r="A234" s="44"/>
      <c r="B234" s="44"/>
      <c r="C234" s="44"/>
      <c r="D234" s="44"/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  <c r="AA234" s="44"/>
    </row>
    <row r="235" spans="1:27" ht="13">
      <c r="A235" s="44"/>
      <c r="B235" s="44"/>
      <c r="C235" s="44"/>
      <c r="D235" s="44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  <c r="AA235" s="44"/>
    </row>
    <row r="236" spans="1:27" ht="13">
      <c r="A236" s="44"/>
      <c r="B236" s="44"/>
      <c r="C236" s="44"/>
      <c r="D236" s="44"/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  <c r="AA236" s="44"/>
    </row>
    <row r="237" spans="1:27" ht="13">
      <c r="A237" s="44"/>
      <c r="B237" s="44"/>
      <c r="C237" s="44"/>
      <c r="D237" s="44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  <c r="AA237" s="44"/>
    </row>
    <row r="238" spans="1:27" ht="13">
      <c r="A238" s="44"/>
      <c r="B238" s="44"/>
      <c r="C238" s="44"/>
      <c r="D238" s="44"/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  <c r="AA238" s="44"/>
    </row>
    <row r="239" spans="1:27" ht="13">
      <c r="A239" s="44"/>
      <c r="B239" s="44"/>
      <c r="C239" s="44"/>
      <c r="D239" s="44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  <c r="AA239" s="44"/>
    </row>
    <row r="240" spans="1:27" ht="13">
      <c r="A240" s="44"/>
      <c r="B240" s="44"/>
      <c r="C240" s="44"/>
      <c r="D240" s="44"/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  <c r="AA240" s="44"/>
    </row>
    <row r="241" spans="1:27" ht="13">
      <c r="A241" s="44"/>
      <c r="B241" s="44"/>
      <c r="C241" s="44"/>
      <c r="D241" s="44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  <c r="AA241" s="44"/>
    </row>
    <row r="242" spans="1:27" ht="13">
      <c r="A242" s="44"/>
      <c r="B242" s="44"/>
      <c r="C242" s="44"/>
      <c r="D242" s="44"/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  <c r="AA242" s="44"/>
    </row>
    <row r="243" spans="1:27" ht="13">
      <c r="A243" s="44"/>
      <c r="B243" s="44"/>
      <c r="C243" s="44"/>
      <c r="D243" s="44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  <c r="AA243" s="44"/>
    </row>
    <row r="244" spans="1:27" ht="13">
      <c r="A244" s="44"/>
      <c r="B244" s="44"/>
      <c r="C244" s="44"/>
      <c r="D244" s="44"/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  <c r="AA244" s="44"/>
    </row>
    <row r="245" spans="1:27" ht="13">
      <c r="A245" s="44"/>
      <c r="B245" s="44"/>
      <c r="C245" s="44"/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  <c r="AA245" s="44"/>
    </row>
    <row r="246" spans="1:27" ht="13">
      <c r="A246" s="44"/>
      <c r="B246" s="44"/>
      <c r="C246" s="44"/>
      <c r="D246" s="44"/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  <c r="AA246" s="44"/>
    </row>
    <row r="247" spans="1:27" ht="13">
      <c r="A247" s="44"/>
      <c r="B247" s="44"/>
      <c r="C247" s="44"/>
      <c r="D247" s="44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  <c r="AA247" s="44"/>
    </row>
    <row r="248" spans="1:27" ht="13">
      <c r="A248" s="44"/>
      <c r="B248" s="44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  <c r="AA248" s="44"/>
    </row>
    <row r="249" spans="1:27" ht="13">
      <c r="A249" s="44"/>
      <c r="B249" s="44"/>
      <c r="C249" s="44"/>
      <c r="D249" s="44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  <c r="AA249" s="44"/>
    </row>
    <row r="250" spans="1:27" ht="13">
      <c r="A250" s="44"/>
      <c r="B250" s="44"/>
      <c r="C250" s="44"/>
      <c r="D250" s="44"/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  <c r="AA250" s="44"/>
    </row>
    <row r="251" spans="1:27" ht="13">
      <c r="A251" s="44"/>
      <c r="B251" s="44"/>
      <c r="C251" s="44"/>
      <c r="D251" s="44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  <c r="AA251" s="44"/>
    </row>
    <row r="252" spans="1:27" ht="13">
      <c r="A252" s="44"/>
      <c r="B252" s="44"/>
      <c r="C252" s="44"/>
      <c r="D252" s="44"/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  <c r="AA252" s="44"/>
    </row>
    <row r="253" spans="1:27" ht="13">
      <c r="A253" s="44"/>
      <c r="B253" s="44"/>
      <c r="C253" s="44"/>
      <c r="D253" s="44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  <c r="AA253" s="44"/>
    </row>
    <row r="254" spans="1:27" ht="13">
      <c r="A254" s="44"/>
      <c r="B254" s="44"/>
      <c r="C254" s="44"/>
      <c r="D254" s="44"/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  <c r="AA254" s="44"/>
    </row>
    <row r="255" spans="1:27" ht="13">
      <c r="A255" s="44"/>
      <c r="B255" s="44"/>
      <c r="C255" s="44"/>
      <c r="D255" s="44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  <c r="AA255" s="44"/>
    </row>
    <row r="256" spans="1:27" ht="13">
      <c r="A256" s="44"/>
      <c r="B256" s="44"/>
      <c r="C256" s="44"/>
      <c r="D256" s="44"/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  <c r="AA256" s="44"/>
    </row>
    <row r="257" spans="1:27" ht="13">
      <c r="A257" s="44"/>
      <c r="B257" s="44"/>
      <c r="C257" s="44"/>
      <c r="D257" s="44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  <c r="AA257" s="44"/>
    </row>
    <row r="258" spans="1:27" ht="13">
      <c r="A258" s="44"/>
      <c r="B258" s="44"/>
      <c r="C258" s="44"/>
      <c r="D258" s="44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  <c r="AA258" s="44"/>
    </row>
    <row r="259" spans="1:27" ht="13">
      <c r="A259" s="44"/>
      <c r="B259" s="44"/>
      <c r="C259" s="44"/>
      <c r="D259" s="44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  <c r="AA259" s="44"/>
    </row>
    <row r="260" spans="1:27" ht="13">
      <c r="A260" s="44"/>
      <c r="B260" s="44"/>
      <c r="C260" s="44"/>
      <c r="D260" s="44"/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  <c r="AA260" s="44"/>
    </row>
    <row r="261" spans="1:27" ht="13">
      <c r="A261" s="44"/>
      <c r="B261" s="44"/>
      <c r="C261" s="44"/>
      <c r="D261" s="44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  <c r="AA261" s="44"/>
    </row>
    <row r="262" spans="1:27" ht="13">
      <c r="A262" s="44"/>
      <c r="B262" s="44"/>
      <c r="C262" s="44"/>
      <c r="D262" s="44"/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  <c r="AA262" s="44"/>
    </row>
    <row r="263" spans="1:27" ht="13">
      <c r="A263" s="44"/>
      <c r="B263" s="44"/>
      <c r="C263" s="44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  <c r="AA263" s="44"/>
    </row>
    <row r="264" spans="1:27" ht="13">
      <c r="A264" s="44"/>
      <c r="B264" s="44"/>
      <c r="C264" s="44"/>
      <c r="D264" s="44"/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  <c r="AA264" s="44"/>
    </row>
    <row r="265" spans="1:27" ht="13">
      <c r="A265" s="44"/>
      <c r="B265" s="44"/>
      <c r="C265" s="44"/>
      <c r="D265" s="44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  <c r="AA265" s="44"/>
    </row>
    <row r="266" spans="1:27" ht="13">
      <c r="A266" s="44"/>
      <c r="B266" s="44"/>
      <c r="C266" s="44"/>
      <c r="D266" s="44"/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  <c r="AA266" s="44"/>
    </row>
    <row r="267" spans="1:27" ht="13">
      <c r="A267" s="44"/>
      <c r="B267" s="44"/>
      <c r="C267" s="44"/>
      <c r="D267" s="44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  <c r="AA267" s="44"/>
    </row>
    <row r="268" spans="1:27" ht="13">
      <c r="A268" s="44"/>
      <c r="B268" s="44"/>
      <c r="C268" s="44"/>
      <c r="D268" s="44"/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  <c r="AA268" s="44"/>
    </row>
    <row r="269" spans="1:27" ht="13">
      <c r="A269" s="44"/>
      <c r="B269" s="44"/>
      <c r="C269" s="44"/>
      <c r="D269" s="44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  <c r="AA269" s="44"/>
    </row>
    <row r="270" spans="1:27" ht="13">
      <c r="A270" s="44"/>
      <c r="B270" s="44"/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  <c r="AA270" s="44"/>
    </row>
    <row r="271" spans="1:27" ht="13">
      <c r="A271" s="44"/>
      <c r="B271" s="44"/>
      <c r="C271" s="44"/>
      <c r="D271" s="44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  <c r="AA271" s="44"/>
    </row>
    <row r="272" spans="1:27" ht="13">
      <c r="A272" s="44"/>
      <c r="B272" s="44"/>
      <c r="C272" s="44"/>
      <c r="D272" s="44"/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  <c r="AA272" s="44"/>
    </row>
    <row r="273" spans="1:27" ht="13">
      <c r="A273" s="44"/>
      <c r="B273" s="44"/>
      <c r="C273" s="44"/>
      <c r="D273" s="44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  <c r="AA273" s="44"/>
    </row>
    <row r="274" spans="1:27" ht="13">
      <c r="A274" s="44"/>
      <c r="B274" s="44"/>
      <c r="C274" s="44"/>
      <c r="D274" s="44"/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  <c r="AA274" s="44"/>
    </row>
    <row r="275" spans="1:27" ht="13">
      <c r="A275" s="44"/>
      <c r="B275" s="44"/>
      <c r="C275" s="44"/>
      <c r="D275" s="44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  <c r="AA275" s="44"/>
    </row>
    <row r="276" spans="1:27" ht="13">
      <c r="A276" s="44"/>
      <c r="B276" s="44"/>
      <c r="C276" s="44"/>
      <c r="D276" s="44"/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  <c r="AA276" s="44"/>
    </row>
    <row r="277" spans="1:27" ht="13">
      <c r="A277" s="44"/>
      <c r="B277" s="44"/>
      <c r="C277" s="44"/>
      <c r="D277" s="44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  <c r="AA277" s="44"/>
    </row>
    <row r="278" spans="1:27" ht="13">
      <c r="A278" s="44"/>
      <c r="B278" s="44"/>
      <c r="C278" s="44"/>
      <c r="D278" s="44"/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  <c r="AA278" s="44"/>
    </row>
    <row r="279" spans="1:27" ht="13">
      <c r="A279" s="44"/>
      <c r="B279" s="44"/>
      <c r="C279" s="44"/>
      <c r="D279" s="44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  <c r="AA279" s="44"/>
    </row>
    <row r="280" spans="1:27" ht="13">
      <c r="A280" s="44"/>
      <c r="B280" s="44"/>
      <c r="C280" s="44"/>
      <c r="D280" s="44"/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  <c r="AA280" s="44"/>
    </row>
    <row r="281" spans="1:27" ht="13">
      <c r="A281" s="44"/>
      <c r="B281" s="44"/>
      <c r="C281" s="44"/>
      <c r="D281" s="44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  <c r="AA281" s="44"/>
    </row>
    <row r="282" spans="1:27" ht="13">
      <c r="A282" s="44"/>
      <c r="B282" s="44"/>
      <c r="C282" s="44"/>
      <c r="D282" s="44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  <c r="AA282" s="44"/>
    </row>
    <row r="283" spans="1:27" ht="13">
      <c r="A283" s="44"/>
      <c r="B283" s="44"/>
      <c r="C283" s="44"/>
      <c r="D283" s="44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  <c r="AA283" s="44"/>
    </row>
    <row r="284" spans="1:27" ht="13">
      <c r="A284" s="44"/>
      <c r="B284" s="44"/>
      <c r="C284" s="44"/>
      <c r="D284" s="44"/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  <c r="AA284" s="44"/>
    </row>
    <row r="285" spans="1:27" ht="13">
      <c r="A285" s="44"/>
      <c r="B285" s="44"/>
      <c r="C285" s="44"/>
      <c r="D285" s="44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  <c r="AA285" s="44"/>
    </row>
    <row r="286" spans="1:27" ht="13">
      <c r="A286" s="44"/>
      <c r="B286" s="44"/>
      <c r="C286" s="44"/>
      <c r="D286" s="44"/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  <c r="AA286" s="44"/>
    </row>
    <row r="287" spans="1:27" ht="13">
      <c r="A287" s="44"/>
      <c r="B287" s="44"/>
      <c r="C287" s="44"/>
      <c r="D287" s="44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  <c r="AA287" s="44"/>
    </row>
    <row r="288" spans="1:27" ht="13">
      <c r="A288" s="44"/>
      <c r="B288" s="44"/>
      <c r="C288" s="44"/>
      <c r="D288" s="44"/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  <c r="AA288" s="44"/>
    </row>
    <row r="289" spans="1:27" ht="13">
      <c r="A289" s="44"/>
      <c r="B289" s="44"/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  <c r="AA289" s="44"/>
    </row>
    <row r="290" spans="1:27" ht="13">
      <c r="A290" s="44"/>
      <c r="B290" s="44"/>
      <c r="C290" s="44"/>
      <c r="D290" s="44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  <c r="AA290" s="44"/>
    </row>
    <row r="291" spans="1:27" ht="13">
      <c r="A291" s="44"/>
      <c r="B291" s="44"/>
      <c r="C291" s="44"/>
      <c r="D291" s="44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  <c r="AA291" s="44"/>
    </row>
    <row r="292" spans="1:27" ht="13">
      <c r="A292" s="44"/>
      <c r="B292" s="44"/>
      <c r="C292" s="44"/>
      <c r="D292" s="44"/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  <c r="AA292" s="44"/>
    </row>
    <row r="293" spans="1:27" ht="13">
      <c r="A293" s="44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  <c r="AA293" s="44"/>
    </row>
    <row r="294" spans="1:27" ht="13">
      <c r="A294" s="44"/>
      <c r="B294" s="44"/>
      <c r="C294" s="44"/>
      <c r="D294" s="44"/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  <c r="AA294" s="44"/>
    </row>
    <row r="295" spans="1:27" ht="13">
      <c r="A295" s="44"/>
      <c r="B295" s="44"/>
      <c r="C295" s="44"/>
      <c r="D295" s="44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  <c r="AA295" s="44"/>
    </row>
    <row r="296" spans="1:27" ht="13">
      <c r="A296" s="44"/>
      <c r="B296" s="44"/>
      <c r="C296" s="44"/>
      <c r="D296" s="44"/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  <c r="AA296" s="44"/>
    </row>
    <row r="297" spans="1:27" ht="13">
      <c r="A297" s="44"/>
      <c r="B297" s="44"/>
      <c r="C297" s="44"/>
      <c r="D297" s="44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  <c r="AA297" s="44"/>
    </row>
    <row r="298" spans="1:27" ht="13">
      <c r="A298" s="44"/>
      <c r="B298" s="44"/>
      <c r="C298" s="44"/>
      <c r="D298" s="44"/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  <c r="AA298" s="44"/>
    </row>
    <row r="299" spans="1:27" ht="13">
      <c r="A299" s="44"/>
      <c r="B299" s="44"/>
      <c r="C299" s="44"/>
      <c r="D299" s="44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  <c r="AA299" s="44"/>
    </row>
    <row r="300" spans="1:27" ht="13">
      <c r="A300" s="44"/>
      <c r="B300" s="44"/>
      <c r="C300" s="44"/>
      <c r="D300" s="44"/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  <c r="AA300" s="44"/>
    </row>
    <row r="301" spans="1:27" ht="13">
      <c r="A301" s="44"/>
      <c r="B301" s="44"/>
      <c r="C301" s="44"/>
      <c r="D301" s="44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  <c r="AA301" s="44"/>
    </row>
    <row r="302" spans="1:27" ht="13">
      <c r="A302" s="44"/>
      <c r="B302" s="44"/>
      <c r="C302" s="44"/>
      <c r="D302" s="44"/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  <c r="AA302" s="44"/>
    </row>
    <row r="303" spans="1:27" ht="13">
      <c r="A303" s="44"/>
      <c r="B303" s="44"/>
      <c r="C303" s="44"/>
      <c r="D303" s="44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  <c r="AA303" s="44"/>
    </row>
    <row r="304" spans="1:27" ht="13">
      <c r="A304" s="44"/>
      <c r="B304" s="44"/>
      <c r="C304" s="44"/>
      <c r="D304" s="44"/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  <c r="AA304" s="44"/>
    </row>
    <row r="305" spans="1:27" ht="13">
      <c r="A305" s="44"/>
      <c r="B305" s="44"/>
      <c r="C305" s="44"/>
      <c r="D305" s="44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  <c r="AA305" s="44"/>
    </row>
    <row r="306" spans="1:27" ht="13">
      <c r="A306" s="44"/>
      <c r="B306" s="44"/>
      <c r="C306" s="44"/>
      <c r="D306" s="44"/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  <c r="AA306" s="44"/>
    </row>
    <row r="307" spans="1:27" ht="13">
      <c r="A307" s="44"/>
      <c r="B307" s="44"/>
      <c r="C307" s="44"/>
      <c r="D307" s="44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  <c r="AA307" s="44"/>
    </row>
    <row r="308" spans="1:27" ht="13">
      <c r="A308" s="44"/>
      <c r="B308" s="44"/>
      <c r="C308" s="44"/>
      <c r="D308" s="44"/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  <c r="AA308" s="44"/>
    </row>
    <row r="309" spans="1:27" ht="13">
      <c r="A309" s="44"/>
      <c r="B309" s="44"/>
      <c r="C309" s="44"/>
      <c r="D309" s="44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  <c r="AA309" s="44"/>
    </row>
    <row r="310" spans="1:27" ht="13">
      <c r="A310" s="44"/>
      <c r="B310" s="44"/>
      <c r="C310" s="44"/>
      <c r="D310" s="44"/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  <c r="AA310" s="44"/>
    </row>
    <row r="311" spans="1:27" ht="13">
      <c r="A311" s="44"/>
      <c r="B311" s="44"/>
      <c r="C311" s="44"/>
      <c r="D311" s="44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  <c r="AA311" s="44"/>
    </row>
    <row r="312" spans="1:27" ht="13">
      <c r="A312" s="44"/>
      <c r="B312" s="44"/>
      <c r="C312" s="44"/>
      <c r="D312" s="44"/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  <c r="AA312" s="44"/>
    </row>
    <row r="313" spans="1:27" ht="13">
      <c r="A313" s="44"/>
      <c r="B313" s="44"/>
      <c r="C313" s="44"/>
      <c r="D313" s="44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  <c r="AA313" s="44"/>
    </row>
    <row r="314" spans="1:27" ht="13">
      <c r="A314" s="44"/>
      <c r="B314" s="44"/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  <c r="AA314" s="44"/>
    </row>
    <row r="315" spans="1:27" ht="13">
      <c r="A315" s="44"/>
      <c r="B315" s="44"/>
      <c r="C315" s="44"/>
      <c r="D315" s="44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  <c r="AA315" s="44"/>
    </row>
    <row r="316" spans="1:27" ht="13">
      <c r="A316" s="44"/>
      <c r="B316" s="44"/>
      <c r="C316" s="44"/>
      <c r="D316" s="44"/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  <c r="AA316" s="44"/>
    </row>
    <row r="317" spans="1:27" ht="13">
      <c r="A317" s="44"/>
      <c r="B317" s="44"/>
      <c r="C317" s="44"/>
      <c r="D317" s="44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  <c r="AA317" s="44"/>
    </row>
    <row r="318" spans="1:27" ht="13">
      <c r="A318" s="44"/>
      <c r="B318" s="44"/>
      <c r="C318" s="44"/>
      <c r="D318" s="44"/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  <c r="AA318" s="44"/>
    </row>
    <row r="319" spans="1:27" ht="13">
      <c r="A319" s="44"/>
      <c r="B319" s="44"/>
      <c r="C319" s="44"/>
      <c r="D319" s="44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  <c r="AA319" s="44"/>
    </row>
    <row r="320" spans="1:27" ht="13">
      <c r="A320" s="44"/>
      <c r="B320" s="44"/>
      <c r="C320" s="44"/>
      <c r="D320" s="44"/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  <c r="AA320" s="44"/>
    </row>
    <row r="321" spans="1:27" ht="13">
      <c r="A321" s="44"/>
      <c r="B321" s="44"/>
      <c r="C321" s="44"/>
      <c r="D321" s="44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  <c r="AA321" s="44"/>
    </row>
    <row r="322" spans="1:27" ht="13">
      <c r="A322" s="44"/>
      <c r="B322" s="44"/>
      <c r="C322" s="44"/>
      <c r="D322" s="44"/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  <c r="AA322" s="44"/>
    </row>
    <row r="323" spans="1:27" ht="13">
      <c r="A323" s="44"/>
      <c r="B323" s="44"/>
      <c r="C323" s="44"/>
      <c r="D323" s="44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  <c r="AA323" s="44"/>
    </row>
    <row r="324" spans="1:27" ht="13">
      <c r="A324" s="44"/>
      <c r="B324" s="44"/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  <c r="AA324" s="44"/>
    </row>
    <row r="325" spans="1:27" ht="13">
      <c r="A325" s="44"/>
      <c r="B325" s="44"/>
      <c r="C325" s="44"/>
      <c r="D325" s="44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  <c r="AA325" s="44"/>
    </row>
    <row r="326" spans="1:27" ht="13">
      <c r="A326" s="44"/>
      <c r="B326" s="44"/>
      <c r="C326" s="44"/>
      <c r="D326" s="44"/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  <c r="AA326" s="44"/>
    </row>
    <row r="327" spans="1:27" ht="13">
      <c r="A327" s="44"/>
      <c r="B327" s="44"/>
      <c r="C327" s="44"/>
      <c r="D327" s="44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  <c r="AA327" s="44"/>
    </row>
    <row r="328" spans="1:27" ht="13">
      <c r="A328" s="44"/>
      <c r="B328" s="44"/>
      <c r="C328" s="44"/>
      <c r="D328" s="44"/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  <c r="AA328" s="44"/>
    </row>
    <row r="329" spans="1:27" ht="13">
      <c r="A329" s="44"/>
      <c r="B329" s="44"/>
      <c r="C329" s="44"/>
      <c r="D329" s="44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  <c r="AA329" s="44"/>
    </row>
    <row r="330" spans="1:27" ht="13">
      <c r="A330" s="44"/>
      <c r="B330" s="44"/>
      <c r="C330" s="44"/>
      <c r="D330" s="44"/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  <c r="AA330" s="44"/>
    </row>
    <row r="331" spans="1:27" ht="13">
      <c r="A331" s="44"/>
      <c r="B331" s="44"/>
      <c r="C331" s="44"/>
      <c r="D331" s="44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  <c r="AA331" s="44"/>
    </row>
    <row r="332" spans="1:27" ht="13">
      <c r="A332" s="44"/>
      <c r="B332" s="44"/>
      <c r="C332" s="44"/>
      <c r="D332" s="44"/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  <c r="AA332" s="44"/>
    </row>
    <row r="333" spans="1:27" ht="13">
      <c r="A333" s="44"/>
      <c r="B333" s="44"/>
      <c r="C333" s="44"/>
      <c r="D333" s="44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  <c r="AA333" s="44"/>
    </row>
    <row r="334" spans="1:27" ht="13">
      <c r="A334" s="44"/>
      <c r="B334" s="44"/>
      <c r="C334" s="44"/>
      <c r="D334" s="44"/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  <c r="AA334" s="44"/>
    </row>
    <row r="335" spans="1:27" ht="13">
      <c r="A335" s="44"/>
      <c r="B335" s="44"/>
      <c r="C335" s="44"/>
      <c r="D335" s="44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  <c r="AA335" s="44"/>
    </row>
    <row r="336" spans="1:27" ht="13">
      <c r="A336" s="44"/>
      <c r="B336" s="44"/>
      <c r="C336" s="44"/>
      <c r="D336" s="44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  <c r="AA336" s="44"/>
    </row>
    <row r="337" spans="1:27" ht="13">
      <c r="A337" s="44"/>
      <c r="B337" s="44"/>
      <c r="C337" s="44"/>
      <c r="D337" s="44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  <c r="AA337" s="44"/>
    </row>
    <row r="338" spans="1:27" ht="13">
      <c r="A338" s="44"/>
      <c r="B338" s="44"/>
      <c r="C338" s="44"/>
      <c r="D338" s="44"/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  <c r="AA338" s="44"/>
    </row>
    <row r="339" spans="1:27" ht="13">
      <c r="A339" s="44"/>
      <c r="B339" s="44"/>
      <c r="C339" s="44"/>
      <c r="D339" s="44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  <c r="AA339" s="44"/>
    </row>
    <row r="340" spans="1:27" ht="13">
      <c r="A340" s="44"/>
      <c r="B340" s="44"/>
      <c r="C340" s="44"/>
      <c r="D340" s="44"/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  <c r="AA340" s="44"/>
    </row>
    <row r="341" spans="1:27" ht="13">
      <c r="A341" s="44"/>
      <c r="B341" s="44"/>
      <c r="C341" s="44"/>
      <c r="D341" s="44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  <c r="AA341" s="44"/>
    </row>
    <row r="342" spans="1:27" ht="13">
      <c r="A342" s="44"/>
      <c r="B342" s="44"/>
      <c r="C342" s="44"/>
      <c r="D342" s="44"/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  <c r="AA342" s="44"/>
    </row>
    <row r="343" spans="1:27" ht="13">
      <c r="A343" s="44"/>
      <c r="B343" s="44"/>
      <c r="C343" s="44"/>
      <c r="D343" s="44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  <c r="AA343" s="44"/>
    </row>
    <row r="344" spans="1:27" ht="13">
      <c r="A344" s="44"/>
      <c r="B344" s="44"/>
      <c r="C344" s="44"/>
      <c r="D344" s="44"/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  <c r="AA344" s="44"/>
    </row>
    <row r="345" spans="1:27" ht="13">
      <c r="A345" s="44"/>
      <c r="B345" s="44"/>
      <c r="C345" s="44"/>
      <c r="D345" s="44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  <c r="AA345" s="44"/>
    </row>
    <row r="346" spans="1:27" ht="13">
      <c r="A346" s="44"/>
      <c r="B346" s="44"/>
      <c r="C346" s="44"/>
      <c r="D346" s="44"/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  <c r="AA346" s="44"/>
    </row>
    <row r="347" spans="1:27" ht="13">
      <c r="A347" s="44"/>
      <c r="B347" s="44"/>
      <c r="C347" s="44"/>
      <c r="D347" s="44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  <c r="AA347" s="44"/>
    </row>
    <row r="348" spans="1:27" ht="13">
      <c r="A348" s="44"/>
      <c r="B348" s="44"/>
      <c r="C348" s="44"/>
      <c r="D348" s="44"/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  <c r="AA348" s="44"/>
    </row>
    <row r="349" spans="1:27" ht="13">
      <c r="A349" s="44"/>
      <c r="B349" s="44"/>
      <c r="C349" s="44"/>
      <c r="D349" s="44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  <c r="AA349" s="44"/>
    </row>
    <row r="350" spans="1:27" ht="13">
      <c r="A350" s="44"/>
      <c r="B350" s="44"/>
      <c r="C350" s="44"/>
      <c r="D350" s="44"/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  <c r="AA350" s="44"/>
    </row>
    <row r="351" spans="1:27" ht="13">
      <c r="A351" s="44"/>
      <c r="B351" s="44"/>
      <c r="C351" s="44"/>
      <c r="D351" s="44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  <c r="AA351" s="44"/>
    </row>
    <row r="352" spans="1:27" ht="13">
      <c r="A352" s="44"/>
      <c r="B352" s="44"/>
      <c r="C352" s="44"/>
      <c r="D352" s="44"/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  <c r="AA352" s="44"/>
    </row>
    <row r="353" spans="1:27" ht="13">
      <c r="A353" s="44"/>
      <c r="B353" s="44"/>
      <c r="C353" s="44"/>
      <c r="D353" s="44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  <c r="AA353" s="44"/>
    </row>
    <row r="354" spans="1:27" ht="13">
      <c r="A354" s="44"/>
      <c r="B354" s="44"/>
      <c r="C354" s="44"/>
      <c r="D354" s="44"/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  <c r="AA354" s="44"/>
    </row>
    <row r="355" spans="1:27" ht="13">
      <c r="A355" s="44"/>
      <c r="B355" s="44"/>
      <c r="C355" s="44"/>
      <c r="D355" s="44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  <c r="AA355" s="44"/>
    </row>
    <row r="356" spans="1:27" ht="13">
      <c r="A356" s="44"/>
      <c r="B356" s="44"/>
      <c r="C356" s="44"/>
      <c r="D356" s="44"/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  <c r="AA356" s="44"/>
    </row>
    <row r="357" spans="1:27" ht="13">
      <c r="A357" s="44"/>
      <c r="B357" s="44"/>
      <c r="C357" s="44"/>
      <c r="D357" s="44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  <c r="AA357" s="44"/>
    </row>
    <row r="358" spans="1:27" ht="13">
      <c r="A358" s="44"/>
      <c r="B358" s="44"/>
      <c r="C358" s="44"/>
      <c r="D358" s="44"/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  <c r="AA358" s="44"/>
    </row>
    <row r="359" spans="1:27" ht="13">
      <c r="A359" s="44"/>
      <c r="B359" s="44"/>
      <c r="C359" s="44"/>
      <c r="D359" s="44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  <c r="AA359" s="44"/>
    </row>
    <row r="360" spans="1:27" ht="13">
      <c r="A360" s="44"/>
      <c r="B360" s="44"/>
      <c r="C360" s="44"/>
      <c r="D360" s="44"/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  <c r="AA360" s="44"/>
    </row>
    <row r="361" spans="1:27" ht="13">
      <c r="A361" s="44"/>
      <c r="B361" s="44"/>
      <c r="C361" s="44"/>
      <c r="D361" s="44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  <c r="AA361" s="44"/>
    </row>
    <row r="362" spans="1:27" ht="13">
      <c r="A362" s="44"/>
      <c r="B362" s="44"/>
      <c r="C362" s="44"/>
      <c r="D362" s="44"/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  <c r="AA362" s="44"/>
    </row>
    <row r="363" spans="1:27" ht="13">
      <c r="A363" s="44"/>
      <c r="B363" s="44"/>
      <c r="C363" s="44"/>
      <c r="D363" s="44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  <c r="AA363" s="44"/>
    </row>
    <row r="364" spans="1:27" ht="13">
      <c r="A364" s="44"/>
      <c r="B364" s="44"/>
      <c r="C364" s="44"/>
      <c r="D364" s="44"/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  <c r="AA364" s="44"/>
    </row>
    <row r="365" spans="1:27" ht="13">
      <c r="A365" s="44"/>
      <c r="B365" s="44"/>
      <c r="C365" s="44"/>
      <c r="D365" s="44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  <c r="AA365" s="44"/>
    </row>
    <row r="366" spans="1:27" ht="13">
      <c r="A366" s="44"/>
      <c r="B366" s="44"/>
      <c r="C366" s="44"/>
      <c r="D366" s="44"/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  <c r="AA366" s="44"/>
    </row>
    <row r="367" spans="1:27" ht="13">
      <c r="A367" s="44"/>
      <c r="B367" s="44"/>
      <c r="C367" s="44"/>
      <c r="D367" s="44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  <c r="AA367" s="44"/>
    </row>
    <row r="368" spans="1:27" ht="13">
      <c r="A368" s="44"/>
      <c r="B368" s="44"/>
      <c r="C368" s="44"/>
      <c r="D368" s="44"/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  <c r="AA368" s="44"/>
    </row>
    <row r="369" spans="1:27" ht="13">
      <c r="A369" s="44"/>
      <c r="B369" s="44"/>
      <c r="C369" s="44"/>
      <c r="D369" s="44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  <c r="AA369" s="44"/>
    </row>
    <row r="370" spans="1:27" ht="13">
      <c r="A370" s="44"/>
      <c r="B370" s="44"/>
      <c r="C370" s="44"/>
      <c r="D370" s="44"/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  <c r="AA370" s="44"/>
    </row>
    <row r="371" spans="1:27" ht="13">
      <c r="A371" s="44"/>
      <c r="B371" s="44"/>
      <c r="C371" s="44"/>
      <c r="D371" s="44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  <c r="AA371" s="44"/>
    </row>
    <row r="372" spans="1:27" ht="13">
      <c r="A372" s="44"/>
      <c r="B372" s="44"/>
      <c r="C372" s="44"/>
      <c r="D372" s="44"/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  <c r="AA372" s="44"/>
    </row>
    <row r="373" spans="1:27" ht="13">
      <c r="A373" s="44"/>
      <c r="B373" s="44"/>
      <c r="C373" s="44"/>
      <c r="D373" s="44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  <c r="AA373" s="44"/>
    </row>
    <row r="374" spans="1:27" ht="13">
      <c r="A374" s="44"/>
      <c r="B374" s="44"/>
      <c r="C374" s="44"/>
      <c r="D374" s="44"/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  <c r="AA374" s="44"/>
    </row>
    <row r="375" spans="1:27" ht="13">
      <c r="A375" s="44"/>
      <c r="B375" s="44"/>
      <c r="C375" s="44"/>
      <c r="D375" s="44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  <c r="AA375" s="44"/>
    </row>
    <row r="376" spans="1:27" ht="13">
      <c r="A376" s="44"/>
      <c r="B376" s="44"/>
      <c r="C376" s="44"/>
      <c r="D376" s="44"/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  <c r="AA376" s="44"/>
    </row>
    <row r="377" spans="1:27" ht="13">
      <c r="A377" s="44"/>
      <c r="B377" s="44"/>
      <c r="C377" s="44"/>
      <c r="D377" s="44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  <c r="AA377" s="44"/>
    </row>
    <row r="378" spans="1:27" ht="13">
      <c r="A378" s="44"/>
      <c r="B378" s="44"/>
      <c r="C378" s="44"/>
      <c r="D378" s="44"/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  <c r="AA378" s="44"/>
    </row>
    <row r="379" spans="1:27" ht="13">
      <c r="A379" s="44"/>
      <c r="B379" s="44"/>
      <c r="C379" s="44"/>
      <c r="D379" s="44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  <c r="AA379" s="44"/>
    </row>
    <row r="380" spans="1:27" ht="13">
      <c r="A380" s="44"/>
      <c r="B380" s="44"/>
      <c r="C380" s="44"/>
      <c r="D380" s="44"/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  <c r="AA380" s="44"/>
    </row>
    <row r="381" spans="1:27" ht="13">
      <c r="A381" s="44"/>
      <c r="B381" s="44"/>
      <c r="C381" s="44"/>
      <c r="D381" s="44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  <c r="AA381" s="44"/>
    </row>
    <row r="382" spans="1:27" ht="13">
      <c r="A382" s="44"/>
      <c r="B382" s="44"/>
      <c r="C382" s="44"/>
      <c r="D382" s="44"/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  <c r="AA382" s="44"/>
    </row>
    <row r="383" spans="1:27" ht="13">
      <c r="A383" s="44"/>
      <c r="B383" s="44"/>
      <c r="C383" s="44"/>
      <c r="D383" s="44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  <c r="AA383" s="44"/>
    </row>
    <row r="384" spans="1:27" ht="13">
      <c r="A384" s="44"/>
      <c r="B384" s="44"/>
      <c r="C384" s="44"/>
      <c r="D384" s="44"/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  <c r="AA384" s="44"/>
    </row>
    <row r="385" spans="1:27" ht="13">
      <c r="A385" s="44"/>
      <c r="B385" s="44"/>
      <c r="C385" s="44"/>
      <c r="D385" s="44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  <c r="AA385" s="44"/>
    </row>
    <row r="386" spans="1:27" ht="13">
      <c r="A386" s="44"/>
      <c r="B386" s="44"/>
      <c r="C386" s="44"/>
      <c r="D386" s="44"/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  <c r="AA386" s="44"/>
    </row>
    <row r="387" spans="1:27" ht="13">
      <c r="A387" s="44"/>
      <c r="B387" s="44"/>
      <c r="C387" s="44"/>
      <c r="D387" s="44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  <c r="AA387" s="44"/>
    </row>
    <row r="388" spans="1:27" ht="13">
      <c r="A388" s="44"/>
      <c r="B388" s="44"/>
      <c r="C388" s="44"/>
      <c r="D388" s="44"/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  <c r="AA388" s="44"/>
    </row>
    <row r="389" spans="1:27" ht="13">
      <c r="A389" s="44"/>
      <c r="B389" s="44"/>
      <c r="C389" s="44"/>
      <c r="D389" s="44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  <c r="AA389" s="44"/>
    </row>
    <row r="390" spans="1:27" ht="13">
      <c r="A390" s="44"/>
      <c r="B390" s="44"/>
      <c r="C390" s="44"/>
      <c r="D390" s="44"/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  <c r="AA390" s="44"/>
    </row>
    <row r="391" spans="1:27" ht="13">
      <c r="A391" s="44"/>
      <c r="B391" s="44"/>
      <c r="C391" s="44"/>
      <c r="D391" s="44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  <c r="AA391" s="44"/>
    </row>
    <row r="392" spans="1:27" ht="13">
      <c r="A392" s="44"/>
      <c r="B392" s="44"/>
      <c r="C392" s="44"/>
      <c r="D392" s="44"/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  <c r="AA392" s="44"/>
    </row>
    <row r="393" spans="1:27" ht="13">
      <c r="A393" s="44"/>
      <c r="B393" s="44"/>
      <c r="C393" s="44"/>
      <c r="D393" s="44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  <c r="AA393" s="44"/>
    </row>
    <row r="394" spans="1:27" ht="13">
      <c r="A394" s="44"/>
      <c r="B394" s="44"/>
      <c r="C394" s="44"/>
      <c r="D394" s="44"/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  <c r="AA394" s="44"/>
    </row>
    <row r="395" spans="1:27" ht="13">
      <c r="A395" s="44"/>
      <c r="B395" s="44"/>
      <c r="C395" s="44"/>
      <c r="D395" s="44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  <c r="AA395" s="44"/>
    </row>
    <row r="396" spans="1:27" ht="13">
      <c r="A396" s="44"/>
      <c r="B396" s="44"/>
      <c r="C396" s="44"/>
      <c r="D396" s="44"/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  <c r="AA396" s="44"/>
    </row>
    <row r="397" spans="1:27" ht="13">
      <c r="A397" s="44"/>
      <c r="B397" s="44"/>
      <c r="C397" s="44"/>
      <c r="D397" s="44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  <c r="AA397" s="44"/>
    </row>
    <row r="398" spans="1:27" ht="13">
      <c r="A398" s="44"/>
      <c r="B398" s="44"/>
      <c r="C398" s="44"/>
      <c r="D398" s="44"/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  <c r="AA398" s="44"/>
    </row>
    <row r="399" spans="1:27" ht="13">
      <c r="A399" s="44"/>
      <c r="B399" s="44"/>
      <c r="C399" s="44"/>
      <c r="D399" s="44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  <c r="AA399" s="44"/>
    </row>
    <row r="400" spans="1:27" ht="13">
      <c r="A400" s="44"/>
      <c r="B400" s="44"/>
      <c r="C400" s="44"/>
      <c r="D400" s="44"/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  <c r="AA400" s="44"/>
    </row>
    <row r="401" spans="1:27" ht="13">
      <c r="A401" s="44"/>
      <c r="B401" s="44"/>
      <c r="C401" s="44"/>
      <c r="D401" s="44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  <c r="AA401" s="44"/>
    </row>
    <row r="402" spans="1:27" ht="13">
      <c r="A402" s="44"/>
      <c r="B402" s="44"/>
      <c r="C402" s="44"/>
      <c r="D402" s="44"/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  <c r="AA402" s="44"/>
    </row>
    <row r="403" spans="1:27" ht="13">
      <c r="A403" s="44"/>
      <c r="B403" s="44"/>
      <c r="C403" s="44"/>
      <c r="D403" s="44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  <c r="AA403" s="44"/>
    </row>
    <row r="404" spans="1:27" ht="13">
      <c r="A404" s="44"/>
      <c r="B404" s="44"/>
      <c r="C404" s="44"/>
      <c r="D404" s="44"/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  <c r="AA404" s="44"/>
    </row>
    <row r="405" spans="1:27" ht="13">
      <c r="A405" s="44"/>
      <c r="B405" s="44"/>
      <c r="C405" s="44"/>
      <c r="D405" s="44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  <c r="AA405" s="44"/>
    </row>
    <row r="406" spans="1:27" ht="13">
      <c r="A406" s="44"/>
      <c r="B406" s="44"/>
      <c r="C406" s="44"/>
      <c r="D406" s="44"/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  <c r="AA406" s="44"/>
    </row>
    <row r="407" spans="1:27" ht="13">
      <c r="A407" s="44"/>
      <c r="B407" s="44"/>
      <c r="C407" s="44"/>
      <c r="D407" s="44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  <c r="AA407" s="44"/>
    </row>
    <row r="408" spans="1:27" ht="13">
      <c r="A408" s="44"/>
      <c r="B408" s="44"/>
      <c r="C408" s="44"/>
      <c r="D408" s="44"/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  <c r="AA408" s="44"/>
    </row>
    <row r="409" spans="1:27" ht="13">
      <c r="A409" s="44"/>
      <c r="B409" s="44"/>
      <c r="C409" s="44"/>
      <c r="D409" s="44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  <c r="AA409" s="44"/>
    </row>
    <row r="410" spans="1:27" ht="13">
      <c r="A410" s="44"/>
      <c r="B410" s="44"/>
      <c r="C410" s="44"/>
      <c r="D410" s="44"/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  <c r="AA410" s="44"/>
    </row>
    <row r="411" spans="1:27" ht="13">
      <c r="A411" s="44"/>
      <c r="B411" s="44"/>
      <c r="C411" s="44"/>
      <c r="D411" s="44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  <c r="AA411" s="44"/>
    </row>
    <row r="412" spans="1:27" ht="13">
      <c r="A412" s="44"/>
      <c r="B412" s="44"/>
      <c r="C412" s="44"/>
      <c r="D412" s="44"/>
      <c r="E412" s="44"/>
      <c r="F412" s="44"/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  <c r="AA412" s="44"/>
    </row>
    <row r="413" spans="1:27" ht="13">
      <c r="A413" s="44"/>
      <c r="B413" s="44"/>
      <c r="C413" s="44"/>
      <c r="D413" s="44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  <c r="AA413" s="44"/>
    </row>
    <row r="414" spans="1:27" ht="13">
      <c r="A414" s="44"/>
      <c r="B414" s="44"/>
      <c r="C414" s="44"/>
      <c r="D414" s="44"/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  <c r="AA414" s="44"/>
    </row>
    <row r="415" spans="1:27" ht="13">
      <c r="A415" s="44"/>
      <c r="B415" s="44"/>
      <c r="C415" s="44"/>
      <c r="D415" s="44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  <c r="AA415" s="44"/>
    </row>
    <row r="416" spans="1:27" ht="13">
      <c r="A416" s="44"/>
      <c r="B416" s="44"/>
      <c r="C416" s="44"/>
      <c r="D416" s="44"/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  <c r="AA416" s="44"/>
    </row>
    <row r="417" spans="1:27" ht="13">
      <c r="A417" s="44"/>
      <c r="B417" s="44"/>
      <c r="C417" s="44"/>
      <c r="D417" s="44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  <c r="AA417" s="44"/>
    </row>
    <row r="418" spans="1:27" ht="13">
      <c r="A418" s="44"/>
      <c r="B418" s="44"/>
      <c r="C418" s="44"/>
      <c r="D418" s="44"/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  <c r="AA418" s="44"/>
    </row>
    <row r="419" spans="1:27" ht="13">
      <c r="A419" s="44"/>
      <c r="B419" s="44"/>
      <c r="C419" s="44"/>
      <c r="D419" s="44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  <c r="AA419" s="44"/>
    </row>
    <row r="420" spans="1:27" ht="13">
      <c r="A420" s="44"/>
      <c r="B420" s="44"/>
      <c r="C420" s="44"/>
      <c r="D420" s="44"/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  <c r="AA420" s="44"/>
    </row>
    <row r="421" spans="1:27" ht="13">
      <c r="A421" s="44"/>
      <c r="B421" s="44"/>
      <c r="C421" s="44"/>
      <c r="D421" s="44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  <c r="AA421" s="44"/>
    </row>
    <row r="422" spans="1:27" ht="13">
      <c r="A422" s="44"/>
      <c r="B422" s="44"/>
      <c r="C422" s="44"/>
      <c r="D422" s="44"/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  <c r="AA422" s="44"/>
    </row>
    <row r="423" spans="1:27" ht="13">
      <c r="A423" s="44"/>
      <c r="B423" s="44"/>
      <c r="C423" s="44"/>
      <c r="D423" s="44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  <c r="AA423" s="44"/>
    </row>
    <row r="424" spans="1:27" ht="13">
      <c r="A424" s="44"/>
      <c r="B424" s="44"/>
      <c r="C424" s="44"/>
      <c r="D424" s="44"/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  <c r="AA424" s="44"/>
    </row>
    <row r="425" spans="1:27" ht="13">
      <c r="A425" s="44"/>
      <c r="B425" s="44"/>
      <c r="C425" s="44"/>
      <c r="D425" s="44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  <c r="AA425" s="44"/>
    </row>
    <row r="426" spans="1:27" ht="13">
      <c r="A426" s="44"/>
      <c r="B426" s="44"/>
      <c r="C426" s="44"/>
      <c r="D426" s="44"/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  <c r="AA426" s="44"/>
    </row>
    <row r="427" spans="1:27" ht="13">
      <c r="A427" s="44"/>
      <c r="B427" s="44"/>
      <c r="C427" s="44"/>
      <c r="D427" s="44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  <c r="AA427" s="44"/>
    </row>
    <row r="428" spans="1:27" ht="13">
      <c r="A428" s="44"/>
      <c r="B428" s="44"/>
      <c r="C428" s="44"/>
      <c r="D428" s="44"/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  <c r="AA428" s="44"/>
    </row>
    <row r="429" spans="1:27" ht="13">
      <c r="A429" s="44"/>
      <c r="B429" s="44"/>
      <c r="C429" s="44"/>
      <c r="D429" s="44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  <c r="AA429" s="44"/>
    </row>
    <row r="430" spans="1:27" ht="13">
      <c r="A430" s="44"/>
      <c r="B430" s="44"/>
      <c r="C430" s="44"/>
      <c r="D430" s="44"/>
      <c r="E430" s="44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  <c r="AA430" s="44"/>
    </row>
    <row r="431" spans="1:27" ht="13">
      <c r="A431" s="44"/>
      <c r="B431" s="44"/>
      <c r="C431" s="44"/>
      <c r="D431" s="44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  <c r="AA431" s="44"/>
    </row>
    <row r="432" spans="1:27" ht="13">
      <c r="A432" s="44"/>
      <c r="B432" s="44"/>
      <c r="C432" s="44"/>
      <c r="D432" s="44"/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  <c r="AA432" s="44"/>
    </row>
    <row r="433" spans="1:27" ht="13">
      <c r="A433" s="44"/>
      <c r="B433" s="44"/>
      <c r="C433" s="44"/>
      <c r="D433" s="44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  <c r="AA433" s="44"/>
    </row>
    <row r="434" spans="1:27" ht="13">
      <c r="A434" s="44"/>
      <c r="B434" s="44"/>
      <c r="C434" s="44"/>
      <c r="D434" s="44"/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  <c r="AA434" s="44"/>
    </row>
    <row r="435" spans="1:27" ht="13">
      <c r="A435" s="44"/>
      <c r="B435" s="44"/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  <c r="AA435" s="44"/>
    </row>
    <row r="436" spans="1:27" ht="13">
      <c r="A436" s="44"/>
      <c r="B436" s="44"/>
      <c r="C436" s="44"/>
      <c r="D436" s="44"/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  <c r="AA436" s="44"/>
    </row>
    <row r="437" spans="1:27" ht="13">
      <c r="A437" s="44"/>
      <c r="B437" s="44"/>
      <c r="C437" s="44"/>
      <c r="D437" s="44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  <c r="AA437" s="44"/>
    </row>
    <row r="438" spans="1:27" ht="13">
      <c r="A438" s="44"/>
      <c r="B438" s="44"/>
      <c r="C438" s="44"/>
      <c r="D438" s="44"/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  <c r="AA438" s="44"/>
    </row>
    <row r="439" spans="1:27" ht="13">
      <c r="A439" s="44"/>
      <c r="B439" s="44"/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  <c r="AA439" s="44"/>
    </row>
    <row r="440" spans="1:27" ht="13">
      <c r="A440" s="44"/>
      <c r="B440" s="44"/>
      <c r="C440" s="44"/>
      <c r="D440" s="44"/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  <c r="AA440" s="44"/>
    </row>
    <row r="441" spans="1:27" ht="13">
      <c r="A441" s="44"/>
      <c r="B441" s="44"/>
      <c r="C441" s="44"/>
      <c r="D441" s="44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  <c r="AA441" s="44"/>
    </row>
    <row r="442" spans="1:27" ht="13">
      <c r="A442" s="44"/>
      <c r="B442" s="44"/>
      <c r="C442" s="44"/>
      <c r="D442" s="44"/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  <c r="AA442" s="44"/>
    </row>
    <row r="443" spans="1:27" ht="13">
      <c r="A443" s="44"/>
      <c r="B443" s="44"/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  <c r="AA443" s="44"/>
    </row>
    <row r="444" spans="1:27" ht="13">
      <c r="A444" s="44"/>
      <c r="B444" s="44"/>
      <c r="C444" s="44"/>
      <c r="D444" s="44"/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  <c r="AA444" s="44"/>
    </row>
    <row r="445" spans="1:27" ht="13">
      <c r="A445" s="44"/>
      <c r="B445" s="44"/>
      <c r="C445" s="44"/>
      <c r="D445" s="44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  <c r="AA445" s="44"/>
    </row>
    <row r="446" spans="1:27" ht="13">
      <c r="A446" s="44"/>
      <c r="B446" s="44"/>
      <c r="C446" s="44"/>
      <c r="D446" s="44"/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  <c r="AA446" s="44"/>
    </row>
    <row r="447" spans="1:27" ht="13">
      <c r="A447" s="44"/>
      <c r="B447" s="44"/>
      <c r="C447" s="44"/>
      <c r="D447" s="44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  <c r="AA447" s="44"/>
    </row>
    <row r="448" spans="1:27" ht="13">
      <c r="A448" s="44"/>
      <c r="B448" s="44"/>
      <c r="C448" s="44"/>
      <c r="D448" s="44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  <c r="AA448" s="44"/>
    </row>
    <row r="449" spans="1:27" ht="13">
      <c r="A449" s="44"/>
      <c r="B449" s="44"/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  <c r="AA449" s="44"/>
    </row>
    <row r="450" spans="1:27" ht="13">
      <c r="A450" s="44"/>
      <c r="B450" s="44"/>
      <c r="C450" s="44"/>
      <c r="D450" s="44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  <c r="AA450" s="44"/>
    </row>
    <row r="451" spans="1:27" ht="13">
      <c r="A451" s="44"/>
      <c r="B451" s="44"/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  <c r="AA451" s="44"/>
    </row>
    <row r="452" spans="1:27" ht="13">
      <c r="A452" s="44"/>
      <c r="B452" s="44"/>
      <c r="C452" s="44"/>
      <c r="D452" s="44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  <c r="AA452" s="44"/>
    </row>
    <row r="453" spans="1:27" ht="13">
      <c r="A453" s="44"/>
      <c r="B453" s="44"/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  <c r="AA453" s="44"/>
    </row>
    <row r="454" spans="1:27" ht="13">
      <c r="A454" s="44"/>
      <c r="B454" s="44"/>
      <c r="C454" s="44"/>
      <c r="D454" s="44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  <c r="AA454" s="44"/>
    </row>
    <row r="455" spans="1:27" ht="13">
      <c r="A455" s="44"/>
      <c r="B455" s="44"/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  <c r="AA455" s="44"/>
    </row>
    <row r="456" spans="1:27" ht="13">
      <c r="A456" s="44"/>
      <c r="B456" s="44"/>
      <c r="C456" s="44"/>
      <c r="D456" s="44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  <c r="AA456" s="44"/>
    </row>
    <row r="457" spans="1:27" ht="13">
      <c r="A457" s="44"/>
      <c r="B457" s="44"/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  <c r="AA457" s="44"/>
    </row>
    <row r="458" spans="1:27" ht="13">
      <c r="A458" s="44"/>
      <c r="B458" s="44"/>
      <c r="C458" s="44"/>
      <c r="D458" s="44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  <c r="AA458" s="44"/>
    </row>
    <row r="459" spans="1:27" ht="13">
      <c r="A459" s="44"/>
      <c r="B459" s="44"/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  <c r="AA459" s="44"/>
    </row>
    <row r="460" spans="1:27" ht="13">
      <c r="A460" s="44"/>
      <c r="B460" s="44"/>
      <c r="C460" s="44"/>
      <c r="D460" s="44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  <c r="AA460" s="44"/>
    </row>
    <row r="461" spans="1:27" ht="13">
      <c r="A461" s="44"/>
      <c r="B461" s="44"/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  <c r="AA461" s="44"/>
    </row>
    <row r="462" spans="1:27" ht="13">
      <c r="A462" s="44"/>
      <c r="B462" s="44"/>
      <c r="C462" s="44"/>
      <c r="D462" s="44"/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  <c r="AA462" s="44"/>
    </row>
    <row r="463" spans="1:27" ht="13">
      <c r="A463" s="44"/>
      <c r="B463" s="44"/>
      <c r="C463" s="44"/>
      <c r="D463" s="44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  <c r="AA463" s="44"/>
    </row>
    <row r="464" spans="1:27" ht="13">
      <c r="A464" s="44"/>
      <c r="B464" s="44"/>
      <c r="C464" s="44"/>
      <c r="D464" s="44"/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  <c r="AA464" s="44"/>
    </row>
    <row r="465" spans="1:27" ht="13">
      <c r="A465" s="44"/>
      <c r="B465" s="44"/>
      <c r="C465" s="44"/>
      <c r="D465" s="44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  <c r="AA465" s="44"/>
    </row>
    <row r="466" spans="1:27" ht="13">
      <c r="A466" s="44"/>
      <c r="B466" s="44"/>
      <c r="C466" s="44"/>
      <c r="D466" s="44"/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  <c r="AA466" s="44"/>
    </row>
    <row r="467" spans="1:27" ht="13">
      <c r="A467" s="44"/>
      <c r="B467" s="44"/>
      <c r="C467" s="44"/>
      <c r="D467" s="44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  <c r="AA467" s="44"/>
    </row>
    <row r="468" spans="1:27" ht="13">
      <c r="A468" s="44"/>
      <c r="B468" s="44"/>
      <c r="C468" s="44"/>
      <c r="D468" s="44"/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  <c r="AA468" s="44"/>
    </row>
    <row r="469" spans="1:27" ht="13">
      <c r="A469" s="44"/>
      <c r="B469" s="44"/>
      <c r="C469" s="44"/>
      <c r="D469" s="44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  <c r="AA469" s="44"/>
    </row>
    <row r="470" spans="1:27" ht="13">
      <c r="A470" s="44"/>
      <c r="B470" s="44"/>
      <c r="C470" s="44"/>
      <c r="D470" s="44"/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  <c r="AA470" s="44"/>
    </row>
    <row r="471" spans="1:27" ht="13">
      <c r="A471" s="44"/>
      <c r="B471" s="44"/>
      <c r="C471" s="44"/>
      <c r="D471" s="44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  <c r="AA471" s="44"/>
    </row>
    <row r="472" spans="1:27" ht="13">
      <c r="A472" s="44"/>
      <c r="B472" s="44"/>
      <c r="C472" s="44"/>
      <c r="D472" s="44"/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  <c r="AA472" s="44"/>
    </row>
    <row r="473" spans="1:27" ht="13">
      <c r="A473" s="44"/>
      <c r="B473" s="44"/>
      <c r="C473" s="44"/>
      <c r="D473" s="44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  <c r="AA473" s="44"/>
    </row>
    <row r="474" spans="1:27" ht="13">
      <c r="A474" s="44"/>
      <c r="B474" s="44"/>
      <c r="C474" s="44"/>
      <c r="D474" s="44"/>
      <c r="E474" s="44"/>
      <c r="F474" s="44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  <c r="AA474" s="44"/>
    </row>
    <row r="475" spans="1:27" ht="13">
      <c r="A475" s="44"/>
      <c r="B475" s="44"/>
      <c r="C475" s="44"/>
      <c r="D475" s="44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  <c r="AA475" s="44"/>
    </row>
    <row r="476" spans="1:27" ht="13">
      <c r="A476" s="44"/>
      <c r="B476" s="44"/>
      <c r="C476" s="44"/>
      <c r="D476" s="44"/>
      <c r="E476" s="44"/>
      <c r="F476" s="44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  <c r="AA476" s="44"/>
    </row>
    <row r="477" spans="1:27" ht="13">
      <c r="A477" s="44"/>
      <c r="B477" s="44"/>
      <c r="C477" s="44"/>
      <c r="D477" s="44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  <c r="AA477" s="44"/>
    </row>
    <row r="478" spans="1:27" ht="13">
      <c r="A478" s="44"/>
      <c r="B478" s="44"/>
      <c r="C478" s="44"/>
      <c r="D478" s="44"/>
      <c r="E478" s="44"/>
      <c r="F478" s="44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  <c r="AA478" s="44"/>
    </row>
    <row r="479" spans="1:27" ht="13">
      <c r="A479" s="44"/>
      <c r="B479" s="44"/>
      <c r="C479" s="44"/>
      <c r="D479" s="44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  <c r="AA479" s="44"/>
    </row>
    <row r="480" spans="1:27" ht="13">
      <c r="A480" s="44"/>
      <c r="B480" s="44"/>
      <c r="C480" s="44"/>
      <c r="D480" s="44"/>
      <c r="E480" s="44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  <c r="AA480" s="44"/>
    </row>
    <row r="481" spans="1:27" ht="13">
      <c r="A481" s="44"/>
      <c r="B481" s="44"/>
      <c r="C481" s="44"/>
      <c r="D481" s="44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  <c r="AA481" s="44"/>
    </row>
    <row r="482" spans="1:27" ht="13">
      <c r="A482" s="44"/>
      <c r="B482" s="44"/>
      <c r="C482" s="44"/>
      <c r="D482" s="44"/>
      <c r="E482" s="44"/>
      <c r="F482" s="44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  <c r="AA482" s="44"/>
    </row>
    <row r="483" spans="1:27" ht="13">
      <c r="A483" s="44"/>
      <c r="B483" s="44"/>
      <c r="C483" s="44"/>
      <c r="D483" s="44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  <c r="AA483" s="44"/>
    </row>
    <row r="484" spans="1:27" ht="13">
      <c r="A484" s="44"/>
      <c r="B484" s="44"/>
      <c r="C484" s="44"/>
      <c r="D484" s="44"/>
      <c r="E484" s="44"/>
      <c r="F484" s="44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  <c r="AA484" s="44"/>
    </row>
    <row r="485" spans="1:27" ht="13">
      <c r="A485" s="44"/>
      <c r="B485" s="44"/>
      <c r="C485" s="44"/>
      <c r="D485" s="44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  <c r="AA485" s="44"/>
    </row>
    <row r="486" spans="1:27" ht="13">
      <c r="A486" s="44"/>
      <c r="B486" s="44"/>
      <c r="C486" s="44"/>
      <c r="D486" s="44"/>
      <c r="E486" s="44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  <c r="AA486" s="44"/>
    </row>
    <row r="487" spans="1:27" ht="13">
      <c r="A487" s="44"/>
      <c r="B487" s="44"/>
      <c r="C487" s="44"/>
      <c r="D487" s="44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  <c r="AA487" s="44"/>
    </row>
    <row r="488" spans="1:27" ht="13">
      <c r="A488" s="44"/>
      <c r="B488" s="44"/>
      <c r="C488" s="44"/>
      <c r="D488" s="44"/>
      <c r="E488" s="44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  <c r="AA488" s="44"/>
    </row>
    <row r="489" spans="1:27" ht="13">
      <c r="A489" s="44"/>
      <c r="B489" s="44"/>
      <c r="C489" s="44"/>
      <c r="D489" s="44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  <c r="AA489" s="44"/>
    </row>
    <row r="490" spans="1:27" ht="13">
      <c r="A490" s="44"/>
      <c r="B490" s="44"/>
      <c r="C490" s="44"/>
      <c r="D490" s="44"/>
      <c r="E490" s="44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  <c r="AA490" s="44"/>
    </row>
    <row r="491" spans="1:27" ht="13">
      <c r="A491" s="44"/>
      <c r="B491" s="44"/>
      <c r="C491" s="44"/>
      <c r="D491" s="44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  <c r="AA491" s="44"/>
    </row>
    <row r="492" spans="1:27" ht="13">
      <c r="A492" s="44"/>
      <c r="B492" s="44"/>
      <c r="C492" s="44"/>
      <c r="D492" s="44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  <c r="AA492" s="44"/>
    </row>
    <row r="493" spans="1:27" ht="13">
      <c r="A493" s="44"/>
      <c r="B493" s="44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  <c r="AA493" s="44"/>
    </row>
    <row r="494" spans="1:27" ht="13">
      <c r="A494" s="44"/>
      <c r="B494" s="44"/>
      <c r="C494" s="44"/>
      <c r="D494" s="44"/>
      <c r="E494" s="44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  <c r="AA494" s="44"/>
    </row>
    <row r="495" spans="1:27" ht="13">
      <c r="A495" s="44"/>
      <c r="B495" s="44"/>
      <c r="C495" s="44"/>
      <c r="D495" s="44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  <c r="AA495" s="44"/>
    </row>
    <row r="496" spans="1:27" ht="13">
      <c r="A496" s="44"/>
      <c r="B496" s="44"/>
      <c r="C496" s="44"/>
      <c r="D496" s="44"/>
      <c r="E496" s="44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  <c r="AA496" s="44"/>
    </row>
    <row r="497" spans="1:27" ht="13">
      <c r="A497" s="44"/>
      <c r="B497" s="44"/>
      <c r="C497" s="44"/>
      <c r="D497" s="44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  <c r="AA497" s="44"/>
    </row>
    <row r="498" spans="1:27" ht="13">
      <c r="A498" s="44"/>
      <c r="B498" s="44"/>
      <c r="C498" s="44"/>
      <c r="D498" s="44"/>
      <c r="E498" s="44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  <c r="AA498" s="44"/>
    </row>
    <row r="499" spans="1:27" ht="13">
      <c r="A499" s="44"/>
      <c r="B499" s="44"/>
      <c r="C499" s="44"/>
      <c r="D499" s="44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  <c r="AA499" s="44"/>
    </row>
    <row r="500" spans="1:27" ht="13">
      <c r="A500" s="44"/>
      <c r="B500" s="44"/>
      <c r="C500" s="44"/>
      <c r="D500" s="44"/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  <c r="AA500" s="44"/>
    </row>
    <row r="501" spans="1:27" ht="13">
      <c r="A501" s="44"/>
      <c r="B501" s="44"/>
      <c r="C501" s="44"/>
      <c r="D501" s="44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  <c r="AA501" s="44"/>
    </row>
    <row r="502" spans="1:27" ht="13">
      <c r="A502" s="44"/>
      <c r="B502" s="44"/>
      <c r="C502" s="44"/>
      <c r="D502" s="44"/>
      <c r="E502" s="44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  <c r="AA502" s="44"/>
    </row>
    <row r="503" spans="1:27" ht="13">
      <c r="A503" s="44"/>
      <c r="B503" s="44"/>
      <c r="C503" s="44"/>
      <c r="D503" s="44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  <c r="AA503" s="44"/>
    </row>
    <row r="504" spans="1:27" ht="13">
      <c r="A504" s="44"/>
      <c r="B504" s="44"/>
      <c r="C504" s="44"/>
      <c r="D504" s="44"/>
      <c r="E504" s="44"/>
      <c r="F504" s="44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  <c r="AA504" s="44"/>
    </row>
    <row r="505" spans="1:27" ht="13">
      <c r="A505" s="44"/>
      <c r="B505" s="44"/>
      <c r="C505" s="44"/>
      <c r="D505" s="44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  <c r="AA505" s="44"/>
    </row>
    <row r="506" spans="1:27" ht="13">
      <c r="A506" s="44"/>
      <c r="B506" s="44"/>
      <c r="C506" s="44"/>
      <c r="D506" s="44"/>
      <c r="E506" s="44"/>
      <c r="F506" s="44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  <c r="AA506" s="44"/>
    </row>
    <row r="507" spans="1:27" ht="13">
      <c r="A507" s="44"/>
      <c r="B507" s="44"/>
      <c r="C507" s="44"/>
      <c r="D507" s="44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  <c r="AA507" s="44"/>
    </row>
    <row r="508" spans="1:27" ht="13">
      <c r="A508" s="44"/>
      <c r="B508" s="44"/>
      <c r="C508" s="44"/>
      <c r="D508" s="44"/>
      <c r="E508" s="44"/>
      <c r="F508" s="44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  <c r="AA508" s="44"/>
    </row>
    <row r="509" spans="1:27" ht="13">
      <c r="A509" s="44"/>
      <c r="B509" s="44"/>
      <c r="C509" s="44"/>
      <c r="D509" s="44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  <c r="AA509" s="44"/>
    </row>
    <row r="510" spans="1:27" ht="13">
      <c r="A510" s="44"/>
      <c r="B510" s="44"/>
      <c r="C510" s="44"/>
      <c r="D510" s="44"/>
      <c r="E510" s="44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  <c r="AA510" s="44"/>
    </row>
    <row r="511" spans="1:27" ht="13">
      <c r="A511" s="44"/>
      <c r="B511" s="44"/>
      <c r="C511" s="44"/>
      <c r="D511" s="44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  <c r="AA511" s="44"/>
    </row>
    <row r="512" spans="1:27" ht="13">
      <c r="A512" s="44"/>
      <c r="B512" s="44"/>
      <c r="C512" s="44"/>
      <c r="D512" s="44"/>
      <c r="E512" s="44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  <c r="AA512" s="44"/>
    </row>
    <row r="513" spans="1:27" ht="13">
      <c r="A513" s="44"/>
      <c r="B513" s="44"/>
      <c r="C513" s="44"/>
      <c r="D513" s="44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  <c r="AA513" s="44"/>
    </row>
    <row r="514" spans="1:27" ht="13">
      <c r="A514" s="44"/>
      <c r="B514" s="44"/>
      <c r="C514" s="44"/>
      <c r="D514" s="44"/>
      <c r="E514" s="44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  <c r="AA514" s="44"/>
    </row>
    <row r="515" spans="1:27" ht="13">
      <c r="A515" s="44"/>
      <c r="B515" s="44"/>
      <c r="C515" s="44"/>
      <c r="D515" s="44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  <c r="AA515" s="44"/>
    </row>
    <row r="516" spans="1:27" ht="13">
      <c r="A516" s="44"/>
      <c r="B516" s="44"/>
      <c r="C516" s="44"/>
      <c r="D516" s="44"/>
      <c r="E516" s="44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  <c r="AA516" s="44"/>
    </row>
    <row r="517" spans="1:27" ht="13">
      <c r="A517" s="44"/>
      <c r="B517" s="44"/>
      <c r="C517" s="44"/>
      <c r="D517" s="44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  <c r="AA517" s="44"/>
    </row>
    <row r="518" spans="1:27" ht="13">
      <c r="A518" s="44"/>
      <c r="B518" s="44"/>
      <c r="C518" s="44"/>
      <c r="D518" s="44"/>
      <c r="E518" s="44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  <c r="AA518" s="44"/>
    </row>
    <row r="519" spans="1:27" ht="13">
      <c r="A519" s="44"/>
      <c r="B519" s="44"/>
      <c r="C519" s="44"/>
      <c r="D519" s="44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  <c r="AA519" s="44"/>
    </row>
    <row r="520" spans="1:27" ht="13">
      <c r="A520" s="44"/>
      <c r="B520" s="44"/>
      <c r="C520" s="44"/>
      <c r="D520" s="44"/>
      <c r="E520" s="44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  <c r="AA520" s="44"/>
    </row>
    <row r="521" spans="1:27" ht="13">
      <c r="A521" s="44"/>
      <c r="B521" s="44"/>
      <c r="C521" s="44"/>
      <c r="D521" s="44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  <c r="AA521" s="44"/>
    </row>
    <row r="522" spans="1:27" ht="13">
      <c r="A522" s="44"/>
      <c r="B522" s="44"/>
      <c r="C522" s="44"/>
      <c r="D522" s="44"/>
      <c r="E522" s="44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  <c r="AA522" s="44"/>
    </row>
    <row r="523" spans="1:27" ht="13">
      <c r="A523" s="44"/>
      <c r="B523" s="44"/>
      <c r="C523" s="44"/>
      <c r="D523" s="44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  <c r="AA523" s="44"/>
    </row>
    <row r="524" spans="1:27" ht="13">
      <c r="A524" s="44"/>
      <c r="B524" s="44"/>
      <c r="C524" s="44"/>
      <c r="D524" s="44"/>
      <c r="E524" s="44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  <c r="AA524" s="44"/>
    </row>
    <row r="525" spans="1:27" ht="13">
      <c r="A525" s="44"/>
      <c r="B525" s="44"/>
      <c r="C525" s="44"/>
      <c r="D525" s="44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  <c r="AA525" s="44"/>
    </row>
    <row r="526" spans="1:27" ht="13">
      <c r="A526" s="44"/>
      <c r="B526" s="44"/>
      <c r="C526" s="44"/>
      <c r="D526" s="44"/>
      <c r="E526" s="44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  <c r="AA526" s="44"/>
    </row>
    <row r="527" spans="1:27" ht="13">
      <c r="A527" s="44"/>
      <c r="B527" s="44"/>
      <c r="C527" s="44"/>
      <c r="D527" s="44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  <c r="AA527" s="44"/>
    </row>
    <row r="528" spans="1:27" ht="13">
      <c r="A528" s="44"/>
      <c r="B528" s="44"/>
      <c r="C528" s="44"/>
      <c r="D528" s="44"/>
      <c r="E528" s="44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  <c r="AA528" s="44"/>
    </row>
    <row r="529" spans="1:27" ht="13">
      <c r="A529" s="44"/>
      <c r="B529" s="44"/>
      <c r="C529" s="44"/>
      <c r="D529" s="44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  <c r="AA529" s="44"/>
    </row>
    <row r="530" spans="1:27" ht="13">
      <c r="A530" s="44"/>
      <c r="B530" s="44"/>
      <c r="C530" s="44"/>
      <c r="D530" s="44"/>
      <c r="E530" s="44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  <c r="AA530" s="44"/>
    </row>
    <row r="531" spans="1:27" ht="13">
      <c r="A531" s="44"/>
      <c r="B531" s="44"/>
      <c r="C531" s="44"/>
      <c r="D531" s="44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  <c r="AA531" s="44"/>
    </row>
    <row r="532" spans="1:27" ht="13">
      <c r="A532" s="44"/>
      <c r="B532" s="44"/>
      <c r="C532" s="44"/>
      <c r="D532" s="44"/>
      <c r="E532" s="44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  <c r="AA532" s="44"/>
    </row>
    <row r="533" spans="1:27" ht="13">
      <c r="A533" s="44"/>
      <c r="B533" s="44"/>
      <c r="C533" s="44"/>
      <c r="D533" s="44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  <c r="AA533" s="44"/>
    </row>
    <row r="534" spans="1:27" ht="13">
      <c r="A534" s="44"/>
      <c r="B534" s="44"/>
      <c r="C534" s="44"/>
      <c r="D534" s="44"/>
      <c r="E534" s="44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  <c r="AA534" s="44"/>
    </row>
    <row r="535" spans="1:27" ht="13">
      <c r="A535" s="44"/>
      <c r="B535" s="44"/>
      <c r="C535" s="44"/>
      <c r="D535" s="44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  <c r="AA535" s="44"/>
    </row>
    <row r="536" spans="1:27" ht="13">
      <c r="A536" s="44"/>
      <c r="B536" s="44"/>
      <c r="C536" s="44"/>
      <c r="D536" s="44"/>
      <c r="E536" s="44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  <c r="AA536" s="44"/>
    </row>
    <row r="537" spans="1:27" ht="13">
      <c r="A537" s="44"/>
      <c r="B537" s="44"/>
      <c r="C537" s="44"/>
      <c r="D537" s="44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  <c r="AA537" s="44"/>
    </row>
    <row r="538" spans="1:27" ht="13">
      <c r="A538" s="44"/>
      <c r="B538" s="44"/>
      <c r="C538" s="44"/>
      <c r="D538" s="44"/>
      <c r="E538" s="44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  <c r="AA538" s="44"/>
    </row>
    <row r="539" spans="1:27" ht="13">
      <c r="A539" s="44"/>
      <c r="B539" s="44"/>
      <c r="C539" s="44"/>
      <c r="D539" s="44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  <c r="AA539" s="44"/>
    </row>
    <row r="540" spans="1:27" ht="13">
      <c r="A540" s="44"/>
      <c r="B540" s="44"/>
      <c r="C540" s="44"/>
      <c r="D540" s="44"/>
      <c r="E540" s="44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  <c r="AA540" s="44"/>
    </row>
    <row r="541" spans="1:27" ht="13">
      <c r="A541" s="44"/>
      <c r="B541" s="44"/>
      <c r="C541" s="44"/>
      <c r="D541" s="44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  <c r="AA541" s="44"/>
    </row>
    <row r="542" spans="1:27" ht="13">
      <c r="A542" s="44"/>
      <c r="B542" s="44"/>
      <c r="C542" s="44"/>
      <c r="D542" s="44"/>
      <c r="E542" s="44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  <c r="AA542" s="44"/>
    </row>
    <row r="543" spans="1:27" ht="13">
      <c r="A543" s="44"/>
      <c r="B543" s="44"/>
      <c r="C543" s="44"/>
      <c r="D543" s="44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  <c r="AA543" s="44"/>
    </row>
    <row r="544" spans="1:27" ht="13">
      <c r="A544" s="44"/>
      <c r="B544" s="44"/>
      <c r="C544" s="44"/>
      <c r="D544" s="44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  <c r="AA544" s="44"/>
    </row>
    <row r="545" spans="1:27" ht="13">
      <c r="A545" s="44"/>
      <c r="B545" s="44"/>
      <c r="C545" s="44"/>
      <c r="D545" s="44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  <c r="AA545" s="44"/>
    </row>
    <row r="546" spans="1:27" ht="13">
      <c r="A546" s="44"/>
      <c r="B546" s="44"/>
      <c r="C546" s="44"/>
      <c r="D546" s="44"/>
      <c r="E546" s="44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  <c r="AA546" s="44"/>
    </row>
    <row r="547" spans="1:27" ht="13">
      <c r="A547" s="44"/>
      <c r="B547" s="44"/>
      <c r="C547" s="44"/>
      <c r="D547" s="44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  <c r="AA547" s="44"/>
    </row>
    <row r="548" spans="1:27" ht="13">
      <c r="A548" s="44"/>
      <c r="B548" s="44"/>
      <c r="C548" s="44"/>
      <c r="D548" s="44"/>
      <c r="E548" s="44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  <c r="AA548" s="44"/>
    </row>
    <row r="549" spans="1:27" ht="13">
      <c r="A549" s="44"/>
      <c r="B549" s="44"/>
      <c r="C549" s="44"/>
      <c r="D549" s="44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  <c r="AA549" s="44"/>
    </row>
    <row r="550" spans="1:27" ht="13">
      <c r="A550" s="44"/>
      <c r="B550" s="44"/>
      <c r="C550" s="44"/>
      <c r="D550" s="44"/>
      <c r="E550" s="44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  <c r="AA550" s="44"/>
    </row>
    <row r="551" spans="1:27" ht="13">
      <c r="A551" s="44"/>
      <c r="B551" s="44"/>
      <c r="C551" s="44"/>
      <c r="D551" s="44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  <c r="AA551" s="44"/>
    </row>
    <row r="552" spans="1:27" ht="13">
      <c r="A552" s="44"/>
      <c r="B552" s="44"/>
      <c r="C552" s="44"/>
      <c r="D552" s="44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  <c r="AA552" s="44"/>
    </row>
    <row r="553" spans="1:27" ht="13">
      <c r="A553" s="44"/>
      <c r="B553" s="44"/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  <c r="AA553" s="44"/>
    </row>
    <row r="554" spans="1:27" ht="13">
      <c r="A554" s="44"/>
      <c r="B554" s="44"/>
      <c r="C554" s="44"/>
      <c r="D554" s="44"/>
      <c r="E554" s="44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  <c r="AA554" s="44"/>
    </row>
    <row r="555" spans="1:27" ht="13">
      <c r="A555" s="44"/>
      <c r="B555" s="44"/>
      <c r="C555" s="44"/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  <c r="AA555" s="44"/>
    </row>
    <row r="556" spans="1:27" ht="13">
      <c r="A556" s="44"/>
      <c r="B556" s="44"/>
      <c r="C556" s="44"/>
      <c r="D556" s="44"/>
      <c r="E556" s="44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  <c r="AA556" s="44"/>
    </row>
    <row r="557" spans="1:27" ht="13">
      <c r="A557" s="44"/>
      <c r="B557" s="44"/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  <c r="AA557" s="44"/>
    </row>
    <row r="558" spans="1:27" ht="13">
      <c r="A558" s="44"/>
      <c r="B558" s="44"/>
      <c r="C558" s="44"/>
      <c r="D558" s="44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  <c r="AA558" s="44"/>
    </row>
    <row r="559" spans="1:27" ht="13">
      <c r="A559" s="44"/>
      <c r="B559" s="44"/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  <c r="AA559" s="44"/>
    </row>
    <row r="560" spans="1:27" ht="13">
      <c r="A560" s="44"/>
      <c r="B560" s="44"/>
      <c r="C560" s="44"/>
      <c r="D560" s="44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  <c r="AA560" s="44"/>
    </row>
    <row r="561" spans="1:27" ht="13">
      <c r="A561" s="44"/>
      <c r="B561" s="44"/>
      <c r="C561" s="44"/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  <c r="AA561" s="44"/>
    </row>
    <row r="562" spans="1:27" ht="13">
      <c r="A562" s="44"/>
      <c r="B562" s="44"/>
      <c r="C562" s="44"/>
      <c r="D562" s="44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  <c r="AA562" s="44"/>
    </row>
    <row r="563" spans="1:27" ht="13">
      <c r="A563" s="44"/>
      <c r="B563" s="44"/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  <c r="AA563" s="44"/>
    </row>
    <row r="564" spans="1:27" ht="13">
      <c r="A564" s="44"/>
      <c r="B564" s="44"/>
      <c r="C564" s="44"/>
      <c r="D564" s="44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  <c r="AA564" s="44"/>
    </row>
    <row r="565" spans="1:27" ht="13">
      <c r="A565" s="44"/>
      <c r="B565" s="44"/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  <c r="AA565" s="44"/>
    </row>
    <row r="566" spans="1:27" ht="13">
      <c r="A566" s="44"/>
      <c r="B566" s="44"/>
      <c r="C566" s="44"/>
      <c r="D566" s="44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  <c r="AA566" s="44"/>
    </row>
    <row r="567" spans="1:27" ht="13">
      <c r="A567" s="44"/>
      <c r="B567" s="44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  <c r="AA567" s="44"/>
    </row>
    <row r="568" spans="1:27" ht="13">
      <c r="A568" s="44"/>
      <c r="B568" s="44"/>
      <c r="C568" s="44"/>
      <c r="D568" s="44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  <c r="AA568" s="44"/>
    </row>
    <row r="569" spans="1:27" ht="13">
      <c r="A569" s="44"/>
      <c r="B569" s="44"/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  <c r="AA569" s="44"/>
    </row>
    <row r="570" spans="1:27" ht="13">
      <c r="A570" s="44"/>
      <c r="B570" s="44"/>
      <c r="C570" s="44"/>
      <c r="D570" s="44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  <c r="AA570" s="44"/>
    </row>
    <row r="571" spans="1:27" ht="13">
      <c r="A571" s="44"/>
      <c r="B571" s="44"/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  <c r="AA571" s="44"/>
    </row>
    <row r="572" spans="1:27" ht="13">
      <c r="A572" s="44"/>
      <c r="B572" s="44"/>
      <c r="C572" s="44"/>
      <c r="D572" s="44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  <c r="AA572" s="44"/>
    </row>
    <row r="573" spans="1:27" ht="13">
      <c r="A573" s="44"/>
      <c r="B573" s="44"/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  <c r="AA573" s="44"/>
    </row>
    <row r="574" spans="1:27" ht="13">
      <c r="A574" s="44"/>
      <c r="B574" s="44"/>
      <c r="C574" s="44"/>
      <c r="D574" s="44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  <c r="AA574" s="44"/>
    </row>
    <row r="575" spans="1:27" ht="13">
      <c r="A575" s="44"/>
      <c r="B575" s="44"/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  <c r="AA575" s="44"/>
    </row>
    <row r="576" spans="1:27" ht="13">
      <c r="A576" s="44"/>
      <c r="B576" s="44"/>
      <c r="C576" s="44"/>
      <c r="D576" s="44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  <c r="AA576" s="44"/>
    </row>
    <row r="577" spans="1:27" ht="13">
      <c r="A577" s="44"/>
      <c r="B577" s="44"/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  <c r="AA577" s="44"/>
    </row>
    <row r="578" spans="1:27" ht="13">
      <c r="A578" s="44"/>
      <c r="B578" s="44"/>
      <c r="C578" s="44"/>
      <c r="D578" s="44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  <c r="AA578" s="44"/>
    </row>
    <row r="579" spans="1:27" ht="13">
      <c r="A579" s="44"/>
      <c r="B579" s="44"/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  <c r="AA579" s="44"/>
    </row>
    <row r="580" spans="1:27" ht="13">
      <c r="A580" s="44"/>
      <c r="B580" s="44"/>
      <c r="C580" s="44"/>
      <c r="D580" s="44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  <c r="AA580" s="44"/>
    </row>
    <row r="581" spans="1:27" ht="13">
      <c r="A581" s="44"/>
      <c r="B581" s="44"/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  <c r="AA581" s="44"/>
    </row>
    <row r="582" spans="1:27" ht="13">
      <c r="A582" s="44"/>
      <c r="B582" s="44"/>
      <c r="C582" s="44"/>
      <c r="D582" s="44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  <c r="AA582" s="44"/>
    </row>
    <row r="583" spans="1:27" ht="13">
      <c r="A583" s="44"/>
      <c r="B583" s="44"/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  <c r="AA583" s="44"/>
    </row>
    <row r="584" spans="1:27" ht="13">
      <c r="A584" s="44"/>
      <c r="B584" s="44"/>
      <c r="C584" s="44"/>
      <c r="D584" s="44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  <c r="AA584" s="44"/>
    </row>
    <row r="585" spans="1:27" ht="13">
      <c r="A585" s="44"/>
      <c r="B585" s="44"/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  <c r="AA585" s="44"/>
    </row>
    <row r="586" spans="1:27" ht="13">
      <c r="A586" s="44"/>
      <c r="B586" s="44"/>
      <c r="C586" s="44"/>
      <c r="D586" s="44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  <c r="AA586" s="44"/>
    </row>
    <row r="587" spans="1:27" ht="13">
      <c r="A587" s="44"/>
      <c r="B587" s="44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  <c r="AA587" s="44"/>
    </row>
    <row r="588" spans="1:27" ht="13">
      <c r="A588" s="44"/>
      <c r="B588" s="44"/>
      <c r="C588" s="44"/>
      <c r="D588" s="44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  <c r="AA588" s="44"/>
    </row>
    <row r="589" spans="1:27" ht="13">
      <c r="A589" s="44"/>
      <c r="B589" s="44"/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  <c r="AA589" s="44"/>
    </row>
    <row r="590" spans="1:27" ht="13">
      <c r="A590" s="44"/>
      <c r="B590" s="44"/>
      <c r="C590" s="44"/>
      <c r="D590" s="44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  <c r="AA590" s="44"/>
    </row>
    <row r="591" spans="1:27" ht="13">
      <c r="A591" s="44"/>
      <c r="B591" s="44"/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  <c r="AA591" s="44"/>
    </row>
    <row r="592" spans="1:27" ht="13">
      <c r="A592" s="44"/>
      <c r="B592" s="44"/>
      <c r="C592" s="44"/>
      <c r="D592" s="44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  <c r="AA592" s="44"/>
    </row>
    <row r="593" spans="1:27" ht="13">
      <c r="A593" s="44"/>
      <c r="B593" s="44"/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  <c r="AA593" s="44"/>
    </row>
    <row r="594" spans="1:27" ht="13">
      <c r="A594" s="44"/>
      <c r="B594" s="44"/>
      <c r="C594" s="44"/>
      <c r="D594" s="44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  <c r="AA594" s="44"/>
    </row>
    <row r="595" spans="1:27" ht="13">
      <c r="A595" s="44"/>
      <c r="B595" s="44"/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  <c r="AA595" s="44"/>
    </row>
    <row r="596" spans="1:27" ht="13">
      <c r="A596" s="44"/>
      <c r="B596" s="44"/>
      <c r="C596" s="44"/>
      <c r="D596" s="44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  <c r="AA596" s="44"/>
    </row>
    <row r="597" spans="1:27" ht="13">
      <c r="A597" s="44"/>
      <c r="B597" s="44"/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  <c r="AA597" s="44"/>
    </row>
    <row r="598" spans="1:27" ht="13">
      <c r="A598" s="44"/>
      <c r="B598" s="44"/>
      <c r="C598" s="44"/>
      <c r="D598" s="44"/>
      <c r="E598" s="44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  <c r="AA598" s="44"/>
    </row>
    <row r="599" spans="1:27" ht="13">
      <c r="A599" s="44"/>
      <c r="B599" s="44"/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  <c r="AA599" s="44"/>
    </row>
    <row r="600" spans="1:27" ht="13">
      <c r="A600" s="44"/>
      <c r="B600" s="44"/>
      <c r="C600" s="44"/>
      <c r="D600" s="44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  <c r="AA600" s="44"/>
    </row>
    <row r="601" spans="1:27" ht="13">
      <c r="A601" s="44"/>
      <c r="B601" s="44"/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  <c r="AA601" s="44"/>
    </row>
    <row r="602" spans="1:27" ht="13">
      <c r="A602" s="44"/>
      <c r="B602" s="44"/>
      <c r="C602" s="44"/>
      <c r="D602" s="44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  <c r="AA602" s="44"/>
    </row>
    <row r="603" spans="1:27" ht="13">
      <c r="A603" s="44"/>
      <c r="B603" s="44"/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  <c r="AA603" s="44"/>
    </row>
    <row r="604" spans="1:27" ht="13">
      <c r="A604" s="44"/>
      <c r="B604" s="44"/>
      <c r="C604" s="44"/>
      <c r="D604" s="44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  <c r="AA604" s="44"/>
    </row>
    <row r="605" spans="1:27" ht="13">
      <c r="A605" s="44"/>
      <c r="B605" s="44"/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  <c r="AA605" s="44"/>
    </row>
    <row r="606" spans="1:27" ht="13">
      <c r="A606" s="44"/>
      <c r="B606" s="44"/>
      <c r="C606" s="44"/>
      <c r="D606" s="44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  <c r="AA606" s="44"/>
    </row>
    <row r="607" spans="1:27" ht="13">
      <c r="A607" s="44"/>
      <c r="B607" s="44"/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  <c r="AA607" s="44"/>
    </row>
    <row r="608" spans="1:27" ht="13">
      <c r="A608" s="44"/>
      <c r="B608" s="44"/>
      <c r="C608" s="44"/>
      <c r="D608" s="44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  <c r="AA608" s="44"/>
    </row>
    <row r="609" spans="1:27" ht="13">
      <c r="A609" s="44"/>
      <c r="B609" s="44"/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  <c r="AA609" s="44"/>
    </row>
    <row r="610" spans="1:27" ht="13">
      <c r="A610" s="44"/>
      <c r="B610" s="44"/>
      <c r="C610" s="44"/>
      <c r="D610" s="44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  <c r="AA610" s="44"/>
    </row>
    <row r="611" spans="1:27" ht="13">
      <c r="A611" s="44"/>
      <c r="B611" s="44"/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  <c r="AA611" s="44"/>
    </row>
    <row r="612" spans="1:27" ht="13">
      <c r="A612" s="44"/>
      <c r="B612" s="44"/>
      <c r="C612" s="44"/>
      <c r="D612" s="44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  <c r="AA612" s="44"/>
    </row>
    <row r="613" spans="1:27" ht="13">
      <c r="A613" s="44"/>
      <c r="B613" s="44"/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  <c r="AA613" s="44"/>
    </row>
    <row r="614" spans="1:27" ht="13">
      <c r="A614" s="44"/>
      <c r="B614" s="44"/>
      <c r="C614" s="44"/>
      <c r="D614" s="44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  <c r="AA614" s="44"/>
    </row>
    <row r="615" spans="1:27" ht="13">
      <c r="A615" s="44"/>
      <c r="B615" s="44"/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  <c r="AA615" s="44"/>
    </row>
    <row r="616" spans="1:27" ht="13">
      <c r="A616" s="44"/>
      <c r="B616" s="44"/>
      <c r="C616" s="44"/>
      <c r="D616" s="44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  <c r="AA616" s="44"/>
    </row>
    <row r="617" spans="1:27" ht="13">
      <c r="A617" s="44"/>
      <c r="B617" s="44"/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  <c r="AA617" s="44"/>
    </row>
    <row r="618" spans="1:27" ht="13">
      <c r="A618" s="44"/>
      <c r="B618" s="44"/>
      <c r="C618" s="44"/>
      <c r="D618" s="44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  <c r="AA618" s="44"/>
    </row>
    <row r="619" spans="1:27" ht="13">
      <c r="A619" s="44"/>
      <c r="B619" s="44"/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  <c r="AA619" s="44"/>
    </row>
    <row r="620" spans="1:27" ht="13">
      <c r="A620" s="44"/>
      <c r="B620" s="44"/>
      <c r="C620" s="44"/>
      <c r="D620" s="44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  <c r="AA620" s="44"/>
    </row>
    <row r="621" spans="1:27" ht="13">
      <c r="A621" s="44"/>
      <c r="B621" s="44"/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  <c r="AA621" s="44"/>
    </row>
    <row r="622" spans="1:27" ht="13">
      <c r="A622" s="44"/>
      <c r="B622" s="44"/>
      <c r="C622" s="44"/>
      <c r="D622" s="44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  <c r="AA622" s="44"/>
    </row>
    <row r="623" spans="1:27" ht="13">
      <c r="A623" s="44"/>
      <c r="B623" s="44"/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  <c r="AA623" s="44"/>
    </row>
    <row r="624" spans="1:27" ht="13">
      <c r="A624" s="44"/>
      <c r="B624" s="44"/>
      <c r="C624" s="44"/>
      <c r="D624" s="44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  <c r="AA624" s="44"/>
    </row>
    <row r="625" spans="1:27" ht="13">
      <c r="A625" s="44"/>
      <c r="B625" s="44"/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  <c r="AA625" s="44"/>
    </row>
    <row r="626" spans="1:27" ht="13">
      <c r="A626" s="44"/>
      <c r="B626" s="44"/>
      <c r="C626" s="44"/>
      <c r="D626" s="44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  <c r="AA626" s="44"/>
    </row>
    <row r="627" spans="1:27" ht="13">
      <c r="A627" s="44"/>
      <c r="B627" s="44"/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  <c r="AA627" s="44"/>
    </row>
    <row r="628" spans="1:27" ht="13">
      <c r="A628" s="44"/>
      <c r="B628" s="44"/>
      <c r="C628" s="44"/>
      <c r="D628" s="44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  <c r="AA628" s="44"/>
    </row>
    <row r="629" spans="1:27" ht="13">
      <c r="A629" s="44"/>
      <c r="B629" s="44"/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  <c r="AA629" s="44"/>
    </row>
    <row r="630" spans="1:27" ht="13">
      <c r="A630" s="44"/>
      <c r="B630" s="44"/>
      <c r="C630" s="44"/>
      <c r="D630" s="44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  <c r="AA630" s="44"/>
    </row>
    <row r="631" spans="1:27" ht="13">
      <c r="A631" s="44"/>
      <c r="B631" s="44"/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  <c r="AA631" s="44"/>
    </row>
    <row r="632" spans="1:27" ht="13">
      <c r="A632" s="44"/>
      <c r="B632" s="44"/>
      <c r="C632" s="44"/>
      <c r="D632" s="44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  <c r="AA632" s="44"/>
    </row>
    <row r="633" spans="1:27" ht="13">
      <c r="A633" s="44"/>
      <c r="B633" s="44"/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  <c r="AA633" s="44"/>
    </row>
    <row r="634" spans="1:27" ht="13">
      <c r="A634" s="44"/>
      <c r="B634" s="44"/>
      <c r="C634" s="44"/>
      <c r="D634" s="44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  <c r="AA634" s="44"/>
    </row>
    <row r="635" spans="1:27" ht="13">
      <c r="A635" s="44"/>
      <c r="B635" s="44"/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  <c r="AA635" s="44"/>
    </row>
    <row r="636" spans="1:27" ht="13">
      <c r="A636" s="44"/>
      <c r="B636" s="44"/>
      <c r="C636" s="44"/>
      <c r="D636" s="44"/>
      <c r="E636" s="44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  <c r="AA636" s="44"/>
    </row>
    <row r="637" spans="1:27" ht="13">
      <c r="A637" s="44"/>
      <c r="B637" s="44"/>
      <c r="C637" s="44"/>
      <c r="D637" s="44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  <c r="AA637" s="44"/>
    </row>
    <row r="638" spans="1:27" ht="13">
      <c r="A638" s="44"/>
      <c r="B638" s="44"/>
      <c r="C638" s="44"/>
      <c r="D638" s="44"/>
      <c r="E638" s="44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  <c r="AA638" s="44"/>
    </row>
    <row r="639" spans="1:27" ht="13">
      <c r="A639" s="44"/>
      <c r="B639" s="44"/>
      <c r="C639" s="44"/>
      <c r="D639" s="44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  <c r="AA639" s="44"/>
    </row>
    <row r="640" spans="1:27" ht="13">
      <c r="A640" s="44"/>
      <c r="B640" s="44"/>
      <c r="C640" s="44"/>
      <c r="D640" s="44"/>
      <c r="E640" s="44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  <c r="AA640" s="44"/>
    </row>
    <row r="641" spans="1:27" ht="13">
      <c r="A641" s="44"/>
      <c r="B641" s="44"/>
      <c r="C641" s="44"/>
      <c r="D641" s="44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  <c r="AA641" s="44"/>
    </row>
    <row r="642" spans="1:27" ht="13">
      <c r="A642" s="44"/>
      <c r="B642" s="44"/>
      <c r="C642" s="44"/>
      <c r="D642" s="44"/>
      <c r="E642" s="44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  <c r="AA642" s="44"/>
    </row>
    <row r="643" spans="1:27" ht="13">
      <c r="A643" s="44"/>
      <c r="B643" s="44"/>
      <c r="C643" s="44"/>
      <c r="D643" s="44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  <c r="AA643" s="44"/>
    </row>
    <row r="644" spans="1:27" ht="13">
      <c r="A644" s="44"/>
      <c r="B644" s="44"/>
      <c r="C644" s="44"/>
      <c r="D644" s="44"/>
      <c r="E644" s="44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  <c r="AA644" s="44"/>
    </row>
    <row r="645" spans="1:27" ht="13">
      <c r="A645" s="44"/>
      <c r="B645" s="44"/>
      <c r="C645" s="44"/>
      <c r="D645" s="44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  <c r="AA645" s="44"/>
    </row>
    <row r="646" spans="1:27" ht="13">
      <c r="A646" s="44"/>
      <c r="B646" s="44"/>
      <c r="C646" s="44"/>
      <c r="D646" s="44"/>
      <c r="E646" s="44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  <c r="AA646" s="44"/>
    </row>
    <row r="647" spans="1:27" ht="13">
      <c r="A647" s="44"/>
      <c r="B647" s="44"/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  <c r="AA647" s="44"/>
    </row>
    <row r="648" spans="1:27" ht="13">
      <c r="A648" s="44"/>
      <c r="B648" s="44"/>
      <c r="C648" s="44"/>
      <c r="D648" s="44"/>
      <c r="E648" s="44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  <c r="AA648" s="44"/>
    </row>
    <row r="649" spans="1:27" ht="13">
      <c r="A649" s="44"/>
      <c r="B649" s="44"/>
      <c r="C649" s="44"/>
      <c r="D649" s="44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  <c r="AA649" s="44"/>
    </row>
    <row r="650" spans="1:27" ht="13">
      <c r="A650" s="44"/>
      <c r="B650" s="44"/>
      <c r="C650" s="44"/>
      <c r="D650" s="44"/>
      <c r="E650" s="44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  <c r="AA650" s="44"/>
    </row>
    <row r="651" spans="1:27" ht="13">
      <c r="A651" s="44"/>
      <c r="B651" s="44"/>
      <c r="C651" s="44"/>
      <c r="D651" s="44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  <c r="AA651" s="44"/>
    </row>
    <row r="652" spans="1:27" ht="13">
      <c r="A652" s="44"/>
      <c r="B652" s="44"/>
      <c r="C652" s="44"/>
      <c r="D652" s="44"/>
      <c r="E652" s="44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  <c r="AA652" s="44"/>
    </row>
    <row r="653" spans="1:27" ht="13">
      <c r="A653" s="44"/>
      <c r="B653" s="44"/>
      <c r="C653" s="44"/>
      <c r="D653" s="44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  <c r="AA653" s="44"/>
    </row>
    <row r="654" spans="1:27" ht="13">
      <c r="A654" s="44"/>
      <c r="B654" s="44"/>
      <c r="C654" s="44"/>
      <c r="D654" s="44"/>
      <c r="E654" s="44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  <c r="AA654" s="44"/>
    </row>
    <row r="655" spans="1:27" ht="13">
      <c r="A655" s="44"/>
      <c r="B655" s="44"/>
      <c r="C655" s="44"/>
      <c r="D655" s="44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  <c r="AA655" s="44"/>
    </row>
    <row r="656" spans="1:27" ht="13">
      <c r="A656" s="44"/>
      <c r="B656" s="44"/>
      <c r="C656" s="44"/>
      <c r="D656" s="44"/>
      <c r="E656" s="44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  <c r="AA656" s="44"/>
    </row>
    <row r="657" spans="1:27" ht="13">
      <c r="A657" s="44"/>
      <c r="B657" s="44"/>
      <c r="C657" s="44"/>
      <c r="D657" s="44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  <c r="AA657" s="44"/>
    </row>
    <row r="658" spans="1:27" ht="13">
      <c r="A658" s="44"/>
      <c r="B658" s="44"/>
      <c r="C658" s="44"/>
      <c r="D658" s="44"/>
      <c r="E658" s="44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  <c r="AA658" s="44"/>
    </row>
    <row r="659" spans="1:27" ht="13">
      <c r="A659" s="44"/>
      <c r="B659" s="44"/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  <c r="AA659" s="44"/>
    </row>
    <row r="660" spans="1:27" ht="13">
      <c r="A660" s="44"/>
      <c r="B660" s="44"/>
      <c r="C660" s="44"/>
      <c r="D660" s="44"/>
      <c r="E660" s="44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  <c r="AA660" s="44"/>
    </row>
    <row r="661" spans="1:27" ht="13">
      <c r="A661" s="44"/>
      <c r="B661" s="44"/>
      <c r="C661" s="44"/>
      <c r="D661" s="44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  <c r="AA661" s="44"/>
    </row>
    <row r="662" spans="1:27" ht="13">
      <c r="A662" s="44"/>
      <c r="B662" s="44"/>
      <c r="C662" s="44"/>
      <c r="D662" s="44"/>
      <c r="E662" s="44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  <c r="AA662" s="44"/>
    </row>
    <row r="663" spans="1:27" ht="13">
      <c r="A663" s="44"/>
      <c r="B663" s="44"/>
      <c r="C663" s="44"/>
      <c r="D663" s="44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  <c r="AA663" s="44"/>
    </row>
    <row r="664" spans="1:27" ht="13">
      <c r="A664" s="44"/>
      <c r="B664" s="44"/>
      <c r="C664" s="44"/>
      <c r="D664" s="44"/>
      <c r="E664" s="44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  <c r="AA664" s="44"/>
    </row>
    <row r="665" spans="1:27" ht="13">
      <c r="A665" s="44"/>
      <c r="B665" s="44"/>
      <c r="C665" s="44"/>
      <c r="D665" s="44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  <c r="AA665" s="44"/>
    </row>
    <row r="666" spans="1:27" ht="13">
      <c r="A666" s="44"/>
      <c r="B666" s="44"/>
      <c r="C666" s="44"/>
      <c r="D666" s="44"/>
      <c r="E666" s="44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  <c r="AA666" s="44"/>
    </row>
    <row r="667" spans="1:27" ht="13">
      <c r="A667" s="44"/>
      <c r="B667" s="44"/>
      <c r="C667" s="44"/>
      <c r="D667" s="44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  <c r="AA667" s="44"/>
    </row>
    <row r="668" spans="1:27" ht="13">
      <c r="A668" s="44"/>
      <c r="B668" s="44"/>
      <c r="C668" s="44"/>
      <c r="D668" s="44"/>
      <c r="E668" s="44"/>
      <c r="F668" s="44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  <c r="AA668" s="44"/>
    </row>
    <row r="669" spans="1:27" ht="13">
      <c r="A669" s="44"/>
      <c r="B669" s="44"/>
      <c r="C669" s="44"/>
      <c r="D669" s="44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  <c r="AA669" s="44"/>
    </row>
    <row r="670" spans="1:27" ht="13">
      <c r="A670" s="44"/>
      <c r="B670" s="44"/>
      <c r="C670" s="44"/>
      <c r="D670" s="44"/>
      <c r="E670" s="44"/>
      <c r="F670" s="44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  <c r="AA670" s="44"/>
    </row>
    <row r="671" spans="1:27" ht="13">
      <c r="A671" s="44"/>
      <c r="B671" s="44"/>
      <c r="C671" s="44"/>
      <c r="D671" s="44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  <c r="AA671" s="44"/>
    </row>
    <row r="672" spans="1:27" ht="13">
      <c r="A672" s="44"/>
      <c r="B672" s="44"/>
      <c r="C672" s="44"/>
      <c r="D672" s="44"/>
      <c r="E672" s="44"/>
      <c r="F672" s="44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  <c r="AA672" s="44"/>
    </row>
    <row r="673" spans="1:27" ht="13">
      <c r="A673" s="44"/>
      <c r="B673" s="44"/>
      <c r="C673" s="44"/>
      <c r="D673" s="44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  <c r="AA673" s="44"/>
    </row>
    <row r="674" spans="1:27" ht="13">
      <c r="A674" s="44"/>
      <c r="B674" s="44"/>
      <c r="C674" s="44"/>
      <c r="D674" s="44"/>
      <c r="E674" s="44"/>
      <c r="F674" s="44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  <c r="AA674" s="44"/>
    </row>
    <row r="675" spans="1:27" ht="13">
      <c r="A675" s="44"/>
      <c r="B675" s="44"/>
      <c r="C675" s="44"/>
      <c r="D675" s="44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  <c r="AA675" s="44"/>
    </row>
    <row r="676" spans="1:27" ht="13">
      <c r="A676" s="44"/>
      <c r="B676" s="44"/>
      <c r="C676" s="44"/>
      <c r="D676" s="44"/>
      <c r="E676" s="44"/>
      <c r="F676" s="44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  <c r="AA676" s="44"/>
    </row>
    <row r="677" spans="1:27" ht="13">
      <c r="A677" s="44"/>
      <c r="B677" s="44"/>
      <c r="C677" s="44"/>
      <c r="D677" s="44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  <c r="AA677" s="44"/>
    </row>
    <row r="678" spans="1:27" ht="13">
      <c r="A678" s="44"/>
      <c r="B678" s="44"/>
      <c r="C678" s="44"/>
      <c r="D678" s="44"/>
      <c r="E678" s="44"/>
      <c r="F678" s="44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  <c r="AA678" s="44"/>
    </row>
    <row r="679" spans="1:27" ht="13">
      <c r="A679" s="44"/>
      <c r="B679" s="44"/>
      <c r="C679" s="44"/>
      <c r="D679" s="44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  <c r="AA679" s="44"/>
    </row>
    <row r="680" spans="1:27" ht="13">
      <c r="A680" s="44"/>
      <c r="B680" s="44"/>
      <c r="C680" s="44"/>
      <c r="D680" s="44"/>
      <c r="E680" s="44"/>
      <c r="F680" s="44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  <c r="AA680" s="44"/>
    </row>
    <row r="681" spans="1:27" ht="13">
      <c r="A681" s="44"/>
      <c r="B681" s="44"/>
      <c r="C681" s="44"/>
      <c r="D681" s="44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  <c r="AA681" s="44"/>
    </row>
    <row r="682" spans="1:27" ht="13">
      <c r="A682" s="44"/>
      <c r="B682" s="44"/>
      <c r="C682" s="44"/>
      <c r="D682" s="44"/>
      <c r="E682" s="44"/>
      <c r="F682" s="44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  <c r="AA682" s="44"/>
    </row>
    <row r="683" spans="1:27" ht="13">
      <c r="A683" s="44"/>
      <c r="B683" s="44"/>
      <c r="C683" s="44"/>
      <c r="D683" s="44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  <c r="AA683" s="44"/>
    </row>
    <row r="684" spans="1:27" ht="13">
      <c r="A684" s="44"/>
      <c r="B684" s="44"/>
      <c r="C684" s="44"/>
      <c r="D684" s="44"/>
      <c r="E684" s="44"/>
      <c r="F684" s="44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  <c r="AA684" s="44"/>
    </row>
    <row r="685" spans="1:27" ht="13">
      <c r="A685" s="44"/>
      <c r="B685" s="44"/>
      <c r="C685" s="44"/>
      <c r="D685" s="44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  <c r="AA685" s="44"/>
    </row>
    <row r="686" spans="1:27" ht="13">
      <c r="A686" s="44"/>
      <c r="B686" s="44"/>
      <c r="C686" s="44"/>
      <c r="D686" s="44"/>
      <c r="E686" s="44"/>
      <c r="F686" s="44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  <c r="AA686" s="44"/>
    </row>
    <row r="687" spans="1:27" ht="13">
      <c r="A687" s="44"/>
      <c r="B687" s="44"/>
      <c r="C687" s="44"/>
      <c r="D687" s="44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  <c r="AA687" s="44"/>
    </row>
    <row r="688" spans="1:27" ht="13">
      <c r="A688" s="44"/>
      <c r="B688" s="44"/>
      <c r="C688" s="44"/>
      <c r="D688" s="44"/>
      <c r="E688" s="44"/>
      <c r="F688" s="44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  <c r="AA688" s="44"/>
    </row>
    <row r="689" spans="1:27" ht="13">
      <c r="A689" s="44"/>
      <c r="B689" s="44"/>
      <c r="C689" s="44"/>
      <c r="D689" s="44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  <c r="AA689" s="44"/>
    </row>
    <row r="690" spans="1:27" ht="13">
      <c r="A690" s="44"/>
      <c r="B690" s="44"/>
      <c r="C690" s="44"/>
      <c r="D690" s="44"/>
      <c r="E690" s="44"/>
      <c r="F690" s="44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  <c r="AA690" s="44"/>
    </row>
    <row r="691" spans="1:27" ht="13">
      <c r="A691" s="44"/>
      <c r="B691" s="44"/>
      <c r="C691" s="44"/>
      <c r="D691" s="44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  <c r="AA691" s="44"/>
    </row>
    <row r="692" spans="1:27" ht="13">
      <c r="A692" s="44"/>
      <c r="B692" s="44"/>
      <c r="C692" s="44"/>
      <c r="D692" s="44"/>
      <c r="E692" s="44"/>
      <c r="F692" s="44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  <c r="AA692" s="44"/>
    </row>
    <row r="693" spans="1:27" ht="13">
      <c r="A693" s="44"/>
      <c r="B693" s="44"/>
      <c r="C693" s="44"/>
      <c r="D693" s="44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  <c r="AA693" s="44"/>
    </row>
    <row r="694" spans="1:27" ht="13">
      <c r="A694" s="44"/>
      <c r="B694" s="44"/>
      <c r="C694" s="44"/>
      <c r="D694" s="44"/>
      <c r="E694" s="44"/>
      <c r="F694" s="44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  <c r="AA694" s="44"/>
    </row>
    <row r="695" spans="1:27" ht="13">
      <c r="A695" s="44"/>
      <c r="B695" s="44"/>
      <c r="C695" s="44"/>
      <c r="D695" s="44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  <c r="AA695" s="44"/>
    </row>
    <row r="696" spans="1:27" ht="13">
      <c r="A696" s="44"/>
      <c r="B696" s="44"/>
      <c r="C696" s="44"/>
      <c r="D696" s="44"/>
      <c r="E696" s="44"/>
      <c r="F696" s="44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  <c r="AA696" s="44"/>
    </row>
    <row r="697" spans="1:27" ht="13">
      <c r="A697" s="44"/>
      <c r="B697" s="44"/>
      <c r="C697" s="44"/>
      <c r="D697" s="44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  <c r="AA697" s="44"/>
    </row>
    <row r="698" spans="1:27" ht="13">
      <c r="A698" s="44"/>
      <c r="B698" s="44"/>
      <c r="C698" s="44"/>
      <c r="D698" s="44"/>
      <c r="E698" s="44"/>
      <c r="F698" s="44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  <c r="AA698" s="44"/>
    </row>
    <row r="699" spans="1:27" ht="13">
      <c r="A699" s="44"/>
      <c r="B699" s="44"/>
      <c r="C699" s="44"/>
      <c r="D699" s="44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  <c r="AA699" s="44"/>
    </row>
    <row r="700" spans="1:27" ht="13">
      <c r="A700" s="44"/>
      <c r="B700" s="44"/>
      <c r="C700" s="44"/>
      <c r="D700" s="44"/>
      <c r="E700" s="44"/>
      <c r="F700" s="44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  <c r="AA700" s="44"/>
    </row>
    <row r="701" spans="1:27" ht="13">
      <c r="A701" s="44"/>
      <c r="B701" s="44"/>
      <c r="C701" s="44"/>
      <c r="D701" s="44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  <c r="AA701" s="44"/>
    </row>
    <row r="702" spans="1:27" ht="13">
      <c r="A702" s="44"/>
      <c r="B702" s="44"/>
      <c r="C702" s="44"/>
      <c r="D702" s="44"/>
      <c r="E702" s="44"/>
      <c r="F702" s="44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  <c r="AA702" s="44"/>
    </row>
    <row r="703" spans="1:27" ht="13">
      <c r="A703" s="44"/>
      <c r="B703" s="44"/>
      <c r="C703" s="44"/>
      <c r="D703" s="44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  <c r="AA703" s="44"/>
    </row>
    <row r="704" spans="1:27" ht="13">
      <c r="A704" s="44"/>
      <c r="B704" s="44"/>
      <c r="C704" s="44"/>
      <c r="D704" s="44"/>
      <c r="E704" s="44"/>
      <c r="F704" s="44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  <c r="AA704" s="44"/>
    </row>
    <row r="705" spans="1:27" ht="13">
      <c r="A705" s="44"/>
      <c r="B705" s="44"/>
      <c r="C705" s="44"/>
      <c r="D705" s="44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  <c r="AA705" s="44"/>
    </row>
    <row r="706" spans="1:27" ht="13">
      <c r="A706" s="44"/>
      <c r="B706" s="44"/>
      <c r="C706" s="44"/>
      <c r="D706" s="44"/>
      <c r="E706" s="44"/>
      <c r="F706" s="44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  <c r="AA706" s="44"/>
    </row>
    <row r="707" spans="1:27" ht="13">
      <c r="A707" s="44"/>
      <c r="B707" s="44"/>
      <c r="C707" s="44"/>
      <c r="D707" s="44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  <c r="AA707" s="44"/>
    </row>
    <row r="708" spans="1:27" ht="13">
      <c r="A708" s="44"/>
      <c r="B708" s="44"/>
      <c r="C708" s="44"/>
      <c r="D708" s="44"/>
      <c r="E708" s="44"/>
      <c r="F708" s="44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  <c r="AA708" s="44"/>
    </row>
    <row r="709" spans="1:27" ht="13">
      <c r="A709" s="44"/>
      <c r="B709" s="44"/>
      <c r="C709" s="44"/>
      <c r="D709" s="44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  <c r="AA709" s="44"/>
    </row>
    <row r="710" spans="1:27" ht="13">
      <c r="A710" s="44"/>
      <c r="B710" s="44"/>
      <c r="C710" s="44"/>
      <c r="D710" s="44"/>
      <c r="E710" s="44"/>
      <c r="F710" s="44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  <c r="AA710" s="44"/>
    </row>
    <row r="711" spans="1:27" ht="13">
      <c r="A711" s="44"/>
      <c r="B711" s="44"/>
      <c r="C711" s="44"/>
      <c r="D711" s="44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  <c r="AA711" s="44"/>
    </row>
    <row r="712" spans="1:27" ht="13">
      <c r="A712" s="44"/>
      <c r="B712" s="44"/>
      <c r="C712" s="44"/>
      <c r="D712" s="44"/>
      <c r="E712" s="44"/>
      <c r="F712" s="44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  <c r="AA712" s="44"/>
    </row>
    <row r="713" spans="1:27" ht="13">
      <c r="A713" s="44"/>
      <c r="B713" s="44"/>
      <c r="C713" s="44"/>
      <c r="D713" s="44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  <c r="AA713" s="44"/>
    </row>
    <row r="714" spans="1:27" ht="13">
      <c r="A714" s="44"/>
      <c r="B714" s="44"/>
      <c r="C714" s="44"/>
      <c r="D714" s="44"/>
      <c r="E714" s="44"/>
      <c r="F714" s="44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  <c r="AA714" s="44"/>
    </row>
    <row r="715" spans="1:27" ht="13">
      <c r="A715" s="44"/>
      <c r="B715" s="44"/>
      <c r="C715" s="44"/>
      <c r="D715" s="44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  <c r="AA715" s="44"/>
    </row>
    <row r="716" spans="1:27" ht="13">
      <c r="A716" s="44"/>
      <c r="B716" s="44"/>
      <c r="C716" s="44"/>
      <c r="D716" s="44"/>
      <c r="E716" s="44"/>
      <c r="F716" s="44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  <c r="AA716" s="44"/>
    </row>
    <row r="717" spans="1:27" ht="13">
      <c r="A717" s="44"/>
      <c r="B717" s="44"/>
      <c r="C717" s="44"/>
      <c r="D717" s="44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  <c r="AA717" s="44"/>
    </row>
    <row r="718" spans="1:27" ht="13">
      <c r="A718" s="44"/>
      <c r="B718" s="44"/>
      <c r="C718" s="44"/>
      <c r="D718" s="44"/>
      <c r="E718" s="44"/>
      <c r="F718" s="44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  <c r="AA718" s="44"/>
    </row>
    <row r="719" spans="1:27" ht="13">
      <c r="A719" s="44"/>
      <c r="B719" s="44"/>
      <c r="C719" s="44"/>
      <c r="D719" s="44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  <c r="AA719" s="44"/>
    </row>
    <row r="720" spans="1:27" ht="13">
      <c r="A720" s="44"/>
      <c r="B720" s="44"/>
      <c r="C720" s="44"/>
      <c r="D720" s="44"/>
      <c r="E720" s="44"/>
      <c r="F720" s="44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  <c r="AA720" s="44"/>
    </row>
    <row r="721" spans="1:27" ht="13">
      <c r="A721" s="44"/>
      <c r="B721" s="44"/>
      <c r="C721" s="44"/>
      <c r="D721" s="44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  <c r="AA721" s="44"/>
    </row>
    <row r="722" spans="1:27" ht="13">
      <c r="A722" s="44"/>
      <c r="B722" s="44"/>
      <c r="C722" s="44"/>
      <c r="D722" s="44"/>
      <c r="E722" s="44"/>
      <c r="F722" s="44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  <c r="AA722" s="44"/>
    </row>
    <row r="723" spans="1:27" ht="13">
      <c r="A723" s="44"/>
      <c r="B723" s="44"/>
      <c r="C723" s="44"/>
      <c r="D723" s="44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  <c r="AA723" s="44"/>
    </row>
    <row r="724" spans="1:27" ht="13">
      <c r="A724" s="44"/>
      <c r="B724" s="44"/>
      <c r="C724" s="44"/>
      <c r="D724" s="44"/>
      <c r="E724" s="44"/>
      <c r="F724" s="44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  <c r="AA724" s="44"/>
    </row>
    <row r="725" spans="1:27" ht="13">
      <c r="A725" s="44"/>
      <c r="B725" s="44"/>
      <c r="C725" s="44"/>
      <c r="D725" s="44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  <c r="AA725" s="44"/>
    </row>
    <row r="726" spans="1:27" ht="13">
      <c r="A726" s="44"/>
      <c r="B726" s="44"/>
      <c r="C726" s="44"/>
      <c r="D726" s="44"/>
      <c r="E726" s="44"/>
      <c r="F726" s="44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  <c r="AA726" s="44"/>
    </row>
    <row r="727" spans="1:27" ht="13">
      <c r="A727" s="44"/>
      <c r="B727" s="44"/>
      <c r="C727" s="44"/>
      <c r="D727" s="44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  <c r="AA727" s="44"/>
    </row>
    <row r="728" spans="1:27" ht="13">
      <c r="A728" s="44"/>
      <c r="B728" s="44"/>
      <c r="C728" s="44"/>
      <c r="D728" s="44"/>
      <c r="E728" s="44"/>
      <c r="F728" s="44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  <c r="AA728" s="44"/>
    </row>
    <row r="729" spans="1:27" ht="13">
      <c r="A729" s="44"/>
      <c r="B729" s="44"/>
      <c r="C729" s="44"/>
      <c r="D729" s="44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  <c r="AA729" s="44"/>
    </row>
    <row r="730" spans="1:27" ht="13">
      <c r="A730" s="44"/>
      <c r="B730" s="44"/>
      <c r="C730" s="44"/>
      <c r="D730" s="44"/>
      <c r="E730" s="44"/>
      <c r="F730" s="44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  <c r="AA730" s="44"/>
    </row>
    <row r="731" spans="1:27" ht="13">
      <c r="A731" s="44"/>
      <c r="B731" s="44"/>
      <c r="C731" s="44"/>
      <c r="D731" s="44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  <c r="AA731" s="44"/>
    </row>
    <row r="732" spans="1:27" ht="13">
      <c r="A732" s="44"/>
      <c r="B732" s="44"/>
      <c r="C732" s="44"/>
      <c r="D732" s="44"/>
      <c r="E732" s="44"/>
      <c r="F732" s="44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  <c r="AA732" s="44"/>
    </row>
    <row r="733" spans="1:27" ht="13">
      <c r="A733" s="44"/>
      <c r="B733" s="44"/>
      <c r="C733" s="44"/>
      <c r="D733" s="44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  <c r="AA733" s="44"/>
    </row>
    <row r="734" spans="1:27" ht="13">
      <c r="A734" s="44"/>
      <c r="B734" s="44"/>
      <c r="C734" s="44"/>
      <c r="D734" s="44"/>
      <c r="E734" s="44"/>
      <c r="F734" s="44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  <c r="AA734" s="44"/>
    </row>
    <row r="735" spans="1:27" ht="13">
      <c r="A735" s="44"/>
      <c r="B735" s="44"/>
      <c r="C735" s="44"/>
      <c r="D735" s="44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  <c r="AA735" s="44"/>
    </row>
    <row r="736" spans="1:27" ht="13">
      <c r="A736" s="44"/>
      <c r="B736" s="44"/>
      <c r="C736" s="44"/>
      <c r="D736" s="44"/>
      <c r="E736" s="44"/>
      <c r="F736" s="44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  <c r="AA736" s="44"/>
    </row>
    <row r="737" spans="1:27" ht="13">
      <c r="A737" s="44"/>
      <c r="B737" s="44"/>
      <c r="C737" s="44"/>
      <c r="D737" s="44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  <c r="AA737" s="44"/>
    </row>
    <row r="738" spans="1:27" ht="13">
      <c r="A738" s="44"/>
      <c r="B738" s="44"/>
      <c r="C738" s="44"/>
      <c r="D738" s="44"/>
      <c r="E738" s="44"/>
      <c r="F738" s="44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  <c r="AA738" s="44"/>
    </row>
    <row r="739" spans="1:27" ht="13">
      <c r="A739" s="44"/>
      <c r="B739" s="44"/>
      <c r="C739" s="44"/>
      <c r="D739" s="44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  <c r="AA739" s="44"/>
    </row>
    <row r="740" spans="1:27" ht="13">
      <c r="A740" s="44"/>
      <c r="B740" s="44"/>
      <c r="C740" s="44"/>
      <c r="D740" s="44"/>
      <c r="E740" s="44"/>
      <c r="F740" s="44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  <c r="AA740" s="44"/>
    </row>
    <row r="741" spans="1:27" ht="13">
      <c r="A741" s="44"/>
      <c r="B741" s="44"/>
      <c r="C741" s="44"/>
      <c r="D741" s="44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  <c r="AA741" s="44"/>
    </row>
    <row r="742" spans="1:27" ht="13">
      <c r="A742" s="44"/>
      <c r="B742" s="44"/>
      <c r="C742" s="44"/>
      <c r="D742" s="44"/>
      <c r="E742" s="44"/>
      <c r="F742" s="44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  <c r="AA742" s="44"/>
    </row>
    <row r="743" spans="1:27" ht="13">
      <c r="A743" s="44"/>
      <c r="B743" s="44"/>
      <c r="C743" s="44"/>
      <c r="D743" s="44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  <c r="AA743" s="44"/>
    </row>
    <row r="744" spans="1:27" ht="13">
      <c r="A744" s="44"/>
      <c r="B744" s="44"/>
      <c r="C744" s="44"/>
      <c r="D744" s="44"/>
      <c r="E744" s="44"/>
      <c r="F744" s="44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  <c r="AA744" s="44"/>
    </row>
    <row r="745" spans="1:27" ht="13">
      <c r="A745" s="44"/>
      <c r="B745" s="44"/>
      <c r="C745" s="44"/>
      <c r="D745" s="44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  <c r="AA745" s="44"/>
    </row>
    <row r="746" spans="1:27" ht="13">
      <c r="A746" s="44"/>
      <c r="B746" s="44"/>
      <c r="C746" s="44"/>
      <c r="D746" s="44"/>
      <c r="E746" s="44"/>
      <c r="F746" s="44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  <c r="AA746" s="44"/>
    </row>
    <row r="747" spans="1:27" ht="13">
      <c r="A747" s="44"/>
      <c r="B747" s="44"/>
      <c r="C747" s="44"/>
      <c r="D747" s="44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  <c r="AA747" s="44"/>
    </row>
    <row r="748" spans="1:27" ht="13">
      <c r="A748" s="44"/>
      <c r="B748" s="44"/>
      <c r="C748" s="44"/>
      <c r="D748" s="44"/>
      <c r="E748" s="44"/>
      <c r="F748" s="44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  <c r="AA748" s="44"/>
    </row>
    <row r="749" spans="1:27" ht="13">
      <c r="A749" s="44"/>
      <c r="B749" s="44"/>
      <c r="C749" s="44"/>
      <c r="D749" s="44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  <c r="AA749" s="44"/>
    </row>
    <row r="750" spans="1:27" ht="13">
      <c r="A750" s="44"/>
      <c r="B750" s="44"/>
      <c r="C750" s="44"/>
      <c r="D750" s="44"/>
      <c r="E750" s="44"/>
      <c r="F750" s="44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  <c r="AA750" s="44"/>
    </row>
    <row r="751" spans="1:27" ht="13">
      <c r="A751" s="44"/>
      <c r="B751" s="44"/>
      <c r="C751" s="44"/>
      <c r="D751" s="44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  <c r="AA751" s="44"/>
    </row>
    <row r="752" spans="1:27" ht="13">
      <c r="A752" s="44"/>
      <c r="B752" s="44"/>
      <c r="C752" s="44"/>
      <c r="D752" s="44"/>
      <c r="E752" s="44"/>
      <c r="F752" s="44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  <c r="AA752" s="44"/>
    </row>
    <row r="753" spans="1:27" ht="13">
      <c r="A753" s="44"/>
      <c r="B753" s="44"/>
      <c r="C753" s="44"/>
      <c r="D753" s="44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  <c r="AA753" s="44"/>
    </row>
    <row r="754" spans="1:27" ht="13">
      <c r="A754" s="44"/>
      <c r="B754" s="44"/>
      <c r="C754" s="44"/>
      <c r="D754" s="44"/>
      <c r="E754" s="44"/>
      <c r="F754" s="44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  <c r="AA754" s="44"/>
    </row>
    <row r="755" spans="1:27" ht="13">
      <c r="A755" s="44"/>
      <c r="B755" s="44"/>
      <c r="C755" s="44"/>
      <c r="D755" s="44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  <c r="AA755" s="44"/>
    </row>
    <row r="756" spans="1:27" ht="13">
      <c r="A756" s="44"/>
      <c r="B756" s="44"/>
      <c r="C756" s="44"/>
      <c r="D756" s="44"/>
      <c r="E756" s="44"/>
      <c r="F756" s="44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  <c r="AA756" s="44"/>
    </row>
    <row r="757" spans="1:27" ht="13">
      <c r="A757" s="44"/>
      <c r="B757" s="44"/>
      <c r="C757" s="44"/>
      <c r="D757" s="44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  <c r="AA757" s="44"/>
    </row>
    <row r="758" spans="1:27" ht="13">
      <c r="A758" s="44"/>
      <c r="B758" s="44"/>
      <c r="C758" s="44"/>
      <c r="D758" s="44"/>
      <c r="E758" s="44"/>
      <c r="F758" s="44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  <c r="AA758" s="44"/>
    </row>
    <row r="759" spans="1:27" ht="13">
      <c r="A759" s="44"/>
      <c r="B759" s="44"/>
      <c r="C759" s="44"/>
      <c r="D759" s="44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  <c r="AA759" s="44"/>
    </row>
    <row r="760" spans="1:27" ht="13">
      <c r="A760" s="44"/>
      <c r="B760" s="44"/>
      <c r="C760" s="44"/>
      <c r="D760" s="44"/>
      <c r="E760" s="44"/>
      <c r="F760" s="44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  <c r="AA760" s="44"/>
    </row>
    <row r="761" spans="1:27" ht="13">
      <c r="A761" s="44"/>
      <c r="B761" s="44"/>
      <c r="C761" s="44"/>
      <c r="D761" s="44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  <c r="AA761" s="44"/>
    </row>
    <row r="762" spans="1:27" ht="13">
      <c r="A762" s="44"/>
      <c r="B762" s="44"/>
      <c r="C762" s="44"/>
      <c r="D762" s="44"/>
      <c r="E762" s="44"/>
      <c r="F762" s="44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  <c r="AA762" s="44"/>
    </row>
    <row r="763" spans="1:27" ht="13">
      <c r="A763" s="44"/>
      <c r="B763" s="44"/>
      <c r="C763" s="44"/>
      <c r="D763" s="44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  <c r="AA763" s="44"/>
    </row>
    <row r="764" spans="1:27" ht="13">
      <c r="A764" s="44"/>
      <c r="B764" s="44"/>
      <c r="C764" s="44"/>
      <c r="D764" s="44"/>
      <c r="E764" s="44"/>
      <c r="F764" s="44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  <c r="AA764" s="44"/>
    </row>
    <row r="765" spans="1:27" ht="13">
      <c r="A765" s="44"/>
      <c r="B765" s="44"/>
      <c r="C765" s="44"/>
      <c r="D765" s="44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  <c r="AA765" s="44"/>
    </row>
    <row r="766" spans="1:27" ht="13">
      <c r="A766" s="44"/>
      <c r="B766" s="44"/>
      <c r="C766" s="44"/>
      <c r="D766" s="44"/>
      <c r="E766" s="44"/>
      <c r="F766" s="44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  <c r="AA766" s="44"/>
    </row>
    <row r="767" spans="1:27" ht="13">
      <c r="A767" s="44"/>
      <c r="B767" s="44"/>
      <c r="C767" s="44"/>
      <c r="D767" s="44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  <c r="AA767" s="44"/>
    </row>
    <row r="768" spans="1:27" ht="13">
      <c r="A768" s="44"/>
      <c r="B768" s="44"/>
      <c r="C768" s="44"/>
      <c r="D768" s="44"/>
      <c r="E768" s="44"/>
      <c r="F768" s="44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  <c r="AA768" s="44"/>
    </row>
    <row r="769" spans="1:27" ht="13">
      <c r="A769" s="44"/>
      <c r="B769" s="44"/>
      <c r="C769" s="44"/>
      <c r="D769" s="44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  <c r="AA769" s="44"/>
    </row>
    <row r="770" spans="1:27" ht="13">
      <c r="A770" s="44"/>
      <c r="B770" s="44"/>
      <c r="C770" s="44"/>
      <c r="D770" s="44"/>
      <c r="E770" s="44"/>
      <c r="F770" s="44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  <c r="AA770" s="44"/>
    </row>
    <row r="771" spans="1:27" ht="13">
      <c r="A771" s="44"/>
      <c r="B771" s="44"/>
      <c r="C771" s="44"/>
      <c r="D771" s="44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  <c r="AA771" s="44"/>
    </row>
    <row r="772" spans="1:27" ht="13">
      <c r="A772" s="44"/>
      <c r="B772" s="44"/>
      <c r="C772" s="44"/>
      <c r="D772" s="44"/>
      <c r="E772" s="44"/>
      <c r="F772" s="44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  <c r="AA772" s="44"/>
    </row>
    <row r="773" spans="1:27" ht="13">
      <c r="A773" s="44"/>
      <c r="B773" s="44"/>
      <c r="C773" s="44"/>
      <c r="D773" s="44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  <c r="AA773" s="44"/>
    </row>
    <row r="774" spans="1:27" ht="13">
      <c r="A774" s="44"/>
      <c r="B774" s="44"/>
      <c r="C774" s="44"/>
      <c r="D774" s="44"/>
      <c r="E774" s="44"/>
      <c r="F774" s="44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  <c r="AA774" s="44"/>
    </row>
    <row r="775" spans="1:27" ht="13">
      <c r="A775" s="44"/>
      <c r="B775" s="44"/>
      <c r="C775" s="44"/>
      <c r="D775" s="44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  <c r="AA775" s="44"/>
    </row>
    <row r="776" spans="1:27" ht="13">
      <c r="A776" s="44"/>
      <c r="B776" s="44"/>
      <c r="C776" s="44"/>
      <c r="D776" s="44"/>
      <c r="E776" s="44"/>
      <c r="F776" s="44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  <c r="AA776" s="44"/>
    </row>
    <row r="777" spans="1:27" ht="13">
      <c r="A777" s="44"/>
      <c r="B777" s="44"/>
      <c r="C777" s="44"/>
      <c r="D777" s="44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  <c r="AA777" s="44"/>
    </row>
    <row r="778" spans="1:27" ht="13">
      <c r="A778" s="44"/>
      <c r="B778" s="44"/>
      <c r="C778" s="44"/>
      <c r="D778" s="44"/>
      <c r="E778" s="44"/>
      <c r="F778" s="44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  <c r="AA778" s="44"/>
    </row>
    <row r="779" spans="1:27" ht="13">
      <c r="A779" s="44"/>
      <c r="B779" s="44"/>
      <c r="C779" s="44"/>
      <c r="D779" s="44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  <c r="AA779" s="44"/>
    </row>
    <row r="780" spans="1:27" ht="13">
      <c r="A780" s="44"/>
      <c r="B780" s="44"/>
      <c r="C780" s="44"/>
      <c r="D780" s="44"/>
      <c r="E780" s="44"/>
      <c r="F780" s="44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  <c r="AA780" s="44"/>
    </row>
    <row r="781" spans="1:27" ht="13">
      <c r="A781" s="44"/>
      <c r="B781" s="44"/>
      <c r="C781" s="44"/>
      <c r="D781" s="44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  <c r="AA781" s="44"/>
    </row>
    <row r="782" spans="1:27" ht="13">
      <c r="A782" s="44"/>
      <c r="B782" s="44"/>
      <c r="C782" s="44"/>
      <c r="D782" s="44"/>
      <c r="E782" s="44"/>
      <c r="F782" s="44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  <c r="AA782" s="44"/>
    </row>
    <row r="783" spans="1:27" ht="13">
      <c r="A783" s="44"/>
      <c r="B783" s="44"/>
      <c r="C783" s="44"/>
      <c r="D783" s="44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  <c r="AA783" s="44"/>
    </row>
    <row r="784" spans="1:27" ht="13">
      <c r="A784" s="44"/>
      <c r="B784" s="44"/>
      <c r="C784" s="44"/>
      <c r="D784" s="44"/>
      <c r="E784" s="44"/>
      <c r="F784" s="44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  <c r="AA784" s="44"/>
    </row>
    <row r="785" spans="1:27" ht="13">
      <c r="A785" s="44"/>
      <c r="B785" s="44"/>
      <c r="C785" s="44"/>
      <c r="D785" s="44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  <c r="AA785" s="44"/>
    </row>
    <row r="786" spans="1:27" ht="13">
      <c r="A786" s="44"/>
      <c r="B786" s="44"/>
      <c r="C786" s="44"/>
      <c r="D786" s="44"/>
      <c r="E786" s="44"/>
      <c r="F786" s="44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  <c r="AA786" s="44"/>
    </row>
    <row r="787" spans="1:27" ht="13">
      <c r="A787" s="44"/>
      <c r="B787" s="44"/>
      <c r="C787" s="44"/>
      <c r="D787" s="44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  <c r="AA787" s="44"/>
    </row>
    <row r="788" spans="1:27" ht="13">
      <c r="A788" s="44"/>
      <c r="B788" s="44"/>
      <c r="C788" s="44"/>
      <c r="D788" s="44"/>
      <c r="E788" s="44"/>
      <c r="F788" s="44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  <c r="AA788" s="44"/>
    </row>
    <row r="789" spans="1:27" ht="13">
      <c r="A789" s="44"/>
      <c r="B789" s="44"/>
      <c r="C789" s="44"/>
      <c r="D789" s="44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  <c r="AA789" s="44"/>
    </row>
    <row r="790" spans="1:27" ht="13">
      <c r="A790" s="44"/>
      <c r="B790" s="44"/>
      <c r="C790" s="44"/>
      <c r="D790" s="44"/>
      <c r="E790" s="44"/>
      <c r="F790" s="44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  <c r="AA790" s="44"/>
    </row>
    <row r="791" spans="1:27" ht="13">
      <c r="A791" s="44"/>
      <c r="B791" s="44"/>
      <c r="C791" s="44"/>
      <c r="D791" s="44"/>
      <c r="E791" s="44"/>
      <c r="F791" s="44"/>
      <c r="G791" s="44"/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  <c r="AA791" s="44"/>
    </row>
    <row r="792" spans="1:27" ht="13">
      <c r="A792" s="44"/>
      <c r="B792" s="44"/>
      <c r="C792" s="44"/>
      <c r="D792" s="44"/>
      <c r="E792" s="44"/>
      <c r="F792" s="44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  <c r="AA792" s="44"/>
    </row>
    <row r="793" spans="1:27" ht="13">
      <c r="A793" s="44"/>
      <c r="B793" s="44"/>
      <c r="C793" s="44"/>
      <c r="D793" s="44"/>
      <c r="E793" s="44"/>
      <c r="F793" s="44"/>
      <c r="G793" s="44"/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  <c r="AA793" s="44"/>
    </row>
    <row r="794" spans="1:27" ht="13">
      <c r="A794" s="44"/>
      <c r="B794" s="44"/>
      <c r="C794" s="44"/>
      <c r="D794" s="44"/>
      <c r="E794" s="44"/>
      <c r="F794" s="44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  <c r="AA794" s="44"/>
    </row>
    <row r="795" spans="1:27" ht="13">
      <c r="A795" s="44"/>
      <c r="B795" s="44"/>
      <c r="C795" s="44"/>
      <c r="D795" s="44"/>
      <c r="E795" s="44"/>
      <c r="F795" s="44"/>
      <c r="G795" s="44"/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  <c r="AA795" s="44"/>
    </row>
    <row r="796" spans="1:27" ht="13">
      <c r="A796" s="44"/>
      <c r="B796" s="44"/>
      <c r="C796" s="44"/>
      <c r="D796" s="44"/>
      <c r="E796" s="44"/>
      <c r="F796" s="44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  <c r="AA796" s="44"/>
    </row>
    <row r="797" spans="1:27" ht="13">
      <c r="A797" s="44"/>
      <c r="B797" s="44"/>
      <c r="C797" s="44"/>
      <c r="D797" s="44"/>
      <c r="E797" s="44"/>
      <c r="F797" s="44"/>
      <c r="G797" s="44"/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  <c r="AA797" s="44"/>
    </row>
    <row r="798" spans="1:27" ht="13">
      <c r="A798" s="44"/>
      <c r="B798" s="44"/>
      <c r="C798" s="44"/>
      <c r="D798" s="44"/>
      <c r="E798" s="44"/>
      <c r="F798" s="44"/>
      <c r="G798" s="44"/>
      <c r="H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  <c r="AA798" s="44"/>
    </row>
    <row r="799" spans="1:27" ht="13">
      <c r="A799" s="44"/>
      <c r="B799" s="44"/>
      <c r="C799" s="44"/>
      <c r="D799" s="44"/>
      <c r="E799" s="44"/>
      <c r="F799" s="44"/>
      <c r="G799" s="44"/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  <c r="AA799" s="44"/>
    </row>
    <row r="800" spans="1:27" ht="13">
      <c r="A800" s="44"/>
      <c r="B800" s="44"/>
      <c r="C800" s="44"/>
      <c r="D800" s="44"/>
      <c r="E800" s="44"/>
      <c r="F800" s="44"/>
      <c r="G800" s="44"/>
      <c r="H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  <c r="AA800" s="44"/>
    </row>
    <row r="801" spans="1:27" ht="13">
      <c r="A801" s="44"/>
      <c r="B801" s="44"/>
      <c r="C801" s="44"/>
      <c r="D801" s="44"/>
      <c r="E801" s="44"/>
      <c r="F801" s="44"/>
      <c r="G801" s="44"/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  <c r="AA801" s="44"/>
    </row>
    <row r="802" spans="1:27" ht="13">
      <c r="A802" s="44"/>
      <c r="B802" s="44"/>
      <c r="C802" s="44"/>
      <c r="D802" s="44"/>
      <c r="E802" s="44"/>
      <c r="F802" s="44"/>
      <c r="G802" s="44"/>
      <c r="H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  <c r="AA802" s="44"/>
    </row>
    <row r="803" spans="1:27" ht="13">
      <c r="A803" s="44"/>
      <c r="B803" s="44"/>
      <c r="C803" s="44"/>
      <c r="D803" s="44"/>
      <c r="E803" s="44"/>
      <c r="F803" s="44"/>
      <c r="G803" s="44"/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  <c r="AA803" s="44"/>
    </row>
    <row r="804" spans="1:27" ht="13">
      <c r="A804" s="44"/>
      <c r="B804" s="44"/>
      <c r="C804" s="44"/>
      <c r="D804" s="44"/>
      <c r="E804" s="44"/>
      <c r="F804" s="44"/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  <c r="AA804" s="44"/>
    </row>
    <row r="805" spans="1:27" ht="13">
      <c r="A805" s="44"/>
      <c r="B805" s="44"/>
      <c r="C805" s="44"/>
      <c r="D805" s="44"/>
      <c r="E805" s="44"/>
      <c r="F805" s="44"/>
      <c r="G805" s="44"/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  <c r="AA805" s="44"/>
    </row>
    <row r="806" spans="1:27" ht="13">
      <c r="A806" s="44"/>
      <c r="B806" s="44"/>
      <c r="C806" s="44"/>
      <c r="D806" s="44"/>
      <c r="E806" s="44"/>
      <c r="F806" s="44"/>
      <c r="G806" s="44"/>
      <c r="H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  <c r="AA806" s="44"/>
    </row>
    <row r="807" spans="1:27" ht="13">
      <c r="A807" s="44"/>
      <c r="B807" s="44"/>
      <c r="C807" s="44"/>
      <c r="D807" s="44"/>
      <c r="E807" s="44"/>
      <c r="F807" s="44"/>
      <c r="G807" s="44"/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  <c r="AA807" s="44"/>
    </row>
    <row r="808" spans="1:27" ht="13">
      <c r="A808" s="44"/>
      <c r="B808" s="44"/>
      <c r="C808" s="44"/>
      <c r="D808" s="44"/>
      <c r="E808" s="44"/>
      <c r="F808" s="44"/>
      <c r="G808" s="44"/>
      <c r="H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  <c r="AA808" s="44"/>
    </row>
    <row r="809" spans="1:27" ht="13">
      <c r="A809" s="44"/>
      <c r="B809" s="44"/>
      <c r="C809" s="44"/>
      <c r="D809" s="44"/>
      <c r="E809" s="44"/>
      <c r="F809" s="44"/>
      <c r="G809" s="44"/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  <c r="AA809" s="44"/>
    </row>
    <row r="810" spans="1:27" ht="13">
      <c r="A810" s="44"/>
      <c r="B810" s="44"/>
      <c r="C810" s="44"/>
      <c r="D810" s="44"/>
      <c r="E810" s="44"/>
      <c r="F810" s="44"/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  <c r="AA810" s="44"/>
    </row>
    <row r="811" spans="1:27" ht="13">
      <c r="A811" s="44"/>
      <c r="B811" s="44"/>
      <c r="C811" s="44"/>
      <c r="D811" s="44"/>
      <c r="E811" s="44"/>
      <c r="F811" s="44"/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  <c r="AA811" s="44"/>
    </row>
    <row r="812" spans="1:27" ht="13">
      <c r="A812" s="44"/>
      <c r="B812" s="44"/>
      <c r="C812" s="44"/>
      <c r="D812" s="44"/>
      <c r="E812" s="44"/>
      <c r="F812" s="44"/>
      <c r="G812" s="44"/>
      <c r="H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  <c r="AA812" s="44"/>
    </row>
    <row r="813" spans="1:27" ht="13">
      <c r="A813" s="44"/>
      <c r="B813" s="44"/>
      <c r="C813" s="44"/>
      <c r="D813" s="44"/>
      <c r="E813" s="44"/>
      <c r="F813" s="44"/>
      <c r="G813" s="44"/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  <c r="AA813" s="44"/>
    </row>
    <row r="814" spans="1:27" ht="13">
      <c r="A814" s="44"/>
      <c r="B814" s="44"/>
      <c r="C814" s="44"/>
      <c r="D814" s="44"/>
      <c r="E814" s="44"/>
      <c r="F814" s="44"/>
      <c r="G814" s="44"/>
      <c r="H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  <c r="AA814" s="44"/>
    </row>
    <row r="815" spans="1:27" ht="13">
      <c r="A815" s="44"/>
      <c r="B815" s="44"/>
      <c r="C815" s="44"/>
      <c r="D815" s="44"/>
      <c r="E815" s="44"/>
      <c r="F815" s="44"/>
      <c r="G815" s="44"/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  <c r="AA815" s="44"/>
    </row>
    <row r="816" spans="1:27" ht="13">
      <c r="A816" s="44"/>
      <c r="B816" s="44"/>
      <c r="C816" s="44"/>
      <c r="D816" s="44"/>
      <c r="E816" s="44"/>
      <c r="F816" s="44"/>
      <c r="G816" s="44"/>
      <c r="H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  <c r="AA816" s="44"/>
    </row>
    <row r="817" spans="1:27" ht="13">
      <c r="A817" s="44"/>
      <c r="B817" s="44"/>
      <c r="C817" s="44"/>
      <c r="D817" s="44"/>
      <c r="E817" s="44"/>
      <c r="F817" s="44"/>
      <c r="G817" s="44"/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  <c r="AA817" s="44"/>
    </row>
    <row r="818" spans="1:27" ht="13">
      <c r="A818" s="44"/>
      <c r="B818" s="44"/>
      <c r="C818" s="44"/>
      <c r="D818" s="44"/>
      <c r="E818" s="44"/>
      <c r="F818" s="44"/>
      <c r="G818" s="44"/>
      <c r="H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  <c r="AA818" s="44"/>
    </row>
    <row r="819" spans="1:27" ht="13">
      <c r="A819" s="44"/>
      <c r="B819" s="44"/>
      <c r="C819" s="44"/>
      <c r="D819" s="44"/>
      <c r="E819" s="44"/>
      <c r="F819" s="44"/>
      <c r="G819" s="44"/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  <c r="AA819" s="44"/>
    </row>
    <row r="820" spans="1:27" ht="13">
      <c r="A820" s="44"/>
      <c r="B820" s="44"/>
      <c r="C820" s="44"/>
      <c r="D820" s="44"/>
      <c r="E820" s="44"/>
      <c r="F820" s="44"/>
      <c r="G820" s="44"/>
      <c r="H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  <c r="AA820" s="44"/>
    </row>
    <row r="821" spans="1:27" ht="13">
      <c r="A821" s="44"/>
      <c r="B821" s="44"/>
      <c r="C821" s="44"/>
      <c r="D821" s="44"/>
      <c r="E821" s="44"/>
      <c r="F821" s="44"/>
      <c r="G821" s="44"/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  <c r="AA821" s="44"/>
    </row>
    <row r="822" spans="1:27" ht="13">
      <c r="A822" s="44"/>
      <c r="B822" s="44"/>
      <c r="C822" s="44"/>
      <c r="D822" s="44"/>
      <c r="E822" s="44"/>
      <c r="F822" s="44"/>
      <c r="G822" s="44"/>
      <c r="H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  <c r="AA822" s="44"/>
    </row>
    <row r="823" spans="1:27" ht="13">
      <c r="A823" s="44"/>
      <c r="B823" s="44"/>
      <c r="C823" s="44"/>
      <c r="D823" s="44"/>
      <c r="E823" s="44"/>
      <c r="F823" s="44"/>
      <c r="G823" s="44"/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  <c r="AA823" s="44"/>
    </row>
    <row r="824" spans="1:27" ht="13">
      <c r="A824" s="44"/>
      <c r="B824" s="44"/>
      <c r="C824" s="44"/>
      <c r="D824" s="44"/>
      <c r="E824" s="44"/>
      <c r="F824" s="44"/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  <c r="AA824" s="44"/>
    </row>
    <row r="825" spans="1:27" ht="13">
      <c r="A825" s="44"/>
      <c r="B825" s="44"/>
      <c r="C825" s="44"/>
      <c r="D825" s="44"/>
      <c r="E825" s="44"/>
      <c r="F825" s="44"/>
      <c r="G825" s="44"/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  <c r="AA825" s="44"/>
    </row>
    <row r="826" spans="1:27" ht="13">
      <c r="A826" s="44"/>
      <c r="B826" s="44"/>
      <c r="C826" s="44"/>
      <c r="D826" s="44"/>
      <c r="E826" s="44"/>
      <c r="F826" s="44"/>
      <c r="G826" s="44"/>
      <c r="H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  <c r="AA826" s="44"/>
    </row>
    <row r="827" spans="1:27" ht="13">
      <c r="A827" s="44"/>
      <c r="B827" s="44"/>
      <c r="C827" s="44"/>
      <c r="D827" s="44"/>
      <c r="E827" s="44"/>
      <c r="F827" s="44"/>
      <c r="G827" s="44"/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  <c r="AA827" s="44"/>
    </row>
    <row r="828" spans="1:27" ht="13">
      <c r="A828" s="44"/>
      <c r="B828" s="44"/>
      <c r="C828" s="44"/>
      <c r="D828" s="44"/>
      <c r="E828" s="44"/>
      <c r="F828" s="44"/>
      <c r="G828" s="44"/>
      <c r="H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  <c r="AA828" s="44"/>
    </row>
    <row r="829" spans="1:27" ht="13">
      <c r="A829" s="44"/>
      <c r="B829" s="44"/>
      <c r="C829" s="44"/>
      <c r="D829" s="44"/>
      <c r="E829" s="44"/>
      <c r="F829" s="44"/>
      <c r="G829" s="44"/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  <c r="AA829" s="44"/>
    </row>
    <row r="830" spans="1:27" ht="13">
      <c r="A830" s="44"/>
      <c r="B830" s="44"/>
      <c r="C830" s="44"/>
      <c r="D830" s="44"/>
      <c r="E830" s="44"/>
      <c r="F830" s="44"/>
      <c r="G830" s="44"/>
      <c r="H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  <c r="AA830" s="44"/>
    </row>
    <row r="831" spans="1:27" ht="13">
      <c r="A831" s="44"/>
      <c r="B831" s="44"/>
      <c r="C831" s="44"/>
      <c r="D831" s="44"/>
      <c r="E831" s="44"/>
      <c r="F831" s="44"/>
      <c r="G831" s="44"/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  <c r="AA831" s="44"/>
    </row>
    <row r="832" spans="1:27" ht="13">
      <c r="A832" s="44"/>
      <c r="B832" s="44"/>
      <c r="C832" s="44"/>
      <c r="D832" s="44"/>
      <c r="E832" s="44"/>
      <c r="F832" s="44"/>
      <c r="G832" s="44"/>
      <c r="H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  <c r="AA832" s="44"/>
    </row>
    <row r="833" spans="1:27" ht="13">
      <c r="A833" s="44"/>
      <c r="B833" s="44"/>
      <c r="C833" s="44"/>
      <c r="D833" s="44"/>
      <c r="E833" s="44"/>
      <c r="F833" s="44"/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  <c r="AA833" s="44"/>
    </row>
    <row r="834" spans="1:27" ht="13">
      <c r="A834" s="44"/>
      <c r="B834" s="44"/>
      <c r="C834" s="44"/>
      <c r="D834" s="44"/>
      <c r="E834" s="44"/>
      <c r="F834" s="44"/>
      <c r="G834" s="44"/>
      <c r="H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  <c r="AA834" s="44"/>
    </row>
    <row r="835" spans="1:27" ht="13">
      <c r="A835" s="44"/>
      <c r="B835" s="44"/>
      <c r="C835" s="44"/>
      <c r="D835" s="44"/>
      <c r="E835" s="44"/>
      <c r="F835" s="44"/>
      <c r="G835" s="44"/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  <c r="AA835" s="44"/>
    </row>
    <row r="836" spans="1:27" ht="13">
      <c r="A836" s="44"/>
      <c r="B836" s="44"/>
      <c r="C836" s="44"/>
      <c r="D836" s="44"/>
      <c r="E836" s="44"/>
      <c r="F836" s="44"/>
      <c r="G836" s="44"/>
      <c r="H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  <c r="AA836" s="44"/>
    </row>
    <row r="837" spans="1:27" ht="13">
      <c r="A837" s="44"/>
      <c r="B837" s="44"/>
      <c r="C837" s="44"/>
      <c r="D837" s="44"/>
      <c r="E837" s="44"/>
      <c r="F837" s="44"/>
      <c r="G837" s="44"/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  <c r="AA837" s="44"/>
    </row>
    <row r="838" spans="1:27" ht="13">
      <c r="A838" s="44"/>
      <c r="B838" s="44"/>
      <c r="C838" s="44"/>
      <c r="D838" s="44"/>
      <c r="E838" s="44"/>
      <c r="F838" s="44"/>
      <c r="G838" s="44"/>
      <c r="H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  <c r="AA838" s="44"/>
    </row>
    <row r="839" spans="1:27" ht="13">
      <c r="A839" s="44"/>
      <c r="B839" s="44"/>
      <c r="C839" s="44"/>
      <c r="D839" s="44"/>
      <c r="E839" s="44"/>
      <c r="F839" s="44"/>
      <c r="G839" s="44"/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  <c r="AA839" s="44"/>
    </row>
    <row r="840" spans="1:27" ht="13">
      <c r="A840" s="44"/>
      <c r="B840" s="44"/>
      <c r="C840" s="44"/>
      <c r="D840" s="44"/>
      <c r="E840" s="44"/>
      <c r="F840" s="44"/>
      <c r="G840" s="44"/>
      <c r="H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  <c r="AA840" s="44"/>
    </row>
    <row r="841" spans="1:27" ht="13">
      <c r="A841" s="44"/>
      <c r="B841" s="44"/>
      <c r="C841" s="44"/>
      <c r="D841" s="44"/>
      <c r="E841" s="44"/>
      <c r="F841" s="44"/>
      <c r="G841" s="44"/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  <c r="AA841" s="44"/>
    </row>
    <row r="842" spans="1:27" ht="13">
      <c r="A842" s="44"/>
      <c r="B842" s="44"/>
      <c r="C842" s="44"/>
      <c r="D842" s="44"/>
      <c r="E842" s="44"/>
      <c r="F842" s="44"/>
      <c r="G842" s="44"/>
      <c r="H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  <c r="AA842" s="44"/>
    </row>
    <row r="843" spans="1:27" ht="13">
      <c r="A843" s="44"/>
      <c r="B843" s="44"/>
      <c r="C843" s="44"/>
      <c r="D843" s="44"/>
      <c r="E843" s="44"/>
      <c r="F843" s="44"/>
      <c r="G843" s="44"/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  <c r="AA843" s="44"/>
    </row>
    <row r="844" spans="1:27" ht="13">
      <c r="A844" s="44"/>
      <c r="B844" s="44"/>
      <c r="C844" s="44"/>
      <c r="D844" s="44"/>
      <c r="E844" s="44"/>
      <c r="F844" s="44"/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  <c r="AA844" s="44"/>
    </row>
    <row r="845" spans="1:27" ht="13">
      <c r="A845" s="44"/>
      <c r="B845" s="44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  <c r="AA845" s="44"/>
    </row>
    <row r="846" spans="1:27" ht="13">
      <c r="A846" s="44"/>
      <c r="B846" s="44"/>
      <c r="C846" s="44"/>
      <c r="D846" s="44"/>
      <c r="E846" s="44"/>
      <c r="F846" s="44"/>
      <c r="G846" s="44"/>
      <c r="H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  <c r="AA846" s="44"/>
    </row>
    <row r="847" spans="1:27" ht="13">
      <c r="A847" s="44"/>
      <c r="B847" s="44"/>
      <c r="C847" s="44"/>
      <c r="D847" s="44"/>
      <c r="E847" s="44"/>
      <c r="F847" s="44"/>
      <c r="G847" s="44"/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  <c r="AA847" s="44"/>
    </row>
    <row r="848" spans="1:27" ht="13">
      <c r="A848" s="44"/>
      <c r="B848" s="44"/>
      <c r="C848" s="44"/>
      <c r="D848" s="44"/>
      <c r="E848" s="44"/>
      <c r="F848" s="44"/>
      <c r="G848" s="44"/>
      <c r="H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  <c r="AA848" s="44"/>
    </row>
    <row r="849" spans="1:27" ht="13">
      <c r="A849" s="44"/>
      <c r="B849" s="44"/>
      <c r="C849" s="44"/>
      <c r="D849" s="44"/>
      <c r="E849" s="44"/>
      <c r="F849" s="44"/>
      <c r="G849" s="44"/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  <c r="AA849" s="44"/>
    </row>
    <row r="850" spans="1:27" ht="13">
      <c r="A850" s="44"/>
      <c r="B850" s="44"/>
      <c r="C850" s="44"/>
      <c r="D850" s="44"/>
      <c r="E850" s="44"/>
      <c r="F850" s="44"/>
      <c r="G850" s="44"/>
      <c r="H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  <c r="AA850" s="44"/>
    </row>
    <row r="851" spans="1:27" ht="13">
      <c r="A851" s="44"/>
      <c r="B851" s="44"/>
      <c r="C851" s="44"/>
      <c r="D851" s="44"/>
      <c r="E851" s="44"/>
      <c r="F851" s="44"/>
      <c r="G851" s="44"/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  <c r="AA851" s="44"/>
    </row>
    <row r="852" spans="1:27" ht="13">
      <c r="A852" s="44"/>
      <c r="B852" s="44"/>
      <c r="C852" s="44"/>
      <c r="D852" s="44"/>
      <c r="E852" s="44"/>
      <c r="F852" s="44"/>
      <c r="G852" s="44"/>
      <c r="H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  <c r="AA852" s="44"/>
    </row>
    <row r="853" spans="1:27" ht="13">
      <c r="A853" s="44"/>
      <c r="B853" s="44"/>
      <c r="C853" s="44"/>
      <c r="D853" s="44"/>
      <c r="E853" s="44"/>
      <c r="F853" s="44"/>
      <c r="G853" s="44"/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  <c r="AA853" s="44"/>
    </row>
    <row r="854" spans="1:27" ht="13">
      <c r="A854" s="44"/>
      <c r="B854" s="44"/>
      <c r="C854" s="44"/>
      <c r="D854" s="44"/>
      <c r="E854" s="44"/>
      <c r="F854" s="44"/>
      <c r="G854" s="44"/>
      <c r="H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  <c r="AA854" s="44"/>
    </row>
    <row r="855" spans="1:27" ht="13">
      <c r="A855" s="44"/>
      <c r="B855" s="44"/>
      <c r="C855" s="44"/>
      <c r="D855" s="44"/>
      <c r="E855" s="44"/>
      <c r="F855" s="44"/>
      <c r="G855" s="44"/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  <c r="AA855" s="44"/>
    </row>
    <row r="856" spans="1:27" ht="13">
      <c r="A856" s="44"/>
      <c r="B856" s="44"/>
      <c r="C856" s="44"/>
      <c r="D856" s="44"/>
      <c r="E856" s="44"/>
      <c r="F856" s="44"/>
      <c r="G856" s="44"/>
      <c r="H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  <c r="AA856" s="44"/>
    </row>
    <row r="857" spans="1:27" ht="13">
      <c r="A857" s="44"/>
      <c r="B857" s="44"/>
      <c r="C857" s="44"/>
      <c r="D857" s="44"/>
      <c r="E857" s="44"/>
      <c r="F857" s="44"/>
      <c r="G857" s="44"/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  <c r="AA857" s="44"/>
    </row>
    <row r="858" spans="1:27" ht="13">
      <c r="A858" s="44"/>
      <c r="B858" s="44"/>
      <c r="C858" s="44"/>
      <c r="D858" s="44"/>
      <c r="E858" s="44"/>
      <c r="F858" s="44"/>
      <c r="G858" s="44"/>
      <c r="H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  <c r="AA858" s="44"/>
    </row>
    <row r="859" spans="1:27" ht="13">
      <c r="A859" s="44"/>
      <c r="B859" s="44"/>
      <c r="C859" s="44"/>
      <c r="D859" s="44"/>
      <c r="E859" s="44"/>
      <c r="F859" s="44"/>
      <c r="G859" s="44"/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  <c r="AA859" s="44"/>
    </row>
    <row r="860" spans="1:27" ht="13">
      <c r="A860" s="44"/>
      <c r="B860" s="44"/>
      <c r="C860" s="44"/>
      <c r="D860" s="44"/>
      <c r="E860" s="44"/>
      <c r="F860" s="44"/>
      <c r="G860" s="44"/>
      <c r="H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  <c r="AA860" s="44"/>
    </row>
    <row r="861" spans="1:27" ht="13">
      <c r="A861" s="44"/>
      <c r="B861" s="44"/>
      <c r="C861" s="44"/>
      <c r="D861" s="44"/>
      <c r="E861" s="44"/>
      <c r="F861" s="44"/>
      <c r="G861" s="44"/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  <c r="AA861" s="44"/>
    </row>
    <row r="862" spans="1:27" ht="13">
      <c r="A862" s="44"/>
      <c r="B862" s="44"/>
      <c r="C862" s="44"/>
      <c r="D862" s="44"/>
      <c r="E862" s="44"/>
      <c r="F862" s="44"/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  <c r="AA862" s="44"/>
    </row>
    <row r="863" spans="1:27" ht="13">
      <c r="A863" s="44"/>
      <c r="B863" s="44"/>
      <c r="C863" s="44"/>
      <c r="D863" s="44"/>
      <c r="E863" s="44"/>
      <c r="F863" s="44"/>
      <c r="G863" s="44"/>
      <c r="H863" s="44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  <c r="AA863" s="44"/>
    </row>
    <row r="864" spans="1:27" ht="13">
      <c r="A864" s="44"/>
      <c r="B864" s="44"/>
      <c r="C864" s="44"/>
      <c r="D864" s="44"/>
      <c r="E864" s="44"/>
      <c r="F864" s="44"/>
      <c r="G864" s="44"/>
      <c r="H864" s="44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  <c r="Z864" s="44"/>
      <c r="AA864" s="44"/>
    </row>
    <row r="865" spans="1:27" ht="13">
      <c r="A865" s="44"/>
      <c r="B865" s="44"/>
      <c r="C865" s="44"/>
      <c r="D865" s="44"/>
      <c r="E865" s="44"/>
      <c r="F865" s="44"/>
      <c r="G865" s="44"/>
      <c r="H865" s="44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  <c r="AA865" s="44"/>
    </row>
    <row r="866" spans="1:27" ht="13">
      <c r="A866" s="44"/>
      <c r="B866" s="44"/>
      <c r="C866" s="44"/>
      <c r="D866" s="44"/>
      <c r="E866" s="44"/>
      <c r="F866" s="44"/>
      <c r="G866" s="44"/>
      <c r="H866" s="44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  <c r="Z866" s="44"/>
      <c r="AA866" s="44"/>
    </row>
    <row r="867" spans="1:27" ht="13">
      <c r="A867" s="44"/>
      <c r="B867" s="44"/>
      <c r="C867" s="44"/>
      <c r="D867" s="44"/>
      <c r="E867" s="44"/>
      <c r="F867" s="44"/>
      <c r="G867" s="44"/>
      <c r="H867" s="44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  <c r="AA867" s="44"/>
    </row>
    <row r="868" spans="1:27" ht="13">
      <c r="A868" s="44"/>
      <c r="B868" s="44"/>
      <c r="C868" s="44"/>
      <c r="D868" s="44"/>
      <c r="E868" s="44"/>
      <c r="F868" s="44"/>
      <c r="G868" s="44"/>
      <c r="H868" s="44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  <c r="Z868" s="44"/>
      <c r="AA868" s="44"/>
    </row>
    <row r="869" spans="1:27" ht="13">
      <c r="A869" s="44"/>
      <c r="B869" s="44"/>
      <c r="C869" s="44"/>
      <c r="D869" s="44"/>
      <c r="E869" s="44"/>
      <c r="F869" s="44"/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  <c r="AA869" s="44"/>
    </row>
    <row r="870" spans="1:27" ht="13">
      <c r="A870" s="44"/>
      <c r="B870" s="44"/>
      <c r="C870" s="44"/>
      <c r="D870" s="44"/>
      <c r="E870" s="44"/>
      <c r="F870" s="44"/>
      <c r="G870" s="44"/>
      <c r="H870" s="44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  <c r="AA870" s="44"/>
    </row>
    <row r="871" spans="1:27" ht="13">
      <c r="A871" s="44"/>
      <c r="B871" s="44"/>
      <c r="C871" s="44"/>
      <c r="D871" s="44"/>
      <c r="E871" s="44"/>
      <c r="F871" s="44"/>
      <c r="G871" s="44"/>
      <c r="H871" s="44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  <c r="AA871" s="44"/>
    </row>
    <row r="872" spans="1:27" ht="13">
      <c r="A872" s="44"/>
      <c r="B872" s="44"/>
      <c r="C872" s="44"/>
      <c r="D872" s="44"/>
      <c r="E872" s="44"/>
      <c r="F872" s="44"/>
      <c r="G872" s="44"/>
      <c r="H872" s="44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  <c r="AA872" s="44"/>
    </row>
    <row r="873" spans="1:27" ht="13">
      <c r="A873" s="44"/>
      <c r="B873" s="44"/>
      <c r="C873" s="44"/>
      <c r="D873" s="44"/>
      <c r="E873" s="44"/>
      <c r="F873" s="44"/>
      <c r="G873" s="44"/>
      <c r="H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  <c r="AA873" s="44"/>
    </row>
    <row r="874" spans="1:27" ht="13">
      <c r="A874" s="44"/>
      <c r="B874" s="44"/>
      <c r="C874" s="44"/>
      <c r="D874" s="44"/>
      <c r="E874" s="44"/>
      <c r="F874" s="44"/>
      <c r="G874" s="44"/>
      <c r="H874" s="44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  <c r="AA874" s="44"/>
    </row>
    <row r="875" spans="1:27" ht="13">
      <c r="A875" s="44"/>
      <c r="B875" s="44"/>
      <c r="C875" s="44"/>
      <c r="D875" s="44"/>
      <c r="E875" s="44"/>
      <c r="F875" s="44"/>
      <c r="G875" s="44"/>
      <c r="H875" s="44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  <c r="AA875" s="44"/>
    </row>
    <row r="876" spans="1:27" ht="13">
      <c r="A876" s="44"/>
      <c r="B876" s="44"/>
      <c r="C876" s="44"/>
      <c r="D876" s="44"/>
      <c r="E876" s="44"/>
      <c r="F876" s="44"/>
      <c r="G876" s="44"/>
      <c r="H876" s="44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  <c r="AA876" s="44"/>
    </row>
    <row r="877" spans="1:27" ht="13">
      <c r="A877" s="44"/>
      <c r="B877" s="44"/>
      <c r="C877" s="44"/>
      <c r="D877" s="44"/>
      <c r="E877" s="44"/>
      <c r="F877" s="44"/>
      <c r="G877" s="44"/>
      <c r="H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  <c r="AA877" s="44"/>
    </row>
    <row r="878" spans="1:27" ht="13">
      <c r="A878" s="44"/>
      <c r="B878" s="44"/>
      <c r="C878" s="44"/>
      <c r="D878" s="44"/>
      <c r="E878" s="44"/>
      <c r="F878" s="44"/>
      <c r="G878" s="44"/>
      <c r="H878" s="44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  <c r="Z878" s="44"/>
      <c r="AA878" s="44"/>
    </row>
    <row r="879" spans="1:27" ht="13">
      <c r="A879" s="44"/>
      <c r="B879" s="44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  <c r="AA879" s="44"/>
    </row>
    <row r="880" spans="1:27" ht="13">
      <c r="A880" s="44"/>
      <c r="B880" s="44"/>
      <c r="C880" s="44"/>
      <c r="D880" s="44"/>
      <c r="E880" s="44"/>
      <c r="F880" s="44"/>
      <c r="G880" s="44"/>
      <c r="H880" s="44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  <c r="Z880" s="44"/>
      <c r="AA880" s="44"/>
    </row>
    <row r="881" spans="1:27" ht="13">
      <c r="A881" s="44"/>
      <c r="B881" s="44"/>
      <c r="C881" s="44"/>
      <c r="D881" s="44"/>
      <c r="E881" s="44"/>
      <c r="F881" s="44"/>
      <c r="G881" s="44"/>
      <c r="H881" s="44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  <c r="AA881" s="44"/>
    </row>
    <row r="882" spans="1:27" ht="13">
      <c r="A882" s="44"/>
      <c r="B882" s="44"/>
      <c r="C882" s="44"/>
      <c r="D882" s="44"/>
      <c r="E882" s="44"/>
      <c r="F882" s="44"/>
      <c r="G882" s="44"/>
      <c r="H882" s="44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  <c r="Z882" s="44"/>
      <c r="AA882" s="44"/>
    </row>
    <row r="883" spans="1:27" ht="13">
      <c r="A883" s="44"/>
      <c r="B883" s="44"/>
      <c r="C883" s="44"/>
      <c r="D883" s="44"/>
      <c r="E883" s="44"/>
      <c r="F883" s="44"/>
      <c r="G883" s="44"/>
      <c r="H883" s="44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  <c r="AA883" s="44"/>
    </row>
    <row r="884" spans="1:27" ht="13">
      <c r="A884" s="44"/>
      <c r="B884" s="44"/>
      <c r="C884" s="44"/>
      <c r="D884" s="44"/>
      <c r="E884" s="44"/>
      <c r="F884" s="44"/>
      <c r="G884" s="44"/>
      <c r="H884" s="44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  <c r="Z884" s="44"/>
      <c r="AA884" s="44"/>
    </row>
    <row r="885" spans="1:27" ht="13">
      <c r="A885" s="44"/>
      <c r="B885" s="44"/>
      <c r="C885" s="44"/>
      <c r="D885" s="44"/>
      <c r="E885" s="44"/>
      <c r="F885" s="44"/>
      <c r="G885" s="44"/>
      <c r="H885" s="44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  <c r="AA885" s="44"/>
    </row>
    <row r="886" spans="1:27" ht="13">
      <c r="A886" s="44"/>
      <c r="B886" s="44"/>
      <c r="C886" s="44"/>
      <c r="D886" s="44"/>
      <c r="E886" s="44"/>
      <c r="F886" s="44"/>
      <c r="G886" s="44"/>
      <c r="H886" s="44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  <c r="Z886" s="44"/>
      <c r="AA886" s="44"/>
    </row>
    <row r="887" spans="1:27" ht="13">
      <c r="A887" s="44"/>
      <c r="B887" s="44"/>
      <c r="C887" s="44"/>
      <c r="D887" s="44"/>
      <c r="E887" s="44"/>
      <c r="F887" s="44"/>
      <c r="G887" s="44"/>
      <c r="H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  <c r="AA887" s="44"/>
    </row>
    <row r="888" spans="1:27" ht="13">
      <c r="A888" s="44"/>
      <c r="B888" s="44"/>
      <c r="C888" s="44"/>
      <c r="D888" s="44"/>
      <c r="E888" s="44"/>
      <c r="F888" s="44"/>
      <c r="G888" s="44"/>
      <c r="H888" s="44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  <c r="Z888" s="44"/>
      <c r="AA888" s="44"/>
    </row>
    <row r="889" spans="1:27" ht="13">
      <c r="A889" s="44"/>
      <c r="B889" s="44"/>
      <c r="C889" s="44"/>
      <c r="D889" s="44"/>
      <c r="E889" s="44"/>
      <c r="F889" s="44"/>
      <c r="G889" s="44"/>
      <c r="H889" s="44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  <c r="AA889" s="44"/>
    </row>
    <row r="890" spans="1:27" ht="13">
      <c r="A890" s="44"/>
      <c r="B890" s="44"/>
      <c r="C890" s="44"/>
      <c r="D890" s="44"/>
      <c r="E890" s="44"/>
      <c r="F890" s="44"/>
      <c r="G890" s="44"/>
      <c r="H890" s="44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  <c r="Z890" s="44"/>
      <c r="AA890" s="44"/>
    </row>
    <row r="891" spans="1:27" ht="13">
      <c r="A891" s="44"/>
      <c r="B891" s="44"/>
      <c r="C891" s="44"/>
      <c r="D891" s="44"/>
      <c r="E891" s="44"/>
      <c r="F891" s="44"/>
      <c r="G891" s="44"/>
      <c r="H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  <c r="AA891" s="44"/>
    </row>
    <row r="892" spans="1:27" ht="13">
      <c r="A892" s="44"/>
      <c r="B892" s="44"/>
      <c r="C892" s="44"/>
      <c r="D892" s="44"/>
      <c r="E892" s="44"/>
      <c r="F892" s="44"/>
      <c r="G892" s="44"/>
      <c r="H892" s="44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  <c r="Z892" s="44"/>
      <c r="AA892" s="44"/>
    </row>
    <row r="893" spans="1:27" ht="13">
      <c r="A893" s="44"/>
      <c r="B893" s="44"/>
      <c r="C893" s="44"/>
      <c r="D893" s="44"/>
      <c r="E893" s="44"/>
      <c r="F893" s="44"/>
      <c r="G893" s="44"/>
      <c r="H893" s="44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  <c r="AA893" s="44"/>
    </row>
    <row r="894" spans="1:27" ht="13">
      <c r="A894" s="44"/>
      <c r="B894" s="44"/>
      <c r="C894" s="44"/>
      <c r="D894" s="44"/>
      <c r="E894" s="44"/>
      <c r="F894" s="44"/>
      <c r="G894" s="44"/>
      <c r="H894" s="44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  <c r="Z894" s="44"/>
      <c r="AA894" s="44"/>
    </row>
    <row r="895" spans="1:27" ht="13">
      <c r="A895" s="44"/>
      <c r="B895" s="44"/>
      <c r="C895" s="44"/>
      <c r="D895" s="44"/>
      <c r="E895" s="44"/>
      <c r="F895" s="44"/>
      <c r="G895" s="44"/>
      <c r="H895" s="44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  <c r="AA895" s="44"/>
    </row>
    <row r="896" spans="1:27" ht="13">
      <c r="A896" s="44"/>
      <c r="B896" s="44"/>
      <c r="C896" s="44"/>
      <c r="D896" s="44"/>
      <c r="E896" s="44"/>
      <c r="F896" s="44"/>
      <c r="G896" s="44"/>
      <c r="H896" s="44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  <c r="Z896" s="44"/>
      <c r="AA896" s="44"/>
    </row>
    <row r="897" spans="1:27" ht="13">
      <c r="A897" s="44"/>
      <c r="B897" s="44"/>
      <c r="C897" s="44"/>
      <c r="D897" s="44"/>
      <c r="E897" s="44"/>
      <c r="F897" s="44"/>
      <c r="G897" s="44"/>
      <c r="H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  <c r="AA897" s="44"/>
    </row>
    <row r="898" spans="1:27" ht="13">
      <c r="A898" s="44"/>
      <c r="B898" s="44"/>
      <c r="C898" s="44"/>
      <c r="D898" s="44"/>
      <c r="E898" s="44"/>
      <c r="F898" s="44"/>
      <c r="G898" s="44"/>
      <c r="H898" s="44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  <c r="Z898" s="44"/>
      <c r="AA898" s="44"/>
    </row>
    <row r="899" spans="1:27" ht="13">
      <c r="A899" s="44"/>
      <c r="B899" s="44"/>
      <c r="C899" s="44"/>
      <c r="D899" s="44"/>
      <c r="E899" s="44"/>
      <c r="F899" s="44"/>
      <c r="G899" s="44"/>
      <c r="H899" s="44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  <c r="AA899" s="44"/>
    </row>
    <row r="900" spans="1:27" ht="13">
      <c r="A900" s="44"/>
      <c r="B900" s="44"/>
      <c r="C900" s="44"/>
      <c r="D900" s="44"/>
      <c r="E900" s="44"/>
      <c r="F900" s="44"/>
      <c r="G900" s="44"/>
      <c r="H900" s="44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  <c r="Z900" s="44"/>
      <c r="AA900" s="44"/>
    </row>
    <row r="901" spans="1:27" ht="13">
      <c r="A901" s="44"/>
      <c r="B901" s="44"/>
      <c r="C901" s="44"/>
      <c r="D901" s="44"/>
      <c r="E901" s="44"/>
      <c r="F901" s="44"/>
      <c r="G901" s="44"/>
      <c r="H901" s="44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  <c r="AA901" s="44"/>
    </row>
    <row r="902" spans="1:27" ht="13">
      <c r="A902" s="44"/>
      <c r="B902" s="44"/>
      <c r="C902" s="44"/>
      <c r="D902" s="44"/>
      <c r="E902" s="44"/>
      <c r="F902" s="44"/>
      <c r="G902" s="44"/>
      <c r="H902" s="44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  <c r="Z902" s="44"/>
      <c r="AA902" s="44"/>
    </row>
    <row r="903" spans="1:27" ht="13">
      <c r="A903" s="44"/>
      <c r="B903" s="44"/>
      <c r="C903" s="44"/>
      <c r="D903" s="44"/>
      <c r="E903" s="44"/>
      <c r="F903" s="44"/>
      <c r="G903" s="44"/>
      <c r="H903" s="44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  <c r="AA903" s="44"/>
    </row>
    <row r="904" spans="1:27" ht="13">
      <c r="A904" s="44"/>
      <c r="B904" s="44"/>
      <c r="C904" s="44"/>
      <c r="D904" s="44"/>
      <c r="E904" s="44"/>
      <c r="F904" s="44"/>
      <c r="G904" s="44"/>
      <c r="H904" s="44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  <c r="AA904" s="44"/>
    </row>
    <row r="905" spans="1:27" ht="13">
      <c r="A905" s="44"/>
      <c r="B905" s="44"/>
      <c r="C905" s="44"/>
      <c r="D905" s="44"/>
      <c r="E905" s="44"/>
      <c r="F905" s="44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  <c r="AA905" s="44"/>
    </row>
    <row r="906" spans="1:27" ht="13">
      <c r="A906" s="44"/>
      <c r="B906" s="44"/>
      <c r="C906" s="44"/>
      <c r="D906" s="44"/>
      <c r="E906" s="44"/>
      <c r="F906" s="44"/>
      <c r="G906" s="44"/>
      <c r="H906" s="44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  <c r="AA906" s="44"/>
    </row>
    <row r="907" spans="1:27" ht="13">
      <c r="A907" s="44"/>
      <c r="B907" s="44"/>
      <c r="C907" s="44"/>
      <c r="D907" s="44"/>
      <c r="E907" s="44"/>
      <c r="F907" s="44"/>
      <c r="G907" s="44"/>
      <c r="H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  <c r="AA907" s="44"/>
    </row>
    <row r="908" spans="1:27" ht="13">
      <c r="A908" s="44"/>
      <c r="B908" s="44"/>
      <c r="C908" s="44"/>
      <c r="D908" s="44"/>
      <c r="E908" s="44"/>
      <c r="F908" s="44"/>
      <c r="G908" s="44"/>
      <c r="H908" s="44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  <c r="AA908" s="44"/>
    </row>
    <row r="909" spans="1:27" ht="13">
      <c r="A909" s="44"/>
      <c r="B909" s="44"/>
      <c r="C909" s="44"/>
      <c r="D909" s="44"/>
      <c r="E909" s="44"/>
      <c r="F909" s="44"/>
      <c r="G909" s="44"/>
      <c r="H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  <c r="AA909" s="44"/>
    </row>
    <row r="910" spans="1:27" ht="13">
      <c r="A910" s="44"/>
      <c r="B910" s="44"/>
      <c r="C910" s="44"/>
      <c r="D910" s="44"/>
      <c r="E910" s="44"/>
      <c r="F910" s="44"/>
      <c r="G910" s="44"/>
      <c r="H910" s="44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  <c r="AA910" s="44"/>
    </row>
    <row r="911" spans="1:27" ht="13">
      <c r="A911" s="44"/>
      <c r="B911" s="44"/>
      <c r="C911" s="44"/>
      <c r="D911" s="44"/>
      <c r="E911" s="44"/>
      <c r="F911" s="44"/>
      <c r="G911" s="44"/>
      <c r="H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  <c r="AA911" s="44"/>
    </row>
    <row r="912" spans="1:27" ht="13">
      <c r="A912" s="44"/>
      <c r="B912" s="44"/>
      <c r="C912" s="44"/>
      <c r="D912" s="44"/>
      <c r="E912" s="44"/>
      <c r="F912" s="44"/>
      <c r="G912" s="44"/>
      <c r="H912" s="44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  <c r="AA912" s="44"/>
    </row>
    <row r="913" spans="1:27" ht="13">
      <c r="A913" s="44"/>
      <c r="B913" s="44"/>
      <c r="C913" s="44"/>
      <c r="D913" s="44"/>
      <c r="E913" s="44"/>
      <c r="F913" s="44"/>
      <c r="G913" s="44"/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  <c r="AA913" s="44"/>
    </row>
    <row r="914" spans="1:27" ht="13">
      <c r="A914" s="44"/>
      <c r="B914" s="44"/>
      <c r="C914" s="44"/>
      <c r="D914" s="44"/>
      <c r="E914" s="44"/>
      <c r="F914" s="44"/>
      <c r="G914" s="44"/>
      <c r="H914" s="44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  <c r="Z914" s="44"/>
      <c r="AA914" s="44"/>
    </row>
    <row r="915" spans="1:27" ht="13">
      <c r="A915" s="44"/>
      <c r="B915" s="44"/>
      <c r="C915" s="44"/>
      <c r="D915" s="44"/>
      <c r="E915" s="44"/>
      <c r="F915" s="44"/>
      <c r="G915" s="44"/>
      <c r="H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  <c r="AA915" s="44"/>
    </row>
    <row r="916" spans="1:27" ht="13">
      <c r="A916" s="44"/>
      <c r="B916" s="44"/>
      <c r="C916" s="44"/>
      <c r="D916" s="44"/>
      <c r="E916" s="44"/>
      <c r="F916" s="44"/>
      <c r="G916" s="44"/>
      <c r="H916" s="44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  <c r="AA916" s="44"/>
    </row>
    <row r="917" spans="1:27" ht="13">
      <c r="A917" s="44"/>
      <c r="B917" s="44"/>
      <c r="C917" s="44"/>
      <c r="D917" s="44"/>
      <c r="E917" s="44"/>
      <c r="F917" s="44"/>
      <c r="G917" s="44"/>
      <c r="H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  <c r="AA917" s="44"/>
    </row>
    <row r="918" spans="1:27" ht="13">
      <c r="A918" s="44"/>
      <c r="B918" s="44"/>
      <c r="C918" s="44"/>
      <c r="D918" s="44"/>
      <c r="E918" s="44"/>
      <c r="F918" s="44"/>
      <c r="G918" s="44"/>
      <c r="H918" s="44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  <c r="Z918" s="44"/>
      <c r="AA918" s="44"/>
    </row>
    <row r="919" spans="1:27" ht="13">
      <c r="A919" s="44"/>
      <c r="B919" s="44"/>
      <c r="C919" s="44"/>
      <c r="D919" s="44"/>
      <c r="E919" s="44"/>
      <c r="F919" s="44"/>
      <c r="G919" s="44"/>
      <c r="H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  <c r="AA919" s="44"/>
    </row>
    <row r="920" spans="1:27" ht="13">
      <c r="A920" s="44"/>
      <c r="B920" s="44"/>
      <c r="C920" s="44"/>
      <c r="D920" s="44"/>
      <c r="E920" s="44"/>
      <c r="F920" s="44"/>
      <c r="G920" s="44"/>
      <c r="H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  <c r="AA920" s="44"/>
    </row>
    <row r="921" spans="1:27" ht="13">
      <c r="A921" s="44"/>
      <c r="B921" s="44"/>
      <c r="C921" s="44"/>
      <c r="D921" s="44"/>
      <c r="E921" s="44"/>
      <c r="F921" s="44"/>
      <c r="G921" s="44"/>
      <c r="H921" s="44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  <c r="AA921" s="44"/>
    </row>
    <row r="922" spans="1:27" ht="13">
      <c r="A922" s="44"/>
      <c r="B922" s="44"/>
      <c r="C922" s="44"/>
      <c r="D922" s="44"/>
      <c r="E922" s="44"/>
      <c r="F922" s="44"/>
      <c r="G922" s="44"/>
      <c r="H922" s="44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  <c r="Z922" s="44"/>
      <c r="AA922" s="44"/>
    </row>
    <row r="923" spans="1:27" ht="13">
      <c r="A923" s="44"/>
      <c r="B923" s="44"/>
      <c r="C923" s="44"/>
      <c r="D923" s="44"/>
      <c r="E923" s="44"/>
      <c r="F923" s="44"/>
      <c r="G923" s="44"/>
      <c r="H923" s="44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  <c r="AA923" s="44"/>
    </row>
    <row r="924" spans="1:27" ht="13">
      <c r="A924" s="44"/>
      <c r="B924" s="44"/>
      <c r="C924" s="44"/>
      <c r="D924" s="44"/>
      <c r="E924" s="44"/>
      <c r="F924" s="44"/>
      <c r="G924" s="44"/>
      <c r="H924" s="44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  <c r="Z924" s="44"/>
      <c r="AA924" s="44"/>
    </row>
    <row r="925" spans="1:27" ht="13">
      <c r="A925" s="44"/>
      <c r="B925" s="44"/>
      <c r="C925" s="44"/>
      <c r="D925" s="44"/>
      <c r="E925" s="44"/>
      <c r="F925" s="44"/>
      <c r="G925" s="44"/>
      <c r="H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  <c r="AA925" s="44"/>
    </row>
    <row r="926" spans="1:27" ht="13">
      <c r="A926" s="44"/>
      <c r="B926" s="44"/>
      <c r="C926" s="44"/>
      <c r="D926" s="44"/>
      <c r="E926" s="44"/>
      <c r="F926" s="44"/>
      <c r="G926" s="44"/>
      <c r="H926" s="44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  <c r="Z926" s="44"/>
      <c r="AA926" s="44"/>
    </row>
    <row r="927" spans="1:27" ht="13">
      <c r="A927" s="44"/>
      <c r="B927" s="44"/>
      <c r="C927" s="44"/>
      <c r="D927" s="44"/>
      <c r="E927" s="44"/>
      <c r="F927" s="44"/>
      <c r="G927" s="44"/>
      <c r="H927" s="44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  <c r="AA927" s="44"/>
    </row>
    <row r="928" spans="1:27" ht="13">
      <c r="A928" s="44"/>
      <c r="B928" s="44"/>
      <c r="C928" s="44"/>
      <c r="D928" s="44"/>
      <c r="E928" s="44"/>
      <c r="F928" s="44"/>
      <c r="G928" s="44"/>
      <c r="H928" s="44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  <c r="Z928" s="44"/>
      <c r="AA928" s="44"/>
    </row>
    <row r="929" spans="1:27" ht="13">
      <c r="A929" s="44"/>
      <c r="B929" s="44"/>
      <c r="C929" s="44"/>
      <c r="D929" s="44"/>
      <c r="E929" s="44"/>
      <c r="F929" s="44"/>
      <c r="G929" s="44"/>
      <c r="H929" s="44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  <c r="AA929" s="44"/>
    </row>
    <row r="930" spans="1:27" ht="13">
      <c r="A930" s="44"/>
      <c r="B930" s="44"/>
      <c r="C930" s="44"/>
      <c r="D930" s="44"/>
      <c r="E930" s="44"/>
      <c r="F930" s="44"/>
      <c r="G930" s="44"/>
      <c r="H930" s="44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  <c r="Z930" s="44"/>
      <c r="AA930" s="44"/>
    </row>
    <row r="931" spans="1:27" ht="13">
      <c r="A931" s="44"/>
      <c r="B931" s="44"/>
      <c r="C931" s="44"/>
      <c r="D931" s="44"/>
      <c r="E931" s="44"/>
      <c r="F931" s="44"/>
      <c r="G931" s="44"/>
      <c r="H931" s="44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  <c r="AA931" s="44"/>
    </row>
    <row r="932" spans="1:27" ht="13">
      <c r="A932" s="44"/>
      <c r="B932" s="44"/>
      <c r="C932" s="44"/>
      <c r="D932" s="44"/>
      <c r="E932" s="44"/>
      <c r="F932" s="44"/>
      <c r="G932" s="44"/>
      <c r="H932" s="44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  <c r="Z932" s="44"/>
      <c r="AA932" s="44"/>
    </row>
    <row r="933" spans="1:27" ht="13">
      <c r="A933" s="44"/>
      <c r="B933" s="44"/>
      <c r="C933" s="44"/>
      <c r="D933" s="44"/>
      <c r="E933" s="44"/>
      <c r="F933" s="44"/>
      <c r="G933" s="44"/>
      <c r="H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  <c r="AA933" s="44"/>
    </row>
    <row r="934" spans="1:27" ht="13">
      <c r="A934" s="44"/>
      <c r="B934" s="44"/>
      <c r="C934" s="44"/>
      <c r="D934" s="44"/>
      <c r="E934" s="44"/>
      <c r="F934" s="44"/>
      <c r="G934" s="44"/>
      <c r="H934" s="44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  <c r="Z934" s="44"/>
      <c r="AA934" s="44"/>
    </row>
    <row r="935" spans="1:27" ht="13">
      <c r="A935" s="44"/>
      <c r="B935" s="44"/>
      <c r="C935" s="44"/>
      <c r="D935" s="44"/>
      <c r="E935" s="44"/>
      <c r="F935" s="44"/>
      <c r="G935" s="44"/>
      <c r="H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  <c r="AA935" s="44"/>
    </row>
    <row r="936" spans="1:27" ht="13">
      <c r="A936" s="44"/>
      <c r="B936" s="44"/>
      <c r="C936" s="44"/>
      <c r="D936" s="44"/>
      <c r="E936" s="44"/>
      <c r="F936" s="44"/>
      <c r="G936" s="44"/>
      <c r="H936" s="44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  <c r="Z936" s="44"/>
      <c r="AA936" s="44"/>
    </row>
    <row r="937" spans="1:27" ht="13">
      <c r="A937" s="44"/>
      <c r="B937" s="44"/>
      <c r="C937" s="44"/>
      <c r="D937" s="44"/>
      <c r="E937" s="44"/>
      <c r="F937" s="44"/>
      <c r="G937" s="44"/>
      <c r="H937" s="44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  <c r="Z937" s="44"/>
      <c r="AA937" s="44"/>
    </row>
    <row r="938" spans="1:27" ht="13">
      <c r="A938" s="44"/>
      <c r="B938" s="44"/>
      <c r="C938" s="44"/>
      <c r="D938" s="44"/>
      <c r="E938" s="44"/>
      <c r="F938" s="44"/>
      <c r="G938" s="44"/>
      <c r="H938" s="44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  <c r="Z938" s="44"/>
      <c r="AA938" s="44"/>
    </row>
    <row r="939" spans="1:27" ht="13">
      <c r="A939" s="44"/>
      <c r="B939" s="44"/>
      <c r="C939" s="44"/>
      <c r="D939" s="44"/>
      <c r="E939" s="44"/>
      <c r="F939" s="44"/>
      <c r="G939" s="44"/>
      <c r="H939" s="44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  <c r="Z939" s="44"/>
      <c r="AA939" s="44"/>
    </row>
    <row r="940" spans="1:27" ht="13">
      <c r="A940" s="44"/>
      <c r="B940" s="44"/>
      <c r="C940" s="44"/>
      <c r="D940" s="44"/>
      <c r="E940" s="44"/>
      <c r="F940" s="44"/>
      <c r="G940" s="44"/>
      <c r="H940" s="44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  <c r="Z940" s="44"/>
      <c r="AA940" s="44"/>
    </row>
    <row r="941" spans="1:27" ht="13">
      <c r="A941" s="44"/>
      <c r="B941" s="44"/>
      <c r="C941" s="44"/>
      <c r="D941" s="44"/>
      <c r="E941" s="44"/>
      <c r="F941" s="44"/>
      <c r="G941" s="44"/>
      <c r="H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  <c r="AA941" s="44"/>
    </row>
    <row r="942" spans="1:27" ht="13">
      <c r="A942" s="44"/>
      <c r="B942" s="44"/>
      <c r="C942" s="44"/>
      <c r="D942" s="44"/>
      <c r="E942" s="44"/>
      <c r="F942" s="44"/>
      <c r="G942" s="44"/>
      <c r="H942" s="44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  <c r="Z942" s="44"/>
      <c r="AA942" s="44"/>
    </row>
    <row r="943" spans="1:27" ht="13">
      <c r="A943" s="44"/>
      <c r="B943" s="44"/>
      <c r="C943" s="44"/>
      <c r="D943" s="44"/>
      <c r="E943" s="44"/>
      <c r="F943" s="44"/>
      <c r="G943" s="44"/>
      <c r="H943" s="44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  <c r="Z943" s="44"/>
      <c r="AA943" s="44"/>
    </row>
    <row r="944" spans="1:27" ht="13">
      <c r="A944" s="44"/>
      <c r="B944" s="44"/>
      <c r="C944" s="44"/>
      <c r="D944" s="44"/>
      <c r="E944" s="44"/>
      <c r="F944" s="44"/>
      <c r="G944" s="44"/>
      <c r="H944" s="44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  <c r="Z944" s="44"/>
      <c r="AA944" s="44"/>
    </row>
    <row r="945" spans="1:27" ht="13">
      <c r="A945" s="44"/>
      <c r="B945" s="44"/>
      <c r="C945" s="44"/>
      <c r="D945" s="44"/>
      <c r="E945" s="44"/>
      <c r="F945" s="44"/>
      <c r="G945" s="44"/>
      <c r="H945" s="44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  <c r="Z945" s="44"/>
      <c r="AA945" s="44"/>
    </row>
    <row r="946" spans="1:27" ht="13">
      <c r="A946" s="44"/>
      <c r="B946" s="44"/>
      <c r="C946" s="44"/>
      <c r="D946" s="44"/>
      <c r="E946" s="44"/>
      <c r="F946" s="44"/>
      <c r="G946" s="44"/>
      <c r="H946" s="44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  <c r="Z946" s="44"/>
      <c r="AA946" s="44"/>
    </row>
    <row r="947" spans="1:27" ht="13">
      <c r="A947" s="44"/>
      <c r="B947" s="44"/>
      <c r="C947" s="44"/>
      <c r="D947" s="44"/>
      <c r="E947" s="44"/>
      <c r="F947" s="44"/>
      <c r="G947" s="44"/>
      <c r="H947" s="44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  <c r="Z947" s="44"/>
      <c r="AA947" s="44"/>
    </row>
    <row r="948" spans="1:27" ht="13">
      <c r="A948" s="44"/>
      <c r="B948" s="44"/>
      <c r="C948" s="44"/>
      <c r="D948" s="44"/>
      <c r="E948" s="44"/>
      <c r="F948" s="44"/>
      <c r="G948" s="44"/>
      <c r="H948" s="44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  <c r="Z948" s="44"/>
      <c r="AA948" s="44"/>
    </row>
    <row r="949" spans="1:27" ht="13">
      <c r="A949" s="44"/>
      <c r="B949" s="44"/>
      <c r="C949" s="44"/>
      <c r="D949" s="44"/>
      <c r="E949" s="44"/>
      <c r="F949" s="44"/>
      <c r="G949" s="44"/>
      <c r="H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  <c r="AA949" s="44"/>
    </row>
    <row r="950" spans="1:27" ht="13">
      <c r="A950" s="44"/>
      <c r="B950" s="44"/>
      <c r="C950" s="44"/>
      <c r="D950" s="44"/>
      <c r="E950" s="44"/>
      <c r="F950" s="44"/>
      <c r="G950" s="44"/>
      <c r="H950" s="44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  <c r="Z950" s="44"/>
      <c r="AA950" s="44"/>
    </row>
    <row r="951" spans="1:27" ht="13">
      <c r="A951" s="44"/>
      <c r="B951" s="44"/>
      <c r="C951" s="44"/>
      <c r="D951" s="44"/>
      <c r="E951" s="44"/>
      <c r="F951" s="44"/>
      <c r="G951" s="44"/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  <c r="AA951" s="44"/>
    </row>
    <row r="952" spans="1:27" ht="13">
      <c r="A952" s="44"/>
      <c r="B952" s="44"/>
      <c r="C952" s="44"/>
      <c r="D952" s="44"/>
      <c r="E952" s="44"/>
      <c r="F952" s="44"/>
      <c r="G952" s="44"/>
      <c r="H952" s="44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  <c r="Z952" s="44"/>
      <c r="AA952" s="44"/>
    </row>
    <row r="953" spans="1:27" ht="13">
      <c r="A953" s="44"/>
      <c r="B953" s="44"/>
      <c r="C953" s="44"/>
      <c r="D953" s="44"/>
      <c r="E953" s="44"/>
      <c r="F953" s="44"/>
      <c r="G953" s="44"/>
      <c r="H953" s="44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  <c r="Z953" s="44"/>
      <c r="AA953" s="44"/>
    </row>
    <row r="954" spans="1:27" ht="13">
      <c r="A954" s="44"/>
      <c r="B954" s="44"/>
      <c r="C954" s="44"/>
      <c r="D954" s="44"/>
      <c r="E954" s="44"/>
      <c r="F954" s="44"/>
      <c r="G954" s="44"/>
      <c r="H954" s="44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  <c r="Z954" s="44"/>
      <c r="AA954" s="44"/>
    </row>
    <row r="955" spans="1:27" ht="13">
      <c r="A955" s="44"/>
      <c r="B955" s="44"/>
      <c r="C955" s="44"/>
      <c r="D955" s="44"/>
      <c r="E955" s="44"/>
      <c r="F955" s="44"/>
      <c r="G955" s="44"/>
      <c r="H955" s="44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  <c r="Z955" s="44"/>
      <c r="AA955" s="44"/>
    </row>
    <row r="956" spans="1:27" ht="13">
      <c r="A956" s="44"/>
      <c r="B956" s="44"/>
      <c r="C956" s="44"/>
      <c r="D956" s="44"/>
      <c r="E956" s="44"/>
      <c r="F956" s="44"/>
      <c r="G956" s="44"/>
      <c r="H956" s="44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  <c r="Z956" s="44"/>
      <c r="AA956" s="44"/>
    </row>
    <row r="957" spans="1:27" ht="13">
      <c r="A957" s="44"/>
      <c r="B957" s="44"/>
      <c r="C957" s="44"/>
      <c r="D957" s="44"/>
      <c r="E957" s="44"/>
      <c r="F957" s="44"/>
      <c r="G957" s="44"/>
      <c r="H957" s="44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  <c r="Z957" s="44"/>
      <c r="AA957" s="44"/>
    </row>
    <row r="958" spans="1:27" ht="13">
      <c r="A958" s="44"/>
      <c r="B958" s="44"/>
      <c r="C958" s="44"/>
      <c r="D958" s="44"/>
      <c r="E958" s="44"/>
      <c r="F958" s="44"/>
      <c r="G958" s="44"/>
      <c r="H958" s="44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  <c r="Z958" s="44"/>
      <c r="AA958" s="44"/>
    </row>
    <row r="959" spans="1:27" ht="13">
      <c r="A959" s="44"/>
      <c r="B959" s="44"/>
      <c r="C959" s="44"/>
      <c r="D959" s="44"/>
      <c r="E959" s="44"/>
      <c r="F959" s="44"/>
      <c r="G959" s="44"/>
      <c r="H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  <c r="AA959" s="44"/>
    </row>
    <row r="960" spans="1:27" ht="13">
      <c r="A960" s="44"/>
      <c r="B960" s="44"/>
      <c r="C960" s="44"/>
      <c r="D960" s="44"/>
      <c r="E960" s="44"/>
      <c r="F960" s="44"/>
      <c r="G960" s="44"/>
      <c r="H960" s="44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  <c r="Z960" s="44"/>
      <c r="AA960" s="44"/>
    </row>
    <row r="961" spans="1:27" ht="13">
      <c r="A961" s="44"/>
      <c r="B961" s="44"/>
      <c r="C961" s="44"/>
      <c r="D961" s="44"/>
      <c r="E961" s="44"/>
      <c r="F961" s="44"/>
      <c r="G961" s="44"/>
      <c r="H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  <c r="AA961" s="44"/>
    </row>
    <row r="962" spans="1:27" ht="13">
      <c r="A962" s="44"/>
      <c r="B962" s="44"/>
      <c r="C962" s="44"/>
      <c r="D962" s="44"/>
      <c r="E962" s="44"/>
      <c r="F962" s="44"/>
      <c r="G962" s="44"/>
      <c r="H962" s="44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  <c r="Z962" s="44"/>
      <c r="AA962" s="44"/>
    </row>
    <row r="963" spans="1:27" ht="13">
      <c r="A963" s="44"/>
      <c r="B963" s="44"/>
      <c r="C963" s="44"/>
      <c r="D963" s="44"/>
      <c r="E963" s="44"/>
      <c r="F963" s="44"/>
      <c r="G963" s="44"/>
      <c r="H963" s="44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  <c r="Z963" s="44"/>
      <c r="AA963" s="44"/>
    </row>
    <row r="964" spans="1:27" ht="13">
      <c r="A964" s="44"/>
      <c r="B964" s="44"/>
      <c r="C964" s="44"/>
      <c r="D964" s="44"/>
      <c r="E964" s="44"/>
      <c r="F964" s="44"/>
      <c r="G964" s="44"/>
      <c r="H964" s="44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  <c r="Z964" s="44"/>
      <c r="AA964" s="44"/>
    </row>
    <row r="965" spans="1:27" ht="13">
      <c r="A965" s="44"/>
      <c r="B965" s="44"/>
      <c r="C965" s="44"/>
      <c r="D965" s="44"/>
      <c r="E965" s="44"/>
      <c r="F965" s="44"/>
      <c r="G965" s="44"/>
      <c r="H965" s="44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  <c r="Z965" s="44"/>
      <c r="AA965" s="44"/>
    </row>
    <row r="966" spans="1:27" ht="13">
      <c r="A966" s="44"/>
      <c r="B966" s="44"/>
      <c r="C966" s="44"/>
      <c r="D966" s="44"/>
      <c r="E966" s="44"/>
      <c r="F966" s="44"/>
      <c r="G966" s="44"/>
      <c r="H966" s="44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  <c r="Z966" s="44"/>
      <c r="AA966" s="44"/>
    </row>
    <row r="967" spans="1:27" ht="13">
      <c r="A967" s="44"/>
      <c r="B967" s="44"/>
      <c r="C967" s="44"/>
      <c r="D967" s="44"/>
      <c r="E967" s="44"/>
      <c r="F967" s="44"/>
      <c r="G967" s="44"/>
      <c r="H967" s="44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  <c r="Z967" s="44"/>
      <c r="AA967" s="44"/>
    </row>
    <row r="968" spans="1:27" ht="13">
      <c r="A968" s="44"/>
      <c r="B968" s="44"/>
      <c r="C968" s="44"/>
      <c r="D968" s="44"/>
      <c r="E968" s="44"/>
      <c r="F968" s="44"/>
      <c r="G968" s="44"/>
      <c r="H968" s="44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  <c r="Z968" s="44"/>
      <c r="AA968" s="44"/>
    </row>
    <row r="969" spans="1:27" ht="13">
      <c r="A969" s="44"/>
      <c r="B969" s="44"/>
      <c r="C969" s="44"/>
      <c r="D969" s="44"/>
      <c r="E969" s="44"/>
      <c r="F969" s="44"/>
      <c r="G969" s="44"/>
      <c r="H969" s="44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  <c r="Z969" s="44"/>
      <c r="AA969" s="44"/>
    </row>
    <row r="970" spans="1:27" ht="13">
      <c r="A970" s="44"/>
      <c r="B970" s="44"/>
      <c r="C970" s="44"/>
      <c r="D970" s="44"/>
      <c r="E970" s="44"/>
      <c r="F970" s="44"/>
      <c r="G970" s="44"/>
      <c r="H970" s="44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  <c r="Z970" s="44"/>
      <c r="AA970" s="44"/>
    </row>
    <row r="971" spans="1:27" ht="13">
      <c r="A971" s="44"/>
      <c r="B971" s="44"/>
      <c r="C971" s="44"/>
      <c r="D971" s="44"/>
      <c r="E971" s="44"/>
      <c r="F971" s="44"/>
      <c r="G971" s="44"/>
      <c r="H971" s="44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  <c r="Z971" s="44"/>
      <c r="AA971" s="44"/>
    </row>
    <row r="972" spans="1:27" ht="13">
      <c r="A972" s="44"/>
      <c r="B972" s="44"/>
      <c r="C972" s="44"/>
      <c r="D972" s="44"/>
      <c r="E972" s="44"/>
      <c r="F972" s="44"/>
      <c r="G972" s="44"/>
      <c r="H972" s="44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  <c r="Z972" s="44"/>
      <c r="AA972" s="44"/>
    </row>
    <row r="973" spans="1:27" ht="13">
      <c r="A973" s="44"/>
      <c r="B973" s="44"/>
      <c r="C973" s="44"/>
      <c r="D973" s="44"/>
      <c r="E973" s="44"/>
      <c r="F973" s="44"/>
      <c r="G973" s="44"/>
      <c r="H973" s="44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  <c r="Z973" s="44"/>
      <c r="AA973" s="44"/>
    </row>
    <row r="974" spans="1:27" ht="13">
      <c r="A974" s="44"/>
      <c r="B974" s="44"/>
      <c r="C974" s="44"/>
      <c r="D974" s="44"/>
      <c r="E974" s="44"/>
      <c r="F974" s="44"/>
      <c r="G974" s="44"/>
      <c r="H974" s="44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  <c r="Z974" s="44"/>
      <c r="AA974" s="44"/>
    </row>
    <row r="975" spans="1:27" ht="13">
      <c r="A975" s="44"/>
      <c r="B975" s="44"/>
      <c r="C975" s="44"/>
      <c r="D975" s="44"/>
      <c r="E975" s="44"/>
      <c r="F975" s="44"/>
      <c r="G975" s="44"/>
      <c r="H975" s="44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  <c r="Z975" s="44"/>
      <c r="AA975" s="44"/>
    </row>
    <row r="976" spans="1:27" ht="13">
      <c r="A976" s="44"/>
      <c r="B976" s="44"/>
      <c r="C976" s="44"/>
      <c r="D976" s="44"/>
      <c r="E976" s="44"/>
      <c r="F976" s="44"/>
      <c r="G976" s="44"/>
      <c r="H976" s="44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  <c r="Z976" s="44"/>
      <c r="AA976" s="44"/>
    </row>
    <row r="977" spans="1:27" ht="13">
      <c r="A977" s="44"/>
      <c r="B977" s="44"/>
      <c r="C977" s="44"/>
      <c r="D977" s="44"/>
      <c r="E977" s="44"/>
      <c r="F977" s="44"/>
      <c r="G977" s="44"/>
      <c r="H977" s="44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  <c r="Z977" s="44"/>
      <c r="AA977" s="44"/>
    </row>
    <row r="978" spans="1:27" ht="13">
      <c r="A978" s="44"/>
      <c r="B978" s="44"/>
      <c r="C978" s="44"/>
      <c r="D978" s="44"/>
      <c r="E978" s="44"/>
      <c r="F978" s="44"/>
      <c r="G978" s="44"/>
      <c r="H978" s="44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  <c r="Z978" s="44"/>
      <c r="AA978" s="44"/>
    </row>
    <row r="979" spans="1:27" ht="13">
      <c r="A979" s="44"/>
      <c r="B979" s="44"/>
      <c r="C979" s="44"/>
      <c r="D979" s="44"/>
      <c r="E979" s="44"/>
      <c r="F979" s="44"/>
      <c r="G979" s="44"/>
      <c r="H979" s="44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  <c r="Z979" s="44"/>
      <c r="AA979" s="44"/>
    </row>
    <row r="980" spans="1:27" ht="13">
      <c r="A980" s="44"/>
      <c r="B980" s="44"/>
      <c r="C980" s="44"/>
      <c r="D980" s="44"/>
      <c r="E980" s="44"/>
      <c r="F980" s="44"/>
      <c r="G980" s="44"/>
      <c r="H980" s="44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  <c r="Z980" s="44"/>
      <c r="AA980" s="44"/>
    </row>
    <row r="981" spans="1:27" ht="13">
      <c r="A981" s="44"/>
      <c r="B981" s="44"/>
      <c r="C981" s="44"/>
      <c r="D981" s="44"/>
      <c r="E981" s="44"/>
      <c r="F981" s="44"/>
      <c r="G981" s="44"/>
      <c r="H981" s="44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  <c r="Z981" s="44"/>
      <c r="AA981" s="44"/>
    </row>
    <row r="982" spans="1:27" ht="13">
      <c r="A982" s="44"/>
      <c r="B982" s="44"/>
      <c r="C982" s="44"/>
      <c r="D982" s="44"/>
      <c r="E982" s="44"/>
      <c r="F982" s="44"/>
      <c r="G982" s="44"/>
      <c r="H982" s="44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  <c r="Z982" s="44"/>
      <c r="AA982" s="44"/>
    </row>
    <row r="983" spans="1:27" ht="13">
      <c r="A983" s="44"/>
      <c r="B983" s="44"/>
      <c r="C983" s="44"/>
      <c r="D983" s="44"/>
      <c r="E983" s="44"/>
      <c r="F983" s="44"/>
      <c r="G983" s="44"/>
      <c r="H983" s="44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  <c r="Z983" s="44"/>
      <c r="AA983" s="44"/>
    </row>
    <row r="984" spans="1:27" ht="13">
      <c r="A984" s="44"/>
      <c r="B984" s="44"/>
      <c r="C984" s="44"/>
      <c r="D984" s="44"/>
      <c r="E984" s="44"/>
      <c r="F984" s="44"/>
      <c r="G984" s="44"/>
      <c r="H984" s="44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  <c r="Z984" s="44"/>
      <c r="AA984" s="44"/>
    </row>
    <row r="985" spans="1:27" ht="13">
      <c r="A985" s="44"/>
      <c r="B985" s="44"/>
      <c r="C985" s="44"/>
      <c r="D985" s="44"/>
      <c r="E985" s="44"/>
      <c r="F985" s="44"/>
      <c r="G985" s="44"/>
      <c r="H985" s="44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  <c r="Z985" s="44"/>
      <c r="AA985" s="44"/>
    </row>
    <row r="986" spans="1:27" ht="13">
      <c r="A986" s="44"/>
      <c r="B986" s="44"/>
      <c r="C986" s="44"/>
      <c r="D986" s="44"/>
      <c r="E986" s="44"/>
      <c r="F986" s="44"/>
      <c r="G986" s="44"/>
      <c r="H986" s="44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  <c r="Z986" s="44"/>
      <c r="AA986" s="44"/>
    </row>
    <row r="987" spans="1:27" ht="13">
      <c r="A987" s="44"/>
      <c r="B987" s="44"/>
      <c r="C987" s="44"/>
      <c r="D987" s="44"/>
      <c r="E987" s="44"/>
      <c r="F987" s="44"/>
      <c r="G987" s="44"/>
      <c r="H987" s="44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  <c r="Z987" s="44"/>
      <c r="AA987" s="44"/>
    </row>
    <row r="988" spans="1:27" ht="13">
      <c r="A988" s="44"/>
      <c r="B988" s="44"/>
      <c r="C988" s="44"/>
      <c r="D988" s="44"/>
      <c r="E988" s="44"/>
      <c r="F988" s="44"/>
      <c r="G988" s="44"/>
      <c r="H988" s="44"/>
      <c r="I988" s="44"/>
      <c r="J988" s="44"/>
      <c r="K988" s="44"/>
      <c r="L988" s="44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  <c r="Z988" s="44"/>
      <c r="AA988" s="44"/>
    </row>
    <row r="989" spans="1:27" ht="13">
      <c r="A989" s="44"/>
      <c r="B989" s="44"/>
      <c r="C989" s="44"/>
      <c r="D989" s="44"/>
      <c r="E989" s="44"/>
      <c r="F989" s="44"/>
      <c r="G989" s="44"/>
      <c r="H989" s="44"/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  <c r="Z989" s="44"/>
      <c r="AA989" s="44"/>
    </row>
    <row r="990" spans="1:27" ht="13">
      <c r="A990" s="44"/>
      <c r="B990" s="44"/>
      <c r="C990" s="44"/>
      <c r="D990" s="44"/>
      <c r="E990" s="44"/>
      <c r="F990" s="44"/>
      <c r="G990" s="44"/>
      <c r="H990" s="44"/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  <c r="Z990" s="44"/>
      <c r="AA990" s="44"/>
    </row>
    <row r="991" spans="1:27" ht="13">
      <c r="A991" s="44"/>
      <c r="B991" s="44"/>
      <c r="C991" s="44"/>
      <c r="D991" s="44"/>
      <c r="E991" s="44"/>
      <c r="F991" s="44"/>
      <c r="G991" s="44"/>
      <c r="H991" s="44"/>
      <c r="I991" s="44"/>
      <c r="J991" s="44"/>
      <c r="K991" s="44"/>
      <c r="L991" s="44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  <c r="Z991" s="44"/>
      <c r="AA991" s="44"/>
    </row>
    <row r="992" spans="1:27" ht="13">
      <c r="A992" s="44"/>
      <c r="B992" s="44"/>
      <c r="C992" s="44"/>
      <c r="D992" s="44"/>
      <c r="E992" s="44"/>
      <c r="F992" s="44"/>
      <c r="G992" s="44"/>
      <c r="H992" s="44"/>
      <c r="I992" s="44"/>
      <c r="J992" s="44"/>
      <c r="K992" s="44"/>
      <c r="L992" s="44"/>
      <c r="M992" s="44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  <c r="Y992" s="44"/>
      <c r="Z992" s="44"/>
      <c r="AA992" s="44"/>
    </row>
    <row r="993" spans="1:27" ht="13">
      <c r="A993" s="44"/>
      <c r="B993" s="44"/>
      <c r="C993" s="44"/>
      <c r="D993" s="44"/>
      <c r="E993" s="44"/>
      <c r="F993" s="44"/>
      <c r="G993" s="44"/>
      <c r="H993" s="44"/>
      <c r="I993" s="44"/>
      <c r="J993" s="44"/>
      <c r="K993" s="44"/>
      <c r="L993" s="44"/>
      <c r="M993" s="44"/>
      <c r="N993" s="44"/>
      <c r="O993" s="44"/>
      <c r="P993" s="44"/>
      <c r="Q993" s="44"/>
      <c r="R993" s="44"/>
      <c r="S993" s="44"/>
      <c r="T993" s="44"/>
      <c r="U993" s="44"/>
      <c r="V993" s="44"/>
      <c r="W993" s="44"/>
      <c r="X993" s="44"/>
      <c r="Y993" s="44"/>
      <c r="Z993" s="44"/>
      <c r="AA993" s="44"/>
    </row>
    <row r="994" spans="1:27" ht="13">
      <c r="A994" s="44"/>
      <c r="B994" s="44"/>
      <c r="C994" s="44"/>
      <c r="D994" s="44"/>
      <c r="E994" s="44"/>
      <c r="F994" s="44"/>
      <c r="G994" s="44"/>
      <c r="H994" s="44"/>
      <c r="I994" s="44"/>
      <c r="J994" s="44"/>
      <c r="K994" s="44"/>
      <c r="L994" s="44"/>
      <c r="M994" s="44"/>
      <c r="N994" s="44"/>
      <c r="O994" s="44"/>
      <c r="P994" s="44"/>
      <c r="Q994" s="44"/>
      <c r="R994" s="44"/>
      <c r="S994" s="44"/>
      <c r="T994" s="44"/>
      <c r="U994" s="44"/>
      <c r="V994" s="44"/>
      <c r="W994" s="44"/>
      <c r="X994" s="44"/>
      <c r="Y994" s="44"/>
      <c r="Z994" s="44"/>
      <c r="AA994" s="44"/>
    </row>
    <row r="995" spans="1:27" ht="13">
      <c r="A995" s="44"/>
      <c r="B995" s="44"/>
      <c r="C995" s="44"/>
      <c r="D995" s="44"/>
      <c r="E995" s="44"/>
      <c r="F995" s="44"/>
      <c r="G995" s="44"/>
      <c r="H995" s="44"/>
      <c r="I995" s="44"/>
      <c r="J995" s="44"/>
      <c r="K995" s="44"/>
      <c r="L995" s="44"/>
      <c r="M995" s="44"/>
      <c r="N995" s="44"/>
      <c r="O995" s="44"/>
      <c r="P995" s="44"/>
      <c r="Q995" s="44"/>
      <c r="R995" s="44"/>
      <c r="S995" s="44"/>
      <c r="T995" s="44"/>
      <c r="U995" s="44"/>
      <c r="V995" s="44"/>
      <c r="W995" s="44"/>
      <c r="X995" s="44"/>
      <c r="Y995" s="44"/>
      <c r="Z995" s="44"/>
      <c r="AA995" s="44"/>
    </row>
    <row r="996" spans="1:27" ht="13">
      <c r="A996" s="44"/>
      <c r="B996" s="44"/>
      <c r="C996" s="44"/>
      <c r="D996" s="44"/>
      <c r="E996" s="44"/>
      <c r="F996" s="44"/>
      <c r="G996" s="44"/>
      <c r="H996" s="44"/>
      <c r="I996" s="44"/>
      <c r="J996" s="44"/>
      <c r="K996" s="44"/>
      <c r="L996" s="44"/>
      <c r="M996" s="44"/>
      <c r="N996" s="44"/>
      <c r="O996" s="44"/>
      <c r="P996" s="44"/>
      <c r="Q996" s="44"/>
      <c r="R996" s="44"/>
      <c r="S996" s="44"/>
      <c r="T996" s="44"/>
      <c r="U996" s="44"/>
      <c r="V996" s="44"/>
      <c r="W996" s="44"/>
      <c r="X996" s="44"/>
      <c r="Y996" s="44"/>
      <c r="Z996" s="44"/>
      <c r="AA996" s="44"/>
    </row>
    <row r="997" spans="1:27" ht="13">
      <c r="A997" s="44"/>
      <c r="B997" s="44"/>
      <c r="C997" s="44"/>
      <c r="D997" s="44"/>
      <c r="E997" s="44"/>
      <c r="F997" s="44"/>
      <c r="G997" s="44"/>
      <c r="H997" s="44"/>
      <c r="I997" s="44"/>
      <c r="J997" s="44"/>
      <c r="K997" s="44"/>
      <c r="L997" s="44"/>
      <c r="M997" s="44"/>
      <c r="N997" s="44"/>
      <c r="O997" s="44"/>
      <c r="P997" s="44"/>
      <c r="Q997" s="44"/>
      <c r="R997" s="44"/>
      <c r="S997" s="44"/>
      <c r="T997" s="44"/>
      <c r="U997" s="44"/>
      <c r="V997" s="44"/>
      <c r="W997" s="44"/>
      <c r="X997" s="44"/>
      <c r="Y997" s="44"/>
      <c r="Z997" s="44"/>
      <c r="AA997" s="44"/>
    </row>
    <row r="998" spans="1:27" ht="13">
      <c r="A998" s="44"/>
      <c r="B998" s="44"/>
      <c r="C998" s="44"/>
      <c r="D998" s="44"/>
      <c r="E998" s="44"/>
      <c r="F998" s="44"/>
      <c r="G998" s="44"/>
      <c r="H998" s="44"/>
      <c r="I998" s="44"/>
      <c r="J998" s="44"/>
      <c r="K998" s="44"/>
      <c r="L998" s="44"/>
      <c r="M998" s="44"/>
      <c r="N998" s="44"/>
      <c r="O998" s="44"/>
      <c r="P998" s="44"/>
      <c r="Q998" s="44"/>
      <c r="R998" s="44"/>
      <c r="S998" s="44"/>
      <c r="T998" s="44"/>
      <c r="U998" s="44"/>
      <c r="V998" s="44"/>
      <c r="W998" s="44"/>
      <c r="X998" s="44"/>
      <c r="Y998" s="44"/>
      <c r="Z998" s="44"/>
      <c r="AA998" s="44"/>
    </row>
    <row r="999" spans="1:27" ht="13">
      <c r="A999" s="44"/>
      <c r="B999" s="44"/>
      <c r="C999" s="44"/>
      <c r="D999" s="44"/>
      <c r="E999" s="44"/>
      <c r="F999" s="44"/>
      <c r="G999" s="44"/>
      <c r="H999" s="44"/>
      <c r="I999" s="44"/>
      <c r="J999" s="44"/>
      <c r="K999" s="44"/>
      <c r="L999" s="44"/>
      <c r="M999" s="44"/>
      <c r="N999" s="44"/>
      <c r="O999" s="44"/>
      <c r="P999" s="44"/>
      <c r="Q999" s="44"/>
      <c r="R999" s="44"/>
      <c r="S999" s="44"/>
      <c r="T999" s="44"/>
      <c r="U999" s="44"/>
      <c r="V999" s="44"/>
      <c r="W999" s="44"/>
      <c r="X999" s="44"/>
      <c r="Y999" s="44"/>
      <c r="Z999" s="44"/>
      <c r="AA999" s="44"/>
    </row>
    <row r="1000" spans="1:27" ht="13">
      <c r="A1000" s="44"/>
      <c r="B1000" s="44"/>
      <c r="C1000" s="44"/>
      <c r="D1000" s="44"/>
      <c r="E1000" s="44"/>
      <c r="F1000" s="44"/>
      <c r="G1000" s="44"/>
      <c r="H1000" s="44"/>
      <c r="I1000" s="44"/>
      <c r="J1000" s="44"/>
      <c r="K1000" s="44"/>
      <c r="L1000" s="44"/>
      <c r="M1000" s="44"/>
      <c r="N1000" s="44"/>
      <c r="O1000" s="44"/>
      <c r="P1000" s="44"/>
      <c r="Q1000" s="44"/>
      <c r="R1000" s="44"/>
      <c r="S1000" s="44"/>
      <c r="T1000" s="44"/>
      <c r="U1000" s="44"/>
      <c r="V1000" s="44"/>
      <c r="W1000" s="44"/>
      <c r="X1000" s="44"/>
      <c r="Y1000" s="44"/>
      <c r="Z1000" s="44"/>
      <c r="AA1000" s="44"/>
    </row>
    <row r="1001" spans="1:27" ht="13">
      <c r="A1001" s="44"/>
      <c r="B1001" s="44"/>
      <c r="C1001" s="44"/>
      <c r="D1001" s="44"/>
      <c r="E1001" s="44"/>
      <c r="F1001" s="44"/>
      <c r="G1001" s="44"/>
      <c r="H1001" s="44"/>
      <c r="I1001" s="44"/>
      <c r="J1001" s="44"/>
      <c r="K1001" s="44"/>
      <c r="L1001" s="44"/>
      <c r="M1001" s="44"/>
      <c r="N1001" s="44"/>
      <c r="O1001" s="44"/>
      <c r="P1001" s="44"/>
      <c r="Q1001" s="44"/>
      <c r="R1001" s="44"/>
      <c r="S1001" s="44"/>
      <c r="T1001" s="44"/>
      <c r="U1001" s="44"/>
      <c r="V1001" s="44"/>
      <c r="W1001" s="44"/>
      <c r="X1001" s="44"/>
      <c r="Y1001" s="44"/>
      <c r="Z1001" s="44"/>
      <c r="AA1001" s="44"/>
    </row>
    <row r="1002" spans="1:27" ht="13">
      <c r="A1002" s="44"/>
      <c r="B1002" s="44"/>
      <c r="C1002" s="44"/>
      <c r="D1002" s="44"/>
      <c r="E1002" s="44"/>
      <c r="F1002" s="44"/>
      <c r="G1002" s="44"/>
      <c r="H1002" s="44"/>
      <c r="I1002" s="44"/>
      <c r="J1002" s="44"/>
      <c r="K1002" s="44"/>
      <c r="L1002" s="44"/>
      <c r="M1002" s="44"/>
      <c r="N1002" s="44"/>
      <c r="O1002" s="44"/>
      <c r="P1002" s="44"/>
      <c r="Q1002" s="44"/>
      <c r="R1002" s="44"/>
      <c r="S1002" s="44"/>
      <c r="T1002" s="44"/>
      <c r="U1002" s="44"/>
      <c r="V1002" s="44"/>
      <c r="W1002" s="44"/>
      <c r="X1002" s="44"/>
      <c r="Y1002" s="44"/>
      <c r="Z1002" s="44"/>
      <c r="AA1002" s="44"/>
    </row>
    <row r="1003" spans="1:27" ht="13">
      <c r="A1003" s="44"/>
      <c r="B1003" s="44"/>
      <c r="C1003" s="44"/>
      <c r="D1003" s="44"/>
      <c r="E1003" s="44"/>
      <c r="F1003" s="44"/>
      <c r="G1003" s="44"/>
      <c r="H1003" s="44"/>
      <c r="I1003" s="44"/>
      <c r="J1003" s="44"/>
      <c r="K1003" s="44"/>
      <c r="L1003" s="44"/>
      <c r="M1003" s="44"/>
      <c r="N1003" s="44"/>
      <c r="O1003" s="44"/>
      <c r="P1003" s="44"/>
      <c r="Q1003" s="44"/>
      <c r="R1003" s="44"/>
      <c r="S1003" s="44"/>
      <c r="T1003" s="44"/>
      <c r="U1003" s="44"/>
      <c r="V1003" s="44"/>
      <c r="W1003" s="44"/>
      <c r="X1003" s="44"/>
      <c r="Y1003" s="44"/>
      <c r="Z1003" s="44"/>
      <c r="AA1003" s="44"/>
    </row>
    <row r="1004" spans="1:27" ht="13">
      <c r="A1004" s="44"/>
      <c r="B1004" s="44"/>
      <c r="C1004" s="44"/>
      <c r="D1004" s="44"/>
      <c r="E1004" s="44"/>
      <c r="F1004" s="44"/>
      <c r="G1004" s="44"/>
      <c r="H1004" s="44"/>
      <c r="I1004" s="44"/>
      <c r="J1004" s="44"/>
      <c r="K1004" s="44"/>
      <c r="L1004" s="44"/>
      <c r="M1004" s="44"/>
      <c r="N1004" s="44"/>
      <c r="O1004" s="44"/>
      <c r="P1004" s="44"/>
      <c r="Q1004" s="44"/>
      <c r="R1004" s="44"/>
      <c r="S1004" s="44"/>
      <c r="T1004" s="44"/>
      <c r="U1004" s="44"/>
      <c r="V1004" s="44"/>
      <c r="W1004" s="44"/>
      <c r="X1004" s="44"/>
      <c r="Y1004" s="44"/>
      <c r="Z1004" s="44"/>
      <c r="AA1004" s="44"/>
    </row>
    <row r="1005" spans="1:27" ht="13">
      <c r="A1005" s="44"/>
      <c r="B1005" s="44"/>
      <c r="C1005" s="44"/>
      <c r="D1005" s="44"/>
      <c r="E1005" s="44"/>
      <c r="F1005" s="44"/>
      <c r="G1005" s="44"/>
      <c r="H1005" s="44"/>
      <c r="I1005" s="44"/>
      <c r="J1005" s="44"/>
      <c r="K1005" s="44"/>
      <c r="L1005" s="44"/>
      <c r="M1005" s="44"/>
      <c r="N1005" s="44"/>
      <c r="O1005" s="44"/>
      <c r="P1005" s="44"/>
      <c r="Q1005" s="44"/>
      <c r="R1005" s="44"/>
      <c r="S1005" s="44"/>
      <c r="T1005" s="44"/>
      <c r="U1005" s="44"/>
      <c r="V1005" s="44"/>
      <c r="W1005" s="44"/>
      <c r="X1005" s="44"/>
      <c r="Y1005" s="44"/>
      <c r="Z1005" s="44"/>
      <c r="AA1005" s="44"/>
    </row>
    <row r="1006" spans="1:27" ht="13">
      <c r="A1006" s="44"/>
      <c r="B1006" s="44"/>
      <c r="C1006" s="44"/>
      <c r="D1006" s="44"/>
      <c r="E1006" s="44"/>
      <c r="F1006" s="44"/>
      <c r="G1006" s="44"/>
      <c r="H1006" s="44"/>
      <c r="I1006" s="44"/>
      <c r="J1006" s="44"/>
      <c r="K1006" s="44"/>
      <c r="L1006" s="44"/>
      <c r="M1006" s="44"/>
      <c r="N1006" s="44"/>
      <c r="O1006" s="44"/>
      <c r="P1006" s="44"/>
      <c r="Q1006" s="44"/>
      <c r="R1006" s="44"/>
      <c r="S1006" s="44"/>
      <c r="T1006" s="44"/>
      <c r="U1006" s="44"/>
      <c r="V1006" s="44"/>
      <c r="W1006" s="44"/>
      <c r="X1006" s="44"/>
      <c r="Y1006" s="44"/>
      <c r="Z1006" s="44"/>
      <c r="AA1006" s="44"/>
    </row>
    <row r="1007" spans="1:27" ht="13">
      <c r="A1007" s="44"/>
      <c r="B1007" s="44"/>
      <c r="C1007" s="44"/>
      <c r="D1007" s="44"/>
      <c r="E1007" s="44"/>
      <c r="F1007" s="44"/>
      <c r="G1007" s="44"/>
      <c r="H1007" s="44"/>
      <c r="I1007" s="44"/>
      <c r="J1007" s="44"/>
      <c r="K1007" s="44"/>
      <c r="L1007" s="44"/>
      <c r="M1007" s="44"/>
      <c r="N1007" s="44"/>
      <c r="O1007" s="44"/>
      <c r="P1007" s="44"/>
      <c r="Q1007" s="44"/>
      <c r="R1007" s="44"/>
      <c r="S1007" s="44"/>
      <c r="T1007" s="44"/>
      <c r="U1007" s="44"/>
      <c r="V1007" s="44"/>
      <c r="W1007" s="44"/>
      <c r="X1007" s="44"/>
      <c r="Y1007" s="44"/>
      <c r="Z1007" s="44"/>
      <c r="AA1007" s="44"/>
    </row>
    <row r="1008" spans="1:27" ht="13">
      <c r="A1008" s="44"/>
      <c r="B1008" s="44"/>
      <c r="C1008" s="44"/>
      <c r="D1008" s="44"/>
      <c r="E1008" s="44"/>
      <c r="F1008" s="44"/>
      <c r="G1008" s="44"/>
      <c r="H1008" s="44"/>
      <c r="I1008" s="44"/>
      <c r="J1008" s="44"/>
      <c r="K1008" s="44"/>
      <c r="L1008" s="44"/>
      <c r="M1008" s="44"/>
      <c r="N1008" s="44"/>
      <c r="O1008" s="44"/>
      <c r="P1008" s="44"/>
      <c r="Q1008" s="44"/>
      <c r="R1008" s="44"/>
      <c r="S1008" s="44"/>
      <c r="T1008" s="44"/>
      <c r="U1008" s="44"/>
      <c r="V1008" s="44"/>
      <c r="W1008" s="44"/>
      <c r="X1008" s="44"/>
      <c r="Y1008" s="44"/>
      <c r="Z1008" s="44"/>
      <c r="AA1008" s="44"/>
    </row>
    <row r="1009" spans="1:27" ht="13">
      <c r="A1009" s="44"/>
      <c r="B1009" s="44"/>
      <c r="C1009" s="44"/>
      <c r="D1009" s="44"/>
      <c r="E1009" s="44"/>
      <c r="F1009" s="44"/>
      <c r="G1009" s="44"/>
      <c r="H1009" s="44"/>
      <c r="I1009" s="44"/>
      <c r="J1009" s="44"/>
      <c r="K1009" s="44"/>
      <c r="L1009" s="44"/>
      <c r="M1009" s="44"/>
      <c r="N1009" s="44"/>
      <c r="O1009" s="44"/>
      <c r="P1009" s="44"/>
      <c r="Q1009" s="44"/>
      <c r="R1009" s="44"/>
      <c r="S1009" s="44"/>
      <c r="T1009" s="44"/>
      <c r="U1009" s="44"/>
      <c r="V1009" s="44"/>
      <c r="W1009" s="44"/>
      <c r="X1009" s="44"/>
      <c r="Y1009" s="44"/>
      <c r="Z1009" s="44"/>
      <c r="AA1009" s="44"/>
    </row>
    <row r="1010" spans="1:27" ht="13">
      <c r="A1010" s="44"/>
      <c r="B1010" s="44"/>
      <c r="C1010" s="44"/>
      <c r="D1010" s="44"/>
      <c r="E1010" s="44"/>
      <c r="F1010" s="44"/>
      <c r="G1010" s="44"/>
      <c r="H1010" s="44"/>
      <c r="I1010" s="44"/>
      <c r="J1010" s="44"/>
      <c r="K1010" s="44"/>
      <c r="L1010" s="44"/>
      <c r="M1010" s="44"/>
      <c r="N1010" s="44"/>
      <c r="O1010" s="44"/>
      <c r="P1010" s="44"/>
      <c r="Q1010" s="44"/>
      <c r="R1010" s="44"/>
      <c r="S1010" s="44"/>
      <c r="T1010" s="44"/>
      <c r="U1010" s="44"/>
      <c r="V1010" s="44"/>
      <c r="W1010" s="44"/>
      <c r="X1010" s="44"/>
      <c r="Y1010" s="44"/>
      <c r="Z1010" s="44"/>
      <c r="AA1010" s="44"/>
    </row>
    <row r="1011" spans="1:27" ht="13">
      <c r="A1011" s="44"/>
      <c r="B1011" s="44"/>
      <c r="C1011" s="44"/>
      <c r="D1011" s="44"/>
      <c r="E1011" s="44"/>
      <c r="F1011" s="44"/>
      <c r="G1011" s="44"/>
      <c r="H1011" s="44"/>
      <c r="I1011" s="44"/>
      <c r="J1011" s="44"/>
      <c r="K1011" s="44"/>
      <c r="L1011" s="44"/>
      <c r="M1011" s="44"/>
      <c r="N1011" s="44"/>
      <c r="O1011" s="44"/>
      <c r="P1011" s="44"/>
      <c r="Q1011" s="44"/>
      <c r="R1011" s="44"/>
      <c r="S1011" s="44"/>
      <c r="T1011" s="44"/>
      <c r="U1011" s="44"/>
      <c r="V1011" s="44"/>
      <c r="W1011" s="44"/>
      <c r="X1011" s="44"/>
      <c r="Y1011" s="44"/>
      <c r="Z1011" s="44"/>
      <c r="AA1011" s="44"/>
    </row>
    <row r="1012" spans="1:27" ht="13">
      <c r="A1012" s="44"/>
      <c r="B1012" s="44"/>
      <c r="C1012" s="44"/>
      <c r="D1012" s="44"/>
      <c r="E1012" s="44"/>
      <c r="F1012" s="44"/>
      <c r="G1012" s="44"/>
      <c r="H1012" s="44"/>
      <c r="I1012" s="44"/>
      <c r="J1012" s="44"/>
      <c r="K1012" s="44"/>
      <c r="L1012" s="44"/>
      <c r="M1012" s="44"/>
      <c r="N1012" s="44"/>
      <c r="O1012" s="44"/>
      <c r="P1012" s="44"/>
      <c r="Q1012" s="44"/>
      <c r="R1012" s="44"/>
      <c r="S1012" s="44"/>
      <c r="T1012" s="44"/>
      <c r="U1012" s="44"/>
      <c r="V1012" s="44"/>
      <c r="W1012" s="44"/>
      <c r="X1012" s="44"/>
      <c r="Y1012" s="44"/>
      <c r="Z1012" s="44"/>
      <c r="AA1012" s="44"/>
    </row>
    <row r="1013" spans="1:27" ht="13">
      <c r="A1013" s="44"/>
      <c r="B1013" s="44"/>
      <c r="C1013" s="44"/>
      <c r="D1013" s="44"/>
      <c r="E1013" s="44"/>
      <c r="F1013" s="44"/>
      <c r="G1013" s="44"/>
      <c r="H1013" s="44"/>
      <c r="I1013" s="44"/>
      <c r="J1013" s="44"/>
      <c r="K1013" s="44"/>
      <c r="L1013" s="44"/>
      <c r="M1013" s="44"/>
      <c r="N1013" s="44"/>
      <c r="O1013" s="44"/>
      <c r="P1013" s="44"/>
      <c r="Q1013" s="44"/>
      <c r="R1013" s="44"/>
      <c r="S1013" s="44"/>
      <c r="T1013" s="44"/>
      <c r="U1013" s="44"/>
      <c r="V1013" s="44"/>
      <c r="W1013" s="44"/>
      <c r="X1013" s="44"/>
      <c r="Y1013" s="44"/>
      <c r="Z1013" s="44"/>
      <c r="AA1013" s="44"/>
    </row>
    <row r="1014" spans="1:27" ht="13">
      <c r="A1014" s="44"/>
      <c r="B1014" s="44"/>
      <c r="C1014" s="44"/>
      <c r="D1014" s="44"/>
      <c r="E1014" s="44"/>
      <c r="F1014" s="44"/>
      <c r="G1014" s="44"/>
      <c r="H1014" s="44"/>
      <c r="I1014" s="44"/>
      <c r="J1014" s="44"/>
      <c r="K1014" s="44"/>
      <c r="L1014" s="44"/>
      <c r="M1014" s="44"/>
      <c r="N1014" s="44"/>
      <c r="O1014" s="44"/>
      <c r="P1014" s="44"/>
      <c r="Q1014" s="44"/>
      <c r="R1014" s="44"/>
      <c r="S1014" s="44"/>
      <c r="T1014" s="44"/>
      <c r="U1014" s="44"/>
      <c r="V1014" s="44"/>
      <c r="W1014" s="44"/>
      <c r="X1014" s="44"/>
      <c r="Y1014" s="44"/>
      <c r="Z1014" s="44"/>
      <c r="AA1014" s="44"/>
    </row>
    <row r="1015" spans="1:27" ht="13">
      <c r="A1015" s="44"/>
      <c r="B1015" s="44"/>
      <c r="C1015" s="44"/>
      <c r="D1015" s="44"/>
      <c r="E1015" s="44"/>
      <c r="F1015" s="44"/>
      <c r="G1015" s="44"/>
      <c r="H1015" s="44"/>
      <c r="I1015" s="44"/>
      <c r="J1015" s="44"/>
      <c r="K1015" s="44"/>
      <c r="L1015" s="44"/>
      <c r="M1015" s="44"/>
      <c r="N1015" s="44"/>
      <c r="O1015" s="44"/>
      <c r="P1015" s="44"/>
      <c r="Q1015" s="44"/>
      <c r="R1015" s="44"/>
      <c r="S1015" s="44"/>
      <c r="T1015" s="44"/>
      <c r="U1015" s="44"/>
      <c r="V1015" s="44"/>
      <c r="W1015" s="44"/>
      <c r="X1015" s="44"/>
      <c r="Y1015" s="44"/>
      <c r="Z1015" s="44"/>
      <c r="AA1015" s="44"/>
    </row>
    <row r="1016" spans="1:27" ht="13">
      <c r="A1016" s="44"/>
      <c r="B1016" s="44"/>
      <c r="C1016" s="44"/>
      <c r="D1016" s="44"/>
      <c r="E1016" s="44"/>
      <c r="F1016" s="44"/>
      <c r="G1016" s="44"/>
      <c r="H1016" s="44"/>
      <c r="I1016" s="44"/>
      <c r="J1016" s="44"/>
      <c r="K1016" s="44"/>
      <c r="L1016" s="44"/>
      <c r="M1016" s="44"/>
      <c r="N1016" s="44"/>
      <c r="O1016" s="44"/>
      <c r="P1016" s="44"/>
      <c r="Q1016" s="44"/>
      <c r="R1016" s="44"/>
      <c r="S1016" s="44"/>
      <c r="T1016" s="44"/>
      <c r="U1016" s="44"/>
      <c r="V1016" s="44"/>
      <c r="W1016" s="44"/>
      <c r="X1016" s="44"/>
      <c r="Y1016" s="44"/>
      <c r="Z1016" s="44"/>
      <c r="AA1016" s="44"/>
    </row>
    <row r="1017" spans="1:27" ht="13">
      <c r="A1017" s="44"/>
      <c r="B1017" s="44"/>
      <c r="C1017" s="44"/>
      <c r="D1017" s="44"/>
      <c r="E1017" s="44"/>
      <c r="F1017" s="44"/>
      <c r="G1017" s="44"/>
      <c r="H1017" s="44"/>
      <c r="I1017" s="44"/>
      <c r="J1017" s="44"/>
      <c r="K1017" s="44"/>
      <c r="L1017" s="44"/>
      <c r="M1017" s="44"/>
      <c r="N1017" s="44"/>
      <c r="O1017" s="44"/>
      <c r="P1017" s="44"/>
      <c r="Q1017" s="44"/>
      <c r="R1017" s="44"/>
      <c r="S1017" s="44"/>
      <c r="T1017" s="44"/>
      <c r="U1017" s="44"/>
      <c r="V1017" s="44"/>
      <c r="W1017" s="44"/>
      <c r="X1017" s="44"/>
      <c r="Y1017" s="44"/>
      <c r="Z1017" s="44"/>
      <c r="AA1017" s="44"/>
    </row>
    <row r="1018" spans="1:27" ht="13">
      <c r="A1018" s="44"/>
      <c r="B1018" s="44"/>
      <c r="C1018" s="44"/>
      <c r="D1018" s="44"/>
      <c r="E1018" s="44"/>
      <c r="F1018" s="44"/>
      <c r="G1018" s="44"/>
      <c r="H1018" s="44"/>
      <c r="I1018" s="44"/>
      <c r="J1018" s="44"/>
      <c r="K1018" s="44"/>
      <c r="L1018" s="44"/>
      <c r="M1018" s="44"/>
      <c r="N1018" s="44"/>
      <c r="O1018" s="44"/>
      <c r="P1018" s="44"/>
      <c r="Q1018" s="44"/>
      <c r="R1018" s="44"/>
      <c r="S1018" s="44"/>
      <c r="T1018" s="44"/>
      <c r="U1018" s="44"/>
      <c r="V1018" s="44"/>
      <c r="W1018" s="44"/>
      <c r="X1018" s="44"/>
      <c r="Y1018" s="44"/>
      <c r="Z1018" s="44"/>
      <c r="AA1018" s="44"/>
    </row>
    <row r="1019" spans="1:27" ht="13">
      <c r="A1019" s="44"/>
      <c r="B1019" s="44"/>
      <c r="C1019" s="44"/>
      <c r="D1019" s="44"/>
      <c r="E1019" s="44"/>
      <c r="F1019" s="44"/>
      <c r="G1019" s="44"/>
      <c r="H1019" s="44"/>
      <c r="I1019" s="44"/>
      <c r="J1019" s="44"/>
      <c r="K1019" s="44"/>
      <c r="L1019" s="44"/>
      <c r="M1019" s="44"/>
      <c r="N1019" s="44"/>
      <c r="O1019" s="44"/>
      <c r="P1019" s="44"/>
      <c r="Q1019" s="44"/>
      <c r="R1019" s="44"/>
      <c r="S1019" s="44"/>
      <c r="T1019" s="44"/>
      <c r="U1019" s="44"/>
      <c r="V1019" s="44"/>
      <c r="W1019" s="44"/>
      <c r="X1019" s="44"/>
      <c r="Y1019" s="44"/>
      <c r="Z1019" s="44"/>
      <c r="AA1019" s="44"/>
    </row>
    <row r="1020" spans="1:27" ht="13">
      <c r="A1020" s="44"/>
      <c r="B1020" s="44"/>
      <c r="C1020" s="44"/>
      <c r="D1020" s="44"/>
      <c r="E1020" s="44"/>
      <c r="F1020" s="44"/>
      <c r="G1020" s="44"/>
      <c r="H1020" s="44"/>
      <c r="I1020" s="44"/>
      <c r="J1020" s="44"/>
      <c r="K1020" s="44"/>
      <c r="L1020" s="44"/>
      <c r="M1020" s="44"/>
      <c r="N1020" s="44"/>
      <c r="O1020" s="44"/>
      <c r="P1020" s="44"/>
      <c r="Q1020" s="44"/>
      <c r="R1020" s="44"/>
      <c r="S1020" s="44"/>
      <c r="T1020" s="44"/>
      <c r="U1020" s="44"/>
      <c r="V1020" s="44"/>
      <c r="W1020" s="44"/>
      <c r="X1020" s="44"/>
      <c r="Y1020" s="44"/>
      <c r="Z1020" s="44"/>
      <c r="AA1020" s="44"/>
    </row>
    <row r="1021" spans="1:27" ht="13">
      <c r="A1021" s="44"/>
      <c r="B1021" s="44"/>
      <c r="C1021" s="44"/>
      <c r="D1021" s="44"/>
      <c r="E1021" s="44"/>
      <c r="F1021" s="44"/>
      <c r="G1021" s="44"/>
      <c r="H1021" s="44"/>
      <c r="I1021" s="44"/>
      <c r="J1021" s="44"/>
      <c r="K1021" s="44"/>
      <c r="L1021" s="44"/>
      <c r="M1021" s="44"/>
      <c r="N1021" s="44"/>
      <c r="O1021" s="44"/>
      <c r="P1021" s="44"/>
      <c r="Q1021" s="44"/>
      <c r="R1021" s="44"/>
      <c r="S1021" s="44"/>
      <c r="T1021" s="44"/>
      <c r="U1021" s="44"/>
      <c r="V1021" s="44"/>
      <c r="W1021" s="44"/>
      <c r="X1021" s="44"/>
      <c r="Y1021" s="44"/>
      <c r="Z1021" s="44"/>
      <c r="AA1021" s="44"/>
    </row>
    <row r="1022" spans="1:27" ht="13">
      <c r="A1022" s="44"/>
      <c r="B1022" s="44"/>
      <c r="C1022" s="44"/>
      <c r="D1022" s="44"/>
      <c r="E1022" s="44"/>
      <c r="F1022" s="44"/>
      <c r="G1022" s="44"/>
      <c r="H1022" s="44"/>
      <c r="I1022" s="44"/>
      <c r="J1022" s="44"/>
      <c r="K1022" s="44"/>
      <c r="L1022" s="44"/>
      <c r="M1022" s="44"/>
      <c r="N1022" s="44"/>
      <c r="O1022" s="44"/>
      <c r="P1022" s="44"/>
      <c r="Q1022" s="44"/>
      <c r="R1022" s="44"/>
      <c r="S1022" s="44"/>
      <c r="T1022" s="44"/>
      <c r="U1022" s="44"/>
      <c r="V1022" s="44"/>
      <c r="W1022" s="44"/>
      <c r="X1022" s="44"/>
      <c r="Y1022" s="44"/>
      <c r="Z1022" s="44"/>
      <c r="AA1022" s="44"/>
    </row>
    <row r="1023" spans="1:27" ht="13">
      <c r="A1023" s="44"/>
      <c r="B1023" s="44"/>
      <c r="C1023" s="44"/>
      <c r="D1023" s="44"/>
      <c r="E1023" s="44"/>
      <c r="F1023" s="44"/>
      <c r="G1023" s="44"/>
      <c r="H1023" s="44"/>
      <c r="I1023" s="44"/>
      <c r="J1023" s="44"/>
      <c r="K1023" s="44"/>
      <c r="L1023" s="44"/>
      <c r="M1023" s="44"/>
      <c r="N1023" s="44"/>
      <c r="O1023" s="44"/>
      <c r="P1023" s="44"/>
      <c r="Q1023" s="44"/>
      <c r="R1023" s="44"/>
      <c r="S1023" s="44"/>
      <c r="T1023" s="44"/>
      <c r="U1023" s="44"/>
      <c r="V1023" s="44"/>
      <c r="W1023" s="44"/>
      <c r="X1023" s="44"/>
      <c r="Y1023" s="44"/>
      <c r="Z1023" s="44"/>
      <c r="AA1023" s="44"/>
    </row>
    <row r="1024" spans="1:27" ht="13">
      <c r="A1024" s="44"/>
      <c r="B1024" s="44"/>
      <c r="C1024" s="44"/>
      <c r="D1024" s="44"/>
      <c r="E1024" s="44"/>
      <c r="F1024" s="44"/>
      <c r="G1024" s="44"/>
      <c r="H1024" s="44"/>
      <c r="I1024" s="44"/>
      <c r="J1024" s="44"/>
      <c r="K1024" s="44"/>
      <c r="L1024" s="44"/>
      <c r="M1024" s="44"/>
      <c r="N1024" s="44"/>
      <c r="O1024" s="44"/>
      <c r="P1024" s="44"/>
      <c r="Q1024" s="44"/>
      <c r="R1024" s="44"/>
      <c r="S1024" s="44"/>
      <c r="T1024" s="44"/>
      <c r="U1024" s="44"/>
      <c r="V1024" s="44"/>
      <c r="W1024" s="44"/>
      <c r="X1024" s="44"/>
      <c r="Y1024" s="44"/>
      <c r="Z1024" s="44"/>
      <c r="AA1024" s="44"/>
    </row>
    <row r="1025" spans="1:27" ht="13">
      <c r="A1025" s="44"/>
      <c r="B1025" s="44"/>
      <c r="C1025" s="44"/>
      <c r="D1025" s="44"/>
      <c r="E1025" s="44"/>
      <c r="F1025" s="44"/>
      <c r="G1025" s="44"/>
      <c r="H1025" s="44"/>
      <c r="I1025" s="44"/>
      <c r="J1025" s="44"/>
      <c r="K1025" s="44"/>
      <c r="L1025" s="44"/>
      <c r="M1025" s="44"/>
      <c r="N1025" s="44"/>
      <c r="O1025" s="44"/>
      <c r="P1025" s="44"/>
      <c r="Q1025" s="44"/>
      <c r="R1025" s="44"/>
      <c r="S1025" s="44"/>
      <c r="T1025" s="44"/>
      <c r="U1025" s="44"/>
      <c r="V1025" s="44"/>
      <c r="W1025" s="44"/>
      <c r="X1025" s="44"/>
      <c r="Y1025" s="44"/>
      <c r="Z1025" s="44"/>
      <c r="AA1025" s="44"/>
    </row>
    <row r="1026" spans="1:27" ht="13">
      <c r="A1026" s="44"/>
      <c r="B1026" s="44"/>
      <c r="C1026" s="44"/>
      <c r="D1026" s="44"/>
      <c r="E1026" s="44"/>
      <c r="F1026" s="44"/>
      <c r="G1026" s="44"/>
      <c r="H1026" s="44"/>
      <c r="I1026" s="44"/>
      <c r="J1026" s="44"/>
      <c r="K1026" s="44"/>
      <c r="L1026" s="44"/>
      <c r="M1026" s="44"/>
      <c r="N1026" s="44"/>
      <c r="O1026" s="44"/>
      <c r="P1026" s="44"/>
      <c r="Q1026" s="44"/>
      <c r="R1026" s="44"/>
      <c r="S1026" s="44"/>
      <c r="T1026" s="44"/>
      <c r="U1026" s="44"/>
      <c r="V1026" s="44"/>
      <c r="W1026" s="44"/>
      <c r="X1026" s="44"/>
      <c r="Y1026" s="44"/>
      <c r="Z1026" s="44"/>
      <c r="AA1026" s="44"/>
    </row>
    <row r="1027" spans="1:27" ht="13">
      <c r="A1027" s="44"/>
      <c r="B1027" s="44"/>
      <c r="C1027" s="44"/>
      <c r="D1027" s="44"/>
      <c r="E1027" s="44"/>
      <c r="F1027" s="44"/>
      <c r="G1027" s="44"/>
      <c r="H1027" s="44"/>
      <c r="I1027" s="44"/>
      <c r="J1027" s="44"/>
      <c r="K1027" s="44"/>
      <c r="L1027" s="44"/>
      <c r="M1027" s="44"/>
      <c r="N1027" s="44"/>
      <c r="O1027" s="44"/>
      <c r="P1027" s="44"/>
      <c r="Q1027" s="44"/>
      <c r="R1027" s="44"/>
      <c r="S1027" s="44"/>
      <c r="T1027" s="44"/>
      <c r="U1027" s="44"/>
      <c r="V1027" s="44"/>
      <c r="W1027" s="44"/>
      <c r="X1027" s="44"/>
      <c r="Y1027" s="44"/>
      <c r="Z1027" s="44"/>
      <c r="AA1027" s="44"/>
    </row>
    <row r="1028" spans="1:27" ht="13">
      <c r="A1028" s="44"/>
      <c r="B1028" s="44"/>
      <c r="C1028" s="44"/>
      <c r="D1028" s="44"/>
      <c r="E1028" s="44"/>
      <c r="F1028" s="44"/>
      <c r="G1028" s="44"/>
      <c r="H1028" s="44"/>
      <c r="I1028" s="44"/>
      <c r="J1028" s="44"/>
      <c r="K1028" s="44"/>
      <c r="L1028" s="44"/>
      <c r="M1028" s="44"/>
      <c r="N1028" s="44"/>
      <c r="O1028" s="44"/>
      <c r="P1028" s="44"/>
      <c r="Q1028" s="44"/>
      <c r="R1028" s="44"/>
      <c r="S1028" s="44"/>
      <c r="T1028" s="44"/>
      <c r="U1028" s="44"/>
      <c r="V1028" s="44"/>
      <c r="W1028" s="44"/>
      <c r="X1028" s="44"/>
      <c r="Y1028" s="44"/>
      <c r="Z1028" s="44"/>
      <c r="AA1028" s="44"/>
    </row>
    <row r="1029" spans="1:27" ht="13">
      <c r="A1029" s="44"/>
      <c r="B1029" s="44"/>
      <c r="C1029" s="44"/>
      <c r="D1029" s="44"/>
      <c r="E1029" s="44"/>
      <c r="F1029" s="44"/>
      <c r="G1029" s="44"/>
      <c r="H1029" s="44"/>
      <c r="I1029" s="44"/>
      <c r="J1029" s="44"/>
      <c r="K1029" s="44"/>
      <c r="L1029" s="44"/>
      <c r="M1029" s="44"/>
      <c r="N1029" s="44"/>
      <c r="O1029" s="44"/>
      <c r="P1029" s="44"/>
      <c r="Q1029" s="44"/>
      <c r="R1029" s="44"/>
      <c r="S1029" s="44"/>
      <c r="T1029" s="44"/>
      <c r="U1029" s="44"/>
      <c r="V1029" s="44"/>
      <c r="W1029" s="44"/>
      <c r="X1029" s="44"/>
      <c r="Y1029" s="44"/>
      <c r="Z1029" s="44"/>
      <c r="AA1029" s="44"/>
    </row>
    <row r="1030" spans="1:27" ht="13">
      <c r="A1030" s="44"/>
      <c r="B1030" s="44"/>
      <c r="C1030" s="44"/>
      <c r="D1030" s="44"/>
      <c r="E1030" s="44"/>
      <c r="F1030" s="44"/>
      <c r="G1030" s="44"/>
      <c r="H1030" s="44"/>
      <c r="I1030" s="44"/>
      <c r="J1030" s="44"/>
      <c r="K1030" s="44"/>
      <c r="L1030" s="44"/>
      <c r="M1030" s="44"/>
      <c r="N1030" s="44"/>
      <c r="O1030" s="44"/>
      <c r="P1030" s="44"/>
      <c r="Q1030" s="44"/>
      <c r="R1030" s="44"/>
      <c r="S1030" s="44"/>
      <c r="T1030" s="44"/>
      <c r="U1030" s="44"/>
      <c r="V1030" s="44"/>
      <c r="W1030" s="44"/>
      <c r="X1030" s="44"/>
      <c r="Y1030" s="44"/>
      <c r="Z1030" s="44"/>
      <c r="AA1030" s="44"/>
    </row>
    <row r="1031" spans="1:27" ht="13">
      <c r="A1031" s="44"/>
      <c r="B1031" s="44"/>
      <c r="C1031" s="44"/>
      <c r="D1031" s="44"/>
      <c r="E1031" s="44"/>
      <c r="F1031" s="44"/>
      <c r="G1031" s="44"/>
      <c r="H1031" s="44"/>
      <c r="I1031" s="44"/>
      <c r="J1031" s="44"/>
      <c r="K1031" s="44"/>
      <c r="L1031" s="44"/>
      <c r="M1031" s="44"/>
      <c r="N1031" s="44"/>
      <c r="O1031" s="44"/>
      <c r="P1031" s="44"/>
      <c r="Q1031" s="44"/>
      <c r="R1031" s="44"/>
      <c r="S1031" s="44"/>
      <c r="T1031" s="44"/>
      <c r="U1031" s="44"/>
      <c r="V1031" s="44"/>
      <c r="W1031" s="44"/>
      <c r="X1031" s="44"/>
      <c r="Y1031" s="44"/>
      <c r="Z1031" s="44"/>
      <c r="AA1031" s="44"/>
    </row>
    <row r="1032" spans="1:27" ht="13">
      <c r="A1032" s="44"/>
      <c r="B1032" s="44"/>
      <c r="C1032" s="44"/>
      <c r="D1032" s="44"/>
      <c r="E1032" s="44"/>
      <c r="F1032" s="44"/>
      <c r="G1032" s="44"/>
      <c r="H1032" s="44"/>
      <c r="I1032" s="44"/>
      <c r="J1032" s="44"/>
      <c r="K1032" s="44"/>
      <c r="L1032" s="44"/>
      <c r="M1032" s="44"/>
      <c r="N1032" s="44"/>
      <c r="O1032" s="44"/>
      <c r="P1032" s="44"/>
      <c r="Q1032" s="44"/>
      <c r="R1032" s="44"/>
      <c r="S1032" s="44"/>
      <c r="T1032" s="44"/>
      <c r="U1032" s="44"/>
      <c r="V1032" s="44"/>
      <c r="W1032" s="44"/>
      <c r="X1032" s="44"/>
      <c r="Y1032" s="44"/>
      <c r="Z1032" s="44"/>
      <c r="AA1032" s="44"/>
    </row>
    <row r="1033" spans="1:27" ht="13">
      <c r="A1033" s="44"/>
      <c r="B1033" s="44"/>
      <c r="C1033" s="44"/>
      <c r="D1033" s="44"/>
      <c r="E1033" s="44"/>
      <c r="F1033" s="44"/>
      <c r="G1033" s="44"/>
      <c r="H1033" s="44"/>
      <c r="I1033" s="44"/>
      <c r="J1033" s="44"/>
      <c r="K1033" s="44"/>
      <c r="L1033" s="44"/>
      <c r="M1033" s="44"/>
      <c r="N1033" s="44"/>
      <c r="O1033" s="44"/>
      <c r="P1033" s="44"/>
      <c r="Q1033" s="44"/>
      <c r="R1033" s="44"/>
      <c r="S1033" s="44"/>
      <c r="T1033" s="44"/>
      <c r="U1033" s="44"/>
      <c r="V1033" s="44"/>
      <c r="W1033" s="44"/>
      <c r="X1033" s="44"/>
      <c r="Y1033" s="44"/>
      <c r="Z1033" s="44"/>
      <c r="AA1033" s="44"/>
    </row>
    <row r="1034" spans="1:27" ht="13">
      <c r="A1034" s="44"/>
      <c r="B1034" s="44"/>
      <c r="C1034" s="44"/>
      <c r="D1034" s="44"/>
      <c r="E1034" s="44"/>
      <c r="F1034" s="44"/>
      <c r="G1034" s="44"/>
      <c r="H1034" s="44"/>
      <c r="I1034" s="44"/>
      <c r="J1034" s="44"/>
      <c r="K1034" s="44"/>
      <c r="L1034" s="44"/>
      <c r="M1034" s="44"/>
      <c r="N1034" s="44"/>
      <c r="O1034" s="44"/>
      <c r="P1034" s="44"/>
      <c r="Q1034" s="44"/>
      <c r="R1034" s="44"/>
      <c r="S1034" s="44"/>
      <c r="T1034" s="44"/>
      <c r="U1034" s="44"/>
      <c r="V1034" s="44"/>
      <c r="W1034" s="44"/>
      <c r="X1034" s="44"/>
      <c r="Y1034" s="44"/>
      <c r="Z1034" s="44"/>
      <c r="AA1034" s="44"/>
    </row>
    <row r="1035" spans="1:27" ht="13">
      <c r="A1035" s="44"/>
      <c r="B1035" s="44"/>
      <c r="C1035" s="44"/>
      <c r="D1035" s="44"/>
      <c r="E1035" s="44"/>
      <c r="F1035" s="44"/>
      <c r="G1035" s="44"/>
      <c r="H1035" s="44"/>
      <c r="I1035" s="44"/>
      <c r="J1035" s="44"/>
      <c r="K1035" s="44"/>
      <c r="L1035" s="44"/>
      <c r="M1035" s="44"/>
      <c r="N1035" s="44"/>
      <c r="O1035" s="44"/>
      <c r="P1035" s="44"/>
      <c r="Q1035" s="44"/>
      <c r="R1035" s="44"/>
      <c r="S1035" s="44"/>
      <c r="T1035" s="44"/>
      <c r="U1035" s="44"/>
      <c r="V1035" s="44"/>
      <c r="W1035" s="44"/>
      <c r="X1035" s="44"/>
      <c r="Y1035" s="44"/>
      <c r="Z1035" s="44"/>
      <c r="AA1035" s="44"/>
    </row>
    <row r="1036" spans="1:27" ht="13">
      <c r="A1036" s="44"/>
      <c r="B1036" s="44"/>
      <c r="C1036" s="44"/>
      <c r="D1036" s="44"/>
      <c r="E1036" s="44"/>
      <c r="F1036" s="44"/>
      <c r="G1036" s="44"/>
      <c r="H1036" s="44"/>
      <c r="I1036" s="44"/>
      <c r="J1036" s="44"/>
      <c r="K1036" s="44"/>
      <c r="L1036" s="44"/>
      <c r="M1036" s="44"/>
      <c r="N1036" s="44"/>
      <c r="O1036" s="44"/>
      <c r="P1036" s="44"/>
      <c r="Q1036" s="44"/>
      <c r="R1036" s="44"/>
      <c r="S1036" s="44"/>
      <c r="T1036" s="44"/>
      <c r="U1036" s="44"/>
      <c r="V1036" s="44"/>
      <c r="W1036" s="44"/>
      <c r="X1036" s="44"/>
      <c r="Y1036" s="44"/>
      <c r="Z1036" s="44"/>
      <c r="AA1036" s="44"/>
    </row>
    <row r="1037" spans="1:27" ht="13">
      <c r="A1037" s="44"/>
      <c r="B1037" s="44"/>
      <c r="C1037" s="44"/>
      <c r="D1037" s="44"/>
      <c r="E1037" s="44"/>
      <c r="F1037" s="44"/>
      <c r="G1037" s="44"/>
      <c r="H1037" s="44"/>
      <c r="I1037" s="44"/>
      <c r="J1037" s="44"/>
      <c r="K1037" s="44"/>
      <c r="L1037" s="44"/>
      <c r="M1037" s="44"/>
      <c r="N1037" s="44"/>
      <c r="O1037" s="44"/>
      <c r="P1037" s="44"/>
      <c r="Q1037" s="44"/>
      <c r="R1037" s="44"/>
      <c r="S1037" s="44"/>
      <c r="T1037" s="44"/>
      <c r="U1037" s="44"/>
      <c r="V1037" s="44"/>
      <c r="W1037" s="44"/>
      <c r="X1037" s="44"/>
      <c r="Y1037" s="44"/>
      <c r="Z1037" s="44"/>
      <c r="AA1037" s="44"/>
    </row>
    <row r="1038" spans="1:27" ht="13">
      <c r="A1038" s="44"/>
      <c r="B1038" s="44"/>
      <c r="C1038" s="44"/>
      <c r="D1038" s="44"/>
      <c r="E1038" s="44"/>
      <c r="F1038" s="44"/>
      <c r="G1038" s="44"/>
      <c r="H1038" s="44"/>
      <c r="I1038" s="44"/>
      <c r="J1038" s="44"/>
      <c r="K1038" s="44"/>
      <c r="L1038" s="44"/>
      <c r="M1038" s="44"/>
      <c r="N1038" s="44"/>
      <c r="O1038" s="44"/>
      <c r="P1038" s="44"/>
      <c r="Q1038" s="44"/>
      <c r="R1038" s="44"/>
      <c r="S1038" s="44"/>
      <c r="T1038" s="44"/>
      <c r="U1038" s="44"/>
      <c r="V1038" s="44"/>
      <c r="W1038" s="44"/>
      <c r="X1038" s="44"/>
      <c r="Y1038" s="44"/>
      <c r="Z1038" s="44"/>
      <c r="AA1038" s="44"/>
    </row>
    <row r="1039" spans="1:27" ht="13">
      <c r="A1039" s="44"/>
      <c r="B1039" s="44"/>
      <c r="C1039" s="44"/>
      <c r="D1039" s="44"/>
      <c r="E1039" s="44"/>
      <c r="F1039" s="44"/>
      <c r="G1039" s="44"/>
      <c r="H1039" s="44"/>
      <c r="I1039" s="44"/>
      <c r="J1039" s="44"/>
      <c r="K1039" s="44"/>
      <c r="L1039" s="44"/>
      <c r="M1039" s="44"/>
      <c r="N1039" s="44"/>
      <c r="O1039" s="44"/>
      <c r="P1039" s="44"/>
      <c r="Q1039" s="44"/>
      <c r="R1039" s="44"/>
      <c r="S1039" s="44"/>
      <c r="T1039" s="44"/>
      <c r="U1039" s="44"/>
      <c r="V1039" s="44"/>
      <c r="W1039" s="44"/>
      <c r="X1039" s="44"/>
      <c r="Y1039" s="44"/>
      <c r="Z1039" s="44"/>
      <c r="AA1039" s="44"/>
    </row>
    <row r="1040" spans="1:27" ht="13">
      <c r="A1040" s="44"/>
      <c r="B1040" s="44"/>
      <c r="C1040" s="44"/>
      <c r="D1040" s="44"/>
      <c r="E1040" s="44"/>
      <c r="F1040" s="44"/>
      <c r="G1040" s="44"/>
      <c r="H1040" s="44"/>
      <c r="I1040" s="44"/>
      <c r="J1040" s="44"/>
      <c r="K1040" s="44"/>
      <c r="L1040" s="44"/>
      <c r="M1040" s="44"/>
      <c r="N1040" s="44"/>
      <c r="O1040" s="44"/>
      <c r="P1040" s="44"/>
      <c r="Q1040" s="44"/>
      <c r="R1040" s="44"/>
      <c r="S1040" s="44"/>
      <c r="T1040" s="44"/>
      <c r="U1040" s="44"/>
      <c r="V1040" s="44"/>
      <c r="W1040" s="44"/>
      <c r="X1040" s="44"/>
      <c r="Y1040" s="44"/>
      <c r="Z1040" s="44"/>
      <c r="AA1040" s="44"/>
    </row>
    <row r="1041" spans="1:27" ht="13">
      <c r="A1041" s="44"/>
      <c r="B1041" s="44"/>
      <c r="C1041" s="44"/>
      <c r="D1041" s="44"/>
      <c r="E1041" s="44"/>
      <c r="F1041" s="44"/>
      <c r="G1041" s="44"/>
      <c r="H1041" s="44"/>
      <c r="I1041" s="44"/>
      <c r="J1041" s="44"/>
      <c r="K1041" s="44"/>
      <c r="L1041" s="44"/>
      <c r="M1041" s="44"/>
      <c r="N1041" s="44"/>
      <c r="O1041" s="44"/>
      <c r="P1041" s="44"/>
      <c r="Q1041" s="44"/>
      <c r="R1041" s="44"/>
      <c r="S1041" s="44"/>
      <c r="T1041" s="44"/>
      <c r="U1041" s="44"/>
      <c r="V1041" s="44"/>
      <c r="W1041" s="44"/>
      <c r="X1041" s="44"/>
      <c r="Y1041" s="44"/>
      <c r="Z1041" s="44"/>
      <c r="AA1041" s="44"/>
    </row>
    <row r="1042" spans="1:27" ht="13">
      <c r="A1042" s="44"/>
      <c r="B1042" s="44"/>
      <c r="C1042" s="44"/>
      <c r="D1042" s="44"/>
      <c r="E1042" s="44"/>
      <c r="F1042" s="44"/>
      <c r="G1042" s="44"/>
      <c r="H1042" s="44"/>
      <c r="I1042" s="44"/>
      <c r="J1042" s="44"/>
      <c r="K1042" s="44"/>
      <c r="L1042" s="44"/>
      <c r="M1042" s="44"/>
      <c r="N1042" s="44"/>
      <c r="O1042" s="44"/>
      <c r="P1042" s="44"/>
      <c r="Q1042" s="44"/>
      <c r="R1042" s="44"/>
      <c r="S1042" s="44"/>
      <c r="T1042" s="44"/>
      <c r="U1042" s="44"/>
      <c r="V1042" s="44"/>
      <c r="W1042" s="44"/>
      <c r="X1042" s="44"/>
      <c r="Y1042" s="44"/>
      <c r="Z1042" s="44"/>
      <c r="AA1042" s="44"/>
    </row>
    <row r="1043" spans="1:27" ht="13">
      <c r="A1043" s="44"/>
      <c r="B1043" s="44"/>
      <c r="C1043" s="44"/>
      <c r="D1043" s="44"/>
      <c r="E1043" s="44"/>
      <c r="F1043" s="44"/>
      <c r="G1043" s="44"/>
      <c r="H1043" s="44"/>
      <c r="I1043" s="44"/>
      <c r="J1043" s="44"/>
      <c r="K1043" s="44"/>
      <c r="L1043" s="44"/>
      <c r="M1043" s="44"/>
      <c r="N1043" s="44"/>
      <c r="O1043" s="44"/>
      <c r="P1043" s="44"/>
      <c r="Q1043" s="44"/>
      <c r="R1043" s="44"/>
      <c r="S1043" s="44"/>
      <c r="T1043" s="44"/>
      <c r="U1043" s="44"/>
      <c r="V1043" s="44"/>
      <c r="W1043" s="44"/>
      <c r="X1043" s="44"/>
      <c r="Y1043" s="44"/>
      <c r="Z1043" s="44"/>
      <c r="AA1043" s="44"/>
    </row>
    <row r="1044" spans="1:27" ht="13">
      <c r="A1044" s="44"/>
      <c r="B1044" s="44"/>
      <c r="C1044" s="44"/>
      <c r="D1044" s="44"/>
      <c r="E1044" s="44"/>
      <c r="F1044" s="44"/>
      <c r="G1044" s="44"/>
      <c r="H1044" s="44"/>
      <c r="I1044" s="44"/>
      <c r="J1044" s="44"/>
      <c r="K1044" s="44"/>
      <c r="L1044" s="44"/>
      <c r="M1044" s="44"/>
      <c r="N1044" s="44"/>
      <c r="O1044" s="44"/>
      <c r="P1044" s="44"/>
      <c r="Q1044" s="44"/>
      <c r="R1044" s="44"/>
      <c r="S1044" s="44"/>
      <c r="T1044" s="44"/>
      <c r="U1044" s="44"/>
      <c r="V1044" s="44"/>
      <c r="W1044" s="44"/>
      <c r="X1044" s="44"/>
      <c r="Y1044" s="44"/>
      <c r="Z1044" s="44"/>
      <c r="AA1044" s="44"/>
    </row>
    <row r="1045" spans="1:27" ht="13">
      <c r="A1045" s="44"/>
      <c r="B1045" s="44"/>
      <c r="C1045" s="44"/>
      <c r="D1045" s="44"/>
      <c r="E1045" s="44"/>
      <c r="F1045" s="44"/>
      <c r="G1045" s="44"/>
      <c r="H1045" s="44"/>
      <c r="I1045" s="44"/>
      <c r="J1045" s="44"/>
      <c r="K1045" s="44"/>
      <c r="L1045" s="44"/>
      <c r="M1045" s="44"/>
      <c r="N1045" s="44"/>
      <c r="O1045" s="44"/>
      <c r="P1045" s="44"/>
      <c r="Q1045" s="44"/>
      <c r="R1045" s="44"/>
      <c r="S1045" s="44"/>
      <c r="T1045" s="44"/>
      <c r="U1045" s="44"/>
      <c r="V1045" s="44"/>
      <c r="W1045" s="44"/>
      <c r="X1045" s="44"/>
      <c r="Y1045" s="44"/>
      <c r="Z1045" s="44"/>
      <c r="AA1045" s="44"/>
    </row>
    <row r="1046" spans="1:27" ht="13">
      <c r="A1046" s="44"/>
      <c r="B1046" s="44"/>
      <c r="C1046" s="44"/>
      <c r="D1046" s="44"/>
      <c r="E1046" s="44"/>
      <c r="F1046" s="44"/>
      <c r="G1046" s="44"/>
      <c r="H1046" s="44"/>
      <c r="I1046" s="44"/>
      <c r="J1046" s="44"/>
      <c r="K1046" s="44"/>
      <c r="L1046" s="44"/>
      <c r="M1046" s="44"/>
      <c r="N1046" s="44"/>
      <c r="O1046" s="44"/>
      <c r="P1046" s="44"/>
      <c r="Q1046" s="44"/>
      <c r="R1046" s="44"/>
      <c r="S1046" s="44"/>
      <c r="T1046" s="44"/>
      <c r="U1046" s="44"/>
      <c r="V1046" s="44"/>
      <c r="W1046" s="44"/>
      <c r="X1046" s="44"/>
      <c r="Y1046" s="44"/>
      <c r="Z1046" s="44"/>
      <c r="AA1046" s="44"/>
    </row>
    <row r="1047" spans="1:27" ht="13">
      <c r="A1047" s="44"/>
      <c r="B1047" s="44"/>
      <c r="C1047" s="44"/>
      <c r="D1047" s="44"/>
      <c r="E1047" s="44"/>
      <c r="F1047" s="44"/>
      <c r="G1047" s="44"/>
      <c r="H1047" s="44"/>
      <c r="I1047" s="44"/>
      <c r="J1047" s="44"/>
      <c r="K1047" s="44"/>
      <c r="L1047" s="44"/>
      <c r="M1047" s="44"/>
      <c r="N1047" s="44"/>
      <c r="O1047" s="44"/>
      <c r="P1047" s="44"/>
      <c r="Q1047" s="44"/>
      <c r="R1047" s="44"/>
      <c r="S1047" s="44"/>
      <c r="T1047" s="44"/>
      <c r="U1047" s="44"/>
      <c r="V1047" s="44"/>
      <c r="W1047" s="44"/>
      <c r="X1047" s="44"/>
      <c r="Y1047" s="44"/>
      <c r="Z1047" s="44"/>
      <c r="AA1047" s="44"/>
    </row>
    <row r="1048" spans="1:27" ht="13">
      <c r="A1048" s="44"/>
      <c r="B1048" s="44"/>
      <c r="C1048" s="44"/>
      <c r="D1048" s="44"/>
      <c r="E1048" s="44"/>
      <c r="F1048" s="44"/>
      <c r="G1048" s="44"/>
      <c r="H1048" s="44"/>
      <c r="I1048" s="44"/>
      <c r="J1048" s="44"/>
      <c r="K1048" s="44"/>
      <c r="L1048" s="44"/>
      <c r="M1048" s="44"/>
      <c r="N1048" s="44"/>
      <c r="O1048" s="44"/>
      <c r="P1048" s="44"/>
      <c r="Q1048" s="44"/>
      <c r="R1048" s="44"/>
      <c r="S1048" s="44"/>
      <c r="T1048" s="44"/>
      <c r="U1048" s="44"/>
      <c r="V1048" s="44"/>
      <c r="W1048" s="44"/>
      <c r="X1048" s="44"/>
      <c r="Y1048" s="44"/>
      <c r="Z1048" s="44"/>
      <c r="AA1048" s="44"/>
    </row>
    <row r="1049" spans="1:27" ht="13">
      <c r="A1049" s="44"/>
      <c r="B1049" s="44"/>
      <c r="C1049" s="44"/>
      <c r="D1049" s="44"/>
      <c r="E1049" s="44"/>
      <c r="F1049" s="44"/>
      <c r="G1049" s="44"/>
      <c r="H1049" s="44"/>
      <c r="I1049" s="44"/>
      <c r="J1049" s="44"/>
      <c r="K1049" s="44"/>
      <c r="L1049" s="44"/>
      <c r="M1049" s="44"/>
      <c r="N1049" s="44"/>
      <c r="O1049" s="44"/>
      <c r="P1049" s="44"/>
      <c r="Q1049" s="44"/>
      <c r="R1049" s="44"/>
      <c r="S1049" s="44"/>
      <c r="T1049" s="44"/>
      <c r="U1049" s="44"/>
      <c r="V1049" s="44"/>
      <c r="W1049" s="44"/>
      <c r="X1049" s="44"/>
      <c r="Y1049" s="44"/>
      <c r="Z1049" s="44"/>
      <c r="AA1049" s="44"/>
    </row>
    <row r="1050" spans="1:27" ht="13">
      <c r="A1050" s="44"/>
      <c r="B1050" s="44"/>
      <c r="C1050" s="44"/>
      <c r="D1050" s="44"/>
      <c r="E1050" s="44"/>
      <c r="F1050" s="44"/>
      <c r="G1050" s="44"/>
      <c r="H1050" s="44"/>
      <c r="I1050" s="44"/>
      <c r="J1050" s="44"/>
      <c r="K1050" s="44"/>
      <c r="L1050" s="44"/>
      <c r="M1050" s="44"/>
      <c r="N1050" s="44"/>
      <c r="O1050" s="44"/>
      <c r="P1050" s="44"/>
      <c r="Q1050" s="44"/>
      <c r="R1050" s="44"/>
      <c r="S1050" s="44"/>
      <c r="T1050" s="44"/>
      <c r="U1050" s="44"/>
      <c r="V1050" s="44"/>
      <c r="W1050" s="44"/>
      <c r="X1050" s="44"/>
      <c r="Y1050" s="44"/>
      <c r="Z1050" s="44"/>
      <c r="AA1050" s="44"/>
    </row>
    <row r="1051" spans="1:27" ht="13">
      <c r="A1051" s="44"/>
      <c r="B1051" s="44"/>
      <c r="C1051" s="44"/>
      <c r="D1051" s="44"/>
      <c r="E1051" s="44"/>
      <c r="F1051" s="44"/>
      <c r="G1051" s="44"/>
      <c r="H1051" s="44"/>
      <c r="I1051" s="44"/>
      <c r="J1051" s="44"/>
      <c r="K1051" s="44"/>
      <c r="L1051" s="44"/>
      <c r="M1051" s="44"/>
      <c r="N1051" s="44"/>
      <c r="O1051" s="44"/>
      <c r="P1051" s="44"/>
      <c r="Q1051" s="44"/>
      <c r="R1051" s="44"/>
      <c r="S1051" s="44"/>
      <c r="T1051" s="44"/>
      <c r="U1051" s="44"/>
      <c r="V1051" s="44"/>
      <c r="W1051" s="44"/>
      <c r="X1051" s="44"/>
      <c r="Y1051" s="44"/>
      <c r="Z1051" s="44"/>
      <c r="AA1051" s="44"/>
    </row>
    <row r="1052" spans="1:27" ht="13">
      <c r="A1052" s="44"/>
      <c r="B1052" s="44"/>
      <c r="C1052" s="44"/>
      <c r="D1052" s="44"/>
      <c r="E1052" s="44"/>
      <c r="F1052" s="44"/>
      <c r="G1052" s="44"/>
      <c r="H1052" s="44"/>
      <c r="I1052" s="44"/>
      <c r="J1052" s="44"/>
      <c r="K1052" s="44"/>
      <c r="L1052" s="44"/>
      <c r="M1052" s="44"/>
      <c r="N1052" s="44"/>
      <c r="O1052" s="44"/>
      <c r="P1052" s="44"/>
      <c r="Q1052" s="44"/>
      <c r="R1052" s="44"/>
      <c r="S1052" s="44"/>
      <c r="T1052" s="44"/>
      <c r="U1052" s="44"/>
      <c r="V1052" s="44"/>
      <c r="W1052" s="44"/>
      <c r="X1052" s="44"/>
      <c r="Y1052" s="44"/>
      <c r="Z1052" s="44"/>
      <c r="AA1052" s="44"/>
    </row>
    <row r="1053" spans="1:27" ht="13">
      <c r="A1053" s="44"/>
      <c r="B1053" s="44"/>
      <c r="C1053" s="44"/>
      <c r="D1053" s="44"/>
      <c r="E1053" s="44"/>
      <c r="F1053" s="44"/>
      <c r="G1053" s="44"/>
      <c r="H1053" s="44"/>
      <c r="I1053" s="44"/>
      <c r="J1053" s="44"/>
      <c r="K1053" s="44"/>
      <c r="L1053" s="44"/>
      <c r="M1053" s="44"/>
      <c r="N1053" s="44"/>
      <c r="O1053" s="44"/>
      <c r="P1053" s="44"/>
      <c r="Q1053" s="44"/>
      <c r="R1053" s="44"/>
      <c r="S1053" s="44"/>
      <c r="T1053" s="44"/>
      <c r="U1053" s="44"/>
      <c r="V1053" s="44"/>
      <c r="W1053" s="44"/>
      <c r="X1053" s="44"/>
      <c r="Y1053" s="44"/>
      <c r="Z1053" s="44"/>
      <c r="AA1053" s="44"/>
    </row>
    <row r="1054" spans="1:27" ht="13">
      <c r="A1054" s="44"/>
      <c r="B1054" s="44"/>
      <c r="C1054" s="44"/>
      <c r="D1054" s="44"/>
      <c r="E1054" s="44"/>
      <c r="F1054" s="44"/>
      <c r="G1054" s="44"/>
      <c r="H1054" s="44"/>
      <c r="I1054" s="44"/>
      <c r="J1054" s="44"/>
      <c r="K1054" s="44"/>
      <c r="L1054" s="44"/>
      <c r="M1054" s="44"/>
      <c r="N1054" s="44"/>
      <c r="O1054" s="44"/>
      <c r="P1054" s="44"/>
      <c r="Q1054" s="44"/>
      <c r="R1054" s="44"/>
      <c r="S1054" s="44"/>
      <c r="T1054" s="44"/>
      <c r="U1054" s="44"/>
      <c r="V1054" s="44"/>
      <c r="W1054" s="44"/>
      <c r="X1054" s="44"/>
      <c r="Y1054" s="44"/>
      <c r="Z1054" s="44"/>
      <c r="AA1054" s="44"/>
    </row>
    <row r="1055" spans="1:27" ht="13">
      <c r="A1055" s="44"/>
      <c r="B1055" s="44"/>
      <c r="C1055" s="44"/>
      <c r="D1055" s="44"/>
      <c r="E1055" s="44"/>
      <c r="F1055" s="44"/>
      <c r="G1055" s="44"/>
      <c r="H1055" s="44"/>
      <c r="I1055" s="44"/>
      <c r="J1055" s="44"/>
      <c r="K1055" s="44"/>
      <c r="L1055" s="44"/>
      <c r="M1055" s="44"/>
      <c r="N1055" s="44"/>
      <c r="O1055" s="44"/>
      <c r="P1055" s="44"/>
      <c r="Q1055" s="44"/>
      <c r="R1055" s="44"/>
      <c r="S1055" s="44"/>
      <c r="T1055" s="44"/>
      <c r="U1055" s="44"/>
      <c r="V1055" s="44"/>
      <c r="W1055" s="44"/>
      <c r="X1055" s="44"/>
      <c r="Y1055" s="44"/>
      <c r="Z1055" s="44"/>
      <c r="AA1055" s="44"/>
    </row>
    <row r="1056" spans="1:27" ht="13">
      <c r="A1056" s="44"/>
      <c r="B1056" s="44"/>
      <c r="C1056" s="44"/>
      <c r="D1056" s="44"/>
      <c r="E1056" s="44"/>
      <c r="F1056" s="44"/>
      <c r="G1056" s="44"/>
      <c r="H1056" s="44"/>
      <c r="I1056" s="44"/>
      <c r="J1056" s="44"/>
      <c r="K1056" s="44"/>
      <c r="L1056" s="44"/>
      <c r="M1056" s="44"/>
      <c r="N1056" s="44"/>
      <c r="O1056" s="44"/>
      <c r="P1056" s="44"/>
      <c r="Q1056" s="44"/>
      <c r="R1056" s="44"/>
      <c r="S1056" s="44"/>
      <c r="T1056" s="44"/>
      <c r="U1056" s="44"/>
      <c r="V1056" s="44"/>
      <c r="W1056" s="44"/>
      <c r="X1056" s="44"/>
      <c r="Y1056" s="44"/>
      <c r="Z1056" s="44"/>
      <c r="AA1056" s="44"/>
    </row>
    <row r="1057" spans="1:27" ht="13">
      <c r="A1057" s="44"/>
      <c r="B1057" s="44"/>
      <c r="C1057" s="44"/>
      <c r="D1057" s="44"/>
      <c r="E1057" s="44"/>
      <c r="F1057" s="44"/>
      <c r="G1057" s="44"/>
      <c r="H1057" s="44"/>
      <c r="I1057" s="44"/>
      <c r="J1057" s="44"/>
      <c r="K1057" s="44"/>
      <c r="L1057" s="44"/>
      <c r="M1057" s="44"/>
      <c r="N1057" s="44"/>
      <c r="O1057" s="44"/>
      <c r="P1057" s="44"/>
      <c r="Q1057" s="44"/>
      <c r="R1057" s="44"/>
      <c r="S1057" s="44"/>
      <c r="T1057" s="44"/>
      <c r="U1057" s="44"/>
      <c r="V1057" s="44"/>
      <c r="W1057" s="44"/>
      <c r="X1057" s="44"/>
      <c r="Y1057" s="44"/>
      <c r="Z1057" s="44"/>
      <c r="AA1057" s="44"/>
    </row>
    <row r="1058" spans="1:27" ht="13">
      <c r="A1058" s="44"/>
      <c r="B1058" s="44"/>
      <c r="C1058" s="44"/>
      <c r="D1058" s="44"/>
      <c r="E1058" s="44"/>
      <c r="F1058" s="44"/>
      <c r="G1058" s="44"/>
      <c r="H1058" s="44"/>
      <c r="I1058" s="44"/>
      <c r="J1058" s="44"/>
      <c r="K1058" s="44"/>
      <c r="L1058" s="44"/>
      <c r="M1058" s="44"/>
      <c r="N1058" s="44"/>
      <c r="O1058" s="44"/>
      <c r="P1058" s="44"/>
      <c r="Q1058" s="44"/>
      <c r="R1058" s="44"/>
      <c r="S1058" s="44"/>
      <c r="T1058" s="44"/>
      <c r="U1058" s="44"/>
      <c r="V1058" s="44"/>
      <c r="W1058" s="44"/>
      <c r="X1058" s="44"/>
      <c r="Y1058" s="44"/>
      <c r="Z1058" s="44"/>
      <c r="AA1058" s="44"/>
    </row>
    <row r="1059" spans="1:27" ht="13">
      <c r="A1059" s="44"/>
      <c r="B1059" s="44"/>
      <c r="C1059" s="44"/>
      <c r="D1059" s="44"/>
      <c r="E1059" s="44"/>
      <c r="F1059" s="44"/>
      <c r="G1059" s="44"/>
      <c r="H1059" s="44"/>
      <c r="I1059" s="44"/>
      <c r="J1059" s="44"/>
      <c r="K1059" s="44"/>
      <c r="L1059" s="44"/>
      <c r="M1059" s="44"/>
      <c r="N1059" s="44"/>
      <c r="O1059" s="44"/>
      <c r="P1059" s="44"/>
      <c r="Q1059" s="44"/>
      <c r="R1059" s="44"/>
      <c r="S1059" s="44"/>
      <c r="T1059" s="44"/>
      <c r="U1059" s="44"/>
      <c r="V1059" s="44"/>
      <c r="W1059" s="44"/>
      <c r="X1059" s="44"/>
      <c r="Y1059" s="44"/>
      <c r="Z1059" s="44"/>
      <c r="AA1059" s="44"/>
    </row>
    <row r="1060" spans="1:27" ht="13">
      <c r="A1060" s="44"/>
      <c r="B1060" s="44"/>
      <c r="C1060" s="44"/>
      <c r="D1060" s="44"/>
      <c r="E1060" s="44"/>
      <c r="F1060" s="44"/>
      <c r="G1060" s="44"/>
      <c r="H1060" s="44"/>
      <c r="I1060" s="44"/>
      <c r="J1060" s="44"/>
      <c r="K1060" s="44"/>
      <c r="L1060" s="44"/>
      <c r="M1060" s="44"/>
      <c r="N1060" s="44"/>
      <c r="O1060" s="44"/>
      <c r="P1060" s="44"/>
      <c r="Q1060" s="44"/>
      <c r="R1060" s="44"/>
      <c r="S1060" s="44"/>
      <c r="T1060" s="44"/>
      <c r="U1060" s="44"/>
      <c r="V1060" s="44"/>
      <c r="W1060" s="44"/>
      <c r="X1060" s="44"/>
      <c r="Y1060" s="44"/>
      <c r="Z1060" s="44"/>
      <c r="AA1060" s="44"/>
    </row>
    <row r="1061" spans="1:27" ht="13">
      <c r="A1061" s="44"/>
      <c r="B1061" s="44"/>
      <c r="C1061" s="44"/>
      <c r="D1061" s="44"/>
      <c r="E1061" s="44"/>
      <c r="F1061" s="44"/>
      <c r="G1061" s="44"/>
      <c r="H1061" s="44"/>
      <c r="I1061" s="44"/>
      <c r="J1061" s="44"/>
      <c r="K1061" s="44"/>
      <c r="L1061" s="44"/>
      <c r="M1061" s="44"/>
      <c r="N1061" s="44"/>
      <c r="O1061" s="44"/>
      <c r="P1061" s="44"/>
      <c r="Q1061" s="44"/>
      <c r="R1061" s="44"/>
      <c r="S1061" s="44"/>
      <c r="T1061" s="44"/>
      <c r="U1061" s="44"/>
      <c r="V1061" s="44"/>
      <c r="W1061" s="44"/>
      <c r="X1061" s="44"/>
      <c r="Y1061" s="44"/>
      <c r="Z1061" s="44"/>
      <c r="AA1061" s="44"/>
    </row>
    <row r="1062" spans="1:27" ht="13">
      <c r="A1062" s="44"/>
      <c r="B1062" s="44"/>
      <c r="C1062" s="44"/>
      <c r="D1062" s="44"/>
      <c r="E1062" s="44"/>
      <c r="F1062" s="44"/>
      <c r="G1062" s="44"/>
      <c r="H1062" s="44"/>
      <c r="I1062" s="44"/>
      <c r="J1062" s="44"/>
      <c r="K1062" s="44"/>
      <c r="L1062" s="44"/>
      <c r="M1062" s="44"/>
      <c r="N1062" s="44"/>
      <c r="O1062" s="44"/>
      <c r="P1062" s="44"/>
      <c r="Q1062" s="44"/>
      <c r="R1062" s="44"/>
      <c r="S1062" s="44"/>
      <c r="T1062" s="44"/>
      <c r="U1062" s="44"/>
      <c r="V1062" s="44"/>
      <c r="W1062" s="44"/>
      <c r="X1062" s="44"/>
      <c r="Y1062" s="44"/>
      <c r="Z1062" s="44"/>
      <c r="AA1062" s="44"/>
    </row>
    <row r="1063" spans="1:27" ht="13">
      <c r="A1063" s="44"/>
      <c r="B1063" s="44"/>
      <c r="C1063" s="44"/>
      <c r="D1063" s="44"/>
      <c r="E1063" s="44"/>
      <c r="F1063" s="44"/>
      <c r="G1063" s="44"/>
      <c r="H1063" s="44"/>
      <c r="I1063" s="44"/>
      <c r="J1063" s="44"/>
      <c r="K1063" s="44"/>
      <c r="L1063" s="44"/>
      <c r="M1063" s="44"/>
      <c r="N1063" s="44"/>
      <c r="O1063" s="44"/>
      <c r="P1063" s="44"/>
      <c r="Q1063" s="44"/>
      <c r="R1063" s="44"/>
      <c r="S1063" s="44"/>
      <c r="T1063" s="44"/>
      <c r="U1063" s="44"/>
      <c r="V1063" s="44"/>
      <c r="W1063" s="44"/>
      <c r="X1063" s="44"/>
      <c r="Y1063" s="44"/>
      <c r="Z1063" s="44"/>
      <c r="AA1063" s="44"/>
    </row>
    <row r="1064" spans="1:27" ht="13">
      <c r="A1064" s="44"/>
      <c r="B1064" s="44"/>
      <c r="C1064" s="44"/>
      <c r="D1064" s="44"/>
      <c r="E1064" s="44"/>
      <c r="F1064" s="44"/>
      <c r="G1064" s="44"/>
      <c r="H1064" s="44"/>
      <c r="I1064" s="44"/>
      <c r="J1064" s="44"/>
      <c r="K1064" s="44"/>
      <c r="L1064" s="44"/>
      <c r="M1064" s="44"/>
      <c r="N1064" s="44"/>
      <c r="O1064" s="44"/>
      <c r="P1064" s="44"/>
      <c r="Q1064" s="44"/>
      <c r="R1064" s="44"/>
      <c r="S1064" s="44"/>
      <c r="T1064" s="44"/>
      <c r="U1064" s="44"/>
      <c r="V1064" s="44"/>
      <c r="W1064" s="44"/>
      <c r="X1064" s="44"/>
      <c r="Y1064" s="44"/>
      <c r="Z1064" s="44"/>
      <c r="AA1064" s="44"/>
    </row>
    <row r="1065" spans="1:27" ht="13">
      <c r="A1065" s="44"/>
      <c r="B1065" s="44"/>
      <c r="C1065" s="44"/>
      <c r="D1065" s="44"/>
      <c r="E1065" s="44"/>
      <c r="F1065" s="44"/>
      <c r="G1065" s="44"/>
      <c r="H1065" s="44"/>
      <c r="I1065" s="44"/>
      <c r="J1065" s="44"/>
      <c r="K1065" s="44"/>
      <c r="L1065" s="44"/>
      <c r="M1065" s="44"/>
      <c r="N1065" s="44"/>
      <c r="O1065" s="44"/>
      <c r="P1065" s="44"/>
      <c r="Q1065" s="44"/>
      <c r="R1065" s="44"/>
      <c r="S1065" s="44"/>
      <c r="T1065" s="44"/>
      <c r="U1065" s="44"/>
      <c r="V1065" s="44"/>
      <c r="W1065" s="44"/>
      <c r="X1065" s="44"/>
      <c r="Y1065" s="44"/>
      <c r="Z1065" s="44"/>
      <c r="AA1065" s="44"/>
    </row>
    <row r="1066" spans="1:27" ht="13">
      <c r="A1066" s="44"/>
      <c r="B1066" s="44"/>
      <c r="C1066" s="44"/>
      <c r="D1066" s="44"/>
      <c r="E1066" s="44"/>
      <c r="F1066" s="44"/>
      <c r="G1066" s="44"/>
      <c r="H1066" s="44"/>
      <c r="I1066" s="44"/>
      <c r="J1066" s="44"/>
      <c r="K1066" s="44"/>
      <c r="L1066" s="44"/>
      <c r="M1066" s="44"/>
      <c r="N1066" s="44"/>
      <c r="O1066" s="44"/>
      <c r="P1066" s="44"/>
      <c r="Q1066" s="44"/>
      <c r="R1066" s="44"/>
      <c r="S1066" s="44"/>
      <c r="T1066" s="44"/>
      <c r="U1066" s="44"/>
      <c r="V1066" s="44"/>
      <c r="W1066" s="44"/>
      <c r="X1066" s="44"/>
      <c r="Y1066" s="44"/>
      <c r="Z1066" s="44"/>
      <c r="AA1066" s="44"/>
    </row>
    <row r="1067" spans="1:27" ht="13">
      <c r="A1067" s="44"/>
      <c r="B1067" s="44"/>
      <c r="C1067" s="44"/>
      <c r="D1067" s="44"/>
      <c r="E1067" s="44"/>
      <c r="F1067" s="44"/>
      <c r="G1067" s="44"/>
      <c r="H1067" s="44"/>
      <c r="I1067" s="44"/>
      <c r="J1067" s="44"/>
      <c r="K1067" s="44"/>
      <c r="L1067" s="44"/>
      <c r="M1067" s="44"/>
      <c r="N1067" s="44"/>
      <c r="O1067" s="44"/>
      <c r="P1067" s="44"/>
      <c r="Q1067" s="44"/>
      <c r="R1067" s="44"/>
      <c r="S1067" s="44"/>
      <c r="T1067" s="44"/>
      <c r="U1067" s="44"/>
      <c r="V1067" s="44"/>
      <c r="W1067" s="44"/>
      <c r="X1067" s="44"/>
      <c r="Y1067" s="44"/>
      <c r="Z1067" s="44"/>
      <c r="AA1067" s="44"/>
    </row>
    <row r="1068" spans="1:27" ht="13">
      <c r="A1068" s="44"/>
      <c r="B1068" s="44"/>
      <c r="C1068" s="44"/>
      <c r="D1068" s="44"/>
      <c r="E1068" s="44"/>
      <c r="F1068" s="44"/>
      <c r="G1068" s="44"/>
      <c r="H1068" s="44"/>
      <c r="I1068" s="44"/>
      <c r="J1068" s="44"/>
      <c r="K1068" s="44"/>
      <c r="L1068" s="44"/>
      <c r="M1068" s="44"/>
      <c r="N1068" s="44"/>
      <c r="O1068" s="44"/>
      <c r="P1068" s="44"/>
      <c r="Q1068" s="44"/>
      <c r="R1068" s="44"/>
      <c r="S1068" s="44"/>
      <c r="T1068" s="44"/>
      <c r="U1068" s="44"/>
      <c r="V1068" s="44"/>
      <c r="W1068" s="44"/>
      <c r="X1068" s="44"/>
      <c r="Y1068" s="44"/>
      <c r="Z1068" s="44"/>
      <c r="AA1068" s="44"/>
    </row>
    <row r="1069" spans="1:27" ht="13">
      <c r="A1069" s="44"/>
      <c r="B1069" s="44"/>
      <c r="C1069" s="44"/>
      <c r="D1069" s="44"/>
      <c r="E1069" s="44"/>
      <c r="F1069" s="44"/>
      <c r="G1069" s="44"/>
      <c r="H1069" s="44"/>
      <c r="I1069" s="44"/>
      <c r="J1069" s="44"/>
      <c r="K1069" s="44"/>
      <c r="L1069" s="44"/>
      <c r="M1069" s="44"/>
      <c r="N1069" s="44"/>
      <c r="O1069" s="44"/>
      <c r="P1069" s="44"/>
      <c r="Q1069" s="44"/>
      <c r="R1069" s="44"/>
      <c r="S1069" s="44"/>
      <c r="T1069" s="44"/>
      <c r="U1069" s="44"/>
      <c r="V1069" s="44"/>
      <c r="W1069" s="44"/>
      <c r="X1069" s="44"/>
      <c r="Y1069" s="44"/>
      <c r="Z1069" s="44"/>
      <c r="AA1069" s="44"/>
    </row>
    <row r="1070" spans="1:27" ht="13">
      <c r="A1070" s="44"/>
      <c r="B1070" s="44"/>
      <c r="C1070" s="44"/>
      <c r="D1070" s="44"/>
      <c r="E1070" s="44"/>
      <c r="F1070" s="44"/>
      <c r="G1070" s="44"/>
      <c r="H1070" s="44"/>
      <c r="I1070" s="44"/>
      <c r="J1070" s="44"/>
      <c r="K1070" s="44"/>
      <c r="L1070" s="44"/>
      <c r="M1070" s="44"/>
      <c r="N1070" s="44"/>
      <c r="O1070" s="44"/>
      <c r="P1070" s="44"/>
      <c r="Q1070" s="44"/>
      <c r="R1070" s="44"/>
      <c r="S1070" s="44"/>
      <c r="T1070" s="44"/>
      <c r="U1070" s="44"/>
      <c r="V1070" s="44"/>
      <c r="W1070" s="44"/>
      <c r="X1070" s="44"/>
      <c r="Y1070" s="44"/>
      <c r="Z1070" s="44"/>
      <c r="AA1070" s="44"/>
    </row>
    <row r="1071" spans="1:27" ht="13">
      <c r="A1071" s="44"/>
      <c r="B1071" s="44"/>
      <c r="C1071" s="44"/>
      <c r="D1071" s="44"/>
      <c r="E1071" s="44"/>
      <c r="F1071" s="44"/>
      <c r="G1071" s="44"/>
      <c r="H1071" s="44"/>
      <c r="I1071" s="44"/>
      <c r="J1071" s="44"/>
      <c r="K1071" s="44"/>
      <c r="L1071" s="44"/>
      <c r="M1071" s="44"/>
      <c r="N1071" s="44"/>
      <c r="O1071" s="44"/>
      <c r="P1071" s="44"/>
      <c r="Q1071" s="44"/>
      <c r="R1071" s="44"/>
      <c r="S1071" s="44"/>
      <c r="T1071" s="44"/>
      <c r="U1071" s="44"/>
      <c r="V1071" s="44"/>
      <c r="W1071" s="44"/>
      <c r="X1071" s="44"/>
      <c r="Y1071" s="44"/>
      <c r="Z1071" s="44"/>
      <c r="AA1071" s="44"/>
    </row>
    <row r="1072" spans="1:27" ht="13">
      <c r="A1072" s="44"/>
      <c r="B1072" s="44"/>
      <c r="C1072" s="44"/>
      <c r="D1072" s="44"/>
      <c r="E1072" s="44"/>
      <c r="F1072" s="44"/>
      <c r="G1072" s="44"/>
      <c r="H1072" s="44"/>
      <c r="I1072" s="44"/>
      <c r="J1072" s="44"/>
      <c r="K1072" s="44"/>
      <c r="L1072" s="44"/>
      <c r="M1072" s="44"/>
      <c r="N1072" s="44"/>
      <c r="O1072" s="44"/>
      <c r="P1072" s="44"/>
      <c r="Q1072" s="44"/>
      <c r="R1072" s="44"/>
      <c r="S1072" s="44"/>
      <c r="T1072" s="44"/>
      <c r="U1072" s="44"/>
      <c r="V1072" s="44"/>
      <c r="W1072" s="44"/>
      <c r="X1072" s="44"/>
      <c r="Y1072" s="44"/>
      <c r="Z1072" s="44"/>
      <c r="AA1072" s="44"/>
    </row>
    <row r="1073" spans="1:27" ht="13">
      <c r="A1073" s="44"/>
      <c r="B1073" s="44"/>
      <c r="C1073" s="44"/>
      <c r="D1073" s="44"/>
      <c r="E1073" s="44"/>
      <c r="F1073" s="44"/>
      <c r="G1073" s="44"/>
      <c r="H1073" s="44"/>
      <c r="I1073" s="44"/>
      <c r="J1073" s="44"/>
      <c r="K1073" s="44"/>
      <c r="L1073" s="44"/>
      <c r="M1073" s="44"/>
      <c r="N1073" s="44"/>
      <c r="O1073" s="44"/>
      <c r="P1073" s="44"/>
      <c r="Q1073" s="44"/>
      <c r="R1073" s="44"/>
      <c r="S1073" s="44"/>
      <c r="T1073" s="44"/>
      <c r="U1073" s="44"/>
      <c r="V1073" s="44"/>
      <c r="W1073" s="44"/>
      <c r="X1073" s="44"/>
      <c r="Y1073" s="44"/>
      <c r="Z1073" s="44"/>
      <c r="AA1073" s="44"/>
    </row>
    <row r="1074" spans="1:27" ht="13">
      <c r="A1074" s="44"/>
      <c r="B1074" s="44"/>
      <c r="C1074" s="44"/>
      <c r="D1074" s="44"/>
      <c r="E1074" s="44"/>
      <c r="F1074" s="44"/>
      <c r="G1074" s="44"/>
      <c r="H1074" s="44"/>
      <c r="I1074" s="44"/>
      <c r="J1074" s="44"/>
      <c r="K1074" s="44"/>
      <c r="L1074" s="44"/>
      <c r="M1074" s="44"/>
      <c r="N1074" s="44"/>
      <c r="O1074" s="44"/>
      <c r="P1074" s="44"/>
      <c r="Q1074" s="44"/>
      <c r="R1074" s="44"/>
      <c r="S1074" s="44"/>
      <c r="T1074" s="44"/>
      <c r="U1074" s="44"/>
      <c r="V1074" s="44"/>
      <c r="W1074" s="44"/>
      <c r="X1074" s="44"/>
      <c r="Y1074" s="44"/>
      <c r="Z1074" s="44"/>
      <c r="AA1074" s="44"/>
    </row>
    <row r="1075" spans="1:27" ht="13">
      <c r="A1075" s="44"/>
      <c r="B1075" s="44"/>
      <c r="C1075" s="44"/>
      <c r="D1075" s="44"/>
      <c r="E1075" s="44"/>
      <c r="F1075" s="44"/>
      <c r="G1075" s="44"/>
      <c r="H1075" s="44"/>
      <c r="I1075" s="44"/>
      <c r="J1075" s="44"/>
      <c r="K1075" s="44"/>
      <c r="L1075" s="44"/>
      <c r="M1075" s="44"/>
      <c r="N1075" s="44"/>
      <c r="O1075" s="44"/>
      <c r="P1075" s="44"/>
      <c r="Q1075" s="44"/>
      <c r="R1075" s="44"/>
      <c r="S1075" s="44"/>
      <c r="T1075" s="44"/>
      <c r="U1075" s="44"/>
      <c r="V1075" s="44"/>
      <c r="W1075" s="44"/>
      <c r="X1075" s="44"/>
      <c r="Y1075" s="44"/>
      <c r="Z1075" s="44"/>
      <c r="AA1075" s="44"/>
    </row>
    <row r="1076" spans="1:27" ht="13">
      <c r="A1076" s="44"/>
      <c r="B1076" s="44"/>
      <c r="C1076" s="44"/>
      <c r="D1076" s="44"/>
      <c r="E1076" s="44"/>
      <c r="F1076" s="44"/>
      <c r="G1076" s="44"/>
      <c r="H1076" s="44"/>
      <c r="I1076" s="44"/>
      <c r="J1076" s="44"/>
      <c r="K1076" s="44"/>
      <c r="L1076" s="44"/>
      <c r="M1076" s="44"/>
      <c r="N1076" s="44"/>
      <c r="O1076" s="44"/>
      <c r="P1076" s="44"/>
      <c r="Q1076" s="44"/>
      <c r="R1076" s="44"/>
      <c r="S1076" s="44"/>
      <c r="T1076" s="44"/>
      <c r="U1076" s="44"/>
      <c r="V1076" s="44"/>
      <c r="W1076" s="44"/>
      <c r="X1076" s="44"/>
      <c r="Y1076" s="44"/>
      <c r="Z1076" s="44"/>
      <c r="AA1076" s="44"/>
    </row>
    <row r="1077" spans="1:27" ht="13">
      <c r="A1077" s="44"/>
      <c r="B1077" s="44"/>
      <c r="C1077" s="44"/>
      <c r="D1077" s="44"/>
      <c r="E1077" s="44"/>
      <c r="F1077" s="44"/>
      <c r="G1077" s="44"/>
      <c r="H1077" s="44"/>
      <c r="I1077" s="44"/>
      <c r="J1077" s="44"/>
      <c r="K1077" s="44"/>
      <c r="L1077" s="44"/>
      <c r="M1077" s="44"/>
      <c r="N1077" s="44"/>
      <c r="O1077" s="44"/>
      <c r="P1077" s="44"/>
      <c r="Q1077" s="44"/>
      <c r="R1077" s="44"/>
      <c r="S1077" s="44"/>
      <c r="T1077" s="44"/>
      <c r="U1077" s="44"/>
      <c r="V1077" s="44"/>
      <c r="W1077" s="44"/>
      <c r="X1077" s="44"/>
      <c r="Y1077" s="44"/>
      <c r="Z1077" s="44"/>
      <c r="AA1077" s="44"/>
    </row>
    <row r="1078" spans="1:27" ht="13">
      <c r="A1078" s="44"/>
      <c r="B1078" s="44"/>
      <c r="C1078" s="44"/>
      <c r="D1078" s="44"/>
      <c r="E1078" s="44"/>
      <c r="F1078" s="44"/>
      <c r="G1078" s="44"/>
      <c r="H1078" s="44"/>
      <c r="I1078" s="44"/>
      <c r="J1078" s="44"/>
      <c r="K1078" s="44"/>
      <c r="L1078" s="44"/>
      <c r="M1078" s="44"/>
      <c r="N1078" s="44"/>
      <c r="O1078" s="44"/>
      <c r="P1078" s="44"/>
      <c r="Q1078" s="44"/>
      <c r="R1078" s="44"/>
      <c r="S1078" s="44"/>
      <c r="T1078" s="44"/>
      <c r="U1078" s="44"/>
      <c r="V1078" s="44"/>
      <c r="W1078" s="44"/>
      <c r="X1078" s="44"/>
      <c r="Y1078" s="44"/>
      <c r="Z1078" s="44"/>
      <c r="AA1078" s="44"/>
    </row>
    <row r="1079" spans="1:27" ht="13">
      <c r="A1079" s="44"/>
      <c r="B1079" s="44"/>
      <c r="C1079" s="44"/>
      <c r="D1079" s="44"/>
      <c r="E1079" s="44"/>
      <c r="F1079" s="44"/>
      <c r="G1079" s="44"/>
      <c r="H1079" s="44"/>
      <c r="I1079" s="44"/>
      <c r="J1079" s="44"/>
      <c r="K1079" s="44"/>
      <c r="L1079" s="44"/>
      <c r="M1079" s="44"/>
      <c r="N1079" s="44"/>
      <c r="O1079" s="44"/>
      <c r="P1079" s="44"/>
      <c r="Q1079" s="44"/>
      <c r="R1079" s="44"/>
      <c r="S1079" s="44"/>
      <c r="T1079" s="44"/>
      <c r="U1079" s="44"/>
      <c r="V1079" s="44"/>
      <c r="W1079" s="44"/>
      <c r="X1079" s="44"/>
      <c r="Y1079" s="44"/>
      <c r="Z1079" s="44"/>
      <c r="AA1079" s="44"/>
    </row>
    <row r="1080" spans="1:27" ht="13">
      <c r="A1080" s="44"/>
      <c r="B1080" s="44"/>
      <c r="C1080" s="44"/>
      <c r="D1080" s="44"/>
      <c r="E1080" s="44"/>
      <c r="F1080" s="44"/>
      <c r="G1080" s="44"/>
      <c r="H1080" s="44"/>
      <c r="I1080" s="44"/>
      <c r="J1080" s="44"/>
      <c r="K1080" s="44"/>
      <c r="L1080" s="44"/>
      <c r="M1080" s="44"/>
      <c r="N1080" s="44"/>
      <c r="O1080" s="44"/>
      <c r="P1080" s="44"/>
      <c r="Q1080" s="44"/>
      <c r="R1080" s="44"/>
      <c r="S1080" s="44"/>
      <c r="T1080" s="44"/>
      <c r="U1080" s="44"/>
      <c r="V1080" s="44"/>
      <c r="W1080" s="44"/>
      <c r="X1080" s="44"/>
      <c r="Y1080" s="44"/>
      <c r="Z1080" s="44"/>
      <c r="AA1080" s="44"/>
    </row>
    <row r="1081" spans="1:27" ht="13">
      <c r="A1081" s="44"/>
      <c r="B1081" s="44"/>
      <c r="C1081" s="44"/>
      <c r="D1081" s="44"/>
      <c r="E1081" s="44"/>
      <c r="F1081" s="44"/>
      <c r="G1081" s="44"/>
      <c r="H1081" s="44"/>
      <c r="I1081" s="44"/>
      <c r="J1081" s="44"/>
      <c r="K1081" s="44"/>
      <c r="L1081" s="44"/>
      <c r="M1081" s="44"/>
      <c r="N1081" s="44"/>
      <c r="O1081" s="44"/>
      <c r="P1081" s="44"/>
      <c r="Q1081" s="44"/>
      <c r="R1081" s="44"/>
      <c r="S1081" s="44"/>
      <c r="T1081" s="44"/>
      <c r="U1081" s="44"/>
      <c r="V1081" s="44"/>
      <c r="W1081" s="44"/>
      <c r="X1081" s="44"/>
      <c r="Y1081" s="44"/>
      <c r="Z1081" s="44"/>
      <c r="AA1081" s="44"/>
    </row>
    <row r="1082" spans="1:27" ht="13">
      <c r="A1082" s="44"/>
      <c r="B1082" s="44"/>
      <c r="C1082" s="44"/>
      <c r="D1082" s="44"/>
      <c r="E1082" s="44"/>
      <c r="F1082" s="44"/>
      <c r="G1082" s="44"/>
      <c r="H1082" s="44"/>
      <c r="I1082" s="44"/>
      <c r="J1082" s="44"/>
      <c r="K1082" s="44"/>
      <c r="L1082" s="44"/>
      <c r="M1082" s="44"/>
      <c r="N1082" s="44"/>
      <c r="O1082" s="44"/>
      <c r="P1082" s="44"/>
      <c r="Q1082" s="44"/>
      <c r="R1082" s="44"/>
      <c r="S1082" s="44"/>
      <c r="T1082" s="44"/>
      <c r="U1082" s="44"/>
      <c r="V1082" s="44"/>
      <c r="W1082" s="44"/>
      <c r="X1082" s="44"/>
      <c r="Y1082" s="44"/>
      <c r="Z1082" s="44"/>
      <c r="AA1082" s="44"/>
    </row>
    <row r="1083" spans="1:27" ht="13">
      <c r="A1083" s="44"/>
      <c r="B1083" s="44"/>
      <c r="C1083" s="44"/>
      <c r="D1083" s="44"/>
      <c r="E1083" s="44"/>
      <c r="F1083" s="44"/>
      <c r="G1083" s="44"/>
      <c r="H1083" s="44"/>
      <c r="I1083" s="44"/>
      <c r="J1083" s="44"/>
      <c r="K1083" s="44"/>
      <c r="L1083" s="44"/>
      <c r="M1083" s="44"/>
      <c r="N1083" s="44"/>
      <c r="O1083" s="44"/>
      <c r="P1083" s="44"/>
      <c r="Q1083" s="44"/>
      <c r="R1083" s="44"/>
      <c r="S1083" s="44"/>
      <c r="T1083" s="44"/>
      <c r="U1083" s="44"/>
      <c r="V1083" s="44"/>
      <c r="W1083" s="44"/>
      <c r="X1083" s="44"/>
      <c r="Y1083" s="44"/>
      <c r="Z1083" s="44"/>
      <c r="AA1083" s="44"/>
    </row>
    <row r="1084" spans="1:27" ht="13">
      <c r="A1084" s="44"/>
      <c r="B1084" s="44"/>
      <c r="C1084" s="44"/>
      <c r="D1084" s="44"/>
      <c r="E1084" s="44"/>
      <c r="F1084" s="44"/>
      <c r="G1084" s="44"/>
      <c r="H1084" s="44"/>
      <c r="I1084" s="44"/>
      <c r="J1084" s="44"/>
      <c r="K1084" s="44"/>
      <c r="L1084" s="44"/>
      <c r="M1084" s="44"/>
      <c r="N1084" s="44"/>
      <c r="O1084" s="44"/>
      <c r="P1084" s="44"/>
      <c r="Q1084" s="44"/>
      <c r="R1084" s="44"/>
      <c r="S1084" s="44"/>
      <c r="T1084" s="44"/>
      <c r="U1084" s="44"/>
      <c r="V1084" s="44"/>
      <c r="W1084" s="44"/>
      <c r="X1084" s="44"/>
      <c r="Y1084" s="44"/>
      <c r="Z1084" s="44"/>
      <c r="AA1084" s="44"/>
    </row>
    <row r="1085" spans="1:27" ht="13">
      <c r="A1085" s="44"/>
      <c r="B1085" s="44"/>
      <c r="C1085" s="44"/>
      <c r="D1085" s="44"/>
      <c r="E1085" s="44"/>
      <c r="F1085" s="44"/>
      <c r="G1085" s="44"/>
      <c r="H1085" s="44"/>
      <c r="I1085" s="44"/>
      <c r="J1085" s="44"/>
      <c r="K1085" s="44"/>
      <c r="L1085" s="44"/>
      <c r="M1085" s="44"/>
      <c r="N1085" s="44"/>
      <c r="O1085" s="44"/>
      <c r="P1085" s="44"/>
      <c r="Q1085" s="44"/>
      <c r="R1085" s="44"/>
      <c r="S1085" s="44"/>
      <c r="T1085" s="44"/>
      <c r="U1085" s="44"/>
      <c r="V1085" s="44"/>
      <c r="W1085" s="44"/>
      <c r="X1085" s="44"/>
      <c r="Y1085" s="44"/>
      <c r="Z1085" s="44"/>
      <c r="AA1085" s="44"/>
    </row>
    <row r="1086" spans="1:27" ht="13">
      <c r="A1086" s="44"/>
      <c r="B1086" s="44"/>
      <c r="C1086" s="44"/>
      <c r="D1086" s="44"/>
      <c r="E1086" s="44"/>
      <c r="F1086" s="44"/>
      <c r="G1086" s="44"/>
      <c r="H1086" s="44"/>
      <c r="I1086" s="44"/>
      <c r="J1086" s="44"/>
      <c r="K1086" s="44"/>
      <c r="L1086" s="44"/>
      <c r="M1086" s="44"/>
      <c r="N1086" s="44"/>
      <c r="O1086" s="44"/>
      <c r="P1086" s="44"/>
      <c r="Q1086" s="44"/>
      <c r="R1086" s="44"/>
      <c r="S1086" s="44"/>
      <c r="T1086" s="44"/>
      <c r="U1086" s="44"/>
      <c r="V1086" s="44"/>
      <c r="W1086" s="44"/>
      <c r="X1086" s="44"/>
      <c r="Y1086" s="44"/>
      <c r="Z1086" s="44"/>
      <c r="AA1086" s="44"/>
    </row>
    <row r="1087" spans="1:27" ht="13">
      <c r="A1087" s="44"/>
      <c r="B1087" s="44"/>
      <c r="C1087" s="44"/>
      <c r="D1087" s="44"/>
      <c r="E1087" s="44"/>
      <c r="F1087" s="44"/>
      <c r="G1087" s="44"/>
      <c r="H1087" s="44"/>
      <c r="I1087" s="44"/>
      <c r="J1087" s="44"/>
      <c r="K1087" s="44"/>
      <c r="L1087" s="44"/>
      <c r="M1087" s="44"/>
      <c r="N1087" s="44"/>
      <c r="O1087" s="44"/>
      <c r="P1087" s="44"/>
      <c r="Q1087" s="44"/>
      <c r="R1087" s="44"/>
      <c r="S1087" s="44"/>
      <c r="T1087" s="44"/>
      <c r="U1087" s="44"/>
      <c r="V1087" s="44"/>
      <c r="W1087" s="44"/>
      <c r="X1087" s="44"/>
      <c r="Y1087" s="44"/>
      <c r="Z1087" s="44"/>
      <c r="AA1087" s="44"/>
    </row>
    <row r="1088" spans="1:27" ht="13">
      <c r="A1088" s="44"/>
      <c r="B1088" s="44"/>
      <c r="C1088" s="44"/>
      <c r="D1088" s="44"/>
      <c r="E1088" s="44"/>
      <c r="F1088" s="44"/>
      <c r="G1088" s="44"/>
      <c r="H1088" s="44"/>
      <c r="I1088" s="44"/>
      <c r="J1088" s="44"/>
      <c r="K1088" s="44"/>
      <c r="L1088" s="44"/>
      <c r="M1088" s="44"/>
      <c r="N1088" s="44"/>
      <c r="O1088" s="44"/>
      <c r="P1088" s="44"/>
      <c r="Q1088" s="44"/>
      <c r="R1088" s="44"/>
      <c r="S1088" s="44"/>
      <c r="T1088" s="44"/>
      <c r="U1088" s="44"/>
      <c r="V1088" s="44"/>
      <c r="W1088" s="44"/>
      <c r="X1088" s="44"/>
      <c r="Y1088" s="44"/>
      <c r="Z1088" s="44"/>
      <c r="AA1088" s="44"/>
    </row>
    <row r="1089" spans="1:27" ht="13">
      <c r="A1089" s="44"/>
      <c r="B1089" s="44"/>
      <c r="C1089" s="44"/>
      <c r="D1089" s="44"/>
      <c r="E1089" s="44"/>
      <c r="F1089" s="44"/>
      <c r="G1089" s="44"/>
      <c r="H1089" s="44"/>
      <c r="I1089" s="44"/>
      <c r="J1089" s="44"/>
      <c r="K1089" s="44"/>
      <c r="L1089" s="44"/>
      <c r="M1089" s="44"/>
      <c r="N1089" s="44"/>
      <c r="O1089" s="44"/>
      <c r="P1089" s="44"/>
      <c r="Q1089" s="44"/>
      <c r="R1089" s="44"/>
      <c r="S1089" s="44"/>
      <c r="T1089" s="44"/>
      <c r="U1089" s="44"/>
      <c r="V1089" s="44"/>
      <c r="W1089" s="44"/>
      <c r="X1089" s="44"/>
      <c r="Y1089" s="44"/>
      <c r="Z1089" s="44"/>
      <c r="AA1089" s="44"/>
    </row>
    <row r="1090" spans="1:27" ht="13">
      <c r="A1090" s="44"/>
      <c r="B1090" s="44"/>
      <c r="C1090" s="44"/>
      <c r="D1090" s="44"/>
      <c r="E1090" s="44"/>
      <c r="F1090" s="44"/>
      <c r="G1090" s="44"/>
      <c r="H1090" s="44"/>
      <c r="I1090" s="44"/>
      <c r="J1090" s="44"/>
      <c r="K1090" s="44"/>
      <c r="L1090" s="44"/>
      <c r="M1090" s="44"/>
      <c r="N1090" s="44"/>
      <c r="O1090" s="44"/>
      <c r="P1090" s="44"/>
      <c r="Q1090" s="44"/>
      <c r="R1090" s="44"/>
      <c r="S1090" s="44"/>
      <c r="T1090" s="44"/>
      <c r="U1090" s="44"/>
      <c r="V1090" s="44"/>
      <c r="W1090" s="44"/>
      <c r="X1090" s="44"/>
      <c r="Y1090" s="44"/>
      <c r="Z1090" s="44"/>
      <c r="AA1090" s="44"/>
    </row>
    <row r="1091" spans="1:27" ht="13">
      <c r="A1091" s="44"/>
      <c r="B1091" s="44"/>
      <c r="C1091" s="44"/>
      <c r="D1091" s="44"/>
      <c r="E1091" s="44"/>
      <c r="F1091" s="44"/>
      <c r="G1091" s="44"/>
      <c r="H1091" s="44"/>
      <c r="I1091" s="44"/>
      <c r="J1091" s="44"/>
      <c r="K1091" s="44"/>
      <c r="L1091" s="44"/>
      <c r="M1091" s="44"/>
      <c r="N1091" s="44"/>
      <c r="O1091" s="44"/>
      <c r="P1091" s="44"/>
      <c r="Q1091" s="44"/>
      <c r="R1091" s="44"/>
      <c r="S1091" s="44"/>
      <c r="T1091" s="44"/>
      <c r="U1091" s="44"/>
      <c r="V1091" s="44"/>
      <c r="W1091" s="44"/>
      <c r="X1091" s="44"/>
      <c r="Y1091" s="44"/>
      <c r="Z1091" s="44"/>
      <c r="AA1091" s="44"/>
    </row>
    <row r="1092" spans="1:27" ht="13">
      <c r="A1092" s="44"/>
      <c r="B1092" s="44"/>
      <c r="C1092" s="44"/>
      <c r="D1092" s="44"/>
      <c r="E1092" s="44"/>
      <c r="F1092" s="44"/>
      <c r="G1092" s="44"/>
      <c r="H1092" s="44"/>
      <c r="I1092" s="44"/>
      <c r="J1092" s="44"/>
      <c r="K1092" s="44"/>
      <c r="L1092" s="44"/>
      <c r="M1092" s="44"/>
      <c r="N1092" s="44"/>
      <c r="O1092" s="44"/>
      <c r="P1092" s="44"/>
      <c r="Q1092" s="44"/>
      <c r="R1092" s="44"/>
      <c r="S1092" s="44"/>
      <c r="T1092" s="44"/>
      <c r="U1092" s="44"/>
      <c r="V1092" s="44"/>
      <c r="W1092" s="44"/>
      <c r="X1092" s="44"/>
      <c r="Y1092" s="44"/>
      <c r="Z1092" s="44"/>
      <c r="AA1092" s="44"/>
    </row>
    <row r="1093" spans="1:27" ht="13">
      <c r="A1093" s="44"/>
      <c r="B1093" s="44"/>
      <c r="C1093" s="44"/>
      <c r="D1093" s="44"/>
      <c r="E1093" s="44"/>
      <c r="F1093" s="44"/>
      <c r="G1093" s="44"/>
      <c r="H1093" s="44"/>
      <c r="I1093" s="44"/>
      <c r="J1093" s="44"/>
      <c r="K1093" s="44"/>
      <c r="L1093" s="44"/>
      <c r="M1093" s="44"/>
      <c r="N1093" s="44"/>
      <c r="O1093" s="44"/>
      <c r="P1093" s="44"/>
      <c r="Q1093" s="44"/>
      <c r="R1093" s="44"/>
      <c r="S1093" s="44"/>
      <c r="T1093" s="44"/>
      <c r="U1093" s="44"/>
      <c r="V1093" s="44"/>
      <c r="W1093" s="44"/>
      <c r="X1093" s="44"/>
      <c r="Y1093" s="44"/>
      <c r="Z1093" s="44"/>
      <c r="AA1093" s="44"/>
    </row>
    <row r="1094" spans="1:27" ht="13">
      <c r="A1094" s="44"/>
      <c r="B1094" s="44"/>
      <c r="C1094" s="44"/>
      <c r="D1094" s="44"/>
      <c r="E1094" s="44"/>
      <c r="F1094" s="44"/>
      <c r="G1094" s="44"/>
      <c r="H1094" s="44"/>
      <c r="I1094" s="44"/>
      <c r="J1094" s="44"/>
      <c r="K1094" s="44"/>
      <c r="L1094" s="44"/>
      <c r="M1094" s="44"/>
      <c r="N1094" s="44"/>
      <c r="O1094" s="44"/>
      <c r="P1094" s="44"/>
      <c r="Q1094" s="44"/>
      <c r="R1094" s="44"/>
      <c r="S1094" s="44"/>
      <c r="T1094" s="44"/>
      <c r="U1094" s="44"/>
      <c r="V1094" s="44"/>
      <c r="W1094" s="44"/>
      <c r="X1094" s="44"/>
      <c r="Y1094" s="44"/>
      <c r="Z1094" s="44"/>
      <c r="AA1094" s="44"/>
    </row>
    <row r="1095" spans="1:27" ht="13">
      <c r="A1095" s="44"/>
      <c r="B1095" s="44"/>
      <c r="C1095" s="44"/>
      <c r="D1095" s="44"/>
      <c r="E1095" s="44"/>
      <c r="F1095" s="44"/>
      <c r="G1095" s="44"/>
      <c r="H1095" s="44"/>
      <c r="I1095" s="44"/>
      <c r="J1095" s="44"/>
      <c r="K1095" s="44"/>
      <c r="L1095" s="44"/>
      <c r="M1095" s="44"/>
      <c r="N1095" s="44"/>
      <c r="O1095" s="44"/>
      <c r="P1095" s="44"/>
      <c r="Q1095" s="44"/>
      <c r="R1095" s="44"/>
      <c r="S1095" s="44"/>
      <c r="T1095" s="44"/>
      <c r="U1095" s="44"/>
      <c r="V1095" s="44"/>
      <c r="W1095" s="44"/>
      <c r="X1095" s="44"/>
      <c r="Y1095" s="44"/>
      <c r="Z1095" s="44"/>
      <c r="AA1095" s="44"/>
    </row>
    <row r="1096" spans="1:27" ht="13">
      <c r="A1096" s="44"/>
      <c r="B1096" s="44"/>
      <c r="C1096" s="44"/>
      <c r="D1096" s="44"/>
      <c r="E1096" s="44"/>
      <c r="F1096" s="44"/>
      <c r="G1096" s="44"/>
      <c r="H1096" s="44"/>
      <c r="I1096" s="44"/>
      <c r="J1096" s="44"/>
      <c r="K1096" s="44"/>
      <c r="L1096" s="44"/>
      <c r="M1096" s="44"/>
      <c r="N1096" s="44"/>
      <c r="O1096" s="44"/>
      <c r="P1096" s="44"/>
      <c r="Q1096" s="44"/>
      <c r="R1096" s="44"/>
      <c r="S1096" s="44"/>
      <c r="T1096" s="44"/>
      <c r="U1096" s="44"/>
      <c r="V1096" s="44"/>
      <c r="W1096" s="44"/>
      <c r="X1096" s="44"/>
      <c r="Y1096" s="44"/>
      <c r="Z1096" s="44"/>
      <c r="AA1096" s="44"/>
    </row>
    <row r="1097" spans="1:27" ht="13">
      <c r="A1097" s="44"/>
      <c r="B1097" s="44"/>
      <c r="C1097" s="44"/>
      <c r="D1097" s="44"/>
      <c r="E1097" s="44"/>
      <c r="F1097" s="44"/>
      <c r="G1097" s="44"/>
      <c r="H1097" s="44"/>
      <c r="I1097" s="44"/>
      <c r="J1097" s="44"/>
      <c r="K1097" s="44"/>
      <c r="L1097" s="44"/>
      <c r="M1097" s="44"/>
      <c r="N1097" s="44"/>
      <c r="O1097" s="44"/>
      <c r="P1097" s="44"/>
      <c r="Q1097" s="44"/>
      <c r="R1097" s="44"/>
      <c r="S1097" s="44"/>
      <c r="T1097" s="44"/>
      <c r="U1097" s="44"/>
      <c r="V1097" s="44"/>
      <c r="W1097" s="44"/>
      <c r="X1097" s="44"/>
      <c r="Y1097" s="44"/>
      <c r="Z1097" s="44"/>
      <c r="AA1097" s="44"/>
    </row>
    <row r="1098" spans="1:27" ht="13">
      <c r="A1098" s="44"/>
      <c r="B1098" s="44"/>
      <c r="C1098" s="44"/>
      <c r="D1098" s="44"/>
      <c r="E1098" s="44"/>
      <c r="F1098" s="44"/>
      <c r="G1098" s="44"/>
      <c r="H1098" s="44"/>
      <c r="I1098" s="44"/>
      <c r="J1098" s="44"/>
      <c r="K1098" s="44"/>
      <c r="L1098" s="44"/>
      <c r="M1098" s="44"/>
      <c r="N1098" s="44"/>
      <c r="O1098" s="44"/>
      <c r="P1098" s="44"/>
      <c r="Q1098" s="44"/>
      <c r="R1098" s="44"/>
      <c r="S1098" s="44"/>
      <c r="T1098" s="44"/>
      <c r="U1098" s="44"/>
      <c r="V1098" s="44"/>
      <c r="W1098" s="44"/>
      <c r="X1098" s="44"/>
      <c r="Y1098" s="44"/>
      <c r="Z1098" s="44"/>
      <c r="AA1098" s="44"/>
    </row>
    <row r="1099" spans="1:27" ht="13">
      <c r="A1099" s="44"/>
      <c r="B1099" s="44"/>
      <c r="C1099" s="44"/>
      <c r="D1099" s="44"/>
      <c r="E1099" s="44"/>
      <c r="F1099" s="44"/>
      <c r="G1099" s="44"/>
      <c r="H1099" s="44"/>
      <c r="I1099" s="44"/>
      <c r="J1099" s="44"/>
      <c r="K1099" s="44"/>
      <c r="L1099" s="44"/>
      <c r="M1099" s="44"/>
      <c r="N1099" s="44"/>
      <c r="O1099" s="44"/>
      <c r="P1099" s="44"/>
      <c r="Q1099" s="44"/>
      <c r="R1099" s="44"/>
      <c r="S1099" s="44"/>
      <c r="T1099" s="44"/>
      <c r="U1099" s="44"/>
      <c r="V1099" s="44"/>
      <c r="W1099" s="44"/>
      <c r="X1099" s="44"/>
      <c r="Y1099" s="44"/>
      <c r="Z1099" s="44"/>
      <c r="AA1099" s="44"/>
    </row>
    <row r="1100" spans="1:27" ht="13">
      <c r="A1100" s="44"/>
      <c r="B1100" s="44"/>
      <c r="C1100" s="44"/>
      <c r="D1100" s="44"/>
      <c r="E1100" s="44"/>
      <c r="F1100" s="44"/>
      <c r="G1100" s="44"/>
      <c r="H1100" s="44"/>
      <c r="I1100" s="44"/>
      <c r="J1100" s="44"/>
      <c r="K1100" s="44"/>
      <c r="L1100" s="44"/>
      <c r="M1100" s="44"/>
      <c r="N1100" s="44"/>
      <c r="O1100" s="44"/>
      <c r="P1100" s="44"/>
      <c r="Q1100" s="44"/>
      <c r="R1100" s="44"/>
      <c r="S1100" s="44"/>
      <c r="T1100" s="44"/>
      <c r="U1100" s="44"/>
      <c r="V1100" s="44"/>
      <c r="W1100" s="44"/>
      <c r="X1100" s="44"/>
      <c r="Y1100" s="44"/>
      <c r="Z1100" s="44"/>
      <c r="AA1100" s="44"/>
    </row>
    <row r="1101" spans="1:27" ht="13">
      <c r="A1101" s="44"/>
      <c r="B1101" s="44"/>
      <c r="C1101" s="44"/>
      <c r="D1101" s="44"/>
      <c r="E1101" s="44"/>
      <c r="F1101" s="44"/>
      <c r="G1101" s="44"/>
      <c r="H1101" s="44"/>
      <c r="I1101" s="44"/>
      <c r="J1101" s="44"/>
      <c r="K1101" s="44"/>
      <c r="L1101" s="44"/>
      <c r="M1101" s="44"/>
      <c r="N1101" s="44"/>
      <c r="O1101" s="44"/>
      <c r="P1101" s="44"/>
      <c r="Q1101" s="44"/>
      <c r="R1101" s="44"/>
      <c r="S1101" s="44"/>
      <c r="T1101" s="44"/>
      <c r="U1101" s="44"/>
      <c r="V1101" s="44"/>
      <c r="W1101" s="44"/>
      <c r="X1101" s="44"/>
      <c r="Y1101" s="44"/>
      <c r="Z1101" s="44"/>
      <c r="AA1101" s="44"/>
    </row>
    <row r="1102" spans="1:27" ht="13">
      <c r="A1102" s="44"/>
      <c r="B1102" s="44"/>
      <c r="C1102" s="44"/>
      <c r="D1102" s="44"/>
      <c r="E1102" s="44"/>
      <c r="F1102" s="44"/>
      <c r="G1102" s="44"/>
      <c r="H1102" s="44"/>
      <c r="I1102" s="44"/>
      <c r="J1102" s="44"/>
      <c r="K1102" s="44"/>
      <c r="L1102" s="44"/>
      <c r="M1102" s="44"/>
      <c r="N1102" s="44"/>
      <c r="O1102" s="44"/>
      <c r="P1102" s="44"/>
      <c r="Q1102" s="44"/>
      <c r="R1102" s="44"/>
      <c r="S1102" s="44"/>
      <c r="T1102" s="44"/>
      <c r="U1102" s="44"/>
      <c r="V1102" s="44"/>
      <c r="W1102" s="44"/>
      <c r="X1102" s="44"/>
      <c r="Y1102" s="44"/>
      <c r="Z1102" s="44"/>
      <c r="AA1102" s="44"/>
    </row>
    <row r="1103" spans="1:27" ht="13">
      <c r="A1103" s="44"/>
      <c r="B1103" s="44"/>
      <c r="C1103" s="44"/>
      <c r="D1103" s="44"/>
      <c r="E1103" s="44"/>
      <c r="F1103" s="44"/>
      <c r="G1103" s="44"/>
      <c r="H1103" s="44"/>
      <c r="I1103" s="44"/>
      <c r="J1103" s="44"/>
      <c r="K1103" s="44"/>
      <c r="L1103" s="44"/>
      <c r="M1103" s="44"/>
      <c r="N1103" s="44"/>
      <c r="O1103" s="44"/>
      <c r="P1103" s="44"/>
      <c r="Q1103" s="44"/>
      <c r="R1103" s="44"/>
      <c r="S1103" s="44"/>
      <c r="T1103" s="44"/>
      <c r="U1103" s="44"/>
      <c r="V1103" s="44"/>
      <c r="W1103" s="44"/>
      <c r="X1103" s="44"/>
      <c r="Y1103" s="44"/>
      <c r="Z1103" s="44"/>
      <c r="AA1103" s="44"/>
    </row>
    <row r="1104" spans="1:27" ht="13">
      <c r="A1104" s="44"/>
      <c r="B1104" s="44"/>
      <c r="C1104" s="44"/>
      <c r="D1104" s="44"/>
      <c r="E1104" s="44"/>
      <c r="F1104" s="44"/>
      <c r="G1104" s="44"/>
      <c r="H1104" s="44"/>
      <c r="I1104" s="44"/>
      <c r="J1104" s="44"/>
      <c r="K1104" s="44"/>
      <c r="L1104" s="44"/>
      <c r="M1104" s="44"/>
      <c r="N1104" s="44"/>
      <c r="O1104" s="44"/>
      <c r="P1104" s="44"/>
      <c r="Q1104" s="44"/>
      <c r="R1104" s="44"/>
      <c r="S1104" s="44"/>
      <c r="T1104" s="44"/>
      <c r="U1104" s="44"/>
      <c r="V1104" s="44"/>
      <c r="W1104" s="44"/>
      <c r="X1104" s="44"/>
      <c r="Y1104" s="44"/>
      <c r="Z1104" s="44"/>
      <c r="AA1104" s="44"/>
    </row>
    <row r="1105" spans="1:27" ht="13">
      <c r="A1105" s="44"/>
      <c r="B1105" s="44"/>
      <c r="C1105" s="44"/>
      <c r="D1105" s="44"/>
      <c r="E1105" s="44"/>
      <c r="F1105" s="44"/>
      <c r="G1105" s="44"/>
      <c r="H1105" s="44"/>
      <c r="I1105" s="44"/>
      <c r="J1105" s="44"/>
      <c r="K1105" s="44"/>
      <c r="L1105" s="44"/>
      <c r="M1105" s="44"/>
      <c r="N1105" s="44"/>
      <c r="O1105" s="44"/>
      <c r="P1105" s="44"/>
      <c r="Q1105" s="44"/>
      <c r="R1105" s="44"/>
      <c r="S1105" s="44"/>
      <c r="T1105" s="44"/>
      <c r="U1105" s="44"/>
      <c r="V1105" s="44"/>
      <c r="W1105" s="44"/>
      <c r="X1105" s="44"/>
      <c r="Y1105" s="44"/>
      <c r="Z1105" s="44"/>
      <c r="AA1105" s="44"/>
    </row>
    <row r="1106" spans="1:27" ht="13">
      <c r="A1106" s="44"/>
      <c r="B1106" s="44"/>
      <c r="C1106" s="44"/>
      <c r="D1106" s="44"/>
      <c r="E1106" s="44"/>
      <c r="F1106" s="44"/>
      <c r="G1106" s="44"/>
      <c r="H1106" s="44"/>
      <c r="I1106" s="44"/>
      <c r="J1106" s="44"/>
      <c r="K1106" s="44"/>
      <c r="L1106" s="44"/>
      <c r="M1106" s="44"/>
      <c r="N1106" s="44"/>
      <c r="O1106" s="44"/>
      <c r="P1106" s="44"/>
      <c r="Q1106" s="44"/>
      <c r="R1106" s="44"/>
      <c r="S1106" s="44"/>
      <c r="T1106" s="44"/>
      <c r="U1106" s="44"/>
      <c r="V1106" s="44"/>
      <c r="W1106" s="44"/>
      <c r="X1106" s="44"/>
      <c r="Y1106" s="44"/>
      <c r="Z1106" s="44"/>
      <c r="AA1106" s="44"/>
    </row>
    <row r="1107" spans="1:27" ht="13">
      <c r="A1107" s="44"/>
      <c r="B1107" s="44"/>
      <c r="C1107" s="44"/>
      <c r="D1107" s="44"/>
      <c r="E1107" s="44"/>
      <c r="F1107" s="44"/>
      <c r="G1107" s="44"/>
      <c r="H1107" s="44"/>
      <c r="I1107" s="44"/>
      <c r="J1107" s="44"/>
      <c r="K1107" s="44"/>
      <c r="L1107" s="44"/>
      <c r="M1107" s="44"/>
      <c r="N1107" s="44"/>
      <c r="O1107" s="44"/>
      <c r="P1107" s="44"/>
      <c r="Q1107" s="44"/>
      <c r="R1107" s="44"/>
      <c r="S1107" s="44"/>
      <c r="T1107" s="44"/>
      <c r="U1107" s="44"/>
      <c r="V1107" s="44"/>
      <c r="W1107" s="44"/>
      <c r="X1107" s="44"/>
      <c r="Y1107" s="44"/>
      <c r="Z1107" s="44"/>
      <c r="AA1107" s="44"/>
    </row>
    <row r="1108" spans="1:27" ht="13">
      <c r="A1108" s="44"/>
      <c r="B1108" s="44"/>
      <c r="C1108" s="44"/>
      <c r="D1108" s="44"/>
      <c r="E1108" s="44"/>
      <c r="F1108" s="44"/>
      <c r="G1108" s="44"/>
      <c r="H1108" s="44"/>
      <c r="I1108" s="44"/>
      <c r="J1108" s="44"/>
      <c r="K1108" s="44"/>
      <c r="L1108" s="44"/>
      <c r="M1108" s="44"/>
      <c r="N1108" s="44"/>
      <c r="O1108" s="44"/>
      <c r="P1108" s="44"/>
      <c r="Q1108" s="44"/>
      <c r="R1108" s="44"/>
      <c r="S1108" s="44"/>
      <c r="T1108" s="44"/>
      <c r="U1108" s="44"/>
      <c r="V1108" s="44"/>
      <c r="W1108" s="44"/>
      <c r="X1108" s="44"/>
      <c r="Y1108" s="44"/>
      <c r="Z1108" s="44"/>
      <c r="AA1108" s="44"/>
    </row>
    <row r="1109" spans="1:27" ht="13">
      <c r="A1109" s="44"/>
      <c r="B1109" s="44"/>
      <c r="C1109" s="44"/>
      <c r="D1109" s="44"/>
      <c r="E1109" s="44"/>
      <c r="F1109" s="44"/>
      <c r="G1109" s="44"/>
      <c r="H1109" s="44"/>
      <c r="I1109" s="44"/>
      <c r="J1109" s="44"/>
      <c r="K1109" s="44"/>
      <c r="L1109" s="44"/>
      <c r="M1109" s="44"/>
      <c r="N1109" s="44"/>
      <c r="O1109" s="44"/>
      <c r="P1109" s="44"/>
      <c r="Q1109" s="44"/>
      <c r="R1109" s="44"/>
      <c r="S1109" s="44"/>
      <c r="T1109" s="44"/>
      <c r="U1109" s="44"/>
      <c r="V1109" s="44"/>
      <c r="W1109" s="44"/>
      <c r="X1109" s="44"/>
      <c r="Y1109" s="44"/>
      <c r="Z1109" s="44"/>
      <c r="AA1109" s="44"/>
    </row>
    <row r="1110" spans="1:27" ht="13">
      <c r="A1110" s="44"/>
      <c r="B1110" s="44"/>
      <c r="C1110" s="44"/>
      <c r="D1110" s="44"/>
      <c r="E1110" s="44"/>
      <c r="F1110" s="44"/>
      <c r="G1110" s="44"/>
      <c r="H1110" s="44"/>
      <c r="I1110" s="44"/>
      <c r="J1110" s="44"/>
      <c r="K1110" s="44"/>
      <c r="L1110" s="44"/>
      <c r="M1110" s="44"/>
      <c r="N1110" s="44"/>
      <c r="O1110" s="44"/>
      <c r="P1110" s="44"/>
      <c r="Q1110" s="44"/>
      <c r="R1110" s="44"/>
      <c r="S1110" s="44"/>
      <c r="T1110" s="44"/>
      <c r="U1110" s="44"/>
      <c r="V1110" s="44"/>
      <c r="W1110" s="44"/>
      <c r="X1110" s="44"/>
      <c r="Y1110" s="44"/>
      <c r="Z1110" s="44"/>
      <c r="AA1110" s="44"/>
    </row>
    <row r="1111" spans="1:27" ht="13">
      <c r="A1111" s="44"/>
      <c r="B1111" s="44"/>
      <c r="C1111" s="44"/>
      <c r="D1111" s="44"/>
      <c r="E1111" s="44"/>
      <c r="F1111" s="44"/>
      <c r="G1111" s="44"/>
      <c r="H1111" s="44"/>
      <c r="I1111" s="44"/>
      <c r="J1111" s="44"/>
      <c r="K1111" s="44"/>
      <c r="L1111" s="44"/>
      <c r="M1111" s="44"/>
      <c r="N1111" s="44"/>
      <c r="O1111" s="44"/>
      <c r="P1111" s="44"/>
      <c r="Q1111" s="44"/>
      <c r="R1111" s="44"/>
      <c r="S1111" s="44"/>
      <c r="T1111" s="44"/>
      <c r="U1111" s="44"/>
      <c r="V1111" s="44"/>
      <c r="W1111" s="44"/>
      <c r="X1111" s="44"/>
      <c r="Y1111" s="44"/>
      <c r="Z1111" s="44"/>
      <c r="AA1111" s="44"/>
    </row>
    <row r="1112" spans="1:27" ht="13">
      <c r="A1112" s="44"/>
      <c r="B1112" s="44"/>
      <c r="C1112" s="44"/>
      <c r="D1112" s="44"/>
      <c r="E1112" s="44"/>
      <c r="F1112" s="44"/>
      <c r="G1112" s="44"/>
      <c r="H1112" s="44"/>
      <c r="I1112" s="44"/>
      <c r="J1112" s="44"/>
      <c r="K1112" s="44"/>
      <c r="L1112" s="44"/>
      <c r="M1112" s="44"/>
      <c r="N1112" s="44"/>
      <c r="O1112" s="44"/>
      <c r="P1112" s="44"/>
      <c r="Q1112" s="44"/>
      <c r="R1112" s="44"/>
      <c r="S1112" s="44"/>
      <c r="T1112" s="44"/>
      <c r="U1112" s="44"/>
      <c r="V1112" s="44"/>
      <c r="W1112" s="44"/>
      <c r="X1112" s="44"/>
      <c r="Y1112" s="44"/>
      <c r="Z1112" s="44"/>
      <c r="AA1112" s="44"/>
    </row>
    <row r="1113" spans="1:27" ht="13">
      <c r="A1113" s="44"/>
      <c r="B1113" s="44"/>
      <c r="C1113" s="44"/>
      <c r="D1113" s="44"/>
      <c r="E1113" s="44"/>
      <c r="F1113" s="44"/>
      <c r="G1113" s="44"/>
      <c r="H1113" s="44"/>
      <c r="I1113" s="44"/>
      <c r="J1113" s="44"/>
      <c r="K1113" s="44"/>
      <c r="L1113" s="44"/>
      <c r="M1113" s="44"/>
      <c r="N1113" s="44"/>
      <c r="O1113" s="44"/>
      <c r="P1113" s="44"/>
      <c r="Q1113" s="44"/>
      <c r="R1113" s="44"/>
      <c r="S1113" s="44"/>
      <c r="T1113" s="44"/>
      <c r="U1113" s="44"/>
      <c r="V1113" s="44"/>
      <c r="W1113" s="44"/>
      <c r="X1113" s="44"/>
      <c r="Y1113" s="44"/>
      <c r="Z1113" s="44"/>
      <c r="AA1113" s="44"/>
    </row>
    <row r="1114" spans="1:27" ht="13">
      <c r="A1114" s="44"/>
      <c r="B1114" s="44"/>
      <c r="C1114" s="44"/>
      <c r="D1114" s="44"/>
      <c r="E1114" s="44"/>
      <c r="F1114" s="44"/>
      <c r="G1114" s="44"/>
      <c r="H1114" s="44"/>
      <c r="I1114" s="44"/>
      <c r="J1114" s="44"/>
      <c r="K1114" s="44"/>
      <c r="L1114" s="44"/>
      <c r="M1114" s="44"/>
      <c r="N1114" s="44"/>
      <c r="O1114" s="44"/>
      <c r="P1114" s="44"/>
      <c r="Q1114" s="44"/>
      <c r="R1114" s="44"/>
      <c r="S1114" s="44"/>
      <c r="T1114" s="44"/>
      <c r="U1114" s="44"/>
      <c r="V1114" s="44"/>
      <c r="W1114" s="44"/>
      <c r="X1114" s="44"/>
      <c r="Y1114" s="44"/>
      <c r="Z1114" s="44"/>
      <c r="AA1114" s="44"/>
    </row>
    <row r="1115" spans="1:27" ht="13">
      <c r="A1115" s="44"/>
      <c r="B1115" s="44"/>
      <c r="C1115" s="44"/>
      <c r="D1115" s="44"/>
      <c r="E1115" s="44"/>
      <c r="F1115" s="44"/>
      <c r="G1115" s="44"/>
      <c r="H1115" s="44"/>
      <c r="I1115" s="44"/>
      <c r="J1115" s="44"/>
      <c r="K1115" s="44"/>
      <c r="L1115" s="44"/>
      <c r="M1115" s="44"/>
      <c r="N1115" s="44"/>
      <c r="O1115" s="44"/>
      <c r="P1115" s="44"/>
      <c r="Q1115" s="44"/>
      <c r="R1115" s="44"/>
      <c r="S1115" s="44"/>
      <c r="T1115" s="44"/>
      <c r="U1115" s="44"/>
      <c r="V1115" s="44"/>
      <c r="W1115" s="44"/>
      <c r="X1115" s="44"/>
      <c r="Y1115" s="44"/>
      <c r="Z1115" s="44"/>
      <c r="AA1115" s="44"/>
    </row>
    <row r="1116" spans="1:27" ht="13">
      <c r="A1116" s="44"/>
      <c r="B1116" s="44"/>
      <c r="C1116" s="44"/>
      <c r="D1116" s="44"/>
      <c r="E1116" s="44"/>
      <c r="F1116" s="44"/>
      <c r="G1116" s="44"/>
      <c r="H1116" s="44"/>
      <c r="I1116" s="44"/>
      <c r="J1116" s="44"/>
      <c r="K1116" s="44"/>
      <c r="L1116" s="44"/>
      <c r="M1116" s="44"/>
      <c r="N1116" s="44"/>
      <c r="O1116" s="44"/>
      <c r="P1116" s="44"/>
      <c r="Q1116" s="44"/>
      <c r="R1116" s="44"/>
      <c r="S1116" s="44"/>
      <c r="T1116" s="44"/>
      <c r="U1116" s="44"/>
      <c r="V1116" s="44"/>
      <c r="W1116" s="44"/>
      <c r="X1116" s="44"/>
      <c r="Y1116" s="44"/>
      <c r="Z1116" s="44"/>
      <c r="AA1116" s="44"/>
    </row>
    <row r="1117" spans="1:27" ht="13">
      <c r="A1117" s="44"/>
      <c r="B1117" s="44"/>
      <c r="C1117" s="44"/>
      <c r="D1117" s="44"/>
      <c r="E1117" s="44"/>
      <c r="F1117" s="44"/>
      <c r="G1117" s="44"/>
      <c r="H1117" s="44"/>
      <c r="I1117" s="44"/>
      <c r="J1117" s="44"/>
      <c r="K1117" s="44"/>
      <c r="L1117" s="44"/>
      <c r="M1117" s="44"/>
      <c r="N1117" s="44"/>
      <c r="O1117" s="44"/>
      <c r="P1117" s="44"/>
      <c r="Q1117" s="44"/>
      <c r="R1117" s="44"/>
      <c r="S1117" s="44"/>
      <c r="T1117" s="44"/>
      <c r="U1117" s="44"/>
      <c r="V1117" s="44"/>
      <c r="W1117" s="44"/>
      <c r="X1117" s="44"/>
      <c r="Y1117" s="44"/>
      <c r="Z1117" s="44"/>
      <c r="AA1117" s="44"/>
    </row>
    <row r="1118" spans="1:27" ht="13">
      <c r="A1118" s="44"/>
      <c r="B1118" s="44"/>
      <c r="C1118" s="44"/>
      <c r="D1118" s="44"/>
      <c r="E1118" s="44"/>
      <c r="F1118" s="44"/>
      <c r="G1118" s="44"/>
      <c r="H1118" s="44"/>
      <c r="I1118" s="44"/>
      <c r="J1118" s="44"/>
      <c r="K1118" s="44"/>
      <c r="L1118" s="44"/>
      <c r="M1118" s="44"/>
      <c r="N1118" s="44"/>
      <c r="O1118" s="44"/>
      <c r="P1118" s="44"/>
      <c r="Q1118" s="44"/>
      <c r="R1118" s="44"/>
      <c r="S1118" s="44"/>
      <c r="T1118" s="44"/>
      <c r="U1118" s="44"/>
      <c r="V1118" s="44"/>
      <c r="W1118" s="44"/>
      <c r="X1118" s="44"/>
      <c r="Y1118" s="44"/>
      <c r="Z1118" s="44"/>
      <c r="AA1118" s="44"/>
    </row>
    <row r="1119" spans="1:27" ht="13">
      <c r="A1119" s="44"/>
      <c r="B1119" s="44"/>
      <c r="C1119" s="44"/>
      <c r="D1119" s="44"/>
      <c r="E1119" s="44"/>
      <c r="F1119" s="44"/>
      <c r="G1119" s="44"/>
      <c r="H1119" s="44"/>
      <c r="I1119" s="44"/>
      <c r="J1119" s="44"/>
      <c r="K1119" s="44"/>
      <c r="L1119" s="44"/>
      <c r="M1119" s="44"/>
      <c r="N1119" s="44"/>
      <c r="O1119" s="44"/>
      <c r="P1119" s="44"/>
      <c r="Q1119" s="44"/>
      <c r="R1119" s="44"/>
      <c r="S1119" s="44"/>
      <c r="T1119" s="44"/>
      <c r="U1119" s="44"/>
      <c r="V1119" s="44"/>
      <c r="W1119" s="44"/>
      <c r="X1119" s="44"/>
      <c r="Y1119" s="44"/>
      <c r="Z1119" s="44"/>
      <c r="AA1119" s="44"/>
    </row>
  </sheetData>
  <mergeCells count="1">
    <mergeCell ref="B1:G1"/>
  </mergeCells>
  <dataValidations count="1">
    <dataValidation type="list" allowBlank="1" sqref="D3:D168" xr:uid="{00000000-0002-0000-0A00-000000000000}">
      <formula1>"Buy,Sell,Dividend,SPLIT,Deposit,Interest"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6</vt:i4>
      </vt:variant>
    </vt:vector>
  </HeadingPairs>
  <TitlesOfParts>
    <vt:vector size="19" baseType="lpstr">
      <vt:lpstr>Dashboard</vt:lpstr>
      <vt:lpstr>Graphs</vt:lpstr>
      <vt:lpstr>Sheet11</vt:lpstr>
      <vt:lpstr>History</vt:lpstr>
      <vt:lpstr>Dividends</vt:lpstr>
      <vt:lpstr>Current Value</vt:lpstr>
      <vt:lpstr>Total Value</vt:lpstr>
      <vt:lpstr>Total Returns</vt:lpstr>
      <vt:lpstr>Daily Returns</vt:lpstr>
      <vt:lpstr>Daily Portfolio Returns</vt:lpstr>
      <vt:lpstr>Daily Portfolio Returns Export</vt:lpstr>
      <vt:lpstr>Positions</vt:lpstr>
      <vt:lpstr>Transactions</vt:lpstr>
      <vt:lpstr>HistoryAction</vt:lpstr>
      <vt:lpstr>HistoryDate</vt:lpstr>
      <vt:lpstr>HistoryPrice</vt:lpstr>
      <vt:lpstr>HistoryQuantity</vt:lpstr>
      <vt:lpstr>HistorySecurity</vt:lpstr>
      <vt:lpstr>HistoryTotal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2022-05-06T02:57:28Z</dcterms:modified>
</cp:coreProperties>
</file>